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5"/>
    <sheet state="visible" name="Raw - 1" sheetId="2" r:id="rId6"/>
    <sheet state="visible" name="Raw - 2" sheetId="3" r:id="rId7"/>
    <sheet state="visible" name="Raw - 3 (Typology)" sheetId="4" r:id="rId8"/>
    <sheet state="visible" name="Raw -4 (Extended Definitions)" sheetId="5" r:id="rId9"/>
    <sheet state="visible" name="Enriched" sheetId="6" r:id="rId10"/>
    <sheet state="visible" name="Curated - Labels" sheetId="7" r:id="rId11"/>
    <sheet state="visible" name="Serving - Labels" sheetId="8" r:id="rId12"/>
    <sheet state="visible" name="Serving - Labels (Archived)" sheetId="9" r:id="rId13"/>
    <sheet state="visible" name="Query" sheetId="10" r:id="rId14"/>
  </sheets>
  <definedNames>
    <definedName hidden="1" localSheetId="1" name="_xlnm._FilterDatabase">'Raw - 1'!$A$1:$J$1070</definedName>
    <definedName hidden="1" localSheetId="5" name="_xlnm._FilterDatabase">Enriched!$A$1:$AA$1070</definedName>
    <definedName hidden="1" localSheetId="6" name="_xlnm._FilterDatabase">'Curated - Labels'!$A$1:$CA$934</definedName>
    <definedName hidden="1" localSheetId="7" name="_xlnm._FilterDatabase">'Serving - Labels'!$A$1:$K$694</definedName>
    <definedName hidden="1" localSheetId="8" name="_xlnm._FilterDatabase">'Serving - Labels (Archived)'!$A$1:$I$934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tc={f796230e-553b-4412-b137-6108588fac62}</author>
  </authors>
  <commentList>
    <comment authorId="0" xr:uid="{f796230e-553b-4412-b137-6108588fac62}" ref="BT1">
      <text>
        <t xml:space="preserve">[Threaded comment]
 Your version of Excel allows you to read this threaded comment; however, any edits to it will get removed if the file is opened in a newer version of Excel. Learn more: https://go.microsoft.com/fwlink/?linkid=870924
Comment:
	identifier of records in Ridley's Raw Data
</t>
      </text>
    </comment>
  </commentList>
</comments>
</file>

<file path=xl/sharedStrings.xml><?xml version="1.0" encoding="utf-8"?>
<sst xmlns="http://schemas.openxmlformats.org/spreadsheetml/2006/main" count="122568" uniqueCount="22858">
  <si>
    <t>Ridley et al</t>
  </si>
  <si>
    <t>10.1186/s13750-022-00279-7</t>
  </si>
  <si>
    <t>https://link.springer.com/article/10.1186/s13750-022-00279-7</t>
  </si>
  <si>
    <t>Raw - 1</t>
  </si>
  <si>
    <t>Details of all 1069 records part of Ridley et al study</t>
  </si>
  <si>
    <t>Raw - 2</t>
  </si>
  <si>
    <t>Result of data labelling done by authors for each document</t>
  </si>
  <si>
    <t>Enriched</t>
  </si>
  <si>
    <t>- Study_design - Column created based on author's "study_design" col; Adopt labels of Obs, Experimental, Review
- realm - Based on ecoregoin column of author, create "realm" label which is essentially same. Only the col is renamed to be consistent with name and outputs are present in string list form.</t>
  </si>
  <si>
    <t>Curated - Labels</t>
  </si>
  <si>
    <t>Export of 933 WOS records and their labels of study design, realm, threat l1</t>
  </si>
  <si>
    <t>Ridely - Data Coding of Threats</t>
  </si>
  <si>
    <t>- Threats were classified according to the IUCN Red List threat classification scheme
- Precision: L1 -&gt; L3 (Lowest to highest) e.g. level 1 = Biological Resource Use &amp; Level 2 = Hunting and Collecting Terrestrial Animals
here threat precision is 2.
- Precision studies below L2 &amp; NOT "not captured by the IUCN criteria" coded as level 1 + unspecified
- Precision = Other - threat satisfied the definition of threats used here but wasn’t covered by the IUCN classification
This file filter:
- Remove "unspec" coded rows 
- Remove "other" unspec rowsx
- Remove cumulative precsion in serving lables</t>
  </si>
  <si>
    <t>ArticleID</t>
  </si>
  <si>
    <t>Pub_Type</t>
  </si>
  <si>
    <t>Authors</t>
  </si>
  <si>
    <t xml:space="preserve">Year </t>
  </si>
  <si>
    <t>Title</t>
  </si>
  <si>
    <t>Pub_name</t>
  </si>
  <si>
    <t>Volume</t>
  </si>
  <si>
    <t>Issue</t>
  </si>
  <si>
    <t>Pages</t>
  </si>
  <si>
    <t>source</t>
  </si>
  <si>
    <t>"</t>
  </si>
  <si>
    <t>Journal Article</t>
  </si>
  <si>
    <t>Coll_etal</t>
  </si>
  <si>
    <t>'Low-hanging fruit' for conservation of marine vertebrate species at risk in the Mediterranean Sea</t>
  </si>
  <si>
    <t>Global Ecology and Biogeography</t>
  </si>
  <si>
    <t>226-239</t>
  </si>
  <si>
    <t>PubDatabase</t>
  </si>
  <si>
    <t>Lieske_etal</t>
  </si>
  <si>
    <t>“Seas of risk”: Assessing the threats to colonial-nesting seabirds in Eastern Canada</t>
  </si>
  <si>
    <t>Marine Policy</t>
  </si>
  <si>
    <t>NA</t>
  </si>
  <si>
    <t>Vasilakis_etal</t>
  </si>
  <si>
    <t>A balanced solution to the cumulative threat of industrialized wind farm development on cinereous vultures (Aegypius monachus) in south-eastern Europe</t>
  </si>
  <si>
    <t>PLoS ONE</t>
  </si>
  <si>
    <t>Stoica_etal</t>
  </si>
  <si>
    <t>A case study in the Moldavian Central Plateau, Romania - habitat distribution, conservation status and human impact in a protected area</t>
  </si>
  <si>
    <t>Contributii Botanice</t>
  </si>
  <si>
    <t>119-131</t>
  </si>
  <si>
    <t>Report</t>
  </si>
  <si>
    <t>Duran, M., Murillo, F. J., Serrano, A., Sayago-Gil, M., Parra, S., Diaz del, R., Sacau, M., Patrocinio, T. and Cristobo, J.</t>
  </si>
  <si>
    <t>A Case Study of available methodology for the identification of Vulnerable Ecosystems/Habitats in bottom deep-sea fisheries: Possibilities to apply this method in the NAFO Regulatory Area in order to select Marine Protected Areas</t>
  </si>
  <si>
    <t>Caro_etal</t>
  </si>
  <si>
    <t>A case study of the coconut crab Birgus latro on Zanzibar highlights global threats and conservation solutions</t>
  </si>
  <si>
    <t>ORYX</t>
  </si>
  <si>
    <t>Rasmussen_etal</t>
  </si>
  <si>
    <t>A catchment scale evaluation of multiple stressor effects in headwater streams</t>
  </si>
  <si>
    <t>Science of the Total Environment</t>
  </si>
  <si>
    <t>420-431</t>
  </si>
  <si>
    <t>Magness_etal</t>
  </si>
  <si>
    <t>A climate-change adaptation framework to reduce continental-scale vulnerability across conservation reserves</t>
  </si>
  <si>
    <t>Ecosphere</t>
  </si>
  <si>
    <t>Clay_etal</t>
  </si>
  <si>
    <t>A comprehensive large-scale assessment of fisheries bycatch risk to threatened seabird populations</t>
  </si>
  <si>
    <t>Journal of Applied Ecology</t>
  </si>
  <si>
    <t>1882-1893</t>
  </si>
  <si>
    <t>Asner_etal</t>
  </si>
  <si>
    <t>A contemporary assessment of change in humid tropical forests</t>
  </si>
  <si>
    <t>Conservation Biology</t>
  </si>
  <si>
    <t>1386-1395</t>
  </si>
  <si>
    <t>Wraith and Pickering</t>
  </si>
  <si>
    <t>A continental scale analysis of threats to orchids</t>
  </si>
  <si>
    <t>Biological Conservation</t>
  </si>
  <si>
    <t>Stafford_etal</t>
  </si>
  <si>
    <t>A Cross-Site Analysis of Neotropical Bird Hunting Profiles</t>
  </si>
  <si>
    <t>Tropical Conservation Science</t>
  </si>
  <si>
    <t>Marotta_etal</t>
  </si>
  <si>
    <t>A decision-support system in ICZM for protecting the ecosystems: Integration with the habitat directive</t>
  </si>
  <si>
    <t>Journal of Coastal Conservation</t>
  </si>
  <si>
    <t>393-405</t>
  </si>
  <si>
    <t>Stortini_etal</t>
  </si>
  <si>
    <t>A decision-support tool to facilitate discussion of no-take boundaries for Marine Protected Areas during stakeholder consultation processes</t>
  </si>
  <si>
    <t>Journal for Nature Conservation</t>
  </si>
  <si>
    <t>45-52</t>
  </si>
  <si>
    <t>Fasola and Roesler</t>
  </si>
  <si>
    <t>A familiar face with a novel behavior raises challenges for conservation: American mink in arid Patagonia and a critically endangered bird</t>
  </si>
  <si>
    <t>217-222</t>
  </si>
  <si>
    <t>Smolinski and Calkiewicz</t>
  </si>
  <si>
    <t>A fish-based index for assessing the ecological status of Polish transitional and coastal waters</t>
  </si>
  <si>
    <t>Marine Pollution Bulletin</t>
  </si>
  <si>
    <t>497-506</t>
  </si>
  <si>
    <t>Ondei_etal</t>
  </si>
  <si>
    <t>A flexible tool to prioritize areas for conservation combining landscape units, measures of biodiversity, and threats</t>
  </si>
  <si>
    <t>Morelli_etal</t>
  </si>
  <si>
    <t>A forecasting map of avian roadkill-risk in Europe: A tool to identify potential hotspots</t>
  </si>
  <si>
    <t>Kostoski_etal</t>
  </si>
  <si>
    <t>A freshwater biodiversity hotspot under pressure - Assessing threats and identifying conservation needs for ancient Lake Ohrid</t>
  </si>
  <si>
    <t>Biogeosciences</t>
  </si>
  <si>
    <t>3999-4015</t>
  </si>
  <si>
    <t>Howard_etal</t>
  </si>
  <si>
    <t>A freshwater conservation blueprint for California: Prioritizing watersheds for freshwater biodiversity</t>
  </si>
  <si>
    <t>Freshwater Science</t>
  </si>
  <si>
    <t>417-431</t>
  </si>
  <si>
    <t>Robertson_etal</t>
  </si>
  <si>
    <t>A fuzzy classification technique for predicting species' distributions: Applications using invasive alien plants and indigenous insects</t>
  </si>
  <si>
    <t>Diversity and Distributions</t>
  </si>
  <si>
    <t>461-474</t>
  </si>
  <si>
    <t>Riolo</t>
  </si>
  <si>
    <t>A geographic information system for fisheries management in American Samoa</t>
  </si>
  <si>
    <t>Environmental Modelling and Software</t>
  </si>
  <si>
    <t>1025-1041</t>
  </si>
  <si>
    <t>Winchell_etal</t>
  </si>
  <si>
    <t>A GIS-based approach to quantifying pesticide use site proximity to salmonid habitat</t>
  </si>
  <si>
    <t>ACS Symposium Series</t>
  </si>
  <si>
    <t>183-196</t>
  </si>
  <si>
    <t>Pasqualini_etal</t>
  </si>
  <si>
    <t>A GIS-based multicriteria evaluation for aiding risk management Pinus pinaster Ait. Forests: A case study in Corsican island, western Mediterranean region</t>
  </si>
  <si>
    <t>Environmental Management</t>
  </si>
  <si>
    <t>38-56</t>
  </si>
  <si>
    <t>Aubrecht_etal</t>
  </si>
  <si>
    <t>A global inventory of coral reef stressors based on satellite observed nighttime lights</t>
  </si>
  <si>
    <t>Geocarto International</t>
  </si>
  <si>
    <t>467-479</t>
  </si>
  <si>
    <t>Halpern_etal</t>
  </si>
  <si>
    <t>A global map of human impact on marine ecosystems</t>
  </si>
  <si>
    <t>Science</t>
  </si>
  <si>
    <t>948-952</t>
  </si>
  <si>
    <t>Lewis_etal</t>
  </si>
  <si>
    <t>A Global Perspective on Firefly Extinction Threats</t>
  </si>
  <si>
    <t>BioScience</t>
  </si>
  <si>
    <t>157-167</t>
  </si>
  <si>
    <t>Graham_etal</t>
  </si>
  <si>
    <t>A Global-Scale Evaluation of Primate Exposure and Vulnerability to Climate Change</t>
  </si>
  <si>
    <t>International Journal of Primatology</t>
  </si>
  <si>
    <t>158-174</t>
  </si>
  <si>
    <t>Orgiazzi_etal</t>
  </si>
  <si>
    <t>A knowledge-based approach to estimating the magnitude and spatial patterns of potential threats to soil biodiversity</t>
  </si>
  <si>
    <t>545-546</t>
  </si>
  <si>
    <t>Winters_etal</t>
  </si>
  <si>
    <t>A low cost field-survey method for mapping seagrasses and their potential threats: an example from the northern Gulf of Aqaba, Red Sea</t>
  </si>
  <si>
    <t>Aquatic Conservation: Marine and Freshwater Ecosystems</t>
  </si>
  <si>
    <t>324-339</t>
  </si>
  <si>
    <t>Pilcher_etal</t>
  </si>
  <si>
    <t>A low-cost solution for documenting distribution and abundance of endangered marine fauna and impacts from fisheries</t>
  </si>
  <si>
    <t>Selkoe_etal</t>
  </si>
  <si>
    <t>A map of human impacts to a "pristine" coral reef ecosystem, the Papah?naumoku?kea Marine National Monument</t>
  </si>
  <si>
    <t>Coral Reefs</t>
  </si>
  <si>
    <t>635-650</t>
  </si>
  <si>
    <t>Magris_etal</t>
  </si>
  <si>
    <t>A modelling approach to assess the impact of land mining on marine biodiversity: Assessment in coastal catchments experiencing catastrophic events (SW Brazil)</t>
  </si>
  <si>
    <t>828-840</t>
  </si>
  <si>
    <t>Menegon_etal</t>
  </si>
  <si>
    <t>A modelling framework for MSP-oriented cumulative effects assessment</t>
  </si>
  <si>
    <t>Ecological Indicators</t>
  </si>
  <si>
    <t>171-181</t>
  </si>
  <si>
    <t>De_etal</t>
  </si>
  <si>
    <t>A multiscale analysis of land use dynamics in the buffer zone of Rio Doce State Park, Minas Gerais, Brazil</t>
  </si>
  <si>
    <t>Journal of Environmental Planning and Management</t>
  </si>
  <si>
    <t>935-957</t>
  </si>
  <si>
    <t>Alvarez-Romero_etal</t>
  </si>
  <si>
    <t>A novel approach to model exposure of coastal-marine ecosystems to riverine flood plumes based on remote sensing techniques</t>
  </si>
  <si>
    <t>Journal of Environmental Management</t>
  </si>
  <si>
    <t>194-207</t>
  </si>
  <si>
    <t>Pusparini_etal</t>
  </si>
  <si>
    <t>A pathway to recovery: The Critically Endangered Sumatran tiger Panthera tigris sumatrae in an 'in danger' UNESCO World Heritage Site</t>
  </si>
  <si>
    <t>25-34</t>
  </si>
  <si>
    <t>Holon_etal</t>
  </si>
  <si>
    <t>A predictive model based on multiple coastal anthropogenic pressures explains the degradation status of a marine ecosystem: Implications for management and conservation</t>
  </si>
  <si>
    <t>125-135</t>
  </si>
  <si>
    <t>Macdonald_etal</t>
  </si>
  <si>
    <t>A problem shared is a problem reduced: Seeking efficiency in the conservation of felids and primates</t>
  </si>
  <si>
    <t>Folia Primatologica</t>
  </si>
  <si>
    <t>171-215</t>
  </si>
  <si>
    <t>Cubero-Pardo_etal</t>
  </si>
  <si>
    <t>A proposal to define vulnerability of cetacean areas to human development: Variables and analysis procedures applied to the gulf of California</t>
  </si>
  <si>
    <t>433-447</t>
  </si>
  <si>
    <t>Mccullough_etal</t>
  </si>
  <si>
    <t>A range of possibilities: Assessing geographic variation in climate sensitivity of ponderosa pine using tree rings</t>
  </si>
  <si>
    <t>Forest Ecology and Management</t>
  </si>
  <si>
    <t>223-233</t>
  </si>
  <si>
    <t>Alvarez-Filip_etal</t>
  </si>
  <si>
    <t>A rapid spread of the stony coral tissue loss disease outbreak in the Mexican Caribbean</t>
  </si>
  <si>
    <t>PeerJ</t>
  </si>
  <si>
    <t>Vasyliuk_etal</t>
  </si>
  <si>
    <t>A review of major impact factors of hostilities influencing biodiversity in the Eastern Ukraine (Modeled On Selected Animal Species)</t>
  </si>
  <si>
    <t>Vestnik Zoologii</t>
  </si>
  <si>
    <t>145-158</t>
  </si>
  <si>
    <t>Duvall and Barron</t>
  </si>
  <si>
    <t>A screening level probabilistic risk assessment of mercury in Florida Everglades food webs</t>
  </si>
  <si>
    <t>Ecotoxicology and Environmental Safety</t>
  </si>
  <si>
    <t>298-305</t>
  </si>
  <si>
    <t>Treves_etal</t>
  </si>
  <si>
    <t>A simple, cost-effective method for involving stakeholders in spatial assessments of threats to biodiversity</t>
  </si>
  <si>
    <t>Human Dimensions of Wildlife</t>
  </si>
  <si>
    <t>43-54</t>
  </si>
  <si>
    <t>Grech_etal</t>
  </si>
  <si>
    <t>A spatial assessment of the risk to a mobile marine mammal from bycatch</t>
  </si>
  <si>
    <t>1127-1139</t>
  </si>
  <si>
    <t>Mora</t>
  </si>
  <si>
    <t>A spatial framework for detecting anthropogenic impacts on predator-prey interactions that sustain ecological integrity in Mexico</t>
  </si>
  <si>
    <t>Ecological Processes</t>
  </si>
  <si>
    <t>Muñoz_etal</t>
  </si>
  <si>
    <t>A spatial risk approach towards integrated marine spatial planning: A case study on European hake nursery areas in the North Alboran Sea</t>
  </si>
  <si>
    <t>Marine Environmental Research</t>
  </si>
  <si>
    <t>190-207</t>
  </si>
  <si>
    <t>Silva_etal</t>
  </si>
  <si>
    <t>A spatially explicit approach to assess the collision risk between birds and overhead power lines: A case study with the little bustard</t>
  </si>
  <si>
    <t>256-263</t>
  </si>
  <si>
    <t>Konstantopoulos_etal</t>
  </si>
  <si>
    <t>A spatially explicit impact assessment of road characteristics, road-induced fragmentation and noise on birds species in Cyprus</t>
  </si>
  <si>
    <t>Biodiversity</t>
  </si>
  <si>
    <t>61-71</t>
  </si>
  <si>
    <t>Bedrosian_etal</t>
  </si>
  <si>
    <t>A Spatially Explicit Model to Predict the Relative Risk of Golden Eagle Electrocutions in the Northwestern Plains, USA</t>
  </si>
  <si>
    <t>Journal of Raptor Research</t>
  </si>
  <si>
    <t>110-125</t>
  </si>
  <si>
    <t>Gimpel_etal</t>
  </si>
  <si>
    <t>A spatially explicit risk approach to support marine spatial planning in the German EEZ</t>
  </si>
  <si>
    <t>56-69</t>
  </si>
  <si>
    <t>Pennino_etal</t>
  </si>
  <si>
    <t>A spatially explicit risk assessment approach: Cetaceans and marine traffic in the Pelagos Sanctuary (Mediterranean Sea)</t>
  </si>
  <si>
    <t>Klarenberg_etal</t>
  </si>
  <si>
    <t>A spatiotemporal natural-human database to evaluate road development impacts in an Amazon trinational frontier</t>
  </si>
  <si>
    <t>Scientific Data</t>
  </si>
  <si>
    <t>Witt and Godley</t>
  </si>
  <si>
    <t>A step towards seascape scale conservation: Using vessel monitoring systems (VMS) to map fishing activity</t>
  </si>
  <si>
    <t>Wittig_etal</t>
  </si>
  <si>
    <t>A study of climate change and anthropogenic impacts in West Africa</t>
  </si>
  <si>
    <t>Environmental Science and Pollution Research</t>
  </si>
  <si>
    <t>182-189</t>
  </si>
  <si>
    <t>Nelson_etal</t>
  </si>
  <si>
    <t>A time geographic approach for delineating areas of sustained wildlife use</t>
  </si>
  <si>
    <t>Annals of GIS</t>
  </si>
  <si>
    <t>81-90</t>
  </si>
  <si>
    <t>Gunson_etal</t>
  </si>
  <si>
    <t>A tool to prioritize high-risk road mortality locations for wetland-forest herpetofauna in southern Ontario, Canada</t>
  </si>
  <si>
    <t>North-Western Journal of Zoology</t>
  </si>
  <si>
    <t>409-413</t>
  </si>
  <si>
    <t>Elleouet_etal</t>
  </si>
  <si>
    <t>A trait-based approach for assessing and mapping niche overlap between native and exotic species: The mediterranean coastal fish fauna as a case study</t>
  </si>
  <si>
    <t>1333-1344</t>
  </si>
  <si>
    <t>Raimondo_etal</t>
  </si>
  <si>
    <t>A unified approach for protecting listed species and ecosystem services in isolated wetlands using community-level protection goals</t>
  </si>
  <si>
    <t>465-478</t>
  </si>
  <si>
    <t>Giordano_etal</t>
  </si>
  <si>
    <t>Abundance and spatial distribution of Greater Rhea Rhea americana in two sites on the pampas grasslands with different land use</t>
  </si>
  <si>
    <t>Bird Conservation International</t>
  </si>
  <si>
    <t>63-70</t>
  </si>
  <si>
    <t>Licata_etal</t>
  </si>
  <si>
    <t>Abundance, distribution and spread of the invasive Asian toad Duttaphrynus melanostictus in eastern Madagascar</t>
  </si>
  <si>
    <t>Biological Invasions</t>
  </si>
  <si>
    <t>1615-1626</t>
  </si>
  <si>
    <t>Mullet_etal</t>
  </si>
  <si>
    <t>Acoustic Footprint of Snowmobile Noise and Natural Quiet Refugia in an Alaskan Wilderness</t>
  </si>
  <si>
    <t>Natural Areas Journal</t>
  </si>
  <si>
    <t>332-349</t>
  </si>
  <si>
    <t>Deb_etal</t>
  </si>
  <si>
    <t>Adaptive management and planning for the conservation of four threatened large Asian mammals in a changing climate</t>
  </si>
  <si>
    <t>Mitigation and Adaptation Strategies for Global Change</t>
  </si>
  <si>
    <t>259-280</t>
  </si>
  <si>
    <t>Sciarretta_etal</t>
  </si>
  <si>
    <t>Adaptive management of invasive pests in natural protected areas: The case of Matsucoccus feytaudi in Central Italy</t>
  </si>
  <si>
    <t>Bulletin of Entomological Research</t>
  </si>
  <si>
    <t>Addressing cumulative effects, maritime conflicts and ecosystem services threats through MSP-oriented geospatial webtools</t>
  </si>
  <si>
    <t>Ocean and Coastal Management</t>
  </si>
  <si>
    <t>417-436</t>
  </si>
  <si>
    <t>Struebig_etal</t>
  </si>
  <si>
    <t>Addressing human-tiger conflict using socio-ecological information on tolerance and risk</t>
  </si>
  <si>
    <t>Nature Communications</t>
  </si>
  <si>
    <t>Herder_etal</t>
  </si>
  <si>
    <t>Alien invasion in Wallace's Dreamponds: Records of the hybridogenic "flowerhorn" cichlid in lake Matano, with an annotated checklist of fish species introduced to the Malili Lakes system in Sulawesi</t>
  </si>
  <si>
    <t>Aquatic Invasions</t>
  </si>
  <si>
    <t>521-535</t>
  </si>
  <si>
    <t>Gerlach</t>
  </si>
  <si>
    <t>Alien plant species threat assessment and management prioritization for Sequoia-Kings Canyon and Yosemite National Parks</t>
  </si>
  <si>
    <t>Ponnampalam_etal</t>
  </si>
  <si>
    <t>Aligning conservation and research priorities for proactive species and habitat management: The case of dugongs Dugong dugon in Johor, Malaysia</t>
  </si>
  <si>
    <t>743-749</t>
  </si>
  <si>
    <t>Mateo-Tomás_etal</t>
  </si>
  <si>
    <t>Alleviating human-wildlife conflicts: Identifying the causes and mapping the risk of illegal poisoning of wild fauna</t>
  </si>
  <si>
    <t>376-385</t>
  </si>
  <si>
    <t>Parry_etal</t>
  </si>
  <si>
    <t>Allocation of hunting effort by Amazonian smallholders: Implications for conserving wildlife in mixed-use landscapes</t>
  </si>
  <si>
    <t>1777-1786</t>
  </si>
  <si>
    <t>Liu_etal</t>
  </si>
  <si>
    <t>Almond organophosphate and pyrethroid use in the San Joaquin Valley and their associated environmental risk</t>
  </si>
  <si>
    <t>Journal of Soils and Sediments</t>
  </si>
  <si>
    <t>1066-1078</t>
  </si>
  <si>
    <t>Scheele_etal</t>
  </si>
  <si>
    <t>Amphibian fungal panzootic causes catastrophic and ongoing loss of biodiversity</t>
  </si>
  <si>
    <t>1459-1463</t>
  </si>
  <si>
    <t>Spanowicz_etal</t>
  </si>
  <si>
    <t>An adaptive plan for prioritizing road sections for fencing to reduce animal mortality</t>
  </si>
  <si>
    <t>An alternative approach for delineating eco-sensitive zones around a wildlife sanctuary applying geospatial techniques</t>
  </si>
  <si>
    <t>Environmental Monitoring and Assessment</t>
  </si>
  <si>
    <t>2641-2651</t>
  </si>
  <si>
    <t>Enríquez-Andrade_etal</t>
  </si>
  <si>
    <t>An analysis of critical areas for biodiversity conservation in the Gulf of California Region</t>
  </si>
  <si>
    <t>31-50</t>
  </si>
  <si>
    <t>Dang_etal</t>
  </si>
  <si>
    <t>An analysis of the spatial association between deforestation and agricultural field sizes in the tropics and subtropics</t>
  </si>
  <si>
    <t>Wolaver_etal</t>
  </si>
  <si>
    <t>An approach for evaluating changes in land-use from energy sprawl and other anthropogenic activities with implications for biotic resource management</t>
  </si>
  <si>
    <t>Environmental Earth Sciences</t>
  </si>
  <si>
    <t>Astiaso_etal</t>
  </si>
  <si>
    <t>An estimation of urban fragmentation of natural habitats: Case studies of the 24 italian national parks</t>
  </si>
  <si>
    <t>Chemical Engineering Transactions</t>
  </si>
  <si>
    <t>49-54</t>
  </si>
  <si>
    <t>Clark and Tittensor</t>
  </si>
  <si>
    <t>An index to assess the risk to stony corals from bottom trawling on seamounts</t>
  </si>
  <si>
    <t>Marine Ecology</t>
  </si>
  <si>
    <t>SUPPL. 1</t>
  </si>
  <si>
    <t>200-211</t>
  </si>
  <si>
    <t>Razgour_etal</t>
  </si>
  <si>
    <t>An integrated framework to identify wildlife populations under threat from climate change</t>
  </si>
  <si>
    <t>Molecular Ecology Resources</t>
  </si>
  <si>
    <t>18-31</t>
  </si>
  <si>
    <t>Rodriguez-Merino_etal</t>
  </si>
  <si>
    <t>An invasion risk map for non-native aquatic macrophytes of the Iberian Peninsula</t>
  </si>
  <si>
    <t>Anales Del Jardin Botanico De Madrid</t>
  </si>
  <si>
    <t>Baig and Aldosari</t>
  </si>
  <si>
    <t>An investigation into the vanishing biodiversity: Implications for rural extension</t>
  </si>
  <si>
    <t>Bulgarian Journal of Agricultural Science</t>
  </si>
  <si>
    <t>403-409</t>
  </si>
  <si>
    <t>W26573</t>
  </si>
  <si>
    <t>Nowell_etal</t>
  </si>
  <si>
    <t>An ounce of Prevention: Snow Leopard Crime Revisited</t>
  </si>
  <si>
    <t>TRAFFIC</t>
  </si>
  <si>
    <t>OrganisationalWebsite</t>
  </si>
  <si>
    <t>Conference Proceeding</t>
  </si>
  <si>
    <t>Farizal_etal</t>
  </si>
  <si>
    <t>Analysis of the Mount Tunggangan Wildlife Reserve Area Arrangement, Sragen, Central Java using Geographic Information Systems (GIS) with Ecological Sensitivity and Ecological Pressure Approaches</t>
  </si>
  <si>
    <t>Ramirez-Villegas_etal</t>
  </si>
  <si>
    <t>Analysis of threats to South American flora and its implications for conservation</t>
  </si>
  <si>
    <t>337-348</t>
  </si>
  <si>
    <t>Chen and Koprowski</t>
  </si>
  <si>
    <t>Animal occurrence and space use change in the landscape of anthropogenic noise</t>
  </si>
  <si>
    <t>315-322</t>
  </si>
  <si>
    <t>Cardoso_etal</t>
  </si>
  <si>
    <t>Anthropic Pressure on the Diversity of Cactaceae in a Region of Atlantic Forest in Eastern Brazil</t>
  </si>
  <si>
    <t>Haseltonia</t>
  </si>
  <si>
    <t>28-35</t>
  </si>
  <si>
    <t>Yackulic_etal</t>
  </si>
  <si>
    <t>Anthropogenic and environmental drivers of modern range loss in large mammals</t>
  </si>
  <si>
    <t>Proceedings of the National Academy of Sciences of the United States of America</t>
  </si>
  <si>
    <t>4024-4029</t>
  </si>
  <si>
    <t>Escobar_etal</t>
  </si>
  <si>
    <t>Anthropogenic disturbance and habitat loss for the red-listed Asiatic black bear (Ursus thibetanus): Using ecological niche modeling and nighttime light satellite imagery</t>
  </si>
  <si>
    <t>400-407</t>
  </si>
  <si>
    <t>Fryxell_etal</t>
  </si>
  <si>
    <t>Anthropogenic Disturbance and Population Viability of Woodland Caribou in Ontario</t>
  </si>
  <si>
    <t>Journal of Wildlife Management</t>
  </si>
  <si>
    <t>Benslimane_etal</t>
  </si>
  <si>
    <t>Anthropogenic stressors are driving a steep decline of hemipteran diversity in dune ponds in north-eastern Algeria</t>
  </si>
  <si>
    <t>Journal of Insect Conservation</t>
  </si>
  <si>
    <t>475-488</t>
  </si>
  <si>
    <t>Gabriel_etal</t>
  </si>
  <si>
    <t>Anticoagulant rodenticides on our public and community lands: Spatial distribution of exposure and poisoning of a rare forest carnivore</t>
  </si>
  <si>
    <t>Vanthomme_etal</t>
  </si>
  <si>
    <t>Antipoaching standards in onshore hydrocarbon concessions drawn from a Central African case study</t>
  </si>
  <si>
    <t>696-706</t>
  </si>
  <si>
    <t>Bendell and Wan</t>
  </si>
  <si>
    <t>Application of aerial photography in combination with GIS for coastal management at small spatial scales: A case study of shellfish aquaculture</t>
  </si>
  <si>
    <t>Kope?_etal</t>
  </si>
  <si>
    <t>Application of airborne hyperspectral data for mapping of invasive alien Spiraea tomentosa L.: a serious threat to peat bog plant communities</t>
  </si>
  <si>
    <t>Wetlands Ecology and Management</t>
  </si>
  <si>
    <t>357-373</t>
  </si>
  <si>
    <t>Application of an approach for predicting pesticide concentrations in static water bodies using spatially explicit hydrography, landscape, and pesticide use data</t>
  </si>
  <si>
    <t>315-340</t>
  </si>
  <si>
    <t>Nematollahi_etal</t>
  </si>
  <si>
    <t>Application of InVEST habitat quality module in spatially vulnerability assessment of natural habitats (case study: Chaharmahal and Bakhtiari province, Iran)</t>
  </si>
  <si>
    <t>Favilli_etal</t>
  </si>
  <si>
    <t>Application of KDE plus software to identify collective risk hotspots of ungulate-vehicle collisions in South Tyrol, Northern Italy</t>
  </si>
  <si>
    <t>European Journal of Wildlife Research</t>
  </si>
  <si>
    <t>Esselman and Allan</t>
  </si>
  <si>
    <t>Application of species distribution models and conservation planning software to the design of a reserve network for the riverine fishes of northeastern Mesoamerica</t>
  </si>
  <si>
    <t>Freshwater Biology</t>
  </si>
  <si>
    <t>71-88</t>
  </si>
  <si>
    <t>Cosandey-Godin_etal</t>
  </si>
  <si>
    <t>Applying Bayesian spatiotemporal models to fisheries bycatch in the Canadian Arctic</t>
  </si>
  <si>
    <t>Canadian Journal of Fisheries and Aquatic Sciences</t>
  </si>
  <si>
    <t>186-197</t>
  </si>
  <si>
    <t>Miranda_etal</t>
  </si>
  <si>
    <t>Are Roadkill Hotspots in the Cerrado Equal Among Groups of Vertebrates?</t>
  </si>
  <si>
    <t>565-573</t>
  </si>
  <si>
    <t>Selvalakshmi</t>
  </si>
  <si>
    <t>Are the sensitive zones degrading? A modelling approach using GIS and remote sensing</t>
  </si>
  <si>
    <t>Proceedings of the International Academy of Ecology and Environmental Sciences</t>
  </si>
  <si>
    <t>Mccune_etal</t>
  </si>
  <si>
    <t>Are we accurately estimating the potential role of pollution in the decline of species at risk in Canada?</t>
  </si>
  <si>
    <t>Facets</t>
  </si>
  <si>
    <t>598-614</t>
  </si>
  <si>
    <t>Brito_etal</t>
  </si>
  <si>
    <t>Armed conflicts and wildlife decline: Challenges and recommendations for effective conservation policy in the Sahara-Sahel</t>
  </si>
  <si>
    <t>Conservation Letters</t>
  </si>
  <si>
    <t>Pontius_etal</t>
  </si>
  <si>
    <t>Ash decline assessment in emerald ash borer-infested regions: A test of tree-level, hyperspectral technologies</t>
  </si>
  <si>
    <t>Remote Sensing of Environment</t>
  </si>
  <si>
    <t>2665-2676</t>
  </si>
  <si>
    <t>Dutta_etal</t>
  </si>
  <si>
    <t>Assessing anthropogenic disturbance on forest health based on fragment grading in Durgapur Forest Range, West Bengal, India</t>
  </si>
  <si>
    <t>Spatial Information Research</t>
  </si>
  <si>
    <t>501-512</t>
  </si>
  <si>
    <t>Hein_etal</t>
  </si>
  <si>
    <t>Assessing baseline levels of coral health in a newly established marine protected area in a global scuba diving hotspot</t>
  </si>
  <si>
    <t>56-65</t>
  </si>
  <si>
    <t>Li_etal</t>
  </si>
  <si>
    <t>Assessing Changes of Habitat Quality for Shorebirds in Stopover Sites: a Case Study in Yellow River Delta, China</t>
  </si>
  <si>
    <t>Wetlands</t>
  </si>
  <si>
    <t>67-77</t>
  </si>
  <si>
    <t>Bradley</t>
  </si>
  <si>
    <t>Assessing ecosystem threats from global and regional change: Hierarchical modeling of risk to sagebrush ecosystems from climate change, land use and invasive species in Nevada, USA</t>
  </si>
  <si>
    <t>Ecography</t>
  </si>
  <si>
    <t>198-208</t>
  </si>
  <si>
    <t>Lin_etal</t>
  </si>
  <si>
    <t>Assessing egret ecological safety in the urban environment: A case study in Xiamen, China</t>
  </si>
  <si>
    <t>International Journal of Sustainable Development and World Ecology</t>
  </si>
  <si>
    <t>383-388</t>
  </si>
  <si>
    <t>Hausmann_etal</t>
  </si>
  <si>
    <t>Assessing global popularity and threats to Important Bird and Biodiversity Areas using social media data</t>
  </si>
  <si>
    <t>617-623</t>
  </si>
  <si>
    <t>Arkema_etal</t>
  </si>
  <si>
    <t>Assessing habitat risk from human activities to inform coastal and marine spatial planning: A demonstration in Belize</t>
  </si>
  <si>
    <t>Environmental Research Letters</t>
  </si>
  <si>
    <t>Magliozzi_etal</t>
  </si>
  <si>
    <t>Assessing invasive alien species in European catchments: Distribution and impacts</t>
  </si>
  <si>
    <t>Ye_etal</t>
  </si>
  <si>
    <t>Assessing local and surrounding threats to the protected area network in a biodiversity hotspot: The Hengduan Mountains of Southwest China</t>
  </si>
  <si>
    <t>Karimi and Jones</t>
  </si>
  <si>
    <t>Assessing national human footprint and implications for biodiversity conservation in Iran</t>
  </si>
  <si>
    <t>Ambio</t>
  </si>
  <si>
    <t>1506-1518</t>
  </si>
  <si>
    <t>Alcaraz_etal</t>
  </si>
  <si>
    <t>Assessing population status of Parachondrostoma arrigonis (Steindachner, 1866), threats and conservation perspectives</t>
  </si>
  <si>
    <t>Environmental Biology of Fishes</t>
  </si>
  <si>
    <t>443-455</t>
  </si>
  <si>
    <t>Katzner_etal</t>
  </si>
  <si>
    <t>Assessing population-level consequences of anthropogenic stressors for terrestrial wildlife</t>
  </si>
  <si>
    <t>Bhatt_etal</t>
  </si>
  <si>
    <t>Assessing Potential Conservation and Restoration Areas of Freshwater Fish Fauna in the Indian River Basins</t>
  </si>
  <si>
    <t>1098-1111</t>
  </si>
  <si>
    <t>Baláž_etal</t>
  </si>
  <si>
    <t>Assessing Risk and Guidance on Monitoring of Batrachochytrium dendrobatidis in Europe through Identification of Taxonomic Selectivity of Infection</t>
  </si>
  <si>
    <t>213-223</t>
  </si>
  <si>
    <t>Balotari-Chiebao_etal</t>
  </si>
  <si>
    <t>Assessing space use by pre-breeding white-tailed eagles in the context of wind-energy development in Finland</t>
  </si>
  <si>
    <t>Landscape and Urban Planning</t>
  </si>
  <si>
    <t>251-258</t>
  </si>
  <si>
    <t>Murray_etal</t>
  </si>
  <si>
    <t>Assessing spatial patterns of disease risk to biodiversity: Implications for the management of the amphibian pathogen, Batrachochytrium dendrobatidis</t>
  </si>
  <si>
    <t>163-173</t>
  </si>
  <si>
    <t>Chowdhury and Maiti</t>
  </si>
  <si>
    <t>Assessing the ecological health risk in a conserved mangrove ecosystem due to heavy metal pollution: A case study from Sundarbans Biosphere Reserve, India</t>
  </si>
  <si>
    <t>Human and Ecological Risk Assessment</t>
  </si>
  <si>
    <t>1519-1541</t>
  </si>
  <si>
    <t>Bourgoin_etal</t>
  </si>
  <si>
    <t>Assessing the ecological vulnerability of forest landscape to agricultural frontier expansion in the Central Highlands of Vietnam</t>
  </si>
  <si>
    <t>International Journal of Applied Earth Observation and Geoinformation</t>
  </si>
  <si>
    <t>Enrichetti_etal</t>
  </si>
  <si>
    <t>Assessing the environmental status of temperate mesophotic reefs: A new, integrated methodological approach</t>
  </si>
  <si>
    <t>218-229</t>
  </si>
  <si>
    <t>Jiang_etal</t>
  </si>
  <si>
    <t>Assessing the impact of climate change on the spatio-temporal distribution of foot-and-mouth disease risk for elephants</t>
  </si>
  <si>
    <t>Global Ecology and Conservation</t>
  </si>
  <si>
    <t>Sangil_etal</t>
  </si>
  <si>
    <t>Assessing the impact of fishing in shallow rocky reefs: A multivariate approach to ecosystem management</t>
  </si>
  <si>
    <t>203-213</t>
  </si>
  <si>
    <t>Generic</t>
  </si>
  <si>
    <t>Ortiz Andrea Monica, D. and Torres Justine Nicole, V.</t>
  </si>
  <si>
    <t>Assessing the impacts of agriculture and its trade on Philippine biodiversity</t>
  </si>
  <si>
    <t xml:space="preserve"> </t>
  </si>
  <si>
    <t>Ramp_etal</t>
  </si>
  <si>
    <t>Assessing the impacts of roads in peri-urban reserves: Road-based fatalities and road usage by wildlife in the Royal National Park, New South Wales, Australia</t>
  </si>
  <si>
    <t>348-359</t>
  </si>
  <si>
    <t>Strubbe_etal</t>
  </si>
  <si>
    <t>Assessing the potential impact of invasive ring-necked parakeets Psittacula krameri on native nuthatches Sitta europeae in Belgium</t>
  </si>
  <si>
    <t>549-557</t>
  </si>
  <si>
    <t>Crosti_etal</t>
  </si>
  <si>
    <t>Assessing the relationship between cetacean strandings (Tursiops truncatus and Stenella coeruleoalba) and fishery pressure indicators in Sicily (Mediterranean Sea) within the framework of the EU Habitats Directive</t>
  </si>
  <si>
    <t>Schurmann_etal</t>
  </si>
  <si>
    <t>Assessing the relationship between land tenure issues and land cover changes around the Arabuko Sokoke Forest in Kenya</t>
  </si>
  <si>
    <t>Land Use Policy</t>
  </si>
  <si>
    <t>Petit and Elbersen</t>
  </si>
  <si>
    <t>Assessing the risk of impact of farming intensification on calcareous grasslands in Europe: A quantitative implementation of the MIRABEL framework</t>
  </si>
  <si>
    <t>297-303</t>
  </si>
  <si>
    <t>Redfern_etal</t>
  </si>
  <si>
    <t>Assessing the Risk of Ships Striking Large Whales in Marine Spatial Planning</t>
  </si>
  <si>
    <t>292-302</t>
  </si>
  <si>
    <t>Robillard and Kerr</t>
  </si>
  <si>
    <t>Assessing the shelf life of cost-efficient conservation plans for species at risk across gradients of agricultural land use</t>
  </si>
  <si>
    <t>837-847</t>
  </si>
  <si>
    <t>Rajah_etal</t>
  </si>
  <si>
    <t>Assessing the synergistic potential of Sentinel-2 spectral reflectance bands and derived vegetation indices for detecting and mapping invasive alien plant species</t>
  </si>
  <si>
    <t>South African Journal of Geomatics</t>
  </si>
  <si>
    <t>75-88</t>
  </si>
  <si>
    <t>Seimon_etal</t>
  </si>
  <si>
    <t>Assessing the threat of amphibian chytrid fungus in the Albertine Rift: Past, present and future</t>
  </si>
  <si>
    <t>Clarke_etal</t>
  </si>
  <si>
    <t>Assessing the vulnerability of demersal elasmobranchs to a data-poor shrimp trawl fishery in Costa Rica, Eastern Tropical Pacific</t>
  </si>
  <si>
    <t>321-328</t>
  </si>
  <si>
    <t>Easterday_etal</t>
  </si>
  <si>
    <t>Assessing threats and conservation status of historical centers of oak richness in California</t>
  </si>
  <si>
    <t>Urban Planning</t>
  </si>
  <si>
    <t>65-78</t>
  </si>
  <si>
    <t>Panlasigui_etal</t>
  </si>
  <si>
    <t>Assessing threats of non-native species to native freshwater biodiversity: Conservation priorities for the United States</t>
  </si>
  <si>
    <t>199-208</t>
  </si>
  <si>
    <t>Roder_etal</t>
  </si>
  <si>
    <t>Assessing urban growth and rural land use transformations in a cross-border situation in Northern Namibia and Southern Angola</t>
  </si>
  <si>
    <t>340-354</t>
  </si>
  <si>
    <t>Mach_etal</t>
  </si>
  <si>
    <t>Assessment and management of cumulative impacts in California's network of marine protected areas</t>
  </si>
  <si>
    <t>Berthon_etal</t>
  </si>
  <si>
    <t>Assessment and prioritisation of plant species at risk from myrtle rust (Austropuccinia psidii) under current and future climates in Australia</t>
  </si>
  <si>
    <t>154-162</t>
  </si>
  <si>
    <t>Talukdar_etal</t>
  </si>
  <si>
    <t>Assessment of forest health status using a forest fragmentation approach: a study in Patharia Hills Reserve Forest, northeast India</t>
  </si>
  <si>
    <t>Modeling Earth Systems and Environment</t>
  </si>
  <si>
    <t>27-37</t>
  </si>
  <si>
    <t>Mucova_etal</t>
  </si>
  <si>
    <t>Assessment of land use and land cover changes from 1979 to 2017 and biodiversity &amp; land management approach in Quirimbas National Park, Northern Mozambique, Africa</t>
  </si>
  <si>
    <t>Pullanikkatil_etal</t>
  </si>
  <si>
    <t>Assessment of land use change in Likangala River catchment, Malawi: A remote sensing and DPSIR approach</t>
  </si>
  <si>
    <t>Applied Geography</t>
  </si>
  <si>
    <t>Ahmad_etal</t>
  </si>
  <si>
    <t>Assessment of land use/land cover change in Hirpora wildlife sanctuary, Kashmir</t>
  </si>
  <si>
    <t>Asian Journal of Earth Sciences</t>
  </si>
  <si>
    <t>64-73</t>
  </si>
  <si>
    <t>Diwediga_etal</t>
  </si>
  <si>
    <t>Assessment of multifunctional landscapes dynamics in the mountainous basin of the Mo River (Togo, West Africa)</t>
  </si>
  <si>
    <t>Journal of Geographical Sciences</t>
  </si>
  <si>
    <t>579-605</t>
  </si>
  <si>
    <t>Grigolato_etal</t>
  </si>
  <si>
    <t>Assessment of noise level and noise propagation generated by light-lift helicopters in mountain natural environments</t>
  </si>
  <si>
    <t>Seidel_etal</t>
  </si>
  <si>
    <t>Assessment of roe deer (Capreolus capreolus L.) – vehicle accident hotspots with respect to the location of ‘trees outside forest’ along roadsides</t>
  </si>
  <si>
    <t>76-80</t>
  </si>
  <si>
    <t>Pasha_etal</t>
  </si>
  <si>
    <t>Assessment of shifting cultivation fallows in Northeastern India using Landsat imageries</t>
  </si>
  <si>
    <t>Tropical Ecology</t>
  </si>
  <si>
    <t>65-75</t>
  </si>
  <si>
    <t>Pattanaik_etal</t>
  </si>
  <si>
    <t>Assessment of spatial and temporal dynamics of tropical forest cover: A case study in Malkangiri district of Orissa, India</t>
  </si>
  <si>
    <t>176-192</t>
  </si>
  <si>
    <t>Hillers_etal</t>
  </si>
  <si>
    <t>Assessment of the distribution and conservation status of the viviparous toad Nimbaphrynoides occidentalis on Monts Nimba, Guinea</t>
  </si>
  <si>
    <t>Endangered Species Research</t>
  </si>
  <si>
    <t>13-19</t>
  </si>
  <si>
    <t>Jarvis_etal</t>
  </si>
  <si>
    <t>Assessment of threats to ecosystems in South America</t>
  </si>
  <si>
    <t>180-188</t>
  </si>
  <si>
    <t>Das_etal</t>
  </si>
  <si>
    <t>Assessment of wetland ecosystem health using the pressure-state-response (PSR) model: A case study of Mursidabad District of West Bengal (India)</t>
  </si>
  <si>
    <t>Sustainability (Switzerland)</t>
  </si>
  <si>
    <t>Hu_etal</t>
  </si>
  <si>
    <t>Association between nighttime artificial light pollution and sea turtle nest density along Florida coast: A geospatial study using VIIRS remote sensing data</t>
  </si>
  <si>
    <t>Environmental Pollution</t>
  </si>
  <si>
    <t>30-42</t>
  </si>
  <si>
    <t>Mcclanahan_etal</t>
  </si>
  <si>
    <t>Associations between climate stress and coral reef diversity in the western Indian Ocean</t>
  </si>
  <si>
    <t>Global Change Biology</t>
  </si>
  <si>
    <t>2023-2032</t>
  </si>
  <si>
    <t>Trebilco_etal</t>
  </si>
  <si>
    <t>At sea movement of Macquarie Island giant petrels: Relationships with marine protected areas and Regional Fisheries Management Organisations</t>
  </si>
  <si>
    <t>2942-2958</t>
  </si>
  <si>
    <t>Phoenix_etal</t>
  </si>
  <si>
    <t>Atmospheric nitrogen deposition in world biodiversity hotspots: The need for a greater global perspective in assessing N deposition impacts</t>
  </si>
  <si>
    <t>470-476</t>
  </si>
  <si>
    <t>Manenti_etal</t>
  </si>
  <si>
    <t>Austropotamobius pallipes reduction vs. Procambarus clarkii spreading: Management implications</t>
  </si>
  <si>
    <t>586-591</t>
  </si>
  <si>
    <t>Thaxter_etal</t>
  </si>
  <si>
    <t>Avian vulnerability to wind farm collision through the year: Insights from lesser black-backed gulls (Larus fuscus) tracked from multiple breeding colonies</t>
  </si>
  <si>
    <t>2410-2422</t>
  </si>
  <si>
    <t>Simon_etal</t>
  </si>
  <si>
    <t>Bait Collecting by Subsistence and Recreational Fishers in Knysna Estuary May Impact Management and Conservation</t>
  </si>
  <si>
    <t>African Zoology</t>
  </si>
  <si>
    <t>91-103</t>
  </si>
  <si>
    <t>Winemiller_etal</t>
  </si>
  <si>
    <t>Balancing hydropower and biodiversity in the Amazon, Congo, and Mekong</t>
  </si>
  <si>
    <t>128-129</t>
  </si>
  <si>
    <t>Fonnesbeck_etal</t>
  </si>
  <si>
    <t>Bayesian hierarchichal model for evaluating the risk of vessel strikes on North Atlantic right whales in the SE United States</t>
  </si>
  <si>
    <t>87-94</t>
  </si>
  <si>
    <t>Thesis</t>
  </si>
  <si>
    <t>McClellan Catherine, M.</t>
  </si>
  <si>
    <t>Behavior, ecology, and conservation of sea turtles in the North Atlantic Ocean</t>
  </si>
  <si>
    <t>Jongsomjit_etal</t>
  </si>
  <si>
    <t>Between a rock and a hard place: the impacts of climate change and housing development on breeding birds in California</t>
  </si>
  <si>
    <t>Landscape Ecology</t>
  </si>
  <si>
    <t>187-200</t>
  </si>
  <si>
    <t>Balzotti_etal</t>
  </si>
  <si>
    <t>Beyond the single species climate envelope: A multifaceted approach to mapping climate change vulnerability</t>
  </si>
  <si>
    <t>Lyon_etal</t>
  </si>
  <si>
    <t>Biodiversity Hotspots and Visitor Flows in Oulanka National Park, Finland</t>
  </si>
  <si>
    <t>Scandinavian Journal of Hospitality and Tourism</t>
  </si>
  <si>
    <t>100-111</t>
  </si>
  <si>
    <t>Verones_etal</t>
  </si>
  <si>
    <t>Biodiversity impacts from water consumption on a global scale for use in life cycle assessment</t>
  </si>
  <si>
    <t>International Journal of Life Cycle Assessment</t>
  </si>
  <si>
    <t>1247-1256</t>
  </si>
  <si>
    <t>Dalle_etal</t>
  </si>
  <si>
    <t>Biodiversity responses to land-use and restoration in a global biodiversity hotspot: Ant communities in Brazilian Cerrado</t>
  </si>
  <si>
    <t>Austral Ecology</t>
  </si>
  <si>
    <t>313-326</t>
  </si>
  <si>
    <t>Troia and Mcmanamay</t>
  </si>
  <si>
    <t>Biogeographic classification of streams using fish community– and trait–environment relationships</t>
  </si>
  <si>
    <t>108-125</t>
  </si>
  <si>
    <t>Mcclanahan</t>
  </si>
  <si>
    <t>Biogeography versus resource management: How do they compare when prioritizing the management of coral reef fish in the south-western Indian Ocean?</t>
  </si>
  <si>
    <t>Journal of Biogeography</t>
  </si>
  <si>
    <t>2414-2426</t>
  </si>
  <si>
    <t>Biophysical and anthropogenous determinants of landscape patterns and degradation of plant communities in Mo hilly basin (Togo)</t>
  </si>
  <si>
    <t>Ecological Engineering</t>
  </si>
  <si>
    <t>132-143</t>
  </si>
  <si>
    <t>Löfvenhaft_etal</t>
  </si>
  <si>
    <t>Biotope patterns and amphibian distribution as assessment tools in urban landscape planning</t>
  </si>
  <si>
    <t>403-427</t>
  </si>
  <si>
    <t>D’amico_etal</t>
  </si>
  <si>
    <t>Bird collisions with power lines: Prioritizing species and areas by estimating potential population-level impacts</t>
  </si>
  <si>
    <t>975-982</t>
  </si>
  <si>
    <t>Munteanu_etal</t>
  </si>
  <si>
    <t>Bird conservation in the Carpathian Ecoregion in light of long-term land use trends and conservation responsibility</t>
  </si>
  <si>
    <t>Biodiversity and Conservation</t>
  </si>
  <si>
    <t>2051-2068</t>
  </si>
  <si>
    <t>Bird Species Richness in Relation to Land-Use Patch Structure and Vegetation Structure in a Forest-Agriculture Mosaic</t>
  </si>
  <si>
    <t>Ornithological Science</t>
  </si>
  <si>
    <t>135-147</t>
  </si>
  <si>
    <t>Vasapollo_etal</t>
  </si>
  <si>
    <t>Bottom trawl catch comparison in the Mediterranean Sea: Flexible Turtle Excluder Device (TED) vs traditional gear</t>
  </si>
  <si>
    <t>Gallão and Bichuette</t>
  </si>
  <si>
    <t>Brazilian obligatory subterranean fauna and threats to the hypogean environment</t>
  </si>
  <si>
    <t>ZooKeys</t>
  </si>
  <si>
    <t>Ripple_etal</t>
  </si>
  <si>
    <t>Bushmeat hunting and extinction risk to the world’s mammals</t>
  </si>
  <si>
    <t>Royal Society Open Science</t>
  </si>
  <si>
    <t>Žydelis_etal</t>
  </si>
  <si>
    <t>Bycatch in gillnet fisheries - An overlooked threat to waterbird populations</t>
  </si>
  <si>
    <t>1269-1281</t>
  </si>
  <si>
    <t>Bryce_etal</t>
  </si>
  <si>
    <t>Can niche use in red and grey squirrels offer clues for their apparent coexistence?</t>
  </si>
  <si>
    <t>875-887</t>
  </si>
  <si>
    <t>Dalu_etal</t>
  </si>
  <si>
    <t>Can Potamonautids be used as umbrella invertebrate species for conservation: Identifying opportunities and challenges related to community sustainable livelihoods</t>
  </si>
  <si>
    <t>Physics and Chemistry of the Earth</t>
  </si>
  <si>
    <t>52-58</t>
  </si>
  <si>
    <t>Canine distemper virus: An emerging disease in wild endangered Amur tigers (Panthera tigris altaica)</t>
  </si>
  <si>
    <t>mBio</t>
  </si>
  <si>
    <t>Jones Alice_etal</t>
  </si>
  <si>
    <t>Capturing expert uncertainty in spatial cumulative impact assessments</t>
  </si>
  <si>
    <t>Scientific Reports (Nature Publisher Group)</t>
  </si>
  <si>
    <t>Moullec_etal</t>
  </si>
  <si>
    <t>Capturing the big picture of Mediterranean marine biodiversity with an end-to-end model of climate and fishing impacts</t>
  </si>
  <si>
    <t>Progress in Oceanography</t>
  </si>
  <si>
    <t>Borah_etal</t>
  </si>
  <si>
    <t>Carnivores in corridors: estimating tiger occupancy in Kanha–Pench corridor, Madhya Pradesh, India</t>
  </si>
  <si>
    <t>Regional Environmental Change</t>
  </si>
  <si>
    <t>43-52</t>
  </si>
  <si>
    <t>Hermoso_etal</t>
  </si>
  <si>
    <t>Catchment zoning for freshwater conservation: Refining plans to enhance action on the ground</t>
  </si>
  <si>
    <t>940-949</t>
  </si>
  <si>
    <t>Book Section</t>
  </si>
  <si>
    <t>Paudel, P. K.</t>
  </si>
  <si>
    <t>Challenges to wildlife conservation posed by hunting in non-protected areas north of the Bardia national park</t>
  </si>
  <si>
    <t xml:space="preserve"> Himalayan Biodiversity in the Changing World</t>
  </si>
  <si>
    <t>177-195</t>
  </si>
  <si>
    <t>Mezgebu and Workineh</t>
  </si>
  <si>
    <t>Changes and drivers of afro-alpine forest ecosystem: future trajectories and management strategies in Bale eco-region, Ethiopia</t>
  </si>
  <si>
    <t>Di Marco_etal</t>
  </si>
  <si>
    <t>Changes in human footprint drive changes in species extinction risk</t>
  </si>
  <si>
    <t>Carvalho_etal</t>
  </si>
  <si>
    <t>Changes in secondary vegetation dynamics in a context of decreasing deforestation rates in Pará Brazilian Amazon</t>
  </si>
  <si>
    <t>40-49</t>
  </si>
  <si>
    <t>De Abreu_etal</t>
  </si>
  <si>
    <t>Changes in the plant community of a brazilian grassland savannah after 22 years of invasion by pinus elliottii engelm</t>
  </si>
  <si>
    <t>Plant Ecology and Diversity</t>
  </si>
  <si>
    <t>269-278</t>
  </si>
  <si>
    <t>Hedd_etal</t>
  </si>
  <si>
    <t>Characterization of seabird bycatch in eastern Canadian waters, 1998–2011, assessed from onboard fisheries observer data</t>
  </si>
  <si>
    <t>530-548</t>
  </si>
  <si>
    <t>Stewart_etal</t>
  </si>
  <si>
    <t>Characterizing fishing effort and spatial extent of coastal fisheries</t>
  </si>
  <si>
    <t>Characterizing fragmentation of the collective forests in southern China from multitemporal Landsat imagery: A case study from Kecheng district of Zhejiang province</t>
  </si>
  <si>
    <t>1026-1035</t>
  </si>
  <si>
    <t>Bruschi_etal</t>
  </si>
  <si>
    <t>Characterizing the fragmentation level of Italian's National Parks due to transportation infrastructures</t>
  </si>
  <si>
    <t>Transportation Research Part D: Transport and Environment</t>
  </si>
  <si>
    <t>18-28</t>
  </si>
  <si>
    <t>Ochoa-Ochoa_etal</t>
  </si>
  <si>
    <t>Choosing the survivors? A GIS-based triage support tool for micro-endemics: Application to data for Mexican amphibians</t>
  </si>
  <si>
    <t>2710-2718</t>
  </si>
  <si>
    <t>Rahman_etal</t>
  </si>
  <si>
    <t>Chytrid infection in asia: How much do we know and what else do we need to know?</t>
  </si>
  <si>
    <t>Herpetological Journal</t>
  </si>
  <si>
    <t>99-111</t>
  </si>
  <si>
    <t>Zimkus_etal</t>
  </si>
  <si>
    <t>Chytrid pathogen (batrachochytrium dendrobatidis) in african amphibians: A continental analysis of occurrences and modeling of its potential distribution</t>
  </si>
  <si>
    <t>Herpetologica</t>
  </si>
  <si>
    <t>201-215</t>
  </si>
  <si>
    <t>Ashcroft_etal</t>
  </si>
  <si>
    <t>Climate change at the landscape scale: predicting fine-grained spatial heterogeneity in warming and potential refugia for vegetation</t>
  </si>
  <si>
    <t>656-667</t>
  </si>
  <si>
    <t>Soroye_etal</t>
  </si>
  <si>
    <t>Climate change contributes to widespread declines among bumble bees across continents</t>
  </si>
  <si>
    <t>685-688</t>
  </si>
  <si>
    <t>Seim_etal</t>
  </si>
  <si>
    <t>Climate change increases drought stress of juniper trees in the mountains of central Asia</t>
  </si>
  <si>
    <t>Choe and Thorne</t>
  </si>
  <si>
    <t>Climate exposure of East Asian temperate forests suggests transboundary climate adaptation strategies are needed</t>
  </si>
  <si>
    <t>Climatic Change</t>
  </si>
  <si>
    <t>51-67</t>
  </si>
  <si>
    <t>Monahan and Fisichelli</t>
  </si>
  <si>
    <t>Climate exposure of US National Parks in a new era of change</t>
  </si>
  <si>
    <t>Harsch and Hillerislambers</t>
  </si>
  <si>
    <t>Climate warming and seasonal precipitation change interact to limit species distribution shifts across Western North America</t>
  </si>
  <si>
    <t>Giersch_etal</t>
  </si>
  <si>
    <t>Climate-induced range contraction of a rare alpine aquatic invertebrate</t>
  </si>
  <si>
    <t>53-65</t>
  </si>
  <si>
    <t>Kovach_etal</t>
  </si>
  <si>
    <t>Climate, invasive species and land use drive population dynamics of a cold-water specialist</t>
  </si>
  <si>
    <t>638-647</t>
  </si>
  <si>
    <t>Comte and Olden</t>
  </si>
  <si>
    <t>Climatic vulnerability of the world's freshwater and marine fishes</t>
  </si>
  <si>
    <t>Nature Climate Change</t>
  </si>
  <si>
    <t>718-722</t>
  </si>
  <si>
    <t>Tamario_etal</t>
  </si>
  <si>
    <t>Coastal river connectivity and the distribution of ascending juvenile European eel (Anguilla anguilla L.): Implications for conservation strategies regarding fish-passage solutions</t>
  </si>
  <si>
    <t>612-622</t>
  </si>
  <si>
    <t>Wasser_etal</t>
  </si>
  <si>
    <t>Combating the illegal trade in African elephant ivory with DNA forensics</t>
  </si>
  <si>
    <t>1065-1071</t>
  </si>
  <si>
    <t>Gallego-Zamorano_etal</t>
  </si>
  <si>
    <t>Combined effects of land use and hunting on distributions of tropical mammals</t>
  </si>
  <si>
    <t>Symes_etal</t>
  </si>
  <si>
    <t>Combined impacts of deforestation and wildlife trade on tropical biodiversity are severely underestimated</t>
  </si>
  <si>
    <t>Thapa_etal</t>
  </si>
  <si>
    <t>Combined land cover changes and habitat occupancy to understand corridor status of Laljhadi-Mohana wildlife corridor, Nepal</t>
  </si>
  <si>
    <t>Xofis and Poirazidis</t>
  </si>
  <si>
    <t>Combining different spatio-temporal resolution images to depict landscape dynamics and guide wildlife management</t>
  </si>
  <si>
    <t>Maiorano_etal</t>
  </si>
  <si>
    <t>Combining multi-state species distribution models, mortality estimates, and landscape connectivity to model potential species distribution for endangered species in human dominated landscapes</t>
  </si>
  <si>
    <t>19-27</t>
  </si>
  <si>
    <t>Felton Annika_etal</t>
  </si>
  <si>
    <t>Commercial harvesting of Ficus timber–An emerging threat to frugivorous wildlife and sustainable forestry</t>
  </si>
  <si>
    <t>Biological conservation</t>
  </si>
  <si>
    <t>96-100</t>
  </si>
  <si>
    <t>Chu_etal</t>
  </si>
  <si>
    <t>Comparative regional assessment of factors impacting freshwater fish biodiversity in Canada</t>
  </si>
  <si>
    <t>624-634</t>
  </si>
  <si>
    <t>Niphadkar_etal</t>
  </si>
  <si>
    <t>Comparing pixel and object-based approaches to map an understorey invasive shrub in tropical mixed forests</t>
  </si>
  <si>
    <t>Frontiers in Plant Science</t>
  </si>
  <si>
    <t>Versluijs_etal</t>
  </si>
  <si>
    <t>Comparing the effects of even-aged thinning and selective felling on boreal forest birds</t>
  </si>
  <si>
    <t>Gargan_etal</t>
  </si>
  <si>
    <t>Comparison of field- and GIS-based assessments of barriers to Atlantic salmon migration: A case study in the Nore Catchment, Republic of Ireland</t>
  </si>
  <si>
    <t>Journal of Applied Ichthyology</t>
  </si>
  <si>
    <t>SUPPL. 3</t>
  </si>
  <si>
    <t>66-72</t>
  </si>
  <si>
    <t>Pierre_etal</t>
  </si>
  <si>
    <t>Comparison of Recent Oil and Gas, Wind Energy, and Other Anthropogenic Landscape Alteration Factors in Texas Through 2014</t>
  </si>
  <si>
    <t>805-818</t>
  </si>
  <si>
    <t>W26582</t>
  </si>
  <si>
    <t>Opperman_etal</t>
  </si>
  <si>
    <t>Connected and flowing: a renewable future for rivers, climate and people</t>
  </si>
  <si>
    <t>WWF and The Nature Conservancy</t>
  </si>
  <si>
    <t>Butsic_etal</t>
  </si>
  <si>
    <t>Conservation and conflict in the Democratic Republic of Congo: The impacts of warfare, mining, and protected areas on deforestation</t>
  </si>
  <si>
    <t>266-273</t>
  </si>
  <si>
    <t>Lasky_etal</t>
  </si>
  <si>
    <t>Conservation biogeography of the US-Mexico border: A transcontinental risk assessment of barriers to animal dispersal</t>
  </si>
  <si>
    <t>673-687</t>
  </si>
  <si>
    <t>Di Minin_etal</t>
  </si>
  <si>
    <t>Conservation businesses and conservation planning in a biological diversity hotspot</t>
  </si>
  <si>
    <t>808-820</t>
  </si>
  <si>
    <t>Fuentes_etal</t>
  </si>
  <si>
    <t>Conservation hotspots for marine turtle nesting in the United States based on coastal development</t>
  </si>
  <si>
    <t>Ecological Applications</t>
  </si>
  <si>
    <t>2706-2717</t>
  </si>
  <si>
    <t>Venkataraman_etal</t>
  </si>
  <si>
    <t>Conservation of a flagship species: Prioritizing Asian Elephant (Elephas maximus) conservation units in southern India</t>
  </si>
  <si>
    <t>Current Science</t>
  </si>
  <si>
    <t>1022-1033</t>
  </si>
  <si>
    <t>Kamino_etal</t>
  </si>
  <si>
    <t>Conservation paradox: Large-scale mining waste in protected areas in two global hotspots, southeastern Brazil</t>
  </si>
  <si>
    <t>1629-1638</t>
  </si>
  <si>
    <t>Monteiro_etal</t>
  </si>
  <si>
    <t>Conservation priorities for the threatened flora of mountaintop grasslands in Brazil</t>
  </si>
  <si>
    <t>Flora: Morphology, Distribution, Functional Ecology of Plants</t>
  </si>
  <si>
    <t>234-243</t>
  </si>
  <si>
    <t>Grainger_etal</t>
  </si>
  <si>
    <t>Conservation status of Phasianidae in Southeast Asia</t>
  </si>
  <si>
    <t>60-66</t>
  </si>
  <si>
    <t>Syphard_etal</t>
  </si>
  <si>
    <t>Conservation Threats Due to Human-Caused Increases in Fire Frequency in Mediterranean-Climate Ecosystems</t>
  </si>
  <si>
    <t>758-769</t>
  </si>
  <si>
    <t>Rayan and Linkie</t>
  </si>
  <si>
    <t>Conserving tigers in Malaysia: A science-driven approach for eliciting conservation policy change</t>
  </si>
  <si>
    <t>18-26</t>
  </si>
  <si>
    <t>Wamelink_etal</t>
  </si>
  <si>
    <t>Considerable environmental bottlenecks for species listed in the Habitats and Birds Directives in the Netherlands</t>
  </si>
  <si>
    <t>43-53</t>
  </si>
  <si>
    <t>Stephens_etal</t>
  </si>
  <si>
    <t>Consistent response of bird populations to climate change on two continents</t>
  </si>
  <si>
    <t>84-87</t>
  </si>
  <si>
    <t>Kitzes_etal</t>
  </si>
  <si>
    <t>Consumption-Based Conservation Targeting: Linking Biodiversity Loss to Upstream Demand through a Global Wildlife Footprint</t>
  </si>
  <si>
    <t>531-538</t>
  </si>
  <si>
    <t>Rattner_etal</t>
  </si>
  <si>
    <t>Contaminant Exposure and Effects - Terrestrial Vertebrates database: Trends and data gaps for Atlantic coast estuaries</t>
  </si>
  <si>
    <t>131-142</t>
  </si>
  <si>
    <t>Molinario_etal</t>
  </si>
  <si>
    <t>Contextualizing Landscape-Scale Forest Cover Loss in the Democratic Republic of Congo (DRC) between 2000 and 2015</t>
  </si>
  <si>
    <t>Land</t>
  </si>
  <si>
    <t>Fauzi_etal</t>
  </si>
  <si>
    <t>Contextualizing Mangrove Forest Deforestation in Southeast Asia Using Environmental and Socio-Economic Data Products</t>
  </si>
  <si>
    <t>Forests</t>
  </si>
  <si>
    <t>Liu, Y., Cui, H. and Jin, R.</t>
  </si>
  <si>
    <t>Conversion between natural wetlands and farmland in the Tumen river basin: A multiscale geospatial analysis</t>
  </si>
  <si>
    <t>Mao_etal</t>
  </si>
  <si>
    <t>Conversions between natural wetlands and farmland in China: A multiscale geospatial analysis</t>
  </si>
  <si>
    <t>550-560</t>
  </si>
  <si>
    <t>Cumulative effects of planned industrial development and climate change on marine ecosystems</t>
  </si>
  <si>
    <t>110-116</t>
  </si>
  <si>
    <t>Micheli_etal</t>
  </si>
  <si>
    <t>Cumulative human impacts on Mediterranean and Black Sea marine ecosystems: Assessing current pressures and opportunities</t>
  </si>
  <si>
    <t>Ben Rais_etal</t>
  </si>
  <si>
    <t>Cumulative human threats on fish biodiversity components in Tunisian waters</t>
  </si>
  <si>
    <t>Mediterranean Marine Science</t>
  </si>
  <si>
    <t>190-201</t>
  </si>
  <si>
    <t>Lasram_etal</t>
  </si>
  <si>
    <t>Cumulative human threats on ish biodiversity components in Tunisian waters</t>
  </si>
  <si>
    <t>Furlan_etal</t>
  </si>
  <si>
    <t>Cumulative Impact Index for the Adriatic Sea: Accounting for interactions among climate and anthropogenic pressures</t>
  </si>
  <si>
    <t>379-397</t>
  </si>
  <si>
    <t>Flechas_etal</t>
  </si>
  <si>
    <t>Current and predicted distribution of the pathogenic fungus Batrachochytrium dendrobatidis in Colombia, a hotspot of amphibian biodiversity</t>
  </si>
  <si>
    <t>Biotropica</t>
  </si>
  <si>
    <t>685-694</t>
  </si>
  <si>
    <t>Baret_etal</t>
  </si>
  <si>
    <t>Current distribution and potential extent of the most invasive alien plant species on La Réunion (Indian Ocean, Mascarene islands)</t>
  </si>
  <si>
    <t>747-758</t>
  </si>
  <si>
    <t>Avila_etal</t>
  </si>
  <si>
    <t>Current global risks to marine mammals: Taking stock of the threats</t>
  </si>
  <si>
    <t>44-58</t>
  </si>
  <si>
    <t>Dissertation</t>
  </si>
  <si>
    <t>Binothman</t>
  </si>
  <si>
    <t>Current Status of Falcon Populations in Saudi Arabia</t>
  </si>
  <si>
    <t>Carvajal-Quintero_etal</t>
  </si>
  <si>
    <t>Damming Fragments Species’ Ranges and Heightens Extinction Risk</t>
  </si>
  <si>
    <t>708-716</t>
  </si>
  <si>
    <t>Valliere_etal</t>
  </si>
  <si>
    <t>Declines in native forb richness of an imperiled plant community across an anthropogenic nitrogen deposition gradient</t>
  </si>
  <si>
    <t>W26586</t>
  </si>
  <si>
    <t>Hogg_etal</t>
  </si>
  <si>
    <t>Deep-sea sponge grounds: Reservoirs of Biodiversity</t>
  </si>
  <si>
    <t>Foo and Numata</t>
  </si>
  <si>
    <t>Deforestation and forest fragmentation in and around Endau-Rompin National Park, Peninsular Malaysia</t>
  </si>
  <si>
    <t>Tropics</t>
  </si>
  <si>
    <t>23-37</t>
  </si>
  <si>
    <t>W26577</t>
  </si>
  <si>
    <t>Uryu_etal</t>
  </si>
  <si>
    <t>Deforestation, Forest Degradation, Biodiversity Loss and CO2 Emissions in Riau, Sumatra, Indonesia</t>
  </si>
  <si>
    <t>WWF</t>
  </si>
  <si>
    <t>Pedroni, P. M., Deffis, J. M. and Alberti Di, C.</t>
  </si>
  <si>
    <t>Delivering in sensitive environments: Incorporating biodiversity and ecosystem conservation into operations</t>
  </si>
  <si>
    <t>907-916</t>
  </si>
  <si>
    <t>Deriving spatio-temporal profiles of global forest fragmentation and disturbance patterns from the latest globcover datasets</t>
  </si>
  <si>
    <t>1865-1869</t>
  </si>
  <si>
    <t>Wu</t>
  </si>
  <si>
    <t>Detecting and Attributing the Effects of Climate Change on the Distributions of Snake Species Over the Past 50 Years</t>
  </si>
  <si>
    <t>207-219</t>
  </si>
  <si>
    <t>Morrison_etal</t>
  </si>
  <si>
    <t>Detecting vegetation change in response to confining elephants in forests using MODIS time-series and BFAST</t>
  </si>
  <si>
    <t>Remote Sensing</t>
  </si>
  <si>
    <t>Overmars_etal</t>
  </si>
  <si>
    <t>Developing a methodology for a species-based and spatially explicit indicator for biodiversity on agricultural land in the EU</t>
  </si>
  <si>
    <t>PART A</t>
  </si>
  <si>
    <t>186-198</t>
  </si>
  <si>
    <t>Walston and Hartmann</t>
  </si>
  <si>
    <t>Development of a landscape integrity model framework to support regional conservation planning</t>
  </si>
  <si>
    <t>Pasher_etal</t>
  </si>
  <si>
    <t>Development of boreal ecosystem anthropogenic disturbance layers for Canada based on 2008 to 2010 Landsat imagery</t>
  </si>
  <si>
    <t>Canadian Journal of Remote Sensing</t>
  </si>
  <si>
    <t>42-58</t>
  </si>
  <si>
    <t>Reina-Rodríguez and Soriano</t>
  </si>
  <si>
    <t>Diachronic cartography and spatial pattern assessment in coastal habitats: The case of Torredembarra (northeast Spain)</t>
  </si>
  <si>
    <t>Journal of Coastal Research</t>
  </si>
  <si>
    <t>1 SUPPL. A</t>
  </si>
  <si>
    <t>87-98</t>
  </si>
  <si>
    <t>Kraus_etal</t>
  </si>
  <si>
    <t>Diet and conservation implications of an invasive chameleon, Chamaeleo jacksonii (Squamata: Chamaeleonidae) in Hawaii</t>
  </si>
  <si>
    <t>579-593</t>
  </si>
  <si>
    <t>Genovart_etal</t>
  </si>
  <si>
    <t>Differential adult survival at close seabird colonies: The importance of spatial foraging segregation and bycatch risk during the breeding season</t>
  </si>
  <si>
    <t>1279-1290</t>
  </si>
  <si>
    <t>Sonricker_etal</t>
  </si>
  <si>
    <t>Digital Surveillance: A Novel Approach to Monitoring the Illegal Wildlife Trade</t>
  </si>
  <si>
    <t>Zafra-Calvo_etal</t>
  </si>
  <si>
    <t>Discerning the impact of human-mediated factors on biodiversity using bioclimatic envelope models and partial regression techniques</t>
  </si>
  <si>
    <t>300-309</t>
  </si>
  <si>
    <t>Rushton_etal</t>
  </si>
  <si>
    <t>Disease threats posed by alien species: The role of a poxvirus in the decline of the native red squirrel in Britain</t>
  </si>
  <si>
    <t>Epidemiology and Infection</t>
  </si>
  <si>
    <t>521-533</t>
  </si>
  <si>
    <t>Sousa_etal</t>
  </si>
  <si>
    <t>Disentangling exploitation of the intertidal grazer Phorcus sauciatus (Gastropoda: Trochidae) in an oceanic archipelago: Implications for conservation</t>
  </si>
  <si>
    <t>Coristine_etal</t>
  </si>
  <si>
    <t>Dispersal Limitation, Climate Change, and Practical Tools for Butterfly Conservation in Intensively Used Landscapes</t>
  </si>
  <si>
    <t>440-452</t>
  </si>
  <si>
    <t>Senn Helen_etal</t>
  </si>
  <si>
    <t>Distinguishing the victim from the threat: SNP?based methods reveal the extent of introgressive hybridization between wildcats and domestic cats in Scotland and inform future in situ and ex situ management options for species restoration</t>
  </si>
  <si>
    <t>Evolutionary applications</t>
  </si>
  <si>
    <t>399-414</t>
  </si>
  <si>
    <t>Mahmood_etal</t>
  </si>
  <si>
    <t>Distribution and illegal killing of the Endangered Indian pangolin Manis crassicaudata on the Potohar Plateau, Pakistan</t>
  </si>
  <si>
    <t>159-164</t>
  </si>
  <si>
    <t>Salgado_etal</t>
  </si>
  <si>
    <t>Distribution of deep-water corals, sponges, and demersal fisheries landings in Southern California, USA: Implications for conservation priorities</t>
  </si>
  <si>
    <t>Bisi_etal</t>
  </si>
  <si>
    <t>Distribution of Wildlife and Illegal Human Activities in the Lampi Marine National Park (Myanmar)</t>
  </si>
  <si>
    <t>Environmental Conservation</t>
  </si>
  <si>
    <t>163-170</t>
  </si>
  <si>
    <t>De Luna_etal</t>
  </si>
  <si>
    <t>Distribution, population density and conservation of the critically endangered brown spider monkey (Ateles hybridus) and other primates of the inter-Andean forests of Colombia</t>
  </si>
  <si>
    <t>3469-3511</t>
  </si>
  <si>
    <t>Vojar_etal</t>
  </si>
  <si>
    <t>Distribution, prevalence, and amphibian hosts of Batrachochytrium dendrobatidis in the Balkans</t>
  </si>
  <si>
    <t>Salamandra</t>
  </si>
  <si>
    <t>44-49</t>
  </si>
  <si>
    <t>Ribeiro_etal</t>
  </si>
  <si>
    <t>Disturbance or propagule pressure? Unravelling the drivers and mapping the intensity of invasion of free-ranging dogs across the Atlantic forest hotspot</t>
  </si>
  <si>
    <t>191-204</t>
  </si>
  <si>
    <t>Martinez-Gutierrez and Ruiz-Saenz</t>
  </si>
  <si>
    <t>Diversity of susceptible hosts in canine distemper virus infection: A systematic review and data synthesis</t>
  </si>
  <si>
    <t>BMC Veterinary Research</t>
  </si>
  <si>
    <t>Gaisberger_etal</t>
  </si>
  <si>
    <t>Diversity Under Threat: Connecting Genetic Diversity and Threat Mapping to Set Conservation Priorities for Juglans regia L. Populations in Central Asia</t>
  </si>
  <si>
    <t>Frontiers in Ecology and Evolution</t>
  </si>
  <si>
    <t>Feitosa_etal</t>
  </si>
  <si>
    <t>DNA-based identification reveals illegal trade of threatened shark species in a global elasmobranch conservation hotspot</t>
  </si>
  <si>
    <t>Scientific Reports</t>
  </si>
  <si>
    <t>Moran_etal</t>
  </si>
  <si>
    <t>Do amphibians and cash crops compete for scarce water? A spatial correlation analysis</t>
  </si>
  <si>
    <t>Phipps_etal</t>
  </si>
  <si>
    <t>Do Power Lines and Protected Areas Present a Catch-22 Situation for Cape Vultures (Gyps coprotheres)?</t>
  </si>
  <si>
    <t>Burivalova_etal</t>
  </si>
  <si>
    <t>Does biodiversity benefit when the logging stops? An analysis of conservation risks and opportunities in active versus inactive logging concessions in Borneo</t>
  </si>
  <si>
    <t>Carassou_etal</t>
  </si>
  <si>
    <t>Does Herbivorous Fish Protection Really Improve Coral Reef Resilience? A Case Study from New Caledonia (South Pacific)</t>
  </si>
  <si>
    <t>Girardet_etal</t>
  </si>
  <si>
    <t>Does regional landscape connectivity influence the location of roe deer roadkill hotspots?</t>
  </si>
  <si>
    <t>731-742</t>
  </si>
  <si>
    <t>Silva-Rodríguez and Sieving</t>
  </si>
  <si>
    <t>Domestic dogs shape the landscape-scale distribution of a threatened forest ungulate</t>
  </si>
  <si>
    <t>103-110</t>
  </si>
  <si>
    <t>Malik and Rai</t>
  </si>
  <si>
    <t>Drivers of land use/cover change and its impact on Pong Dam wetland</t>
  </si>
  <si>
    <t>Seabrook_etal</t>
  </si>
  <si>
    <t>Drought-driven change in wildlife distribution and numbers: a case study of koalas in south west Queensland</t>
  </si>
  <si>
    <t>Wildlife Research</t>
  </si>
  <si>
    <t>509-524</t>
  </si>
  <si>
    <t>Abrahms_etal</t>
  </si>
  <si>
    <t>Dynamic ensemble models to predict distributions and anthropogenic risk exposure for highly mobile species</t>
  </si>
  <si>
    <t>1182-1193</t>
  </si>
  <si>
    <t>Kokkonen_etal</t>
  </si>
  <si>
    <t>Dynamic mapping of nature values to support prioritization of coastal oil combating</t>
  </si>
  <si>
    <t>248-257</t>
  </si>
  <si>
    <t>Lindsey_etal</t>
  </si>
  <si>
    <t>Ecological and financial impacts of illegal bushmeat trade in Zimbabwe</t>
  </si>
  <si>
    <t>96-111</t>
  </si>
  <si>
    <t>Buckland_etal</t>
  </si>
  <si>
    <t>Ecological Effects of the Invasive Giant Madagascar Day Gecko on Endemic Mauritian Geckos: Applications of Binomial-Mixture and Species Distribution Models</t>
  </si>
  <si>
    <t>Plos One</t>
  </si>
  <si>
    <t>Wu_etal</t>
  </si>
  <si>
    <t>Ecological environment assessment for Greater Mekong Subregion based on Pressure-State-Response framework by remote sensing</t>
  </si>
  <si>
    <t>Nguyen</t>
  </si>
  <si>
    <t>Ecological Impacts of Deforestation and Forest Degradation in the Peat Swamp Forests of Northwestern Borneo</t>
  </si>
  <si>
    <t>Valliere Justin, M.</t>
  </si>
  <si>
    <t>Ecological Impacts of Nitrogen Deposition, Drought and Nonnative Plant Invasion on Coastal Sage Scrub of the Santa Monica Mountains</t>
  </si>
  <si>
    <t>Issaris_etal</t>
  </si>
  <si>
    <t>Ecological mapping and data quality assessment for the needs of ecosystem-based marine spatial management: Case study Greek Ionian Sea and the adjacent gulfs</t>
  </si>
  <si>
    <t>297-311</t>
  </si>
  <si>
    <t>Pascual-Rico_etal</t>
  </si>
  <si>
    <t>Ecological niche overlap between co-occurring native and exotic ungulates: insights for a conservation conflict</t>
  </si>
  <si>
    <t>2497-2508</t>
  </si>
  <si>
    <t>Cuevas_etal</t>
  </si>
  <si>
    <t>Ecological vulnerability of two sea turtle species in the Gulf of Mexico: An integrated spatial approach</t>
  </si>
  <si>
    <t>Kwak_etal</t>
  </si>
  <si>
    <t>Ecology and conservation of the American eel in the Caribbean region</t>
  </si>
  <si>
    <t>Fisheries Management and Ecology</t>
  </si>
  <si>
    <t>42-52</t>
  </si>
  <si>
    <t>Mozumder_etal</t>
  </si>
  <si>
    <t>Ecosystem evaluation (1989-2012) of Ramsar wetland Deepor Beel using satellite-derived indices</t>
  </si>
  <si>
    <t>7909-7927</t>
  </si>
  <si>
    <t>Fugère_etal</t>
  </si>
  <si>
    <t>Ecosystem structure and function of afrotropical streams with contrasting land use</t>
  </si>
  <si>
    <t>1498-1513</t>
  </si>
  <si>
    <t>Espinoza-Tenorio_etal</t>
  </si>
  <si>
    <t>Ecosystem-based analysis of a marine protected area where fisheries and protected species coexist</t>
  </si>
  <si>
    <t>739-750</t>
  </si>
  <si>
    <t>Xavier Da_etal</t>
  </si>
  <si>
    <t>Effectiveness of Protected Areas for biodiversity conservation: Mammal occupancy patterns in the Iguaçu National Park, Brazil</t>
  </si>
  <si>
    <t>51-62</t>
  </si>
  <si>
    <t>Effects of agriculture and topography on tropical amphibian species and communities</t>
  </si>
  <si>
    <t>1554-1564</t>
  </si>
  <si>
    <t>López-Sánchez_etal</t>
  </si>
  <si>
    <t>Effects of cattle management on oak regeneration in northern Californian Mediterranean oak woodlands</t>
  </si>
  <si>
    <t>Selman_etal</t>
  </si>
  <si>
    <t>Effects of human disturbance on the behavior and physiology of an imperiled freshwater turtle</t>
  </si>
  <si>
    <t>877-885</t>
  </si>
  <si>
    <t>Bahaa-El-Din_etal</t>
  </si>
  <si>
    <t>Effects of human land-use on Africa's only forest-dependent felid: The African golden cat Caracal aurata</t>
  </si>
  <si>
    <t>Effects of Land Use Change on Ecosystem Services in Arid Area Ecological Migration</t>
  </si>
  <si>
    <t>Chinese Geographical Science</t>
  </si>
  <si>
    <t>894-906</t>
  </si>
  <si>
    <t>Mockrin_etal</t>
  </si>
  <si>
    <t>Effects of Landscape Features on the Distribution and Sustainability of Ungulate Hunting in Northern Congo</t>
  </si>
  <si>
    <t>514-525</t>
  </si>
  <si>
    <t>Chirichella_etal</t>
  </si>
  <si>
    <t>Effects of livestock and non-native mouflon on use of high-elevation pastures by Alpine chamois</t>
  </si>
  <si>
    <t>Mammalian Biology</t>
  </si>
  <si>
    <t>344-350</t>
  </si>
  <si>
    <t>Effects of long-term coastal reclamation on suitable habitat and wintering population size of the endangered Red-crowned Crane, Grus japonensis</t>
  </si>
  <si>
    <t>Hydrobiologia</t>
  </si>
  <si>
    <t>21-29</t>
  </si>
  <si>
    <t>Theodorakis_etal</t>
  </si>
  <si>
    <t>Effects of Military activity and habitat quality on DNA damage and oxidative stress in the largest population of the Federally threatened gopher tortoise</t>
  </si>
  <si>
    <t>Ecotoxicology</t>
  </si>
  <si>
    <t>1344-1357</t>
  </si>
  <si>
    <t>Kolbe_etal</t>
  </si>
  <si>
    <t>Effects of natural and anthropogenic environmental influences on tree community composition and structure in forests along an urban-wildland gradient in southwestern Ohio</t>
  </si>
  <si>
    <t>Urban Ecosystems</t>
  </si>
  <si>
    <t>915-938</t>
  </si>
  <si>
    <t>Gibson_etal</t>
  </si>
  <si>
    <t>Effects of power lines on habitat use and demography of greater sage-grouse (Centrocercus urophasianus)</t>
  </si>
  <si>
    <t>Wildlife Monographs</t>
  </si>
  <si>
    <t>Pinto_etal</t>
  </si>
  <si>
    <t>Effects of roads on terrestrial vertebrate species in Latin America</t>
  </si>
  <si>
    <t>Environmental Impact Assessment Review</t>
  </si>
  <si>
    <t>Krawczyk_etal</t>
  </si>
  <si>
    <t>Effects of touristic development on Mediterranean island wildlife</t>
  </si>
  <si>
    <t>2719-2734</t>
  </si>
  <si>
    <t>Plumptre_etal</t>
  </si>
  <si>
    <t>Efficiently targeting resources to deter illegal activities in protected areas</t>
  </si>
  <si>
    <t>714-725</t>
  </si>
  <si>
    <t>Pereira_etal</t>
  </si>
  <si>
    <t>Electrocutions in free-living black-tufted marmosets (Callithrix penicillata) in anthropogenic environments in the Federal District and surrounding areas, Brazil</t>
  </si>
  <si>
    <t>Primates</t>
  </si>
  <si>
    <t>321-329</t>
  </si>
  <si>
    <t>Rashidi_etal</t>
  </si>
  <si>
    <t>Elephant poaching risk assessed using spatial and non-spatial Bayesian models</t>
  </si>
  <si>
    <t>Ecological Modelling</t>
  </si>
  <si>
    <t>60-68</t>
  </si>
  <si>
    <t>Dasgupta and Ghosh</t>
  </si>
  <si>
    <t>Elephant–Railway Conflict in a Biodiversity Hotspot: Determinants and Perceptions of the Conflict in Northern West Bengal, India</t>
  </si>
  <si>
    <t>81-94</t>
  </si>
  <si>
    <t>Rey_etal</t>
  </si>
  <si>
    <t>Elucidating the spatio-temporal dynamics of an emerging wildlife pathogen using approximate Bayesian computation</t>
  </si>
  <si>
    <t>Molecular Ecology</t>
  </si>
  <si>
    <t>5348-5363</t>
  </si>
  <si>
    <t>Buma_etal</t>
  </si>
  <si>
    <t>Emerging climate-driven disturbance processes: widespread mortality associated with snow-to-rain transitions across 10 degrees of latitude and half the range of a climate-threatened conifer</t>
  </si>
  <si>
    <t>2903-2914</t>
  </si>
  <si>
    <t>Sigaud_etal</t>
  </si>
  <si>
    <t>Emerging conflict between conservation programmes: when a threatened vertebrate facilitates the dispersal of exotic species in a rare plant community</t>
  </si>
  <si>
    <t>Animal Conservation</t>
  </si>
  <si>
    <t>Negret_etal</t>
  </si>
  <si>
    <t>Emerging evidence that armed conflict and coca cultivation influence deforestation patterns</t>
  </si>
  <si>
    <t>Koen_etal</t>
  </si>
  <si>
    <t>Emerging threat of the 21st century lightscape to global biodiversity</t>
  </si>
  <si>
    <t>2315-2324</t>
  </si>
  <si>
    <t>Songer Melissa, A.</t>
  </si>
  <si>
    <t>Endangered dry deciduous forests of Upper Myanmar (Burma): A multi-scale approach for research and conservation</t>
  </si>
  <si>
    <t>Mcclintock_etal</t>
  </si>
  <si>
    <t>Endangered Florida panther population size determined from public reports of motor vehicle collision mortalities</t>
  </si>
  <si>
    <t>893-901</t>
  </si>
  <si>
    <t>Lattuada_etal</t>
  </si>
  <si>
    <t>Endemic Caspian Sea mollusks in hotspot and non-hotspot areas differentially affected by anthropogenic pressures</t>
  </si>
  <si>
    <t>Journal of Great Lakes Research</t>
  </si>
  <si>
    <t>Cadima_etal</t>
  </si>
  <si>
    <t>Endemic wild potato (Solanum spp.) biodiversity status in Bolivia: Reasons for conservation concerns</t>
  </si>
  <si>
    <t>113-131</t>
  </si>
  <si>
    <t>Baynard_etal</t>
  </si>
  <si>
    <t>Energy Development in Colorado’s Pawnee National Grasslands: Mapping and Measuring the Disturbance Footprint of Renewables and Non-Renewables</t>
  </si>
  <si>
    <t>995-1016</t>
  </si>
  <si>
    <t>Martinuzzi_etal</t>
  </si>
  <si>
    <t>Enhancing biodiversity conservation in existing land-use plans with widely available datasets and spatial analysis techniques</t>
  </si>
  <si>
    <t>252-260</t>
  </si>
  <si>
    <t>Flory_etal</t>
  </si>
  <si>
    <t>Environmental conditions associated with bat white-nose syndrome mortality in the north-eastern United States</t>
  </si>
  <si>
    <t>680-689</t>
  </si>
  <si>
    <t>Balasingham_etal</t>
  </si>
  <si>
    <t>Environmental DNA detection of rare and invasive fish species in two Great Lakes tributaries</t>
  </si>
  <si>
    <t>112-127</t>
  </si>
  <si>
    <t>Van_etal</t>
  </si>
  <si>
    <t>Environmental gap analysis to prioritize conservation efforts in eastern Africa</t>
  </si>
  <si>
    <t>Dignan, S. P., Bloor, I. S. M., Murray, L. G. and Kaiser, M. J.</t>
  </si>
  <si>
    <t>Environmental impacts of demersal otter trawls targeting queen scallops (Aequipecten opercularis) in the Isle of Man territorial sea</t>
  </si>
  <si>
    <t>Gillen and Kiviat</t>
  </si>
  <si>
    <t>Environmental reviews and case studies: Hydraulic fracturing threats to species with restricted geographic ranges in the Eastern United States</t>
  </si>
  <si>
    <t>Environmental Practice</t>
  </si>
  <si>
    <t>320-331</t>
  </si>
  <si>
    <t>Zomer_etal</t>
  </si>
  <si>
    <t>Environmental stratification to model climate change impacts on biodiversity and rubber production in Xishuangbanna, Yunnan, China</t>
  </si>
  <si>
    <t>264-273</t>
  </si>
  <si>
    <t>Mcclanahan and Muthiga</t>
  </si>
  <si>
    <t>Environmental variability indicates a climate-adaptive center under threat in northern Mozambique coral reefs</t>
  </si>
  <si>
    <t>Mutnale_etal</t>
  </si>
  <si>
    <t>Enzootic frog pathogen Batrachochytrium dendrobatidis in Asian tropics reveals high ITS haplotype diversity and low prevalence</t>
  </si>
  <si>
    <t>Meentemeyer_etal</t>
  </si>
  <si>
    <t>Epidemiological modeling of invasion in heterogeneous landscapes: Spread of sudden oak death in California (1990-2030)</t>
  </si>
  <si>
    <t>Stroud_etal</t>
  </si>
  <si>
    <t>Establishment of Anolis sagrei on Bermuda represents a novel ecological threat to Critically Endangered Bermuda skinks (Plestiodon longirostris)</t>
  </si>
  <si>
    <t>1723-1731</t>
  </si>
  <si>
    <t>Kitzes and Shirley</t>
  </si>
  <si>
    <t>Estimating biodiversity impacts without field surveys: A case study in northern Borneo</t>
  </si>
  <si>
    <t>110-119</t>
  </si>
  <si>
    <t>Hogan_etal</t>
  </si>
  <si>
    <t>Estimating the cumulative ecological effect of local scale landscape changes in South Florida</t>
  </si>
  <si>
    <t>502-515</t>
  </si>
  <si>
    <t>Brown and Hamilton</t>
  </si>
  <si>
    <t>Estimating the footprint of pollution on coral reefs with models of species turnover</t>
  </si>
  <si>
    <t>949-958</t>
  </si>
  <si>
    <t>Chytry_etal</t>
  </si>
  <si>
    <t>European map of alien plant invasions based on the quantitative assessment across habitats</t>
  </si>
  <si>
    <t>98-107</t>
  </si>
  <si>
    <t>Evaluating efficacy of fence markers in reducing greater sage-grouse collisions with fencing</t>
  </si>
  <si>
    <t>70-83</t>
  </si>
  <si>
    <t>Gallardo and Aldridge</t>
  </si>
  <si>
    <t>Evaluating the combined threat of climate change and biological invasions on endangered species</t>
  </si>
  <si>
    <t>225-233</t>
  </si>
  <si>
    <t>Handley_etal</t>
  </si>
  <si>
    <t>Evaluating the effectiveness of a large multi-use MPA in protecting Key Biodiversity Areas for marine predators</t>
  </si>
  <si>
    <t>715-729</t>
  </si>
  <si>
    <t>Hull_etal</t>
  </si>
  <si>
    <t>Evaluating the efficacy of zoning designations for protected area management</t>
  </si>
  <si>
    <t>3028-3037</t>
  </si>
  <si>
    <t>Evaluating the influence of road networks on landscape and regional ecological risk-A case study in Lancang River Valley of Southwest China</t>
  </si>
  <si>
    <t>91-99</t>
  </si>
  <si>
    <t>Metzger_etal</t>
  </si>
  <si>
    <t>Evaluating the protection of wildlife in parks: The case of African buffalo in Serengeti</t>
  </si>
  <si>
    <t>3431-3444</t>
  </si>
  <si>
    <t>Loveridge_etal</t>
  </si>
  <si>
    <t>Evaluating the spatial intensity and demographic impacts of wire-snare bush-meat poaching on large carnivores</t>
  </si>
  <si>
    <t>Markham and Sangermano</t>
  </si>
  <si>
    <t>Evaluating Wildlife Vulnerability to Mercury Pollution From Artisanal and Small-Scale Gold Mining in Madre de Dios, Peru</t>
  </si>
  <si>
    <t>Mohammadi and Kaboli</t>
  </si>
  <si>
    <t>Evaluating wildlife-vehicle collision hotspots using kernel-based estimation: A focus on the endangered Asiatic cheetah in central Iran</t>
  </si>
  <si>
    <t>Human-Wildlife Interactions</t>
  </si>
  <si>
    <t>103-109</t>
  </si>
  <si>
    <t>Zhang_etal</t>
  </si>
  <si>
    <t>Evaluation of habitat fragmentation of giant panda (Ailuropoda melanoleuca) on the north slopes of Daxiangling Mountains, Sichuan province, China</t>
  </si>
  <si>
    <t>Animal Biology</t>
  </si>
  <si>
    <t>485-500</t>
  </si>
  <si>
    <t>Penney and Guinotte</t>
  </si>
  <si>
    <t>Evaluation of New Zealand's high-seas bottom trawl closures using predictive habitat models and quantitative risk assessment</t>
  </si>
  <si>
    <t>O’leary_etal</t>
  </si>
  <si>
    <t>Evidence gaps and biodiversity threats facing the marine environment of the United Kingdom’s Overseas Territories</t>
  </si>
  <si>
    <t>363-383</t>
  </si>
  <si>
    <t>Estoque and Murayama</t>
  </si>
  <si>
    <t>Examining the potential impact of land use/cover changes on the ecosystem services of Baguio city, the Philippines: A scenario-based analysis</t>
  </si>
  <si>
    <t>316-326</t>
  </si>
  <si>
    <t>Rowden_etal</t>
  </si>
  <si>
    <t>Examining the utility of a decision-support tool to develop spatial management options for the protection of vulnerable marine ecosystems on the high seas around New Zealand</t>
  </si>
  <si>
    <t>Waltham and Sheaves</t>
  </si>
  <si>
    <t>Expanding coastal urban and industrial seascape in the Great Barrier Reef World Heritage Area: Critical need for coordinated planning and policy</t>
  </si>
  <si>
    <t>78-84</t>
  </si>
  <si>
    <t>Spitzen-Van Der_etal</t>
  </si>
  <si>
    <t>Expanding distribution of lethal amphibian fungus Batrachochytrium salamandrivorans in Europe</t>
  </si>
  <si>
    <t>Emerging Infectious Diseases</t>
  </si>
  <si>
    <t>1286-1288</t>
  </si>
  <si>
    <t>Andrade-Díaz_etal</t>
  </si>
  <si>
    <t>Expansion of the agricultural frontier in the largest South American Dry Forest: Identifying priority conservation areas for snakes before everything is lost</t>
  </si>
  <si>
    <t>Bezeng_etal</t>
  </si>
  <si>
    <t>Expected spatial patterns of alien woody plants in South Africa’s protected areas under current scenario of climate change</t>
  </si>
  <si>
    <t>Swan_etal</t>
  </si>
  <si>
    <t>Expert elicitation as a method for exploring illegal harvest and trade of wild meat over large spatial scales</t>
  </si>
  <si>
    <t>298-304</t>
  </si>
  <si>
    <t>Vimal_etal</t>
  </si>
  <si>
    <t>Exploring spatial patterns of vulnerability for diverse biodiversity descriptors in regional conservation planning</t>
  </si>
  <si>
    <t>Jalali_etal</t>
  </si>
  <si>
    <t>Exploring spatiotemporal trends in commercial fishing effort of an abalone fishing zone: A GIS-based hotspot model</t>
  </si>
  <si>
    <t>Jensen_etal</t>
  </si>
  <si>
    <t>Exploring the international trade in African snakes not listed on CITES: highlighting the role of the internet and social media</t>
  </si>
  <si>
    <t>Petrozzi_etal</t>
  </si>
  <si>
    <t>Exploring the main threats to the threatened African spurred tortoise Centrochelys sulcata in the West African Sahel</t>
  </si>
  <si>
    <t>544-551</t>
  </si>
  <si>
    <t>Yu_etal</t>
  </si>
  <si>
    <t>Exploring variability in landscape ecological risk and quantifying its driving factors in the amu darya delta</t>
  </si>
  <si>
    <t>International Journal of Environmental Research and Public Health</t>
  </si>
  <si>
    <t>Bradley_etal</t>
  </si>
  <si>
    <t>Exposure and potential effects of pesticides and pharmaceuticals in protected streams of the US National park Service southeast region</t>
  </si>
  <si>
    <t>Araújo_etal</t>
  </si>
  <si>
    <t>Exposure of European biodiversity to changes in human-induced pressures</t>
  </si>
  <si>
    <t>Environmental Science and Policy</t>
  </si>
  <si>
    <t>38-45</t>
  </si>
  <si>
    <t>Dulvy_etal</t>
  </si>
  <si>
    <t>Extinction risk and conservation of the world's sharks and rays</t>
  </si>
  <si>
    <t>eLife</t>
  </si>
  <si>
    <t>Ahmadi_etal</t>
  </si>
  <si>
    <t>Extinction risks of a Mediterranean neo-endemism complex of mountain vipers triggered by climate change</t>
  </si>
  <si>
    <t>Sanchez-Mercado_etal</t>
  </si>
  <si>
    <t>Factors affecting poaching risk to Vulnerable Andean bears Tremarctos ornatus in the Cordillera de Merida, Venezuela: space, parks and people</t>
  </si>
  <si>
    <t>Oryx</t>
  </si>
  <si>
    <t>437-447</t>
  </si>
  <si>
    <t>Mirrasooli_etal</t>
  </si>
  <si>
    <t>Factors associated with illegal fishing and fisher attitudes toward sturgeon conservation in the southern Caspian Sea</t>
  </si>
  <si>
    <t>107-115</t>
  </si>
  <si>
    <t>Dimitrakopoulos_etal</t>
  </si>
  <si>
    <t>Factors shaping alien plant species richness spatial patterns across Natura 2000 Special Areas of Conservation of Greece</t>
  </si>
  <si>
    <t>601-602</t>
  </si>
  <si>
    <t>461-468</t>
  </si>
  <si>
    <t>Silcock_etal</t>
  </si>
  <si>
    <t>Feral fuchsia eating: Long-term decline of a palatable shrub in grazed rangelands</t>
  </si>
  <si>
    <t>Journal of Arid Environments</t>
  </si>
  <si>
    <t>Jones and Power</t>
  </si>
  <si>
    <t>Field-scale evaluation of effects of nitrogen deposition on the functioning of heathland ecosystems</t>
  </si>
  <si>
    <t>Journal of Ecology</t>
  </si>
  <si>
    <t>331-342</t>
  </si>
  <si>
    <t>Songhurst_etal</t>
  </si>
  <si>
    <t>Finding pathways to human-elephant coexistence: a risky business</t>
  </si>
  <si>
    <t>713-720</t>
  </si>
  <si>
    <t>Fine-scale cartography of human impacts along French Mediterranean coasts: A relevant map for the management of marine ecosystems</t>
  </si>
  <si>
    <t>Heinrich_etal</t>
  </si>
  <si>
    <t>Fine-scale habitat partitioning of Chilean and Peale's dolphins and their overlap with aquaculture</t>
  </si>
  <si>
    <t>S1</t>
  </si>
  <si>
    <t>212-226</t>
  </si>
  <si>
    <t>Leprieur_etal</t>
  </si>
  <si>
    <t>Fish invasions in the world's river systems: When natural processes are blurred by human activities</t>
  </si>
  <si>
    <t>PLoS Biology</t>
  </si>
  <si>
    <t>0404-0410</t>
  </si>
  <si>
    <t>W26590</t>
  </si>
  <si>
    <t>Ratsimbazafy_etal</t>
  </si>
  <si>
    <t>Fishing site mapping using local knowledge provides accurate and satisfactory results: case study of octopus fisheries in Madagascar</t>
  </si>
  <si>
    <t>Western Indian Ocean Journal of Marine Science</t>
  </si>
  <si>
    <t>Peck_etal</t>
  </si>
  <si>
    <t>Focusing Conservation Efforts for the Critically Endangered Brown-headed Spider Monkey (Ateles fusciceps) Using Remote Sensing, Modeling, and Playback Survey Methods</t>
  </si>
  <si>
    <t>134-148</t>
  </si>
  <si>
    <t>Bozkaya_etal</t>
  </si>
  <si>
    <t>Forecasting land-cover growth using remotely sensed data: a case study of the Igneada protection area in Turkey</t>
  </si>
  <si>
    <t>Lohse_etal</t>
  </si>
  <si>
    <t>Forecasting relative impacts of land use on anadromous fish habitat to guide conservation planning</t>
  </si>
  <si>
    <t>467-482</t>
  </si>
  <si>
    <t>Forest browning trends in response to drought in a highly threatened mediterranean landscape of South America</t>
  </si>
  <si>
    <t>W26580</t>
  </si>
  <si>
    <t>Wwf</t>
  </si>
  <si>
    <t>Forest Degradation in the Core Zone of the Monarch Butterfly Biosphere Reserve 2015-2016</t>
  </si>
  <si>
    <t>WWF-Telmex-Telcel Alliance</t>
  </si>
  <si>
    <t>Wakeel_etal</t>
  </si>
  <si>
    <t>Forest management and land use/cover changes in a typical micro watershed in the mid elevation zone of Central Himalaya, India</t>
  </si>
  <si>
    <t>229-242</t>
  </si>
  <si>
    <t>Dávalos_etal</t>
  </si>
  <si>
    <t>Forests and drugs: Coca-driven deforestation in tropical biodiversity hotspots</t>
  </si>
  <si>
    <t>Environmental Science and Technology</t>
  </si>
  <si>
    <t>1219-1277</t>
  </si>
  <si>
    <t>Álvarez</t>
  </si>
  <si>
    <t>Forests in the time of violence: Conservation implications of the colombian war</t>
  </si>
  <si>
    <t>Journal of Sustainable Forestry</t>
  </si>
  <si>
    <t>47-68</t>
  </si>
  <si>
    <t>Hierink_etal</t>
  </si>
  <si>
    <t>Forty-four years of global trade in CITES-listed snakes: Trends and implications for conservation and public health</t>
  </si>
  <si>
    <t>Callan_etal</t>
  </si>
  <si>
    <t>Free-roaming dogs limit habitat use of giant pandas in nature reserves</t>
  </si>
  <si>
    <t>Jézéquel_etal</t>
  </si>
  <si>
    <t>Freshwater fish diversity hotspots for conservation priorities in the Amazon Basin</t>
  </si>
  <si>
    <t>956-965</t>
  </si>
  <si>
    <t>He_etal</t>
  </si>
  <si>
    <t>Freshwater megafauna diversity: Patterns, status and threats</t>
  </si>
  <si>
    <t>1395-1404</t>
  </si>
  <si>
    <t>From endogenous to exogenous pattern formation: Invasive plant species changes the spatial distribution of a native ant</t>
  </si>
  <si>
    <t>2250-2261</t>
  </si>
  <si>
    <t>Neumann_etal</t>
  </si>
  <si>
    <t>Full-coverage spatial distribution of epibenthic communities in the south-eastern North Sea in relation to habitat characteristics and fishing effort</t>
  </si>
  <si>
    <t>Lee and Jetz</t>
  </si>
  <si>
    <t>Future battlegrounds for conservation under global change</t>
  </si>
  <si>
    <t>Proceedings of the Royal Society B: Biological Sciences</t>
  </si>
  <si>
    <t>1261-1270</t>
  </si>
  <si>
    <t>Hajiahmadi and Amanollahi</t>
  </si>
  <si>
    <t>Fuzzy risk assessment modelling of wild animal life in Bijar protected area</t>
  </si>
  <si>
    <t>49-60</t>
  </si>
  <si>
    <t>Muhlfeld_etal</t>
  </si>
  <si>
    <t>Genetic Status and Conservation of Westslope Cutthroat Trout in Glacier National Park</t>
  </si>
  <si>
    <t>Transactions of the American Fisheries Society</t>
  </si>
  <si>
    <t>1093-1109</t>
  </si>
  <si>
    <t>Peterson_etal</t>
  </si>
  <si>
    <t>Genetically engineered plants, endangered species, and risk: A temporal and spatial exposure assessment for karner blue butterfly larvae and Bt maize pollen</t>
  </si>
  <si>
    <t>Risk Analysis</t>
  </si>
  <si>
    <t>845-858</t>
  </si>
  <si>
    <t>Tingley_etal</t>
  </si>
  <si>
    <t>Geographic and taxonomic patterns of extinction risk in Australian squamates</t>
  </si>
  <si>
    <t>Zampiglia_etal</t>
  </si>
  <si>
    <t>Geographic distribution of the chytrid pathogen Batrachochytrium dendrobatidis among mountain amphibians along the Italian peninsula</t>
  </si>
  <si>
    <t>Diseases of Aquatic Organisms</t>
  </si>
  <si>
    <t>61-68</t>
  </si>
  <si>
    <t>Lucifora_etal</t>
  </si>
  <si>
    <t>Geographic distribution of the short-tailed river stingray (Potamotrygon brachyura): Assessing habitat loss and fishing as threats to the world's largest obligate freshwater elasmobranch</t>
  </si>
  <si>
    <t>Marine and Freshwater Research</t>
  </si>
  <si>
    <t>1463-1478</t>
  </si>
  <si>
    <t>Young_etal</t>
  </si>
  <si>
    <t>Geographic profiling to assess the risk of rare plant poaching in natural areas</t>
  </si>
  <si>
    <t>577-587</t>
  </si>
  <si>
    <t>Román-Palacios and Valencia-Zuleta</t>
  </si>
  <si>
    <t>Geographical context of forgotten amphibians: Colombian “Data Deficient species” sensu IUCN</t>
  </si>
  <si>
    <t>Revista de Biologia Tropical</t>
  </si>
  <si>
    <t>1272-1281</t>
  </si>
  <si>
    <t>Clavero_etal</t>
  </si>
  <si>
    <t>Geographical linkages between threats and imperilment in freshwater fish in the Mediterranean Basin</t>
  </si>
  <si>
    <t>744-754</t>
  </si>
  <si>
    <t>Francesco_etal</t>
  </si>
  <si>
    <t>Geographical Relationship between Ungulates, Human Pressure and Territory</t>
  </si>
  <si>
    <t>Applied Spatial Analysis and Policy</t>
  </si>
  <si>
    <t>847-870</t>
  </si>
  <si>
    <t>Al-Nasrawi_etal</t>
  </si>
  <si>
    <t>Geoinformatics vulnerability predictions of coastal ecosystems to sea-level rise in Southeastern Australia</t>
  </si>
  <si>
    <t>Geomatics, Natural Hazards and Risk</t>
  </si>
  <si>
    <t>645-661</t>
  </si>
  <si>
    <t>Ramachandra_etal</t>
  </si>
  <si>
    <t>Geospatial analysis of forest fragmentation in Uttara Kannada District, India</t>
  </si>
  <si>
    <t>Forest Ecosystems</t>
  </si>
  <si>
    <t>Singh_etal</t>
  </si>
  <si>
    <t>Geospatial approach for tiger habitat evaluation and distribution in Corbett Tiger reserve, India</t>
  </si>
  <si>
    <t>Journal of the Indian Society of Remote Sensing</t>
  </si>
  <si>
    <t>573-585</t>
  </si>
  <si>
    <t>Rashid_etal</t>
  </si>
  <si>
    <t>Geospatial modelling approach for identifying disturbance regimes and biodiversity rich areas in North Western Himalayas, India</t>
  </si>
  <si>
    <t>2537-2566</t>
  </si>
  <si>
    <t>Dong_etal</t>
  </si>
  <si>
    <t>GIS assessment of the risk of gene flow from Brassica napus to its wild relatives in China</t>
  </si>
  <si>
    <t>Schuyler_etal</t>
  </si>
  <si>
    <t>Global Analysis of Anthropogenic Debris Ingestion by Sea Turtles</t>
  </si>
  <si>
    <t>129-139</t>
  </si>
  <si>
    <t>Jenkins_etal</t>
  </si>
  <si>
    <t>Global and regional priorities for marine biodiversity protection</t>
  </si>
  <si>
    <t>333-339</t>
  </si>
  <si>
    <t>Venegas-Li_etal</t>
  </si>
  <si>
    <t>Global assessment of marine biodiversity potentially threatened by offshore hydrocarbon activities</t>
  </si>
  <si>
    <t>2009-2020</t>
  </si>
  <si>
    <t>Wallace_etal</t>
  </si>
  <si>
    <t>Global conservation priorities for Marine turtles</t>
  </si>
  <si>
    <t>Bass_etal</t>
  </si>
  <si>
    <t>Global conservation significance of Ecuador's Yasuní National Park</t>
  </si>
  <si>
    <t>Goldberg_etal</t>
  </si>
  <si>
    <t>Global declines in human-driven mangrove loss</t>
  </si>
  <si>
    <t>Alvarez-Berrios and Mitchell</t>
  </si>
  <si>
    <t>Global demand for gold is another threat for tropical forests</t>
  </si>
  <si>
    <t>Murguía_etal</t>
  </si>
  <si>
    <t>Global direct pressures on biodiversity by large-scale metal mining: Spatial distribution and implications for conservation</t>
  </si>
  <si>
    <t>409-420</t>
  </si>
  <si>
    <t>Ceia-Hasse_etal</t>
  </si>
  <si>
    <t>Global exposure of carnivores to roads</t>
  </si>
  <si>
    <t>592-600</t>
  </si>
  <si>
    <t>Rija_etal</t>
  </si>
  <si>
    <t>Global extent and drivers of mammal population declines in protected areas under illegal hunting pressure</t>
  </si>
  <si>
    <t>Bellard_etal</t>
  </si>
  <si>
    <t>Global patterns in threats to vertebrates by biological invasions</t>
  </si>
  <si>
    <t>Kehoe_etal</t>
  </si>
  <si>
    <t>Global patterns of agricultural land-use intensity and vertebrate diversity</t>
  </si>
  <si>
    <t>1308-1318</t>
  </si>
  <si>
    <t>Kamp_etal</t>
  </si>
  <si>
    <t>Global population collapse in a superabundant migratory bird and illegal trapping in China</t>
  </si>
  <si>
    <t>1684-1694</t>
  </si>
  <si>
    <t>Parsons_etal</t>
  </si>
  <si>
    <t>Global positioning system data-loggers: A tool to quantify fine-scale movement of Domestic animals to evaluate potential for zoonotic transmission to an endangered wildlife population</t>
  </si>
  <si>
    <t>Gumbs_etal</t>
  </si>
  <si>
    <t>Global priorities for conservation of reptilian phylogenetic diversity in the face of human impacts</t>
  </si>
  <si>
    <t>Global priority areas for incorporating land-sea connections in marine conservation</t>
  </si>
  <si>
    <t>189-196</t>
  </si>
  <si>
    <t>Queiroz_etal</t>
  </si>
  <si>
    <t>Global spatial risk assessment of sharks under the footprint of fisheries</t>
  </si>
  <si>
    <t>Nature</t>
  </si>
  <si>
    <t>461-466</t>
  </si>
  <si>
    <t>Masocha and Dube</t>
  </si>
  <si>
    <t>Global terrestrial biomes at risk of cacti invasion identified for four species using consensual modelling</t>
  </si>
  <si>
    <t>77-86</t>
  </si>
  <si>
    <t>Vörösmarty_etal</t>
  </si>
  <si>
    <t>Global threats to human water security and river biodiversity</t>
  </si>
  <si>
    <t>555-561</t>
  </si>
  <si>
    <t>Vergara-Tabares_etal</t>
  </si>
  <si>
    <t>Global trends of habitat destruction and consequences for parrot conservation</t>
  </si>
  <si>
    <t>4251-4262</t>
  </si>
  <si>
    <t>Khaliq_etal</t>
  </si>
  <si>
    <t>Global variation in thermal tolerances and vulnerability of endotherms to climate change</t>
  </si>
  <si>
    <t>Almodóvar_etal</t>
  </si>
  <si>
    <t>Global warming threatens the persistence of Mediterranean brown trout</t>
  </si>
  <si>
    <t>1549-1560</t>
  </si>
  <si>
    <t>Walentowitz_etal</t>
  </si>
  <si>
    <t>Graminoid invasion in an insular endemism hotspot and its protected areas</t>
  </si>
  <si>
    <t>Diversity</t>
  </si>
  <si>
    <t>W26593</t>
  </si>
  <si>
    <t>Cinner_etal</t>
  </si>
  <si>
    <t>Gravity of human impacts mediates coral reef conservation gains</t>
  </si>
  <si>
    <t>Proceedings of the National Academy of Sciences</t>
  </si>
  <si>
    <t>E6116-E6125</t>
  </si>
  <si>
    <t>Kirk_etal</t>
  </si>
  <si>
    <t>Grazing effects on woody and herbaceous plant biodiversity on a limestone mountain in northern Tunisia</t>
  </si>
  <si>
    <t>Proctor_etal</t>
  </si>
  <si>
    <t>Grizzly bear connectivity mapping in the Canada-United States trans-border region</t>
  </si>
  <si>
    <t>544-558</t>
  </si>
  <si>
    <t>Santora_etal</t>
  </si>
  <si>
    <t>Habitat compression and ecosystem shifts as potential links between marine heatwave and record whale entanglements</t>
  </si>
  <si>
    <t>Romero-Muñoz_etal</t>
  </si>
  <si>
    <t>Habitat loss and overhunting synergistically drive the extirpation of jaguars from the Gran Chaco</t>
  </si>
  <si>
    <t>176-190</t>
  </si>
  <si>
    <t>Wyatt_etal</t>
  </si>
  <si>
    <t>Habitat risk assessment for regional ocean planning in the U.S. Northeast and Mid-Atlantic</t>
  </si>
  <si>
    <t>Gomez_etal</t>
  </si>
  <si>
    <t>Habitat suitability and anthropogenic correlates of Neotropical river otter (Lontra longicaudis) distribution</t>
  </si>
  <si>
    <t>Journal of Mammalogy</t>
  </si>
  <si>
    <t>824-833</t>
  </si>
  <si>
    <t>Rimal_etal</t>
  </si>
  <si>
    <t>Habitat suitability and threat analysis of Greater One-horned Rhinoceros Rhinoceros unicornis Linnaeus, 1758 (Mammalia: Perissodactyla: Rhinocerotidae) in Rautahat District, Nepal</t>
  </si>
  <si>
    <t>Journal of Threatened Taxa</t>
  </si>
  <si>
    <t>11999-12007</t>
  </si>
  <si>
    <t>Fabrizio_etal</t>
  </si>
  <si>
    <t>Habitat suitability vs landscape connectivity determining roadkill risk at a regional scale: a case study on European badger (Meles meles)</t>
  </si>
  <si>
    <t>Ropert-Coudert_etal</t>
  </si>
  <si>
    <t>Happy feet in a hostile world? The future of penguins depends on proactive management of current and expected threats</t>
  </si>
  <si>
    <t>Frontiers in Marine Science</t>
  </si>
  <si>
    <t>May</t>
  </si>
  <si>
    <t>Schwartz_etal</t>
  </si>
  <si>
    <t>Hazards affecting grizzly bear survival in the greater yellowstone ecosystem</t>
  </si>
  <si>
    <t>654-667</t>
  </si>
  <si>
    <t>Hazards of wind turbines on avifauna - A preliminary appraisal within the Indian context</t>
  </si>
  <si>
    <t>15414-15425</t>
  </si>
  <si>
    <t>Macnearney_etal</t>
  </si>
  <si>
    <t>Heading for the hills? Evaluating spatial distribution of woodland caribou in response to a growing anthropogenic disturbance footprint</t>
  </si>
  <si>
    <t>Ecology and Evolution</t>
  </si>
  <si>
    <t>6484-6509</t>
  </si>
  <si>
    <t>Burton_etal</t>
  </si>
  <si>
    <t>Hierarchical multi-species modeling of carnivore responses to hunting, habitat and prey in a West African protected area</t>
  </si>
  <si>
    <t>Malinowski</t>
  </si>
  <si>
    <t>High mercury concentrations in Atlantic Goliath Grouper: Spatial analysis of a vulnerable species</t>
  </si>
  <si>
    <t>81-91</t>
  </si>
  <si>
    <t>Pertierra_etal</t>
  </si>
  <si>
    <t>High resolution spatial mapping of human footprint across antarctica and its implications for the strategic conservation of avifauna</t>
  </si>
  <si>
    <t>High roadkill rates in the Dong Phayayen-Khao Yai World Heritage Site: conservation implications of a rising threat to wildlife</t>
  </si>
  <si>
    <t>466-478</t>
  </si>
  <si>
    <t>Kumagai_etal</t>
  </si>
  <si>
    <t>High-resolution modeling of thermal thresholds and environmental influences on coral bleaching for local and regional reef management</t>
  </si>
  <si>
    <t>Clavero and García-Berthou</t>
  </si>
  <si>
    <t>Homogenization dynamics and introduction routes of invasive freshwater fish in the Iberian Peninsula</t>
  </si>
  <si>
    <t>2313-2324</t>
  </si>
  <si>
    <t>Böhm_etal</t>
  </si>
  <si>
    <t>Hot and bothered: Using trait-based approaches to assess climate change vulnerability in reptiles</t>
  </si>
  <si>
    <t>32-41</t>
  </si>
  <si>
    <t>Allan_etal</t>
  </si>
  <si>
    <t>Hotspots of human impact on threatened terrestrial vertebrates</t>
  </si>
  <si>
    <t>Patino and Estupinan-Suarez</t>
  </si>
  <si>
    <t>Hotspots of Wetland Area Loss in Colombia</t>
  </si>
  <si>
    <t>935-943</t>
  </si>
  <si>
    <t>Peregrym_etal</t>
  </si>
  <si>
    <t>How are the Mediterranean islands polluted by artificial light at night?</t>
  </si>
  <si>
    <t>Fernandes_etal</t>
  </si>
  <si>
    <t>How does the cumulative impacts approach support Maritime Spatial Planning?</t>
  </si>
  <si>
    <t>189-202</t>
  </si>
  <si>
    <t>Woinarski_etal</t>
  </si>
  <si>
    <t>How many reptiles are killed by cats in Australia?</t>
  </si>
  <si>
    <t>247-266</t>
  </si>
  <si>
    <t>Buckley_etal</t>
  </si>
  <si>
    <t>How pristine are China's parks?</t>
  </si>
  <si>
    <t>NOV</t>
  </si>
  <si>
    <t>Watson_etal</t>
  </si>
  <si>
    <t>Human encroachment into protected area networks in Zambia: implications for large carnivore conservation</t>
  </si>
  <si>
    <t>415-429</t>
  </si>
  <si>
    <t>Weinzettel_etal</t>
  </si>
  <si>
    <t>Human footprint in biodiversity hotspots</t>
  </si>
  <si>
    <t>Frontiers in Ecology and the Environment</t>
  </si>
  <si>
    <t>447-452</t>
  </si>
  <si>
    <t>Human footprint in Tibet: Assessing the spatial layout and effectiveness of nature reserves</t>
  </si>
  <si>
    <t>18-29</t>
  </si>
  <si>
    <t>Munguía_etal</t>
  </si>
  <si>
    <t>Human impact gradient on mammalian biodiversity</t>
  </si>
  <si>
    <t>79-92</t>
  </si>
  <si>
    <t>Human influence on California fire regimes</t>
  </si>
  <si>
    <t>1388-1402</t>
  </si>
  <si>
    <t>Nickel Barry_etal</t>
  </si>
  <si>
    <t>Human presence and human footprint have non-equivalent effects on wildlife spatiotemporal habitat use</t>
  </si>
  <si>
    <t>Schlacher_etal</t>
  </si>
  <si>
    <t>Human threats to sandy beaches: A meta-analysis of ghost crabs illustrates global anthropogenic impacts</t>
  </si>
  <si>
    <t>Estuarine, Coastal and Shelf Science</t>
  </si>
  <si>
    <t>56-73</t>
  </si>
  <si>
    <t>Meager_etal</t>
  </si>
  <si>
    <t>Humans alter habitat selection of birds on ocean-exposed sandy beaches</t>
  </si>
  <si>
    <t>294-306</t>
  </si>
  <si>
    <t>Mellin_etal</t>
  </si>
  <si>
    <t>Humans and seasonal climate variability threaten large-bodied coral reef fish with small ranges</t>
  </si>
  <si>
    <t>Harrison_etal</t>
  </si>
  <si>
    <t>Hunting of flying foxes and perception of disease risk in Indonesian Borneo</t>
  </si>
  <si>
    <t>2441-2449</t>
  </si>
  <si>
    <t>Velho_etal</t>
  </si>
  <si>
    <t>Hunting: A serious and understudied threat in India, a globally significant conservation region</t>
  </si>
  <si>
    <t>210-215</t>
  </si>
  <si>
    <t>Barilani_etal</t>
  </si>
  <si>
    <t>Hybridisation with Introduced Chukars (Alectoris chukar) Threatens the Gene Pool Integrity of Native Rock (A. graeca) and Red-Legged (A. rufa) Partridge Populations</t>
  </si>
  <si>
    <t>Hamilton_etal</t>
  </si>
  <si>
    <t>Hyperstability masks declines in bumphead parrotfish (Bolbometopon muricatum) populations</t>
  </si>
  <si>
    <t>751-763</t>
  </si>
  <si>
    <t>Marignani_etal</t>
  </si>
  <si>
    <t>Identification and prioritization of areas with high environmental risk in Mediterranean coastal areas: A flexible approach</t>
  </si>
  <si>
    <t>566-578</t>
  </si>
  <si>
    <t>Dimobe_etal</t>
  </si>
  <si>
    <t>Identification of driving factors of land degradation and deforestation in the Wildlife Reserve of Bontioli (Burkina Faso, West Africa)</t>
  </si>
  <si>
    <t>559-571</t>
  </si>
  <si>
    <t>Nelson and Burnside</t>
  </si>
  <si>
    <t>Identification of marine management priority areas using a GIS-based multi-criteria approach</t>
  </si>
  <si>
    <t>82-92</t>
  </si>
  <si>
    <t>Wessels_etal</t>
  </si>
  <si>
    <t>Identification of potential conflict areas between land transformation and biodiversity conservation in north-eastern South Africa</t>
  </si>
  <si>
    <t>Agriculture, Ecosystems and Environment</t>
  </si>
  <si>
    <t>157-178</t>
  </si>
  <si>
    <t>Shrestha_etal</t>
  </si>
  <si>
    <t>Identifying and forecasting potential biophysical risk areas within a tropical mangrove ecosystem using multi-sensor data</t>
  </si>
  <si>
    <t>281-294</t>
  </si>
  <si>
    <t>Lagabrielle_etal</t>
  </si>
  <si>
    <t>Identifying and mapping biodiversity processes for conservation planning in islands: A case study in Réunion Island (Western Indian Ocean)</t>
  </si>
  <si>
    <t>1523-1535</t>
  </si>
  <si>
    <t>Dzialak_etal</t>
  </si>
  <si>
    <t>Identifying and prioritizing greater sage-grouse nesting and brood-rearing habitat for conservation in human-modified landscapes</t>
  </si>
  <si>
    <t>Cunningham_etal</t>
  </si>
  <si>
    <t>Identifying biologically meaningful hot-weather events using threshold temperatures that affect life-history</t>
  </si>
  <si>
    <t>Di Tullio_etal</t>
  </si>
  <si>
    <t>Identifying critical areas to reduce bycatch of coastal common bottlenose dolphins Tursiops truncatus in artisanal fisheries of the subtropical western South Atlantic</t>
  </si>
  <si>
    <t>35-50</t>
  </si>
  <si>
    <t>Kirol_etal</t>
  </si>
  <si>
    <t>Identifying Greater Sage-Grouse source and sink habitats for conservation planning in an energy development landscape</t>
  </si>
  <si>
    <t>968-990</t>
  </si>
  <si>
    <t>Preece, H. J.</t>
  </si>
  <si>
    <t>Identifying hotspots for threats to koalas using spatial analysis</t>
  </si>
  <si>
    <t>Seidler_etal</t>
  </si>
  <si>
    <t>Identifying impediments to long-distance mammal migrations</t>
  </si>
  <si>
    <t>99-109</t>
  </si>
  <si>
    <t>Erbe_etal</t>
  </si>
  <si>
    <t>Identifying modeled ship noise hotspots for marine mammals of Canada's Pacific region</t>
  </si>
  <si>
    <t>Choquette Jonathan_etal</t>
  </si>
  <si>
    <t>Identifying Potential Connectivity for an Urban Population of Rattlesnakes (Sistrurus catenatus) in a Canadian Park System</t>
  </si>
  <si>
    <t>Martins_etal</t>
  </si>
  <si>
    <t>Identifying priority areas for humpback whale conservation at Eastern Brazilian Coast</t>
  </si>
  <si>
    <t>63-71</t>
  </si>
  <si>
    <t>Syxaiyakhamthor_etal</t>
  </si>
  <si>
    <t>Identifying priority areas for the conservation of the Critically Endangered northern white-cheeked gibbon Nomascus leucogenys in northern Lao</t>
  </si>
  <si>
    <t>Beaudry_etal</t>
  </si>
  <si>
    <t>Identifying road mortality threat at multiple spatial scales for semi-aquatic turtles</t>
  </si>
  <si>
    <t>2550-2563</t>
  </si>
  <si>
    <t>Noble_etal</t>
  </si>
  <si>
    <t>Identifying spatial conservation priorities using Traditional and Local Ecological Knowledge of iconic marine species and ecosystem threats</t>
  </si>
  <si>
    <t>Moran and Kanemoto</t>
  </si>
  <si>
    <t>Identifying the Species Threat Hotspots from Global Supply Chains</t>
  </si>
  <si>
    <t>Foden_etal</t>
  </si>
  <si>
    <t>Identifying the World's Most Climate Change Vulnerable Species: A Systematic Trait-Based Assessment of all Birds, Amphibians and Corals</t>
  </si>
  <si>
    <t>González-Andrés_etal</t>
  </si>
  <si>
    <t>Illegal fishing in Isla del Coco National Park: Spatial-temporal distribution and the economic trade-offs</t>
  </si>
  <si>
    <t>W26578</t>
  </si>
  <si>
    <t>Illegal Russian Crab: An Investigation of Trade Flow</t>
  </si>
  <si>
    <t>WWF Arctic Field Program</t>
  </si>
  <si>
    <t>Kauano É_etal</t>
  </si>
  <si>
    <t>Illegal use of natural resources in federal protected areas of the Brazilian Amazon</t>
  </si>
  <si>
    <t>Grenouillet and Comte</t>
  </si>
  <si>
    <t>Illuminating geographical patterns in species' range shifts</t>
  </si>
  <si>
    <t>3080-3091</t>
  </si>
  <si>
    <t>Gutiérrez_etal</t>
  </si>
  <si>
    <t>Impact model of urban development on steppic birds in natura 2000 spaces</t>
  </si>
  <si>
    <t>Hammouda_etal</t>
  </si>
  <si>
    <t>Impact of agrarian practices and some pastoral uses on vegetation in Algerian steppe rangelands</t>
  </si>
  <si>
    <t>Rangeland Journal</t>
  </si>
  <si>
    <t>97-107</t>
  </si>
  <si>
    <t>Epa and Mohotti</t>
  </si>
  <si>
    <t>Impact of fishing with Tephrosia candida (Fabaceae) on diversity and abundance of fish in the streams at the boundary of Sinharaja Man and Biosphere Forest Reserve, Sri Lanka</t>
  </si>
  <si>
    <t>Revista De Biologia Tropical</t>
  </si>
  <si>
    <t>1129-1141</t>
  </si>
  <si>
    <t>Bailey_etal</t>
  </si>
  <si>
    <t>Impact of land use and climate on the distribution of the endangered Florida bonneted bat</t>
  </si>
  <si>
    <t>1586-1593</t>
  </si>
  <si>
    <t>Impact of livestock on giant pandas and their habitat</t>
  </si>
  <si>
    <t>256-264</t>
  </si>
  <si>
    <t>Fraschetti_etal</t>
  </si>
  <si>
    <t>Impact of offshore gas platforms on the structural and functional biodiversity of nematodes</t>
  </si>
  <si>
    <t>56-64</t>
  </si>
  <si>
    <t>Patthey_etal</t>
  </si>
  <si>
    <t>Impact of outdoor winter sports on the abundance of a key indicator species of alpine ecosystems</t>
  </si>
  <si>
    <t>1704-1711</t>
  </si>
  <si>
    <t>Ceballos-Mago_etal</t>
  </si>
  <si>
    <t>Impact of the pet trade on the Margarita capuchin monkey Cebus apella margaritae</t>
  </si>
  <si>
    <t>57-68</t>
  </si>
  <si>
    <t>Onmu? and Siki</t>
  </si>
  <si>
    <t>Impacts of anthropogenic activities and habitat degradation on breeding waterbirds</t>
  </si>
  <si>
    <t>Turkish Journal of Zoology</t>
  </si>
  <si>
    <t>249-261</t>
  </si>
  <si>
    <t>Pairaud_etal</t>
  </si>
  <si>
    <t>Impacts of climate change on coastal benthic ecosystems: Assessing the current risk of mortality outbreaks associated with thermal stress in NW Mediterranean coastal areas Topical Collection on the 16th biennial workshop of the Joint Numerical Sea Modelling Group (JONSMOD) in Brest, France 21-23 May 2012</t>
  </si>
  <si>
    <t>Ocean Dynamics</t>
  </si>
  <si>
    <t>103-115</t>
  </si>
  <si>
    <t>Barbarossa_etal</t>
  </si>
  <si>
    <t>Impacts of current and future large dams on the geographic range connectivity of freshwater fish worldwide</t>
  </si>
  <si>
    <t>3648-3655</t>
  </si>
  <si>
    <t>Kano_etal</t>
  </si>
  <si>
    <t>Impacts of dams and global warming on fish biodiversity in the Indo-Burma hotspot</t>
  </si>
  <si>
    <t>Impacts of fisheries bycatch on marine turtle populations worldwide: Toward conservation and research priorities</t>
  </si>
  <si>
    <t>Gül and Griffen</t>
  </si>
  <si>
    <t>Impacts of human disturbance on ghost crab burrow morphology and distribution on sandy shores</t>
  </si>
  <si>
    <t>Woodcock_etal</t>
  </si>
  <si>
    <t>Impacts of Intensive Logging on the Trophic Organisation of Ant Communities in a Biodiversity Hotspot</t>
  </si>
  <si>
    <t>Xu_etal</t>
  </si>
  <si>
    <t>Impacts of Land-Use Change on Habitat Quality during 1985-2015 in the Taihu Lake Basin</t>
  </si>
  <si>
    <t>Sustainability</t>
  </si>
  <si>
    <t>De Castro_etal</t>
  </si>
  <si>
    <t>Impacts of mining activities on the potential geographic distribution of eastern Brazil mountaintop endemic species</t>
  </si>
  <si>
    <t>Perspectives in Ecology and Conservation</t>
  </si>
  <si>
    <t>172-178</t>
  </si>
  <si>
    <t>Mo_etal</t>
  </si>
  <si>
    <t>Impacts of road network expansion on landscape ecological risk in a megacity, China: A case study of Beijing</t>
  </si>
  <si>
    <t>1000-1011</t>
  </si>
  <si>
    <t>Harik_etal</t>
  </si>
  <si>
    <t>Implications of adopting a biodiversity-based vulnerability index versus a shoreline environmental sensitivity index on management and policy planning along coastal areas</t>
  </si>
  <si>
    <t>Liermann_etal</t>
  </si>
  <si>
    <t>Implications of Dam Obstruction for Global Freshwater Fish Diversity</t>
  </si>
  <si>
    <t>Bioscience</t>
  </si>
  <si>
    <t>539-548</t>
  </si>
  <si>
    <t>Potter_etal</t>
  </si>
  <si>
    <t>Important insect and disease threats to United States tree species and geographic patterns of their potential impacts</t>
  </si>
  <si>
    <t>De Alban_etal</t>
  </si>
  <si>
    <t>Improved estimates of mangrove cover and change reveal catastrophic deforestation in Myanmar</t>
  </si>
  <si>
    <t>Nath_etal</t>
  </si>
  <si>
    <t>In search of Aliens: Factors influencing the distribution of Chromolaena odorata L. and Mikania micrantha Kunth in the Terai grasslands of Manas National Park, India</t>
  </si>
  <si>
    <t>16-26</t>
  </si>
  <si>
    <t>Underwood_etal</t>
  </si>
  <si>
    <t>Incorporating biodiversity conservation and recreational wildlife values into smart growth land use planning</t>
  </si>
  <si>
    <t>136-143</t>
  </si>
  <si>
    <t>Farella_etal</t>
  </si>
  <si>
    <t>Incorporating ecosystem services conservation into a scenario-based MSP framework: An Adriatic case study</t>
  </si>
  <si>
    <t>Serra-Varela_etal</t>
  </si>
  <si>
    <t>Incorporating exposure to pitch canker disease to support management decisions of Pinus pinaster ait. in the face of Climate change</t>
  </si>
  <si>
    <t>Taylor_etal</t>
  </si>
  <si>
    <t>Incorporating fragmentation and non-native species into distribution models to inform fluvial fish conservation</t>
  </si>
  <si>
    <t>171-182</t>
  </si>
  <si>
    <t>Incorporating land cover information into regional biodiversity assessments in South Africa</t>
  </si>
  <si>
    <t>67-79</t>
  </si>
  <si>
    <t>Etter_etal</t>
  </si>
  <si>
    <t>Incorporating temporality and biophysical vulnerability to quantify the human spatial footprint on ecosystems</t>
  </si>
  <si>
    <t>1585-1594</t>
  </si>
  <si>
    <t>Increasing synergistic effects of habitat destruction and hunting on mammals over three decades in the Gran Chaco</t>
  </si>
  <si>
    <t>954-966</t>
  </si>
  <si>
    <t>Influence of changes in watershed landuse pattern on the wetland of Sultanpur National Park, Haryana using remote sensing techniques and hydrochemical analysis</t>
  </si>
  <si>
    <t>Remote Sensing Applications: Society and Environment</t>
  </si>
  <si>
    <t>84-92</t>
  </si>
  <si>
    <t>Auerbach_etal</t>
  </si>
  <si>
    <t>Informed actions: Where to cost effectively manage multiple threats to species to maximize return on investment</t>
  </si>
  <si>
    <t>1357-1373</t>
  </si>
  <si>
    <t>Sloan_etal</t>
  </si>
  <si>
    <t>Infrastructure development and contested forest governance threaten the Leuser Ecosystem, Indonesia</t>
  </si>
  <si>
    <t>298-309</t>
  </si>
  <si>
    <t>Leclerc_etal</t>
  </si>
  <si>
    <t>Insular threat associations within taxa worldwide</t>
  </si>
  <si>
    <t>Han_etal</t>
  </si>
  <si>
    <t>Integrated modeling to identify priority areas for the conservation of the endangered plant species in headwater areas of Asia</t>
  </si>
  <si>
    <t>47-56</t>
  </si>
  <si>
    <t>Patrizzi and Dobrovolski</t>
  </si>
  <si>
    <t>Integrating climate change and human impacts into marine spatial planning: A case study of threatened starfish species in Brazil</t>
  </si>
  <si>
    <t>177-188</t>
  </si>
  <si>
    <t>Focardi_etal</t>
  </si>
  <si>
    <t>Integrating remote sensing approach with pollution monitoring tools for aquatice ecosystem risk assessment and managment: A case study of Lake Victoria (UGANDA)</t>
  </si>
  <si>
    <t>275-287</t>
  </si>
  <si>
    <t>Lawler_etal</t>
  </si>
  <si>
    <t>Integrating representation and vulnerability: Two approaches for prioritizing areas for conservation</t>
  </si>
  <si>
    <t>1762-1772</t>
  </si>
  <si>
    <t>Luizza_etal</t>
  </si>
  <si>
    <t>Integrating subsistence practice and species distribution modeling: assessing invasive elodea’s potential impact on Native Alaskan subsistence of Chinook salmon and whitefish</t>
  </si>
  <si>
    <t>144-163</t>
  </si>
  <si>
    <t>Mehri_etal</t>
  </si>
  <si>
    <t>Integration of anthropogenic threats and biodiversity value to identify critical sites for biodiversity conservation</t>
  </si>
  <si>
    <t>1202-1217</t>
  </si>
  <si>
    <t>Marzolf_etal</t>
  </si>
  <si>
    <t>Inter- and intra-annual apple snail egg mass dynamics in a large southeastern US reservoir</t>
  </si>
  <si>
    <t>155-171</t>
  </si>
  <si>
    <t>Revuelta_etal</t>
  </si>
  <si>
    <t>Interaction between bottlenose dolphins (Tursiops truncatus) and artisanal fisheries in the Valencia region (Spanish Mediterranean Sea)</t>
  </si>
  <si>
    <t>117-125</t>
  </si>
  <si>
    <t>Brown_etal</t>
  </si>
  <si>
    <t>Interactions between global and local stressors of ecosystems determine management effectiveness in cumulative impact mapping</t>
  </si>
  <si>
    <t>538-546</t>
  </si>
  <si>
    <t>Lavorel_etal</t>
  </si>
  <si>
    <t>Interactions between outdoor recreation and iconic terrestrial vertebrates in two French alpine national parks</t>
  </si>
  <si>
    <t>Ecosystem Services</t>
  </si>
  <si>
    <t>Burdett_etal</t>
  </si>
  <si>
    <t>Interfacing models of wildlife habitat and human development to predict the future distribution of puma habitat</t>
  </si>
  <si>
    <t>Hernout_etal</t>
  </si>
  <si>
    <t>Interspecific variation in the spatially-explicit risks of trace metals to songbirds</t>
  </si>
  <si>
    <t>679-689</t>
  </si>
  <si>
    <t>Schmeller_etal</t>
  </si>
  <si>
    <t>Introducing water frogs - Is there a risk for indigenous species in France?</t>
  </si>
  <si>
    <t>Comptes Rendus - Biologies</t>
  </si>
  <si>
    <t>684-690</t>
  </si>
  <si>
    <t>Sales Naiara_etal</t>
  </si>
  <si>
    <t>Introgression from non-native species unveils a hidden threat to the migratory Neotropical fish Prochilodus hartii</t>
  </si>
  <si>
    <t>555-566</t>
  </si>
  <si>
    <t>Bangs_etal</t>
  </si>
  <si>
    <t>Introgressive hybridization and species turnover in reservoirs: a case study involving endemic and invasive basses (Centrarchidae: Micropterus) in southeastern North America</t>
  </si>
  <si>
    <t>Conservation Genetics</t>
  </si>
  <si>
    <t>57-69</t>
  </si>
  <si>
    <t>Moody_etal</t>
  </si>
  <si>
    <t>Invasion hotspots and ecological saturation of streams across the Hawaiian archipelago</t>
  </si>
  <si>
    <t>Cybium</t>
  </si>
  <si>
    <t>127-156</t>
  </si>
  <si>
    <t>Invasive species detection in Hawaiian rainforests using airborne imaging spectroscopy and LiDAR</t>
  </si>
  <si>
    <t>1942-1955</t>
  </si>
  <si>
    <t>Croquer_etal</t>
  </si>
  <si>
    <t>Is Acropora palmata recovering? A case study in Los Roques National Park, Venezuela</t>
  </si>
  <si>
    <t>Mccauley_etal</t>
  </si>
  <si>
    <t>Isolated wetland loss and degradation over two decades in an increasingly urbanized landscape</t>
  </si>
  <si>
    <t>117-127</t>
  </si>
  <si>
    <t>Riskas_etal</t>
  </si>
  <si>
    <t>Justifying the need for collaborative management of fisheries bycatch: A lesson from marine turtles in Australia</t>
  </si>
  <si>
    <t>40-47</t>
  </si>
  <si>
    <t>Qiuqin and Tianzhu</t>
  </si>
  <si>
    <t>Land consolidation design based on an evaluation of ecological sensitivity</t>
  </si>
  <si>
    <t>Curatola_etal</t>
  </si>
  <si>
    <t>Land cover change in the Andes of southern Ecuador-Patterns and drivers</t>
  </si>
  <si>
    <t>2509-2542</t>
  </si>
  <si>
    <t>Chee_etal</t>
  </si>
  <si>
    <t>Land reclamation and artificial islands: Walking the tightrope between development and conservation</t>
  </si>
  <si>
    <t>80-95</t>
  </si>
  <si>
    <t>Loosen_etal</t>
  </si>
  <si>
    <t>Land tenure shapes black bear density and abundance on a multi-use landscape</t>
  </si>
  <si>
    <t>73-89</t>
  </si>
  <si>
    <t>Garrard_etal</t>
  </si>
  <si>
    <t>Land Use and Land Cover Change in Sagarmatha National Park, a World Heritage Site in the Himalayas of Eastern Nepal</t>
  </si>
  <si>
    <t>Mountain Research and Development</t>
  </si>
  <si>
    <t>299-310</t>
  </si>
  <si>
    <t>Parmenter_etal</t>
  </si>
  <si>
    <t>Land use and land cover change in the Greater Yellowstone Ecosystem: 1975-1995</t>
  </si>
  <si>
    <t>687-703</t>
  </si>
  <si>
    <t>Grecchi_etal</t>
  </si>
  <si>
    <t>Land use and land cover changes in the Brazilian Cerrado: A multidisciplinary approach to assess the impacts of agricultural expansion</t>
  </si>
  <si>
    <t>300-312</t>
  </si>
  <si>
    <t>Paffetti_etal</t>
  </si>
  <si>
    <t>Land use and wind direction drive hybridization between cultivated poplar and native species in a Mediterranean floodplain environment</t>
  </si>
  <si>
    <t>610-611</t>
  </si>
  <si>
    <t>1400-1412</t>
  </si>
  <si>
    <t>Chaudhary and Kastner</t>
  </si>
  <si>
    <t>Land use biodiversity impacts embodied in international food trade</t>
  </si>
  <si>
    <t>Global Environmental Change-Human and Policy Dimensions</t>
  </si>
  <si>
    <t>195-204</t>
  </si>
  <si>
    <t>Mati Bancy, M., Mutie, S., Home, P., Mtalo, F. and Gadain, H.</t>
  </si>
  <si>
    <t>Land use changes in the transboundary Mara Basin: a threat to pristine wildlife sanctuaries in East Africa</t>
  </si>
  <si>
    <t xml:space="preserve"> A Paper presentation at the: 8th International River Symposium, Brisbane, Australia</t>
  </si>
  <si>
    <t>Rao and Pant</t>
  </si>
  <si>
    <t>Land use dynamics and landscape change pattern in a typical micro watershed in the mid elevation zone of central Himalaya, India</t>
  </si>
  <si>
    <t>113-124</t>
  </si>
  <si>
    <t>Soriano_etal</t>
  </si>
  <si>
    <t>Land Use/Land Cover Change Detection and Urban Sprawl Analysis in the Mount Makiling Forest Reserve Watersheds and Buffer Zone, Philippines</t>
  </si>
  <si>
    <t>Environments</t>
  </si>
  <si>
    <t>Sajeev and Subramanian</t>
  </si>
  <si>
    <t>Land use/land cover changes in Ashtamudi wetland region of Kerala - A study using remote sensing and GIS</t>
  </si>
  <si>
    <t>Journal of the Geological Society of India</t>
  </si>
  <si>
    <t>573-580</t>
  </si>
  <si>
    <t>Mahmoud_etal</t>
  </si>
  <si>
    <t>Land-cover change threatens tropical forests and biodiversity in the Littoral Region, Cameroon</t>
  </si>
  <si>
    <t>Desta and Fetene</t>
  </si>
  <si>
    <t>Land-use and land-cover change in Lake Ziway watershed of the Ethiopian Central Rift Valley Region and its environmental impacts</t>
  </si>
  <si>
    <t>Guo_etal</t>
  </si>
  <si>
    <t>Land-use change interacts with climate to determine elevational species redistribution</t>
  </si>
  <si>
    <t>Bax_etal</t>
  </si>
  <si>
    <t>Land-use conflicts between biodiversity conservation and extractive industries in the Peruvian Andes</t>
  </si>
  <si>
    <t>1028-1036</t>
  </si>
  <si>
    <t>Sieber_etal</t>
  </si>
  <si>
    <t>Landsat-based mapping of post-Soviet land-use change to assess the effectiveness of the Oksky and Mordovsky protected areas in European Russia</t>
  </si>
  <si>
    <t>38-51</t>
  </si>
  <si>
    <t>Landscape context influences chytrid fungus distribution in an endangered European amphibian</t>
  </si>
  <si>
    <t>480-488</t>
  </si>
  <si>
    <t>Pretorius_etal</t>
  </si>
  <si>
    <t>Landscape correlates of space use in the critically endangered African wild dog Lycaon pictus</t>
  </si>
  <si>
    <t>Armenteras_etal</t>
  </si>
  <si>
    <t>Landscape Dynamics in Northwestern Amazonia: An Assessment of Pastures, Fire and Illicit Crops as Drivers of Tropical Deforestation</t>
  </si>
  <si>
    <t>Kelly and Meentemeyer</t>
  </si>
  <si>
    <t>Landscape dynamics of the spread of Sudden Oak Death</t>
  </si>
  <si>
    <t>Photogrammetric Engineering and Remote Sensing</t>
  </si>
  <si>
    <t>1001-1009</t>
  </si>
  <si>
    <t>Feist_etal</t>
  </si>
  <si>
    <t>Landscape ecotoxicology of coho salmon spawner mortality in urban streams</t>
  </si>
  <si>
    <t>Hari_etal</t>
  </si>
  <si>
    <t>Landscape level analysis of disturbance regimes in protected areas of Rajasthan, India</t>
  </si>
  <si>
    <t>Journal of Earth System Science</t>
  </si>
  <si>
    <t>467-478</t>
  </si>
  <si>
    <t>Janik</t>
  </si>
  <si>
    <t>Landscape monitoring: Urbanization and recreation in protected areas. Where to draw the line?</t>
  </si>
  <si>
    <t xml:space="preserve"> Conservation Science and Practice</t>
  </si>
  <si>
    <t>Fernández-Bellon</t>
  </si>
  <si>
    <t>Limited accessibility and bias in wildlife-wind energy knowledge: A bilingual systematic review of a globally distributed bird group</t>
  </si>
  <si>
    <t>Mcintyre_etal</t>
  </si>
  <si>
    <t>Linking freshwater fishery management to global food security and biodiversity conservation</t>
  </si>
  <si>
    <t>12880-12885</t>
  </si>
  <si>
    <t>Roger_etal</t>
  </si>
  <si>
    <t>Linking habitat suitability and road mortalities across geographic ranges</t>
  </si>
  <si>
    <t>1167-1181</t>
  </si>
  <si>
    <t>Samhouri and Levin</t>
  </si>
  <si>
    <t>Linking land- and sea-based activities to risk in coastal ecosystems</t>
  </si>
  <si>
    <t>118-129</t>
  </si>
  <si>
    <t>Chaudhary_etal</t>
  </si>
  <si>
    <t>Linking national wood consumption with global biodiversity and ecosystem service losses</t>
  </si>
  <si>
    <t>985-994</t>
  </si>
  <si>
    <t>Chettri_etal</t>
  </si>
  <si>
    <t>Linking Spatio-temporal land cover change to biodiversity conservation in the koshi tappu wildlife reserve, Nepal</t>
  </si>
  <si>
    <t>335-351</t>
  </si>
  <si>
    <t>Tulloch_etal</t>
  </si>
  <si>
    <t>Linking threat maps with management to guide conservation investment</t>
  </si>
  <si>
    <t>Garcia-De-Vinuesa_etal</t>
  </si>
  <si>
    <t>Linking trawl fleet dynamics and the spatial distribution of exploited species can help to avoid unwanted catches: The case of the NW mediterranean fishing grounds</t>
  </si>
  <si>
    <t>Scientia Marina</t>
  </si>
  <si>
    <t>165-174</t>
  </si>
  <si>
    <t>W22911</t>
  </si>
  <si>
    <t>Charity_etal</t>
  </si>
  <si>
    <t>Living amazon report 2016: A regional approach to conservation in the Amazon</t>
  </si>
  <si>
    <t>WWF Living Amazon Initiative, Brasília and Quito</t>
  </si>
  <si>
    <t>Paniw_etal</t>
  </si>
  <si>
    <t>Local-scale disturbances can benefit an endangered, fire-adapted plant species in Western Mediterranean heathlands in the absence of fire</t>
  </si>
  <si>
    <t>74-81</t>
  </si>
  <si>
    <t>Bi_etal</t>
  </si>
  <si>
    <t>Long-term climate ocean oscillations inform seabird bycatch from pelagic longline fishery</t>
  </si>
  <si>
    <t>ICES Journal of Marine Science</t>
  </si>
  <si>
    <t>668-679</t>
  </si>
  <si>
    <t>Cheng</t>
  </si>
  <si>
    <t>Long-Term Impacts of an Emerging Disease, White-Nose Syndrome: Drivers, Mechanisms, and Conservation Action Influencing the Persistence of North American Bats</t>
  </si>
  <si>
    <t>Ramachandran_etal</t>
  </si>
  <si>
    <t>Long-term land use and land cover changes (1920–2015) in Eastern Ghats, India: Pattern of dynamics and challenges in plant species conservation</t>
  </si>
  <si>
    <t>21-36</t>
  </si>
  <si>
    <t>Long-term trends and a risk analysis of cetacean entanglements and bycatch in fisheries gear in Australian waters</t>
  </si>
  <si>
    <t>251-282</t>
  </si>
  <si>
    <t>Zapata-Ríos_etal</t>
  </si>
  <si>
    <t>Mammal hunting by the Shuar of the Ecuadorian Amazon: Is it sustainable?</t>
  </si>
  <si>
    <t>375-385</t>
  </si>
  <si>
    <t>Twumasi, Y. A. and Merem, E. C.</t>
  </si>
  <si>
    <t>Management of watersheds with remote sensing and gis: A case study of River Delta Region in Nigerianiger</t>
  </si>
  <si>
    <t>Harris_etal</t>
  </si>
  <si>
    <t>Managing conflicts between economic activities and threatened migratory marine species toward creating a multiobjective blue economy</t>
  </si>
  <si>
    <t>411-423</t>
  </si>
  <si>
    <t>W26589</t>
  </si>
  <si>
    <t>Fabian C. Kyne_etal</t>
  </si>
  <si>
    <t>Managing invasive lionfish in Belize's Marine Protected Areas</t>
  </si>
  <si>
    <t>Blue Ventures</t>
  </si>
  <si>
    <t xml:space="preserve">50 pages </t>
  </si>
  <si>
    <t>Visintin_etal</t>
  </si>
  <si>
    <t>Managing the timing and speed of vehicles reduces wildlife-transport collision risk</t>
  </si>
  <si>
    <t>86-95</t>
  </si>
  <si>
    <t>Munanura_etal</t>
  </si>
  <si>
    <t>Managing tourism growth in endangered species' habitats of Africa: Volcanoes National Park in Rwanda</t>
  </si>
  <si>
    <t>Current Issues in Tourism</t>
  </si>
  <si>
    <t>700-718</t>
  </si>
  <si>
    <t>Coppes and Braunisch</t>
  </si>
  <si>
    <t>Managing visitors in nature areas: where do they leave the trails? A spatial model</t>
  </si>
  <si>
    <t>Wildlife Biology</t>
  </si>
  <si>
    <t>Mazaris</t>
  </si>
  <si>
    <t>Manifestation of maritime piracy as an additional challenge for global conservation</t>
  </si>
  <si>
    <t>171-175</t>
  </si>
  <si>
    <t>Bright_etal</t>
  </si>
  <si>
    <t>Map of bird sensitivities to wind farms in Scotland: A tool to aid planning and conservation</t>
  </si>
  <si>
    <t>2342-2356</t>
  </si>
  <si>
    <t>Laslo, L., Matei, M., Ciobotaru, G. N. and Deak, G.</t>
  </si>
  <si>
    <t>Mapping and assessment of ecosystem services from divici-pojejena wetland based on recommended methodology</t>
  </si>
  <si>
    <t>445-452</t>
  </si>
  <si>
    <t>Petz_etal</t>
  </si>
  <si>
    <t>Mapping and modelling trade-offs and synergies between grazing intensity and ecosystem services in rangelands using global-scale datasets and models</t>
  </si>
  <si>
    <t>Global Environmental Change</t>
  </si>
  <si>
    <t>223-234</t>
  </si>
  <si>
    <t>Ziegler_etal</t>
  </si>
  <si>
    <t>Mapping Bushmeat Hunting Pressure in Central Africa</t>
  </si>
  <si>
    <t>405-412</t>
  </si>
  <si>
    <t>Mapping cumulative human impacts to California Current marine ecosystems</t>
  </si>
  <si>
    <t>138-148</t>
  </si>
  <si>
    <t>Fassnacht_etal</t>
  </si>
  <si>
    <t>Mapping degraded grassland on the Eastern Tibetan Plateau with multi-temporal Landsat 8 data - where do the severely degraded areas occur?</t>
  </si>
  <si>
    <t>115-127</t>
  </si>
  <si>
    <t>Rodríguez-Rodríguez and Bomhard</t>
  </si>
  <si>
    <t>Mapping direct human influence on the world's mountain areas</t>
  </si>
  <si>
    <t>197-202</t>
  </si>
  <si>
    <t>Stock_etal</t>
  </si>
  <si>
    <t>Mapping ecological indicators of human impact with statistical and machine learning methods: Tests on the California coast</t>
  </si>
  <si>
    <t>Ecological Informatics</t>
  </si>
  <si>
    <t>37-47</t>
  </si>
  <si>
    <t>Albright_etal</t>
  </si>
  <si>
    <t>Mapping evaporative water loss in desert passerines reveals an expanding threat of lethal dehydration</t>
  </si>
  <si>
    <t>2283-2288</t>
  </si>
  <si>
    <t>Fa_etal</t>
  </si>
  <si>
    <t>Mapping Hotspots of Threatened Species Traded in Bushmeat Markets in the Cross-Sanaga Rivers Region</t>
  </si>
  <si>
    <t>224-233</t>
  </si>
  <si>
    <t>Mapping human influence intensity in the Tibetan Plateau for conservation of ecological service functions</t>
  </si>
  <si>
    <t>276-286</t>
  </si>
  <si>
    <t>Ibharim_etal</t>
  </si>
  <si>
    <t>Mapping mangrove changes in the Matang Mangrove Forest using multi temporal satellite imageries</t>
  </si>
  <si>
    <t>Ocean &amp; Coastal Management</t>
  </si>
  <si>
    <t>64-76</t>
  </si>
  <si>
    <t>Abram_etal</t>
  </si>
  <si>
    <t>Mapping perceptions of species' threats and population trends to inform conservation efforts: The Bornean orangutan case study</t>
  </si>
  <si>
    <t>487-499</t>
  </si>
  <si>
    <t>Pinho_etal</t>
  </si>
  <si>
    <t>Mapping Portuguese Natura 2000 sites in risk of biodiversity change caused by atmospheric nitrogen pollution</t>
  </si>
  <si>
    <t>Mapping species richness and human impact drivers to inform global pelagic conservation prioritisation</t>
  </si>
  <si>
    <t>1758-1766</t>
  </si>
  <si>
    <t>Naura_etal</t>
  </si>
  <si>
    <t>Mapping the combined risk of agricultural fine sediment input and accumulation for riverine ecosystems across England and Wales</t>
  </si>
  <si>
    <t>209-221</t>
  </si>
  <si>
    <t>Garratt_etal</t>
  </si>
  <si>
    <t>Mapping the consequences of artificial light at night for intertidal ecosystems</t>
  </si>
  <si>
    <t>760-768</t>
  </si>
  <si>
    <t>Mapping the future: Pressures and impacts in the Portuguese maritime spatial planning</t>
  </si>
  <si>
    <t>Malherbe_etal</t>
  </si>
  <si>
    <t>Mapping the loss of ecosystem services in a region under intensive land use along the Southern Coast of South Africa</t>
  </si>
  <si>
    <t>Kilshaw_etal</t>
  </si>
  <si>
    <t>Mapping the spatial configuration of hybridization risk for an endangered population of the European wildcat (Felis silvestris silvestris) in Scotland</t>
  </si>
  <si>
    <t>Mammal Research</t>
  </si>
  <si>
    <t>Fremout_etal</t>
  </si>
  <si>
    <t>Mapping tree species vulnerability to multiple threats as a guide to restoration and conservation of tropical dry forests</t>
  </si>
  <si>
    <t>3552-3568</t>
  </si>
  <si>
    <t>Findlay_etal</t>
  </si>
  <si>
    <t>Mapping widespread and increasing underwater noise pollution from acoustic deterrent devices</t>
  </si>
  <si>
    <t>1042-1050</t>
  </si>
  <si>
    <t>Mapping, monitoring and conservation of Malianandi wetland ecosystem, Orissa, India using remote sensing and GIS</t>
  </si>
  <si>
    <t>Proceedings of the National Academy of Sciences India Section B - Biological Sciences</t>
  </si>
  <si>
    <t>SPEC. ISSUE</t>
  </si>
  <si>
    <t>81-89</t>
  </si>
  <si>
    <t>Maps, models, and marine vulnerability: Assessing the community distribution of seabirds at-sea</t>
  </si>
  <si>
    <t>15-28</t>
  </si>
  <si>
    <t>Delefosse_etal</t>
  </si>
  <si>
    <t>Marine mammal sightings around oil and gas installations in the central North Sea</t>
  </si>
  <si>
    <t>Journal of the Marine Biological Association of the United Kingdom</t>
  </si>
  <si>
    <t>993-1001</t>
  </si>
  <si>
    <t>Williams_etal</t>
  </si>
  <si>
    <t>Marine mammals and debris in coastal waters of British Columbia, Canada</t>
  </si>
  <si>
    <t>1303-1316</t>
  </si>
  <si>
    <t>Tancell_etal</t>
  </si>
  <si>
    <t>Marine spatial planning for the conservation of albatrosses and large petrels breeding at South Georgia</t>
  </si>
  <si>
    <t>165-176</t>
  </si>
  <si>
    <t>Hart_etal</t>
  </si>
  <si>
    <t>Marine threats overlap key foraging habitat for two imperiled sea turtle species in the Gulf of Mexico</t>
  </si>
  <si>
    <t>SEP</t>
  </si>
  <si>
    <t>Andréfouët_etal</t>
  </si>
  <si>
    <t>Mass mortality events in atoll lagoons: Environmental control and increased future vulnerability</t>
  </si>
  <si>
    <t>195-205</t>
  </si>
  <si>
    <t>Garcia_etal</t>
  </si>
  <si>
    <t>Matching species traits to projected threats and opportunities from climate change</t>
  </si>
  <si>
    <t>724-735</t>
  </si>
  <si>
    <t>Barve_etal</t>
  </si>
  <si>
    <t>Measuring and mapping threats to a wildlife sanctuary in southern India</t>
  </si>
  <si>
    <t>122-130</t>
  </si>
  <si>
    <t>Anjos_etal</t>
  </si>
  <si>
    <t>Measuring resilience and assessing vulnerability of terrestrial ecosystems to climate change in South America</t>
  </si>
  <si>
    <t>Deudero and Alomar</t>
  </si>
  <si>
    <t>Mediterranean marine biodiversity under threat: reviewing influence of marine litter on species</t>
  </si>
  <si>
    <t>Marine pollution bulletin</t>
  </si>
  <si>
    <t>58-68</t>
  </si>
  <si>
    <t>Tursi_etal</t>
  </si>
  <si>
    <t>Mega-litter and remediation: the case of Mar Piccolo of Taranto (Ionian Sea)</t>
  </si>
  <si>
    <t>Rendiconti Lincei</t>
  </si>
  <si>
    <t>817-824</t>
  </si>
  <si>
    <t>De Sousa_etal</t>
  </si>
  <si>
    <t>Melanoides tuberculatus (Müller, 1774): a new threat to the conservation of native aquatic species in Sergipe, Brazil</t>
  </si>
  <si>
    <t>Scientia Plena</t>
  </si>
  <si>
    <t>Bejaoui_etal</t>
  </si>
  <si>
    <t>Metal body burden and tissue oxidative status in the bivalve Venerupis decussata from Tunisian coastal lagoons</t>
  </si>
  <si>
    <t>Migration, foraging, and residency patterns for northern gulf loggerheads: Implications of local threats and international movements</t>
  </si>
  <si>
    <t>Haywood_etal</t>
  </si>
  <si>
    <t>Mine waste disposal leads to lower coral cover, reduced species richness and a predominance of simple coral growth forms on a fringing coral reef in Papua New Guinea</t>
  </si>
  <si>
    <t>36-48</t>
  </si>
  <si>
    <t>Nituch_etal</t>
  </si>
  <si>
    <t>Mink farms predict aleutian disease exposure in wild american mink</t>
  </si>
  <si>
    <t>Zingraff-Hamed_etal</t>
  </si>
  <si>
    <t>Model-based evaluation of urban river restoration: Conflicts between sensitive fish species and recreational users</t>
  </si>
  <si>
    <t>Vacchiano_etal</t>
  </si>
  <si>
    <t>Modeling anthropogenic and natural fire ignitions in an inner-alpine valley</t>
  </si>
  <si>
    <t>Natural Hazards and Earth System Sciences</t>
  </si>
  <si>
    <t>935-948</t>
  </si>
  <si>
    <t>Tracy_etal</t>
  </si>
  <si>
    <t>Modeling fall migration pathways and spatially identifying potential migratory hazards for the eastern monarch butterfly</t>
  </si>
  <si>
    <t>443-458</t>
  </si>
  <si>
    <t>Briscoe_etal</t>
  </si>
  <si>
    <t>Modeling habitat and bycatch risk for dugongs in Sabah, Malaysia</t>
  </si>
  <si>
    <t>237-U168</t>
  </si>
  <si>
    <t>Guerrini_etal</t>
  </si>
  <si>
    <t>Modeling Plastics Exposure for the Marine Biota: Risk Maps for Fin Whales in the Pelagos Sanctuary (North-Western Mediterranean)</t>
  </si>
  <si>
    <t>Wiley_etal</t>
  </si>
  <si>
    <t>Modeling speed restrictions to mitigate lethal collisions between ships and whales in the Stellwagen Bank National Marine Sanctuary, USA</t>
  </si>
  <si>
    <t>2377-2381</t>
  </si>
  <si>
    <t>Rodrigues_etal</t>
  </si>
  <si>
    <t>Modeling the spatial variation of the explanatory factors of human-caused wildfires in Spain using geographically weightedlogistic regression</t>
  </si>
  <si>
    <t>52-63</t>
  </si>
  <si>
    <t>García-Barcelona_etal</t>
  </si>
  <si>
    <t>Modelling abundance and distribution of seabird by-catch in the Spanish mediterranean longline fishery</t>
  </si>
  <si>
    <t>Ardeola</t>
  </si>
  <si>
    <t>SPEC. DECEMBER</t>
  </si>
  <si>
    <t>Pirotta_etal</t>
  </si>
  <si>
    <t>Modelling beluga habitat use and baseline exposure to shipping traffic to design effective protection against prospective industrialization in the Canadian Arctic</t>
  </si>
  <si>
    <t>713-722</t>
  </si>
  <si>
    <t>Modelling landscape dynamics with LST in protected areas of Western Ghats, Karnataka</t>
  </si>
  <si>
    <t>1253-1262</t>
  </si>
  <si>
    <t>Smeraldo_etal</t>
  </si>
  <si>
    <t>Modelling risks posed by wind turbines and power lines to soaring birds: the black stork (Ciconia nigra) in Italy as a case study</t>
  </si>
  <si>
    <t>1959-1976</t>
  </si>
  <si>
    <t>Williams and O'hara</t>
  </si>
  <si>
    <t>Modelling ship strike risk to fin, humpback and killer whales in British Columbia, Canada</t>
  </si>
  <si>
    <t>Journal of Cetacean Research and Management</t>
  </si>
  <si>
    <t>Pikesley_etal</t>
  </si>
  <si>
    <t>Modelling the niche for a marine vertebrate: A case study incorporating behavioural plasticity, proximate threats and climate change</t>
  </si>
  <si>
    <t>803-812</t>
  </si>
  <si>
    <t>Nielsen_etal</t>
  </si>
  <si>
    <t>Modelling the spatial distribution of human-caused grizzly bear mortalities in the Central Rockies ecosystem of Canada</t>
  </si>
  <si>
    <t>101-113</t>
  </si>
  <si>
    <t>Bröker_etal</t>
  </si>
  <si>
    <t>Monitoring and impact mitigation during a 4D seismic survey near a population of gray whales off Sakhalin Island, Russia</t>
  </si>
  <si>
    <t>187-208</t>
  </si>
  <si>
    <t>Carrete_etal</t>
  </si>
  <si>
    <t>Mortality at wind-farms is positively related to large-scale distribution and aggregation in griffon vultures</t>
  </si>
  <si>
    <t>102-108</t>
  </si>
  <si>
    <t>Hornseth_etal</t>
  </si>
  <si>
    <t>Motorized Activity on Legacy Seismic Lines: A Predictive Modeling Approach to Prioritize Restoration Efforts</t>
  </si>
  <si>
    <t>595-607</t>
  </si>
  <si>
    <t>Tucker_etal</t>
  </si>
  <si>
    <t>Moving in the Anthropocene: Global reductions in terrestrial mammalian movements</t>
  </si>
  <si>
    <t>466-469</t>
  </si>
  <si>
    <t>O'farrell_etal</t>
  </si>
  <si>
    <t>Multi-functional landscapes in semi arid environments: Implications for biodiversity and ecosystem services</t>
  </si>
  <si>
    <t>1231-1246</t>
  </si>
  <si>
    <t>Whitty</t>
  </si>
  <si>
    <t>Multi-methods approach to characterizing the magnitude, impact, and spatial risk of Irrawaddy dolphin (Orcaella brevirostris) bycatch in small-scale fisheries in Malampaya Sound, Philippines</t>
  </si>
  <si>
    <t>Marine Mammal Science</t>
  </si>
  <si>
    <t>1022-1043</t>
  </si>
  <si>
    <t>Multi-scale multi-level marine spatial planning: A novel methodological approach applied in south africa</t>
  </si>
  <si>
    <t>Fort_etal</t>
  </si>
  <si>
    <t>Multicolony tracking reveals potential threats to little auks wintering in the North Atlantic from marine pollution and shrinking sea ice cover</t>
  </si>
  <si>
    <t>1322-1332</t>
  </si>
  <si>
    <t>Alvarez-Berastegui_etal</t>
  </si>
  <si>
    <t>Multidisciplinary rapid assessment of coastal areas as a tool for the design and management of marine protected areas</t>
  </si>
  <si>
    <t>Albouy_etal</t>
  </si>
  <si>
    <t>Multifaceted biodiversity hotspots of marine mammals for conservation priorities</t>
  </si>
  <si>
    <t>615-626</t>
  </si>
  <si>
    <t>Arroyave_etal</t>
  </si>
  <si>
    <t>Multiplex networks reveal geographic constraints on illicit wildlife trafficking</t>
  </si>
  <si>
    <t>Applied Network Science</t>
  </si>
  <si>
    <t>Atkore_etal</t>
  </si>
  <si>
    <t>Multiscale Investigation of Water Chemistry Effects on Fish Guild Species Richness in Regulated and Nonregulated Rivers of India's Western Ghats: Implications for Restoration</t>
  </si>
  <si>
    <t>298-319</t>
  </si>
  <si>
    <t>Ayele_etal</t>
  </si>
  <si>
    <t>Multitemporal land use/land cover change detection for the batena watershed, rift valley lakes basin, Ethiopia</t>
  </si>
  <si>
    <t>Springer Geography</t>
  </si>
  <si>
    <t>51-72</t>
  </si>
  <si>
    <t>Chaudhary and Brooks</t>
  </si>
  <si>
    <t>National Consumption and Global Trade Impacts on Biodiversity</t>
  </si>
  <si>
    <t>World Development</t>
  </si>
  <si>
    <t>178-187</t>
  </si>
  <si>
    <t>Lozano_etal</t>
  </si>
  <si>
    <t>Native and non-native aquatic plants of South America: Comparing and integrating GBIF records with literature data</t>
  </si>
  <si>
    <t>Management of Biological Invasions</t>
  </si>
  <si>
    <t>443-454</t>
  </si>
  <si>
    <t>Caorsi_etal</t>
  </si>
  <si>
    <t>Natural history, coloration pattern and conservation status of the threatened South Brazilian red bellied toad, Melanophryniscus macrogranulosus Braun, 1973 (Anura, Bufonidae)</t>
  </si>
  <si>
    <t>Herpetology Notes</t>
  </si>
  <si>
    <t>585-598</t>
  </si>
  <si>
    <t>Piqueray_etal</t>
  </si>
  <si>
    <t>Naturalization and impact of a horticultural species, cotoneaster horizontalis (rosaceae) in biodiversity hotspots in Belgium</t>
  </si>
  <si>
    <t>Belgian Journal of Botany</t>
  </si>
  <si>
    <t>W26588</t>
  </si>
  <si>
    <t>Robert I. Mcdonald_etal</t>
  </si>
  <si>
    <t>Nature in the Urban Century</t>
  </si>
  <si>
    <t>The Nature Conservancy</t>
  </si>
  <si>
    <t>Trochine_etal</t>
  </si>
  <si>
    <t>Non-native Fish Occurrence and Biomass in 1943 Western Palearctic Lakes and Reservoirs and their Abiotic and Biotic Correlates</t>
  </si>
  <si>
    <t>Ecosystems</t>
  </si>
  <si>
    <t>395-409</t>
  </si>
  <si>
    <t>Onyia_etal</t>
  </si>
  <si>
    <t>Normalized difference vegetation vigour index: A new remote sensing approach to biodiversity monitoring in oil polluted regions</t>
  </si>
  <si>
    <t>Van Der_etal</t>
  </si>
  <si>
    <t>North Sea demersal fisheries prefer specific benthic habitats</t>
  </si>
  <si>
    <t>Ocean-wide tracking of pelagic sharks reveals extent of overlap with longline fishing hotspots</t>
  </si>
  <si>
    <t>1582-1587</t>
  </si>
  <si>
    <t>Finer_etal</t>
  </si>
  <si>
    <t>Oil and gas projects in the Western Amazon: Threats to wilderness, biodiversity, and indigenous peoples</t>
  </si>
  <si>
    <t>Duncan_etal</t>
  </si>
  <si>
    <t>Oil in the sahara: Mapping anthropogenic threats to saharan biodiversity from space</t>
  </si>
  <si>
    <t>Philosophical Transactions of the Royal Society B: Biological Sciences</t>
  </si>
  <si>
    <t>Codato_etal</t>
  </si>
  <si>
    <t>Oil production, biodiversity conservation and indigenous territories: Towards geographical criteria for unburnable carbon areas in the Amazon rainforest</t>
  </si>
  <si>
    <t>28-38</t>
  </si>
  <si>
    <t>Paschoalini_etal</t>
  </si>
  <si>
    <t>On the brink of isolation: Population estimates of the Araguaian river dolphin in a human-impacted region in Brazil</t>
  </si>
  <si>
    <t>Hervé_etal</t>
  </si>
  <si>
    <t>On the importance of taking into account agricultural practices when defining conservation priorities for regional planning</t>
  </si>
  <si>
    <t>76-84</t>
  </si>
  <si>
    <t>Ferreguetti Á_etal</t>
  </si>
  <si>
    <t>One step ahead to predict potential poaching hotspots: Modeling occupancy and detectability of poachers in a neotropical rainforest</t>
  </si>
  <si>
    <t>133-140</t>
  </si>
  <si>
    <t>Kurekin_etal</t>
  </si>
  <si>
    <t>Operational monitoring of illegal fishing in Ghana through exploitation of satellite earth observation and AIS data</t>
  </si>
  <si>
    <t>De Solan_etal</t>
  </si>
  <si>
    <t>Opportunistic records reveal Mediterranean reptiles’ scale-dependent responses to anthropogenic land use</t>
  </si>
  <si>
    <t>608-620</t>
  </si>
  <si>
    <t>Adams and Setterfield</t>
  </si>
  <si>
    <t>Optimal dynamic control of invasions: Applying a systematic conservation approach</t>
  </si>
  <si>
    <t>1131-1141</t>
  </si>
  <si>
    <t>Coppes_etal</t>
  </si>
  <si>
    <t>Outdoor recreation causes effective habitat reduction in capercaillie Tetrao urogallus: a major threat for geographically restricted populations</t>
  </si>
  <si>
    <t>Journal of Avian Biology</t>
  </si>
  <si>
    <t>1583-1594</t>
  </si>
  <si>
    <t>Carle_etal</t>
  </si>
  <si>
    <t>Overlap of Pink-footed Shearwaters and central Chilean purse-seine fisheries: Implications for bycatch risk</t>
  </si>
  <si>
    <t>Gerontologist</t>
  </si>
  <si>
    <t>Cao_etal</t>
  </si>
  <si>
    <t>Ozone pollution in the west China rain zone and its adjacent regions, Southwestern China: Concentrations, ecological risk, and Sources</t>
  </si>
  <si>
    <t>Chemosphere</t>
  </si>
  <si>
    <t>W26576</t>
  </si>
  <si>
    <t>Wwf-Indonesia</t>
  </si>
  <si>
    <t>Palming Off a National Park. Tracking Illegal oil Palm Fruit in Riau, Sumatra</t>
  </si>
  <si>
    <t>Maclean_etal</t>
  </si>
  <si>
    <t>Papyrus swamp drainage and the conservation status of their avifauna</t>
  </si>
  <si>
    <t>Bungnamei and Saikia</t>
  </si>
  <si>
    <t>PARK IN THE PERIPHERY: LAND USE AND LAND COVER CHANGE AND FOREST FRAGMENTATION IN AND AROUND YANGOUPOKPI LOKCHAO WILDLIFE SANCTUARY, MANIPUR, INDIA</t>
  </si>
  <si>
    <t>Geographia Polonica</t>
  </si>
  <si>
    <t>107-120</t>
  </si>
  <si>
    <t>Fakarayi_etal</t>
  </si>
  <si>
    <t>Pattern of land-use and land cover changes in driefontein grassland important bird area, Zimbabwe</t>
  </si>
  <si>
    <t>274-283</t>
  </si>
  <si>
    <t>Trull_etal</t>
  </si>
  <si>
    <t>Patterns and biases of climate change threats in the IUCN Red List</t>
  </si>
  <si>
    <t>Kominoski_etal</t>
  </si>
  <si>
    <t>Patterns and drivers of fish extirpations in rivers of the American Southwest and Southeast</t>
  </si>
  <si>
    <t>1175-1185</t>
  </si>
  <si>
    <t>Foxcroft_etal</t>
  </si>
  <si>
    <t>Patterns of alien plant distribution at multiple spatial scales in a large national park: implications for ecology, management and monitoring</t>
  </si>
  <si>
    <t>367-378</t>
  </si>
  <si>
    <t>Gaoue and Ticktin</t>
  </si>
  <si>
    <t>Patterns of harvesting foliage and bark from the multipurpose tree Khaya senegalensis in Benin: Variation across ecological regions and its impacts on population structure</t>
  </si>
  <si>
    <t>424-436</t>
  </si>
  <si>
    <t>Stelzenmüller_etal</t>
  </si>
  <si>
    <t>Patterns of species and functional diversity around a coastal marine reserve: A fisheries perspective</t>
  </si>
  <si>
    <t>554-565</t>
  </si>
  <si>
    <t>W26572</t>
  </si>
  <si>
    <t>Moneron_etal</t>
  </si>
  <si>
    <t>Pendants, Powder, and Pathways</t>
  </si>
  <si>
    <t>Naderi_etal</t>
  </si>
  <si>
    <t>Persian leopard’s (Panthera pardus saxicolor) unnatural mortality factors analysis in Iran</t>
  </si>
  <si>
    <t>Persistence of trophic hotspots and relation to human impacts within an upwelling marine ecosystem</t>
  </si>
  <si>
    <t>560-574</t>
  </si>
  <si>
    <t>Chaves_etal</t>
  </si>
  <si>
    <t>Pharmaceuticals and personal care products in a Brazilian wetland of international importance: Occurrence and environmental risk assessment</t>
  </si>
  <si>
    <t>Pink sea fans (Eunicella verrucosa) as indicators of the spatial efficacy of Marine Protected Areas in southwest UK coastal waters</t>
  </si>
  <si>
    <t>Yu, S. L., Zhen, J. X., Yang, J. T., Field, R. and Sullivan, D.</t>
  </si>
  <si>
    <t>Planning for Wetland Protection and Restoration in the Yellow River Delta in China</t>
  </si>
  <si>
    <t>563-572</t>
  </si>
  <si>
    <t>Pauchard_etal</t>
  </si>
  <si>
    <t>Plant invasions in protected areas at multiple scales: Linaria vulgaris (Scrophulariaceae) in the West Yellowstone area</t>
  </si>
  <si>
    <t>Western North American Naturalist</t>
  </si>
  <si>
    <t>416-428</t>
  </si>
  <si>
    <t>Good_etal</t>
  </si>
  <si>
    <t>Plastics in the Pacific: Assessing risk from ocean debris for marine birds in the California Current Large Marine Ecosystem</t>
  </si>
  <si>
    <t>Battiston_etal</t>
  </si>
  <si>
    <t>Pleiades HR, a tool for biodiversity conservation: Case of common hamster on the Alsace Plain</t>
  </si>
  <si>
    <t>7114-7116</t>
  </si>
  <si>
    <t>Kahler_etal</t>
  </si>
  <si>
    <t>Poaching Risks in Community-Based Natural Resource Management</t>
  </si>
  <si>
    <t>177-186</t>
  </si>
  <si>
    <t>Partelow_etal</t>
  </si>
  <si>
    <t>Pollution exposure on marine protected areas: A global assessment</t>
  </si>
  <si>
    <t>352-358</t>
  </si>
  <si>
    <t>Vinitpornsawan, S.</t>
  </si>
  <si>
    <t>Population and spatial ecology of tigers and leopards relative to prey availability and human activity in thung yai naresuan (east) wildlife sanctuary, Thailand</t>
  </si>
  <si>
    <t>Hemami_etal</t>
  </si>
  <si>
    <t>Population estimate and distribution pattern of Indian Ocean humpback dolphin (Sousa plumbea) in an industrialised bay, northwestern Persian Gulf</t>
  </si>
  <si>
    <t>631-638</t>
  </si>
  <si>
    <t>Shalders_etal</t>
  </si>
  <si>
    <t>Potential climate-mediated changes to the distribution and density of pomacentrid reef fishes in south-Western Australia</t>
  </si>
  <si>
    <t>Marine Ecology Progress Series</t>
  </si>
  <si>
    <t>223-235</t>
  </si>
  <si>
    <t>Sharma_etal</t>
  </si>
  <si>
    <t>Potential distribution of the critically endangered Chinese pangolin (Manis pentadactyla) in different land covers of Nepal: Implications for conservation</t>
  </si>
  <si>
    <t>Kuemmerle_etal</t>
  </si>
  <si>
    <t>Potential impacts of oil and gas development and climate change on migratory reindeer calving grounds across the Russian Arctic</t>
  </si>
  <si>
    <t>416-429</t>
  </si>
  <si>
    <t>W26587</t>
  </si>
  <si>
    <t>Leach_etal</t>
  </si>
  <si>
    <t>Potential threat to areas of biodiversity importance from current and emerging oil and gas activities in Africa</t>
  </si>
  <si>
    <t>UNEP World Conservation Monitoring Centre</t>
  </si>
  <si>
    <t>Dwyer_etal</t>
  </si>
  <si>
    <t>Power pole density informs spatial prioritization for mitigating avian electrocution</t>
  </si>
  <si>
    <t>634-642</t>
  </si>
  <si>
    <t>Sainsbury_etal</t>
  </si>
  <si>
    <t>Poxviral disease in red squirrels sciurus vulgaris in the UK: Spatial and temporal trends of an emerging threat</t>
  </si>
  <si>
    <t>EcoHealth</t>
  </si>
  <si>
    <t>305-316</t>
  </si>
  <si>
    <t>Smith_etal</t>
  </si>
  <si>
    <t>Predation risk: A potential mechanism for effects of a wind energy facility on Greater Prairie-Chicken survival</t>
  </si>
  <si>
    <t>Predicted distribution of whales at risk: Identifying priority areas to enhance cetacean monitoring in the Northwest Atlantic Ocean</t>
  </si>
  <si>
    <t>437-458</t>
  </si>
  <si>
    <t>Helldin</t>
  </si>
  <si>
    <t>Predicted impacts of transport infrastructure and traffic on bird conservation in Swedish Special Protection Areas</t>
  </si>
  <si>
    <t>Nature Conservation</t>
  </si>
  <si>
    <t>Floyd_etal</t>
  </si>
  <si>
    <t>Predicting and mitigating weed invasions to restore natural post-fire succession in Mesa Verde National Park, Colorado, USA</t>
  </si>
  <si>
    <t>International Journal of Wildland Fire</t>
  </si>
  <si>
    <t>247-259</t>
  </si>
  <si>
    <t>Szabo_etal</t>
  </si>
  <si>
    <t>Predicting avian distributions to evaluate spatiotemporal overlap with locust control operations in eastern Australia</t>
  </si>
  <si>
    <t>2026-2037</t>
  </si>
  <si>
    <t>Roe_etal</t>
  </si>
  <si>
    <t>Predicting bycatch hotspots for endangered leatherback turtles on longlines in the Pacific Ocean</t>
  </si>
  <si>
    <t>Yee and Barron</t>
  </si>
  <si>
    <t>Predicting coral bleaching in response to environmental stressors using 8 years of global-scale data</t>
  </si>
  <si>
    <t>423-438</t>
  </si>
  <si>
    <t>Deith and Brodie</t>
  </si>
  <si>
    <t>Predicting defaunation: Accurately mapping bushmeat hunting pressure over large areas</t>
  </si>
  <si>
    <t>Seiler</t>
  </si>
  <si>
    <t>Predicting locations of moose-vehicle collisions in Sweden</t>
  </si>
  <si>
    <t>371-382</t>
  </si>
  <si>
    <t>Eguchi_etal</t>
  </si>
  <si>
    <t>Predicting overlap between drift gillnet fishing and leatherback turtle habitat in the California Current Ecosystem</t>
  </si>
  <si>
    <t>Fisheries Oceanography</t>
  </si>
  <si>
    <t>17-33</t>
  </si>
  <si>
    <t>Thiault_etal</t>
  </si>
  <si>
    <t>Predicting poaching risk in marine protected areas for improved patrol efficiency</t>
  </si>
  <si>
    <t>Bose_etal</t>
  </si>
  <si>
    <t>Predicting strike susceptibility and collision patterns of the common buzzard at wind turbine structures in the federal state of Brandenburg, Germany</t>
  </si>
  <si>
    <t>Critchell_etal</t>
  </si>
  <si>
    <t>Predicting the exposure of coastal species to plastic pollution in a complex island archipelago</t>
  </si>
  <si>
    <t>982-991</t>
  </si>
  <si>
    <t>Iacona_etal</t>
  </si>
  <si>
    <t>Predicting the invadedness of protected areas</t>
  </si>
  <si>
    <t>430-439</t>
  </si>
  <si>
    <t>Moraes_etal</t>
  </si>
  <si>
    <t>Predicting the potential hybridization zones between native and invasive marmosets within Neotropical biodiversity hotspots</t>
  </si>
  <si>
    <t>Predicting the presence and cover of management relevant invasive plant species on protected areas</t>
  </si>
  <si>
    <t>537-543</t>
  </si>
  <si>
    <t>Garrote_etal</t>
  </si>
  <si>
    <t>Prediction of iberian lynx road–mortality in southern Spain: A new approach using the MaxEnt algorithm</t>
  </si>
  <si>
    <t>Animal Biodiversity and Conservation</t>
  </si>
  <si>
    <t>217-225</t>
  </si>
  <si>
    <t>Gonzalez-Quevedo_etal</t>
  </si>
  <si>
    <t>Predictors of malaria infection in a wild bird population: Landscape-level analyses reveal climatic and anthropogenic factors</t>
  </si>
  <si>
    <t>Journal of Animal Ecology</t>
  </si>
  <si>
    <t>1091-1102</t>
  </si>
  <si>
    <t>Murillo, F. J., Duran, M., Sacau, M., Gonzalez-Troncoso, D. and Serrano, A.</t>
  </si>
  <si>
    <t>Preliminary data on cold-water corals and large sponges by-catch from Spanish/EU bottom trawl groundfish surveys in NAFO Regulatory Area (Divs. 3LMNO) and Canadian EEZ (Div. 3L): 2005-2007 period</t>
  </si>
  <si>
    <t>Garcês_etal</t>
  </si>
  <si>
    <t>Preservation of wild bird species in northern Portugal - Effects of anthropogenic pressures in wild bird populations (2008–2017)</t>
  </si>
  <si>
    <t>2996-3006</t>
  </si>
  <si>
    <t>Ferrarini_etal</t>
  </si>
  <si>
    <t>Preserving the Mediterranean bird flyways: Assessment and prioritization of 38 main wetlands under human and climate threats in Sardinia and Sicily (Italy)</t>
  </si>
  <si>
    <t>Schinegger_etal</t>
  </si>
  <si>
    <t>Pressure-specific and multiple pressure response of fish assemblages in European running waters</t>
  </si>
  <si>
    <t>Limnologica</t>
  </si>
  <si>
    <t>348-361</t>
  </si>
  <si>
    <t>Petrossian</t>
  </si>
  <si>
    <t>Preventing illegal, unreported and unregulated (IUU) fishing: A situational approach</t>
  </si>
  <si>
    <t>39-48</t>
  </si>
  <si>
    <t>Rogers_etal</t>
  </si>
  <si>
    <t>Prioritizing key biodiversity areas in Madagascar by including data on human pressure and ecosystem services</t>
  </si>
  <si>
    <t>48-56</t>
  </si>
  <si>
    <t>Russo_etal</t>
  </si>
  <si>
    <t>Prioritizing road-kill mitigation areas: A spatially explicit national-scale model for an elusive carnivore</t>
  </si>
  <si>
    <t>1093-1103</t>
  </si>
  <si>
    <t>Yang_etal</t>
  </si>
  <si>
    <t>Prioritizing Spatially Aggregated Cost-Effective Sites in Natural Reserves to Mitigate Human-Induced Threats: A Case Study of the Qinghai Plateau, China</t>
  </si>
  <si>
    <t>Yumnam_etal</t>
  </si>
  <si>
    <t>Prioritizing tiger conservation through landscape genetics and habitat linkages</t>
  </si>
  <si>
    <t>Prioritizing West African medicinal plants for conservation and sustainable extraction studies based on market surveys and species distribution models</t>
  </si>
  <si>
    <t>173-181</t>
  </si>
  <si>
    <t>Prioritizing winter habitat quality for greater sage-grouse in a landscape influenced by energy development</t>
  </si>
  <si>
    <t>Steinke and Saito</t>
  </si>
  <si>
    <t>Priority wetlands for conservation of waterbird's diversity in the mirim lagoon catchement area (Brazil-Uruguay)</t>
  </si>
  <si>
    <t>Pan-American Journal of Aquatic Sciences</t>
  </si>
  <si>
    <t>221-239</t>
  </si>
  <si>
    <t>Vanderlaan_etal</t>
  </si>
  <si>
    <t>Probability and mitigation of vessel encounters with North Atlantic right whales</t>
  </si>
  <si>
    <t>273-285</t>
  </si>
  <si>
    <t>Foveau_etal</t>
  </si>
  <si>
    <t>Process-driven and biological characterisation and mapping of seabed habitats sensitive to trawling</t>
  </si>
  <si>
    <t>Projecting impacts of global climate and land-use scenarios on plant biodiversity using compositional-turnover modelling</t>
  </si>
  <si>
    <t>2763-2778</t>
  </si>
  <si>
    <t>Bennett_etal</t>
  </si>
  <si>
    <t>Propagule pressure and stream characteristics influence introgression: Cutthroat and rainbow trout in British Columbia</t>
  </si>
  <si>
    <t>263-277</t>
  </si>
  <si>
    <t>Protected areas and agricultural expansion: Biodiversity conservation versus economic growth in the Southeast of Brazil</t>
  </si>
  <si>
    <t>73-84</t>
  </si>
  <si>
    <t>Vanderpost</t>
  </si>
  <si>
    <t>Protected Areas in Ngamiland, Botswana: Investigating Options for Conservation-Development Through Human Footprint Mapping</t>
  </si>
  <si>
    <t>International Journal of Environmental Studies</t>
  </si>
  <si>
    <t>Gallardo_etal</t>
  </si>
  <si>
    <t>Protected areas offer refuge from invasive species spreading under climate change</t>
  </si>
  <si>
    <t>5331-5343</t>
  </si>
  <si>
    <t>To_etal</t>
  </si>
  <si>
    <t>Protection status and national socio-economic context shape land conversion in and around a key transboundary protected area complex in West Africa</t>
  </si>
  <si>
    <t>Remote Sensing in Ecology and Conservation</t>
  </si>
  <si>
    <t>W26579</t>
  </si>
  <si>
    <t>Carroll</t>
  </si>
  <si>
    <t>Pulse of the Forest: The state of the Greater Mekong's Forests and the everyday people working to protect them</t>
  </si>
  <si>
    <t>WWF-Greater Mekong Forest Programme</t>
  </si>
  <si>
    <t>Polaina_etal</t>
  </si>
  <si>
    <t>Putting susceptibility on the map to improve conservation planning, an example with terrestrial mammals</t>
  </si>
  <si>
    <t>881-892</t>
  </si>
  <si>
    <t>Martínez-Freiría and Brito</t>
  </si>
  <si>
    <t>Quantification of road mortality for amphibians and reptiles in Hoces del Alto Ebro y Rudrón Natural Park in 2005</t>
  </si>
  <si>
    <t>Basic and Applied Herpetology</t>
  </si>
  <si>
    <t>33-41</t>
  </si>
  <si>
    <t>Walker_etal</t>
  </si>
  <si>
    <t>Quantifying habitat loss and modification from recent expansion of energy infrastructure in an isolated, peripheral greater sage-grouse population</t>
  </si>
  <si>
    <t>Meijaard_etal</t>
  </si>
  <si>
    <t>Quantifying killing of orangutans and human-orangutan conflict in Kalimantan, Indonesia</t>
  </si>
  <si>
    <t>Williams Sara, H.</t>
  </si>
  <si>
    <t>Quantifying the Ecological Processes Underlying Collisions Between Large Baleen Whales and Large Ships to Evaluate Risk</t>
  </si>
  <si>
    <t>Al-Chokhachy_etal</t>
  </si>
  <si>
    <t>Quantifying the Effectiveness of Conservation Measures to Control the Spread of Anthropogenic Hybridization in Stream Salmonids: a Climate Adaptation Case Study</t>
  </si>
  <si>
    <t>North American Journal of Fisheries Management</t>
  </si>
  <si>
    <t>642-652</t>
  </si>
  <si>
    <t>Hao_etal</t>
  </si>
  <si>
    <t>Quantifying the effects of overgrazing on mountainous watershed vegetation dynamics under a changing climate</t>
  </si>
  <si>
    <t>1408-1420</t>
  </si>
  <si>
    <t>Zhao_etal</t>
  </si>
  <si>
    <t>Quantifying the heavy metal risks from anthropogenic contributions in Sichuan panda (Ailuropoda melanoleuca melanoleuca) habitat</t>
  </si>
  <si>
    <t>Quantifying the Relative Importance of Climate Change and Human Activities on Selected Wetland Ecosystems in China</t>
  </si>
  <si>
    <t>Asharfi_etal</t>
  </si>
  <si>
    <t>QUANTITATIVE ASSESSMENT OF FOREST ECOSYSTEM STRESS CAUSED BY CEMENT PLANT POLLUTION USING IN SITU MEASUREMENTS AND SENTINEL-2 SATELLITE DATA IN A PART OF THE UNESCO WORLD HERITAGE SITE</t>
  </si>
  <si>
    <t>European Journal of Environmental Sciences</t>
  </si>
  <si>
    <t>22-31</t>
  </si>
  <si>
    <t>Stelzenmuller_etal</t>
  </si>
  <si>
    <t>Quantitative environmental risk assessments in the context of marine spatial management: current approaches and some perspectives</t>
  </si>
  <si>
    <t>Ices Journal of Marine Science</t>
  </si>
  <si>
    <t>1022-1042</t>
  </si>
  <si>
    <t>Ruiz-Orejón_etal</t>
  </si>
  <si>
    <t>Quarterly variability of floating plastic debris in the marine protected area of the Menorca Channel (Spain)</t>
  </si>
  <si>
    <t>1742-1754</t>
  </si>
  <si>
    <t>Dillon Whalen_etal</t>
  </si>
  <si>
    <t>Range-Wide Threats to a Foundation Tree Species from Disturbance Interactions</t>
  </si>
  <si>
    <t>Madron?o</t>
  </si>
  <si>
    <t>139-150</t>
  </si>
  <si>
    <t>Grech and Marsh</t>
  </si>
  <si>
    <t>Rapid assessment of risks to a mobile marine mammal in an ecosystem-scale marine protected area</t>
  </si>
  <si>
    <t>711-720</t>
  </si>
  <si>
    <t>Rapid deforestation threatens mid-elevational endemic birds but climate change is most important at higher elevations</t>
  </si>
  <si>
    <t>773-785</t>
  </si>
  <si>
    <t>De Thoisy_etal</t>
  </si>
  <si>
    <t>Rapid evaluation of threats to biodiversity: Human footprint score and large vertebrate species responses in French Guiana</t>
  </si>
  <si>
    <t>1567-1584</t>
  </si>
  <si>
    <t>Richards and Friess</t>
  </si>
  <si>
    <t>Rates and drivers of mangrove deforestation in Southeast Asia, 2000-2012</t>
  </si>
  <si>
    <t>344-349</t>
  </si>
  <si>
    <t>Dahdouh-Guebas_etal</t>
  </si>
  <si>
    <t>Recent changes in land-use in the Pambala-Chilaw Lagoon complex (Sri Lanka) investigated using remote sensing and GIS: Conservation of mangroves vs. development of shrimp farming</t>
  </si>
  <si>
    <t>Environment, Development and Sustainability</t>
  </si>
  <si>
    <t>185-200</t>
  </si>
  <si>
    <t>Tovar_etal</t>
  </si>
  <si>
    <t>Recent Changes in Patch Characteristics and Plant Communities in the Jalca Grasslands of the Peruvian Andes</t>
  </si>
  <si>
    <t>321-330</t>
  </si>
  <si>
    <t>Recent increases in human pressure and forest loss threaten many Natural World Heritage Sites</t>
  </si>
  <si>
    <t>47-55</t>
  </si>
  <si>
    <t>Newell</t>
  </si>
  <si>
    <t>Recent invasions of World Heritage rainforests in north-east New South Wales by the cane toad Bufo marinus</t>
  </si>
  <si>
    <t>Australian Zoologist</t>
  </si>
  <si>
    <t>876-883</t>
  </si>
  <si>
    <t>Reconciling endangered species conservation with wind farm development: Cinereous vultures (Aegypius monachus) in south-eastern Europe</t>
  </si>
  <si>
    <t>W26583</t>
  </si>
  <si>
    <t>Stoner and Pervushina</t>
  </si>
  <si>
    <t>Reduced to Skin and Bones Revisited: An updated analysis of tiger seizures from 12 Tiger range countries (2000 - 2012).</t>
  </si>
  <si>
    <t>Gilman_etal</t>
  </si>
  <si>
    <t>Reducing seabird bycatch in the Hawaii longline tuna fishery</t>
  </si>
  <si>
    <t>309-323</t>
  </si>
  <si>
    <t>Daly_etal</t>
  </si>
  <si>
    <t>Refuges and risks: Evaluating the benefits of an expanded MPA network for mobile apex predators</t>
  </si>
  <si>
    <t>1217-1230</t>
  </si>
  <si>
    <t>Heard_etal</t>
  </si>
  <si>
    <t>Refugia and connectivity sustain amphibian metapopulations afflicted by disease</t>
  </si>
  <si>
    <t>Ecology Letters</t>
  </si>
  <si>
    <t>853-863</t>
  </si>
  <si>
    <t>De Noronha_etal</t>
  </si>
  <si>
    <t>Regional challenges in tourist wetland systems: An integrated approach to the Ria Formosa in the Algarve, Portugal</t>
  </si>
  <si>
    <t>33-42</t>
  </si>
  <si>
    <t>Chevaldonné and Lejeusne</t>
  </si>
  <si>
    <t>Regional warming-induced species shift in north-west mediterranean marine caves</t>
  </si>
  <si>
    <t>371-379</t>
  </si>
  <si>
    <t>Roscioni_etal</t>
  </si>
  <si>
    <t>Regional-scale modelling of the cumulative impact of wind farms on bats</t>
  </si>
  <si>
    <t>1821-1835</t>
  </si>
  <si>
    <t>Esetlili_etal</t>
  </si>
  <si>
    <t>Relationship between highway constructions and natural habitat. a case study of izmir highway</t>
  </si>
  <si>
    <t>Journal of Environmental Protection and Ecology</t>
  </si>
  <si>
    <t>1881-1892</t>
  </si>
  <si>
    <t>Linke_etal</t>
  </si>
  <si>
    <t>Relationships between grizzly bears and human disturbances in a rapidly changing multi-use forest landscape</t>
  </si>
  <si>
    <t>54-63</t>
  </si>
  <si>
    <t>Velado-Alonso_etal</t>
  </si>
  <si>
    <t>Relationships between the distribution of wildlife and livestock diversity</t>
  </si>
  <si>
    <t>1264-1275</t>
  </si>
  <si>
    <t>Topp-Jorgensen_etal</t>
  </si>
  <si>
    <t>Relative densities of mammals in response to different levels of bushmeat hunting in the Udzungwa Mountains, Tanzania</t>
  </si>
  <si>
    <t>70-87</t>
  </si>
  <si>
    <t>Santos_etal</t>
  </si>
  <si>
    <t>Relative effects of road risk, habitat suitability, and connectivity on wildlife roadkills: The case of tawny owls (Strix aluco)</t>
  </si>
  <si>
    <t>Andersen_etal</t>
  </si>
  <si>
    <t>Relative impacts of multiple human stressors in estuaries and coastal waters in the North Sea–Baltic Sea transition zone</t>
  </si>
  <si>
    <t>Ghulam_etal</t>
  </si>
  <si>
    <t>Remote Sensing Based Spatial Statistics to Document Tropical Rainforest Transition Pathways</t>
  </si>
  <si>
    <t>6257-6279</t>
  </si>
  <si>
    <t>Gairola_etal</t>
  </si>
  <si>
    <t>Remote sensing object-oriented approaches coupled with ecological informatics to map invasive plant species</t>
  </si>
  <si>
    <t>285-300</t>
  </si>
  <si>
    <t>147-155</t>
  </si>
  <si>
    <t>Wiemeyer_etal</t>
  </si>
  <si>
    <t>Repeated conservation threats across the Americas: High levels of blood and bone lead in the Andean Condor widen the problem to a continental scale</t>
  </si>
  <si>
    <t>672-679</t>
  </si>
  <si>
    <t>Mondal and Zhang</t>
  </si>
  <si>
    <t>Research progress on changes in land use and land cover in the Western Himalayas (India) and effects on ecosystem services</t>
  </si>
  <si>
    <t>Bebbington_etal</t>
  </si>
  <si>
    <t>Resource extraction and infrastructure threaten forest cover and community rights</t>
  </si>
  <si>
    <t>13164-13173</t>
  </si>
  <si>
    <t>Thongmanivong_etal</t>
  </si>
  <si>
    <t>Resource use dynamics and land-cover change in Ang Nhai Village and Phou Phanang National Reserve Forest, Lao PDR</t>
  </si>
  <si>
    <t>382-393</t>
  </si>
  <si>
    <t>Monette Dean, J.</t>
  </si>
  <si>
    <t>Resource use, competition, grazing behavior, and ecosystem invasion impacts of &lt;i&gt;Pomacea maculata&lt;/i&gt;</t>
  </si>
  <si>
    <t>Mosbahi_etal</t>
  </si>
  <si>
    <t>Response of benthic macrofauna to multiple anthropogenic pressures in the shallow coastal zone south of Sfax (Tunisia, central Mediterranean Sea)</t>
  </si>
  <si>
    <t>474-487</t>
  </si>
  <si>
    <t>Maseko_etal</t>
  </si>
  <si>
    <t>Response of Crested Guinea-fowl (Guttera edouardi), a forest specialist, to spatial variation in land use in iSimangaliso Wetland Park, South Africa</t>
  </si>
  <si>
    <t>Journal of Ornithology</t>
  </si>
  <si>
    <t>469-477</t>
  </si>
  <si>
    <t>Quadroni_etal</t>
  </si>
  <si>
    <t>Response of stream benthic macroinvertebrates to current water management in Alpine catchments massively developed for hydropower</t>
  </si>
  <si>
    <t>484-496</t>
  </si>
  <si>
    <t>Amano_etal</t>
  </si>
  <si>
    <t>Responses of global waterbird populations to climate change vary with latitude</t>
  </si>
  <si>
    <t>Nogueira_etal</t>
  </si>
  <si>
    <t>Restricted-range fishes and the conservation of Brazilian freshwaters</t>
  </si>
  <si>
    <t>Compa_etal</t>
  </si>
  <si>
    <t>Risk assessment of plastic pollution on marine diversity in the Mediterranean Sea</t>
  </si>
  <si>
    <t>188-196</t>
  </si>
  <si>
    <t>Risk assessment of riparian plant invasions into protected areas</t>
  </si>
  <si>
    <t>412-421</t>
  </si>
  <si>
    <t>Márquez_etal</t>
  </si>
  <si>
    <t>Risk mapping of illegal poisoning of avian and mammalian predators</t>
  </si>
  <si>
    <t>75-83</t>
  </si>
  <si>
    <t>Risk of biological invasions is concentrated in biodiversity hotspots</t>
  </si>
  <si>
    <t>411-417</t>
  </si>
  <si>
    <t>Kim_etal</t>
  </si>
  <si>
    <t>Risk-based fisheries assessment considering spatio-temporal component for Korean waters</t>
  </si>
  <si>
    <t>Risks to birds traded for African traditional medicine: A quantitative assessment</t>
  </si>
  <si>
    <t>Mohammadi_etal</t>
  </si>
  <si>
    <t>Road expansion: A challenge to conservation of mammals, with particular emphasis on the endangered Asiatic cheetah in Iran</t>
  </si>
  <si>
    <t>Road impacts a tipping point for wildlife populations in threatened landscapes</t>
  </si>
  <si>
    <t>Population Ecology</t>
  </si>
  <si>
    <t>215-227</t>
  </si>
  <si>
    <t>Garcia-Carrasco_etal</t>
  </si>
  <si>
    <t>Roadkill of birds in Galapagos Islands: a growing need for solutions</t>
  </si>
  <si>
    <t>Avian Conservation and Ecology</t>
  </si>
  <si>
    <t>Hassan_etal</t>
  </si>
  <si>
    <t>Rohingya refugee crisis and forest cover change in Teknaf, Bangladesh</t>
  </si>
  <si>
    <t>Zhai_etal</t>
  </si>
  <si>
    <t>Rubber and pulp plantations represent a double threat to Hainan's natural tropical forests</t>
  </si>
  <si>
    <t>Gallagher_etal</t>
  </si>
  <si>
    <t>Safety margins and adaptive capacity of vegetation to climate change</t>
  </si>
  <si>
    <t>Doherty Kevin, E.</t>
  </si>
  <si>
    <t>Sage-grouse and energy development: Integrating science with conservation planning to reduce impacts</t>
  </si>
  <si>
    <t>Satellite remote sensing to monitor mangrove forest resilience and resistance to sea level rise</t>
  </si>
  <si>
    <t>Methods in Ecology and Evolution</t>
  </si>
  <si>
    <t>1837-1852</t>
  </si>
  <si>
    <t>Clare_etal</t>
  </si>
  <si>
    <t>Satellite-detected forest disturbance forecasts American marten population decline: The case for supportive space-based monitoring</t>
  </si>
  <si>
    <t>336-345</t>
  </si>
  <si>
    <t>Bartolino_etal</t>
  </si>
  <si>
    <t>Scale-dependent detection of the effects of harvesting a marine fish population</t>
  </si>
  <si>
    <t>251-261</t>
  </si>
  <si>
    <t>Hegland and Hamre</t>
  </si>
  <si>
    <t>Scale-dependent effects of landscape composition and configuration on deer-vehicle collisions and their relevance to mitigation and planning options</t>
  </si>
  <si>
    <t>178-184</t>
  </si>
  <si>
    <t>Marega-Imamura_etal</t>
  </si>
  <si>
    <t>Scientific collaboration networks in research on human threats to cetaceans in Brazil</t>
  </si>
  <si>
    <t>Loerzel_etal</t>
  </si>
  <si>
    <t>SCUBA divers above the waterline: Using participatory mapping of coral reef conditions to inform reef management</t>
  </si>
  <si>
    <t>79-89</t>
  </si>
  <si>
    <t>Reece_etal</t>
  </si>
  <si>
    <t>Sea level rise, land use, and climate change influence the distribution of loggerhead turtle nests at the largest USA rookery (Melbourne Beach, Florida)</t>
  </si>
  <si>
    <t>259-+</t>
  </si>
  <si>
    <t>Morton_etal</t>
  </si>
  <si>
    <t>Sea lice dispersion and salmon survival in relation to salmon farm activity in the Broughton Archipelago</t>
  </si>
  <si>
    <t>144-156</t>
  </si>
  <si>
    <t>Price_etal</t>
  </si>
  <si>
    <t>Sea louse infection of juvenile sockeye salmon in relation to marine salmon farms on Canada's west coast</t>
  </si>
  <si>
    <t>Jones_etal</t>
  </si>
  <si>
    <t>Seals and shipping: quantifying population risk and individual exposure to vessel noise</t>
  </si>
  <si>
    <t>1930-1940</t>
  </si>
  <si>
    <t>Campana_etal</t>
  </si>
  <si>
    <t>Seasonal patterns of floating macro-litter across the Western Mediterranean Sea: a potential threat for cetacean species</t>
  </si>
  <si>
    <t>Rendiconti Lincei. Scienze Fisiche e Naturali</t>
  </si>
  <si>
    <t>453-467</t>
  </si>
  <si>
    <t>Wong_etal</t>
  </si>
  <si>
    <t>Seasonal vessel activity risk to seabirds in waters off Baffin Island, Canada</t>
  </si>
  <si>
    <t>339-351</t>
  </si>
  <si>
    <t>Hayes_etal</t>
  </si>
  <si>
    <t>Seasonally-Dynamic Presence-Only Species Distribution Models for a Cryptic Migratory Bat Impacted by Wind Energy Development</t>
  </si>
  <si>
    <t>Poos_etal</t>
  </si>
  <si>
    <t>Secondary invasion of the round goby into high diversity Great Lakes tributaries and species at risk hotspots: Potential new concerns for endangered freshwater species</t>
  </si>
  <si>
    <t>1269-1284</t>
  </si>
  <si>
    <t>Carrasco_etal</t>
  </si>
  <si>
    <t>Selecting priority areas for the conservation of endemic trees species and their ecosystems in Madagascar considering both conservation value and vulnerability to human pressure</t>
  </si>
  <si>
    <t>1841-1854</t>
  </si>
  <si>
    <t>Zacharias and Gregr</t>
  </si>
  <si>
    <t>Sensitivity and vulnerability in marine environments: An approach to identifying vulnerable marine areas</t>
  </si>
  <si>
    <t>86-97</t>
  </si>
  <si>
    <t>Dorcas_etal</t>
  </si>
  <si>
    <t>Severe mammal declines coincide with proliferation of invasive Burmese pythons in Everglades National Park</t>
  </si>
  <si>
    <t>2418-2422</t>
  </si>
  <si>
    <t>Mucientes_etal</t>
  </si>
  <si>
    <t>Sexual segregation of pelagic sharks and the potential threat from fisheries</t>
  </si>
  <si>
    <t>Biology Letters</t>
  </si>
  <si>
    <t>156-159</t>
  </si>
  <si>
    <t>Birkmanis_etal</t>
  </si>
  <si>
    <t>Shark conservation hindered by lack of habitat protection</t>
  </si>
  <si>
    <t>Jacoby_etal</t>
  </si>
  <si>
    <t>Shark movement strategies influence poaching risk and can guide enforcement decisions in a large, remote marine protected area</t>
  </si>
  <si>
    <t>Magioli_etal</t>
  </si>
  <si>
    <t>Short and narrow roads cause substantial impacts on wildlife</t>
  </si>
  <si>
    <t>Oecologia Australis</t>
  </si>
  <si>
    <t>W26585</t>
  </si>
  <si>
    <t>Wong</t>
  </si>
  <si>
    <t>Skin and Bones Unresolved: An Analysis of Tiger Seizures from 2000–2018.</t>
  </si>
  <si>
    <t>TRAFFIC, Southeast Asia regional office</t>
  </si>
  <si>
    <t>Sini_etal</t>
  </si>
  <si>
    <t>Small-scale coastal fishing shapes the structure of shallow rocky reef fish in the aegean sea</t>
  </si>
  <si>
    <t>OCT</t>
  </si>
  <si>
    <t>W26592</t>
  </si>
  <si>
    <t>Humber_etal</t>
  </si>
  <si>
    <t>So excellent a fishe: a global overview of legal marine turtle fisheries</t>
  </si>
  <si>
    <t>579-590</t>
  </si>
  <si>
    <t>Chun_etal</t>
  </si>
  <si>
    <t>Social big data informs spatially explicit management options for national parks with high tourism pressures</t>
  </si>
  <si>
    <t>Tourism Management</t>
  </si>
  <si>
    <t>Abreo_etal</t>
  </si>
  <si>
    <t>Social media as a novel source of data on the impact of marine litter on megafauna: The Philippines as a case study</t>
  </si>
  <si>
    <t>51-59</t>
  </si>
  <si>
    <t>Nieman_etal</t>
  </si>
  <si>
    <t>Socioeconomic and biophysical determinants of wire-snare poaching incidence and behaviour in the Boland Region of South Africa</t>
  </si>
  <si>
    <t>Soil metal concentrations and vegetative assemblage structure in an urban brownfield</t>
  </si>
  <si>
    <t>351-361</t>
  </si>
  <si>
    <t>Mali?-Limari_etal</t>
  </si>
  <si>
    <t>Spatial analyses of landcover and relief diversity of the Medvednica Nature Park - Possible implications for optimising visitor pressure</t>
  </si>
  <si>
    <t>Sumarski List</t>
  </si>
  <si>
    <t>547-555</t>
  </si>
  <si>
    <t>Durango-Cordero_etal</t>
  </si>
  <si>
    <t>Spatial analysis of accidental oil spills using heterogeneous data: A case study from the North-Eastern Ecuadorian Amazon</t>
  </si>
  <si>
    <t>Ambastha_etal</t>
  </si>
  <si>
    <t>Spatial analysis of anthropogenic disturbances in mangrove forests of Bhitarkanika Conservation Area, India</t>
  </si>
  <si>
    <t>67-83</t>
  </si>
  <si>
    <t>Keith_etal</t>
  </si>
  <si>
    <t>Spatial Analysis of Risks Posed by Root Rot Pathogen, Phytophthora cinnamomi: Implications for Disease Management</t>
  </si>
  <si>
    <t>Proceedings of the Linnean Society of New South Wales</t>
  </si>
  <si>
    <t>B147-B179</t>
  </si>
  <si>
    <t>Nagarajan_etal</t>
  </si>
  <si>
    <t>Spatial and dietary overlap between blackbuck (Antilope cervicapra) and feral horse (Equus caballus) at Point Calimere Wildlife Sanctuary, Southern India: Competition between native versus introduced species</t>
  </si>
  <si>
    <t>295-302</t>
  </si>
  <si>
    <t>González-Suárez_etal</t>
  </si>
  <si>
    <t>Spatial and species-level predictions of road mortality risk using trait data</t>
  </si>
  <si>
    <t>1093-1105</t>
  </si>
  <si>
    <t>Spatial and temporal changes in cumulative human impacts on the world's ocean</t>
  </si>
  <si>
    <t>Stephenson_etal</t>
  </si>
  <si>
    <t>Spatial and temporal changes in pot-fishing effort and habitat use</t>
  </si>
  <si>
    <t>2201-2212</t>
  </si>
  <si>
    <t>Tarrant_etal</t>
  </si>
  <si>
    <t>Spatial Assessment of Amphibian Chytrid Fungus (Batrachochytrium dendrobatidis) in South Africa Confirms Endemic and Widespread Infection</t>
  </si>
  <si>
    <t>Purroy_etal</t>
  </si>
  <si>
    <t>Spatial assessment of artisanal fisheries and their potential impact on the seabed: the Cap de Creus regional case study (northwestern Mediterranean Sea)</t>
  </si>
  <si>
    <t>449-459</t>
  </si>
  <si>
    <t>Crano</t>
  </si>
  <si>
    <t>Spatial assessment of ecosystem impacts from recreational trails in the San Bernardino National Forest</t>
  </si>
  <si>
    <t>Moreira_etal</t>
  </si>
  <si>
    <t>Spatial assessment of habitat conservation status in a Macaronesian island based on the InVEST model: a case study of Pico Island (Azores, Portugal)</t>
  </si>
  <si>
    <t>637-649</t>
  </si>
  <si>
    <t>Spatial assessment of the potential impact of infrastructure development on biodiversity conservation in lowland Nepal</t>
  </si>
  <si>
    <t>ISPRS International Journal of Geo-Information</t>
  </si>
  <si>
    <t>Wanghe_etal</t>
  </si>
  <si>
    <t>Spatial coincidence between mining activities and protected areas of giant panda habitat: The geographic overlaps and implications for conservation</t>
  </si>
  <si>
    <t>Ramirez_etal</t>
  </si>
  <si>
    <t>Spatial congruence between multiple stressors in the Mediterranean Sea may reduce its resilience to climate impacts</t>
  </si>
  <si>
    <t>Soh_etal</t>
  </si>
  <si>
    <t>Spatial correlates of livestock depredation by Amur tigers in Hunchun, China: Relevance of prey density and implications for protected area management</t>
  </si>
  <si>
    <t>Mcfadden-Hiller_etal</t>
  </si>
  <si>
    <t>Spatial distribution of black bear incident reports in Michigan</t>
  </si>
  <si>
    <t>Barthelmess</t>
  </si>
  <si>
    <t>Spatial distribution of road-kills and factors influencing road mortality for mammals in Northern New York State</t>
  </si>
  <si>
    <t>2491-2514</t>
  </si>
  <si>
    <t>Prosser_etal</t>
  </si>
  <si>
    <t>Spatial modeling of wild bird risk factors for highly pathogenic a(H5N1) avian influenza virus transmission</t>
  </si>
  <si>
    <t>329-336</t>
  </si>
  <si>
    <t>Farfán_etal</t>
  </si>
  <si>
    <t>Spatial modelling for predicting potential wildlife distributions and human impacts in the Dja Forest Reserve, Cameroon</t>
  </si>
  <si>
    <t>104-112</t>
  </si>
  <si>
    <t>Padalia and Bahuguna</t>
  </si>
  <si>
    <t>Spatial modelling of congruence of native biodiversity and potential hotspots of forest invasive species (FIS) in central Indian landscape</t>
  </si>
  <si>
    <t>29-37</t>
  </si>
  <si>
    <t>Skaer, T. and Meghan, J.</t>
  </si>
  <si>
    <t>Spatial Pattern in Invasive Grasses of California: Demography, Competition, and Environmental Alteration</t>
  </si>
  <si>
    <t>Parnell_etal</t>
  </si>
  <si>
    <t>Spatial patterns of fishing effort off San Diego: Implications for zonal management and ecosystem function</t>
  </si>
  <si>
    <t>2203-2222</t>
  </si>
  <si>
    <t>Katsis_etal</t>
  </si>
  <si>
    <t>Spatial Patterns of Primate Electrocutions in Diani, Kenya</t>
  </si>
  <si>
    <t>493-510</t>
  </si>
  <si>
    <t>Rifaie_etal</t>
  </si>
  <si>
    <t>Spatial point pattern analysis of the sumatran tiger (Panthera tigris sumatrae) poaching cases in and around kerinci seblat national park, sumatra</t>
  </si>
  <si>
    <t>Biodiversitas</t>
  </si>
  <si>
    <t>311-319</t>
  </si>
  <si>
    <t>Spatial resilience of the Great Barrier Reef under cumulative disturbance impacts</t>
  </si>
  <si>
    <t>2431-2445</t>
  </si>
  <si>
    <t>Chen</t>
  </si>
  <si>
    <t>Spatial risk assessment of alien plants in China using biodiversity resistance theory</t>
  </si>
  <si>
    <t>Computational Ecology and Software</t>
  </si>
  <si>
    <t>82-88</t>
  </si>
  <si>
    <t>Kantola_etal</t>
  </si>
  <si>
    <t>Spatial risk assessment of eastern monarch butterfly road mortality during autumn migration within the southern corridor</t>
  </si>
  <si>
    <t>150-160</t>
  </si>
  <si>
    <t>Scolozzi and Geneletti</t>
  </si>
  <si>
    <t>Spatial rule-based assessment of habitat potential to predict impact of land use changes on biodiversity at municipal scale</t>
  </si>
  <si>
    <t>368-383</t>
  </si>
  <si>
    <t>Kooistra_etal</t>
  </si>
  <si>
    <t>Spatial variability and uncertainty ecological risk assessment: A case study on the potential risk of cadmium for the little owl in a Dutch river flood plain</t>
  </si>
  <si>
    <t>2177-2187</t>
  </si>
  <si>
    <t>Snyder_etal</t>
  </si>
  <si>
    <t>Spatial variability of an invasive earthworm (Amynthas agrestis) population and potential impacts on soil characteristics and millipedes in the Great Smoky Mountains National Park, USA</t>
  </si>
  <si>
    <t>349-358</t>
  </si>
  <si>
    <t>Abade_etal</t>
  </si>
  <si>
    <t>Spatial variation in leopard (Panthera pardus) site use across a gradient of anthropogenic pressure in Tanzania's Ruaha landscape</t>
  </si>
  <si>
    <t>Vangansbeke_etal</t>
  </si>
  <si>
    <t>Spatially combining wood production and recreation with biodiversity conservation</t>
  </si>
  <si>
    <t>3213-3239</t>
  </si>
  <si>
    <t>Awkerman_etal</t>
  </si>
  <si>
    <t>Spatially explicit assessment of estuarine fish after Deepwater Horizon oil spill: Trade-off in complexity and parsimony</t>
  </si>
  <si>
    <t>1708-1720</t>
  </si>
  <si>
    <t>Di Fulvio_etal</t>
  </si>
  <si>
    <t>Spatially explicit LCA analysis of biodiversity losses due to different bioenergy policies in the European Union</t>
  </si>
  <si>
    <t>1505-1516</t>
  </si>
  <si>
    <t>Braunisch_etal</t>
  </si>
  <si>
    <t>Spatially explicit modeling of conflict zones between wildlife and snow sports: Prioritizing areas for winter refuges</t>
  </si>
  <si>
    <t>955-967</t>
  </si>
  <si>
    <t>Spatially explicit multi-threat assessment of food tree species in Burkina Faso: A fine-scale approach</t>
  </si>
  <si>
    <t>Spatially explicit risk approach for multi-hazard assessment and management in marine environment: The case study of the Adriatic Sea</t>
  </si>
  <si>
    <t>1008-1023</t>
  </si>
  <si>
    <t>Deribew</t>
  </si>
  <si>
    <t>Spatially explicit statistical modeling of random and systematic land cover transitions in the main grassland plain of Nech Sar National Park, Ethiopia</t>
  </si>
  <si>
    <t>Spatially explicit trends in the global conservation status of vertebrates</t>
  </si>
  <si>
    <t>Leeney_etal</t>
  </si>
  <si>
    <t>Spatio-temporal analysis of cetacean strandings and bycatch in a UK fisheries hotspot</t>
  </si>
  <si>
    <t>2323-2338</t>
  </si>
  <si>
    <t>Tapia-Armijos_etal</t>
  </si>
  <si>
    <t>Spatio-temporal analysis of the human footprint in South Ecuador: Influence of human pressure on ecosystems and effectiveness of protected areas</t>
  </si>
  <si>
    <t>22-32</t>
  </si>
  <si>
    <t>Yin_etal</t>
  </si>
  <si>
    <t>Spatio-temporal analysis of the human footprint in the Hengduan Mountain region: Assessing the effectiveness of nature reserves in reducing human impacts</t>
  </si>
  <si>
    <t>1140-1154</t>
  </si>
  <si>
    <t>Herr_etal</t>
  </si>
  <si>
    <t>Spatio-temporal associations between harbour porpoise Phocoena phocoena and specific fisheries in the German Bight</t>
  </si>
  <si>
    <t>2962-2972</t>
  </si>
  <si>
    <t>Mijele_etal</t>
  </si>
  <si>
    <t>Spatio-Temporal Distribution of Injured Elephants in Masai Mara and the Putative Negative and Positive Roles of the Local Community</t>
  </si>
  <si>
    <t>Mwendwa_etal</t>
  </si>
  <si>
    <t>Spatio-temporal invasion dynamics of Maesopsis eminii in Amani Nature Forest Reserve, Tanzania</t>
  </si>
  <si>
    <t>Isunju and Kemp</t>
  </si>
  <si>
    <t>Spatiotemporal analysis of encroachment on wetlands: A case of Nakivubo wetland in Kampala, Uganda</t>
  </si>
  <si>
    <t>Hurley_etal</t>
  </si>
  <si>
    <t>Spatiotemporal bycatch analysis of the Atlantic halibut ( Hippoglossus hippoglossus ) longline fishery survey indicates hotspots for species of conservation concern</t>
  </si>
  <si>
    <t>Conservation Science and Practice</t>
  </si>
  <si>
    <t>Spatiotemporal changes of vegetation and land surface temperature in the refugee camps and its surrounding areas of Bangladesh after the Rohingya influx from Myanmar</t>
  </si>
  <si>
    <t>Correa_etal</t>
  </si>
  <si>
    <t>Spatiotemporal evaluation of the human footprint in Colombia: Four decades of anthropic impact in highly biodiverse ecosystems</t>
  </si>
  <si>
    <t>Calvert_etal</t>
  </si>
  <si>
    <t>Spatiotemporal heterogeneity of greater snow goose harvest and implications for hunting regulations</t>
  </si>
  <si>
    <t>561-573</t>
  </si>
  <si>
    <t>Spatiotemporal identification of roadkill probability and systematic conservation planning</t>
  </si>
  <si>
    <t>White</t>
  </si>
  <si>
    <t>Spatiotemporal variation in fire occurrence in the state of Amazonas, Brazil, between 2003 and 2016</t>
  </si>
  <si>
    <t>Acta Amazonica</t>
  </si>
  <si>
    <t>358-367</t>
  </si>
  <si>
    <t>Pupina_etal</t>
  </si>
  <si>
    <t>Species distribution modelling: Bombina bombina (linnaeus, 1761) and its important invasive threat perccottus glenii (dybowski, 1877) in Latvia under global climate change</t>
  </si>
  <si>
    <t>Environmental Research, Engineering and Management</t>
  </si>
  <si>
    <t>79-86</t>
  </si>
  <si>
    <t>Rímalová_etal</t>
  </si>
  <si>
    <t>Species-specific pattern of crayfish distribution within a river network relates to habitat degradation: implications for conservation</t>
  </si>
  <si>
    <t>3301-3317</t>
  </si>
  <si>
    <t>Paredes_etal</t>
  </si>
  <si>
    <t>Stable isotopes in helophytes reflect anthropogenic nitrogen pollution in entry streams at the Doñana World Heritage Site</t>
  </si>
  <si>
    <t>130-140</t>
  </si>
  <si>
    <t>Thiebot_etal</t>
  </si>
  <si>
    <t>Stage-dependent distribution of the Critically Endangered Amsterdam albatross in relation to Economic Exclusive Zones</t>
  </si>
  <si>
    <t>263-276</t>
  </si>
  <si>
    <t>W26581</t>
  </si>
  <si>
    <t>Sylvia_etal</t>
  </si>
  <si>
    <t>Status of electronic collection and reporting of key information in major fisheries</t>
  </si>
  <si>
    <t>Rorabaugh_etal</t>
  </si>
  <si>
    <t>Status of the threatened chiricahua leopard frog and conservation challenges in Sonora, Mexico, with notes on other ranid frogs and non-native predators</t>
  </si>
  <si>
    <t>Herpetological Conservation and Biology</t>
  </si>
  <si>
    <t>17-32</t>
  </si>
  <si>
    <t>Obusan_etal</t>
  </si>
  <si>
    <t>Stranding events in the Philippines provide evidence for impacts of human interactions on cetaceans</t>
  </si>
  <si>
    <t>41-51</t>
  </si>
  <si>
    <t>Lee, K.</t>
  </si>
  <si>
    <t>Stranding Mortality Patterns in California Sea Lions and Steller Sea Lions in Oregon and Southern Washington, 2006 to 2014</t>
  </si>
  <si>
    <t>Henriques_etal</t>
  </si>
  <si>
    <t>Structural and functional trends indicate fishing pressure on marine fish assemblages</t>
  </si>
  <si>
    <t>623-631</t>
  </si>
  <si>
    <t>Troy Jeff, R.</t>
  </si>
  <si>
    <t>Studies of artificial light, seabird fallout, and habitat suitability concerning newell's shearwater and Hawaiian petrel conservation</t>
  </si>
  <si>
    <t>Cavalcante</t>
  </si>
  <si>
    <t>Study of Baleen Whales’ Ecology and Interaction with Maritime Traffic Activities to Support Management of a Complex Socio-Ecological System</t>
  </si>
  <si>
    <t>Alfred_etal</t>
  </si>
  <si>
    <t>Summarizing spatial distribution density, movement patterns and food resources to study the impacts of logging and forest conversion on Orang-utan population</t>
  </si>
  <si>
    <t>OnLine Journal of Biological Sciences</t>
  </si>
  <si>
    <t>73-83</t>
  </si>
  <si>
    <t>Support vector machines for predicting distribution of Sudden Oak Death in California</t>
  </si>
  <si>
    <t>75-90</t>
  </si>
  <si>
    <t>Ioki_etal</t>
  </si>
  <si>
    <t>Supporting forest conservation through community-based land use planning and participatory GIS – lessons from Crocker Range Park, Malaysian Borneo</t>
  </si>
  <si>
    <t>Yadav_etal</t>
  </si>
  <si>
    <t>Susceptibility assessment of human–leopard conflict in Aravalli landscape of Haryana using geospatial techniques</t>
  </si>
  <si>
    <t>Jaric_etal</t>
  </si>
  <si>
    <t>Susceptibility of European freshwater fish to climate change: Species profiling based on life-history and environmental characteristics</t>
  </si>
  <si>
    <t>448-458</t>
  </si>
  <si>
    <t>Shester Geoffrey, G.</t>
  </si>
  <si>
    <t>Sustainability in small-scale fisheries: An analysis of ecosystem impacts, fishing behavior, and spatial management using participatory research methods</t>
  </si>
  <si>
    <t>Van Den_etal</t>
  </si>
  <si>
    <t>Sustainability issues of commercial non-timber forest product extraction in West Suriname</t>
  </si>
  <si>
    <t>Journal of Ethnobiology and Ethnomedicine</t>
  </si>
  <si>
    <t>Reisland and Lambert</t>
  </si>
  <si>
    <t>Sympatric apes in sacred forests: Shared space and habitat use by humans and endangered javan gibbons (hylobatesmoloch)</t>
  </si>
  <si>
    <t>Northrup_etal</t>
  </si>
  <si>
    <t>Synergistic effects of climate and land-use change influence broad-scale avian population declines</t>
  </si>
  <si>
    <t>1561-1575</t>
  </si>
  <si>
    <t>Hiddink_etal</t>
  </si>
  <si>
    <t>Temperature tracking by North Sea benthic invertebrates in response to climate change</t>
  </si>
  <si>
    <t>117-129</t>
  </si>
  <si>
    <t>Coristine and Kerr</t>
  </si>
  <si>
    <t>Temperature-related geographical shifts among passerines: contrasting processes along poleward and equatorward range margins</t>
  </si>
  <si>
    <t>5162-5176</t>
  </si>
  <si>
    <t>Kamrowski_etal</t>
  </si>
  <si>
    <t>Temporal changes in artificial light exposure of marine turtle nesting areas</t>
  </si>
  <si>
    <t>2437-2449</t>
  </si>
  <si>
    <t>Lipp-Nissinen_etal</t>
  </si>
  <si>
    <t>Temporal dynamics of land use and cover in Paurá Lagoon region, Middle Coast of Rio Grande do Sul (RS), Brazil</t>
  </si>
  <si>
    <t>Journal of Integrated Coastal Zone Management</t>
  </si>
  <si>
    <t>25-35</t>
  </si>
  <si>
    <t>Ebdon_etal</t>
  </si>
  <si>
    <t>Testing the efficacy of ship strike mitigation for whales in the Hauraki Gulf, New Zealand</t>
  </si>
  <si>
    <t>Périquet_etal</t>
  </si>
  <si>
    <t>Testing the value of citizen science for roadkill studies: A case study from South Africa</t>
  </si>
  <si>
    <t>FEB</t>
  </si>
  <si>
    <t>Bacigalupe_etal</t>
  </si>
  <si>
    <t>The amphibian-killing fungus in a biodiversity hotspot: identifying and validating high-risk areas and refugia</t>
  </si>
  <si>
    <t>Martin_etal</t>
  </si>
  <si>
    <t>The Channel habitat atlas for marine resource management (CHARM): An aid for planning and decision-making in an area under strong anthropogenic pressure</t>
  </si>
  <si>
    <t>Aquatic Living Resources</t>
  </si>
  <si>
    <t>499-508</t>
  </si>
  <si>
    <t>The conservation status of the world's reptiles</t>
  </si>
  <si>
    <t>372-385</t>
  </si>
  <si>
    <t>Cowburn_etal</t>
  </si>
  <si>
    <t>The current status of coral reefs and their vulnerability to climate change and multiple human stresses in the Comoros Archipelago, Western Indian Ocean</t>
  </si>
  <si>
    <t>956-969</t>
  </si>
  <si>
    <t>Araújo and Wang</t>
  </si>
  <si>
    <t>The dammed river dolphins of Brazil: Impacts and conservation</t>
  </si>
  <si>
    <t>17-24</t>
  </si>
  <si>
    <t>Vogel Laura, S.</t>
  </si>
  <si>
    <t>The decline of Fowler's toad (&lt;i&gt;Bufo fowleri&lt;/i&gt;) in southern Louisiana: Molecular genetics, field experiments and landscape studies</t>
  </si>
  <si>
    <t>Gaines_etal</t>
  </si>
  <si>
    <t>The development of a spatially explicit model to estimate radiocaesium body burdens in raccoons (Procyon lotor) for ecological risk assessment</t>
  </si>
  <si>
    <t>15-31</t>
  </si>
  <si>
    <t>Bhola_etal</t>
  </si>
  <si>
    <t>The distribution of large herbivore hotspots in relation to environmental and anthropogenic correlates in the Mara region of Kenya</t>
  </si>
  <si>
    <t>1268-1287</t>
  </si>
  <si>
    <t>Morgan_etal</t>
  </si>
  <si>
    <t>The Distribution, Status, and Conservation Outlook of the Drill (Mandrillus leucophaeus) in Cameroon</t>
  </si>
  <si>
    <t>281-302</t>
  </si>
  <si>
    <t>Soiret_etal</t>
  </si>
  <si>
    <t>The diversity and conservation of mammals in the Dodo Coastal Forest in southwestern Côte d'Ivoire, western Africa: A preliminary study</t>
  </si>
  <si>
    <t>13654-13666</t>
  </si>
  <si>
    <t>Darwall_etal</t>
  </si>
  <si>
    <t>The diversity of life in African freshwaters: underwater, under threat: an analysis of the status and distribution of freshwater species throughout mainland Africa</t>
  </si>
  <si>
    <t>The diversity of life in African freshwaters: underwater, under threat: an analysis of the status and distribution of freshwater species throughout mainland Africa.</t>
  </si>
  <si>
    <t>Craig_etal</t>
  </si>
  <si>
    <t>The drivers and extent of poison use by Namibia’s communal farmers: Implications for averting the African vulture crisis</t>
  </si>
  <si>
    <t>913-922</t>
  </si>
  <si>
    <t>Ramos-Merchante and Prenda</t>
  </si>
  <si>
    <t>The Ecological and Conservation Status of The Guadalquivir River Basin (s Spain) Through The Application Of A Fish-based Multimetric Index</t>
  </si>
  <si>
    <t>45-59</t>
  </si>
  <si>
    <t>Hayashi_etal</t>
  </si>
  <si>
    <t>The effect of anthropogenic drivers on spatial patterns of mangrove land use on the Amazon coast</t>
  </si>
  <si>
    <t>Peristeraki_etal</t>
  </si>
  <si>
    <t>The effect of bottom trawl fishery on biomass variations of demersal chondrichthyes in the eastern Mediterranean</t>
  </si>
  <si>
    <t>Fisheries Research</t>
  </si>
  <si>
    <t>The effect of the grain for green program on ecosystem health in the upper reaches of the Yangtze river basin: A case study of eastern Sichuan, China</t>
  </si>
  <si>
    <t>Alexander and Waters</t>
  </si>
  <si>
    <t>The effects of highway transportation corridors on wildlife: a case study of Banff National Park</t>
  </si>
  <si>
    <t>Transportation Research Part C-Emerging Technologies</t>
  </si>
  <si>
    <t>307-320</t>
  </si>
  <si>
    <t>Rodríguez-Teijeiro_etal</t>
  </si>
  <si>
    <t>The effects of mowing and agricultural landscape management on population movements of the common quail</t>
  </si>
  <si>
    <t>1891-1898</t>
  </si>
  <si>
    <t>Fortini Lucas_etal</t>
  </si>
  <si>
    <t>The evolving threat of Rapid ‘?hi ‘a Death (ROD) to Hawai ‘i’s native ecosystems and rare plant species</t>
  </si>
  <si>
    <t>The exposure, sensitivity and vulnerability of natural vegetation in China to climate thermal variability (1901-2013): An indicator-based approach</t>
  </si>
  <si>
    <t>258-272</t>
  </si>
  <si>
    <t>Ibouroi_etal</t>
  </si>
  <si>
    <t>The first comprehensive survey of habitat suitability and population size for the endangered Grande Comoro Scops Owl (Otus pauliani): implications for its conservation</t>
  </si>
  <si>
    <t>1121-1132</t>
  </si>
  <si>
    <t>Doherty_etal</t>
  </si>
  <si>
    <t>The global impacts of domestic dogs on threatened vertebrates</t>
  </si>
  <si>
    <t>56-59</t>
  </si>
  <si>
    <t>Acevedo_etal</t>
  </si>
  <si>
    <t>The Iberian ibex is under an expansion trend but displaced to suboptimal habitats by the presence of extensive goat livestock in central Spain</t>
  </si>
  <si>
    <t>3361-3376</t>
  </si>
  <si>
    <t>The impact of 85 years of coastal development on shallow seagrass beds (Posidonia oceanica L. (Delile)) in South Eastern France: A slow but steady loss without recovery</t>
  </si>
  <si>
    <t>Estuarine Coastal and Shelf Science</t>
  </si>
  <si>
    <t>204-212</t>
  </si>
  <si>
    <t>Thonfeld_etal</t>
  </si>
  <si>
    <t>The impact of anthropogenic land use change on the protected areas of the Kilombero catchment, Tanzania</t>
  </si>
  <si>
    <t>ISPRS Journal of Photogrammetry and Remote Sensing</t>
  </si>
  <si>
    <t>41-55</t>
  </si>
  <si>
    <t>Porobic_etal</t>
  </si>
  <si>
    <t>The impact of fishing on a highly vulnerable ecosystem, the case of Juan Fernández Ridge ecosystem</t>
  </si>
  <si>
    <t>Malavasi_etal</t>
  </si>
  <si>
    <t>The impact of human pressure on landscape patterns and plant species richness in Mediterranean coastal dunes</t>
  </si>
  <si>
    <t>Plant Biosystems</t>
  </si>
  <si>
    <t>73-82</t>
  </si>
  <si>
    <t>Boulanger_etal</t>
  </si>
  <si>
    <t>The impact of roads on the demography of grizzly bears in Alberta</t>
  </si>
  <si>
    <t>Zhu_etal</t>
  </si>
  <si>
    <t>The impacts of human activities on ecosystems within China's nature reserves</t>
  </si>
  <si>
    <t>Mcdonald_etal</t>
  </si>
  <si>
    <t>The implications of current and future urbanization for global protected areas and biodiversity conservation</t>
  </si>
  <si>
    <t>1695-1703</t>
  </si>
  <si>
    <t>Borrelli_etal</t>
  </si>
  <si>
    <t>The implications of fire management in the andean paramo: A preliminary assessment using satellite remote sensing</t>
  </si>
  <si>
    <t>11061-11082</t>
  </si>
  <si>
    <t>Pitman_etal</t>
  </si>
  <si>
    <t>The importance of refugia, ecological traps and scale for large carnivore management</t>
  </si>
  <si>
    <t>1975-1987</t>
  </si>
  <si>
    <t>Assuncao_etal</t>
  </si>
  <si>
    <t>The invasion of Artocarpus heterophyllus, jackfruit, in protected areas under climate change and across scales: from Atlantic Forest to a natural heritage private reserve</t>
  </si>
  <si>
    <t>481-492</t>
  </si>
  <si>
    <t>The joint effect of tidal barrier construction and freshwater releases on the macrobenthos community in the northern Yellow River Delta (China)</t>
  </si>
  <si>
    <t>83-94</t>
  </si>
  <si>
    <t>The landscape of anthropogenic mortality: how African lions respond to spatial variation in risk</t>
  </si>
  <si>
    <t>815-825</t>
  </si>
  <si>
    <t>Tello_etal</t>
  </si>
  <si>
    <t>The loss of landscape ecological functionality in the barcelona province (1956-2009): Could land-use history involve a legacy for current biodiversity?</t>
  </si>
  <si>
    <t>The Mediterranean Sea under siege: Spatial overlap between marine biodiversity, cumulative threats and marine reserves</t>
  </si>
  <si>
    <t>465-480</t>
  </si>
  <si>
    <t>The perfect invader: A parthenogenic crayfish poses a new threat to Madagascar's freshwater biodiversity</t>
  </si>
  <si>
    <t>1475-1482</t>
  </si>
  <si>
    <t>Plaza_etal</t>
  </si>
  <si>
    <t>The perfect threat: Pesticides and vultures</t>
  </si>
  <si>
    <t>1207-1218</t>
  </si>
  <si>
    <t>The performance of African protected areas for lions and their prey, determinants of success and key conservation threats</t>
  </si>
  <si>
    <t>Alves_etal</t>
  </si>
  <si>
    <t>The Potential Impact of White-Nose Syndrome on the Conservation Status of North American Bats</t>
  </si>
  <si>
    <t>W26574</t>
  </si>
  <si>
    <t>The Road Ahead: Protecting Tigers from Asia's Infrastructure Development Boom</t>
  </si>
  <si>
    <t>Poor_etal</t>
  </si>
  <si>
    <t>The road to deforestation: Edge effects in an endemic ecosystem in Sumatra, Indonesia</t>
  </si>
  <si>
    <t>W26591</t>
  </si>
  <si>
    <t>Anderson_etal</t>
  </si>
  <si>
    <t>The role of conservation volunteers in the detection, monitoring and management of invasive alien lionfish</t>
  </si>
  <si>
    <t>589-598</t>
  </si>
  <si>
    <t>Vardarman_etal</t>
  </si>
  <si>
    <t>The role of protected area zoning in invasive plant management</t>
  </si>
  <si>
    <t>1811-1829</t>
  </si>
  <si>
    <t>Milne_etal</t>
  </si>
  <si>
    <t>The role of thermal physiology in recent declines of birds in a biodiversity hotspot</t>
  </si>
  <si>
    <t>Conservation Physiology</t>
  </si>
  <si>
    <t>Scabin_etal</t>
  </si>
  <si>
    <t>The spatial distribution of illegal logging in the Anavilhanas archipelago (Central Amazonia) and logging impacts on species</t>
  </si>
  <si>
    <t>111-121</t>
  </si>
  <si>
    <t>Wang_etal</t>
  </si>
  <si>
    <t>The spatial distribution of threats to plant species with extremely small populations</t>
  </si>
  <si>
    <t>Frontiers of Earth Science</t>
  </si>
  <si>
    <t>127-136</t>
  </si>
  <si>
    <t>Evans_etal</t>
  </si>
  <si>
    <t>The spatial distribution of threats to species in Australia</t>
  </si>
  <si>
    <t>281-289</t>
  </si>
  <si>
    <t>Swartz_etal</t>
  </si>
  <si>
    <t>The spatial expansion and ecological footprint of fisheries (1950 to present)</t>
  </si>
  <si>
    <t>Kurland_etal</t>
  </si>
  <si>
    <t>The spatial pattern of redwood burl poaching and implications for prevention</t>
  </si>
  <si>
    <t>Forest Policy and Economics</t>
  </si>
  <si>
    <t>46-54</t>
  </si>
  <si>
    <t>Mockrin Miranda, H.</t>
  </si>
  <si>
    <t>The spatial structure and sustainability of subsistence wildlife harvesting in Kabo, Congo</t>
  </si>
  <si>
    <t>Short_etal</t>
  </si>
  <si>
    <t>The use of mosquito nets in fisheries: A global perspective</t>
  </si>
  <si>
    <t>Reddy_etal</t>
  </si>
  <si>
    <t>Threat evaluation for biodiversity conservation of forest ecosystems using geospatial techniques: A case study of Odisha, India</t>
  </si>
  <si>
    <t>287-303</t>
  </si>
  <si>
    <t>Delsen</t>
  </si>
  <si>
    <t>Threatened terrestrial vertebrates are exposed to human pressures across 94% of Europe's protected land</t>
  </si>
  <si>
    <t>Veach_etal</t>
  </si>
  <si>
    <t>Threats from urban expansion, agricultural transformation and forest loss on global conservation priority areas</t>
  </si>
  <si>
    <t>W26584</t>
  </si>
  <si>
    <t>Chanchani P._etal</t>
  </si>
  <si>
    <t xml:space="preserve">Tigers of the Transboundary Terai Arc Landscape: Status, distribution and movement in the Terai of India and Nepal. </t>
  </si>
  <si>
    <t xml:space="preserve"> National Tiger Conservation Authority, Government of India, and Department of National Park and Wildlife Conservation, Government of Nepal</t>
  </si>
  <si>
    <t>Saito_etal</t>
  </si>
  <si>
    <t>Time-delayed response of Japanese hare distribution to landscape change along an urban gradient</t>
  </si>
  <si>
    <t>1451-1460</t>
  </si>
  <si>
    <t>Almeida_etal</t>
  </si>
  <si>
    <t>Time-series analysis of native and non-native crayfish dynamics in the Thames River Basin (south-eastern England)</t>
  </si>
  <si>
    <t>Aquatic Conservation-Marine and Freshwater Ecosystems</t>
  </si>
  <si>
    <t>192-202</t>
  </si>
  <si>
    <t>Thellmann_etal</t>
  </si>
  <si>
    <t>Tipping points in the supply of ecosystem services of a mountainous watershed in Southeast Asia</t>
  </si>
  <si>
    <t>Steven and Castley</t>
  </si>
  <si>
    <t>Tourism as a threat to critically endangered and endangered birds: Global patterns and trends in conservation hotspots</t>
  </si>
  <si>
    <t>1063-1082</t>
  </si>
  <si>
    <t>Steizenmuller_etal</t>
  </si>
  <si>
    <t>Towards a spatially explicit risk assessment for marine management: Assessing the vulnerability of fish to aggregate extraction</t>
  </si>
  <si>
    <t>230-238</t>
  </si>
  <si>
    <t>Belpaire_etal</t>
  </si>
  <si>
    <t>Toxic textile dyes accumulate in wild European eel Anguilla anguilla</t>
  </si>
  <si>
    <t>784-791</t>
  </si>
  <si>
    <t>Palacios-Torres_etal</t>
  </si>
  <si>
    <t>Trace elements in sediments and fish from Atrato River: an ecosystem with legal rights impacted by gold mining at the Colombian Pacific</t>
  </si>
  <si>
    <t>Burgess_etal</t>
  </si>
  <si>
    <t>Tracking diseases from terrestrial landscapes to kelp forests:Combining behavioural ecology and spatial epidemiology to understand pathogen movement in coastal ecosystems</t>
  </si>
  <si>
    <t>ProQuest</t>
  </si>
  <si>
    <t>Montevecchi_etal</t>
  </si>
  <si>
    <t>Tracking seabirds to identify ecologically important and high risk marine areas in the western North Atlantic</t>
  </si>
  <si>
    <t>62-71</t>
  </si>
  <si>
    <t>Hyde_etal</t>
  </si>
  <si>
    <t>Transmission lines are an under-acknowledged conservation threat to the Brazilian Amazon</t>
  </si>
  <si>
    <t>343-356</t>
  </si>
  <si>
    <t>Iglesias-Merchan_etal</t>
  </si>
  <si>
    <t>Transportation planning and quiet natural areas preservation: Aircraft overflights noise assessment in a National Park</t>
  </si>
  <si>
    <t>Bonesi_etal</t>
  </si>
  <si>
    <t>Trapping for mink control and water vole survival: Identifying key criteria using a spatially explicit individual based model</t>
  </si>
  <si>
    <t>636-650</t>
  </si>
  <si>
    <t>Mazor_etal</t>
  </si>
  <si>
    <t>Trawl exposure and protection of seabed fauna at large spatial scales</t>
  </si>
  <si>
    <t>1280-1291</t>
  </si>
  <si>
    <t>Laneri_etal</t>
  </si>
  <si>
    <t>Trawling regime influences longline seabird bycatch in the Mediterranean: New insights from a small-scale fishery</t>
  </si>
  <si>
    <t>241-252</t>
  </si>
  <si>
    <t>Tree genetic resources at risk in South America: A spatial threat assessment to prioritize populations for conservation</t>
  </si>
  <si>
    <t>718-729</t>
  </si>
  <si>
    <t>Bartz_etal</t>
  </si>
  <si>
    <t>Trends in developed land cover adjacent to habitat for threatened salmon in Puget Sound, Washington, U.S.A</t>
  </si>
  <si>
    <t>Becker and Zamudio</t>
  </si>
  <si>
    <t>Tropical amphibian populations experience higher disease risk in natural habitats</t>
  </si>
  <si>
    <t>9893-9898</t>
  </si>
  <si>
    <t>Ibanez_etal</t>
  </si>
  <si>
    <t>Twenty years after Jaffré et al. (1998), is the system of protected areas now adequate in New Caledonia?</t>
  </si>
  <si>
    <t>245-254</t>
  </si>
  <si>
    <t>Uncertainty analysis and robust areas of high and low modeled human impact on the global oceans</t>
  </si>
  <si>
    <t>1368-1379</t>
  </si>
  <si>
    <t>Bouchard_etal</t>
  </si>
  <si>
    <t>Undeclared baggage: Do tourists act as vectors for seed dispersal in fynbos protected areas?</t>
  </si>
  <si>
    <t>Koedoe</t>
  </si>
  <si>
    <t>Hughes</t>
  </si>
  <si>
    <t>Understanding and minimizing environmental impacts of the Belt and Road Initiative</t>
  </si>
  <si>
    <t>883-894</t>
  </si>
  <si>
    <t>Parravicini_etal</t>
  </si>
  <si>
    <t>Understanding relationships between conflicting human uses and coastal ecosystems status: A geospatial modeling approach</t>
  </si>
  <si>
    <t>253-263</t>
  </si>
  <si>
    <t>Meynecke and Meager</t>
  </si>
  <si>
    <t>Understanding Strandings: 25 years of Humpback Whale (Megaptera novaeangliae) Strandings in Queensland, Australia</t>
  </si>
  <si>
    <t>897-901</t>
  </si>
  <si>
    <t>Jackson_etal</t>
  </si>
  <si>
    <t>Understanding the co?occurrence of tree loss and modern slavery to improve efficacy of conservation actions and policies</t>
  </si>
  <si>
    <t>Jia, S.</t>
  </si>
  <si>
    <t>Understanding the Ecological Challenges in California Protected Areas Through the Lens of Remote Sensing Technologies</t>
  </si>
  <si>
    <t>Schuette_etal</t>
  </si>
  <si>
    <t>Ungulate distributions in a rangeland with competitors, predators and pastoralists</t>
  </si>
  <si>
    <t>1066-1077</t>
  </si>
  <si>
    <t>Lunn and Moreau</t>
  </si>
  <si>
    <t>Unmonitored trade in marine ornamental fishes: The case of Indonesia's Banggai cardinalfish (Pterapogon kauderni)</t>
  </si>
  <si>
    <t>344-351</t>
  </si>
  <si>
    <t>Unsustainable trade-offs: provisioning ecosystem services in rapidly changing Likangala River catchment in southern Malawi</t>
  </si>
  <si>
    <t>Environment Development and Sustainability</t>
  </si>
  <si>
    <t>1145-1164</t>
  </si>
  <si>
    <t>Nazaro_etal</t>
  </si>
  <si>
    <t>Untangling the imprints of climate, geography and land use/cover on bird diversity in the South American Gran Chaco</t>
  </si>
  <si>
    <t>1439-1454</t>
  </si>
  <si>
    <t>Fiorini_etal</t>
  </si>
  <si>
    <t>Urban development of the coastal system of the Italian largest islands: Sicily and Sardinia</t>
  </si>
  <si>
    <t>184-194</t>
  </si>
  <si>
    <t>Mondal_etal</t>
  </si>
  <si>
    <t>Urban expansion and wetland shrinkage estimation using a GIS-based model in the East Kolkata Wetland, India</t>
  </si>
  <si>
    <t>62-73</t>
  </si>
  <si>
    <t>Guerra_etal</t>
  </si>
  <si>
    <t>Urban or rural areas: which types of surrounding land use induce stronger edge effects on the functional traits of tropical forests plants?</t>
  </si>
  <si>
    <t>Applied Vegetation Science</t>
  </si>
  <si>
    <t>538-548</t>
  </si>
  <si>
    <t>Weimerskirch_etal</t>
  </si>
  <si>
    <t>Use of radar detectors to track attendance of albatrosses at fishing vessels</t>
  </si>
  <si>
    <t>240-245</t>
  </si>
  <si>
    <t>Haines_etal</t>
  </si>
  <si>
    <t>Using a Distribution and Conservation Status Weighted Hotspot Approach to Identify Areas in Need of Conservation Action to Benefit Idaho Bird Species</t>
  </si>
  <si>
    <t>Northwest Science</t>
  </si>
  <si>
    <t>170-182</t>
  </si>
  <si>
    <t>Livingston_etal</t>
  </si>
  <si>
    <t>Using changes in basal area increments to map relative risk of HWA impacts on hemlock growth across the Northeastern U.S.A</t>
  </si>
  <si>
    <t>1577-1595</t>
  </si>
  <si>
    <t>Duan_etal</t>
  </si>
  <si>
    <t>Using citizen science data to inform the relative sensitivity of waterbirds to natural versus human-dominated landscapes in China</t>
  </si>
  <si>
    <t>7233-7241</t>
  </si>
  <si>
    <t>Zhang and Vincent</t>
  </si>
  <si>
    <t>Using cumulative human-impact models to reveal global threat patterns for seahorses</t>
  </si>
  <si>
    <t>1380-1391</t>
  </si>
  <si>
    <t>Trew_etal</t>
  </si>
  <si>
    <t>Using Cumulative Impact Mapping to Prioritize Marine Conservation Efforts in Equatorial Guinea</t>
  </si>
  <si>
    <t>Ansari and Golabi</t>
  </si>
  <si>
    <t>Using Ecosystem Service Modeler (ESM) for Ecological Quality, rarity and Risk Assessment of the wild goat habitat, in the Haftad-Gholleh protected area</t>
  </si>
  <si>
    <t>International Soil and Water Conservation Research</t>
  </si>
  <si>
    <t>346-353</t>
  </si>
  <si>
    <t>Nagabhatla</t>
  </si>
  <si>
    <t>Using geospatial tools to overcoming sustainability concerns for wetland ecosystem</t>
  </si>
  <si>
    <t>532-537</t>
  </si>
  <si>
    <t>Verutes_etal</t>
  </si>
  <si>
    <t>Using GIS and stakeholder involvement to innovate marine mammal bycatch risk assessment in data-limited fisheries</t>
  </si>
  <si>
    <t>Cowles_etal</t>
  </si>
  <si>
    <t>Using GIS to assess pesticide exposure to threatened and Endangered Species for ecological risk assessment</t>
  </si>
  <si>
    <t>293-301</t>
  </si>
  <si>
    <t>Hernández-Matías_etal</t>
  </si>
  <si>
    <t>Using multi-scale spatial prioritization criteria to optimize non-natural mortality mitigation of target species</t>
  </si>
  <si>
    <t>Semper-Pascual_etal</t>
  </si>
  <si>
    <t>Using occupancy models to assess the direct and indirect impacts of agricultural expansion on species' populations</t>
  </si>
  <si>
    <t>W26575</t>
  </si>
  <si>
    <t>Using Public Data platforms to assess deforestation risks within jurisdictions</t>
  </si>
  <si>
    <t>Pérez-García_etal</t>
  </si>
  <si>
    <t>Using risk prediction models and species sensitivity maps for large-scale identification of infrastructure-related wildlife protection areas: The case of bird electrocution</t>
  </si>
  <si>
    <t>334-342</t>
  </si>
  <si>
    <t>Mcgowan_etal</t>
  </si>
  <si>
    <t>Using Seabird Habitat Modeling to Inform Marine Spatial Planning in Central California's National Marine Sanctuaries</t>
  </si>
  <si>
    <t>Using species distribution modelling to predict bat fatality risk at wind farms</t>
  </si>
  <si>
    <t>178-186</t>
  </si>
  <si>
    <t>Kirkman_etal</t>
  </si>
  <si>
    <t>Using Systematic Conservation Planning to support Marine Spatial Planning and achieve marine protection targets in the transboundary Benguela Ecosystem</t>
  </si>
  <si>
    <t>Mcclellan_etal</t>
  </si>
  <si>
    <t>Using telemetry to mitigate the bycatch of long-lived marine vertebrates</t>
  </si>
  <si>
    <t>1660-1671</t>
  </si>
  <si>
    <t>Knouft and Chu</t>
  </si>
  <si>
    <t>Using watershed-scale hydrological models to predict the impacts of increasing urbanization on freshwater fish assemblages</t>
  </si>
  <si>
    <t>Ecohydrology</t>
  </si>
  <si>
    <t>Mojica_etal</t>
  </si>
  <si>
    <t>Utilization probability map for migrating bald eagles in northeastern North America: A tool for siting wind energy facilities and other flight hazards</t>
  </si>
  <si>
    <t>Lessmann_etal</t>
  </si>
  <si>
    <t>Validating anthropogenic threat maps as a tool for assessing river ecological integrity in Andean-Amazon basins</t>
  </si>
  <si>
    <t>Smith Joshua_etal</t>
  </si>
  <si>
    <t>Validation of presence-only models for conservation planning and the application to whales in a multiple-use marine park</t>
  </si>
  <si>
    <t>Ecological applications : a publication of the Ecological Society of America</t>
  </si>
  <si>
    <t>Hui_etal</t>
  </si>
  <si>
    <t>Vascular plants in the tourist area of Lushan national nature reserve, China: Status, threats and conservation</t>
  </si>
  <si>
    <t>Eco.mont</t>
  </si>
  <si>
    <t>60-63</t>
  </si>
  <si>
    <t>Kidane_etal</t>
  </si>
  <si>
    <t>Vegetation dynamics, and land use and land cover change in the Bale Mountains, Ethiopia</t>
  </si>
  <si>
    <t>7473-7489</t>
  </si>
  <si>
    <t>Koerner_etal</t>
  </si>
  <si>
    <t>Vertebrate community composition and diversity declines along a defaunation gradient radiating from rural villages in Gabon</t>
  </si>
  <si>
    <t>805-814</t>
  </si>
  <si>
    <t>D'amico_etal</t>
  </si>
  <si>
    <t>Vertebrate road-kill patterns in Mediterranean habitats: Who, when and where</t>
  </si>
  <si>
    <t>234-242</t>
  </si>
  <si>
    <t>Vendramin_etal</t>
  </si>
  <si>
    <t>Viral Encephalopathy and Retinopathy in groupers (Epinephelus spp.) in southern Italy: a threat for wild endangered species?</t>
  </si>
  <si>
    <t>BMC veterinary research</t>
  </si>
  <si>
    <t>Hauser_etal</t>
  </si>
  <si>
    <t>Vulnerability of arctic marine mammals to vessel traffic in the increasingly ice-free northwest passage and Northern Sea Route</t>
  </si>
  <si>
    <t>7617-7622</t>
  </si>
  <si>
    <t>Calle-Rendón_etal</t>
  </si>
  <si>
    <t>Vulnerability of mammals to land-use changes in Colombia's post-conflict era</t>
  </si>
  <si>
    <t>Latrubesse_etal</t>
  </si>
  <si>
    <t>Vulnerability of the biota in riverine and seasonally flooded habitats to damming of Amazonian rivers</t>
  </si>
  <si>
    <t>Tolotti_etal</t>
  </si>
  <si>
    <t>Vulnerability of the oceanic whitetip shark to pelagic longline fisheries</t>
  </si>
  <si>
    <t>Weir_etal</t>
  </si>
  <si>
    <t>West Africa's Atlantic humpback dolphin (Sousa teuszii): Endemic, enigmatic and soon endangered?</t>
  </si>
  <si>
    <t>Wetland mitigation and its ecological conserquences</t>
  </si>
  <si>
    <t>Qu_etal</t>
  </si>
  <si>
    <t>What drives the vegetation restoration in Yangtze River basin, China: Climate change or anthropogenic factors?</t>
  </si>
  <si>
    <t>438-450</t>
  </si>
  <si>
    <t>What to do in the face of multiple threats? Incorporating dependencies within a return on investment framework for conservation</t>
  </si>
  <si>
    <t>437-450</t>
  </si>
  <si>
    <t>Death_etal</t>
  </si>
  <si>
    <t>When less is more: a comparison of models to predict fluoride accumulation in free-ranging kangaroos</t>
  </si>
  <si>
    <t>531-540</t>
  </si>
  <si>
    <t>Clements_etal</t>
  </si>
  <si>
    <t>Where and how are roads endangering mammals in Southeast Asia's forests?</t>
  </si>
  <si>
    <t>Korpilo_etal</t>
  </si>
  <si>
    <t>Where are the hotspots and coldspots of landscape values, visitor use and biodiversity in an urban forest?</t>
  </si>
  <si>
    <t>Breen_etal</t>
  </si>
  <si>
    <t>Where is the risk? Integrating a spatial distribution model and a risk assessment to identify areas of cetacean interaction with fisheries in the northeast Atlantic</t>
  </si>
  <si>
    <t>148-155</t>
  </si>
  <si>
    <t>Dransfield_etal</t>
  </si>
  <si>
    <t>Where the whales are: Using habitat modeling to support changes in shipping regulations within national marine sanctuaries in central California</t>
  </si>
  <si>
    <t>39-57</t>
  </si>
  <si>
    <t>Ribeiro and Sá-Sousa</t>
  </si>
  <si>
    <t>Where to live in lisbon: Urban habitat used by the introduced italian wall lizard (podarcis siculus)</t>
  </si>
  <si>
    <t>57-70</t>
  </si>
  <si>
    <t>Hernández-Lambraño_etal</t>
  </si>
  <si>
    <t>Where to start? Development of a spatial tool to prioritise retrofitting of power line poles that are dangerous to raptors</t>
  </si>
  <si>
    <t>2685-2697</t>
  </si>
  <si>
    <t>Where will it cross next? Optimal management of road collision risk for otters in Italy</t>
  </si>
  <si>
    <t>Gonzalez-Suarez_etal</t>
  </si>
  <si>
    <t>Which intrinsic traits predict vulnerability to extinction depends on the actual threatening processes</t>
  </si>
  <si>
    <t>Who let the dogs out? Occurrence, population size and daily activity of domestic dogs in an urban Atlantic Forest reserve</t>
  </si>
  <si>
    <t>228-233</t>
  </si>
  <si>
    <t>Serieys_etal</t>
  </si>
  <si>
    <t>Widespread anticoagulant poison exposure in predators in a rapidly growing South African city</t>
  </si>
  <si>
    <t>581-590</t>
  </si>
  <si>
    <t>Courtois_etal</t>
  </si>
  <si>
    <t>Widespread occurrence of Bd in French Guiana, South America</t>
  </si>
  <si>
    <t>Pilot_etal</t>
  </si>
  <si>
    <t>Widespread, long-term admixture between grey wolves and domestic dogs across Eurasia and its implications for the conservation status of hybrids</t>
  </si>
  <si>
    <t>Evolutionary Applications</t>
  </si>
  <si>
    <t>662-680</t>
  </si>
  <si>
    <t>Ghorbani_etal</t>
  </si>
  <si>
    <t>Wild orchid tuber collection in Iran: A wake-up call for conservation</t>
  </si>
  <si>
    <t>2749-2760</t>
  </si>
  <si>
    <t>Filius_etal</t>
  </si>
  <si>
    <t>Wildlife roadkill patterns in a fragmented landscape of the Western Amazon</t>
  </si>
  <si>
    <t>6623-6635</t>
  </si>
  <si>
    <t>Shilling and Waetjen</t>
  </si>
  <si>
    <t>Wildlife-vehicle collision hotspots at US highway extents: scale and data source effects</t>
  </si>
  <si>
    <t>Nature Conservation-Bulgaria</t>
  </si>
  <si>
    <t>41-60</t>
  </si>
  <si>
    <t>Pidgeon_etal</t>
  </si>
  <si>
    <t>Will representation targets based on area protect critical resources for the conservation of the Tucuman Parrot?</t>
  </si>
  <si>
    <t>Condor</t>
  </si>
  <si>
    <t>503-517</t>
  </si>
  <si>
    <t>Fargione_etal</t>
  </si>
  <si>
    <t>Wind and wildlife in the Northern Great Plains: Identifying low-impact areas for wind development</t>
  </si>
  <si>
    <t>Lehnert_etal</t>
  </si>
  <si>
    <t>Wind farm facilities in Germany kill noctule bats from near and far</t>
  </si>
  <si>
    <t>Marques_etal</t>
  </si>
  <si>
    <t>Wind turbines cause functional habitat loss for migratory soaring birds</t>
  </si>
  <si>
    <t>93-103</t>
  </si>
  <si>
    <t>Hager_etal</t>
  </si>
  <si>
    <t>Window Area and Development Drive Spatial Variation in Bird-Window Collisions in an Urban Landscape</t>
  </si>
  <si>
    <t>Heinemeyer_etal</t>
  </si>
  <si>
    <t>Wolverines in winter: indirect habitat loss and functional responses to backcountry recreation</t>
  </si>
  <si>
    <t>Year</t>
  </si>
  <si>
    <t>Study_design</t>
  </si>
  <si>
    <t>Ecoregion</t>
  </si>
  <si>
    <t>Spatial_Scale</t>
  </si>
  <si>
    <t>Spatial_res_unit</t>
  </si>
  <si>
    <t>Spatial_res</t>
  </si>
  <si>
    <t>Continent_Ocean</t>
  </si>
  <si>
    <t>Country_EEZ</t>
  </si>
  <si>
    <t>Threat_metric</t>
  </si>
  <si>
    <t>Threat_data</t>
  </si>
  <si>
    <t>Threat</t>
  </si>
  <si>
    <t>Quantity_threats</t>
  </si>
  <si>
    <t>threat_precision</t>
  </si>
  <si>
    <t>threat_database</t>
  </si>
  <si>
    <t>Pop_metric</t>
  </si>
  <si>
    <t>Pop_data</t>
  </si>
  <si>
    <t>pop_database</t>
  </si>
  <si>
    <t>tax_res</t>
  </si>
  <si>
    <t>tax_scope</t>
  </si>
  <si>
    <t>tax_kingdom</t>
  </si>
  <si>
    <t>plant_group</t>
  </si>
  <si>
    <t>animal_group</t>
  </si>
  <si>
    <t>Observational</t>
  </si>
  <si>
    <t>Freshwater</t>
  </si>
  <si>
    <t>National</t>
  </si>
  <si>
    <t>polygon</t>
  </si>
  <si>
    <t>europe</t>
  </si>
  <si>
    <t>Czech Republic</t>
  </si>
  <si>
    <t>survey</t>
  </si>
  <si>
    <t>Qualitative</t>
  </si>
  <si>
    <t>8.1:SDAlienInv</t>
  </si>
  <si>
    <t>level2</t>
  </si>
  <si>
    <t xml:space="preserve">Qualitative </t>
  </si>
  <si>
    <t>species</t>
  </si>
  <si>
    <t>order</t>
  </si>
  <si>
    <t>animalia</t>
  </si>
  <si>
    <t>na</t>
  </si>
  <si>
    <t>invertebrates</t>
  </si>
  <si>
    <t>Terrestrial</t>
  </si>
  <si>
    <t>Local</t>
  </si>
  <si>
    <t>africa</t>
  </si>
  <si>
    <t>Tanzania, United Republic of</t>
  </si>
  <si>
    <t>literature</t>
  </si>
  <si>
    <t>1.1:DevResid;2.3:AgLivestock;5.1:UseAnimals;6.3:Other</t>
  </si>
  <si>
    <t>cumulative</t>
  </si>
  <si>
    <t xml:space="preserve">na </t>
  </si>
  <si>
    <t>Quantitative</t>
  </si>
  <si>
    <t>mammal</t>
  </si>
  <si>
    <t>Marine</t>
  </si>
  <si>
    <t>degrees</t>
  </si>
  <si>
    <t>north pacific</t>
  </si>
  <si>
    <t>United States</t>
  </si>
  <si>
    <t>database</t>
  </si>
  <si>
    <t>4.3:ShipLane</t>
  </si>
  <si>
    <t>Channel Islands National Marine Sanctuary</t>
  </si>
  <si>
    <t>modelled</t>
  </si>
  <si>
    <t>km2</t>
  </si>
  <si>
    <t>asia</t>
  </si>
  <si>
    <t>Indonesia</t>
  </si>
  <si>
    <t>expert</t>
  </si>
  <si>
    <t>6.3:Other</t>
  </si>
  <si>
    <t>Sub-national</t>
  </si>
  <si>
    <t>south china sea</t>
  </si>
  <si>
    <t>Philippines</t>
  </si>
  <si>
    <t>other</t>
  </si>
  <si>
    <t>9.4:PollGarbSW</t>
  </si>
  <si>
    <t>phylum</t>
  </si>
  <si>
    <t>mammal;reptile</t>
  </si>
  <si>
    <t>Spain</t>
  </si>
  <si>
    <t>2.3:AgLivestock</t>
  </si>
  <si>
    <t>modelled;survey</t>
  </si>
  <si>
    <t>m</t>
  </si>
  <si>
    <t>australasia</t>
  </si>
  <si>
    <t>Australia</t>
  </si>
  <si>
    <t>pchba;protected_area</t>
  </si>
  <si>
    <t>NRETAS</t>
  </si>
  <si>
    <t>India</t>
  </si>
  <si>
    <t>rs</t>
  </si>
  <si>
    <t>2.1:AgNTC;2.3:AgLivestock;1.4:DevUnspec</t>
  </si>
  <si>
    <t>protected_area</t>
  </si>
  <si>
    <t>Multi-national</t>
  </si>
  <si>
    <t>Azerbaijan;Iran;Lebanon;Turkey</t>
  </si>
  <si>
    <t>11.1:CC_Habitat</t>
  </si>
  <si>
    <t>literature;survey</t>
  </si>
  <si>
    <t>genus</t>
  </si>
  <si>
    <t>reptile</t>
  </si>
  <si>
    <t>Global</t>
  </si>
  <si>
    <t>pcm</t>
  </si>
  <si>
    <t>1.2:DevComInd;3.1:OilGas;4.3:ShipLane;5.4:UseAquatic;8.1:SDAlienInv;9.1:PollDWW;11.1:CC_Habitat;11.3:CC_Temp;11.5:CC_other</t>
  </si>
  <si>
    <t>Halpern_2008</t>
  </si>
  <si>
    <t>IUCN</t>
  </si>
  <si>
    <t>north america</t>
  </si>
  <si>
    <t>11.2:CC_Drought</t>
  </si>
  <si>
    <t>bird</t>
  </si>
  <si>
    <t>Fish</t>
  </si>
  <si>
    <t>Canada;United States</t>
  </si>
  <si>
    <t>8.2:SDNativProb</t>
  </si>
  <si>
    <t>family</t>
  </si>
  <si>
    <t>Canada</t>
  </si>
  <si>
    <t>4.1:RoadRail</t>
  </si>
  <si>
    <t>qualitative</t>
  </si>
  <si>
    <t>class</t>
  </si>
  <si>
    <t>Malaysia</t>
  </si>
  <si>
    <t>2.1:AgNTC;2.2:AgWood;4.1:RoadRail</t>
  </si>
  <si>
    <t>1.1:DevResid;1.2:DevComInd;1.3:DevRnR;2.1:AgNTC;2.3:AgLivestock;4.1:RoadRail;9.6:PollEnergy</t>
  </si>
  <si>
    <t>HFI</t>
  </si>
  <si>
    <t>NaturalWorldHeritage</t>
  </si>
  <si>
    <t>1.1:DevResid;1.2:DevComInd;2.1:AgNTC;2.3:AgLivestock;4.1:RoadRail;4.2:UtilityLine;5.1:UseAnimals;5.2:UsePlant;6.1:ActivRnR;6.3:Other;8.1:SDAlienInv;9.1:PollDWW;9.3:PollAgrFor;9.4:PollGarbSW;9.6:PollEnergy</t>
  </si>
  <si>
    <t>mammal;amphibia;bird</t>
  </si>
  <si>
    <t>United Kingdom</t>
  </si>
  <si>
    <t>11.3:CC_Temp</t>
  </si>
  <si>
    <t>plantae</t>
  </si>
  <si>
    <t>mangrove;vegetation</t>
  </si>
  <si>
    <t>south america</t>
  </si>
  <si>
    <t>Colombia</t>
  </si>
  <si>
    <t>6.2:WarConflict</t>
  </si>
  <si>
    <t>kingdom</t>
  </si>
  <si>
    <t>forest</t>
  </si>
  <si>
    <t>mediterranean</t>
  </si>
  <si>
    <t>expert;literature;survey</t>
  </si>
  <si>
    <t>1.1:DevResid;2.4:Aqua;5.4:UseAquatic;6.1:ActivRnR</t>
  </si>
  <si>
    <t>domain</t>
  </si>
  <si>
    <t>animalia;plantae</t>
  </si>
  <si>
    <t>liliopsida</t>
  </si>
  <si>
    <t>fish</t>
  </si>
  <si>
    <t>Brazil;Bolivia;Peru;French Guyana;Suriname;Guyana;Venezuela;Colombia;Ecuador</t>
  </si>
  <si>
    <t>database;literature;rs</t>
  </si>
  <si>
    <t>3.2:MinQuar</t>
  </si>
  <si>
    <t>private mining GIS databases</t>
  </si>
  <si>
    <t>quantitative</t>
  </si>
  <si>
    <t>north atlantic</t>
  </si>
  <si>
    <t>Mexico</t>
  </si>
  <si>
    <t>8.6:DUnknownC</t>
  </si>
  <si>
    <t>south pacific</t>
  </si>
  <si>
    <t>modelled;rs</t>
  </si>
  <si>
    <t>9.7:PollUnspec</t>
  </si>
  <si>
    <t>level1</t>
  </si>
  <si>
    <t>11.3:CC_Temp;11.5:CC_other</t>
  </si>
  <si>
    <t>CRU TS v4.01</t>
  </si>
  <si>
    <t>database;survey</t>
  </si>
  <si>
    <t>International Bird Census_ICW</t>
  </si>
  <si>
    <t>1.1:DevResid;2.4:Aqua;2.5:AgUncpec</t>
  </si>
  <si>
    <t>protected_area;rs</t>
  </si>
  <si>
    <t>Denmark</t>
  </si>
  <si>
    <t>7.2:WaterSystem;11.3:CC_Temp;9.7:PollUnspec;9.4:PollGarbSW;9.6:PollEnergy;1.2:DevComInd;2.4:Aqua;6.2:WarConflict;8.1:SDAlienInv;3.1:OilGas;3.3:Renew;4.2:UtilityLine;9.2:PollIndMil;4.3:ShipLane;6.1:ActivRnR;5.4:UseAquatic</t>
  </si>
  <si>
    <t>chordata</t>
  </si>
  <si>
    <t>Belize</t>
  </si>
  <si>
    <t>Argentina</t>
  </si>
  <si>
    <t>2.1:AgNTC;2.2:AgWood</t>
  </si>
  <si>
    <t>geoportal.idesa.gob.ar</t>
  </si>
  <si>
    <t>Cook Islands;French Polynesia</t>
  </si>
  <si>
    <t>database;rs</t>
  </si>
  <si>
    <t>AVHRR Pathfinder V4.1</t>
  </si>
  <si>
    <t>Continental</t>
  </si>
  <si>
    <t>forest;habitat;habitat</t>
  </si>
  <si>
    <t>Iran</t>
  </si>
  <si>
    <t>rs;survey</t>
  </si>
  <si>
    <t>1.1:DevResid;2.1:AgNTC;2.3:AgLivestock</t>
  </si>
  <si>
    <t>Brazil</t>
  </si>
  <si>
    <t>literature;rs</t>
  </si>
  <si>
    <t>7.2:WaterSystem</t>
  </si>
  <si>
    <t>1.1:DevResid;1.2:DevComInd;2.1:AgNTC;2.3:AgLivestock</t>
  </si>
  <si>
    <t>Eurostat2000</t>
  </si>
  <si>
    <t>tracheophyta</t>
  </si>
  <si>
    <t>bird;mammal;reptile;amphibia</t>
  </si>
  <si>
    <t>expert;modelled</t>
  </si>
  <si>
    <t>1.1:DevResid;1.2:DevComInd;1.3:DevRnR;2.4:Aqua;3.1:OilGas;4.3:ShipLane;5.4:UseAquatic;9.3:PollAgrFor;3.2:MinQuar;6.1:ActivRnR</t>
  </si>
  <si>
    <t>mangrove;liliopsida</t>
  </si>
  <si>
    <t>2.3:AgLivestock;7.1:FireSystem;2.1:AgNTC</t>
  </si>
  <si>
    <t>Qualitative;Quantitative</t>
  </si>
  <si>
    <t>5.1:UseAnimals;6.3:Other</t>
  </si>
  <si>
    <t>1.2:DevComInd;9.2:PollIndMil</t>
  </si>
  <si>
    <t>forest;magnoliopsida</t>
  </si>
  <si>
    <t>ha</t>
  </si>
  <si>
    <t>2.3:AgLivestock;5.3:UseWood</t>
  </si>
  <si>
    <t>Oliveria2018</t>
  </si>
  <si>
    <t>Italy</t>
  </si>
  <si>
    <t>1.1:DevResid;1.2:DevComInd</t>
  </si>
  <si>
    <t>3.2:MinQuar;5.4:UseAquatic;9.1:PollDWW;9.3:PollAgrFor</t>
  </si>
  <si>
    <t>APHRODITE</t>
  </si>
  <si>
    <t>km</t>
  </si>
  <si>
    <t>1.1:DevResid;3.1:OilGas;5.4:UseAquatic</t>
  </si>
  <si>
    <t xml:space="preserve">DMSP Operational Linescan System (DMSP OLS) </t>
  </si>
  <si>
    <t>8.1:SDAlienInv;2.3:AgLivestock</t>
  </si>
  <si>
    <t>S_Review</t>
  </si>
  <si>
    <t>2.4:Aqua;5.4:UseAquatic;4.3:ShipLane;6.1:ActivRnR;6.3:Other;9.1:PollDWW;9.4:PollGarbSW;9.6:PollEnergy;11.3:CC_Temp;11.1:CC_Habitat;11.4:CC_WetWeather;8.1:SDAlienInv;4.4:FlightPath</t>
  </si>
  <si>
    <t>3.1:OilGas</t>
  </si>
  <si>
    <t>Ethiopia</t>
  </si>
  <si>
    <t>2.1:AgNTC;2.3:AgLivestock</t>
  </si>
  <si>
    <t>vegetation;forest;vegetation</t>
  </si>
  <si>
    <t>Chile</t>
  </si>
  <si>
    <t>literature;pchba;survey</t>
  </si>
  <si>
    <t>BiodiversityHotspot</t>
  </si>
  <si>
    <t>amphibia</t>
  </si>
  <si>
    <t>Gabon</t>
  </si>
  <si>
    <t>1.1:DevResid;2.2:AgWood;5.1:UseAnimals;5.3:UseWood</t>
  </si>
  <si>
    <t>Pakistan</t>
  </si>
  <si>
    <t>1.4:DevUnspec</t>
  </si>
  <si>
    <t>RAMSAR</t>
  </si>
  <si>
    <t>Finland</t>
  </si>
  <si>
    <t>3.3:Renew</t>
  </si>
  <si>
    <t>FinnishWindAtlas</t>
  </si>
  <si>
    <t>literature;modelled</t>
  </si>
  <si>
    <t>3.1:OilGas;8.1:SDAlienInv;11.1:CC_Habitat</t>
  </si>
  <si>
    <t>pchba</t>
  </si>
  <si>
    <t>PAC;USFWS</t>
  </si>
  <si>
    <t>GRanD;GOODD</t>
  </si>
  <si>
    <t>database;literature</t>
  </si>
  <si>
    <t>Mauritius</t>
  </si>
  <si>
    <t>France;Italy;Spain</t>
  </si>
  <si>
    <t>Alaska</t>
  </si>
  <si>
    <t>5.4:UseAquatic</t>
  </si>
  <si>
    <t>Ford etal 2011</t>
  </si>
  <si>
    <t>1.1:DevResid;2.1:AgNTC;2.3:AgLivestock;5.1:UseAnimals;5.2:UsePlant;5.3:UseWood;7.1:FireSystem;8.1:SDAlienInv</t>
  </si>
  <si>
    <t>Ecuador</t>
  </si>
  <si>
    <t>literature;protected_area</t>
  </si>
  <si>
    <t>amphibia;bird;mammal</t>
  </si>
  <si>
    <t>France</t>
  </si>
  <si>
    <t>1.1:DevResid;4.1:RoadRail</t>
  </si>
  <si>
    <t>Peru</t>
  </si>
  <si>
    <t>3.2:MinQuar;3.1:OilGas;2.2:AgWood</t>
  </si>
  <si>
    <t>MINAGRI;INGEMMET;PeruPetro</t>
  </si>
  <si>
    <t>database;pchba</t>
  </si>
  <si>
    <t>MINAM;BirdLife</t>
  </si>
  <si>
    <t>3.1:OilGas;3.3:Renew</t>
  </si>
  <si>
    <t>habitat</t>
  </si>
  <si>
    <t>asia;south america</t>
  </si>
  <si>
    <t>Brazil;Peru;Indonesia</t>
  </si>
  <si>
    <t>database;expert;literature</t>
  </si>
  <si>
    <t>3.1:OilGas;4.1:RoadRail;3.2:MinQuar;2.2:AgWood;2.1:AgNTC;5.3:UseWood</t>
  </si>
  <si>
    <t>database;expert;literature;protected_area</t>
  </si>
  <si>
    <t>Costa Rica</t>
  </si>
  <si>
    <t>4.2:UtilityLine</t>
  </si>
  <si>
    <t>Tunisia</t>
  </si>
  <si>
    <t>2.4:Aqua;1.1:DevResid;1.2:DevComInd;4.3:ShipLane;5.4:UseAquatic</t>
  </si>
  <si>
    <t>minutes</t>
  </si>
  <si>
    <t>mammal;bird;reptile;amphibia</t>
  </si>
  <si>
    <t>Belgium</t>
  </si>
  <si>
    <t>9.2:PollIndMil</t>
  </si>
  <si>
    <t>expert;literature</t>
  </si>
  <si>
    <t>2.4:Aqua;5.1:UseAnimals;4.3:ShipLane;8.1:SDAlienInv;9.1:PollDWW;9.2:PollIndMil;9.3:PollAgrFor;3.1:OilGas;11.3:CC_Temp</t>
  </si>
  <si>
    <t>FishMed</t>
  </si>
  <si>
    <t>2.4:Aqua</t>
  </si>
  <si>
    <t>Algeria</t>
  </si>
  <si>
    <t>2.5:AgUncpec;4.1:RoadRail;1.4:DevUnspec;7.2:WaterSystem</t>
  </si>
  <si>
    <t>Government</t>
  </si>
  <si>
    <t>magnoliopsida</t>
  </si>
  <si>
    <t>South Africa</t>
  </si>
  <si>
    <t>database;protected_area</t>
  </si>
  <si>
    <t>SouthAfricanProtectedAreaDatabase</t>
  </si>
  <si>
    <t>database;modelled</t>
  </si>
  <si>
    <t>1.1:DevResid;2.5:AgUncpec;8.1:SDAlienInv</t>
  </si>
  <si>
    <t>India-WRIS</t>
  </si>
  <si>
    <t>FishBase</t>
  </si>
  <si>
    <t>Kenya</t>
  </si>
  <si>
    <t>2.3:AgLivestock;2.1:AgNTC;1.1:DevResid</t>
  </si>
  <si>
    <t>United States;Mexico;Cuba;Bahamas;Dominican Republic;Dominica;Trinidad and Tobago;Barbados;Grenada;Saint Lucia;Martinique;Aruba;Antigua and Barbuda;Anguilla;Bonaire; British Virgin Islands;Cayman Islands;Dominica;Guadeloupe;Jamaica;Montserrat;Navassa Island;Puerto Rico;Saba; Saint Kitts and Nevis;Saint Vincent and the Grenadines;Turks and Caicos Islands;United States Virgin Islands;Belize;Haiti;Honduras;Colombia;Panama; Curaçao; Saint-Barthélemy; Sint-Eustatius; Collectivity of Saint Martin; Nicaragua</t>
  </si>
  <si>
    <t>PelagicObserverProgram_POP</t>
  </si>
  <si>
    <t>POP</t>
  </si>
  <si>
    <t>Saudi Arabia</t>
  </si>
  <si>
    <t>5.1:UseAnimals</t>
  </si>
  <si>
    <t>indian ocean</t>
  </si>
  <si>
    <t>AustalianBureauofAgricultural and ResourceEconomicsandSciences_ABARES</t>
  </si>
  <si>
    <t>Myanmar (Burma)</t>
  </si>
  <si>
    <t>Marine;Terrestrial</t>
  </si>
  <si>
    <t>2.2:AgWood;2.5:AgUncpec;5.1:UseAnimals</t>
  </si>
  <si>
    <t>IUCNredlist</t>
  </si>
  <si>
    <t>11.3:CC_Temp;11.2:CC_Drought;11.5:CC_other</t>
  </si>
  <si>
    <t>7.1:FireSystem</t>
  </si>
  <si>
    <t>Germany</t>
  </si>
  <si>
    <t>8.1:SDAlienInv;6.1:ActivRnR</t>
  </si>
  <si>
    <t>Thailand</t>
  </si>
  <si>
    <t>2.1:AgNTC;2.3:AgLivestock;2.2:AgWood</t>
  </si>
  <si>
    <t>Turkey</t>
  </si>
  <si>
    <t>2.5:AgUncpec;1.1:DevResid;4.1:RoadRail</t>
  </si>
  <si>
    <t>11.3:CC_Temp;2.5:AgUncpec;8.1:SDAlienInv;4.1:RoadRail</t>
  </si>
  <si>
    <t>USDA_AerialPhotographyFieldOffice; 2000Census; NED1999; Landsat</t>
  </si>
  <si>
    <t>Sagestitch2002</t>
  </si>
  <si>
    <t>9.1:PollDWW;9.3:PollAgrFor</t>
  </si>
  <si>
    <t>Switzerland</t>
  </si>
  <si>
    <t>6.1:ActivRnR;1.2:DevComInd</t>
  </si>
  <si>
    <t>United Kingdom;Ireland</t>
  </si>
  <si>
    <t>MarineInstituteIreland</t>
  </si>
  <si>
    <t>SCANS1&amp;2;CODA;JNCC;NationalBiodiversityDatacentre</t>
  </si>
  <si>
    <t>ScottishNaturalHeritage_RenewableEnergyDatabase</t>
  </si>
  <si>
    <t>RSPB</t>
  </si>
  <si>
    <t>database;literature;modelled</t>
  </si>
  <si>
    <t>MarineResearchFOundation_MRF</t>
  </si>
  <si>
    <t>Mauritania;Western Sahara; Algeria;Tunisia;Libya;Egypt;Sudan;Mali;Burkina Faso;Niger;Chad;Nigeria</t>
  </si>
  <si>
    <t>database;literature;survey</t>
  </si>
  <si>
    <t>3.1:OilGas;3.2:MinQuar;4.1:RoadRail;5.1:UseAnimals;6.2:WarConflict;6.3:Other</t>
  </si>
  <si>
    <t>multiple sources</t>
  </si>
  <si>
    <t>Russia</t>
  </si>
  <si>
    <t>9.6:PollEnergy;6.3:Other</t>
  </si>
  <si>
    <t>Solomon Islands</t>
  </si>
  <si>
    <t>5.3:UseWood</t>
  </si>
  <si>
    <t>Australia;Indonesia;Vietnam;Philippines;Malaysia; Oecusse; Papua New Guinea; East Timor; Bangladesh; Guam; Northern Mariana Islands; Palau; Singapore; Thailand; Brunei; Taiwan; Cambodia; Myanmar</t>
  </si>
  <si>
    <t>11.3:CC_Temp;9.7:PollUnspec</t>
  </si>
  <si>
    <t>Halpern et al 2008</t>
  </si>
  <si>
    <t>UNEP</t>
  </si>
  <si>
    <t>EuropeanComission2013; ERF2011</t>
  </si>
  <si>
    <t>China</t>
  </si>
  <si>
    <t>pinopsida</t>
  </si>
  <si>
    <t>1.1:DevResid;1.4:DevUnspec;4.1:RoadRail</t>
  </si>
  <si>
    <t>2.1:AgNTC;5.3:UseWood</t>
  </si>
  <si>
    <t>Ghana</t>
  </si>
  <si>
    <t>protected_area;survey</t>
  </si>
  <si>
    <t>Zaire</t>
  </si>
  <si>
    <t>3.2:MinQuar;6.2:WarConflict</t>
  </si>
  <si>
    <t>ACLED_Raleigh_2010; ipisresearch.be</t>
  </si>
  <si>
    <t>CentralAfricanRegionalProgramfortheEnvironment_CARPE</t>
  </si>
  <si>
    <t>Bolivia</t>
  </si>
  <si>
    <t>2.3:AgLivestock;2.1:AgNTC;1.2:DevComInd;3.1:OilGas</t>
  </si>
  <si>
    <t>FAO; King'sCollegeDatabaseofDams; WorldPetroleumAssessment</t>
  </si>
  <si>
    <t>DANE2017</t>
  </si>
  <si>
    <t>BirdBandingLaboratory_USGS</t>
  </si>
  <si>
    <t>Spain;France;Italy</t>
  </si>
  <si>
    <t>9.5:PollAir</t>
  </si>
  <si>
    <t>Biodiversity Hotspot</t>
  </si>
  <si>
    <t>New Caledonia</t>
  </si>
  <si>
    <t>UNESCO</t>
  </si>
  <si>
    <t>1.2:DevComInd;3.2:MinQuar;2.1:AgNTC</t>
  </si>
  <si>
    <t>GovernmentRepository</t>
  </si>
  <si>
    <t>Madagascar</t>
  </si>
  <si>
    <t>5.3:UseWood;1.4:DevUnspec;2.5:AgUncpec</t>
  </si>
  <si>
    <t>gbif.org</t>
  </si>
  <si>
    <t>Experimental</t>
  </si>
  <si>
    <t>Myanmar (Burma);Thailand;Laos;Vietnam;Cambodia</t>
  </si>
  <si>
    <t>4.1:RoadRail;2.2:AgWood</t>
  </si>
  <si>
    <t>1.1:DevResid;1.2:DevComInd;2.1:AgNTC;2.3:AgLivestock;7.2:WaterSystem</t>
  </si>
  <si>
    <t>TerraClassInitiative_TC; Landsat</t>
  </si>
  <si>
    <t>4.3:ShipLane;6.1:ActivRnR</t>
  </si>
  <si>
    <t>Venezuela</t>
  </si>
  <si>
    <t>India;Nepal</t>
  </si>
  <si>
    <t>Freshwater;Terrestrial</t>
  </si>
  <si>
    <t>Brazil;Colombia;Peru;Ecuador;Guyana;Suriname;French Guyana;Bolivia</t>
  </si>
  <si>
    <t>7.2:WaterSystem;3.1:OilGas;3.2:MinQuar;4.1:RoadRail</t>
  </si>
  <si>
    <t>literature;modelled;pchba;protected_area</t>
  </si>
  <si>
    <t>RAMSAR;WorldHeritage</t>
  </si>
  <si>
    <t>ecosystem;forest</t>
  </si>
  <si>
    <t>Fish;ecosystem</t>
  </si>
  <si>
    <t>1.1:DevResid;2.1:AgNTC;2.3:AgLivestock;2.2:AgWood</t>
  </si>
  <si>
    <t>mammal;bird;amphibia</t>
  </si>
  <si>
    <t>2.2:AgWood;5.3:UseWood</t>
  </si>
  <si>
    <t>FAO</t>
  </si>
  <si>
    <t>mammal;bird;amphibia;reptile</t>
  </si>
  <si>
    <t>2.1:AgNTC</t>
  </si>
  <si>
    <t>FAOSTAT</t>
  </si>
  <si>
    <t>9.1:PollDWW</t>
  </si>
  <si>
    <t>1.1:DevResid</t>
  </si>
  <si>
    <t>mangrove</t>
  </si>
  <si>
    <t>4.1:RoadRail;9.6:PollEnergy</t>
  </si>
  <si>
    <t>Nepal</t>
  </si>
  <si>
    <t>2.5:AgUncpec</t>
  </si>
  <si>
    <t>11.1:CC_Habitat;8.2:SDNativProb</t>
  </si>
  <si>
    <t>2.3:AgLivestock;8.1:SDAlienInv</t>
  </si>
  <si>
    <t>China;North Korea;South Korea;Japan</t>
  </si>
  <si>
    <t>WorldClim.org</t>
  </si>
  <si>
    <t>1.1:DevResid;9.1:PollDWW</t>
  </si>
  <si>
    <t>2.1:AgNTC;2.2:AgWood;9.1:PollDWW;9.4:PollGarbSW;3.1:OilGas;4.1:RoadRail</t>
  </si>
  <si>
    <t>AgricultureAndAgri-FoodCanada_1997</t>
  </si>
  <si>
    <t>GreatLakesLabforFisheriesand AquaticSciences_Canada</t>
  </si>
  <si>
    <t>South Korea</t>
  </si>
  <si>
    <t>6.1:ActivRnR</t>
  </si>
  <si>
    <t>KNPS_2019;NaturalCapitalProject_2017</t>
  </si>
  <si>
    <t>vegetation</t>
  </si>
  <si>
    <t>2.2:AgWood</t>
  </si>
  <si>
    <t>1.2:DevComInd;3.1:OilGas;4.3:ShipLane;5.4:UseAquatic;8.1:SDAlienInv;9.1:PollDWW;9.3:PollAgrFor;11.1:CC_Habitat;11.3:CC_Temp;11.5:CC_other</t>
  </si>
  <si>
    <t>literature;pchba</t>
  </si>
  <si>
    <t>France;Spain</t>
  </si>
  <si>
    <t>Andorra;Bosnia and Herzegovina;France;Italy;Greece;Croatia;Macedonia;Monaco;Montenegro;Portugal;Spain;Slovenia;San Marino;Albania</t>
  </si>
  <si>
    <t>9.7:PollUnspec;7.2:WaterSystem;8.1:SDAlienInv;1.2:DevComInd;2.5:AgUncpec;5.4:UseAquatic</t>
  </si>
  <si>
    <t>multiple</t>
  </si>
  <si>
    <t>4.1:RoadRail;1.1:DevResid</t>
  </si>
  <si>
    <t>Brazil;Ecuador;Bolivia</t>
  </si>
  <si>
    <t>GovernmentRepositories</t>
  </si>
  <si>
    <t>ProtectedPlanet</t>
  </si>
  <si>
    <t>Andorra;Bosnia and Herzegovina; France; Italy; Greece; Croatia; Macedonia; Monaco;Montenegro; Spain;Slovenia;San Marino;Albania;Malta;Cyprus;Turkey;Morocco;Algeria;Tunisia;Libya;Egypt;Israel;Syria;Lebanon</t>
  </si>
  <si>
    <t>9.1:PollDWW;9.2:PollIndMil;9.3:PollAgrFor;8.1:SDAlienInv;2.4:Aqua;5.4:UseAquatic;4.3:ShipLane;3.1:OilGas;11.3:CC_Temp;11.5:CC_other</t>
  </si>
  <si>
    <t>invertebrates;fish;mammal;reptile;bird</t>
  </si>
  <si>
    <t>1.2:DevComInd;11.1:CC_Habitat;11.3:CC_Temp;11.5:CC_other;3.1:OilGas;4.3:ShipLane;5.4:UseAquatic;8.1:SDAlienInv;9.1:PollDWW;9.3:PollAgrFor</t>
  </si>
  <si>
    <t>Halpern2008</t>
  </si>
  <si>
    <t>bird;fish;mammal;reptile</t>
  </si>
  <si>
    <t>Andorra;Bosnia and Herzegovina; France; Italy; Greece; Croatia; Macedonia; Monaco;Montenegro; Spain;Slovenia;San Marino;Albania;Malta;Cyprus;Turkey;Morocco;Algeria;Tunisia;Libya;Egypt;Israel;Syria;Lebanon;Bulgaria;Romania;Ukraine;Russia;Georgia</t>
  </si>
  <si>
    <t>AquaMaps.org</t>
  </si>
  <si>
    <t>Fish;Fish;reptile;mammal;invertebrates;invertebrates</t>
  </si>
  <si>
    <t>Freshwater;Marine</t>
  </si>
  <si>
    <t>bird;mammal</t>
  </si>
  <si>
    <t>TourismandRecreationInformationSystemTFISBaden-Württemberg_Germany;www.lgl-bw.de;(&lt;www.
outdooractive.de;www.gpsies.com;www.bergfex.de</t>
  </si>
  <si>
    <t>arc_minutes</t>
  </si>
  <si>
    <t>United States;Canada</t>
  </si>
  <si>
    <t>BBS</t>
  </si>
  <si>
    <t>NorthAmericanBreedingBirdSurvey_BBS</t>
  </si>
  <si>
    <t>database;pcm</t>
  </si>
  <si>
    <t>1.4:DevUnspec;11.1:CC_Habitat;4.5.UnspecLine</t>
  </si>
  <si>
    <t>World Database on Protected Areas; Human Footprint</t>
  </si>
  <si>
    <t>arctic ocean</t>
  </si>
  <si>
    <t>Canada;Greenland</t>
  </si>
  <si>
    <t>FisheriesAndOceansCanada_DFO</t>
  </si>
  <si>
    <t xml:space="preserve">Quantitative </t>
  </si>
  <si>
    <t>French Guyana</t>
  </si>
  <si>
    <t>Bd-map database</t>
  </si>
  <si>
    <t>south atlantic</t>
  </si>
  <si>
    <t>Comores</t>
  </si>
  <si>
    <t>11.3:CC_Temp;11.1:CC_Habitat;9.7:PollUnspec</t>
  </si>
  <si>
    <t>9.3:PollAgrFor</t>
  </si>
  <si>
    <t>Namibia</t>
  </si>
  <si>
    <t>m2</t>
  </si>
  <si>
    <t>USDAForestService_2015</t>
  </si>
  <si>
    <t>GeosciencesAustralia</t>
  </si>
  <si>
    <t>reptile;invertebrates</t>
  </si>
  <si>
    <t>6.1:ActivRnR;5.4:UseAquatic;9.7:PollUnspec</t>
  </si>
  <si>
    <t>FleetRegister_EUCommunityRegister</t>
  </si>
  <si>
    <t>1.1:DevResid;5.4:UseAquatic;6.1:ActivRnR;9.7:PollUnspec</t>
  </si>
  <si>
    <t>database;expert</t>
  </si>
  <si>
    <t>11.3:CC_Temp;3.1:OilGas;4.3:ShipLane;5.4:UseAquatic</t>
  </si>
  <si>
    <t>PACE</t>
  </si>
  <si>
    <t>South African Weather Service</t>
  </si>
  <si>
    <t>SouthAfricanBirdAtlas</t>
  </si>
  <si>
    <t>7.1:FireSystem;8.1:SDAlienInv</t>
  </si>
  <si>
    <t>Portugal;Spain</t>
  </si>
  <si>
    <t>PowerCompanies</t>
  </si>
  <si>
    <t>AtlasofBreedingBirds</t>
  </si>
  <si>
    <t>Sri Lanka</t>
  </si>
  <si>
    <t>Zimbabwe</t>
  </si>
  <si>
    <t>South Africa;Mozambique</t>
  </si>
  <si>
    <t>IOTC</t>
  </si>
  <si>
    <t>bird;amphibia;mammal;reptile</t>
  </si>
  <si>
    <t>second</t>
  </si>
  <si>
    <t>HFI;resdc.cn</t>
  </si>
  <si>
    <t>7.2:WaterSystem;5.4:UseAquatic;8.1:SDAlienInv;9.7:PollUnspec;2.4:Aqua</t>
  </si>
  <si>
    <t>census</t>
  </si>
  <si>
    <t>WestBengalForestDepartment</t>
  </si>
  <si>
    <t>2.1:AgNTC;4.1:RoadRail</t>
  </si>
  <si>
    <t>1.4:DevUnspec;2.1:AgNTC</t>
  </si>
  <si>
    <t>NationalDepartmentofMineralResources</t>
  </si>
  <si>
    <t>modelled;other;survey</t>
  </si>
  <si>
    <t>amphibia;bird</t>
  </si>
  <si>
    <t>2.1:AgNTC;4.1:RoadRail;3.1:OilGas;4.2:UtilityLine;3.2:MinQuar</t>
  </si>
  <si>
    <t>Portugal</t>
  </si>
  <si>
    <t>1.1:DevResid;2.5:AgUncpec</t>
  </si>
  <si>
    <t>forest;habitat</t>
  </si>
  <si>
    <t>De Oliveira_etal</t>
  </si>
  <si>
    <t>2.1:AgNTC;2.3:AgLivestock;2.2:AgWood;1.1:DevResid</t>
  </si>
  <si>
    <t>data.Montpellier3m.fr</t>
  </si>
  <si>
    <t>TheMalpolonDatabase</t>
  </si>
  <si>
    <t>4.1:RoadRail;5.1:UseAnimals;5.3:UseWood</t>
  </si>
  <si>
    <t>11.1:CC_Habitat;11.3:CC_Temp</t>
  </si>
  <si>
    <t>WorldClim</t>
  </si>
  <si>
    <t>expert;survey</t>
  </si>
  <si>
    <t>1.1:DevResid;9.3:PollAgrFor;6.1:ActivRnR;2.1:AgNTC;5.1:UseAnimals;5.2:UsePlant;9.4:PollGarbSW;2.3:AgLivestock;9.1:PollDWW;5.3:UseWood;4.1:RoadRail;4.2:UtilityLine;1.2:DevComInd;1.3:DevRnR;2.2:AgWood;3.2:MinQuar;3.3:Renew;7.2:WaterSystem</t>
  </si>
  <si>
    <t>various</t>
  </si>
  <si>
    <t>1.1:DevResid;2.1:AgNTC;2.2:AgWood;2.3:AgLivestock</t>
  </si>
  <si>
    <t>Bosnia and Herzegovina; France; Italy; Greece; Croatia; Macedonia; Monaco;Montenegro; Spain;Slovenia;San Marino;Albania;Malta;Cyprus;Turkey;Morocco;Algeria;Tunisia;Libya;Egypt;Israel;Syria;Lebanon</t>
  </si>
  <si>
    <t>fish;invertebrates;mammal;reptile</t>
  </si>
  <si>
    <t>Di_etal</t>
  </si>
  <si>
    <t>2.1:AgNTC;3.3:Renew</t>
  </si>
  <si>
    <t>arc_seconds</t>
  </si>
  <si>
    <t>pcm;rs</t>
  </si>
  <si>
    <t>1.4:DevUnspec;2.5:AgUncpec;3.4:EnergUnspec;4.5.UnspecLine</t>
  </si>
  <si>
    <t>LandUseHarmonizationDataset_LUH2_Hurttetal2017</t>
  </si>
  <si>
    <t>2.1:AgNTC;2.2:AgWood;3.2:MinQuar</t>
  </si>
  <si>
    <t>Goodman2006</t>
  </si>
  <si>
    <t>plant;vegetation</t>
  </si>
  <si>
    <t>mammal;bird;amphibia;reptile;invertebrates;invertebrates;invertebrates;invertebrates;invertebrates;invertebrates</t>
  </si>
  <si>
    <t>Dignan, S.P.,</t>
  </si>
  <si>
    <t>invertebrates;invertebrates</t>
  </si>
  <si>
    <t>1.4:DevUnspec;2.2:AgWood;8.6:DUnknownC</t>
  </si>
  <si>
    <t>FIA_USDA2008; NationalLandCoverDatabase_NLCD</t>
  </si>
  <si>
    <t>Greece</t>
  </si>
  <si>
    <t>Natura2000</t>
  </si>
  <si>
    <t>Sudan</t>
  </si>
  <si>
    <t>Togo</t>
  </si>
  <si>
    <t>Burkina Faso;Ghana;Togo</t>
  </si>
  <si>
    <t>1.4:DevUnspec;2.5:AgUncpec</t>
  </si>
  <si>
    <t>Doherty</t>
  </si>
  <si>
    <t>WyomingOilnGasConservationCommision</t>
  </si>
  <si>
    <t>GovernmentData_China</t>
  </si>
  <si>
    <t>StellwagenBankMarineSanctuary</t>
  </si>
  <si>
    <t>1.4:DevUnspec;4.1:RoadRail;2.5:AgUncpec</t>
  </si>
  <si>
    <t>2000NationalTerrestrialEcosystemSpatialDistribution</t>
  </si>
  <si>
    <t>eBird;GBIF</t>
  </si>
  <si>
    <t>IUCNredlist;FAO</t>
  </si>
  <si>
    <t>Algeria;Niger</t>
  </si>
  <si>
    <t>south atlantic;indian ocean;north atlantic</t>
  </si>
  <si>
    <t>Bangladesh;Madagascar;Tanzania;Mozambique;Senegal;Sierra Leone</t>
  </si>
  <si>
    <t>11.1:CC_Habitat;2.5:AgUncpec</t>
  </si>
  <si>
    <t>Duran</t>
  </si>
  <si>
    <t>NationalBoradofHydrocrabons;PetroEcuador;PRAS;SENPLADES</t>
  </si>
  <si>
    <t>invertebrates;fish</t>
  </si>
  <si>
    <t>ElectricUtilityProviders</t>
  </si>
  <si>
    <t>DraperNaturalHistoryMuseum</t>
  </si>
  <si>
    <t>3.1:OilGas;4.1:RoadRail</t>
  </si>
  <si>
    <t>US.CensusBureau2014</t>
  </si>
  <si>
    <t>New Zealand</t>
  </si>
  <si>
    <t>IMO</t>
  </si>
  <si>
    <t>DGN_Fishery_Dataset</t>
  </si>
  <si>
    <t>modelled;protected_area;rs</t>
  </si>
  <si>
    <t>altasof_MediterraneanScienceCommission_CIESM</t>
  </si>
  <si>
    <t>Italy;France</t>
  </si>
  <si>
    <t>4.3:ShipLane;5.4:UseAquatic;9.7:PollUnspec</t>
  </si>
  <si>
    <t>animal</t>
  </si>
  <si>
    <t>2.5:AgUncpec;2.4:Aqua;1.3:DevRnR;5.4:UseAquatic;6.1:ActivRnR</t>
  </si>
  <si>
    <t>plant</t>
  </si>
  <si>
    <t>mammal;mammal</t>
  </si>
  <si>
    <t>invertebrates;invertebrates;fish;Fish;protectedspecies</t>
  </si>
  <si>
    <t>Mexico;Belize;Honduras;Guatemala</t>
  </si>
  <si>
    <t>1.1:DevResid;2.1:AgNTC;2.2:AgWood;2.3:AgLivestock;4.1:RoadRail</t>
  </si>
  <si>
    <t>1.1:DevResid;1.3:DevRnR;4.1:RoadRail;2.1:AgNTC</t>
  </si>
  <si>
    <t>1.1:DevResid;2.1:AgNTC;2.2:AgWood;2.3:AgLivestock;3.2:MinQuar;4.1:RoadRail</t>
  </si>
  <si>
    <t>IGAC; DANE</t>
  </si>
  <si>
    <t>NatureServe_2009</t>
  </si>
  <si>
    <t>amphibia;mammal</t>
  </si>
  <si>
    <t>SpeciesOfNationalSignificanceDatabase_Australia</t>
  </si>
  <si>
    <t>amphibia;reptile;bird;mammal</t>
  </si>
  <si>
    <t>8.1:SDAlienInv;7.1:FireSystem;9.7:PollUnspec;5.2:UsePlant;5.1:UseAnimals;8.2:SDNativProb</t>
  </si>
  <si>
    <t>environment.gov.au/sprat</t>
  </si>
  <si>
    <t>amphibia;bird;mammal;fish;reptile;invertebrates</t>
  </si>
  <si>
    <t>Cameroon;Nigeria</t>
  </si>
  <si>
    <t>Anguilla;Antigua and Barbuda;Aruba;Bahamas;Barbados;Bonaire;British Virgin Islands;Cayman Islands;Panama;Curaçao;Dominica;Dominican Republic;Grenada;Guadeloupe;Jamaica;Montserrat;Haiti;Puerto Rico;Saba;Saint-Barthélemy;Netherlands;Saint Kitts and Nevis;Saint Lucia;Collectivity of Saint Martin;Saint Vincent and the Grenadines;Trinidad and Tobago;Turks and Caicos Islands;United States Virgin Islands;Cuba;Martinique;Nicaragua;Honduras</t>
  </si>
  <si>
    <t>database;modelled;rs;survey</t>
  </si>
  <si>
    <t>csre.riservagenzana.it;ExistingData;CitizenScienceProject</t>
  </si>
  <si>
    <t>therio.unimol.it:8080/lontra</t>
  </si>
  <si>
    <t>IBA</t>
  </si>
  <si>
    <t>2.4:Aqua;4.2:UtilityLine;6.1:ActivRnR;1.3:DevRnR;9.3:PollAgrFor;9.2:PollIndMil;1.2:DevComInd;7.3:OtherSystem;4.3:ShipLane;3.1:OilGas;5.4:UseAquatic</t>
  </si>
  <si>
    <t>EMODnet_2019; Tools4MSP_2019;Barbantietal_2017</t>
  </si>
  <si>
    <t>Cameroon</t>
  </si>
  <si>
    <t>5.1:UseAnimals;7.1:FireSystem</t>
  </si>
  <si>
    <t>modelled;protected_area;survey</t>
  </si>
  <si>
    <t>2.1:AgNTC;3.1:OilGas;3.2:MinQuar;1.4:DevUnspec</t>
  </si>
  <si>
    <t>IBA; NatureConservancyCanada_ConservationPriorityAreas</t>
  </si>
  <si>
    <t>1.1:DevResid;4.1:RoadRail;2.2:AgWood</t>
  </si>
  <si>
    <t xml:space="preserve">Myanmar;Thailand;Cambodia;Vietnam;Malaysia;Indonesia;Singapore;Philippines;Brunei;Oecusse;East Timor;Palau
</t>
  </si>
  <si>
    <t>2.1:AgNTC;7.2:WaterSystem;1.4:DevUnspec</t>
  </si>
  <si>
    <t>NorthwestFisheriesScienceCenter_NWFSC</t>
  </si>
  <si>
    <t>north atlantic;south atlantic</t>
  </si>
  <si>
    <t>Bolivia;Brazil;Peru</t>
  </si>
  <si>
    <t>CFB_2010</t>
  </si>
  <si>
    <t>1.2:DevComInd;3.1:OilGas;4.3:ShipLane;5.4:UseAquatic;8.1:SDAlienInv;9.3:PollAgrFor;11.1:CC_Habitat;11.3:CC_Temp;11.5:CC_other;4.2:UtilityLine;1.3:DevRnR;6.1:ActivRnR;9.2:PollIndMil;9.4:PollGarbSW</t>
  </si>
  <si>
    <t>2.4:Aqua;9.3:PollAgrFor;9.4:PollGarbSW;9.7:PollUnspec;8.1:SDAlienInv;3.3:Renew;1.3:DevRnR</t>
  </si>
  <si>
    <t>ESRI_2019;ICNF_2018</t>
  </si>
  <si>
    <t>1.3:DevRnR;9.7:PollUnspec;7.2:WaterSystem</t>
  </si>
  <si>
    <t>mammal;reptile;amphibia;bird</t>
  </si>
  <si>
    <t>2.4:Aqua;9.6:PollEnergy</t>
  </si>
  <si>
    <t>HebrideanWhaleAndDolphinTrust_HWDT</t>
  </si>
  <si>
    <t>Brazil;Peru;Colombia;Bolivia</t>
  </si>
  <si>
    <t>3.1:OilGas;4.2:UtilityLine</t>
  </si>
  <si>
    <t>GovernmentWebsites</t>
  </si>
  <si>
    <t>ItalianMilitaryGeographicalInstitute</t>
  </si>
  <si>
    <t>pchba;survey</t>
  </si>
  <si>
    <t>GovernemntRepository</t>
  </si>
  <si>
    <t>Kenya;Tanzania;Uganda</t>
  </si>
  <si>
    <t>2.5:AgUncpec;9.3:PollAgrFor</t>
  </si>
  <si>
    <t>Freshwater;Marine;Terrestrial</t>
  </si>
  <si>
    <t>bird;amphibia;invertebrates</t>
  </si>
  <si>
    <t>arctic ocean;north atlantic</t>
  </si>
  <si>
    <t>Greenland;Canada;Iceland;Faeroe</t>
  </si>
  <si>
    <t>3.1:OilGas;11.1:CC_Habitat;4.3:ShipLane</t>
  </si>
  <si>
    <t>Various</t>
  </si>
  <si>
    <t>8.4:SDUnknownO</t>
  </si>
  <si>
    <t>ICESofSpatialFisheryData</t>
  </si>
  <si>
    <t>1.1:DevResid;1.2:DevComInd;1.3:DevRnR;2.1:AgNTC;2.2:AgWood;2.3:AgLivestock;4.1:RoadRail</t>
  </si>
  <si>
    <t>CorineLandCover</t>
  </si>
  <si>
    <t>NationalEcologicalNetwork</t>
  </si>
  <si>
    <t>Ecuador;Peru</t>
  </si>
  <si>
    <t>2.1:AgNTC;5.2:UsePlant;7.1:FireSystem;11.1:CC_Habitat</t>
  </si>
  <si>
    <t>1.1:DevResid;9.6:PollEnergy</t>
  </si>
  <si>
    <t>Uganda</t>
  </si>
  <si>
    <t>Italy;Croatia;Slovenia;Albania;Bosnia and Herzegovina;Serbia</t>
  </si>
  <si>
    <t>5.4:UseAquatic;1.2:DevComInd;3.1:OilGas;4.2:UtilityLine;4.3:ShipLane;9.4:PollGarbSW;9.2:PollIndMil;3.2:MinQuar;8.1:SDAlienInv;11.3:CC_Temp;11.1:CC_Habitat</t>
  </si>
  <si>
    <t>1.2:DevComInd;3.1:OilGas;2.4:Aqua;4.2:UtilityLine;4.3:ShipLane;9.2:PollIndMil;9.6:PollEnergy;9.1:PollDWW</t>
  </si>
  <si>
    <t>modelled;rs;survey</t>
  </si>
  <si>
    <t>magnoliopsida;vegetation</t>
  </si>
  <si>
    <t>Burkina Faso</t>
  </si>
  <si>
    <t>5.2:UsePlant;2.3:AgLivestock;7.1:FireSystem;2.1:AgNTC;3.2:MinQuar;11.1:CC_Habitat</t>
  </si>
  <si>
    <t>Kyrgyzstan;Tajikistan;Uzbekistan</t>
  </si>
  <si>
    <t>database;expert;literature;modelled</t>
  </si>
  <si>
    <t>11.1:CC_Habitat;2.3:AgLivestock;5.2:UsePlant</t>
  </si>
  <si>
    <t>AtlasOfLivingAustralia_api.ala.org.au</t>
  </si>
  <si>
    <t>2.1:AgNTC;2.3:AgLivestock;3.2:MinQuar;7.2:WaterSystem;9.7:PollUnspec;4.1:RoadRail;3.3:Renew;9.3:PollAgrFor;6.1:ActivRnR</t>
  </si>
  <si>
    <t>GlobalBiodiversityInformationFacility_GBIF</t>
  </si>
  <si>
    <t>1.1:DevResid;2.1:AgNTC;2.2:AgWood;2.3:AgLivestock;5.1:UseAnimals</t>
  </si>
  <si>
    <t>ESA_2017</t>
  </si>
  <si>
    <t>Benin</t>
  </si>
  <si>
    <t>5.2:UsePlant</t>
  </si>
  <si>
    <t>1.1:DevResid;1.2:DevComInd;2.5:AgUncpec;3.3:Renew;4.1:RoadRail;4.2:UtilityLine;5.1:UseAnimals;5.4:UseAquatic;7.1:FireSystem;7.2:WaterSystem;9.4:PollGarbSW</t>
  </si>
  <si>
    <t>Wildlife Rehabilitation Centre</t>
  </si>
  <si>
    <t>Angola;Botswana;Benin;Burundi;Chad;Congo;Zaire;Cameroon;Central African Republic;Djibouti;Equatorial Guinea;Ethiopia;Gambia, The; Gabon;Ghana;Guinea;Ivory Coast;Kenya;Liberia;Lesotho;Malawi;Mali;Eritrea; Nigeria;Niger;Rwanda;South Africa;Sierra Leone;Sudan;Togo;Tanzania, United Republic of; Uganda;Burkina Faso;Namibia;Swaziland;Zambia;Zimbabwe</t>
  </si>
  <si>
    <t>11.3:CC_Temp;11.1:CC_Habitat</t>
  </si>
  <si>
    <t>Ireland</t>
  </si>
  <si>
    <t>2.5:AgUncpec;2.3:AgLivestock;1.1:DevResid;6.1:ActivRnR;5.3:UseWood;1.3:DevRnR</t>
  </si>
  <si>
    <t>9.6:PollEnergy</t>
  </si>
  <si>
    <t>Andalusian Regional ministry of the Environment</t>
  </si>
  <si>
    <t>GovernmentData</t>
  </si>
  <si>
    <t>Spain;France</t>
  </si>
  <si>
    <t>EnvironmentalSystemsResearchInstitute_CA</t>
  </si>
  <si>
    <t>IUCNredlist; USDA; NaturServe;BAMONA</t>
  </si>
  <si>
    <t>liliopsida;magnoliopsida</t>
  </si>
  <si>
    <t>amphibia;fish;invertebrates;mammal</t>
  </si>
  <si>
    <t>Hawaii</t>
  </si>
  <si>
    <t>3.2:MinQuar;3.3:Renew;5.4:UseAquatic</t>
  </si>
  <si>
    <t>1.1:DevResid;1.2:DevComInd;2.1:AgNTC;2.4:Aqua;3.1:OilGas;3.2:MinQuar</t>
  </si>
  <si>
    <t>database;expert;rs</t>
  </si>
  <si>
    <t>ArgentineanGeorgraphicINstitute</t>
  </si>
  <si>
    <t>4.3:ShipLane;3.1:OilGas</t>
  </si>
  <si>
    <t>C-NSOPB.ns.ca</t>
  </si>
  <si>
    <t>DFO;OBIS;NARWC</t>
  </si>
  <si>
    <t>Fish;Fish</t>
  </si>
  <si>
    <t>1.4:DevUnspec;11.5:CC_other;2.5:AgUncpec;3.4:EnergUnspec;4.5.UnspecLine;5.1:UseAnimals;5.2:UsePlant;5.3:UseWood;5.4:UseAquatic;6.3:Other;7.3:OtherSystem;8.1:SDAlienInv;9.7:PollUnspec</t>
  </si>
  <si>
    <t>CMIP3</t>
  </si>
  <si>
    <t>Myanmar (Burma);Brunei;Cambodia;Indonesia;Laos;Malaysia;Philippines;Singapore;Thailand;Vietnam</t>
  </si>
  <si>
    <t>CIESIN and CIAT</t>
  </si>
  <si>
    <t>2.1:AgNTC;2.3:AgLivestock;1.1:DevResid</t>
  </si>
  <si>
    <t>pchba;rs</t>
  </si>
  <si>
    <t>5.4:UseAquatic;4.3:ShipLane;9.3:PollAgrFor;9.2:PollIndMil</t>
  </si>
  <si>
    <t>5.3:UseWood;9.6:PollEnergy</t>
  </si>
  <si>
    <t>GARD_GlobalAssessmentOfReptileDistributions</t>
  </si>
  <si>
    <t>Ontario Road Network</t>
  </si>
  <si>
    <t>amphibia;reptile</t>
  </si>
  <si>
    <t>chelsa-climate.org; lta.cr.usgs.gov; crudata.uea.ac.uk</t>
  </si>
  <si>
    <t>1.1:DevResid;2.1:AgNTC;2.3:AgLivestock;5.3:UseWood;4.1:RoadRail;7.1:FireSystem</t>
  </si>
  <si>
    <t>BirdofNorthAmerica; IdahoCWCS</t>
  </si>
  <si>
    <t>IdahoVertebrateMonitoringDatabase</t>
  </si>
  <si>
    <t>9.3:PollAgrFor;9.2:PollIndMil;9.1:PollDWW;1.4:DevUnspec</t>
  </si>
  <si>
    <t>ecosystem</t>
  </si>
  <si>
    <t>9.3:PollAgrFor;9.2:PollIndMil;1.2:DevComInd;6.3:Other</t>
  </si>
  <si>
    <t>9.3:PollAgrFor;9.2:PollIndMil;9.1:PollDWW;1.2:DevComInd;6.1:ActivRnR;3.4:EnergUnspec;11.1:CC_Habitat;9.6:PollEnergy;9.5:PollAir;4.3:ShipLane;8.1:SDAlienInv;9.4:PollGarbSW;2.4:Aqua;5.4:UseAquatic;3.1:OilGas;11.3:CC_Temp</t>
  </si>
  <si>
    <t>5.4:UseAquatic;11.3:CC_Temp;11.5:CC_other;1.4:DevUnspec;3.1:OilGas;9.1:PollDWW;9.2:PollIndMil;9.3:PollAgrFor;4.3:ShipLane;1.2:DevComInd;3.1:OilGas;4.3:ShipLane;5.4:UseAquatic;8.1:SDAlienInv;9.3:PollAgrFor;11.1:CC_Habitat;11.3:CC_Temp;11.5:CC_other</t>
  </si>
  <si>
    <t>RESDC_ChineseAcademyofSciences</t>
  </si>
  <si>
    <t>1.1:DevResid;2.3:AgLivestock;4.1:RoadRail</t>
  </si>
  <si>
    <t>QinghaiStatisticalYearbook_2015</t>
  </si>
  <si>
    <t>ChineseVirtualHerbarium_cvh.ac.cn</t>
  </si>
  <si>
    <t>southern ocean</t>
  </si>
  <si>
    <t>South Georgia and the South Sandwich Islands</t>
  </si>
  <si>
    <t>4.1:RoadRail;1.1:DevResid;8.1:SDAlienInv;2.5:AgUncpec</t>
  </si>
  <si>
    <t>africa;asia;europe</t>
  </si>
  <si>
    <t>France;Italy;Lebanon;Tunisia</t>
  </si>
  <si>
    <t>1.1:DevResid;1.2:DevComInd;3.1:OilGas;1.3:DevRnR;4.3:ShipLane;2.5:AgUncpec</t>
  </si>
  <si>
    <t>Miettinenetal_2011</t>
  </si>
  <si>
    <t>South Africa;Mozambique;Madagascar</t>
  </si>
  <si>
    <t>5.4:UseAquatic;3.1:OilGas</t>
  </si>
  <si>
    <t>IOTC_2015; InfieldSystemsLimited_2014</t>
  </si>
  <si>
    <t>3.1:OilGas;5.4:UseAquatic</t>
  </si>
  <si>
    <t>NOAA</t>
  </si>
  <si>
    <t>United States;Mexico</t>
  </si>
  <si>
    <t>3.1:OilGas;9.2:PollIndMil;1.2:DevComInd;5.4:UseAquatic;4.3:ShipLane</t>
  </si>
  <si>
    <t>Bangladesh</t>
  </si>
  <si>
    <t>Canada;Russia;Greenland</t>
  </si>
  <si>
    <t>SocialMedia</t>
  </si>
  <si>
    <t>IBAs</t>
  </si>
  <si>
    <t>GlobalHumanSettlement</t>
  </si>
  <si>
    <t>Canada;Mexico;United States</t>
  </si>
  <si>
    <t>sciencebase.gov</t>
  </si>
  <si>
    <t>Papua New Guinea</t>
  </si>
  <si>
    <t>1.4:DevUnspec;2.5:AgUncpec;5.4:UseAquatic;7.2:WaterSystem;8.1:SDAlienInv;9.7:PollUnspec;9.6:PollEnergy</t>
  </si>
  <si>
    <t>IncidentBiodiversityThreatIndex_IBT; TemporalHUmanPressureIndex_THPI</t>
  </si>
  <si>
    <t>Norway</t>
  </si>
  <si>
    <t>Statistics-Norway_2015</t>
  </si>
  <si>
    <t>1.3:DevRnR;6.1:ActivRnR</t>
  </si>
  <si>
    <t>Chilean Fisheries Service</t>
  </si>
  <si>
    <t>Sweden</t>
  </si>
  <si>
    <t>1.2:DevComInd</t>
  </si>
  <si>
    <t>nm2</t>
  </si>
  <si>
    <t>IPMA</t>
  </si>
  <si>
    <t>Department of Agriculture, Fisheries and Forestry</t>
  </si>
  <si>
    <t>regionalNetworkofWildlifeRecoveryCentres</t>
  </si>
  <si>
    <t>mammal;fish</t>
  </si>
  <si>
    <t>4.1:RoadRail;1.1:DevResid;2.5:AgUncpec</t>
  </si>
  <si>
    <t>United Kingdom;Germany;Norway;Denmark</t>
  </si>
  <si>
    <t>ocean.ices.dk</t>
  </si>
  <si>
    <t>NorthSeaBenthosProject</t>
  </si>
  <si>
    <t>CITEStradeDatabase</t>
  </si>
  <si>
    <t>Guinea;Ivory Coast</t>
  </si>
  <si>
    <t>World Database on Protected Areas</t>
  </si>
  <si>
    <t>1.1:DevResid;1.2:DevComInd;2.5:AgUncpec;4.1:RoadRail;3.2:MinQuar;4.2:UtilityLine</t>
  </si>
  <si>
    <t>NAFO_2008</t>
  </si>
  <si>
    <t>1.1:DevResid;1.4:DevUnspec;2.5:AgUncpec;2.4:Aqua;5.4:UseAquatic;9.2:PollIndMil;6.1:ActivRnR;9.1:PollDWW</t>
  </si>
  <si>
    <t>1.2:DevComInd;1.3:DevRnR;4.2:UtilityLine</t>
  </si>
  <si>
    <t>1.1:DevResid;1.4:DevUnspec;2.4:Aqua;2.5:AgUncpec;5.4:UseAquatic;6.1:ActivRnR;9.1:PollDWW;9.2:PollIndMil</t>
  </si>
  <si>
    <t>Holon et al 2015_other</t>
  </si>
  <si>
    <t>medtrix.fr; Holon et al 2015</t>
  </si>
  <si>
    <t>2.5:AgUncpec;1.1:DevResid;7.1:FireSystem;8.1:SDAlienInv;7.2:WaterSystem</t>
  </si>
  <si>
    <t>amphibia;reptile;fish</t>
  </si>
  <si>
    <t>4.1:RoadRail;3.2:MinQuar</t>
  </si>
  <si>
    <t>database;pchba;protected_area</t>
  </si>
  <si>
    <t>reptile;amphibia;bird;mammal</t>
  </si>
  <si>
    <t>4.1:RoadRail;6.1:ActivRnR</t>
  </si>
  <si>
    <t>1.1:DevResid;4.1:RoadRail;1.3:DevRnR</t>
  </si>
  <si>
    <t>3.3:Renew;4.2:UtilityLine;7.2:WaterSystem</t>
  </si>
  <si>
    <t>4.2:UtilityLine;1.2:DevComInd;7.2:WaterSystem</t>
  </si>
  <si>
    <t>ESRI_2017</t>
  </si>
  <si>
    <t>FLInvgeodatabase</t>
  </si>
  <si>
    <t>isee.nc; dimenc.gouv.nc; oeil.nc</t>
  </si>
  <si>
    <t>1.1:DevResid;1.3:DevRnR;2.1:AgNTC;2.4:Aqua;11.1:CC_Habitat</t>
  </si>
  <si>
    <t>Comoros</t>
  </si>
  <si>
    <t>9.6:PollEnergy;4.4:FlightPath</t>
  </si>
  <si>
    <t>2.5:AgUncpec;2.1:AgNTC</t>
  </si>
  <si>
    <t>expert;pchba;protected_area</t>
  </si>
  <si>
    <t>database;literature;rs;survey</t>
  </si>
  <si>
    <t>2.4:Aqua;5.4:UseAquatic;6.1:ActivRnR</t>
  </si>
  <si>
    <t>Hellenic Ministry of Maritime Affairs, Islands and Fisheries; Google Earth; Greek National Tourism Organization</t>
  </si>
  <si>
    <t>mammal;bird;reptile;Fish;invertebrates</t>
  </si>
  <si>
    <t>habitat;habitatvegetation;tracheophyta</t>
  </si>
  <si>
    <t>6.2:WarConflict;5.3:UseWood</t>
  </si>
  <si>
    <t>GSI_2016; GlobalForestWatch_2001-2018</t>
  </si>
  <si>
    <t>Chagos Archipelago</t>
  </si>
  <si>
    <t>Janik_etal</t>
  </si>
  <si>
    <t>1.3:DevRnR;1.1:DevResid;6.1:ActivRnR</t>
  </si>
  <si>
    <t>Fishbase; WRI and CIESIN; MERRAclim</t>
  </si>
  <si>
    <t>FishBase; IUCNredlist</t>
  </si>
  <si>
    <t>1.2:DevComInd;2.1:AgNTC;2.3:AgLivestock;4.1:RoadRail;7.1:FireSystem;7.2:WaterSystem</t>
  </si>
  <si>
    <t>Halpern_2015</t>
  </si>
  <si>
    <t>IUCNredlist; Fishbase; Birdlife; NaturServe; Halpinetal_2009; Kotetal_2015</t>
  </si>
  <si>
    <t>fish;invertebrates;invertebrates;invertebrates;invertebrates;mammal;reptile;bird</t>
  </si>
  <si>
    <t>other ;survey</t>
  </si>
  <si>
    <t>SocialMedia; OnlineSearch</t>
  </si>
  <si>
    <t>other;survey</t>
  </si>
  <si>
    <t>Brazil;Colombia;Peru;Bolivia</t>
  </si>
  <si>
    <t>SimAmazon; Soares-FIlho2006</t>
  </si>
  <si>
    <t>AmazonFishDatabase</t>
  </si>
  <si>
    <t>Jia,S.</t>
  </si>
  <si>
    <t>1.1:DevResid;1.2:DevComInd;1.3:DevRnR;2.1:AgNTC;2.3:AgLivestock;4.1:RoadRail;9.6:PollEnergy;9.6:PollEnergy</t>
  </si>
  <si>
    <t>DMSP-OLS</t>
  </si>
  <si>
    <t>africa;asia</t>
  </si>
  <si>
    <t>8.2:SDNativProb;11.1:CC_Habitat</t>
  </si>
  <si>
    <t>OIE_OfficeInternationalDesEpizooties</t>
  </si>
  <si>
    <t>1.2:DevComInd;1.3:DevRnR;6.1:ActivRnR;5.4:UseAquatic;9.6:PollEnergy;9.2:PollIndMil;2.4:Aqua;3.1:OilGas;4.3:ShipLane;9.5:PollAir;11.4:CC_WetWeather;11.1:CC_Habitat;11.3:CC_Temp</t>
  </si>
  <si>
    <t>DEWNR;PIRSA;SARDI</t>
  </si>
  <si>
    <t>DEWNR</t>
  </si>
  <si>
    <t>liliopsida;mangrove;habitat</t>
  </si>
  <si>
    <t>ICLUS</t>
  </si>
  <si>
    <t>CalifornianAvianDataCentre</t>
  </si>
  <si>
    <t>ANM; FEAM</t>
  </si>
  <si>
    <t>BirdLife</t>
  </si>
  <si>
    <t>indian ocean;south pacific</t>
  </si>
  <si>
    <t>QueenslandTurtleConservationProjectDatabase_2012</t>
  </si>
  <si>
    <t>Cambodia;Laos;Myanmar (Burma);Thailand;Vietnam</t>
  </si>
  <si>
    <t>Kano_2013</t>
  </si>
  <si>
    <t>1.4:DevUnspec;2.1:AgNTC;2.3:AgLivestock;4.1:RoadRail;9.6:PollEnergy</t>
  </si>
  <si>
    <t>KenyaPower; ColobusConservation</t>
  </si>
  <si>
    <t>ColobusConservation</t>
  </si>
  <si>
    <t>APWRA</t>
  </si>
  <si>
    <t>5.4:UseAquatic;5.1:UseAnimals;3.2:MinQuar;1.4:DevUnspec;5.2:UsePlant;2.5:AgUncpec;9.7:PollUnspec</t>
  </si>
  <si>
    <t>ICMBio/DMIF_2017</t>
  </si>
  <si>
    <t>2.1:AgNTC;9.3:PollAgrFor;2.3:AgLivestock</t>
  </si>
  <si>
    <t>BirdLife; IUCNredlist</t>
  </si>
  <si>
    <t>bird;mammal;amphibia</t>
  </si>
  <si>
    <t>2.5:AgUncpec;7.1:FireSystem</t>
  </si>
  <si>
    <t>vegetation;forest;habitat</t>
  </si>
  <si>
    <t>IPA</t>
  </si>
  <si>
    <t>Angola;Namibia;South Africa</t>
  </si>
  <si>
    <t>3.1:OilGas;4.3:ShipLane;5.4:UseAquatic</t>
  </si>
  <si>
    <t>literature;pchba;rs</t>
  </si>
  <si>
    <t>1.2:DevComInd;4.2:UtilityLine</t>
  </si>
  <si>
    <t>WOGCC_2010</t>
  </si>
  <si>
    <t>literature;modelled;survey</t>
  </si>
  <si>
    <t>BirdLife;IUCNredtlist</t>
  </si>
  <si>
    <t>2.1:AgNTC;2.3:AgLivestock;2.2:AgWood;1.4:DevUnspec</t>
  </si>
  <si>
    <t>Brazil;Bolivia;Peru</t>
  </si>
  <si>
    <t>MRLC_2012</t>
  </si>
  <si>
    <t>Gabon;Zaire;Congo;Equatorial Guinea; Central African Republic;Cameroon</t>
  </si>
  <si>
    <t>Finland;Russia;Estonia</t>
  </si>
  <si>
    <t>mammal;bird</t>
  </si>
  <si>
    <t>HydroClimaticDataNetwork; USGS</t>
  </si>
  <si>
    <t>FishBase; AquaticGAP</t>
  </si>
  <si>
    <t>Cyprus</t>
  </si>
  <si>
    <t>Birdlife</t>
  </si>
  <si>
    <t>Netherlands</t>
  </si>
  <si>
    <t>9.2:PollIndMil;9.3:PollAgrFor</t>
  </si>
  <si>
    <t>Poland</t>
  </si>
  <si>
    <t>database;expert;modelled</t>
  </si>
  <si>
    <t>MuncipalForestInventory_2010,2014</t>
  </si>
  <si>
    <t>bird;mammal;reptile;amphibia;invertebrates</t>
  </si>
  <si>
    <t>Albania;Macedonia</t>
  </si>
  <si>
    <t>2.5:AgUncpec;2.4:Aqua;7.2:WaterSystem;9.1:PollDWW;9.3:PollAgrFor;3.2:MinQuar;7.1:FireSystem;1.1:DevResid;1.2:DevComInd;1.3:DevRnR</t>
  </si>
  <si>
    <t xml:space="preserve">expert;other </t>
  </si>
  <si>
    <t>MuseumSpecimens</t>
  </si>
  <si>
    <t>1.3:DevRnR;4.1:RoadRail</t>
  </si>
  <si>
    <t>HellenicMilitaryGeographyService_HMGS</t>
  </si>
  <si>
    <t>bird;reptile</t>
  </si>
  <si>
    <t>1.2:DevComInd;3.1:OilGas</t>
  </si>
  <si>
    <t>HIS_2013; Defense Meteorological Satellite Programe</t>
  </si>
  <si>
    <t>Japan</t>
  </si>
  <si>
    <t>SangoMap</t>
  </si>
  <si>
    <t>Reunion</t>
  </si>
  <si>
    <t>1.1:DevResid;2.1:AgNTC;2.2:AgWood;8.1:SDAlienInv</t>
  </si>
  <si>
    <t>5.4:UseAquatic;6.1:ActivRnR;2.4:Aqua;8.1:SDAlienInv;3.1:OilGas;7.3:OtherSystem;4.3:ShipLane;9.2:PollIndMil;9.1:PollDWW;7.2:WaterSystem;1.1:DevResid;1.2:DevComInd;11.1:CC_Habitat</t>
  </si>
  <si>
    <t>reptile;mammal;fish</t>
  </si>
  <si>
    <t>Morocco;Algeria;Spain</t>
  </si>
  <si>
    <t xml:space="preserve">GovernmentRepositories </t>
  </si>
  <si>
    <t>IUCN;NatureServe; ConservationInternational</t>
  </si>
  <si>
    <t>amphibia;reptile;mammal</t>
  </si>
  <si>
    <t>Laslo</t>
  </si>
  <si>
    <t>Romania</t>
  </si>
  <si>
    <t>1.4:DevUnspec;4.1:RoadRail;2.1:AgNTC;2.3:AgLivestock;1.1:DevResid</t>
  </si>
  <si>
    <t>5.4:UseAquatic;2.4:Aqua;9.7:PollUnspec;4.3:ShipLane;8.1:SDAlienInv;11.1:CC_Habitat</t>
  </si>
  <si>
    <t>Bolivia;Brazil;Peru;Colombia;Venezuela;Guyana;French Guyana;Suriname;Ecuador</t>
  </si>
  <si>
    <t>bird;fish</t>
  </si>
  <si>
    <t>caspian sea</t>
  </si>
  <si>
    <t>Russia;Kazakhstan;Turkmenistan;Iran;Azerbaijan</t>
  </si>
  <si>
    <t>5.4:UseAquatic;9.2:PollIndMil;8.1:SDAlienInv;3.1:OilGas;7.2:WaterSystem</t>
  </si>
  <si>
    <t>6.1:ActivRnR;1.3:DevRnR</t>
  </si>
  <si>
    <t>1.4:DevUnspec;2.5:AgUncpec;3.2:MinQuar</t>
  </si>
  <si>
    <t>NLCD_Vogelmann_2001</t>
  </si>
  <si>
    <t>database;expert;literature;other</t>
  </si>
  <si>
    <t>amphibia;bird;fish;mammal;reptile</t>
  </si>
  <si>
    <t>KBA</t>
  </si>
  <si>
    <t>1.1:DevResid;11.5:CC_other;2.5:AgUncpec;3.4:EnergUnspec;4.5.UnspecLine;5.5:UseUnspec;8.1:SDAlienInv;9.7:PollUnspec</t>
  </si>
  <si>
    <t>amphibia;invertebrates;bird;fish;invertebrates;mammal;reptile</t>
  </si>
  <si>
    <t>GLC_LandCover</t>
  </si>
  <si>
    <t>modelled;protected_area</t>
  </si>
  <si>
    <t>Lee_etal</t>
  </si>
  <si>
    <t>5.4:UseAquatic;5.1:UseAnimals;4.3:ShipLane;6.1:ActivRnR</t>
  </si>
  <si>
    <t>VMS</t>
  </si>
  <si>
    <t>CornwallMarineTrustMarineStrandingsNetwork_MSN</t>
  </si>
  <si>
    <t>1.1:DevResid;3.2:MinQuar;2.5:AgUncpec;7.2:WaterSystem;3.3:Renew;3.1:OilGas;2.4:Aqua;4.1:RoadRail</t>
  </si>
  <si>
    <t>9.6:PollEnergy;9.3:PollAgrFor;9.7:PollUnspec</t>
  </si>
  <si>
    <t>GLOBCOVER_v2.3</t>
  </si>
  <si>
    <t>Kraus2009</t>
  </si>
  <si>
    <t>1.4:DevUnspec;2.3:AgLivestock;2.1:AgNTC;4.1:RoadRail</t>
  </si>
  <si>
    <t>2.4:Aqua;2.5:AgUncpec;1.4:DevUnspec</t>
  </si>
  <si>
    <t>2.1:AgNTC;1.1:DevResid;1.2:DevComInd;3.2:MinQuar;4.1:RoadRail;2.4:Aqua</t>
  </si>
  <si>
    <t>2.1:AgNTC;1.4:DevUnspec;2.5:AgUncpec</t>
  </si>
  <si>
    <t>4.3:ShipLane;6.1:ActivRnR;5.4:UseAquatic;1.4:DevUnspec;9.2:PollIndMil</t>
  </si>
  <si>
    <t>Taiwan</t>
  </si>
  <si>
    <t>modelled;other</t>
  </si>
  <si>
    <t>Facebook_https://roadkill.tw/en</t>
  </si>
  <si>
    <t>EndemicSpeciesResearchInstitute</t>
  </si>
  <si>
    <t>1.4:DevUnspec;2.1:AgNTC;2.2:AgWood</t>
  </si>
  <si>
    <t>1.1:DevResid;2.3:AgLivestock;5.1:UseAnimals;5.3:UseWood</t>
  </si>
  <si>
    <t>4.2:UtilityLine;4.1:RoadRail;3.2:MinQuar;2.2:AgWood</t>
  </si>
  <si>
    <t>2.3:AgLivestock;2.2:AgWood</t>
  </si>
  <si>
    <t>vegetation;forest</t>
  </si>
  <si>
    <t>NationalFundamentalGISCentre_2002</t>
  </si>
  <si>
    <t>forest;vegetation;habitat;ecosystem</t>
  </si>
  <si>
    <t>CaliforniaDPR_2000</t>
  </si>
  <si>
    <t>CaliforniaNaturalDiversityDatabase_2008</t>
  </si>
  <si>
    <t>2.1:AgNTC;1.4:DevUnspec</t>
  </si>
  <si>
    <t>habitat;habitat</t>
  </si>
  <si>
    <t>MaineForestService</t>
  </si>
  <si>
    <t>United States Virgin Islands</t>
  </si>
  <si>
    <t>6.1:ActivRnR;6.3:Other;4.3:ShipLane;11.3:CC_Temp;8.1:SDAlienInv;5.4:UseAquatic;9.7:PollUnspec</t>
  </si>
  <si>
    <t>2.2:AgWood;2.3:AgLivestock;2.1:AgNTC;2.5:AgUncpec;1.1:DevResid;1.2:DevComInd</t>
  </si>
  <si>
    <t>CaliforniaDeptofFishandGame</t>
  </si>
  <si>
    <t>4.1:RoadRail;2.5:AgUncpec;5.1:UseAnimals</t>
  </si>
  <si>
    <t>GBIF.org</t>
  </si>
  <si>
    <t>Brazil;Bolivia;Argentina</t>
  </si>
  <si>
    <t>HERTTA</t>
  </si>
  <si>
    <t>bryopsida;tracheophyta</t>
  </si>
  <si>
    <t>9.5:PollAir;11.3:CC_Temp;9.2:PollIndMil;9.3:PollAgrFor;9.6:PollEnergy;1.2:DevComInd;8.1:SDAlienInv;3.1:OilGas;2.4:Aqua;4.3:ShipLane;9.4:PollGarbSW</t>
  </si>
  <si>
    <t>Zaire;Uganda;Tanzania;Kenya;Rwanda;Burundi</t>
  </si>
  <si>
    <t>4.1:RoadRail;3.1:OilGas;2.2:AgWood</t>
  </si>
  <si>
    <t>EASIN</t>
  </si>
  <si>
    <t>USFWS2010</t>
  </si>
  <si>
    <t>forest;vegetation;mangrove;habitat;liliopsida</t>
  </si>
  <si>
    <t>1.1:DevResid;2.2:AgWood;3.2:MinQuar;5.3:UseWood</t>
  </si>
  <si>
    <t>database;pchba;protected_area;rs</t>
  </si>
  <si>
    <t>BiodiversityHotspot;IntactForestLandscapes_20002014</t>
  </si>
  <si>
    <t>1.4:DevUnspec;2.5:AgUncpec;4.1:RoadRail</t>
  </si>
  <si>
    <t>1.1:DevResid;6.3:Other;2.2:AgWood;2.1:AgNTC</t>
  </si>
  <si>
    <t>NationalLandUse_WCP</t>
  </si>
  <si>
    <t>Croatia</t>
  </si>
  <si>
    <t>2.1:AgNTC;2.5:AgUncpec</t>
  </si>
  <si>
    <t>south atlantic;north atlantic</t>
  </si>
  <si>
    <t>4.3:ShipLane;5.4:UseAquatic;7.2:WaterSystem;9.7:PollUnspec</t>
  </si>
  <si>
    <t>France;Tunisia;Italy;Lebanon</t>
  </si>
  <si>
    <t>1.1:DevResid;3.1:OilGas;9.7:PollUnspec</t>
  </si>
  <si>
    <t>database;modelled;survey</t>
  </si>
  <si>
    <t>SILENE</t>
  </si>
  <si>
    <t>amphibia;invertebrates;fish;invertebrates;invertebrates</t>
  </si>
  <si>
    <t>1.3:DevRnR;1.2:DevComInd;2.4:Aqua;5.4:UseAquatic;2.5:AgUncpec</t>
  </si>
  <si>
    <t>United Kingdom;France</t>
  </si>
  <si>
    <t>fish;invertebrates</t>
  </si>
  <si>
    <t>1.2:DevComInd;3.1:OilGas;4.3:ShipLane</t>
  </si>
  <si>
    <t>1.1:DevResid;2.5:AgUncpec;3.2:MinQuar;4.1:RoadRail</t>
  </si>
  <si>
    <t>forest;tracheophyta</t>
  </si>
  <si>
    <t>2.2:AgWood;1.1:DevResid;4.1:RoadRail</t>
  </si>
  <si>
    <t>LandUseMap_Ezemvelo</t>
  </si>
  <si>
    <t>GBIF;chah/gov/au/avh</t>
  </si>
  <si>
    <t>SEPRONA; Junta de Castilla y Leon</t>
  </si>
  <si>
    <t>Mati Bancy, M.</t>
  </si>
  <si>
    <t>Kenya;Tanzania, United Republic of</t>
  </si>
  <si>
    <t>forest;vegetation;habitat;habitat</t>
  </si>
  <si>
    <t>invertebrates;mammal</t>
  </si>
  <si>
    <t>south pacific;indian ocean</t>
  </si>
  <si>
    <t>1.1:DevResid;2.2:AgWood;2.5:AgUncpec;4.1:RoadRail</t>
  </si>
  <si>
    <t>Comores;Mayotte;Madagascar;Mozambique;Kenya;Tanzania;Seychelles;Europa Island;Juan de Nova Island;Bassas da India</t>
  </si>
  <si>
    <t>Mozambique</t>
  </si>
  <si>
    <t>Comores;Mayotte;Madagascar;Mozambique;Kenya;Tanzania;Seychelles;Europa Island;Juan de Nova Island;Bassas da India;South Africa;Réunion;Republic of Mauritius;Ile Tromelin;Chagos Archipelago;Maldives</t>
  </si>
  <si>
    <t>Mcclellan</t>
  </si>
  <si>
    <t>9.1:PollDWW;9.2:PollIndMil;9.3:PollAgrFor;9.4:PollGarbSW;9.5:PollAir;9.6:PollEnergy</t>
  </si>
  <si>
    <t>NatureServe</t>
  </si>
  <si>
    <t>amphibia;invertebrates;bird;fish;mammal;invertebrates;reptile</t>
  </si>
  <si>
    <t>3.1:OilGas;4.3:ShipLane;3.4:EnergUnspec</t>
  </si>
  <si>
    <t>5.4:UseAquatic;6.1:ActivRnR;8.1:SDAlienInv</t>
  </si>
  <si>
    <t>CDFA</t>
  </si>
  <si>
    <t>1.1:DevResid;1.2:DevComInd;2.5:AgUncpec;3.1:OilGas;3.2:MinQuar;4.1:RoadRail;4.2:UtilityLine;7.2:WaterSystem</t>
  </si>
  <si>
    <t>GUANSAR_2013</t>
  </si>
  <si>
    <t>database;expert;literature;rs</t>
  </si>
  <si>
    <t>1.1:DevResid;5.4:UseAquatic;2.4:Aqua;9.7:PollUnspec;11.1:CC_Habitat</t>
  </si>
  <si>
    <t>11.3:CC_Temp;11.4:CC_WetWeather;8.2:SDNativProb</t>
  </si>
  <si>
    <t>Italy;Croatia</t>
  </si>
  <si>
    <t>2.4:Aqua;4.2:UtilityLine;1.2:DevComInd;3.2:MinQuar;4.3:ShipLane;6.1:ActivRnR;6.2:WarConflict;5.4:UseAquatic;1.1:DevResid;2.5:AgUncpec</t>
  </si>
  <si>
    <t>mammal;Fish;reptile;bird</t>
  </si>
  <si>
    <t>4.3:ShipLane;5.4:UseAquatic;9.6:PollEnergy;6.1:ActivRnR</t>
  </si>
  <si>
    <t>UNEP/MAP-RAC/SPA</t>
  </si>
  <si>
    <t>5.4:UseAquatic;9.4:PollGarbSW;4.3:ShipLane</t>
  </si>
  <si>
    <t>2.3:AgLivestock;2.5:AgUncpec;1.1:DevResid</t>
  </si>
  <si>
    <t>Bosnia and Herzegovina; France; Italy; Greece; Croatia; Macedonia; Monaco;Montenegro; Spain;Slovenia;San Marino;Albania;Malta;Cyprus;Turkey;Morocco;Algeria;Tunisia;Libya;Egypt;Israel;Syria;Lebanon;Georgia;Turkey;Bulgaria;Ukraine;Romania;Russia</t>
  </si>
  <si>
    <t>1.1:DevResid;1.2:DevComInd;3.1:OilGas;4.3:ShipLane;5.4:UseAquatic;8.1:SDAlienInv;9.3:PollAgrFor;9.2:PollIndMil;9.5:PollAir;11.1:CC_Habitat;9.1:PollDWW;9.6:PollEnergy</t>
  </si>
  <si>
    <t>WOrldCLim</t>
  </si>
  <si>
    <t>SouthernAfricaBirdAtlas</t>
  </si>
  <si>
    <t>Iran;Turkmenistan;Azerbaijan;Russia;Kazakhstan</t>
  </si>
  <si>
    <t>RESDC</t>
  </si>
  <si>
    <t>Congo</t>
  </si>
  <si>
    <t>FederalAviationAdministration;Diffendorfer_2013</t>
  </si>
  <si>
    <t>2.5:AgUncpec;1.1:DevResid;3.2:MinQuar;5.3:UseWood</t>
  </si>
  <si>
    <t>ClimaticResearchUnit</t>
  </si>
  <si>
    <t>1.1:DevResid;1.2:DevComInd;2.1:AgNTC;2.2:AgWood</t>
  </si>
  <si>
    <t>1.4:DevUnspec;2.1:AgNTC;4.1:RoadRail;1.1:DevResid;1.2:DevComInd</t>
  </si>
  <si>
    <t>Monette Dean</t>
  </si>
  <si>
    <t>2.1:AgNTC;2.3:AgLivestock;3.2:MinQuar</t>
  </si>
  <si>
    <t>National Department of Mineral Prodiction; Brazilian Institute of Geography and Statistics</t>
  </si>
  <si>
    <t>HawaiiWatershedAtlas</t>
  </si>
  <si>
    <t>fish;invertebrates;invertebrates;invertebrates</t>
  </si>
  <si>
    <t>1.1:DevResid;4.1:RoadRail;2.1:AgNTC;2.3:AgLivestock;1.2:DevComInd</t>
  </si>
  <si>
    <t>1.1:DevResid;1.2:DevComInd;2.2:AgWood;2.5:AgUncpec;4.1:RoadRail;9.7:PollUnspec</t>
  </si>
  <si>
    <t>IUCN;EORA</t>
  </si>
  <si>
    <t>WaterFootprintNetwork</t>
  </si>
  <si>
    <t>1.1:DevResid;2.1:AgNTC;2.3:AgLivestock;6.1:ActivRnR;4.1:RoadRail;8.1:SDAlienInv</t>
  </si>
  <si>
    <t>AzoreanRegionalForestInventory_RFI2013</t>
  </si>
  <si>
    <t>ATLANTIS</t>
  </si>
  <si>
    <t>OpenStreetMap;CORINELandCOver</t>
  </si>
  <si>
    <t>EuropeanOrnithologivalAtlas</t>
  </si>
  <si>
    <t>1.2:DevComInd;4.1:RoadRail;9.1:PollDWW</t>
  </si>
  <si>
    <t>invertebrates;animal</t>
  </si>
  <si>
    <t>africa;europe</t>
  </si>
  <si>
    <t>fish;invertebrates;invertebrates</t>
  </si>
  <si>
    <t>9.1:PollDWW;4.1:RoadRail</t>
  </si>
  <si>
    <t>north pacific;south pacific</t>
  </si>
  <si>
    <t>Secretariat of the Pacific Community_spc.int</t>
  </si>
  <si>
    <t>Rwanda</t>
  </si>
  <si>
    <t>1.1:DevResid;4.1:RoadRail;2.3:AgLivestock;3.2:MinQuar;4.2:UtilityLine;2.2:AgWood</t>
  </si>
  <si>
    <t>Spain;Morocco</t>
  </si>
  <si>
    <t>5.4:UseAquatic;4.3:ShipLane;3.1:OilGas;2.4:Aqua;4.2:UtilityLine</t>
  </si>
  <si>
    <t>Mediterranean International Trawling Survey Programme_MEDITS</t>
  </si>
  <si>
    <t>Austria;Poland;Czech Republic; Slovakia;Hungary;Ukraine;Romania</t>
  </si>
  <si>
    <t>IUCN;BirdLife</t>
  </si>
  <si>
    <t>RawMaterialsGroup_RMG</t>
  </si>
  <si>
    <t>Murillo_et al</t>
  </si>
  <si>
    <t>Greenland</t>
  </si>
  <si>
    <t>4.1:RoadRail;5.1:UseAnimals</t>
  </si>
  <si>
    <t>India;Sri Lanka</t>
  </si>
  <si>
    <t>Argentina;Bolivia;Paraguay</t>
  </si>
  <si>
    <t>4.1:RoadRail;2.1:AgNTC;3.2:MinQuar;3.1:OilGas;6.2:WarConflict</t>
  </si>
  <si>
    <t>BiodiversityHotspots;IDEAM</t>
  </si>
  <si>
    <t>Alberta Environment and Sustainable Resource Development</t>
  </si>
  <si>
    <t>ICES_2015_2016</t>
  </si>
  <si>
    <t>Brunei;Indonesia;Malaysia</t>
  </si>
  <si>
    <t>2.5:AgUncpec;5.3:UseWood</t>
  </si>
  <si>
    <t>1.1:DevResid;1.2:DevComInd;4.1:RoadRail;6.1:ActivRnR</t>
  </si>
  <si>
    <t>5.1:UseAnimals;4.1:RoadRail;6.3:Other</t>
  </si>
  <si>
    <t>2.4:Aqua;3.2:MinQuar;5.4:UseAquatic;6.1:ActivRnR;9.3:PollAgrFor</t>
  </si>
  <si>
    <t>fish;mammal;reptile</t>
  </si>
  <si>
    <t>USBreedingBirdSurvey</t>
  </si>
  <si>
    <t>Afghanistan;Bhutan;China;India;Kazakhstan;Kyrgyzstan;Mongolia;Nepal;Pakistan;Russia;Tajikistan;Uzbekistan</t>
  </si>
  <si>
    <t>indian ocean;north atlantic;south atlantic;south pacific;southern ocean</t>
  </si>
  <si>
    <t>Gibraltar;Cyprus;Chagos Archipelago;Tristan da Cunha;South Georgia and the South Sandwich Islands;Falkland / Malvinas Islands;Antarctica;Pitcairn;Saint Helena;Ascension;Bermuda;Cayman Islands;British Virgin Islands;Anguilla;Montserrat;Turks and Caicos Islands</t>
  </si>
  <si>
    <t>11.1:CC_Habitat;11.3:CC_Temp;4.3:ShipLane;5.4:UseAquatic;8.1:SDAlienInv;9.1:PollDWW;9.2:PollIndMil;9.3:PollAgrFor;9.6:PollEnergy</t>
  </si>
  <si>
    <t>Bureau of Fisheries and Aquatic Resources; Philippine Marine Mammal Stranding Network</t>
  </si>
  <si>
    <t>1.4:DevUnspec;4.1:RoadRail</t>
  </si>
  <si>
    <t>2.3:AgLivestock;1.3:DevRnR</t>
  </si>
  <si>
    <t>SKEP_2003</t>
  </si>
  <si>
    <t>8.1:SDAlienInv;1.1:DevResid;1.2:DevComInd;2.1:AgNTC;2.3:AgLivestock;4.1:RoadRail;3.2:MinQuar</t>
  </si>
  <si>
    <t>AustralianLandUseClassification</t>
  </si>
  <si>
    <t>Atlas of Living Australia</t>
  </si>
  <si>
    <t>1.1:DevResid;1.2:DevComInd;2.3:AgLivestock;5.2:UsePlant;9.7:PollUnspec</t>
  </si>
  <si>
    <t>Nigeria</t>
  </si>
  <si>
    <t>8.1:SDAlienInv;11.1:CC_Habitat;1.4:DevUnspec;9.2:PollIndMil;5.5:UseUnspec;8.3:Genes;9.6:PollEnergy</t>
  </si>
  <si>
    <t>Ortiz Andrea</t>
  </si>
  <si>
    <t>PSA</t>
  </si>
  <si>
    <t>GBIF;Birdlife</t>
  </si>
  <si>
    <t>bird;mammal;reptile</t>
  </si>
  <si>
    <t>BIOSCORE</t>
  </si>
  <si>
    <t>mammal;reptile;bird;invertebrates;fish;animal</t>
  </si>
  <si>
    <t>tracheophyta;vegetation;tracheophyta</t>
  </si>
  <si>
    <t>2.2:AgWood;8.3:Genes</t>
  </si>
  <si>
    <t>T-MedNet</t>
  </si>
  <si>
    <t>observadoresdelmar.ex;progettomac.it</t>
  </si>
  <si>
    <t>Spain;Portugal;Morocco</t>
  </si>
  <si>
    <t>CORINELandCOver;HII_WildlifeConservationSocietyand Columbia University 2005</t>
  </si>
  <si>
    <t>amphibia;fish;invertebrates;reptile</t>
  </si>
  <si>
    <t>1.1:DevResid;2.1:AgNTC;2.3:AgLivestock;5.3:UseWood</t>
  </si>
  <si>
    <t>4.3:ShipLane;1.2:DevComInd;4.2:UtilityLine;1.1:DevResid;5.4:UseAquatic;6.1:ActivRnR</t>
  </si>
  <si>
    <t>4.3:ShipLane;5.4:UseAquatic;8.1:SDAlienInv;9.1:PollDWW;9.2:PollIndMil;9.3:PollAgrFor</t>
  </si>
  <si>
    <t>1.1:DevResid;1.2:DevComInd;2.1:AgNTC;2.3:AgLivestock;3.1:OilGas;3.2:MinQuar;4.1:RoadRail;4.2:UtilityLine;7.2:WaterSystem</t>
  </si>
  <si>
    <t>CaribouScienceAssessmnet</t>
  </si>
  <si>
    <t>6.1:ActivRnR;5.3:UseWood</t>
  </si>
  <si>
    <t>ODARC</t>
  </si>
  <si>
    <t>2.3:AgLivestock;2.1:AgNTC;7.1:FireSystem;1.1:DevResid;3.2:MinQuar;2.2:AgWood;1.4:DevUnspec</t>
  </si>
  <si>
    <t>HumboltInstitute_2015;IDEAM2010</t>
  </si>
  <si>
    <t>1.2:DevComInd;3.1:OilGas;4.3:ShipLane;5.4:UseAquatic;8.1:SDAlienInv;9.3:PollAgrFor;11.1:CC_Habitat;11.3:CC_Temp;11.5:CC_other</t>
  </si>
  <si>
    <t>Halpern et al 2015</t>
  </si>
  <si>
    <t>2.5:AgUncpec;2.4:Aqua;2.2:AgWood</t>
  </si>
  <si>
    <t>1.3:DevRnR</t>
  </si>
  <si>
    <t>Paudel</t>
  </si>
  <si>
    <t xml:space="preserve">Pedroni </t>
  </si>
  <si>
    <t>north america;south america</t>
  </si>
  <si>
    <t>Ecuador;United States</t>
  </si>
  <si>
    <t>Italy;Greece;Spain;France;Cyprus</t>
  </si>
  <si>
    <t>WorldAtlasofArtificialSkyBrightness</t>
  </si>
  <si>
    <t>Turkey;Greece;Italy</t>
  </si>
  <si>
    <t>MEDITS</t>
  </si>
  <si>
    <t>antarctica</t>
  </si>
  <si>
    <t>Antarctica</t>
  </si>
  <si>
    <t>1.1:DevResid;1.3:DevRnR;6.1:ActivRnR;6.3:Other</t>
  </si>
  <si>
    <t>ImportantBirdAreas</t>
  </si>
  <si>
    <t>8.3:Genes</t>
  </si>
  <si>
    <t>DepartmentofNaturalResources</t>
  </si>
  <si>
    <t>Dept.NaturalResources</t>
  </si>
  <si>
    <t>2.1:AgNTC;2.3:AgLivestock;9.3:PollAgrFor</t>
  </si>
  <si>
    <t>EuropeanLivestockPolicyEvaluationNetwork_ELPEN</t>
  </si>
  <si>
    <t>Natura2000;CORINE</t>
  </si>
  <si>
    <t>TheSeaAroundUsProject</t>
  </si>
  <si>
    <t>Algeria;Benin;Burkina Faso;Cameroon;Chad;Mali;Mauritania;Niger;Nigeria;Senegal;Sudan</t>
  </si>
  <si>
    <t>2.3:AgLivestock;7.1:FireSystem</t>
  </si>
  <si>
    <t>Botswana;Lesotho;Mozambique;Namibia;South Africa;Swaziland;Zimbabwe</t>
  </si>
  <si>
    <t>AfricaInfrastructureProgram;EnvironmentalInformationService</t>
  </si>
  <si>
    <t>database;protected_area;rs;survey</t>
  </si>
  <si>
    <t>Bolivia;Argentina</t>
  </si>
  <si>
    <t>2.1:AgNTC;2.3:AgLivestock;3.1:OilGas;3.3:Renew;4.2:UtilityLine;4.1:RoadRail;1.1:DevResid;1.2:DevComInd</t>
  </si>
  <si>
    <t>Cape Verde;Gambia;Sierra Leone;Mauritania;Senegal;Guinea-Bissau;Guinea;Liberia;Western Sahara</t>
  </si>
  <si>
    <t>FAO;CECAF</t>
  </si>
  <si>
    <t>asia;europe</t>
  </si>
  <si>
    <t>vonHoldt_2010</t>
  </si>
  <si>
    <t>vonholdt_2010</t>
  </si>
  <si>
    <t>Various (see Study Area)</t>
  </si>
  <si>
    <t>LimpopoDepartmentofEconomicDevelopment,EnvironmentAndTourism_LEDET</t>
  </si>
  <si>
    <t>LEDET</t>
  </si>
  <si>
    <t>9.3:PollAgrFor;5.1:UseAnimals</t>
  </si>
  <si>
    <t>NationalGeographic</t>
  </si>
  <si>
    <t>Burundi;Rwanda;Uganda;Zaire</t>
  </si>
  <si>
    <t>2.1:AgNTC;2.2:AgWood;2.3:AgLivestock;3.2:MinQuar;5.1:UseAnimals;5.2:UsePlant;5.3:UseWood</t>
  </si>
  <si>
    <t>fish;invertebrates;invertebrates;mammal;invertebrates;invertebrates;bird</t>
  </si>
  <si>
    <t>8.1:SDAlienInv;8.2:SDNativProb</t>
  </si>
  <si>
    <t>Preece</t>
  </si>
  <si>
    <t>4.1:RoadRail;8.1:SDAlienInv</t>
  </si>
  <si>
    <t>QPWS</t>
  </si>
  <si>
    <t>DeKlerk_2003</t>
  </si>
  <si>
    <t>Malawi</t>
  </si>
  <si>
    <t>1.1:DevResid;2.1:AgNTC;4.1:RoadRail</t>
  </si>
  <si>
    <t>1.1:DevResid;2.1:AgNTC</t>
  </si>
  <si>
    <t>arc-minutes</t>
  </si>
  <si>
    <t>Latvia</t>
  </si>
  <si>
    <t>invertebrates;invertebrates;fish</t>
  </si>
  <si>
    <t>forest;habitat;vegetation</t>
  </si>
  <si>
    <t>Automatic Identification System; Global Fishing Watch</t>
  </si>
  <si>
    <t>1.4:DevUnspec;2.5:AgUncpec;2.2:AgWood</t>
  </si>
  <si>
    <t>forest;vegetation;habitat</t>
  </si>
  <si>
    <t>11.1:CC_Habitat;9.7:PollUnspec;5.4:UseAquatic</t>
  </si>
  <si>
    <t>NOAA;GlobalFishingWatch</t>
  </si>
  <si>
    <t>1.4:DevUnspec;2.1:AgNTC;2.3:AgLivestock;3.1:OilGas;7.1:FireSystem</t>
  </si>
  <si>
    <t>Jarvis_etal2010</t>
  </si>
  <si>
    <t>2.5:AgUncpec;2.2:AgWood;1.1:DevResid</t>
  </si>
  <si>
    <t>forest;pinopsida</t>
  </si>
  <si>
    <t>RRRC-ISCG</t>
  </si>
  <si>
    <t>KenyaWildlifeService</t>
  </si>
  <si>
    <t>9.7:PollUnspec;1.1:DevResid;2.5:AgUncpec</t>
  </si>
  <si>
    <t>Contaminant Exposure and Effects - Terrestrial vertebrates</t>
  </si>
  <si>
    <t>United Kingdom;Spain;France</t>
  </si>
  <si>
    <t>AIS</t>
  </si>
  <si>
    <t>UCFMarineTurtleResearchGroup</t>
  </si>
  <si>
    <t>2.2:AgWood;2.1:AgNTC;1.3:DevRnR</t>
  </si>
  <si>
    <t>forest;vegetation</t>
  </si>
  <si>
    <t>5.4:UseAquatic;1.2:DevComInd</t>
  </si>
  <si>
    <t>2.5:AgUncpec;1.4:DevUnspec;2.2:AgWood</t>
  </si>
  <si>
    <t>Indonesia;Malaysia;Myanmar (Burma);Philippines;Thailand;Vietnam</t>
  </si>
  <si>
    <t>1.1:DevResid;2.1:AgNTC;2.4:Aqua</t>
  </si>
  <si>
    <t>GlobalForestChangeDataset_Hansen_etal; Giri_etal_Global distirubtionOfMangroveForests</t>
  </si>
  <si>
    <t>FaunAndFloraInternational_FFI</t>
  </si>
  <si>
    <t>FFI</t>
  </si>
  <si>
    <t>expert;rs</t>
  </si>
  <si>
    <t>4.1:RoadRail;1.1:DevResid;5.1:UseAnimals</t>
  </si>
  <si>
    <t>American Samoa</t>
  </si>
  <si>
    <t>USFederalLonglineFIsheryLogbook</t>
  </si>
  <si>
    <t>FisheryLogbooks</t>
  </si>
  <si>
    <t>CCILandCover</t>
  </si>
  <si>
    <t>South Africa;Lesotho;Swaziland</t>
  </si>
  <si>
    <t>invertebrates;bird;mammal;reptile</t>
  </si>
  <si>
    <t>Namibia;Angola</t>
  </si>
  <si>
    <t>2.5:AgUncpec;5.1:UseAnimals;5.3:UseWood;5.4:UseAquatic;8.1:SDAlienInv;11.1:CC_Habitat</t>
  </si>
  <si>
    <t>7.1:FireSystem;4.2:UtilityLine;4.1:RoadRail;2.5:AgUncpec</t>
  </si>
  <si>
    <t>Spain;Portugal</t>
  </si>
  <si>
    <t>PlantBiodiversityHotspot</t>
  </si>
  <si>
    <t>1.4:DevUnspec;2.5:AgUncpec;4.1:RoadRail;3.4:EnergUnspec;6.3:Other</t>
  </si>
  <si>
    <t>HII_SEDAC2005</t>
  </si>
  <si>
    <t>UNEP-WCMC2002_MountainAreas</t>
  </si>
  <si>
    <t>2.1:AgNTC;5.1:UseAnimals</t>
  </si>
  <si>
    <t>GovernmentData;SpanishClimatologicalBulletins</t>
  </si>
  <si>
    <t>SecretariatforPacificComunities_SPC;UNFAO</t>
  </si>
  <si>
    <t>1.1:DevResid;2.5:AgUncpec;4.1:RoadRail;7.1:FireSystem</t>
  </si>
  <si>
    <t>KBAs</t>
  </si>
  <si>
    <t>1.1:DevResid;1.4:DevUnspec;2.5:AgUncpec;4.1:RoadRail;9.6:PollEnergy</t>
  </si>
  <si>
    <t>GlobalHumanFootprint_WCS-CIESIN_2005</t>
  </si>
  <si>
    <t>Bolivia;Paraguay;Argentina</t>
  </si>
  <si>
    <t>5.1:UseAnimals;2.5:AgUncpec</t>
  </si>
  <si>
    <t>WorldPop Population Dataset</t>
  </si>
  <si>
    <t>MPA</t>
  </si>
  <si>
    <t>TullieHouseMuseum;RedAlertNorthWest</t>
  </si>
  <si>
    <t>LocalAuthorities</t>
  </si>
  <si>
    <t>2.5:AgUncpec;4.1:RoadRail;1.1:DevResid</t>
  </si>
  <si>
    <t>CDFW</t>
  </si>
  <si>
    <t>1.4:DevUnspec;9.2:PollIndMil</t>
  </si>
  <si>
    <t>Canary Islands</t>
  </si>
  <si>
    <t>CalCOFI</t>
  </si>
  <si>
    <t>bird;fish;invertebrates</t>
  </si>
  <si>
    <t>11.3:CC_Temp;5.4:UseAquatic</t>
  </si>
  <si>
    <t>oceanmodeling.pmc.ucsc.edu;PacFIN</t>
  </si>
  <si>
    <t>7.2:WaterSystem;9.7:PollUnspec</t>
  </si>
  <si>
    <t>EFI+Consortium</t>
  </si>
  <si>
    <t>1.1:DevResid;1.3:DevRnR;6.1:ActivRnR;3.1:OilGas;3.2:MinQuar;7.3:OtherSystem;8.1:SDAlienInv;5.1:UseAnimals;5.2:UsePlant;9.2:PollIndMil</t>
  </si>
  <si>
    <t>1.1:DevResid;2.3:AgLivestock</t>
  </si>
  <si>
    <t>1.1:DevResid;2.1:AgNTC;2.2:AgWood</t>
  </si>
  <si>
    <t>1.4:DevUnspec;4.1:RoadRail;5.1:UseAnimals</t>
  </si>
  <si>
    <t>mammal;amphibia;invertebrates;bird</t>
  </si>
  <si>
    <t>ATKIS</t>
  </si>
  <si>
    <t>4.1:RoadRail;2.5:AgUncpec</t>
  </si>
  <si>
    <t>Kyrgyzstan;Uzbekistan</t>
  </si>
  <si>
    <t>ClimateResearchUnit</t>
  </si>
  <si>
    <t>Tanzania, United Republic of;Burundi;Rwanda;Zaire;Uganda</t>
  </si>
  <si>
    <t>8.1:SDAlienInv;5.4:UseAquatic;9.6:PollEnergy;9.4:PollGarbSW;6.3:Other;11.1:CC_Habitat;11.3:CC_Temp;9.5:PollAir;4.3:ShipLane;9.2:PollIndMil</t>
  </si>
  <si>
    <t>8.1:SDAlienInv;8.3:Genes</t>
  </si>
  <si>
    <t>GovernmentData;WorldCLIM</t>
  </si>
  <si>
    <t>SpanishNationalForestInventory</t>
  </si>
  <si>
    <t>1.1:DevResid;2.5:AgUncpec;4.1:RoadRail</t>
  </si>
  <si>
    <t>Shester</t>
  </si>
  <si>
    <t>mammal;fish;invertebrates;invertebrates;bird</t>
  </si>
  <si>
    <t>CalifornianRoadkillObservationSystem_CROS</t>
  </si>
  <si>
    <t>invertebrates;Fish;invertebrates</t>
  </si>
  <si>
    <t>2.5:AgUncpec;2.2:AgWood</t>
  </si>
  <si>
    <t>polypodiopsida</t>
  </si>
  <si>
    <t>Chile;Argentina</t>
  </si>
  <si>
    <t>2.2:AgWood;2.5:AgUncpec</t>
  </si>
  <si>
    <t>Skaer</t>
  </si>
  <si>
    <t>Biodviersity Hotspot</t>
  </si>
  <si>
    <t>2.5:AgUncpec;4.1:RoadRail;1.2:DevComInd;4.2:UtilityLine;7.2:WaterSystem</t>
  </si>
  <si>
    <t>database;modelled;protected_area;rs</t>
  </si>
  <si>
    <t>mangrove;forest</t>
  </si>
  <si>
    <t>mammal;amphibia</t>
  </si>
  <si>
    <t>3.3:Renew;4.2:UtilityLine</t>
  </si>
  <si>
    <t>1.1:DevResid;3.4:EnergUnspec;1.2:DevComInd;4.1:RoadRail</t>
  </si>
  <si>
    <t>5.4:UseAquatic;9.2:PollIndMil;9.3:PollAgrFor</t>
  </si>
  <si>
    <t>BalticSeaImpactIndex_HELCEOM2010</t>
  </si>
  <si>
    <t>WCS_China</t>
  </si>
  <si>
    <t>Ivory Coast</t>
  </si>
  <si>
    <t>1.1:DevResid;4.1:RoadRail;2.5:AgUncpec;2.1:AgNTC;6.1:ActivRnR</t>
  </si>
  <si>
    <t>Songer</t>
  </si>
  <si>
    <t>2.1:AgNTC;2.3:AgLivestock;5.2:UsePlant;5.3:UseWood</t>
  </si>
  <si>
    <t>Botswana</t>
  </si>
  <si>
    <t>Census</t>
  </si>
  <si>
    <t>5.1:UseAnimals;5.4:UseAquatic</t>
  </si>
  <si>
    <t>reptile;mammal;bird;amphibia;invertebrates;invertebrates;fish;invertebrates</t>
  </si>
  <si>
    <t>europe;north america</t>
  </si>
  <si>
    <t>Canada;Brazil</t>
  </si>
  <si>
    <t>Germany;Belgium;Netherlands</t>
  </si>
  <si>
    <t>Brazil;Uruguay</t>
  </si>
  <si>
    <t>Fish;Fish;invertebrates;invertebrates</t>
  </si>
  <si>
    <t>ebcc.info/pecbm.html</t>
  </si>
  <si>
    <t>indian ocean;north atlantic;south atlantic</t>
  </si>
  <si>
    <t>5.4:UseAquatic;9.2:PollIndMil;9.3:PollAgrFor;9.1:PollDWW;9.6:PollEnergy;4.3:ShipLane;11.1:CC_Habitat;3.1:OilGas</t>
  </si>
  <si>
    <t>Halpern_2009</t>
  </si>
  <si>
    <t>PISCO</t>
  </si>
  <si>
    <t>2.3:AgLivestock;1.1:DevResid;2.1:AgNTC;2.4:Aqua;1.3:DevRnR;4.1:RoadRail</t>
  </si>
  <si>
    <t>India;Bangladesh;Myanmar (Burma);Bhutan; Cambodia;China;India;Laos;Nepal;Thailand;Vietnam;Indonesia;Malaysia</t>
  </si>
  <si>
    <t>MARFIS</t>
  </si>
  <si>
    <t>Bermuda</t>
  </si>
  <si>
    <t>SeaRoundUs</t>
  </si>
  <si>
    <t>FISHBASE</t>
  </si>
  <si>
    <t>GovernmnetData</t>
  </si>
  <si>
    <t>7.1:FireSystem;1.1:DevResid</t>
  </si>
  <si>
    <t>habitat;vegetation;habitat</t>
  </si>
  <si>
    <t>Spain;Portugal;Morocco;Algeria;Italy;France;Greece;Croatia;Bosnia and Herzegovina;Montenegro;Albania;Turkey</t>
  </si>
  <si>
    <t>habitat;habitat;forest</t>
  </si>
  <si>
    <t>Laos</t>
  </si>
  <si>
    <t>BirdsAustraliaAtlas</t>
  </si>
  <si>
    <t>SMHI</t>
  </si>
  <si>
    <t>SERS_SwedishElectrofishingRegister</t>
  </si>
  <si>
    <t>MARIS;BISON;GBIF</t>
  </si>
  <si>
    <t>1.1:DevResid;2.1:AgNTC;4.1:RoadRail;2.3:AgLivestock</t>
  </si>
  <si>
    <t>United Kingdom;France;Spain;Morocco</t>
  </si>
  <si>
    <t>9.2:PollIndMil;6.2:WarConflict</t>
  </si>
  <si>
    <t>Australia;South Africa;Madagascar;Mozambique</t>
  </si>
  <si>
    <t>EEZ</t>
  </si>
  <si>
    <t>2.1:AgNTC;2.2:AgWood;2.3:AgLivestock</t>
  </si>
  <si>
    <t>2.5:AgUncpec;7.1:FireSystem;8.1:SDAlienInv</t>
  </si>
  <si>
    <t>Benin;Burkina Faso;Niger</t>
  </si>
  <si>
    <t>2.5:AgUncpec;3.2:MinQuar;2.2:AgWood</t>
  </si>
  <si>
    <t>JourneyNorth_2017</t>
  </si>
  <si>
    <t>Macquarie Island</t>
  </si>
  <si>
    <t>5.4:UseAquatic;11.1:CC_Habitat</t>
  </si>
  <si>
    <t>Uganda;Rwanda</t>
  </si>
  <si>
    <t>8.4:SDUnknownO;6.1:ActivRnR;5.1:UseAnimals;4.1:RoadRail</t>
  </si>
  <si>
    <t>Equatorial Guinea</t>
  </si>
  <si>
    <t>3.1:OilGas;4.3:ShipLane;9.4:PollGarbSW;9.3:PollAgrFor;9.2:PollIndMil;5.4:UseAquatic</t>
  </si>
  <si>
    <t>literature;modelled;rs;survey</t>
  </si>
  <si>
    <t>ArgillierEtAl2013;BollEtAl2016;MehnerEtAl2017</t>
  </si>
  <si>
    <t>1.1:DevResid;1.4:DevUnspec;9.7:PollUnspec;3.2:MinQuar;7.2:WaterSystem;2.1:AgNTC</t>
  </si>
  <si>
    <t>NFHAP_Cumulative disturbance index</t>
  </si>
  <si>
    <t>Troy</t>
  </si>
  <si>
    <t>11.1:CC_Habitat;11.2:CC_Drought;11.3:CC_Temp;11.4:CC_WetWeather;11.5:CC_other</t>
  </si>
  <si>
    <t>bird;amphibia</t>
  </si>
  <si>
    <t>HFI_Venter2016</t>
  </si>
  <si>
    <t>MoveBank</t>
  </si>
  <si>
    <t>11.1:CC_Habitat;3.1:OilGas;4.3:ShipLane;5.4:UseAquatic;8.1:SDAlienInv;9.5:PollAir;9.6:PollEnergy;9.7:PollUnspec</t>
  </si>
  <si>
    <t>Halpern2015;Halpern2019</t>
  </si>
  <si>
    <t>Twumasi</t>
  </si>
  <si>
    <t>2.1:AgNTC;1.1:DevResid</t>
  </si>
  <si>
    <t>forest;mangrove</t>
  </si>
  <si>
    <t>1.1:DevResid;11.2:CC_Drought;11.3:CC_Temp;3.2:MinQuar;4.1:RoadRail;4.2:UtilityLine;6.1:ActivRnR;7.2:WaterSystem;8.1:SDAlienInv;9.1:PollDWW;9.2:PollIndMil;9.3:PollAgrFor;9.4:PollGarbSW;9.6:PollEnergy</t>
  </si>
  <si>
    <t>Myers2000</t>
  </si>
  <si>
    <t>bird;fish;invertebrates;mammal;invertebrates;reptile</t>
  </si>
  <si>
    <t>2.2:AgWood;2.1:AgNTC;5.3:UseWood;2.3:AgLivestock;2.4:Aqua;1.1:DevResid;7.1:FireSystem;1.2:DevComInd;3.2:MinQuar;3.1:OilGas</t>
  </si>
  <si>
    <t>habitat;forest;mangrove</t>
  </si>
  <si>
    <t>Valliere</t>
  </si>
  <si>
    <t>database;rs;survey</t>
  </si>
  <si>
    <t>Community Multiscale Air Quality</t>
  </si>
  <si>
    <t>Suriname</t>
  </si>
  <si>
    <t>1.1:DevResid;1.3:DevRnR;2.2:AgWood;2.3:AgLivestock;2.5:AgUncpec;4.1:RoadRail;5.1:UseAnimals;5.2:UsePlant;5.3:UseWood;5.4:UseAquatic;6.1:ActivRnR</t>
  </si>
  <si>
    <t>forest;plant;liliopsida</t>
  </si>
  <si>
    <t>United Kingdom;Germany;Netherlands;Belgium;Denmark</t>
  </si>
  <si>
    <t>Benin;Ghana;Senegal;Mali;Guinea-Bissau;Guinea;Sierra Leone;Liberia;Ivory Coast;Ghana;Togo;Burkina Faso;Niger;Nigeria;Cameroon;Chad;Central African Republic;Sudan;Zaire;Congo;Gabon;Equatorial Guinea</t>
  </si>
  <si>
    <t>Kenya;Malawi;Rwanda;Tanzania, United Republic of;Uganda;Zambia</t>
  </si>
  <si>
    <t>beta-hybrid;sage.wise;gis-lab.info</t>
  </si>
  <si>
    <t>VanBreugal2012</t>
  </si>
  <si>
    <t>4.5.UnspecLine</t>
  </si>
  <si>
    <t>2.1:AgNTC;2.3:AgLivestock;1.4:DevUnspec;3.1:OilGas;7.1:FireSystem;11.1:CC_Habitat</t>
  </si>
  <si>
    <t>Jarvis_2010</t>
  </si>
  <si>
    <t>magnoliopsida;tracheophyta</t>
  </si>
  <si>
    <t>ICOADS</t>
  </si>
  <si>
    <t>1.1:DevResid;1.4:DevUnspec;2.3:AgLivestock;2.1:AgNTC;4.1:RoadRail</t>
  </si>
  <si>
    <t>6.1:ActivRnR;2.2:AgWood</t>
  </si>
  <si>
    <t>bird;reptile;invertebrates</t>
  </si>
  <si>
    <t>3.1:OilGas;5.1:UseAnimals</t>
  </si>
  <si>
    <t>Bulgaria;Greece</t>
  </si>
  <si>
    <t>Ukraine</t>
  </si>
  <si>
    <t>RedDataBook_Ukrainq</t>
  </si>
  <si>
    <t>2.1:AgNTC;1.1:DevResid;1.2:DevComInd</t>
  </si>
  <si>
    <t>IUCNRedList</t>
  </si>
  <si>
    <t>FAO;MAPA_2019</t>
  </si>
  <si>
    <t>amphibia;bird;mammal;reptile</t>
  </si>
  <si>
    <t>8.5:ViralPrion;2.4:Aqua</t>
  </si>
  <si>
    <t>AquaMaps</t>
  </si>
  <si>
    <t>Aquamaps</t>
  </si>
  <si>
    <t>fish;mammal;invertebrates</t>
  </si>
  <si>
    <t>africa;asia;australasia;south america</t>
  </si>
  <si>
    <t>1.1:DevResid;2.5:AgUncpec;5.3:UseWood</t>
  </si>
  <si>
    <t>HarmonizedGlobalLand-Use_Chinietal2014</t>
  </si>
  <si>
    <t>IUCNredlist;Birdlife</t>
  </si>
  <si>
    <t>Malaysia;Thailand</t>
  </si>
  <si>
    <t>NaturalEarth;GADM;GPSNauticalCharts</t>
  </si>
  <si>
    <t>Institut Geographique National</t>
  </si>
  <si>
    <t>Vinitpornsawar</t>
  </si>
  <si>
    <t>5.1:UseAnimals;5.3:UseWood;5.4:UseAquatic;6.1:ActivRnR</t>
  </si>
  <si>
    <t>RegionalVictoriaRailwayOperator</t>
  </si>
  <si>
    <t>Vogel</t>
  </si>
  <si>
    <t>8.1:SDAlienInv;1.4:DevUnspec;2.5:AgUncpec</t>
  </si>
  <si>
    <t>Montenegro;Albania;Greece;Slovenia;Croatia;Romania;Macedonia</t>
  </si>
  <si>
    <t>2.1:AgNTC;2.3:AgLivestock;1.4:DevUnspec;9.3:PollAgrFor;9.2:PollIndMil;9.6:PollEnergy;9.5:PollAir;9.7:PollUnspec;7.2:WaterSystem;8.1:SDAlienInv;2.4:Aqua;5.4:UseAquatic</t>
  </si>
  <si>
    <t>Spain (Canary Islands)</t>
  </si>
  <si>
    <t>NationaklParkAuthority;GBIF;Atlantis</t>
  </si>
  <si>
    <t>Natura2000;SCI</t>
  </si>
  <si>
    <t>5.4:UseAquatic;1.4:DevUnspec;9.7:PollUnspec;11.1:CC_Habitat</t>
  </si>
  <si>
    <t>SWOT</t>
  </si>
  <si>
    <t>4.1:RoadRail;1.1:DevResid;1.2:DevComInd;4.2:UtilityLine;3.2:MinQuar;2.1:AgNTC;2.3:AgLivestock;2.2:AgWood;7.1:FireSystem;8.1:SDAlienInv</t>
  </si>
  <si>
    <t>SWReGAP</t>
  </si>
  <si>
    <t>GBR_WorldHeritageArea</t>
  </si>
  <si>
    <t>2.5:AgUncpec;9.3:PollAgrFor;9.5:PollAir</t>
  </si>
  <si>
    <t>NAtura2000</t>
  </si>
  <si>
    <t>database;literature;modelled;protected_area</t>
  </si>
  <si>
    <t>IUCN;GovernmentData;GSCloud.cn</t>
  </si>
  <si>
    <t>Zambia</t>
  </si>
  <si>
    <t>2.1:AgNTC;4.1:RoadRail;1.1:DevResid</t>
  </si>
  <si>
    <t>Angola</t>
  </si>
  <si>
    <t>2.1:AgNTC;1.1:DevResid;1.2:DevComInd;1.3:DevRnR;3.2:MinQuar;2.2:AgWood</t>
  </si>
  <si>
    <t>bird;mammal;invertebrates</t>
  </si>
  <si>
    <t>Williams</t>
  </si>
  <si>
    <t>2.1:AgNTC;9.3:PollAgrFor</t>
  </si>
  <si>
    <t>africa;asia;south america</t>
  </si>
  <si>
    <t>Brazil;Bolivia;Peru;Colombia;Zaire;Congo;Angola;Burundi;Rwanda;Central African Republic;Cameroon;Vietnam;Cambodia;Thailand;Laos</t>
  </si>
  <si>
    <t>Israel</t>
  </si>
  <si>
    <t>3.1:OilGas;1.2:DevComInd;6.1:ActivRnR;1.3:DevRnR;9.7:PollUnspec</t>
  </si>
  <si>
    <t>11.1:CC_Habitat;2.5:AgUncpec;1.1:DevResid</t>
  </si>
  <si>
    <t>GovernmentData;FAO</t>
  </si>
  <si>
    <t>1.1:DevResid;2.1:AgNTC;3.1:OilGas;3.3:Renew;4.2:UtilityLine</t>
  </si>
  <si>
    <t>IUCNRedList;Various</t>
  </si>
  <si>
    <t>CanadianCoastGuard</t>
  </si>
  <si>
    <t>7.1:FireSystem;8.1:SDAlienInv;2.3:AgLivestock;1.3:DevRnR;6.1:ActivRnR;5.2:UsePlant</t>
  </si>
  <si>
    <t>China;Laos;Vietnam;Myanmar;Thailand;Cambodia</t>
  </si>
  <si>
    <t>Myanmar (Burma);Thailand;Bangladesh;India;Bhutan;Cambodia;Sri Lanka;Indonesia;Laos;Malaysia;Nepal;Singapore;Vietnam;Russia</t>
  </si>
  <si>
    <t>7.1:FireSystem;2.1:AgNTC</t>
  </si>
  <si>
    <t>WWF2016JurisdictionalRiskAssessment</t>
  </si>
  <si>
    <t>5.3:UseWood;11.2:CC_Drought</t>
  </si>
  <si>
    <t>2.1:AgNTC;5.3:UseWood;2.2:AgWood;4.1:RoadRail</t>
  </si>
  <si>
    <t>5.4:UseAquatic;2.4:Aqua;3.1:OilGas;1.1:DevResid;4.2:UtilityLine;1.2:DevComInd;3.3:Renew;6.1:ActivRnR;3.2:MinQuar;4.3:ShipLane;9.4:PollGarbSW;6.2:WarConflict;9.2:PollIndMil;9.6:PollEnergy;9.7:PollUnspec;11.1:CC_Habitat</t>
  </si>
  <si>
    <t>5.1:UseAnimals;1.3:DevRnR</t>
  </si>
  <si>
    <t>2.5:AgUncpec;7.1:FireSystem;4.1:RoadRail;1.1:DevResid</t>
  </si>
  <si>
    <t>ClimaticResearchUnit_badc.nerc.ac.uk</t>
  </si>
  <si>
    <t>2.5:AgUncpec;1.1:DevResid;1.2:DevComInd</t>
  </si>
  <si>
    <t>africa;asia;north america</t>
  </si>
  <si>
    <t>modelled;pcm</t>
  </si>
  <si>
    <t>HFI_Sanderson</t>
  </si>
  <si>
    <t>invertebrates;invertebrates;invertebrates;invertebrates</t>
  </si>
  <si>
    <t>1.1:DevResid;4.1:RoadRail;3.2:MinQuar</t>
  </si>
  <si>
    <t>1.1:DevResid;2.5:AgUncpec;3.2:MinQuar;3.4:EnergUnspec</t>
  </si>
  <si>
    <t>ReefBase</t>
  </si>
  <si>
    <t>1.1:DevResid;1.2:DevComInd;2.3:AgLivestock;3.2:MinQuar;4.1:RoadRail;9.6:PollEnergy</t>
  </si>
  <si>
    <t>7.2:WaterSystem;9.7:PollUnspec;2.4:Aqua</t>
  </si>
  <si>
    <t>magnoliopsida;liliopsida</t>
  </si>
  <si>
    <t>Uzbekistan;Turkmenistan</t>
  </si>
  <si>
    <t>2.5:AgUncpec;1.4:DevUnspec</t>
  </si>
  <si>
    <t>DatabaseOfGlobalChangeParameters</t>
  </si>
  <si>
    <t>habitat;forest</t>
  </si>
  <si>
    <t>4.3:ShipLane;3.1:OilGas;6.1:ActivRnR</t>
  </si>
  <si>
    <t>Equatorial Guinea (Bioko)</t>
  </si>
  <si>
    <t>1.1:DevResid;2.1:AgNTC;2.3:AgLivestock;4.1:RoadRail;5.1:UseAnimals</t>
  </si>
  <si>
    <t>liliopsida;magnoliopsida;polypodiopsida</t>
  </si>
  <si>
    <t>expert;literature;modelled</t>
  </si>
  <si>
    <t>1.1:DevResid;1.2:DevComInd;11.1:CC_Habitat;11.3:CC_Temp;3.1:OilGas;4.3:ShipLane;5.4:UseAquatic;8.1:SDAlienInv;9.2:PollIndMil;9.3:PollAgrFor;9.6:PollEnergy</t>
  </si>
  <si>
    <t>database;modelled;rs</t>
  </si>
  <si>
    <t>Data Center for Resources and Environmental Sciences, Chinese Academy of Sciences; National Geophysical Data Center</t>
  </si>
  <si>
    <t>Central African Republic;Cameroon;Congo;Equatorial Guinea;Gabon;Central African Republic;Cameroon;Zaire;Equatorial Guinea;Gabon</t>
  </si>
  <si>
    <t>China;Laos</t>
  </si>
  <si>
    <t>United Kingdom;Netherlands;Germany;Denmark;Norway;Sweden;Poland;Russia;Lithuania;Latvia;Estonia;Finland</t>
  </si>
  <si>
    <t>Typologies</t>
  </si>
  <si>
    <t>*Where multiple, use a semi-colon to delimit (applies to: 2.1; 2.4; 2.7; 2.8; 3.3; 3.4; 4.3;4.4)</t>
  </si>
  <si>
    <t xml:space="preserve">Field Code </t>
  </si>
  <si>
    <t>2.1</t>
  </si>
  <si>
    <t>2.2</t>
  </si>
  <si>
    <t>2.3</t>
  </si>
  <si>
    <t>3.1</t>
  </si>
  <si>
    <t>3.2</t>
  </si>
  <si>
    <t>3.3</t>
  </si>
  <si>
    <t>3.4</t>
  </si>
  <si>
    <t>3.5</t>
  </si>
  <si>
    <t>3.6</t>
  </si>
  <si>
    <t>3.7</t>
  </si>
  <si>
    <t>4.1</t>
  </si>
  <si>
    <t>4.3</t>
  </si>
  <si>
    <t>4.5</t>
  </si>
  <si>
    <t>5.1</t>
  </si>
  <si>
    <t>5.2</t>
  </si>
  <si>
    <t>5.3</t>
  </si>
  <si>
    <t>5.4</t>
  </si>
  <si>
    <t>5.5</t>
  </si>
  <si>
    <t>5.6</t>
  </si>
  <si>
    <t>5.7</t>
  </si>
  <si>
    <t xml:space="preserve">Data Field </t>
  </si>
  <si>
    <t>Article_ID</t>
  </si>
  <si>
    <t>Date_Coded</t>
  </si>
  <si>
    <t>Coded_by</t>
  </si>
  <si>
    <t>Inclusion</t>
  </si>
  <si>
    <t xml:space="preserve">Spatial_scale </t>
  </si>
  <si>
    <t>Threat_database</t>
  </si>
  <si>
    <t>Pop_database</t>
  </si>
  <si>
    <t>Tax.res</t>
  </si>
  <si>
    <t>Tax.scope</t>
  </si>
  <si>
    <t>Taxa.kingdom</t>
  </si>
  <si>
    <t>animal.group</t>
  </si>
  <si>
    <t>plant.group</t>
  </si>
  <si>
    <t>Comment</t>
  </si>
  <si>
    <t>Data Type</t>
  </si>
  <si>
    <t>text</t>
  </si>
  <si>
    <t>Date</t>
  </si>
  <si>
    <t>Text</t>
  </si>
  <si>
    <t>binary</t>
  </si>
  <si>
    <t>numeric</t>
  </si>
  <si>
    <t>list</t>
  </si>
  <si>
    <t>Info</t>
  </si>
  <si>
    <t>EPPI4 ID</t>
  </si>
  <si>
    <t>Removed after coding was consolidated between the two reviewers</t>
  </si>
  <si>
    <t>na applied if polygon</t>
  </si>
  <si>
    <t>na applied if global</t>
  </si>
  <si>
    <t>na applied if spatial scale &gt; country</t>
  </si>
  <si>
    <t xml:space="preserve">name of data source </t>
  </si>
  <si>
    <t>Number of tier 2 threats (3.6)</t>
  </si>
  <si>
    <t>Removed after consolidation</t>
  </si>
  <si>
    <t xml:space="preserve">The date that the coding was applied </t>
  </si>
  <si>
    <t>The reviewer that coded the article</t>
  </si>
  <si>
    <t>Marks any decisions made regarding inclusion after the full-text screening stage</t>
  </si>
  <si>
    <t>The nature of the investigation</t>
  </si>
  <si>
    <t>The ecoregion(s) that the threat map covers</t>
  </si>
  <si>
    <t>The spatial scales covered by threat maps within the study</t>
  </si>
  <si>
    <t>The resolution at which the distribution of threats was presented</t>
  </si>
  <si>
    <t>The units that the spatial resolution was given in</t>
  </si>
  <si>
    <t>The broad geographic region that the threat map covers. Oceans = marine, continents = terrestrial an freshwater</t>
  </si>
  <si>
    <t>The country or countries that threat maps within the article cover.</t>
  </si>
  <si>
    <t>The methods used to collect and present data on where threats occur</t>
  </si>
  <si>
    <t>The type of data used to represent where threats occur</t>
  </si>
  <si>
    <t>Categories of human-driven threat according to Salafsky(2008).</t>
  </si>
  <si>
    <t>The number of distinct threat categories (4.4)  mapped in each study.</t>
  </si>
  <si>
    <t>The thematic precision of the presentation of threats. See extended definitions</t>
  </si>
  <si>
    <t>The method used to collect and present data on the presence of individuals of a wild species</t>
  </si>
  <si>
    <t>The type of data used to collect and present data on the presence of individuals of a wild species</t>
  </si>
  <si>
    <t>See extended definitions</t>
  </si>
  <si>
    <t xml:space="preserve">Entry values </t>
  </si>
  <si>
    <t>dd.mm.yy</t>
  </si>
  <si>
    <t>FR</t>
  </si>
  <si>
    <t>1=include</t>
  </si>
  <si>
    <t xml:space="preserve">Africa </t>
  </si>
  <si>
    <t>PCM</t>
  </si>
  <si>
    <t>e.g. HFI (human footprint index)</t>
  </si>
  <si>
    <t>Housing &amp; urban area</t>
  </si>
  <si>
    <t xml:space="preserve"> 1 to 42</t>
  </si>
  <si>
    <t>e.g IUCN</t>
  </si>
  <si>
    <t>Domain</t>
  </si>
  <si>
    <t xml:space="preserve">Animalia </t>
  </si>
  <si>
    <t>EH</t>
  </si>
  <si>
    <t>0=exclude</t>
  </si>
  <si>
    <t>Aruba</t>
  </si>
  <si>
    <t>RS</t>
  </si>
  <si>
    <t>na (if source type is not database)</t>
  </si>
  <si>
    <t>Commercial &amp; industrial areas</t>
  </si>
  <si>
    <t>Kingdom</t>
  </si>
  <si>
    <t>Plantae</t>
  </si>
  <si>
    <t>Europe</t>
  </si>
  <si>
    <t>Antigua and Barbuda</t>
  </si>
  <si>
    <t>Tourism &amp; recreation areas</t>
  </si>
  <si>
    <t>PCHBA</t>
  </si>
  <si>
    <t>Phylum</t>
  </si>
  <si>
    <t>North America</t>
  </si>
  <si>
    <t>Afghanistan</t>
  </si>
  <si>
    <t>Unspecified Residential &amp; commercial development</t>
  </si>
  <si>
    <t>Protected_Area</t>
  </si>
  <si>
    <t>Class</t>
  </si>
  <si>
    <t>South America</t>
  </si>
  <si>
    <t>Survey</t>
  </si>
  <si>
    <t>Annual &amp; perennial non-timber crops</t>
  </si>
  <si>
    <t>Expert</t>
  </si>
  <si>
    <t>Order</t>
  </si>
  <si>
    <t>Asia</t>
  </si>
  <si>
    <t>Azerbaijan</t>
  </si>
  <si>
    <t>Modelled</t>
  </si>
  <si>
    <t>Wood &amp; pulp plantations</t>
  </si>
  <si>
    <t xml:space="preserve">Family </t>
  </si>
  <si>
    <t>Australasia</t>
  </si>
  <si>
    <t>Albania</t>
  </si>
  <si>
    <t>Livestock farming &amp; ranching</t>
  </si>
  <si>
    <t>Literature</t>
  </si>
  <si>
    <t xml:space="preserve">Genus </t>
  </si>
  <si>
    <t>Arctic_Ocean</t>
  </si>
  <si>
    <t>Armenia</t>
  </si>
  <si>
    <t xml:space="preserve">Other </t>
  </si>
  <si>
    <t>Marine &amp; freshwater aquaculture</t>
  </si>
  <si>
    <t>Other</t>
  </si>
  <si>
    <t xml:space="preserve">Species </t>
  </si>
  <si>
    <t>North_Atlantic_Ocean</t>
  </si>
  <si>
    <t>Andorra</t>
  </si>
  <si>
    <t>Unspecified Agriculture &amp; aquaculture</t>
  </si>
  <si>
    <t>South_Atlantic_Ocean</t>
  </si>
  <si>
    <t>Oil &amp; gas drilling</t>
  </si>
  <si>
    <t>Indian_Ocean</t>
  </si>
  <si>
    <t>Mining &amp; quarrying</t>
  </si>
  <si>
    <t>North_Pacific_Ocean</t>
  </si>
  <si>
    <t>Renewable energy</t>
  </si>
  <si>
    <t>South_Pacific_Ocean</t>
  </si>
  <si>
    <t>3.4:EnergUnspec</t>
  </si>
  <si>
    <t>Unspecified Energy production &amp; mining</t>
  </si>
  <si>
    <t>Mediterannean</t>
  </si>
  <si>
    <t>Austria</t>
  </si>
  <si>
    <t>Roads &amp; railroads</t>
  </si>
  <si>
    <t>South China Sea</t>
  </si>
  <si>
    <t>Anguilla</t>
  </si>
  <si>
    <t>Utility &amp; service lines</t>
  </si>
  <si>
    <t>CaspianSea</t>
  </si>
  <si>
    <t>Shipping lanes</t>
  </si>
  <si>
    <t>Southern Ocean</t>
  </si>
  <si>
    <t>Bahrain</t>
  </si>
  <si>
    <t>4.4:FlightPath</t>
  </si>
  <si>
    <t>Flight paths</t>
  </si>
  <si>
    <t>Barbados</t>
  </si>
  <si>
    <t>Unspecified Transportation &amp; service corridors</t>
  </si>
  <si>
    <t>Hunting &amp; collecting terrestrial animals</t>
  </si>
  <si>
    <t>Gathering terrestrial plants</t>
  </si>
  <si>
    <t>Logging &amp; wood harvesting</t>
  </si>
  <si>
    <t>Bahamas, The</t>
  </si>
  <si>
    <t>Fishing &amp; harvesting aquatic resources</t>
  </si>
  <si>
    <t>5.5:UseUnspec</t>
  </si>
  <si>
    <t>Unspecified Biological resource use</t>
  </si>
  <si>
    <t>Recreational activities</t>
  </si>
  <si>
    <t>Bosnia and Herzegovina</t>
  </si>
  <si>
    <t>War, civil unrest &amp; military exercises</t>
  </si>
  <si>
    <t>Work &amp; other activities</t>
  </si>
  <si>
    <t>Fire &amp; fire suppression</t>
  </si>
  <si>
    <t>Dams &amp; water management/use</t>
  </si>
  <si>
    <t>Byelarus</t>
  </si>
  <si>
    <t>7.3:OtherSystem</t>
  </si>
  <si>
    <t>Other ecosystem modifications</t>
  </si>
  <si>
    <t>Invasive non-native/alien species/diseases</t>
  </si>
  <si>
    <t>Problematic native species/diseases</t>
  </si>
  <si>
    <t>Bhutan</t>
  </si>
  <si>
    <t>Introduced genetic material</t>
  </si>
  <si>
    <t>Bulgaria</t>
  </si>
  <si>
    <t>Problematic species/diseases of unknown origin</t>
  </si>
  <si>
    <t>Bouvet Island</t>
  </si>
  <si>
    <t>8.5:ViralPrion</t>
  </si>
  <si>
    <t>Viral/prion-induced diseases</t>
  </si>
  <si>
    <t>Brunei</t>
  </si>
  <si>
    <t xml:space="preserve">Diseases of unknown cause </t>
  </si>
  <si>
    <t>Burundi</t>
  </si>
  <si>
    <t>Domestic &amp; urban waste water</t>
  </si>
  <si>
    <t>Industrial &amp; military effluents</t>
  </si>
  <si>
    <t>Cambodia</t>
  </si>
  <si>
    <t>Agricultural &amp; forestry effluents</t>
  </si>
  <si>
    <t>Chad</t>
  </si>
  <si>
    <t>Garbage &amp; solid waste</t>
  </si>
  <si>
    <t>Air-borne pollutants</t>
  </si>
  <si>
    <t>Excess energy</t>
  </si>
  <si>
    <t>Unspecified Pollution</t>
  </si>
  <si>
    <t>Habitat shifting &amp; alteration</t>
  </si>
  <si>
    <t>Droughts</t>
  </si>
  <si>
    <t>Cayman Islands</t>
  </si>
  <si>
    <t>Temperature extremes</t>
  </si>
  <si>
    <t>Cocos (Keeling) Islands</t>
  </si>
  <si>
    <t>11.4:CC_WetWeather</t>
  </si>
  <si>
    <t>Storms &amp; flooding</t>
  </si>
  <si>
    <t>11.5:CC_other</t>
  </si>
  <si>
    <t>Other impacts</t>
  </si>
  <si>
    <t>12.0:Other</t>
  </si>
  <si>
    <t>Other threat</t>
  </si>
  <si>
    <t>Northern Mariana Islands</t>
  </si>
  <si>
    <t>Central African Republic</t>
  </si>
  <si>
    <t>Cuba</t>
  </si>
  <si>
    <t>Cape Verde</t>
  </si>
  <si>
    <t>Cook Islands</t>
  </si>
  <si>
    <t>Djibouti</t>
  </si>
  <si>
    <t>Dominica</t>
  </si>
  <si>
    <t>Jarvis Island</t>
  </si>
  <si>
    <t>Dominican Republic</t>
  </si>
  <si>
    <t>Egypt</t>
  </si>
  <si>
    <t>Estonia</t>
  </si>
  <si>
    <t>Eritrea</t>
  </si>
  <si>
    <t>El Salvador</t>
  </si>
  <si>
    <t>French Guiana</t>
  </si>
  <si>
    <t>Fiji</t>
  </si>
  <si>
    <t>Falkland Islands (Islas Malvinas)</t>
  </si>
  <si>
    <t>Federated States of Micronesia</t>
  </si>
  <si>
    <t>Faroe Islands</t>
  </si>
  <si>
    <t>French Polynesia</t>
  </si>
  <si>
    <t>Baker Island</t>
  </si>
  <si>
    <t>French Southern &amp; Antarctic Lands</t>
  </si>
  <si>
    <t>Gambia, The</t>
  </si>
  <si>
    <t>Georgia</t>
  </si>
  <si>
    <t>Gibraltar</t>
  </si>
  <si>
    <t>Grenada</t>
  </si>
  <si>
    <t>Guernsey</t>
  </si>
  <si>
    <t>Glorioso Islands</t>
  </si>
  <si>
    <t>Guadeloupe</t>
  </si>
  <si>
    <t>Guam</t>
  </si>
  <si>
    <t>Guatemala</t>
  </si>
  <si>
    <t>Guinea</t>
  </si>
  <si>
    <t>Guyana</t>
  </si>
  <si>
    <t>Gaza Strip</t>
  </si>
  <si>
    <t>Haiti</t>
  </si>
  <si>
    <t>Heard Island &amp; McDonald Islands</t>
  </si>
  <si>
    <t>Honduras</t>
  </si>
  <si>
    <t>Howland Island</t>
  </si>
  <si>
    <t>Hungary</t>
  </si>
  <si>
    <t>Iceland</t>
  </si>
  <si>
    <t>Man, Isle of</t>
  </si>
  <si>
    <t>British Indian Ocean Territory</t>
  </si>
  <si>
    <t>Iraq</t>
  </si>
  <si>
    <t>Jersey</t>
  </si>
  <si>
    <t>Jamaica</t>
  </si>
  <si>
    <t>Jan Mayen</t>
  </si>
  <si>
    <t>Jordan</t>
  </si>
  <si>
    <t>Johnston Atoll</t>
  </si>
  <si>
    <t>Juan De Nova Island</t>
  </si>
  <si>
    <t>Kyrgyzstan</t>
  </si>
  <si>
    <t>North Korea</t>
  </si>
  <si>
    <t>Kiribati</t>
  </si>
  <si>
    <t>Christmas Island</t>
  </si>
  <si>
    <t>Kuwait</t>
  </si>
  <si>
    <t>Kazakhstan</t>
  </si>
  <si>
    <t>Lebanon</t>
  </si>
  <si>
    <t>Lithuania</t>
  </si>
  <si>
    <t>Liberia</t>
  </si>
  <si>
    <t>Slovakia</t>
  </si>
  <si>
    <t>Liechtenstein</t>
  </si>
  <si>
    <t>Lesotho</t>
  </si>
  <si>
    <t>Luxembourg</t>
  </si>
  <si>
    <t>Libya</t>
  </si>
  <si>
    <t>Martinique</t>
  </si>
  <si>
    <t>Macau</t>
  </si>
  <si>
    <t>Moldova</t>
  </si>
  <si>
    <t>Mayotte</t>
  </si>
  <si>
    <t>Mongolia</t>
  </si>
  <si>
    <t>Montserrat</t>
  </si>
  <si>
    <t>Macedonia</t>
  </si>
  <si>
    <t>Mali</t>
  </si>
  <si>
    <t>Monaco</t>
  </si>
  <si>
    <t>Morocco</t>
  </si>
  <si>
    <t>Midway Islands</t>
  </si>
  <si>
    <t>Mauritania</t>
  </si>
  <si>
    <t>Malta</t>
  </si>
  <si>
    <t>Oman</t>
  </si>
  <si>
    <t>Maldives</t>
  </si>
  <si>
    <t>Montenegro</t>
  </si>
  <si>
    <t>Niue</t>
  </si>
  <si>
    <t>Norfolk Island</t>
  </si>
  <si>
    <t>Niger</t>
  </si>
  <si>
    <t>Vanuatu</t>
  </si>
  <si>
    <t>Nauru</t>
  </si>
  <si>
    <t>Netherlands Antilles</t>
  </si>
  <si>
    <t>Nicaragua</t>
  </si>
  <si>
    <t>Paraguay</t>
  </si>
  <si>
    <t>Pitcairn Islands</t>
  </si>
  <si>
    <t>Paracel Islands</t>
  </si>
  <si>
    <t>Spratly Islands</t>
  </si>
  <si>
    <t>Panama</t>
  </si>
  <si>
    <t>Pacific Islands (Palau)</t>
  </si>
  <si>
    <t>Guinea-Bissau</t>
  </si>
  <si>
    <t>Qatar</t>
  </si>
  <si>
    <t>Marshall Islands</t>
  </si>
  <si>
    <t>Puerto Rico</t>
  </si>
  <si>
    <t>St. Pierre and Miquelon</t>
  </si>
  <si>
    <t>St. Kitts and Nevis</t>
  </si>
  <si>
    <t>Seychelles</t>
  </si>
  <si>
    <t>Senegal</t>
  </si>
  <si>
    <t>St. Helena</t>
  </si>
  <si>
    <t>Slovenia</t>
  </si>
  <si>
    <t>Sierra Leone</t>
  </si>
  <si>
    <t>San Marino</t>
  </si>
  <si>
    <t>Singapore</t>
  </si>
  <si>
    <t>Somalia</t>
  </si>
  <si>
    <t>Serbia</t>
  </si>
  <si>
    <t>St. Lucia</t>
  </si>
  <si>
    <t>Svalbard</t>
  </si>
  <si>
    <t>South Georgia and the South Sandwich Is</t>
  </si>
  <si>
    <t>Syria</t>
  </si>
  <si>
    <t>United Arab Emirates</t>
  </si>
  <si>
    <t>Trinidad and Tobago</t>
  </si>
  <si>
    <t>Tajikistan</t>
  </si>
  <si>
    <t>Turks and Caicos Islands</t>
  </si>
  <si>
    <t>Tokelau</t>
  </si>
  <si>
    <t>Tonga</t>
  </si>
  <si>
    <t>Sao Tome and Principe</t>
  </si>
  <si>
    <t>Tuvalu</t>
  </si>
  <si>
    <t>Turkmenistan</t>
  </si>
  <si>
    <t>Uruguay</t>
  </si>
  <si>
    <t>Uzbekistan</t>
  </si>
  <si>
    <t>St. Vincent and the Grenadines</t>
  </si>
  <si>
    <t>British Virgin Islands</t>
  </si>
  <si>
    <t>Vietnam</t>
  </si>
  <si>
    <t>Virgin Islands</t>
  </si>
  <si>
    <t>West Bank</t>
  </si>
  <si>
    <t>Wallis and Futuna</t>
  </si>
  <si>
    <t>Western Sahara</t>
  </si>
  <si>
    <t>Wake Island</t>
  </si>
  <si>
    <t>Western Samoa</t>
  </si>
  <si>
    <t>Swaziland</t>
  </si>
  <si>
    <t>Yemen</t>
  </si>
  <si>
    <t>Extended Definitions</t>
  </si>
  <si>
    <t xml:space="preserve">3.1 Study Design </t>
  </si>
  <si>
    <t xml:space="preserve">Variables are not actively manipulated </t>
  </si>
  <si>
    <t>For the sake of this analysis all research which manipulates variables regardless of tightly controlled conditions will be classed as experimental (e.g. exclusion experiments in a natural setting)</t>
  </si>
  <si>
    <t>Systematic review (including meta-analyses). Novel syntheses of data gathered from existing literature.</t>
  </si>
  <si>
    <t xml:space="preserve">3.3 Spatial Scale </t>
  </si>
  <si>
    <t xml:space="preserve">The study extent is the whole world </t>
  </si>
  <si>
    <t>Study extent covers over 3/4 of a continent or an ocean. This excludes studies of individual countries that encompass &gt; ¾ of the area of the continent (e.g. Australia).</t>
  </si>
  <si>
    <t>Study extent is defined by the boundary of more than one country, or sites across multiple countries (&gt;10,000km2)</t>
  </si>
  <si>
    <t>Study extent is defined by the boundary of one country</t>
  </si>
  <si>
    <t>Study extent is larger than 10,000km2 within a single country</t>
  </si>
  <si>
    <t>Study extent is less than 10,000km2</t>
  </si>
  <si>
    <t>3.4 Spatial Resolution Units</t>
  </si>
  <si>
    <t xml:space="preserve">The spatial unit used to display the threat map </t>
  </si>
  <si>
    <t>3.5 Spatial Resolution</t>
  </si>
  <si>
    <t xml:space="preserve">The size of single units that were mapped within the study, rather than the resolution in which data was gathered </t>
  </si>
  <si>
    <t>4.1 Threat Metric</t>
  </si>
  <si>
    <t>Pre-calculated metric (e.g. Human Footprint Index if accessed as an already computed index)</t>
  </si>
  <si>
    <t>Database</t>
  </si>
  <si>
    <t>Existing dataset of human activities or threats to species (e.g. FAO, IUCN, fishing logbook data, repositories of citizen science collected data)</t>
  </si>
  <si>
    <r>
      <rPr>
        <rFont val="Calibri"/>
        <color theme="1"/>
        <sz val="11.0"/>
      </rPr>
      <t xml:space="preserve">Remotely sensed </t>
    </r>
    <r>
      <rPr>
        <rFont val="Calibri"/>
        <b/>
        <color theme="1"/>
        <sz val="11.0"/>
      </rPr>
      <t xml:space="preserve">primary </t>
    </r>
    <r>
      <rPr>
        <rFont val="Calibri"/>
        <color theme="1"/>
        <sz val="11.0"/>
      </rPr>
      <t>data (Satellite data, aerial surveys, GPS trackers, Remote vessel monitoring systems (VMS). *The use of ground-level camera traps should be classed under ‘survey’)</t>
    </r>
  </si>
  <si>
    <t>Data on threat distribution gathered from existing literature (E.g. Mapping locations of studies that observe threats in a systematic review, using findings from existing peer-reviewed literature or other paper-based sources or archives)
E.g. Scraping data from previous published peer-reviewed literature 
E.g. Scraping data from news reports, paper-based archives or other non-published literature sources
)</t>
  </si>
  <si>
    <r>
      <rPr>
        <rFont val="Calibri"/>
        <b/>
        <color theme="1"/>
        <sz val="11.0"/>
      </rPr>
      <t>Primary</t>
    </r>
    <r>
      <rPr>
        <rFont val="Calibri"/>
        <color theme="1"/>
        <sz val="11.0"/>
      </rPr>
      <t xml:space="preserve"> collection of data via ground level survey methods to identify presence/absence or intensity of threat (e.g. line transects, camera traps, point counts)</t>
    </r>
  </si>
  <si>
    <t>Predicted distributions of a current threat based on occurance or susceptibility data (e.g. invasive species or climate change risk)</t>
  </si>
  <si>
    <t xml:space="preserve">Expert Judgement </t>
  </si>
  <si>
    <r>
      <rPr>
        <rFont val="Calibri"/>
        <color theme="1"/>
        <sz val="11.0"/>
      </rPr>
      <t xml:space="preserve">The spatial distribution of threats to species is determined by </t>
    </r>
    <r>
      <rPr>
        <rFont val="Calibri"/>
        <b/>
        <color theme="1"/>
        <sz val="11.0"/>
      </rPr>
      <t>primary</t>
    </r>
    <r>
      <rPr>
        <rFont val="Calibri"/>
        <color theme="1"/>
        <sz val="11.0"/>
      </rPr>
      <t xml:space="preserve"> expert elicitation methods (e.g. Interviews, participatory mapping processes, questionnaires)</t>
    </r>
  </si>
  <si>
    <t>Any other metric used to determine the spatial distribution of threat to species (e.g. Web scraping Social Media, and data gathered from museum specimens)</t>
  </si>
  <si>
    <t>4.6 threat_precision</t>
  </si>
  <si>
    <t>Cumulative</t>
  </si>
  <si>
    <t xml:space="preserve">Individual threats are all mapped together as a single index </t>
  </si>
  <si>
    <t>Level 1</t>
  </si>
  <si>
    <t>Threats are presented individually at the most coarse level of the threat classifcation framework (e.g. Agriculture/Aquaculture, Development, Biological resource use)</t>
  </si>
  <si>
    <t>Level 2</t>
  </si>
  <si>
    <t>Threats are presented individually at a precision greater than level 2 in the threat classifcation framework or finer (e.g. Residential development, livestock farming, hunting)</t>
  </si>
  <si>
    <t xml:space="preserve">5.1 Population Metric </t>
  </si>
  <si>
    <t xml:space="preserve">Secondary data on species distribution gathered from existing literature </t>
  </si>
  <si>
    <t>Existing dataset of species distributions (e.g. IUCN, or iNaturalist)</t>
  </si>
  <si>
    <t>Predicted distribution of species based on occurance data (e.g. EEO, and habitat suitability modelling)</t>
  </si>
  <si>
    <t>Primary data collected on the presence/absence or density of target species through ground-level observations (e.g. line transects, camera traps, point counts)</t>
  </si>
  <si>
    <t>Pre-calculated high Biodiversity Areas. Identified from previous work to be of high value for biodiversity. E.g. biodiversity hotspots or key biodiversity areas (e.g. Myers 2000 Biodiversity Hotspot, Key Biodiversity areas (Important Bird and Biodiversity Areas, Alliance for zero extinction sites, critical ecosystem partnership)</t>
  </si>
  <si>
    <t>Protected Area</t>
  </si>
  <si>
    <t>Any land or sea that is legislatively protected from some or any disturbance (e.g. IUCN PA categories 1a, 1b, 2, and 4, RAMSAR sites, and UNESCO Natural World heritage sites, Marine protected areas)</t>
  </si>
  <si>
    <t>Expert elicitation methods were used to determine the spatial distribution of species within the study area</t>
  </si>
  <si>
    <t xml:space="preserve"> Any other metric type used to determine the spatial distribution of species within the study area (e.g. social media)</t>
  </si>
  <si>
    <t xml:space="preserve">4.2 Threat data &amp;  5.2 Population data </t>
  </si>
  <si>
    <t xml:space="preserve">The measure for population and threat used for each spatial unit is a numeric value. E.g intensity, frequency, density </t>
  </si>
  <si>
    <t>The measure for population and threat used for each spatial unit does not have a numeric value. E.g categories or presence/absence</t>
  </si>
  <si>
    <t xml:space="preserve">5.4 Taxanomic resolution </t>
  </si>
  <si>
    <t>The lowest level of taxonomic hierachy that includes all species mapped as a single taxonomic unit</t>
  </si>
  <si>
    <t>5.5 Taxonomic scope</t>
  </si>
  <si>
    <t>The lowest level of taxonomic hierachy that includes all species studied</t>
  </si>
  <si>
    <t>5.7 animal group &amp; 5.8 plant group</t>
  </si>
  <si>
    <t xml:space="preserve">List the taxa included at minimum class level. If taxa included are from a single definable group, for which the reporting of class here would assume the inclusion of multiple other non-studied species, enter that group name here e.g. Seagrass. </t>
  </si>
  <si>
    <t>study_design</t>
  </si>
  <si>
    <t>realm</t>
  </si>
  <si>
    <t>threats_l1</t>
  </si>
  <si>
    <t>threats_l0</t>
  </si>
  <si>
    <t>Study_design_orig</t>
  </si>
  <si>
    <t>Threat_orig</t>
  </si>
  <si>
    <t>unspec_other</t>
  </si>
  <si>
    <t>["Freshwater"]</t>
  </si>
  <si>
    <t>["Housing &amp; urban area"]</t>
  </si>
  <si>
    <t>["Residential &amp; commercial development"]</t>
  </si>
  <si>
    <t>["Marine", "Terrestrial"]</t>
  </si>
  <si>
    <t>["Terrestrial"]</t>
  </si>
  <si>
    <t>["Housing &amp; urban area", "Commercial &amp; industrial areas"]</t>
  </si>
  <si>
    <t>["Residential &amp; Commercial Development"]</t>
  </si>
  <si>
    <t>["Housing &amp; urban area", "Commercial &amp; industrial areas", "Tourism &amp; recreation areas", "Annual &amp; perennial non-timber crops", "Wood &amp; pulp plantations", "Livestock farming &amp; ranching", "Roads &amp; railroads"]</t>
  </si>
  <si>
    <t>["Residential &amp; Commercial Development", "Agriculture &amp; Aquaculture", "Transportation &amp; Service Corridors"]</t>
  </si>
  <si>
    <t>["Housing &amp; urban area", "Commercial &amp; industrial areas", "Tourism &amp; recreation areas", "Annual &amp; perennial non-timber crops", "Livestock farming &amp; ranching", "Roads &amp; railroads", "Excess energy"]</t>
  </si>
  <si>
    <t>["Residential &amp; Commercial Development", "Agriculture &amp; Aquaculture", "Transportation &amp; Service Corridors", "Pollution"]</t>
  </si>
  <si>
    <t>["Housing &amp; urban area", "Commercial &amp; industrial areas", "Tourism &amp; recreation areas", "Annual &amp; perennial non-timber crops", "Livestock farming &amp; ranching", "Roads &amp; railroads", "Excess energy", "Excess energy"]</t>
  </si>
  <si>
    <t>["Marine"]</t>
  </si>
  <si>
    <t>["Housing &amp; urban area", "Commercial &amp; industrial areas", "Tourism &amp; recreation areas", "Marine &amp; freshwater aquaculture", "Oil &amp; gas drilling", "Shipping lanes", "Fishing &amp; harvesting aquatic resources", "Agricultural &amp; forestry effluents", "Mining &amp; quarrying", "Recreational activities"]</t>
  </si>
  <si>
    <t>["Residential &amp; Commercial Development", "Agriculture &amp; Aquaculture", "Energy Production &amp; Mining", "Transportation &amp; Service Corridors", "Biological Resource Use", "Pollution", "Human Intrusions &amp; Disturbance"]</t>
  </si>
  <si>
    <t>["Housing &amp; urban area", "Commercial &amp; industrial areas", "Habitat shifting &amp; alteration", "Temperature extremes", "Oil &amp; gas drilling", "Shipping lanes", "Fishing &amp; harvesting aquatic resources", "Invasive non-native/alien species/diseases", "Industrial &amp; military effluents", "Agricultural &amp; forestry effluents", "Excess energy"]</t>
  </si>
  <si>
    <t>["Residential &amp; Commercial Development", "Climate Change &amp; Severe Weather", "Energy Production &amp; Mining", "Transportation &amp; Service Corridors", "Biological Resource Use", "Invasive &amp; Other Problematic Species, Genes &amp; Diseases", "Pollution"]</t>
  </si>
  <si>
    <t>["Housing &amp; urban area", "Commercial &amp; industrial areas", "Annual &amp; perennial non-timber crops", "Wood &amp; pulp plantations"]</t>
  </si>
  <si>
    <t>["Residential &amp; Commercial Development", "Agriculture &amp; Aquaculture"]</t>
  </si>
  <si>
    <t>["Housing &amp; urban area", "Commercial &amp; industrial areas", "Annual &amp; perennial non-timber crops", "Livestock farming &amp; ranching"]</t>
  </si>
  <si>
    <t>["Housing &amp; urban area", "Commercial &amp; industrial areas", "Annual &amp; perennial non-timber crops", "Livestock farming &amp; ranching", "Oil &amp; gas drilling", "Mining &amp; quarrying", "Roads &amp; railroads", "Utility &amp; service lines", "Dams &amp; water management/use"]</t>
  </si>
  <si>
    <t>["Residential &amp; Commercial Development", "Agriculture &amp; Aquaculture", "Energy Production &amp; Mining", "Transportation &amp; Service Corridors", "Natural System Modifications"]</t>
  </si>
  <si>
    <t>["Housing &amp; urban area", "Commercial &amp; industrial areas", "Annual &amp; perennial non-timber crops", "Livestock farming &amp; ranching", "Roads &amp; railroads", "Utility &amp; service lines", "Hunting &amp; collecting terrestrial animals", "Gathering terrestrial plants", "Recreational activities", "Work &amp; other activities", "Invasive non-native/alien species/diseases", "Domestic &amp; urban waste water", "Agricultural &amp; forestry effluents", "Garbage &amp; solid waste", "Excess energy"]</t>
  </si>
  <si>
    <t>["Residential &amp; Commercial Development", "Agriculture &amp; Aquaculture", "Transportation &amp; Service Corridors", "Biological Resource Use", "Human Intrusions &amp; Disturbance", "Invasive &amp; Other Problematic Species, Genes &amp; Diseases", "Pollution"]</t>
  </si>
  <si>
    <t>["Housing &amp; urban area", "Commercial &amp; industrial areas", "Annual &amp; perennial non-timber crops", "Livestock farming &amp; ranching", "Dams &amp; water management/use"]</t>
  </si>
  <si>
    <t>["Residential &amp; Commercial Development", "Agriculture &amp; Aquaculture", "Natural System Modifications"]</t>
  </si>
  <si>
    <t>["Housing &amp; urban area", "Commercial &amp; industrial areas", "Annual &amp; perennial non-timber crops", "Marine &amp; freshwater aquaculture", "Oil &amp; gas drilling", "Mining &amp; quarrying"]</t>
  </si>
  <si>
    <t>["Residential &amp; Commercial Development", "Agriculture &amp; Aquaculture", "Energy Production &amp; Mining"]</t>
  </si>
  <si>
    <t>["Freshwater", "Marine", "Terrestrial"]</t>
  </si>
  <si>
    <t>["Housing &amp; urban area", "Commercial &amp; industrial areas", "Wood &amp; pulp plantations", "Roads &amp; railroads"]</t>
  </si>
  <si>
    <t>["Housing &amp; urban area", "Commercial &amp; industrial areas", "Livestock farming &amp; ranching", "Mining &amp; quarrying", "Roads &amp; railroads", "Excess energy"]</t>
  </si>
  <si>
    <t>["Residential &amp; Commercial Development", "Agriculture &amp; Aquaculture", "Energy Production &amp; Mining", "Transportation &amp; Service Corridors", "Pollution"]</t>
  </si>
  <si>
    <t>["Housing &amp; urban area", "Commercial &amp; industrial areas", "Livestock farming &amp; ranching", "Gathering terrestrial plants"]</t>
  </si>
  <si>
    <t>["Residential &amp; Commercial Development", "Agriculture &amp; Aquaculture", "Biological Resource Use", "Pollution"]</t>
  </si>
  <si>
    <t>["Freshwater", "Terrestrial"]</t>
  </si>
  <si>
    <t>["Housing &amp; urban area", "Commercial &amp; industrial areas", "Oil &amp; gas drilling", "Mining &amp; quarrying", "Roads &amp; railroads", "Utility &amp; service lines", "Dams &amp; water management/use"]</t>
  </si>
  <si>
    <t>["Housing &amp; urban area", "Commercial &amp; industrial areas", "Renewable energy", "Roads &amp; railroads", "Utility &amp; service lines", "Hunting &amp; collecting terrestrial animals", "Fishing &amp; harvesting aquatic resources", "Fire &amp; fire suppression", "Dams &amp; water management/use", "Garbage &amp; solid waste"]</t>
  </si>
  <si>
    <t>["Residential &amp; Commercial Development", "Agriculture &amp; Aquaculture", "Energy Production &amp; Mining", "Transportation &amp; Service Corridors", "Biological Resource Use", "Natural System Modifications", "Pollution"]</t>
  </si>
  <si>
    <t>["Housing &amp; urban area", "Commercial &amp; industrial areas", "Roads &amp; railroads", "Mining &amp; quarrying", "Utility &amp; service lines"]</t>
  </si>
  <si>
    <t>["Residential &amp; Commercial Development", "Agriculture &amp; Aquaculture", "Transportation &amp; Service Corridors", "Energy Production &amp; Mining"]</t>
  </si>
  <si>
    <t>["Housing &amp; urban area", "Commercial &amp; industrial areas", "Oil &amp; gas drilling", "Tourism &amp; recreation areas", "Shipping lanes"]</t>
  </si>
  <si>
    <t>["Residential &amp; Commercial Development", "Energy Production &amp; Mining", "Transportation &amp; Service Corridors", "Agriculture &amp; Aquaculture"]</t>
  </si>
  <si>
    <t>["Housing &amp; urban area", "Commercial &amp; industrial areas", "Oil &amp; gas drilling", "Shipping lanes", "Fishing &amp; harvesting aquatic resources", "Invasive non-native/alien species/diseases", "Agricultural &amp; forestry effluents", "Industrial &amp; military effluents", "Air-borne pollutants", "Habitat shifting &amp; alteration", "Domestic &amp; urban waste water", "Excess energy"]</t>
  </si>
  <si>
    <t>["Residential &amp; Commercial Development", "Energy Production &amp; Mining", "Transportation &amp; Service Corridors", "Biological Resource Use", "Invasive &amp; Other Problematic Species, Genes &amp; Diseases", "Pollution", "Climate Change &amp; Severe Weather"]</t>
  </si>
  <si>
    <t>["Housing &amp; urban area", "Commercial &amp; industrial areas", "Roads &amp; railroads", "Recreational activities"]</t>
  </si>
  <si>
    <t>["Residential &amp; Commercial Development", "Transportation &amp; Service Corridors", "Human Intrusions &amp; Disturbance"]</t>
  </si>
  <si>
    <t>["Housing &amp; urban area", "Tourism &amp; recreation areas", "Annual &amp; perennial non-timber crops", "Marine &amp; freshwater aquaculture", "Habitat shifting &amp; alteration"]</t>
  </si>
  <si>
    <t>["Residential &amp; Commercial Development", "Agriculture &amp; Aquaculture", "Climate Change &amp; Severe Weather"]</t>
  </si>
  <si>
    <t>["Housing &amp; urban area", "Tourism &amp; recreation areas", "Wood &amp; pulp plantations", "Livestock farming &amp; ranching", "Roads &amp; railroads", "Hunting &amp; collecting terrestrial animals", "Gathering terrestrial plants", "Logging &amp; wood harvesting", "Fishing &amp; harvesting aquatic resources", "Recreational activities"]</t>
  </si>
  <si>
    <t>["Residential &amp; Commercial Development", "Agriculture &amp; Aquaculture", "Transportation &amp; Service Corridors", "Biological Resource Use", "Human Intrusions &amp; Disturbance"]</t>
  </si>
  <si>
    <t>["Housing &amp; urban area", "Tourism &amp; recreation areas", "Roads &amp; railroads", "Annual &amp; perennial non-timber crops"]</t>
  </si>
  <si>
    <t>["Residential &amp; Commercial Development", "Transportation &amp; Service Corridors", "Agriculture &amp; Aquaculture"]</t>
  </si>
  <si>
    <t>Review</t>
  </si>
  <si>
    <t>["Housing &amp; urban area", "Tourism &amp; recreation areas", "Recreational activities", "Oil &amp; gas drilling", "Mining &amp; quarrying", "Other ecosystem modifications", "Invasive non-native/alien species/diseases", "Hunting &amp; collecting terrestrial animals", "Gathering terrestrial plants", "Industrial &amp; military effluents"]</t>
  </si>
  <si>
    <t>["Residential &amp; Commercial Development", "Human Intrusions &amp; Disturbance", "Energy Production &amp; Mining", "Natural System Modifications", "Invasive &amp; Other Problematic Species, Genes &amp; Diseases", "Biological Resource Use", "Pollution"]</t>
  </si>
  <si>
    <t>["Housing &amp; urban area", "Tourism &amp; recreation areas", "Recreational activities", "Work &amp; other activities"]</t>
  </si>
  <si>
    <t>["Residential &amp; Commercial Development", "Human Intrusions &amp; Disturbance"]</t>
  </si>
  <si>
    <t>["Housing &amp; urban area", "Livestock farming &amp; ranching", "Annual &amp; perennial non-timber crops", "Roads &amp; railroads"]</t>
  </si>
  <si>
    <t>["Housing &amp; urban area", "Marine &amp; freshwater aquaculture", "Fishing &amp; harvesting aquatic resources", "Recreational activities", "Domestic &amp; urban waste water", "Industrial &amp; military effluents"]</t>
  </si>
  <si>
    <t>["Residential &amp; Commercial Development", "Agriculture &amp; Aquaculture", "Biological Resource Use", "Human Intrusions &amp; Disturbance", "Pollution"]</t>
  </si>
  <si>
    <t>["Housing &amp; urban area", "Marine &amp; freshwater aquaculture", "Fishing &amp; harvesting aquatic resources", "Industrial &amp; military effluents", "Recreational activities", "Domestic &amp; urban waste water"]</t>
  </si>
  <si>
    <t>["Residential &amp; Commercial Development", "Agriculture &amp; Aquaculture", "Biological Resource Use", "Pollution", "Human Intrusions &amp; Disturbance"]</t>
  </si>
  <si>
    <t>["Housing &amp; urban area", "Roads &amp; railroads", "Excess energy"]</t>
  </si>
  <si>
    <t>["Housing &amp; urban area", "Roads &amp; railroads"]</t>
  </si>
  <si>
    <t>["Transportation &amp; Service Corridors", "Residential &amp; commercial development"]</t>
  </si>
  <si>
    <t>["Housing &amp; urban area", "Mining &amp; quarrying", "Dams &amp; water management/use", "Annual &amp; perennial non-timber crops"]</t>
  </si>
  <si>
    <t>["Residential &amp; Commercial Development", "Pollution", "Energy Production &amp; Mining", "Natural System Modifications", "Agriculture &amp; Aquaculture"]</t>
  </si>
  <si>
    <t>["Housing &amp; urban area", "Droughts", "Temperature extremes", "Mining &amp; quarrying", "Roads &amp; railroads", "Utility &amp; service lines", "Recreational activities", "Dams &amp; water management/use", "Invasive non-native/alien species/diseases", "Domestic &amp; urban waste water", "Industrial &amp; military effluents", "Agricultural &amp; forestry effluents", "Garbage &amp; solid waste", "Excess energy"]</t>
  </si>
  <si>
    <t>["Climate Change &amp; Severe Weather", "Energy Production &amp; Mining", "Transportation &amp; Service Corridors", "Human Intrusions &amp; Disturbance", "Natural System Modifications", "Invasive &amp; Other Problematic Species, Genes &amp; Diseases", "Pollution"]</t>
  </si>
  <si>
    <t>["Housing &amp; urban area", "Other impacts", "Invasive non-native/alien species/diseases"]</t>
  </si>
  <si>
    <t>["Climate Change &amp; Severe Weather", "Agriculture &amp; Aquaculture", "Energy Production &amp; Mining", "Transportation &amp; Service Corridors", "Biological Resource Use", "Invasive &amp; Other Problematic Species, Genes &amp; Diseases", "Pollution"]</t>
  </si>
  <si>
    <t>["Housing &amp; urban area", "Annual &amp; perennial non-timber crops"]</t>
  </si>
  <si>
    <t>["Agriculture &amp; Aquaculture"]</t>
  </si>
  <si>
    <t>["Housing &amp; urban area", "Annual &amp; perennial non-timber crops", "Wood &amp; pulp plantations"]</t>
  </si>
  <si>
    <t>["Housing &amp; urban area", "Annual &amp; perennial non-timber crops", "Wood &amp; pulp plantations", "Livestock farming &amp; ranching"]</t>
  </si>
  <si>
    <t>["Housing &amp; urban area", "Annual &amp; perennial non-timber crops", "Wood &amp; pulp plantations", "Livestock farming &amp; ranching", "Mining &amp; quarrying", "Roads &amp; railroads"]</t>
  </si>
  <si>
    <t>["Agriculture &amp; Aquaculture", "Energy Production &amp; Mining", "Transportation &amp; Service Corridors"]</t>
  </si>
  <si>
    <t>["Housing &amp; urban area", "Annual &amp; perennial non-timber crops", "Wood &amp; pulp plantations", "Livestock farming &amp; ranching", "Roads &amp; railroads"]</t>
  </si>
  <si>
    <t>["Agriculture &amp; Aquaculture", "Transportation &amp; Service Corridors"]</t>
  </si>
  <si>
    <t>["Housing &amp; urban area", "Annual &amp; perennial non-timber crops", "Wood &amp; pulp plantations", "Livestock farming &amp; ranching", "Hunting &amp; collecting terrestrial animals"]</t>
  </si>
  <si>
    <t>["Agriculture &amp; Aquaculture", "Biological Resource Use"]</t>
  </si>
  <si>
    <t>["Housing &amp; urban area", "Annual &amp; perennial non-timber crops", "Wood &amp; pulp plantations", "Invasive non-native/alien species/diseases"]</t>
  </si>
  <si>
    <t>["Agriculture &amp; Aquaculture", "Invasive &amp; Other Problematic Species, Genes &amp; Diseases"]</t>
  </si>
  <si>
    <t>["Housing &amp; urban area", "Annual &amp; perennial non-timber crops", "Livestock farming &amp; ranching"]</t>
  </si>
  <si>
    <t>["Housing &amp; urban area", "Annual &amp; perennial non-timber crops", "Livestock farming &amp; ranching", "Wood &amp; pulp plantations"]</t>
  </si>
  <si>
    <t>["Housing &amp; urban area", "Annual &amp; perennial non-timber crops", "Livestock farming &amp; ranching", "Roads &amp; railroads", "Hunting &amp; collecting terrestrial animals"]</t>
  </si>
  <si>
    <t>["Agriculture &amp; Aquaculture", "Transportation &amp; Service Corridors", "Biological Resource Use"]</t>
  </si>
  <si>
    <t>["Housing &amp; urban area", "Annual &amp; perennial non-timber crops", "Livestock farming &amp; ranching", "Hunting &amp; collecting terrestrial animals", "Gathering terrestrial plants", "Logging &amp; wood harvesting", "Fire &amp; fire suppression", "Invasive non-native/alien species/diseases"]</t>
  </si>
  <si>
    <t>["Agriculture &amp; Aquaculture", "Biological Resource Use", "Natural System Modifications", "Invasive &amp; Other Problematic Species, Genes &amp; Diseases"]</t>
  </si>
  <si>
    <t>["Housing &amp; urban area", "Annual &amp; perennial non-timber crops", "Livestock farming &amp; ranching", "Logging &amp; wood harvesting"]</t>
  </si>
  <si>
    <t>["Housing &amp; urban area", "Annual &amp; perennial non-timber crops", "Livestock farming &amp; ranching", "Logging &amp; wood harvesting", "Roads &amp; railroads", "Fire &amp; fire suppression"]</t>
  </si>
  <si>
    <t>["Agriculture &amp; Aquaculture", "Biological Resource Use", "Transportation &amp; Service Corridors", "Natural System Modifications"]</t>
  </si>
  <si>
    <t>["Housing &amp; urban area", "Annual &amp; perennial non-timber crops", "Livestock farming &amp; ranching", "Recreational activities", "Roads &amp; railroads", "Invasive non-native/alien species/diseases"]</t>
  </si>
  <si>
    <t>["Agriculture &amp; Aquaculture", "Human Intrusions &amp; Disturbance", "Transportation &amp; Service Corridors", "Invasive &amp; Other Problematic Species, Genes &amp; Diseases"]</t>
  </si>
  <si>
    <t>["Housing &amp; urban area", "Annual &amp; perennial non-timber crops", "Marine &amp; freshwater aquaculture"]</t>
  </si>
  <si>
    <t>["Housing &amp; urban area", "Annual &amp; perennial non-timber crops", "Oil &amp; gas drilling", "Renewable energy", "Utility &amp; service lines"]</t>
  </si>
  <si>
    <t>["Housing &amp; urban area", "Annual &amp; perennial non-timber crops", "Roads &amp; railroads"]</t>
  </si>
  <si>
    <t>["Housing &amp; urban area", "Annual &amp; perennial non-timber crops", "Roads &amp; railroads", "Livestock farming &amp; ranching"]</t>
  </si>
  <si>
    <t>["Housing &amp; urban area", "Wood &amp; pulp plantations", "Roads &amp; railroads"]</t>
  </si>
  <si>
    <t>["Housing &amp; urban area", "Wood &amp; pulp plantations", "Mining &amp; quarrying", "Logging &amp; wood harvesting"]</t>
  </si>
  <si>
    <t>["Agriculture &amp; Aquaculture", "Energy Production &amp; Mining", "Biological Resource Use"]</t>
  </si>
  <si>
    <t>["Housing &amp; urban area", "Wood &amp; pulp plantations", "Hunting &amp; collecting terrestrial animals", "Logging &amp; wood harvesting"]</t>
  </si>
  <si>
    <t>["Housing &amp; urban area", "Livestock farming &amp; ranching"]</t>
  </si>
  <si>
    <t>["Housing &amp; urban area", "Livestock farming &amp; ranching", "Roads &amp; railroads"]</t>
  </si>
  <si>
    <t>["Housing &amp; urban area", "Livestock farming &amp; ranching", "Hunting &amp; collecting terrestrial animals", "Logging &amp; wood harvesting"]</t>
  </si>
  <si>
    <t>["Housing &amp; urban area", "Livestock farming &amp; ranching", "Hunting &amp; collecting terrestrial animals", "Work &amp; other activities"]</t>
  </si>
  <si>
    <t>["Agriculture &amp; Aquaculture", "Biological Resource Use", "Human Intrusions &amp; Disturbance"]</t>
  </si>
  <si>
    <t>["Housing &amp; urban area", "Marine &amp; freshwater aquaculture"]</t>
  </si>
  <si>
    <t>["Housing &amp; urban area", "Marine &amp; freshwater aquaculture", "Fishing &amp; harvesting aquatic resources", "Recreational activities"]</t>
  </si>
  <si>
    <t>["Agriculture &amp; aquaculture", "Residential &amp; commercial development"]</t>
  </si>
  <si>
    <t>["Housing &amp; urban area", "Mining &amp; quarrying"]</t>
  </si>
  <si>
    <t>["Agriculture &amp; Aquaculture", "Energy Production &amp; Mining"]</t>
  </si>
  <si>
    <t>["Housing &amp; urban area", "Mining &amp; quarrying", "Roads &amp; railroads"]</t>
  </si>
  <si>
    <t>["Transportation &amp; Service Corridors", "Agriculture &amp; aquaculture"]</t>
  </si>
  <si>
    <t>["Housing &amp; urban area",  "Roads &amp; railroads"]</t>
  </si>
  <si>
    <t>["Housing &amp; urban area", "Roads &amp; railroads", "Fire &amp; fire suppression"]</t>
  </si>
  <si>
    <t>["Agriculture &amp; Aquaculture", "Transportation &amp; Service Corridors", "Natural System Modifications"]</t>
  </si>
  <si>
    <t>["Housing &amp; urban area", "Logging &amp; wood harvesting"]</t>
  </si>
  <si>
    <t>["Housing &amp; urban area",  "Invasive non-native/alien species/diseases"]</t>
  </si>
  <si>
    <t>["Invasive &amp; Other Problematic Species, Genes &amp; Diseases", "Agriculture &amp; aquaculture"]</t>
  </si>
  <si>
    <t>["Housing &amp; urban area", "Oil &amp; gas drilling", "Fishing &amp; harvesting aquatic resources"]</t>
  </si>
  <si>
    <t>["Energy Production &amp; Mining", "Biological Resource Use"]</t>
  </si>
  <si>
    <t>["Housing &amp; urban area", "Oil &amp; gas drilling"]</t>
  </si>
  <si>
    <t>["Energy Production &amp; Mining", "Pollution"]</t>
  </si>
  <si>
    <t>["Housing &amp; urban area", "Mining &amp; quarrying", "Dams &amp; water management/use", "Renewable energy", "Oil &amp; gas drilling", "Marine &amp; freshwater aquaculture", "Roads &amp; railroads"]</t>
  </si>
  <si>
    <t>["Energy Production &amp; Mining", "Agriculture &amp; Aquaculture", "Natural System Modifications", "Transportation &amp; Service Corridors"]</t>
  </si>
  <si>
    <t>["Housing &amp; urban area", "Commercial &amp; industrial areas", "Roads &amp; railroads"]</t>
  </si>
  <si>
    <t>["Energy Production &amp; Mining", "Residential &amp; Commercial Development", "Transportation &amp; Service Corridors"]</t>
  </si>
  <si>
    <t>["Residential &amp; commercial development", "Transportation &amp; service corridors"]</t>
  </si>
  <si>
    <t>["Housing &amp; urban area", "Roads &amp; railroads", "Tourism &amp; recreation areas"]</t>
  </si>
  <si>
    <t>["Transportation &amp; Service Corridors", "Residential &amp; Commercial Development"]</t>
  </si>
  <si>
    <t>["Housing &amp; urban area", "Roads &amp; railroads", "Annual &amp; perennial non-timber crops", "Livestock farming &amp; ranching", "Commercial &amp; industrial areas"]</t>
  </si>
  <si>
    <t>["Transportation &amp; Service Corridors", "Agriculture &amp; Aquaculture", "Residential &amp; Commercial Development"]</t>
  </si>
  <si>
    <t>["Housing &amp; urban area", "Roads &amp; railroads", "Wood &amp; pulp plantations"]</t>
  </si>
  <si>
    <t>["Residential &amp; commercial development", "Transportation &amp; service corridors", "Agriculture &amp; aquaculture"]</t>
  </si>
  <si>
    <t>["Housing &amp; urban area", "Roads &amp; railroads", "Livestock farming &amp; ranching", "Mining &amp; quarrying", "Utility &amp; service lines", "Wood &amp; pulp plantations"]</t>
  </si>
  <si>
    <t>["Transportation &amp; Service Corridors", "Agriculture &amp; Aquaculture", "Energy Production &amp; Mining"]</t>
  </si>
  <si>
    <t>["Housing &amp; urban area", "Roads &amp; railroads", "Annual &amp; perennial non-timber crops", "Recreational activities"]</t>
  </si>
  <si>
    <t>["Transportation &amp; Service Corridors", "Agriculture &amp; Aquaculture", "Human Intrusions &amp; Disturbance"]</t>
  </si>
  <si>
    <t>["Housing &amp; urban area", "Roads &amp; railroads", "Mining &amp; quarrying"]</t>
  </si>
  <si>
    <t>["Transportation &amp; Service Corridors", "Energy Production &amp; Mining"]</t>
  </si>
  <si>
    <t>["Housing &amp; urban area", "Fishing &amp; harvesting aquatic resources", "Marine &amp; freshwater aquaculture", "Habitat shifting &amp; alteration"]</t>
  </si>
  <si>
    <t>["Biological Resource Use", "Agriculture &amp; Aquaculture", "Pollution", "Climate Change &amp; Severe Weather"]</t>
  </si>
  <si>
    <t>["Housing &amp; urban area", "Fishing &amp; harvesting aquatic resources", "Recreational activities"]</t>
  </si>
  <si>
    <t>["Biological Resource Use", "Human Intrusions &amp; Disturbance", "Pollution"]</t>
  </si>
  <si>
    <t>["Housing &amp; urban area", "Work &amp; other activities", "Wood &amp; pulp plantations", "Annual &amp; perennial non-timber crops"]</t>
  </si>
  <si>
    <t>["Human Intrusions &amp; Disturbance", "Agriculture &amp; Aquaculture"]</t>
  </si>
  <si>
    <t>["Housing &amp; urban area", "Domestic &amp; urban waste water"]</t>
  </si>
  <si>
    <t>["Pollution"]</t>
  </si>
  <si>
    <t>["Housing &amp; urban area", "Agricultural &amp; forestry effluents", "Recreational activities", "Annual &amp; perennial non-timber crops", "Hunting &amp; collecting terrestrial animals", "Gathering terrestrial plants", "Garbage &amp; solid waste", "Livestock farming &amp; ranching", "Domestic &amp; urban waste water", "Logging &amp; wood harvesting", "Roads &amp; railroads", "Utility &amp; service lines", "Commercial &amp; industrial areas", "Tourism &amp; recreation areas", "Wood &amp; pulp plantations", "Mining &amp; quarrying", "Renewable energy", "Dams &amp; water management/use"]</t>
  </si>
  <si>
    <t>["Pollution", "Human Intrusions &amp; Disturbance", "Agriculture &amp; Aquaculture", "Biological Resource Use", "Transportation &amp; Service Corridors", "Residential &amp; Commercial Development", "Energy Production &amp; Mining", "Natural System Modifications"]</t>
  </si>
  <si>
    <t>["Housing &amp; urban area", "Excess energy"]</t>
  </si>
  <si>
    <t>["Residential &amp; commercial development", "Pollution"]</t>
  </si>
  <si>
    <t>["Commercial &amp; industrial areas"]</t>
  </si>
  <si>
    <t>["Commercial &amp; industrial areas", "Tourism &amp; recreation areas", "Utility &amp; service lines"]</t>
  </si>
  <si>
    <t>["Residential &amp; Commercial Development", "Transportation &amp; Service Corridors"]</t>
  </si>
  <si>
    <t>["Commercial &amp; industrial areas", "Tourism &amp; recreation areas", "Recreational activities", "Fishing &amp; harvesting aquatic resources", "Excess energy", "Industrial &amp; military effluents", "Marine &amp; freshwater aquaculture", "Oil &amp; gas drilling", "Shipping lanes", "Air-borne pollutants", "Storms &amp; flooding", "Habitat shifting &amp; alteration", "Temperature extremes"]</t>
  </si>
  <si>
    <t>["Residential &amp; Commercial Development", "Human Intrusions &amp; Disturbance", "Biological Resource Use", "Pollution", "Agriculture &amp; Aquaculture", "Energy Production &amp; Mining", "Transportation &amp; Service Corridors", "Climate Change &amp; Severe Weather"]</t>
  </si>
  <si>
    <t>["Commercial &amp; industrial areas", "Habitat shifting &amp; alteration", "Temperature extremes", "Other impacts", "Oil &amp; gas drilling", "Shipping lanes", "Fishing &amp; harvesting aquatic resources", "Invasive non-native/alien species/diseases", "Domestic &amp; urban waste water", "Agricultural &amp; forestry effluents"]</t>
  </si>
  <si>
    <t>["Commercial &amp; industrial areas", "Annual &amp; perennial non-timber crops", "Livestock farming &amp; ranching", "Roads &amp; railroads", "Fire &amp; fire suppression", "Dams &amp; water management/use"]</t>
  </si>
  <si>
    <t>["Residential &amp; Commercial Development", "Agriculture &amp; Aquaculture", "Transportation &amp; Service Corridors", "Natural System Modifications"]</t>
  </si>
  <si>
    <t>["Commercial &amp; industrial areas", "Oil &amp; gas drilling"]</t>
  </si>
  <si>
    <t>["Residential &amp; Commercial Development", "Energy Production &amp; Mining"]</t>
  </si>
  <si>
    <t>["Commercial &amp; industrial areas", "Oil &amp; gas drilling", "Marine &amp; freshwater aquaculture", "Utility &amp; service lines", "Shipping lanes", "Industrial &amp; military effluents", "Excess energy", "Domestic &amp; urban waste water"]</t>
  </si>
  <si>
    <t>["Residential &amp; Commercial Development", "Energy Production &amp; Mining", "Agriculture &amp; Aquaculture", "Transportation &amp; Service Corridors", "Pollution"]</t>
  </si>
  <si>
    <t>["Commercial &amp; industrial areas", "Oil &amp; gas drilling", "Shipping lanes"]</t>
  </si>
  <si>
    <t>["Residential &amp; Commercial Development", "Energy Production &amp; Mining", "Transportation &amp; Service Corridors"]</t>
  </si>
  <si>
    <t>["Commercial &amp; industrial areas", "Oil &amp; gas drilling", "Shipping lanes", "Fishing &amp; harvesting aquatic resources", "Invasive non-native/alien species/diseases", "Domestic &amp; urban waste water", "Habitat shifting &amp; alteration", "Temperature extremes", "Other impacts"]</t>
  </si>
  <si>
    <t>["Commercial &amp; industrial areas", "Oil &amp; gas drilling", "Shipping lanes", "Fishing &amp; harvesting aquatic resources", "Invasive non-native/alien species/diseases", "Domestic &amp; urban waste water", "Agricultural &amp; forestry effluents", "Habitat shifting &amp; alteration", "Temperature extremes", "Other impacts"]</t>
  </si>
  <si>
    <t>["Commercial &amp; industrial areas", "Oil &amp; gas drilling", "Shipping lanes", "Fishing &amp; harvesting aquatic resources", "Invasive non-native/alien species/diseases", "Agricultural &amp; forestry effluents", "Habitat shifting &amp; alteration", "Temperature extremes", "Other impacts"]</t>
  </si>
  <si>
    <t>["Commercial &amp; industrial areas", "Oil &amp; gas drilling", "Shipping lanes", "Fishing &amp; harvesting aquatic resources", "Invasive non-native/alien species/diseases", "Agricultural &amp; forestry effluents", "Habitat shifting &amp; alteration", "Temperature extremes", "Other impacts", "Utility &amp; service lines", "Tourism &amp; recreation areas", "Recreational activities", "Industrial &amp; military effluents", "Garbage &amp; solid waste"]</t>
  </si>
  <si>
    <t>["Residential &amp; Commercial Development", "Energy Production &amp; Mining", "Transportation &amp; Service Corridors", "Biological Resource Use", "Invasive &amp; Other Problematic Species, Genes &amp; Diseases", "Pollution", "Climate Change &amp; Severe Weather", "Human Intrusions &amp; Disturbance"]</t>
  </si>
  <si>
    <t>["Commercial &amp; industrial areas", "Mining &amp; quarrying", "Annual &amp; perennial non-timber crops"]</t>
  </si>
  <si>
    <t>["Residential &amp; Commercial Development", "Energy Production &amp; Mining", "Agriculture &amp; Aquaculture"]</t>
  </si>
  <si>
    <t>["Commercial &amp; industrial areas", "Roads &amp; railroads", "Domestic &amp; urban waste water"]</t>
  </si>
  <si>
    <t>["Residential &amp; Commercial Development", "Transportation &amp; Service Corridors", "Pollution"]</t>
  </si>
  <si>
    <t>["Commercial &amp; industrial areas", "Utility &amp; service lines"]</t>
  </si>
  <si>
    <t>["Commercial &amp; industrial areas", "Industrial &amp; military effluents"]</t>
  </si>
  <si>
    <t>["Residential &amp; Commercial Development", "Pollution"]</t>
  </si>
  <si>
    <t>["Tourism &amp; recreation areas"]</t>
  </si>
  <si>
    <t>["Tourism &amp; recreation areas", "Housing &amp; urban area", "Recreational activities"]</t>
  </si>
  <si>
    <t>["Tourism &amp; recreation areas", "Commercial &amp; industrial areas", "Marine &amp; freshwater aquaculture", "Fishing &amp; harvesting aquatic resources"]</t>
  </si>
  <si>
    <t>["Residential &amp; Commercial Development", "Agriculture &amp; Aquaculture", "Biological Resource Use"]</t>
  </si>
  <si>
    <t>["Tourism &amp; recreation areas", "Roads &amp; railroads"]</t>
  </si>
  <si>
    <t>["Tourism &amp; recreation areas", "Recreational activities"]</t>
  </si>
  <si>
    <t>["Tourism &amp; recreation areas", "Dams &amp; water management/use"]</t>
  </si>
  <si>
    <t>["Residential &amp; Commercial Development", "Pollution", "Natural System Modifications"]</t>
  </si>
  <si>
    <t>["Habitat shifting &amp; alteration"]</t>
  </si>
  <si>
    <t>["Residential &amp; Commercial Development", "Climate Change &amp; Severe Weather", "Transportation &amp; Service Corridors"]</t>
  </si>
  <si>
    <t>["Other impacts", "Hunting &amp; collecting terrestrial animals", "Gathering terrestrial plants", "Logging &amp; wood harvesting", "Fishing &amp; harvesting aquatic resources", "Work &amp; other activities", "Other ecosystem modifications", "Invasive non-native/alien species/diseases"]</t>
  </si>
  <si>
    <t>["Residential &amp; Commercial Development", "Climate Change &amp; Severe Weather", "Agriculture &amp; Aquaculture", "Energy Production &amp; Mining", "Transportation &amp; Service Corridors", "Biological Resource Use", "Human Intrusions &amp; Disturbance", "Natural System Modifications", "Invasive &amp; Other Problematic Species, Genes &amp; Diseases", "Pollution"]</t>
  </si>
  <si>
    <t>["Annual &amp; perennial non-timber crops"]</t>
  </si>
  <si>
    <t>["Annual &amp; perennial non-timber crops", "Wood &amp; pulp plantations"]</t>
  </si>
  <si>
    <t>["Annual &amp; perennial non-timber crops", "Livestock farming &amp; ranching", "Oil &amp; gas drilling", "Fire &amp; fire suppression"]</t>
  </si>
  <si>
    <t>["Residential &amp; Commercial Development", "Agriculture &amp; Aquaculture", "Energy Production &amp; Mining", "Natural System Modifications"]</t>
  </si>
  <si>
    <t>["Annual &amp; perennial non-timber crops", "Livestock farming &amp; ranching", "Roads &amp; railroads", "Excess energy"]</t>
  </si>
  <si>
    <t>["Annual &amp; perennial non-timber crops", "Roads &amp; railroads", "Housing &amp; urban area", "Commercial &amp; industrial areas"]</t>
  </si>
  <si>
    <t>["Wood &amp; pulp plantations", "Diseases of unknown cause"]</t>
  </si>
  <si>
    <t>["Residential &amp; Commercial Development", "Agriculture &amp; Aquaculture", "Invasive &amp; Other Problematic Species, Genes &amp; Diseases"]</t>
  </si>
  <si>
    <t>["Livestock farming &amp; ranching", "Annual &amp; perennial non-timber crops", "Roads &amp; railroads"]</t>
  </si>
  <si>
    <t>["Residential &amp; commercial development", "Agriculture &amp; aquaculture"]</t>
  </si>
  <si>
    <t>["Wood &amp; pulp plantations"]</t>
  </si>
  <si>
    <t>["Mining &amp; quarrying"]</t>
  </si>
  <si>
    <t>["Residential &amp; commercial development",  "Agriculture &amp; aquaculture",  "Energy production &amp; mining", "Transportation &amp; service corridors"]</t>
  </si>
  <si>
    <t>["Roads &amp; railroads"]</t>
  </si>
  <si>
    <t>["Roads &amp; railroads", "Work &amp; other activities"]</t>
  </si>
  <si>
    <t>["Residential &amp; Commercial Development", "Agriculture &amp; Aquaculture", "Transportation &amp; Service Corridors", "Energy Production &amp; Mining", "Human Intrusions &amp; Disturbance"]</t>
  </si>
  <si>
    <t>["Fishing &amp; harvesting aquatic resources", "Dams &amp; water management/use", "Invasive non-native/alien species/diseases", "Excess energy"]</t>
  </si>
  <si>
    <t>["Residential &amp; Commercial Development", "Agriculture &amp; Aquaculture", "Biological Resource Use", "Natural System Modifications", "Invasive &amp; Other Problematic Species, Genes &amp; Diseases", "Pollution"]</t>
  </si>
  <si>
    <t>["Roads &amp; railroads", "Annual &amp; perennial non-timber crops", "Livestock farming &amp; ranching", "Housing &amp; urban area"]</t>
  </si>
  <si>
    <t>["Roads &amp; railroads", "Hunting &amp; collecting terrestrial animals"]</t>
  </si>
  <si>
    <t>["Residential &amp; Commercial Development", "Transportation &amp; Service Corridors", "Biological Resource Use"]</t>
  </si>
  <si>
    <t>["Industrial &amp; military effluents"]</t>
  </si>
  <si>
    <t>["Climate change &amp; severe weather"]</t>
  </si>
  <si>
    <t>["Habitat shifting &amp; alteration", "Droughts", "Temperature extremes", "Storms &amp; flooding", "Other impacts"]</t>
  </si>
  <si>
    <t>["Climate Change &amp; Severe Weather"]</t>
  </si>
  <si>
    <t>["Habitat shifting &amp; alteration", "Temperature extremes"]</t>
  </si>
  <si>
    <t>["Habitat shifting &amp; alteration", "Temperature extremes", "Shipping lanes", "Fishing &amp; harvesting aquatic resources", "Invasive non-native/alien species/diseases", "Domestic &amp; urban waste water", "Industrial &amp; military effluents", "Agricultural &amp; forestry effluents", "Excess energy"]</t>
  </si>
  <si>
    <t>["Climate Change &amp; Severe Weather", "Transportation &amp; Service Corridors", "Biological Resource Use", "Invasive &amp; Other Problematic Species, Genes &amp; Diseases", "Pollution"]</t>
  </si>
  <si>
    <t>["Habitat shifting &amp; alteration", "Livestock farming &amp; ranching", "Gathering terrestrial plants"]</t>
  </si>
  <si>
    <t>["Climate Change &amp; Severe Weather", "Agriculture &amp; Aquaculture", "Biological Resource Use"]</t>
  </si>
  <si>
    <t>["Climate Change &amp; Severe Weather", "Agriculture &amp; Aquaculture"]</t>
  </si>
  <si>
    <t>["Habitat shifting &amp; alteration", "Housing &amp; urban area"]</t>
  </si>
  <si>
    <t>["Habitat shifting &amp; alteration", "Oil &amp; gas drilling", "Shipping lanes", "Fishing &amp; harvesting aquatic resources", "Invasive non-native/alien species/diseases", "Air-borne pollutants", "Excess energy"]</t>
  </si>
  <si>
    <t>["Climate Change &amp; Severe Weather", "Energy Production &amp; Mining", "Transportation &amp; Service Corridors", "Biological Resource Use", "Invasive &amp; Other Problematic Species, Genes &amp; Diseases", "Pollution"]</t>
  </si>
  <si>
    <t>["Habitat shifting &amp; alteration", "Problematic native species/diseases"]</t>
  </si>
  <si>
    <t>["Climate Change &amp; Severe Weather", "Invasive &amp; Other Problematic Species, Genes &amp; Diseases"]</t>
  </si>
  <si>
    <t>["Habitat shifting &amp; alteration", "Fishing &amp; harvesting aquatic resources"]</t>
  </si>
  <si>
    <t>["Climate Change &amp; Severe Weather", "Pollution", "Biological Resource Use"]</t>
  </si>
  <si>
    <t>["Droughts"]</t>
  </si>
  <si>
    <t>["Temperature extremes"]</t>
  </si>
  <si>
    <t>["Freshwater", "Marine"]</t>
  </si>
  <si>
    <t>["Temperature extremes", "Habitat shifting &amp; alteration"]</t>
  </si>
  <si>
    <t>["Climate Change &amp; Severe Weather", "Pollution"]</t>
  </si>
  <si>
    <t>["Temperature extremes", "Droughts", "Other impacts"]</t>
  </si>
  <si>
    <t>["Temperature extremes", "Storms &amp; flooding", "Problematic native species/diseases"]</t>
  </si>
  <si>
    <t>["Temperature extremes", "Other impacts"]</t>
  </si>
  <si>
    <t>["Temperature extremes", "Invasive non-native/alien species/diseases", "Roads &amp; railroads"]</t>
  </si>
  <si>
    <t>["Climate Change &amp; Severe Weather", "Agriculture &amp; Aquaculture", "Invasive &amp; Other Problematic Species, Genes &amp; Diseases", "Transportation &amp; Service Corridors"]</t>
  </si>
  <si>
    <t>["Temperature extremes", "Oil &amp; gas drilling", "Shipping lanes", "Fishing &amp; harvesting aquatic resources"]</t>
  </si>
  <si>
    <t>["Climate Change &amp; Severe Weather", "Energy Production &amp; Mining", "Transportation &amp; Service Corridors", "Biological Resource Use"]</t>
  </si>
  <si>
    <t>["Temperature extremes", "Fishing &amp; harvesting aquatic resources"]</t>
  </si>
  <si>
    <t>["Climate Change &amp; Severe Weather", "Biological Resource Use"]</t>
  </si>
  <si>
    <t>["Agriculture &amp; aquaculture"]</t>
  </si>
  <si>
    <t>["Annual &amp; perennial non-timber crops", "Housing &amp; urban area"]</t>
  </si>
  <si>
    <t>["Annual &amp; perennial non-timber crops", "Housing &amp; urban area", "Commercial &amp; industrial areas"]</t>
  </si>
  <si>
    <t>["Agriculture &amp; Aquaculture", "Residential &amp; Commercial Development"]</t>
  </si>
  <si>
    <t>["Annual &amp; perennial non-timber crops", "Housing &amp; urban area", "Commercial &amp; industrial areas", "Tourism &amp; recreation areas", "Mining &amp; quarrying", "Wood &amp; pulp plantations"]</t>
  </si>
  <si>
    <t>["Agriculture &amp; Aquaculture", "Residential &amp; Commercial Development", "Energy Production &amp; Mining"]</t>
  </si>
  <si>
    <t>["Annual &amp; perennial non-timber crops", "Housing &amp; urban area", "Commercial &amp; industrial areas", "Mining &amp; quarrying", "Roads &amp; railroads", "Marine &amp; freshwater aquaculture"]</t>
  </si>
  <si>
    <t>["Agriculture &amp; Aquaculture", "Residential &amp; Commercial Development", "Energy Production &amp; Mining", "Transportation &amp; Service Corridors"]</t>
  </si>
  <si>
    <t>["Agriculture &amp; Aquaculture", "Residential &amp; commercial development"]</t>
  </si>
  <si>
    <t>["Annual &amp; perennial non-timber crops", "Wood &amp; pulp plantations", "Livestock farming &amp; ranching"]</t>
  </si>
  <si>
    <t>["Annual &amp; perennial non-timber crops", "Wood &amp; pulp plantations", "Livestock farming &amp; ranching", "Mining &amp; quarrying", "Hunting &amp; collecting terrestrial animals", "Gathering terrestrial plants", "Logging &amp; wood harvesting"]</t>
  </si>
  <si>
    <t>["Annual &amp; perennial non-timber crops", "Wood &amp; pulp plantations", "Mining &amp; quarrying"]</t>
  </si>
  <si>
    <t>["Annual &amp; perennial non-timber crops", "Wood &amp; pulp plantations", "Roads &amp; railroads"]</t>
  </si>
  <si>
    <t>["Annual &amp; perennial non-timber crops", "Wood &amp; pulp plantations", "Domestic &amp; urban waste water", "Garbage &amp; solid waste", "Oil &amp; gas drilling", "Roads &amp; railroads"]</t>
  </si>
  <si>
    <t>["Agriculture &amp; Aquaculture", "Pollution", "Energy Production &amp; Mining", "Transportation &amp; Service Corridors"]</t>
  </si>
  <si>
    <t>["Annual &amp; perennial non-timber crops", "Livestock farming &amp; ranching"]</t>
  </si>
  <si>
    <t>["Annual &amp; perennial non-timber crops", "Livestock farming &amp; ranching", "Housing &amp; urban area"]</t>
  </si>
  <si>
    <t>["Annual &amp; perennial non-timber crops", "Livestock farming &amp; ranching", "Oil &amp; gas drilling", "Fire &amp; fire suppression", "Habitat shifting &amp; alteration"]</t>
  </si>
  <si>
    <t>["Agriculture &amp; Aquaculture", "Residential &amp; Commercial Development", "Energy Production &amp; Mining", "Natural System Modifications", "Climate Change &amp; Severe Weather"]</t>
  </si>
  <si>
    <t>["Annual &amp; perennial non-timber crops", "Livestock farming &amp; ranching", "Agricultural &amp; forestry effluents", "Industrial &amp; military effluents", "Excess energy", "Air-borne pollutants", "Dams &amp; water management/use", "Invasive non-native/alien species/diseases", "Marine &amp; freshwater aquaculture", "Fishing &amp; harvesting aquatic resources"]</t>
  </si>
  <si>
    <t>["Agriculture &amp; Aquaculture", "Residential &amp; Commercial Development", "Pollution", "Natural System Modifications", "Invasive &amp; Other Problematic Species, Genes &amp; Diseases", "Biological Resource Use"]</t>
  </si>
  <si>
    <t>["Annual &amp; perennial non-timber crops", "Livestock farming &amp; ranching", "Wood &amp; pulp plantations"]</t>
  </si>
  <si>
    <t>["Annual &amp; perennial non-timber crops", "Livestock farming &amp; ranching", "Wood &amp; pulp plantations", "Housing &amp; urban area"]</t>
  </si>
  <si>
    <t>["Annual &amp; perennial non-timber crops", "Livestock farming &amp; ranching", "Oil &amp; gas drilling", "Renewable energy", "Utility &amp; service lines", "Roads &amp; railroads", "Housing &amp; urban area", "Commercial &amp; industrial areas"]</t>
  </si>
  <si>
    <t>["Agriculture &amp; Aquaculture", "Energy Production &amp; Mining", "Transportation &amp; Service Corridors", "Residential &amp; Commercial Development"]</t>
  </si>
  <si>
    <t>["Annual &amp; perennial non-timber crops", "Livestock farming &amp; ranching", "Mining &amp; quarrying"]</t>
  </si>
  <si>
    <t>["Annual &amp; perennial non-timber crops", "Livestock farming &amp; ranching", "Mining &amp; quarrying", "Dams &amp; water management/use", "Roads &amp; railroads", "Renewable energy", "Agricultural &amp; forestry effluents", "Recreational activities"]</t>
  </si>
  <si>
    <t>["Agriculture &amp; Aquaculture", "Energy Production &amp; Mining", "Natural System Modifications", "Pollution", "Transportation &amp; Service Corridors", "Human Intrusions &amp; Disturbance"]</t>
  </si>
  <si>
    <t>["Annual &amp; perennial non-timber crops", "Livestock farming &amp; ranching", "Gathering terrestrial plants", "Logging &amp; wood harvesting"]</t>
  </si>
  <si>
    <t>["Annual &amp; perennial non-timber crops", "Livestock farming &amp; ranching", "Agricultural &amp; forestry effluents"]</t>
  </si>
  <si>
    <t>["Agriculture &amp; Aquaculture", "Pollution"]</t>
  </si>
  <si>
    <t>["Annual &amp; perennial non-timber crops", "Oil &amp; gas drilling", "Mining &amp; quarrying"]</t>
  </si>
  <si>
    <t>["Agriculture &amp; Aquaculture", "Energy Production &amp; Mining", "Residential &amp; Commercial Development"]</t>
  </si>
  <si>
    <t>["Annual &amp; perennial non-timber crops", "Renewable energy"]</t>
  </si>
  <si>
    <t>["Annual &amp; perennial non-timber crops", "Roads &amp; railroads"]</t>
  </si>
  <si>
    <t>["Annual &amp; perennial non-timber crops", "Roads &amp; railroads", "Housing &amp; urban area"]</t>
  </si>
  <si>
    <t>["Annual &amp; perennial non-timber crops", "Roads &amp; railroads", "Oil &amp; gas drilling", "Utility &amp; service lines", "Mining &amp; quarrying"]</t>
  </si>
  <si>
    <t>["Agriculture &amp; Aquaculture", "Transportation &amp; Service Corridors", "Energy Production &amp; Mining"]</t>
  </si>
  <si>
    <t>["Annual &amp; perennial non-timber crops", "Hunting &amp; collecting terrestrial animals"]</t>
  </si>
  <si>
    <t>["Annual &amp; perennial non-timber crops", "Gathering terrestrial plants", "Fire &amp; fire suppression", "Habitat shifting &amp; alteration"]</t>
  </si>
  <si>
    <t>["Agriculture &amp; Aquaculture", "Biological Resource Use", "Natural System Modifications", "Climate Change &amp; Severe Weather"]</t>
  </si>
  <si>
    <t>["Annual &amp; perennial non-timber crops", "Logging &amp; wood harvesting"]</t>
  </si>
  <si>
    <t>["Annual &amp; perennial non-timber crops", "Logging &amp; wood harvesting", "Wood &amp; pulp plantations", "Roads &amp; railroads"]</t>
  </si>
  <si>
    <t>["Agriculture &amp; Aquaculture", "Biological Resource Use", "Transportation &amp; Service Corridors"]</t>
  </si>
  <si>
    <t>["Annual &amp; perennial non-timber crops", "Dams &amp; water management/use"]</t>
  </si>
  <si>
    <t>["Agriculture &amp; Aquaculture", "Natural System Modifications", "Residential &amp; Commercial Development"]</t>
  </si>
  <si>
    <t>["Annual &amp; perennial non-timber crops", "Agricultural &amp; forestry effluents"]</t>
  </si>
  <si>
    <t>["Annual &amp; perennial non-timber crops", "Agricultural &amp; forestry effluents", "Livestock farming &amp; ranching"]</t>
  </si>
  <si>
    <t>["Wood &amp; pulp plantations", "Housing &amp; urban area", "Roads &amp; railroads"]</t>
  </si>
  <si>
    <t>["Wood &amp; pulp plantations", "Annual &amp; perennial non-timber crops", "Tourism &amp; recreation areas"]</t>
  </si>
  <si>
    <t>["Wood &amp; pulp plantations", "Annual &amp; perennial non-timber crops", "Logging &amp; wood harvesting", "Livestock farming &amp; ranching", "Marine &amp; freshwater aquaculture", "Housing &amp; urban area", "Fire &amp; fire suppression", "Commercial &amp; industrial areas", "Mining &amp; quarrying", "Oil &amp; gas drilling"]</t>
  </si>
  <si>
    <t>["Agriculture &amp; Aquaculture", "Biological Resource Use", "Natural System Modifications", "Residential &amp; Commercial Development", "Energy Production &amp; Mining"]</t>
  </si>
  <si>
    <t>["Wood &amp; pulp plantations", "Livestock farming &amp; ranching", "Annual &amp; perennial non-timber crops", "Housing &amp; urban area", "Commercial &amp; industrial areas"]</t>
  </si>
  <si>
    <t>["Wood &amp; pulp plantations", "Hunting &amp; collecting terrestrial animals"]</t>
  </si>
  <si>
    <t>["Wood &amp; pulp plantations", "Logging &amp; wood harvesting"]</t>
  </si>
  <si>
    <t>["Wood &amp; pulp plantations", "Introduced genetic material"]</t>
  </si>
  <si>
    <t>["Livestock farming &amp; ranching"]</t>
  </si>
  <si>
    <t>["Livestock farming &amp; ranching", "Housing &amp; urban area", "Annual &amp; perennial non-timber crops", "Marine &amp; freshwater aquaculture", "Tourism &amp; recreation areas", "Roads &amp; railroads"]</t>
  </si>
  <si>
    <t>["Agriculture &amp; Aquaculture", "Residential &amp; Commercial Development", "Transportation &amp; Service Corridors"]</t>
  </si>
  <si>
    <t>["Livestock farming &amp; ranching", "Tourism &amp; recreation areas"]</t>
  </si>
  <si>
    <t>["Livestock farming &amp; ranching", "Annual &amp; perennial non-timber crops", "Housing &amp; urban area"]</t>
  </si>
  <si>
    <t>["Livestock farming &amp; ranching", "Annual &amp; perennial non-timber crops", "Commercial &amp; industrial areas", "Oil &amp; gas drilling"]</t>
  </si>
  <si>
    <t>["Livestock farming &amp; ranching", "Annual &amp; perennial non-timber crops", "Fire &amp; fire suppression", "Housing &amp; urban area", "Mining &amp; quarrying", "Wood &amp; pulp plantations"]</t>
  </si>
  <si>
    <t>["Agriculture &amp; Aquaculture", "Natural System Modifications", "Energy Production &amp; Mining", "Residential &amp; Commercial Development"]</t>
  </si>
  <si>
    <t>["Livestock farming &amp; ranching", "Wood &amp; pulp plantations"]</t>
  </si>
  <si>
    <t>["Livestock farming &amp; ranching", "Housing &amp; urban area"]</t>
  </si>
  <si>
    <t>["Livestock farming &amp; ranching", "Logging &amp; wood harvesting"]</t>
  </si>
  <si>
    <t>["Livestock farming &amp; ranching", "Fire &amp; fire suppression"]</t>
  </si>
  <si>
    <t>["Agriculture &amp; Aquaculture", "Natural System Modifications"]</t>
  </si>
  <si>
    <t>["Livestock farming &amp; ranching", "Fire &amp; fire suppression", "Annual &amp; perennial non-timber crops"]</t>
  </si>
  <si>
    <t>["Livestock farming &amp; ranching", "Invasive non-native/alien species/diseases"]</t>
  </si>
  <si>
    <t>["Marine &amp; freshwater aquaculture"]</t>
  </si>
  <si>
    <t>["Marine &amp; freshwater aquaculture", "Housing &amp; urban area", "Commercial &amp; industrial areas", "Shipping lanes", "Fishing &amp; harvesting aquatic resources"]</t>
  </si>
  <si>
    <t>["Agriculture &amp; Aquaculture", "Residential &amp; Commercial Development", "Transportation &amp; Service Corridors", "Biological Resource Use"]</t>
  </si>
  <si>
    <t>["Marine &amp; freshwater aquaculture", "Mining &amp; quarrying", "Fishing &amp; harvesting aquatic resources", "Recreational activities", "Agricultural &amp; forestry effluents"]</t>
  </si>
  <si>
    <t>["Agriculture &amp; Aquaculture", "Energy Production &amp; Mining", "Biological Resource Use", "Human Intrusions &amp; Disturbance", "Pollution"]</t>
  </si>
  <si>
    <t>["Marine &amp; freshwater aquaculture", "Utility &amp; service lines", "Commercial &amp; industrial areas", "Mining &amp; quarrying", "Shipping lanes", "Recreational activities", "War, civil unrest &amp; military exercises", "Fishing &amp; harvesting aquatic resources", "Housing &amp; urban area"]</t>
  </si>
  <si>
    <t>["Agriculture &amp; Aquaculture", "Transportation &amp; Service Corridors", "Residential &amp; Commercial Development", "Energy Production &amp; Mining", "Human Intrusions &amp; Disturbance", "Biological Resource Use"]</t>
  </si>
  <si>
    <t>["Marine &amp; freshwater aquaculture", "Utility &amp; service lines", "Recreational activities", "Tourism &amp; recreation areas", "Agricultural &amp; forestry effluents", "Industrial &amp; military effluents", "Commercial &amp; industrial areas", "Other ecosystem modifications", "Shipping lanes", "Oil &amp; gas drilling", "Fishing &amp; harvesting aquatic resources"]</t>
  </si>
  <si>
    <t>["Agriculture &amp; Aquaculture", "Transportation &amp; Service Corridors", "Human Intrusions &amp; Disturbance", "Residential &amp; Commercial Development", "Pollution", "Natural System Modifications", "Energy Production &amp; Mining", "Biological Resource Use"]</t>
  </si>
  <si>
    <t>["Marine &amp; freshwater aquaculture", "Hunting &amp; collecting terrestrial animals", "Shipping lanes", "Invasive non-native/alien species/diseases", "Domestic &amp; urban waste water", "Industrial &amp; military effluents", "Agricultural &amp; forestry effluents", "Oil &amp; gas drilling", "Temperature extremes"]</t>
  </si>
  <si>
    <t>["Agriculture &amp; Aquaculture", "Biological Resource Use", "Transportation &amp; Service Corridors", "Invasive &amp; Other Problematic Species, Genes &amp; Diseases", "Pollution", "Energy Production &amp; Mining", "Climate Change &amp; Severe Weather"]</t>
  </si>
  <si>
    <t>["Marine &amp; freshwater aquaculture", "Fishing &amp; harvesting aquatic resources", "Shipping lanes", "Recreational activities", "Work &amp; other activities", "Domestic &amp; urban waste water", "Garbage &amp; solid waste", "Excess energy", "Temperature extremes", "Habitat shifting &amp; alteration", "Storms &amp; flooding", "Invasive non-native/alien species/diseases", "Flight paths"]</t>
  </si>
  <si>
    <t>["Agriculture &amp; Aquaculture", "Biological Resource Use", "Transportation &amp; Service Corridors", "Human Intrusions &amp; Disturbance", "Pollution", "Climate Change &amp; Severe Weather", "Invasive &amp; Other Problematic Species, Genes &amp; Diseases"]</t>
  </si>
  <si>
    <t>["Marine &amp; freshwater aquaculture", "Fishing &amp; harvesting aquatic resources", "Recreational activities"]</t>
  </si>
  <si>
    <t>["Marine &amp; freshwater aquaculture", "Agricultural &amp; forestry effluents", "Garbage &amp; solid waste", "Invasive non-native/alien species/diseases", "Renewable energy", "Tourism &amp; recreation areas"]</t>
  </si>
  <si>
    <t>["Agriculture &amp; Aquaculture", "Pollution", "Invasive &amp; Other Problematic Species, Genes &amp; Diseases", "Energy Production &amp; Mining", "Residential &amp; Commercial Development"]</t>
  </si>
  <si>
    <t>["Marine &amp; freshwater aquaculture", "Excess energy"]</t>
  </si>
  <si>
    <t>["Housing &amp; urban area", "Mining &amp; quarrying", "Logging &amp; wood harvesting"]</t>
  </si>
  <si>
    <t>[ "Housing &amp; urban area", "Roads &amp; railroads"]</t>
  </si>
  <si>
    <t>["Housing &amp; urban area", "Fire &amp; fire suppression", "Invasive non-native/alien species/diseases", "Dams &amp; water management/use"]</t>
  </si>
  <si>
    <t>["Natural System Modifications", "Invasive &amp; Other Problematic Species, Genes &amp; Diseases", "Agriculture &amp; aquaculture"]</t>
  </si>
  <si>
    <t>[  "Wood &amp; pulp plantations"]</t>
  </si>
  <si>
    <t>[ "Annual &amp; perennial non-timber crops"]</t>
  </si>
  <si>
    <t>[ "Wood &amp; pulp plantations", "Housing &amp; urban area"]</t>
  </si>
  <si>
    <t>["Livestock farming &amp; ranching", "Housing &amp; urban area", "Recreational activities", "Logging &amp; wood harvesting", "Tourism &amp; recreation areas"]</t>
  </si>
  <si>
    <t>["Agriculture &amp; Aquaculture", "Human Intrusions &amp; Disturbance", "Biological Resource Use", "Residential &amp; Commercial Development"]</t>
  </si>
  <si>
    <t>["Marine &amp; freshwater aquaculture", "Tourism &amp; recreation areas", "Fishing &amp; harvesting aquatic resources", "Recreational activities"]</t>
  </si>
  <si>
    <t>["Agriculture &amp; Aquaculture", "Residential &amp; Commercial Development", "Biological Resource Use", "Human Intrusions &amp; Disturbance"]</t>
  </si>
  <si>
    <t>[ "Marine &amp; freshwater aquaculture", "Wood &amp; pulp plantations"]</t>
  </si>
  <si>
    <t>["Marine &amp; freshwater aquaculture", "Dams &amp; water management/use", "Domestic &amp; urban waste water", "Agricultural &amp; forestry effluents", "Mining &amp; quarrying", "Fire &amp; fire suppression", "Housing &amp; urban area", "Commercial &amp; industrial areas", "Tourism &amp; recreation areas"]</t>
  </si>
  <si>
    <t>["Agriculture &amp; Aquaculture", "Natural System Modifications", "Pollution", "Energy Production &amp; Mining", "Residential &amp; Commercial Development"]</t>
  </si>
  <si>
    <t>["Mining &amp; quarrying", "Wood &amp; pulp plantations"]</t>
  </si>
  <si>
    <t>[ "Roads &amp; railroads", "Housing &amp; urban area"]</t>
  </si>
  <si>
    <t>["Roads &amp; railroads", "Commercial &amp; industrial areas", "Utility &amp; service lines", "Dams &amp; water management/use"]</t>
  </si>
  <si>
    <t>["Transportation &amp; Service Corridors", "Residential &amp; Commercial Development", "Natural System Modifications", "Agriculture &amp; aquaculture"]</t>
  </si>
  <si>
    <t>["Roads &amp; railroads", "Dams &amp; water management/use"]</t>
  </si>
  <si>
    <t>["Agriculture &amp; Aquaculture", "Transportation &amp; Service Corridors", "Residential &amp; Commercial Development", "Natural System Modifications"]</t>
  </si>
  <si>
    <t>["Hunting &amp; collecting terrestrial animals", "Logging &amp; wood harvesting", "Fishing &amp; harvesting aquatic resources", "Invasive non-native/alien species/diseases", "Habitat shifting &amp; alteration"]</t>
  </si>
  <si>
    <t>["Agriculture &amp; Aquaculture", "Biological Resource Use", "Invasive &amp; Other Problematic Species, Genes &amp; Diseases", "Climate Change &amp; Severe Weather"]</t>
  </si>
  <si>
    <t>["Logging &amp; wood harvesting"]</t>
  </si>
  <si>
    <t>["Biological Resource Use", "Agriculture &amp; aquaculture"]</t>
  </si>
  <si>
    <t>["Fire &amp; fire suppression"]</t>
  </si>
  <si>
    <t>[ "Fire &amp; fire suppression", "Roads &amp; railroads", "Housing &amp; urban area"]</t>
  </si>
  <si>
    <t>["Natural System Modifications", "Transportation &amp; Service Corridors", "Agriculture &amp; aquaculture"]</t>
  </si>
  <si>
    <t>["Fire &amp; fire suppression", "Invasive non-native/alien species/diseases"]</t>
  </si>
  <si>
    <t>["Agricultural &amp; forestry effluents"]</t>
  </si>
  <si>
    <t>["Agricultural &amp; forestry effluents", "Air-borne pollutants"]</t>
  </si>
  <si>
    <t>["Oil &amp; gas drilling"]</t>
  </si>
  <si>
    <t>["Energy Production &amp; Mining"]</t>
  </si>
  <si>
    <t>["Oil &amp; gas drilling", "Commercial &amp; industrial areas", "Recreational activities", "Tourism &amp; recreation areas"]</t>
  </si>
  <si>
    <t>["Energy Production &amp; Mining", "Residential &amp; Commercial Development", "Human Intrusions &amp; Disturbance", "Pollution"]</t>
  </si>
  <si>
    <t>["Oil &amp; gas drilling", "Habitat shifting &amp; alteration", "Shipping lanes"]</t>
  </si>
  <si>
    <t>["Energy Production &amp; Mining", "Climate Change &amp; Severe Weather", "Transportation &amp; Service Corridors"]</t>
  </si>
  <si>
    <t>["Oil &amp; gas drilling", "Mining &amp; quarrying", "Roads &amp; railroads", "Hunting &amp; collecting terrestrial animals", "War, civil unrest &amp; military exercises", "Work &amp; other activities"]</t>
  </si>
  <si>
    <t>["Energy Production &amp; Mining", "Transportation &amp; Service Corridors", "Biological Resource Use", "Human Intrusions &amp; Disturbance"]</t>
  </si>
  <si>
    <t>["Oil &amp; gas drilling", "Renewable energy"]</t>
  </si>
  <si>
    <t>["Oil &amp; gas drilling", "Roads &amp; railroads"]</t>
  </si>
  <si>
    <t>["Energy Production &amp; Mining", "Transportation &amp; Service Corridors"]</t>
  </si>
  <si>
    <t>["Oil &amp; gas drilling", "Roads &amp; railroads", "Mining &amp; quarrying", "Wood &amp; pulp plantations", "Annual &amp; perennial non-timber crops", "Logging &amp; wood harvesting"]</t>
  </si>
  <si>
    <t>["Energy Production &amp; Mining", "Transportation &amp; Service Corridors", "Agriculture &amp; Aquaculture", "Biological Resource Use"]</t>
  </si>
  <si>
    <t>["Oil &amp; gas drilling", "Utility &amp; service lines"]</t>
  </si>
  <si>
    <t>["Oil &amp; gas drilling", "Shipping lanes"]</t>
  </si>
  <si>
    <t>["Oil &amp; gas drilling", "Shipping lanes", "Fishing &amp; harvesting aquatic resources"]</t>
  </si>
  <si>
    <t>["Energy Production &amp; Mining", "Transportation &amp; Service Corridors", "Biological Resource Use"]</t>
  </si>
  <si>
    <t>["Oil &amp; gas drilling", "Shipping lanes", "Garbage &amp; solid waste", "Agricultural &amp; forestry effluents", "Industrial &amp; military effluents", "Fishing &amp; harvesting aquatic resources"]</t>
  </si>
  <si>
    <t>["Energy Production &amp; Mining", "Transportation &amp; Service Corridors", "Pollution", "Biological Resource Use"]</t>
  </si>
  <si>
    <t>["Oil &amp; gas drilling", "Hunting &amp; collecting terrestrial animals"]</t>
  </si>
  <si>
    <t>["Oil &amp; gas drilling", "Fishing &amp; harvesting aquatic resources"]</t>
  </si>
  <si>
    <t>["Oil &amp; gas drilling", "Invasive non-native/alien species/diseases", "Habitat shifting &amp; alteration"]</t>
  </si>
  <si>
    <t>["Energy Production &amp; Mining", "Invasive &amp; Other Problematic Species, Genes &amp; Diseases", "Climate Change &amp; Severe Weather"]</t>
  </si>
  <si>
    <t>["Oil &amp; gas drilling", "Industrial &amp; military effluents", "Commercial &amp; industrial areas", "Fishing &amp; harvesting aquatic resources", "Shipping lanes"]</t>
  </si>
  <si>
    <t>["Energy Production &amp; Mining", "Pollution", "Residential &amp; Commercial Development", "Biological Resource Use", "Transportation &amp; Service Corridors"]</t>
  </si>
  <si>
    <t>["Mining &amp; quarrying", "Oil &amp; gas drilling", "Wood &amp; pulp plantations"]</t>
  </si>
  <si>
    <t>["Energy Production &amp; Mining", "Agriculture &amp; Aquaculture"]</t>
  </si>
  <si>
    <t>["Mining &amp; quarrying", "Renewable energy", "Fishing &amp; harvesting aquatic resources"]</t>
  </si>
  <si>
    <t>["Mining &amp; quarrying", "Fishing &amp; harvesting aquatic resources", "Domestic &amp; urban waste water", "Agricultural &amp; forestry effluents"]</t>
  </si>
  <si>
    <t>["Energy Production &amp; Mining", "Biological Resource Use", "Pollution"]</t>
  </si>
  <si>
    <t>["Mining &amp; quarrying", "War, civil unrest &amp; military exercises"]</t>
  </si>
  <si>
    <t>["Energy Production &amp; Mining", "Human Intrusions &amp; Disturbance"]</t>
  </si>
  <si>
    <t>["Renewable energy"]</t>
  </si>
  <si>
    <t>["Renewable energy", "Utility &amp; service lines"]</t>
  </si>
  <si>
    <t>["Renewable energy", "Utility &amp; service lines", "Dams &amp; water management/use"]</t>
  </si>
  <si>
    <t>["Energy Production &amp; Mining", "Transportation &amp; Service Corridors", "Natural System Modifications"]</t>
  </si>
  <si>
    <t>["Transportation &amp; Service Corridors"]</t>
  </si>
  <si>
    <t>["Roads &amp; railroads", "Housing &amp; urban area"]</t>
  </si>
  <si>
    <t>["Roads &amp; railroads", "Housing &amp; urban area", "Commercial &amp; industrial areas", "Utility &amp; service lines", "Mining &amp; quarrying", "Annual &amp; perennial non-timber crops", "Livestock farming &amp; ranching", "Wood &amp; pulp plantations", "Fire &amp; fire suppression", "Invasive non-native/alien species/diseases"]</t>
  </si>
  <si>
    <t>["Transportation &amp; Service Corridors", "Residential &amp; Commercial Development", "Energy Production &amp; Mining", "Agriculture &amp; Aquaculture", "Natural System Modifications", "Invasive &amp; Other Problematic Species, Genes &amp; Diseases"]</t>
  </si>
  <si>
    <t>["Roads &amp; railroads", "Housing &amp; urban area", "Hunting &amp; collecting terrestrial animals"]</t>
  </si>
  <si>
    <t>["Transportation &amp; Service Corridors", "Biological Resource Use"]</t>
  </si>
  <si>
    <t>["Roads &amp; railroads", "Housing &amp; urban area", "Invasive non-native/alien species/diseases"]</t>
  </si>
  <si>
    <t>["Transportation &amp; Service Corridors", "Invasive &amp; Other Problematic Species, Genes &amp; Diseases", "Agriculture &amp; Aquaculture"]</t>
  </si>
  <si>
    <t>["Roads &amp; railroads", "Annual &amp; perennial non-timber crops", "Mining &amp; quarrying", "Oil &amp; gas drilling", "War, civil unrest &amp; military exercises"]</t>
  </si>
  <si>
    <t>["Transportation &amp; Service Corridors", "Agriculture &amp; Aquaculture", "Energy Production &amp; Mining", "Human Intrusions &amp; Disturbance"]</t>
  </si>
  <si>
    <t>["Roads &amp; railroads", "Wood &amp; pulp plantations"]</t>
  </si>
  <si>
    <t>["Transportation &amp; Service Corridors", "Agriculture &amp; Aquaculture"]</t>
  </si>
  <si>
    <t>["Transportation &amp; Service Corridors", "Agriculture &amp; Aquaculture", "Biological Resource Use"]</t>
  </si>
  <si>
    <t>["Roads &amp; railroads", "Oil &amp; gas drilling", "Wood &amp; pulp plantations"]</t>
  </si>
  <si>
    <t>["Transportation &amp; Service Corridors", "Energy Production &amp; Mining", "Agriculture &amp; Aquaculture"]</t>
  </si>
  <si>
    <t>["Roads &amp; railroads", "Mining &amp; quarrying"]</t>
  </si>
  <si>
    <t>["Roads &amp; railroads", "Hunting &amp; collecting terrestrial animals", "Logging &amp; wood harvesting"]</t>
  </si>
  <si>
    <t>["Roads &amp; railroads", "Recreational activities"]</t>
  </si>
  <si>
    <t>["Transportation &amp; Service Corridors", "Human Intrusions &amp; Disturbance"]</t>
  </si>
  <si>
    <t>["Roads &amp; railroads", "Invasive non-native/alien species/diseases"]</t>
  </si>
  <si>
    <t>["Transportation &amp; Service Corridors", "Invasive &amp; Other Problematic Species, Genes &amp; Diseases"]</t>
  </si>
  <si>
    <t>["Roads &amp; railroads", "Excess energy"]</t>
  </si>
  <si>
    <t>["Transportation &amp; Service Corridors", "Pollution"]</t>
  </si>
  <si>
    <t>["Utility &amp; service lines"]</t>
  </si>
  <si>
    <t>["Utility &amp; service lines", "Commercial &amp; industrial areas", "Dams &amp; water management/use"]</t>
  </si>
  <si>
    <t>["Transportation &amp; Service Corridors", "Residential &amp; Commercial Development", "Natural System Modifications"]</t>
  </si>
  <si>
    <t>["Utility &amp; service lines", "Roads &amp; railroads", "Mining &amp; quarrying", "Wood &amp; pulp plantations"]</t>
  </si>
  <si>
    <t>["Shipping lanes"]</t>
  </si>
  <si>
    <t>["Shipping lanes", "Commercial &amp; industrial areas", "Utility &amp; service lines", "Housing &amp; urban area", "Fishing &amp; harvesting aquatic resources", "Recreational activities"]</t>
  </si>
  <si>
    <t>["Transportation &amp; Service Corridors", "Residential &amp; Commercial Development", "Biological Resource Use", "Human Intrusions &amp; Disturbance"]</t>
  </si>
  <si>
    <t>["Shipping lanes", "Oil &amp; gas drilling"]</t>
  </si>
  <si>
    <t>["Shipping lanes", "Oil &amp; gas drilling", "Recreational activities"]</t>
  </si>
  <si>
    <t>["Transportation &amp; Service Corridors", "Energy Production &amp; Mining", "Human Intrusions &amp; Disturbance"]</t>
  </si>
  <si>
    <t>["Shipping lanes", "Fishing &amp; harvesting aquatic resources", "Dams &amp; water management/use"]</t>
  </si>
  <si>
    <t>["Transportation &amp; Service Corridors", "Biological Resource Use", "Natural System Modifications", "Pollution"]</t>
  </si>
  <si>
    <t>["Shipping lanes", "Fishing &amp; harvesting aquatic resources", "Invasive non-native/alien species/diseases", "Domestic &amp; urban waste water", "Industrial &amp; military effluents", "Agricultural &amp; forestry effluents"]</t>
  </si>
  <si>
    <t>["Transportation &amp; Service Corridors", "Biological Resource Use", "Invasive &amp; Other Problematic Species, Genes &amp; Diseases", "Pollution"]</t>
  </si>
  <si>
    <t>["Shipping lanes", "Fishing &amp; harvesting aquatic resources", "Excess energy", "Recreational activities"]</t>
  </si>
  <si>
    <t>["Transportation &amp; Service Corridors", "Biological Resource Use", "Pollution", "Human Intrusions &amp; Disturbance"]</t>
  </si>
  <si>
    <t>["Shipping lanes", "Fishing &amp; harvesting aquatic resources"]</t>
  </si>
  <si>
    <t>["Transportation &amp; Service Corridors", "Biological Resource Use", "Pollution"]</t>
  </si>
  <si>
    <t>["Shipping lanes", "Recreational activities"]</t>
  </si>
  <si>
    <t>["Shipping lanes", "Recreational activities", "Fishing &amp; harvesting aquatic resources", "Industrial &amp; military effluents"]</t>
  </si>
  <si>
    <t>["Transportation &amp; Service Corridors", "Human Intrusions &amp; Disturbance", "Biological Resource Use", "Residential &amp; Commercial Development", "Pollution"]</t>
  </si>
  <si>
    <t>["Transportation &amp; service corridors"]</t>
  </si>
  <si>
    <t>["Hunting &amp; collecting terrestrial animals"]</t>
  </si>
  <si>
    <t>["Biological resource use"]</t>
  </si>
  <si>
    <t>["Hunting &amp; collecting terrestrial animals", "Tourism &amp; recreation areas"]</t>
  </si>
  <si>
    <t>["Biological Resource Use", "Residential &amp; Commercial Development"]</t>
  </si>
  <si>
    <t>["Biological Resource Use", "Agriculture &amp; Aquaculture"]</t>
  </si>
  <si>
    <t>["Hunting &amp; collecting terrestrial animals", "Roads &amp; railroads", "Work &amp; other activities"]</t>
  </si>
  <si>
    <t>["Biological Resource Use", "Transportation &amp; Service Corridors", "Human Intrusions &amp; Disturbance"]</t>
  </si>
  <si>
    <t>["Hunting &amp; collecting terrestrial animals", "Logging &amp; wood harvesting", "Fishing &amp; harvesting aquatic resources", "Recreational activities"]</t>
  </si>
  <si>
    <t>["Biological Resource Use", "Human Intrusions &amp; Disturbance"]</t>
  </si>
  <si>
    <t>["Hunting &amp; collecting terrestrial animals", "Fishing &amp; harvesting aquatic resources"]</t>
  </si>
  <si>
    <t>["Biological Resource Use"]</t>
  </si>
  <si>
    <t>["Hunting &amp; collecting terrestrial animals", "Work &amp; other activities"]</t>
  </si>
  <si>
    <t>["Biological resource use", "Human intrusions &amp; disturbance"]</t>
  </si>
  <si>
    <t>["Hunting &amp; collecting terrestrial animals", "Fire &amp; fire suppression"]</t>
  </si>
  <si>
    <t>["Biological Resource Use", "Natural System Modifications"]</t>
  </si>
  <si>
    <t>["Gathering terrestrial plants"]</t>
  </si>
  <si>
    <t>["Gathering terrestrial plants", "Livestock farming &amp; ranching", "Fire &amp; fire suppression", "Annual &amp; perennial non-timber crops", "Mining &amp; quarrying", "Habitat shifting &amp; alteration"]</t>
  </si>
  <si>
    <t>["Biological Resource Use", "Agriculture &amp; Aquaculture", "Natural System Modifications", "Energy Production &amp; Mining", "Climate Change &amp; Severe Weather"]</t>
  </si>
  <si>
    <t>["Biological Resource Use", "Residential &amp; commercial development", "Agriculture &amp; aquaculture"]</t>
  </si>
  <si>
    <t>["Logging &amp; wood harvesting", "Droughts"]</t>
  </si>
  <si>
    <t>["Biological Resource Use", "Climate Change &amp; Severe Weather"]</t>
  </si>
  <si>
    <t>["Logging &amp; wood harvesting", "Excess energy"]</t>
  </si>
  <si>
    <t>["Biological Resource Use", "Pollution"]</t>
  </si>
  <si>
    <t>["Fishing &amp; harvesting aquatic resources"]</t>
  </si>
  <si>
    <t>["Fishing &amp; harvesting aquatic resources", "Commercial &amp; industrial areas"]</t>
  </si>
  <si>
    <t>["Fishing &amp; harvesting aquatic resources", "Commercial &amp; industrial areas", "Oil &amp; gas drilling", "Utility &amp; service lines", "Shipping lanes", "Garbage &amp; solid waste", "Industrial &amp; military effluents", "Mining &amp; quarrying", "Invasive non-native/alien species/diseases", "Temperature extremes", "Habitat shifting &amp; alteration"]</t>
  </si>
  <si>
    <t>["Biological Resource Use", "Residential &amp; Commercial Development", "Energy Production &amp; Mining", "Transportation &amp; Service Corridors", "Pollution", "Invasive &amp; Other Problematic Species, Genes &amp; Diseases", "Climate Change &amp; Severe Weather"]</t>
  </si>
  <si>
    <t>["Fishing &amp; harvesting aquatic resources", "Habitat shifting &amp; alteration"]</t>
  </si>
  <si>
    <t>["Biological Resource Use", "Residential &amp; Commercial Development", "Pollution", "Climate Change &amp; Severe Weather"]</t>
  </si>
  <si>
    <t>["Fishing &amp; harvesting aquatic resources", "Temperature extremes", "Other impacts", "Oil &amp; gas drilling", "Domestic &amp; urban waste water", "Industrial &amp; military effluents", "Agricultural &amp; forestry effluents", "Shipping lanes", "Commercial &amp; industrial areas", "Invasive non-native/alien species/diseases", "Habitat shifting &amp; alteration"]</t>
  </si>
  <si>
    <t>["Biological Resource Use", "Climate Change &amp; Severe Weather", "Residential &amp; Commercial Development", "Energy Production &amp; Mining", "Pollution", "Transportation &amp; Service Corridors", "Invasive &amp; Other Problematic Species, Genes &amp; Diseases"]</t>
  </si>
  <si>
    <t>["Fishing &amp; harvesting aquatic resources", "Marine &amp; freshwater aquaculture", "Oil &amp; gas drilling", "Housing &amp; urban area", "Utility &amp; service lines", "Commercial &amp; industrial areas", "Renewable energy", "Recreational activities", "Mining &amp; quarrying", "Shipping lanes", "Garbage &amp; solid waste", "War, civil unrest &amp; military exercises", "Industrial &amp; military effluents", "Excess energy", "Habitat shifting &amp; alteration"]</t>
  </si>
  <si>
    <t>["Biological Resource Use", "Agriculture &amp; Aquaculture", "Energy Production &amp; Mining", "Transportation &amp; Service Corridors", "Residential &amp; Commercial Development", "Human Intrusions &amp; Disturbance", "Pollution", "Climate Change &amp; Severe Weather"]</t>
  </si>
  <si>
    <t>["Fishing &amp; harvesting aquatic resources", "Marine &amp; freshwater aquaculture", "Shipping lanes", "Invasive non-native/alien species/diseases", "Habitat shifting &amp; alteration"]</t>
  </si>
  <si>
    <t>["Biological Resource Use", "Agriculture &amp; Aquaculture", "Pollution", "Transportation &amp; Service Corridors", "Invasive &amp; Other Problematic Species, Genes &amp; Diseases", "Climate Change &amp; Severe Weather"]</t>
  </si>
  <si>
    <t>["Fishing &amp; harvesting aquatic resources", "Oil &amp; gas drilling"]</t>
  </si>
  <si>
    <t>["Biological Resource Use", "Energy Production &amp; Mining"]</t>
  </si>
  <si>
    <t>["Fishing &amp; harvesting aquatic resources", "Shipping lanes", "Oil &amp; gas drilling", "Marine &amp; freshwater aquaculture", "Utility &amp; service lines"]</t>
  </si>
  <si>
    <t>["Biological Resource Use", "Transportation &amp; Service Corridors", "Energy Production &amp; Mining", "Agriculture &amp; Aquaculture"]</t>
  </si>
  <si>
    <t>["Fishing &amp; harvesting aquatic resources", "Shipping lanes", "Agricultural &amp; forestry effluents", "Industrial &amp; military effluents"]</t>
  </si>
  <si>
    <t>["Biological Resource Use", "Transportation &amp; Service Corridors", "Pollution"]</t>
  </si>
  <si>
    <t>["Fishing &amp; harvesting aquatic resources", "Hunting &amp; collecting terrestrial animals", "Mining &amp; quarrying", "Gathering terrestrial plants"]</t>
  </si>
  <si>
    <t>["Biological Resource Use", "Energy Production &amp; Mining", "Residential &amp; Commercial Development", "Agriculture &amp; Aquaculture", "Pollution"]</t>
  </si>
  <si>
    <t>["Fishing &amp; harvesting aquatic resources", "Hunting &amp; collecting terrestrial animals", "Shipping lanes", "Recreational activities"]</t>
  </si>
  <si>
    <t>["Fishing &amp; harvesting aquatic resources", "Recreational activities", "Marine &amp; freshwater aquaculture", "Invasive non-native/alien species/diseases", "Oil &amp; gas drilling", "Other ecosystem modifications", "Shipping lanes", "Industrial &amp; military effluents", "Domestic &amp; urban waste water", "Dams &amp; water management/use", "Housing &amp; urban area", "Commercial &amp; industrial areas", "Habitat shifting &amp; alteration"]</t>
  </si>
  <si>
    <t>["Biological Resource Use", "Human Intrusions &amp; Disturbance", "Agriculture &amp; Aquaculture", "Invasive &amp; Other Problematic Species, Genes &amp; Diseases", "Energy Production &amp; Mining", "Natural System Modifications", "Transportation &amp; Service Corridors", "Pollution", "Residential &amp; Commercial Development", "Climate Change &amp; Severe Weather"]</t>
  </si>
  <si>
    <t>["Fishing &amp; harvesting aquatic resources", "Recreational activities", "Invasive non-native/alien species/diseases"]</t>
  </si>
  <si>
    <t>["Biological Resource Use", "Human Intrusions &amp; Disturbance", "Invasive &amp; Other Problematic Species, Genes &amp; Diseases"]</t>
  </si>
  <si>
    <t>["Fishing &amp; harvesting aquatic resources", "Industrial &amp; military effluents", "Invasive non-native/alien species/diseases", "Oil &amp; gas drilling", "Dams &amp; water management/use"]</t>
  </si>
  <si>
    <t>["Biological Resource Use", "Pollution", "Invasive &amp; Other Problematic Species, Genes &amp; Diseases", "Energy Production &amp; Mining", "Natural System Modifications"]</t>
  </si>
  <si>
    <t>["Fishing &amp; harvesting aquatic resources", "Industrial &amp; military effluents", "Agricultural &amp; forestry effluents"]</t>
  </si>
  <si>
    <t>["Fishing &amp; harvesting aquatic resources", "Industrial &amp; military effluents", "Agricultural &amp; forestry effluents", "Domestic &amp; urban waste water", "Excess energy", "Shipping lanes", "Habitat shifting &amp; alteration", "Oil &amp; gas drilling"]</t>
  </si>
  <si>
    <t>["Biological Resource Use", "Pollution", "Transportation &amp; Service Corridors", "Climate Change &amp; Severe Weather", "Energy Production &amp; Mining"]</t>
  </si>
  <si>
    <t>["Fishing &amp; harvesting aquatic resources", "Garbage &amp; solid waste", "Shipping lanes"]</t>
  </si>
  <si>
    <t>["Biological Resource Use", "Pollution", "Transportation &amp; Service Corridors"]</t>
  </si>
  <si>
    <t>["Recreational activities"]</t>
  </si>
  <si>
    <t>["Human Intrusions &amp; Disturbance"]</t>
  </si>
  <si>
    <t>["Recreational activities", "Commercial &amp; industrial areas"]</t>
  </si>
  <si>
    <t>["Human Intrusions &amp; Disturbance", "Residential &amp; Commercial Development"]</t>
  </si>
  <si>
    <t>["Recreational activities", "Tourism &amp; recreation areas"]</t>
  </si>
  <si>
    <t>["Recreational activities", "Wood &amp; pulp plantations"]</t>
  </si>
  <si>
    <t>["Recreational activities", "Logging &amp; wood harvesting"]</t>
  </si>
  <si>
    <t>["Human Intrusions &amp; Disturbance", "Biological Resource Use"]</t>
  </si>
  <si>
    <t>["Recreational activities", "Fishing &amp; harvesting aquatic resources"]</t>
  </si>
  <si>
    <t>["Human Intrusions &amp; Disturbance", "Biological Resource Use", "Pollution"]</t>
  </si>
  <si>
    <t>["Recreational activities", "Work &amp; other activities", "Shipping lanes", "Temperature extremes", "Invasive non-native/alien species/diseases", "Fishing &amp; harvesting aquatic resources"]</t>
  </si>
  <si>
    <t>["Human Intrusions &amp; Disturbance", "Transportation &amp; Service Corridors", "Climate Change &amp; Severe Weather", "Invasive &amp; Other Problematic Species, Genes &amp; Diseases", "Biological Resource Use", "Pollution"]</t>
  </si>
  <si>
    <t>["War, civil unrest &amp; military exercises"]</t>
  </si>
  <si>
    <t>["War, civil unrest &amp; military exercises", "Logging &amp; wood harvesting"]</t>
  </si>
  <si>
    <t>["Work &amp; other activities"]</t>
  </si>
  <si>
    <t>["Natural System Modifications"]</t>
  </si>
  <si>
    <t>["Fire &amp; fire suppression", "Housing &amp; urban area"]</t>
  </si>
  <si>
    <t>["Fire &amp; fire suppression", "Annual &amp; perennial non-timber crops"]</t>
  </si>
  <si>
    <t>["Natural System Modifications", "Agriculture &amp; Aquaculture"]</t>
  </si>
  <si>
    <t>["Fire &amp; fire suppression", "Utility &amp; service lines", "Roads &amp; railroads"]</t>
  </si>
  <si>
    <t>["Natural System Modifications", "Invasive &amp; Other Problematic Species, Genes &amp; Diseases"]</t>
  </si>
  <si>
    <t>["Fire &amp; fire suppression", "Invasive non-native/alien species/diseases", "Livestock farming &amp; ranching", "Tourism &amp; recreation areas", "Recreational activities", "Gathering terrestrial plants"]</t>
  </si>
  <si>
    <t>["Natural System Modifications", "Invasive &amp; Other Problematic Species, Genes &amp; Diseases", "Agriculture &amp; Aquaculture", "Residential &amp; Commercial Development", "Human Intrusions &amp; Disturbance", "Biological Resource Use"]</t>
  </si>
  <si>
    <t>["Dams &amp; water management/use"]</t>
  </si>
  <si>
    <t>["Natural system modifications", "Pollution"]</t>
  </si>
  <si>
    <t>["Natural system modifications"]</t>
  </si>
  <si>
    <t>["Dams &amp; water management/use", "Temperature extremes", "Garbage &amp; solid waste", "Excess energy", "Commercial &amp; industrial areas", "Marine &amp; freshwater aquaculture", "War, civil unrest &amp; military exercises", "Invasive non-native/alien species/diseases", "Oil &amp; gas drilling", "Renewable energy", "Utility &amp; service lines", "Industrial &amp; military effluents", "Shipping lanes", "Recreational activities", "Fishing &amp; harvesting aquatic resources"]</t>
  </si>
  <si>
    <t>["Natural System Modifications", "Climate Change &amp; Severe Weather", "Pollution", "Residential &amp; Commercial Development", "Agriculture &amp; Aquaculture", "Human Intrusions &amp; Disturbance", "Invasive &amp; Other Problematic Species, Genes &amp; Diseases", "Energy Production &amp; Mining", "Transportation &amp; Service Corridors", "Biological Resource Use"]</t>
  </si>
  <si>
    <t>["Dams &amp; water management/use", "Oil &amp; gas drilling", "Mining &amp; quarrying", "Roads &amp; railroads"]</t>
  </si>
  <si>
    <t>["Natural System Modifications", "Energy Production &amp; Mining", "Transportation &amp; Service Corridors"]</t>
  </si>
  <si>
    <t>["Dams &amp; water management/use", "Fishing &amp; harvesting aquatic resources", "Invasive non-native/alien species/diseases", "Marine &amp; freshwater aquaculture"]</t>
  </si>
  <si>
    <t>["Natural System Modifications", "Biological Resource Use", "Invasive &amp; Other Problematic Species, Genes &amp; Diseases", "Agriculture &amp; Aquaculture", "Pollution"]</t>
  </si>
  <si>
    <t>["Dams &amp; water management/use","Marine &amp; freshwater aquaculture"]</t>
  </si>
  <si>
    <t>["Natural System Modifications", "Agriculture &amp; Aquaculture", "Pollution"]</t>
  </si>
  <si>
    <t>["Invasive non-native/alien species/diseases"]</t>
  </si>
  <si>
    <t>["Invasive &amp; other problematic species, genes &amp; diseases"]</t>
  </si>
  <si>
    <t>["Invasive non-native/alien species/diseases", "Housing &amp; urban area", "Commercial &amp; industrial areas", "Annual &amp; perennial non-timber crops", "Livestock farming &amp; ranching", "Roads &amp; railroads", "Mining &amp; quarrying"]</t>
  </si>
  <si>
    <t>["Invasive &amp; Other Problematic Species, Genes &amp; Diseases", "Residential &amp; Commercial Development", "Agriculture &amp; Aquaculture", "Transportation &amp; Service Corridors", "Energy Production &amp; Mining"]</t>
  </si>
  <si>
    <t>["Invasive &amp; Other Problematic Species, Genes &amp; Diseases", "Agriculture &amp; aquaculture", "Residential &amp; commercial development"]</t>
  </si>
  <si>
    <t>["Invasive non-native/alien species/diseases", "Habitat shifting &amp; alteration","Industrial &amp; military effluents",  "Introduced genetic material", "Excess energy"]</t>
  </si>
  <si>
    <t>["Invasive &amp; Other Problematic Species, Genes &amp; Diseases", "Climate Change &amp; Severe Weather", "Pollution", "Residential &amp; commercial development", "Biological resource use"]</t>
  </si>
  <si>
    <t>["Invasive non-native/alien species/diseases", "Livestock farming &amp; ranching"]</t>
  </si>
  <si>
    <t>["Invasive &amp; Other Problematic Species, Genes &amp; Diseases", "Agriculture &amp; Aquaculture"]</t>
  </si>
  <si>
    <t>["Invasive non-native/alien species/diseases", "Fishing &amp; harvesting aquatic resources", "Excess energy", "Garbage &amp; solid waste", "Work &amp; other activities", "Habitat shifting &amp; alteration", "Temperature extremes", "Air-borne pollutants", "Shipping lanes", "Industrial &amp; military effluents"]</t>
  </si>
  <si>
    <t>["Invasive &amp; Other Problematic Species, Genes &amp; Diseases", "Biological Resource Use", "Pollution", "Human Intrusions &amp; Disturbance", "Climate Change &amp; Severe Weather", "Transportation &amp; Service Corridors"]</t>
  </si>
  <si>
    <t>["Invasive non-native/alien species/diseases", "Recreational activities"]</t>
  </si>
  <si>
    <t>["Invasive &amp; Other Problematic Species, Genes &amp; Diseases", "Human Intrusions &amp; Disturbance"]</t>
  </si>
  <si>
    <t>["Invasive non-native/alien species/diseases", "Fire &amp; fire suppression", "Gathering terrestrial plants", "Hunting &amp; collecting terrestrial animals", "Problematic native species/diseases"]</t>
  </si>
  <si>
    <t>["Invasive &amp; Other Problematic Species, Genes &amp; Diseases", "Natural System Modifications", "Biological Resource Use", "Pollution"]</t>
  </si>
  <si>
    <t>["Invasive non-native/alien species/diseases", "Problematic native species/diseases"]</t>
  </si>
  <si>
    <t>["Invasive &amp; Other Problematic Species, Genes &amp; Diseases"]</t>
  </si>
  <si>
    <t>["Invasive non-native/alien species/diseases", "Introduced genetic material"]</t>
  </si>
  <si>
    <t>["Problematic native species/diseases"]</t>
  </si>
  <si>
    <t>["Problematic native species/diseases", "Habitat shifting &amp; alteration"]</t>
  </si>
  <si>
    <t>["Invasive &amp; Other Problematic Species, Genes &amp; Diseases", "Climate Change &amp; Severe Weather"]</t>
  </si>
  <si>
    <t>["Introduced genetic material"]</t>
  </si>
  <si>
    <t>["Problematic species/diseases of unknown origin"]</t>
  </si>
  <si>
    <t>["Problematic species/diseases of unknown origin", "Recreational activities", "Hunting &amp; collecting terrestrial animals", "Roads &amp; railroads"]</t>
  </si>
  <si>
    <t>["Invasive &amp; Other Problematic Species, Genes &amp; Diseases", "Human Intrusions &amp; Disturbance", "Biological Resource Use", "Transportation &amp; Service Corridors"]</t>
  </si>
  <si>
    <t>["Viral/prion-induced diseases", "Marine &amp; freshwater aquaculture"]</t>
  </si>
  <si>
    <t>["Diseases of unknown cause"]</t>
  </si>
  <si>
    <t>["Domestic &amp; urban waste water"]</t>
  </si>
  <si>
    <t>["Domestic &amp; urban waste water", "Roads &amp; railroads"]</t>
  </si>
  <si>
    <t>["Pollution", "Transportation &amp; Service Corridors"]</t>
  </si>
  <si>
    <t>["Domestic &amp; urban waste water", "Industrial &amp; military effluents", "Agricultural &amp; forestry effluents", "Invasive non-native/alien species/diseases", "Marine &amp; freshwater aquaculture", "Fishing &amp; harvesting aquatic resources", "Shipping lanes", "Oil &amp; gas drilling", "Temperature extremes", "Other impacts"]</t>
  </si>
  <si>
    <t>["Pollution", "Invasive &amp; Other Problematic Species, Genes &amp; Diseases", "Agriculture &amp; Aquaculture", "Biological Resource Use", "Transportation &amp; Service Corridors", "Energy Production &amp; Mining", "Climate Change &amp; Severe Weather"]</t>
  </si>
  <si>
    <t>["Domestic &amp; urban waste water", "Industrial &amp; military effluents", "Agricultural &amp; forestry effluents", "Garbage &amp; solid waste", "Air-borne pollutants", "Excess energy"]</t>
  </si>
  <si>
    <t>["Domestic &amp; urban waste water", "Agricultural &amp; forestry effluents"]</t>
  </si>
  <si>
    <t>["Industrial &amp; military effluents", "War, civil unrest &amp; military exercises"]</t>
  </si>
  <si>
    <t>["Pollution", "Human Intrusions &amp; Disturbance"]</t>
  </si>
  <si>
    <t>["Industrial &amp; military effluents", "Agricultural &amp; forestry effluents"]</t>
  </si>
  <si>
    <t>["Agricultural &amp; forestry effluents", "Hunting &amp; collecting terrestrial animals"]</t>
  </si>
  <si>
    <t>["Pollution", "Biological Resource Use"]</t>
  </si>
  <si>
    <t>["Agricultural &amp; forestry effluents", "Industrial &amp; military effluents", "Commercial &amp; industrial areas", "Work &amp; other activities"]</t>
  </si>
  <si>
    <t>["Pollution", "Residential &amp; Commercial Development", "Human Intrusions &amp; Disturbance"]</t>
  </si>
  <si>
    <t>["Agricultural &amp; forestry effluents", "Industrial &amp; military effluents", "Domestic &amp; urban waste water", "Commercial &amp; industrial areas", "Recreational activities", "Habitat shifting &amp; alteration", "Excess energy", "Air-borne pollutants", "Shipping lanes", "Invasive non-native/alien species/diseases", "Garbage &amp; solid waste", "Marine &amp; freshwater aquaculture", "Fishing &amp; harvesting aquatic resources", "Oil &amp; gas drilling", "Temperature extremes"]</t>
  </si>
  <si>
    <t>["Pollution", "Residential &amp; Commercial Development", "Human Intrusions &amp; Disturbance", "Energy Production &amp; Mining", "Climate Change &amp; Severe Weather", "Transportation &amp; Service Corridors", "Invasive &amp; Other Problematic Species, Genes &amp; Diseases", "Agriculture &amp; Aquaculture", "Biological Resource Use"]</t>
  </si>
  <si>
    <t>["Agricultural &amp; forestry effluents", "Industrial &amp; military effluents", "Domestic &amp; urban waste water"]</t>
  </si>
  <si>
    <t>["Pollution", "Residential &amp; Commercial Development"]</t>
  </si>
  <si>
    <t>["Garbage &amp; solid waste"]</t>
  </si>
  <si>
    <t>["Air-borne pollutants"]</t>
  </si>
  <si>
    <t>["Air-borne pollutants", "Temperature extremes", "Industrial &amp; military effluents", "Agricultural &amp; forestry effluents", "Excess energy", "Commercial &amp; industrial areas", "Invasive non-native/alien species/diseases", "Oil &amp; gas drilling", "Marine &amp; freshwater aquaculture", "Shipping lanes", "Garbage &amp; solid waste"]</t>
  </si>
  <si>
    <t>["Pollution", "Climate Change &amp; Severe Weather", "Residential &amp; Commercial Development", "Invasive &amp; Other Problematic Species, Genes &amp; Diseases", "Energy Production &amp; Mining", "Agriculture &amp; Aquaculture", "Transportation &amp; Service Corridors"]</t>
  </si>
  <si>
    <t>["Excess energy"]</t>
  </si>
  <si>
    <t>["Excess energy", "Flight paths"]</t>
  </si>
  <si>
    <t>["Excess energy", "Work &amp; other activities"]</t>
  </si>
  <si>
    <t>["Pollution", "Human intrusions &amp; disturbance"]</t>
  </si>
  <si>
    <t>["Excess energy", "Agricultural &amp; forestry effluents"]</t>
  </si>
  <si>
    <t>[ "Dams &amp; water management/use", "Invasive non-native/alien species/diseases", "Commercial &amp; industrial areas", "Fishing &amp; harvesting aquatic resources"]</t>
  </si>
  <si>
    <t>["Natural System Modifications", "Invasive &amp; Other Problematic Species, Genes &amp; Diseases", "Residential &amp; Commercial Development", "Biological Resource Use", "Pollution", "Agriculture &amp; aquaculture"]</t>
  </si>
  <si>
    <t>Publication Type</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</si>
  <si>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</si>
  <si>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</si>
  <si>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</si>
  <si>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</si>
  <si>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</si>
  <si>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</si>
  <si>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</si>
  <si>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</si>
  <si>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</si>
  <si>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</si>
  <si>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</si>
  <si>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</si>
  <si>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</si>
  <si>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</si>
  <si>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</si>
  <si>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</si>
  <si>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</si>
  <si>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</si>
  <si>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</si>
  <si>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</si>
  <si>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</si>
  <si>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</si>
  <si>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</si>
  <si>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</si>
  <si>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</si>
  <si>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</si>
  <si>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</si>
  <si>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</si>
  <si>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</si>
  <si>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</si>
  <si>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</si>
  <si>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</si>
  <si>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</si>
  <si>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</si>
  <si>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</si>
  <si>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</si>
  <si>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</si>
  <si>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</si>
  <si>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</si>
  <si>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</si>
  <si>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</si>
  <si>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</si>
  <si>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</si>
  <si>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</si>
  <si>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</si>
  <si>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</si>
  <si>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</si>
  <si>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</si>
  <si>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</si>
  <si>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</si>
  <si>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</si>
  <si>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</si>
  <si>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</si>
  <si>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</si>
  <si>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</si>
  <si>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</si>
  <si>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</si>
  <si>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</si>
  <si>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</si>
  <si>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</si>
  <si>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</si>
  <si>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</si>
  <si>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</si>
  <si>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</si>
  <si>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</si>
  <si>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</si>
  <si>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</si>
  <si>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</si>
  <si>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</si>
  <si>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Heinemeyer, K; Squires, J; Hebblewhite, M; O'Keefe, JJ; Holbrook, JD; Copeland, J</t>
  </si>
  <si>
    <t/>
  </si>
  <si>
    <t>Heinemeyer, Kimberly; Squires, John; Hebblewhite, Mark; O'Keefe, Julia J.; Holbrook, Joseph D.; Copeland, Jeffrey</t>
  </si>
  <si>
    <t>ECOSPHERE</t>
  </si>
  <si>
    <t>English</t>
  </si>
  <si>
    <t>Article</t>
  </si>
  <si>
    <t>functional response; Gulo gulo; habitat model; indirect habitat loss; winter recreation; wolverine</t>
  </si>
  <si>
    <t>GULO-GULO; RESOURCE SELECTION; ENVIRONMENTAL CONCERN; MOUNTAIN CARIBOU; MULE DEER; CONSERVATION; CLIMATE; BEHAVIOR; INFRASTRUCTURE; REGULARIZATION</t>
  </si>
  <si>
    <t>Outdoor recreation is increasingly recognized to impact nature and wildlife, yet few studies have examined recreation within large natural landscapes that are critical habitat to some of our most rare and potentially disturbance-sensitive species. Over six winters (2010-2015) and four study areas (&gt;1.1 million ha) in Idaho, Wyoming, and Montana, we studied the responses of wolverines (Gulo gulo) to backcountry winter recreation. We fit Global Positioning System (GPS) collars to 24 individual wolverines and acquired &gt;54,000 GPS locations over 39 animal-years during winter (January-April). Simultaneously, we monitored winter recreation, collecting similar to 6000 GPS tracks (similar to 200,000 km) from backcountry recreationists. We combined the GPS tracks with trail use counts and aerial recreation surveys to map the extent and relative intensity of motorized and non-motorized recreation. We integrated our wolverine and backcountry recreation data to (1) assess patterns of wolverine habitat selection and (2) evaluate the effect of backcountry recreation on wolverine habitat relationships. We used resource selection functions to model habitat selection of male and female wolverines within their home ranges. We first modeled habitat selection for environmental covariates to understand male and female habitat use then incorporated winter recreation covariates. We assessed the potential for indirect habitat loss from winter recreation and tested for functional responses of wolverines to differing levels and types of recreation. Motorized recreation occurred at higher intensity across a larger footprint than non-motorized recreation in most wolverine home ranges. Wolverines avoided areas of both motorized and non-motorized winter recreation with off-road recreation eliciting a stronger response than road-based recreation. Female wolverines exhibited stronger avoidance of off-road motorized recreation and experienced higher indirect habitat loss than male wolverines. Wolverines showed negative functional responses to the level of recreation exposure within the home range, with female wolverines showing the strongest functional response to motorized winter recreation. We suggest indirect habitat loss, particularly to females, could be of concern in areas with higher recreation levels. We speculate that the potential for backcountry winter recreation to affect wolverines may increase under dimate change if reduced snow pack concentrates winter recreationists and wolverines in the remaining areas of persistent snow cover.</t>
  </si>
  <si>
    <t>[Heinemeyer, Kimberly; O'Keefe, Julia J.] Round River Conservat Studies, 104 East Main St, Bozeman, MT 59715 USA; [Squires, John; Copeland, Jeffrey] US Forest Serv, Rocky Mt Res Stn, Missoula, MT 59802 USA; [Hebblewhite, Mark] Univ Montana, WA Franke Coll Forestry &amp; Conservat, Wildlife Biol Program, Dept Ecosyst &amp; Conservat Sci, Missoula, MT 59812 USA; [Holbrook, Joseph D.] Univ Wyoming, Haub Sch Environm &amp; Nat Resources, Laramie, WY 82072 USA; [Copeland, Jeffrey] Wolverine Fdn, 4444 Packsaddle Rd, Tetonia, ID 83452 USA</t>
  </si>
  <si>
    <t>United States Department of Agriculture (USDA); United States Forest Service; University of Montana System; University of Montana; University of Wyoming</t>
  </si>
  <si>
    <t>Heinemeyer, K (corresponding author), Round River Conservat Studies, 104 East Main St, Bozeman, MT 59715 USA.</t>
  </si>
  <si>
    <t>kim@roundriver.org</t>
  </si>
  <si>
    <t>Hebblewhite, Mark/G-6164-2013</t>
  </si>
  <si>
    <t>Hebblewhite, Mark/0000-0001-5382-1361</t>
  </si>
  <si>
    <t>U.S. Forest Service; Liz Claiborne Art Ortenberg Foundation; Round River Conservation Studies; Idaho Department of Fish and Game; Wolverine Foundation; Idaho State Snowmobile Association; Idaho Falls Zoo; Sawtooth Society; Defenders of Wildlife; University of Montana</t>
  </si>
  <si>
    <t>U.S. Forest Service(United States Department of Agriculture (USDA)United States Forest Service); Liz Claiborne Art Ortenberg Foundation; Round River Conservation Studies; Idaho Department of Fish and Game; Wolverine Foundation; Idaho State Snowmobile Association; Idaho Falls Zoo; Sawtooth Society; Defenders of Wildlife; University of Montana</t>
  </si>
  <si>
    <t>We thank Ana Egnew, Diane Evans Mack, Lisa Nutt, Mark Drew, Rob Cavallaro, Robin Garwood, and the many additional agency personnel who assisted us from the Payette, Boise, Sawtooth, Bridger-Teton and Caribou-Targhee National Forests, Idaho Department of Fish and Game, Nez Perce Tribe and Wyoming Game and Fish. Funding, equipment, and logistical support for the project were provided by the U.S. Forest Service, Liz Claiborne Art Ortenberg Foundation, Round River Conservation Studies, Idaho Department of Fish and Game, The Wolverine Foundation, Idaho State Snowmobile Association, Idaho Falls Zoo, Sawtooth Society, Defenders of Wildlife, and the University of Montana. Businesses also provided logistic support including Brundage Mountain Resort, Jackson Hole Mountain Resort, Grand Targhee Resort, Sun Valley Heli Ski, Teton Backcountry Guides, and numerous local businesses in the towns of Cascade, Driggs, Fairfield, Island Park, McCall, Stanley, Sun Valley and Victor in Idaho and Jackson, Wyoming. We are indebted to our many hard-working field technicians and volunteers. We also thank the thousands of volunteer recreationists who carried and returned GPS units. We thank Lucretia Olson, Dennis Sizemore, and three anonymous reviewers for reviewing earlier versions of this paper.</t>
  </si>
  <si>
    <t>WILEY</t>
  </si>
  <si>
    <t>HOBOKEN</t>
  </si>
  <si>
    <t>111 RIVER ST, HOBOKEN 07030-5774, NJ USA</t>
  </si>
  <si>
    <t>2150-8925</t>
  </si>
  <si>
    <t>e02611</t>
  </si>
  <si>
    <t>10.1002/ecs2.2611</t>
  </si>
  <si>
    <t>Ecology</t>
  </si>
  <si>
    <t>Science Citation Index Expanded (SCI-EXPANDED); Social Science Citation Index (SSCI)</t>
  </si>
  <si>
    <t>Environmental Sciences &amp; Ecology</t>
  </si>
  <si>
    <t>HP3LA</t>
  </si>
  <si>
    <t>gold</t>
  </si>
  <si>
    <t>2025-12-28</t>
  </si>
  <si>
    <t>WOS:000461577000030</t>
  </si>
  <si>
    <t>["Observational"]</t>
  </si>
  <si>
    <t>Hager, SB; Cosentino, BJ; Mckay, KJ; Monson, C; Zuurdeeg, W; Blevins, B</t>
  </si>
  <si>
    <t>Hager, Stephen B.; Cosentino, Bradley J.; McKay, Kelly J.; Monson, Cathleen; Zuurdeeg, Walt; Blevins, Brian</t>
  </si>
  <si>
    <t>PLOS ONE</t>
  </si>
  <si>
    <t>RELATIVE IMPORTANCE; HABITAT; MORTALITY; SCALE; URBANIZATION; COMPLEXITY; DIVERSITY; LANDBIRDS; COMMUNITY</t>
  </si>
  <si>
    <t>Collisions with windows are an important human-related threat to birds in urban landscapes. However, the proximate drivers of collisions are not well understood, and no study has examined spatial variation in mortality in an urban setting. We hypothesized that the number of fatalities at buildings varies with window area and habitat features that influence avian community structure. In 2010 we documented bird-window collisions (BWCs) and characterized avian community structure at 20 buildings in an urban landscape in northwestern Illinois, USA. For each building and season, we conducted 21 daily surveys for carcasses and nine point count surveys to estimate relative abundance, richness, and diversity. Our sampling design was informed by experimentally estimated carcass persistence times and detection probabilities. We used linear and generalized linear mixed models to evaluate how habitat features influenced community structure and how mortality was affected by window area and factors that correlated with community structure. The most-supported model was consistent for all community indices and included effects of season, development, and distance to vegetated lots. BWCs were related positively to window area and negatively to development. We documented mortalities for 16/72 (22%) species (34 total carcasses) recorded at buildings, and BWCs were greater for juveniles than adults. Based on the most-supported model of BWCs, the median number of annual predicted fatalities at study buildings was 3 (range = 0-52). These results suggest that patchily distributed environmental resources and levels of window area in buildings create spatial variation in BWCs within and among urban areas. Current mortality estimates place little emphasis on spatial variation, which precludes a fundamental understanding of the issue. To focus conservation efforts, we illustrate how knowledge of the structural and environmental factors that influence bird-window collisions can be used to predict fatalities in the broader landscape.</t>
  </si>
  <si>
    <t>[Hager, Stephen B.] Augustana Coll, Dept Biol, Rock Isl, IL 61201 USA; [Cosentino, Bradley J.] Hobart &amp; William Smith Coll, Dept Biol, Geneva, NY 14456 USA; [McKay, Kelly J.] BioEco Res &amp; Monitoring Ctr, Hampton, IL USA</t>
  </si>
  <si>
    <t>Hobart &amp; William Smith Colleges</t>
  </si>
  <si>
    <t>Hager, SB (corresponding author), Augustana Coll, Dept Biol, Rock Isl, IL 61201 USA.</t>
  </si>
  <si>
    <t>stevehager@augustana.edu</t>
  </si>
  <si>
    <t>Quad City Audubon Society; Augustana College</t>
  </si>
  <si>
    <t>The authors received $2,400 from the Quad City Audubon Society (www.quadcityaudubon.org/) for travel expenses for carcass surveys. There is no grant number. The lead author (SBH) was awarded $ 1,000 Presidential Scholarship from Augustana College (www.augustana.edu). The funders had no role in study design, data collection and analysis, decision to publish, or preparation of the manuscript.</t>
  </si>
  <si>
    <t>PUBLIC LIBRARY SCIENCE</t>
  </si>
  <si>
    <t>SAN FRANCISCO</t>
  </si>
  <si>
    <t>1160 BATTERY STREET, STE 100, SAN FRANCISCO, CA 94111 USA</t>
  </si>
  <si>
    <t>1932-6203</t>
  </si>
  <si>
    <t>PLoS One</t>
  </si>
  <si>
    <t>JAN 9</t>
  </si>
  <si>
    <t>e53371</t>
  </si>
  <si>
    <t>10.1371/journal.pone.0053371</t>
  </si>
  <si>
    <t>Multidisciplinary Sciences</t>
  </si>
  <si>
    <t>Science Citation Index Expanded (SCI-EXPANDED)</t>
  </si>
  <si>
    <t>Science &amp; Technology - Other Topics</t>
  </si>
  <si>
    <t>070YR</t>
  </si>
  <si>
    <t>Green Submitted, gold</t>
  </si>
  <si>
    <t>WOS:000313551500067</t>
  </si>
  <si>
    <t>Marques, AT; Santos, CD; Hanssen, F; Munoz, AR; Onrubia, A; Wikelski, M; Moreira, F; Palmeirim, JM; Silva, JP</t>
  </si>
  <si>
    <t>Marques, Ana T.; Santos, Carlos D.; Hanssen, Frank; Munoz, Antonio-Roman; Onrubia, Alejandro; Wikelski, Martin; Moreira, Francisco; Palmeirim, Jorge Manuel; Silva, Joao P.</t>
  </si>
  <si>
    <t>JOURNAL OF ANIMAL ECOLOGY</t>
  </si>
  <si>
    <t>aerial habitat; avoidance behaviour; migration; orographic uplift; raptor; thermal uplift; wind farms</t>
  </si>
  <si>
    <t>SATELLITE TRACKING; AUTUMN MIGRATION; GOLDEN EAGLES; SPACE USE; MORTALITY; FARM; REGRESSION; MOVEMENT; RAPTORS; STRAIT</t>
  </si>
  <si>
    <t>Wind energy production has expanded to meet climate change mitigation goals, but negative impacts of wind turbines have been reported on wildlife. Soaring birds are among the most affected groups with alarming fatality rates by collision with wind turbines and an escalating occupation of their migratory corridors. These birds have been described as changing their flight trajectories to avoid wind turbines, but this behaviour may lead to functional habitat loss, as suitable soaring areas in the proximity of wind turbines will likely be underused. We modelled the displacement effect of wind turbines on black kites (Milvus migrans) tracked by GPS. We also evaluated the impact of this effect at the scale of the landscape by estimating how much suitable soaring area was lost to wind turbines. We used state-of-the-art tracking devices to monitor the movements of 130 black kites in an area populated by wind turbines, at the migratory bottleneck of the Strait of Gibraltar. Landscape use by birds was mapped from GPS data using dynamic Brownian bridge movement models, and generalized additive mixed modelling was used to estimate the effect of wind turbine proximity on bird use while accounting for orographic and thermal uplift availability. We found that areas up to approximately 674 m away from the turbines were less used than expected given their uplift potential. Within that distance threshold, bird use decreased with the proximity to wind turbines. We estimated that the footprint of wind turbines affected 3%-14% of the areas suitable for soaring in our study area. We present evidence that the impacts of wind energy industry on soaring birds are greater than previously acknowledged. In addition to the commonly reported fatalities, the avoidance of turbines by soaring birds causes habitat losses in their movement corridors. Authorities should recognize this further impact of wind energy production and establish new regulations that protect soaring habitat. We also showed that soaring habitat for birds can be modelled at a fine scale using publicly available data. Such an approach can be used to plan low-impact placement of turbines in new wind energy developments.</t>
  </si>
  <si>
    <t>[Marques, Ana T.; Palmeirim, Jorge Manuel; Silva, Joao P.] Univ Lisbon, Fac Ciencias, CE3c Ctr Ecol Evolucao &amp; Alteracoes Ambientais, P-1749016 Lisbon, Portugal; [Marques, Ana T.] Univ Lisbon, Inst Super Agron, Ctr Ecol Aplicada Prof Baeta Neves CEABN, InBio, Lisbon, Portugal; [Marques, Ana T.; Moreira, Francisco; Silva, Joao P.] Univ Porto, Ctr Invest Biodiversidade &amp; Recursos Genet, REN Biodivers Chair, CIBIO InBio,Lab Associado, Vairao, Portugal; [Santos, Carlos D.; Wikelski, Martin] Max Planck Inst Ornithol, Dept Migrat &amp; Immunoecol, Radolfzell am Bodensee, Germany; [Santos, Carlos D.] Univ Fed Para, Nucleo Teoria &amp; Pesquisa Comportamento, Belem, Para, Brazil; [Hanssen, Frank] Norwegian Inst Nat Res, Trondheim, Norway; [Munoz, Antonio-Roman] Univ Malaga, Fac Ciencias, Dept Biol Anim, Biogeog Divers &amp; Conservat Res Team, Malaga, Spain; [Onrubia, Alejandro] Fdn Migres CIMA, Cadiz, Spain; [Wikelski, Martin] Univ Konstanz, Dept Biol, Constance, Germany; [Moreira, Francisco; Silva, Joao P.] Univ Lisbon, Inst Super Agron, Ctr Invest Biodiversidade &amp; Recursos Genet, CIBIO InBio,Lab Associado, Lisbon, Portugal</t>
  </si>
  <si>
    <t>Universidade de Lisboa; Universidade de Lisboa; Universidade do Porto; Max Planck Society; Universidade Federal do Para; Norwegian Institute Nature Research; Universidad de Malaga; University of Konstanz; Universidade de Lisboa</t>
  </si>
  <si>
    <t>Marques, AT (corresponding author), Univ Lisbon, Fac Ciencias, CE3c Ctr Ecol Evolucao &amp; Alteracoes Ambientais, P-1749016 Lisbon, Portugal.;Marques, AT (corresponding author), Univ Lisbon, Inst Super Agron, Ctr Ecol Aplicada Prof Baeta Neves CEABN, InBio, Lisbon, Portugal.;Marques, AT (corresponding author), Univ Porto, Ctr Invest Biodiversidade &amp; Recursos Genet, REN Biodivers Chair, CIBIO InBio,Lab Associado, Vairao, Portugal.</t>
  </si>
  <si>
    <t>ateresamarques@gmail.com</t>
  </si>
  <si>
    <t>Marques, Ana Teresa/J-2585-2014; Palmeirim, Jorge/A-1323-2014; Onrubia, Alejano/G-3314-2016; Moreira, Francisco/B-2873-2008; Santos, Carlos David/E-5881-2013; Silva, João Paulo/L-6745-2013; Muñoz, Antonio-Román/K-8259-2014; Hanssen, Frank/AAW-2037-2020; Wikelski, Martin/LZF-2734-2025</t>
  </si>
  <si>
    <t>Marques, Ana Teresa/0000-0003-3279-643X; Palmeirim, Jorge/0000-0003-4734-8162; Onrubia, Alejano/0000-0001-8860-3524; Moreira, Francisco/0000-0003-4393-8018; Santos, Carlos David/0000-0001-5693-9795; Silva, João Paulo/0000-0002-1956-5779; Muñoz, Antonio-Román/0000-0002-0253-7632; Hanssen, Frank/0000-0002-0775-6340;</t>
  </si>
  <si>
    <t>0021-8790</t>
  </si>
  <si>
    <t>1365-2656</t>
  </si>
  <si>
    <t>J ANIM ECOL</t>
  </si>
  <si>
    <t>J. Anim. Ecol.</t>
  </si>
  <si>
    <t>JAN</t>
  </si>
  <si>
    <t>10.1111/1365-2656.12961</t>
  </si>
  <si>
    <t>Ecology; Zoology</t>
  </si>
  <si>
    <t>Environmental Sciences &amp; Ecology; Zoology</t>
  </si>
  <si>
    <t>KB7YZ</t>
  </si>
  <si>
    <t>Green Submitted, Bronze</t>
  </si>
  <si>
    <t>WOS:000506707800010</t>
  </si>
  <si>
    <t>Lehnert, LS; Kramer-Schadt, S; Schönborn, S; Lindecke, O; Niermann, I; Voigt, CC</t>
  </si>
  <si>
    <t>Lehnert, Linn S.; Kramer-Schadt, Stephanie; Schoenborn, Sophia; Lindecke, Oliver; Niermann, Ivo; Voigt, Christian C.</t>
  </si>
  <si>
    <t>Wind Farm Facilities in Germany Kill Noctule Bats from Near and Far</t>
  </si>
  <si>
    <t>ENERGY DEVELOPMENT; STABLE HYDROGEN; ADULT SURVIVAL; MIGRATION; MORTALITY; LASIURUS; ISOTOPES</t>
  </si>
  <si>
    <t>Over recent years, it became widely accepted that alternative, renewable energy may come at some risk for wildlife, for example, when wind turbines cause large numbers of bat fatalities. To better assess likely populations effects of wind turbine related wildlife fatalities, we studied the geographical origin of the most common bat species found dead below German wind turbines, the noctule bat (Nyctalus noctula). We measured stable isotope ratios of non-exchangeable hydrogen in fur keratin to separate migrants from local individuals, used a linear mixed-effects model to identify temporal, spatial and biological factors explaining the variance in measured stable isotope ratios and determined the geographical breeding provenance of killed migrants using isoscape origin models. We found that 72% of noctule bat casualties (n = 136) were of local origin, while 28% were long-distance migrants. These findings highlight that bat fatalities at German wind turbines may affect both local and distant populations. Our results indicated a sex and age-specific vulnerability of bats towards lethal accidents at turbines, i.e. a relatively high proportion of killed females were recorded among migratory individuals, whereas more juveniles than adults were recorded among killed bats of local origin. Migratory noctule bats were found to originate from distant populations in the Northeastern parts of Europe. The large catchment areas of German wind turbines and high vulnerability of female and juvenile noctule bats call for immediate action to reduce the negative cross-boundary effects of bat fatalities at wind turbines on local and distant populations. Further, our study highlights the importance of implementing effective mitigation measures and developing species and scale-specific conservation approaches on both national and international levels to protect source populations of bats. The efficacy of local compensatory measures appears doubtful, at least for migrant noctule bats, considering the large geographical catchment areas of German wind turbines for this species.</t>
  </si>
  <si>
    <t>[Lehnert, Linn S.; Kramer-Schadt, Stephanie; Schoenborn, Sophia; Lindecke, Oliver; Voigt, Christian C.] Leibniz Inst Zoo &amp; Wildlife Res, Dept Evolutionary Ecol, Berlin, Germany; [Lindecke, Oliver] Univ Halle Wittenberg, Cent Repository Nat Sci Collect, D-06108 Halle, Saale, Germany; [Niermann, Ivo] Leibniz Univ Hannover, Inst Environm Planning, D-30167 Hannover, Germany</t>
  </si>
  <si>
    <t>Leibniz Institut fur Zoo und Wildtierforschung; Martin Luther University Halle Wittenberg; Leibniz University Hannover</t>
  </si>
  <si>
    <t>Lehnert, LS (corresponding author), Leibniz Inst Zoo &amp; Wildlife Res, Dept Evolutionary Ecol, Berlin, Germany.</t>
  </si>
  <si>
    <t>lehnert@izw-berlin.de</t>
  </si>
  <si>
    <t>Lindecke, Oliver/Z-4304-2019; Kramer-Schadt, Stephanie/A-8778-2013; Lehnert, Linn/E-2941-2016</t>
  </si>
  <si>
    <t>Lindecke, Oliver/0000-0002-2545-9999; Kramer-Schadt, Stephanie/0000-0002-9269-4446;</t>
  </si>
  <si>
    <t>Federal State of Berlin (Elsa-Neumann-Stipendium)</t>
  </si>
  <si>
    <t>We would like to thank Anja Luckner and Karin Sorgel from the IZW stable isotope laboratory for isotope analyses. We are indebted to Tobias Durr (Staatliche Vogelschutzwarte Buckow) for making fur samples available and thank Burkhard Lehmann and colleagues from MYOTIS - Buro fur Landschaftsokologie for support during fieldwork. Linn Sophia Lehnert was supported by the PhD student grant of the Federal State of Berlin (Elsa-Neumann-Stipendium).</t>
  </si>
  <si>
    <t>AUG 13</t>
  </si>
  <si>
    <t>e103106</t>
  </si>
  <si>
    <t>10.1371/journal.pone.0103106</t>
  </si>
  <si>
    <t>AN9BM</t>
  </si>
  <si>
    <t>WOS:000340900600017</t>
  </si>
  <si>
    <t>Fargione, J; Kiesecker, J; Slaats, MJ; Olimb, S</t>
  </si>
  <si>
    <t>Fargione, Joseph; Kiesecker, Joseph; Slaats, M. Jan; Olimb, Sarah</t>
  </si>
  <si>
    <t>Wind and Wildlife in the Northern Great Plains: Identifying Low-Impact Areas for Wind Development</t>
  </si>
  <si>
    <t>ENERGY FACILITIES; MORTALITY; BAT; FATALITIES</t>
  </si>
  <si>
    <t>Wind energy offers the potential to reduce carbon emissions while increasing energy independence and bolstering economic development. However, wind energy has a larger land footprint per Gigawatt (GW) than most other forms of energy production and has known and predicted adverse effects on wildlife. The Northern Great Plains (NGP) is home both to some of the world's best wind resources and to remaining temperate grasslands, the most converted and least protected ecological system on the planet. Thus, appropriate siting and mitigation of wind development is particularly important in this region. Steering energy development to disturbed lands with low wildlife value rather than placing new developments within large and intact habitats would reduce impacts to wildlife. Goals for wind energy development in the NGP are roughly 30 GW of nameplate capacity by 2030. Our analyses demonstrate that there are large areas where wind development would likely have few additional impacts on wildlife. We estimate there are similar to 1,056 GW of potential wind energy available across the NGP on areas likely to have low-impact for biodiversity, over 35 times development goals. New policies and approaches will be required to guide wind energy development to low-impact areas.</t>
  </si>
  <si>
    <t>[Fargione, Joseph; Slaats, M. Jan] Nature Conservancy, Minneapolis, MN USA; [Kiesecker, Joseph] Nature Conservancy, Ft Collins, CO USA; [Olimb, Sarah] World Wildlife Fund, Bozeman, MT USA</t>
  </si>
  <si>
    <t>Nature Conservancy; Nature Conservancy; World Wildlife Fund</t>
  </si>
  <si>
    <t>Fargione, J (corresponding author), Nature Conservancy, Minneapolis, MN USA.</t>
  </si>
  <si>
    <t>jfargione@TNC.ORG</t>
  </si>
  <si>
    <t>Olimb, Sarah/IAN-0014-2023</t>
  </si>
  <si>
    <t>Olimb, Sarah/0000-0001-5714-6586; Fargione, Joseph/0000-0002-0636-5380</t>
  </si>
  <si>
    <t>JUL 25</t>
  </si>
  <si>
    <t>e41468</t>
  </si>
  <si>
    <t>10.1371/journal.pone.0041468</t>
  </si>
  <si>
    <t>979GX</t>
  </si>
  <si>
    <t>WOS:000306806600070</t>
  </si>
  <si>
    <t>Shilling, FM; Waetjen, DP</t>
  </si>
  <si>
    <t>Shilling, Fraser M.; Waetjen, David P.</t>
  </si>
  <si>
    <t>NATURE CONSERVATION-BULGARIA</t>
  </si>
  <si>
    <t>Article; Proceedings Paper</t>
  </si>
  <si>
    <t>IENE International Conference on Ecology and Transportation</t>
  </si>
  <si>
    <t>SEP 16-19, 2014</t>
  </si>
  <si>
    <t>Malmo Univ, Malmo, SWEDEN</t>
  </si>
  <si>
    <t>IENE,Swedish Transport Adm,Swedish Univ Agr Sci,Danish Road Directorate,Calluna AB</t>
  </si>
  <si>
    <t>Malmo Univ</t>
  </si>
  <si>
    <t>Transportation; Wildlife-Vehicle Collisions; Roadkill; Informatics; Citizen Science; Wildlife Observation; Wildlife Movement</t>
  </si>
  <si>
    <t>CITIZEN-SCIENCE; ROAD-MORTALITY; SPATIAL-ANALYSIS; IDENTIFICATION; CONSERVATION; ACCIDENTS; ABUNDANCE; ACCURACY; RISK; TOOL</t>
  </si>
  <si>
    <t>Highways provide commuter traffic and goods movement among regions and cities through wild, protected areas. Wildlife-vehicle collisions (WVC) can occur frequently when wildlife are present, impacting drivers and animals. Because collisions are often avoidable with constructed mitigation and reduced speeds, transportation agencies often want to know where they can act most effectively and what kinds of mitigation are cost-effective. For this study, WVC occurrences were obtained from two sources: 1) highway agencies that monitor carcass retrieval and disposal by agency maintenance staff and 2) opportunistic observations of carcasses by participants in two statewide systems, the California Roadkill Observation System (CROS; http://wildlifecrossing.net/california) and the Maine Audubon Wildlife Road Watch (MAWRW; http://wildlifecrossing.net/maine). Between September, 2009 and December 31, 2014, &gt;33,700 independent observations of &gt;450 vertebrate species had been recorded in these online, form-based informatics systems by &gt;1,300 observers. We asked whether or not WVC observations collected by these extensive, volunteer-science networks could be used to inform transportation-mitigation planning. Cluster analyses of volunteer-observed WVC were performed using spatial autocorrelation tests for parts or all of 34 state highways and interstates. Statistically-significant WVC hotspots were modeled using the Getis-Ord Gi* statistic. High density locations of WVC, that were not necessarily hotspots, were also visualized. Statistically-significant hotspots were identified along similar to 7,900 km of highways. These hotspots are shown to vary in position from year to year. For highways with frequent deer-vehicle collisions, annual costs from collisions ranged from US$0 to &gt;US$30,000/km. Carcass clusters from volunteer data had very little or no overlap with similar findings from agency-collected WVC data, during a different time-range. We show that both state agency-collected and volunteer-collection of WVC observations could be useful in prioritizing mitigation action at US state-scales by state transportation agencies to protect biodiversity and driver safety Because of the spatial extent and taxonomic accuracy at which volunteer observations can be collected, these may be the most important source of data for transportation agencies to protect drivers and wildlife.</t>
  </si>
  <si>
    <t>[Shilling, Fraser M.; Waetjen, David P.] Univ Calif Davis, Dept Environm Sci &amp; Policy, Davis, CA 95616 USA</t>
  </si>
  <si>
    <t>University of California System; University of California Davis</t>
  </si>
  <si>
    <t>Shilling, FM (corresponding author), Univ Calif Davis, Dept Environm Sci &amp; Policy, One Shields Ave, Davis, CA 95616 USA.</t>
  </si>
  <si>
    <t>fmshilling@ucdavis.edu</t>
  </si>
  <si>
    <t>PENSOFT PUBLISHERS</t>
  </si>
  <si>
    <t>SOFIA</t>
  </si>
  <si>
    <t>12 PROF GEORGI ZLATARSKI ST, SOFIA, 1700, BULGARIA</t>
  </si>
  <si>
    <t>1314-6947</t>
  </si>
  <si>
    <t>1314-3301</t>
  </si>
  <si>
    <t>NAT CONSERV-BULGARIA</t>
  </si>
  <si>
    <t>Nat. Conserv.-Bulgaria</t>
  </si>
  <si>
    <t>SI</t>
  </si>
  <si>
    <t>10.3897/natureconservation.11.4438</t>
  </si>
  <si>
    <t>Biodiversity Conservation</t>
  </si>
  <si>
    <t>Science Citation Index Expanded (SCI-EXPANDED); Conference Proceedings Citation Index - Science (CPCI-S)</t>
  </si>
  <si>
    <t>Biodiversity &amp; Conservation</t>
  </si>
  <si>
    <t>CO8VB</t>
  </si>
  <si>
    <t>WOS:000359449200005</t>
  </si>
  <si>
    <t>Filius, J; van der Hoek, Y; Jarrín-V, P; van Hooft, P</t>
  </si>
  <si>
    <t>Filius, Jonathan; van der Hoek, Yntze; Jarrin-V, Pablo; van Hooft, Pim</t>
  </si>
  <si>
    <t>ECOLOGY AND EVOLUTION</t>
  </si>
  <si>
    <t>Amazon; herpetofauna; hotspots; road ecology; roadkill; spatial patterns</t>
  </si>
  <si>
    <t>VEHICLE COLLISIONS; ECUADORIAN AMAZON; MODEL SELECTION; MORTALITY RISK; HOT-SPOTS; ECOLOGY; HIGHWAYS; FOREST; DEFORESTATION; BIODIVERSITY</t>
  </si>
  <si>
    <t>One of the most evident and direct effects of roads on wildlife is the death of animals by vehicle collision. Understanding the spatial patterns behind roadkill helps to plan mitigation measures to reduce the impacts of roads on animal populations. However, although roadkill patterns have been extensively studied in temperate zones, the potential impacts of roads on wildlife in the Neotropics have received less attention and are particularly poorly understood in the Western Amazon. Here, we present the results of a study on roadkill in the Amazon region of Ecuador; a region that is affected by a rapidly increasing development of road infrastructure. Over the course of 50 days, in the wet season between September and November 2017, we searched for road-killed vertebrates on 15.9 km of roads near the city of Tena, Napo province, for a total of 1,590 surveyed kilometers. We recorded 593 dead specimens, predominantly reptiles (237 specimens, 40%) and amphibians (190, 32%), with birds (102, 17%) and mammals (64, 11%) being less common. Recorded species were assigned to three functional groups, based on their movement behavior and habitat use (slow, intermediate, and fast). Using Ripley's K statistical analyses and 2D HotSpot Identification Analysis, we found multiple distinct spatial clusters or hotspots, where roadkill was particularly frequent. Factors that potentially determined these clusters, and the prevalence of roadkill along road segments in general, differed between functional groups, but often included land cover variables such as native forest and waterbodies, and road characteristics such as speed limit (i.e., positive effect on roadkill frequency). Our study, which provides a first summary of species that are commonly found as roadkill in this part of the Amazon region, contributes to a better understanding of the negative impacts of roads on wildlife and is an important first step toward conservation efforts to mitigate these impacts.</t>
  </si>
  <si>
    <t>[Filius, Jonathan; van Hooft, Pim] Wageningen Univ &amp; Res, Wildlife Ecol &amp; Conservat Grp, Wageningen, Netherlands; [van der Hoek, Yntze] Univ Reg Amazonica Ikiam, Tena, Ecuador; [van der Hoek, Yntze] Dian Fossey Gorilla Fund Int, Musanze, Rwanda; [Jarrin-V, Pablo] Univ Reg Amazonica Ikiam, Grp Poblac &amp; Ambiente, Tena, Ecuador</t>
  </si>
  <si>
    <t>Wageningen University &amp; Research</t>
  </si>
  <si>
    <t>Filius, J (corresponding author), Wageningen Univ &amp; Res, Wildlife Ecol &amp; Conservat Grp, Wageningen, Netherlands.</t>
  </si>
  <si>
    <t>filiusjonathan@gmail.com</t>
  </si>
  <si>
    <t>Jarrín-V, Pablo/0000-0002-7431-0381; Filius, Jonathan/0000-0002-1292-955X</t>
  </si>
  <si>
    <t>2045-7758</t>
  </si>
  <si>
    <t>ECOL EVOL</t>
  </si>
  <si>
    <t>Ecol. Evol.</t>
  </si>
  <si>
    <t>JUL</t>
  </si>
  <si>
    <t>10.1002/ece3.6394</t>
  </si>
  <si>
    <t>JUN 2020</t>
  </si>
  <si>
    <t>Ecology; Evolutionary Biology</t>
  </si>
  <si>
    <t>Environmental Sciences &amp; Ecology; Evolutionary Biology</t>
  </si>
  <si>
    <t>NG3SX</t>
  </si>
  <si>
    <t>WOS:000541248700001</t>
  </si>
  <si>
    <t>Ghorbani, A; Gravendeel, B; Naghibi, F; de Boer, H</t>
  </si>
  <si>
    <t>Ghorbani, Abdolbaset; Gravendeel, Barbara; Naghibi, Farzaneh; de Boer, Hugo</t>
  </si>
  <si>
    <t>Wild orchid tuber collection in Iran: a wake-up call for conservation</t>
  </si>
  <si>
    <t>BIODIVERSITY AND CONSERVATION</t>
  </si>
  <si>
    <t>Salep; Orchidaceae; Anacamptis; Orchis; Dactylorhiza; Sustainability; CITES</t>
  </si>
  <si>
    <t>TRADE; SALEP</t>
  </si>
  <si>
    <t>Wild orchids are traditionally harvested as Salep and used in traditional medicine and ice-cream production in Iran. Recently however, illegal harvest of wild orchids for export appears to have grown. This study aimed to: (1) determine the diversity of harvested wild orchid species and their collection sites in Iran; and (2) study the current harvest status and trade chain and volume to estimate the total orchid plant extraction from natural populations. Field surveys of collectors and market surveys of traders were conducted to establish the diversity of collected species, to identify harvest hotspots, and to document harvesting and trade volumes. Sixteen species and subspecies from 7 genera of Orchidaceae are collected for their tubers. Based on estimates from the 2013 April to June harvest season more than 24.5 tons of fresh tubers were collected from three districts in Golestan province alone. It is estimated that this amount of tuber requires the lethal destructive harvesting of 5.5 -6.1 million orchids, with a market value of 320,000 USD. In the Tehran Bazar Salep trade during May-July 2013 was 1.9 tons of dried tubers, with estimated retail value of 310,000 USD. Current orchid collection practices in Iran, which have soared in recent years due to international demand, do not seem sustainable as all tubers are collected destructively. To preserve orchid populations, in the longterm, establishment of specific Orchid Conservation Areas and introduction of sustainable production practices, could alleviate harvesting pressure. In the midterm, development of a DNA barcoding-based molecular identification system could help to monitor and control illegal trade. In the near term, effective implementation of collection bans in excessively harvested areas and strengthening of current regulations are necessary to avoid the catastrophic effects of harvesting on orchid populations, as has been observed in Turkey.</t>
  </si>
  <si>
    <t>[Ghorbani, Abdolbaset; de Boer, Hugo] Uppsala Univ, Dept Organismal Biol, Evolutionary Biol Ctr, Uppsala, Sweden; [Gravendeel, Barbara; de Boer, Hugo] Nat Biodivers Ctr, Leiden, Netherlands; [Gravendeel, Barbara] Univ Appl Sci, Leiden, Netherlands; [Ghorbani, Abdolbaset; Naghibi, Farzaneh] Shaheed Beheshti Univ Med Sci, Tradit Med &amp; Mat Med Res Ctr, Tehran, Iran; [de Boer, Hugo] Univ Oslo, Nat Hist Museum, Oslo, Norway</t>
  </si>
  <si>
    <t>Uppsala University; Naturalis Biodiversity Center; Shahid Beheshti University Medical Sciences; University of Oslo</t>
  </si>
  <si>
    <t>de Boer, H (corresponding author), Uppsala Univ, Dept Organismal Biol, Evolutionary Biol Ctr, Uppsala, Sweden.</t>
  </si>
  <si>
    <t>hugo.deboer@ebc.uu.se</t>
  </si>
  <si>
    <t>Naghibi, Fereydoun/AFS-3715-2022; de Boer, Hugo/AAS-7585-2020; de Boer, Hugo/B-5640-2015</t>
  </si>
  <si>
    <t>Gravendeel, Barbara/0000-0002-6508-0895; de Boer, Hugo/0000-0003-1985-7859</t>
  </si>
  <si>
    <t>Carl Tryggers Foundation for Scientific Research; Netherlands Organisation for Scientific Research (NWO)</t>
  </si>
  <si>
    <t>Carl Tryggers Foundation for Scientific Research; Netherlands Organisation for Scientific Research (NWO)(Netherlands Organization for Scientific Research (NWO))</t>
  </si>
  <si>
    <t>The authors are indebted to local plant collectors and traders for their cordiality and cooperation. We also gratefully acknowledge the Carl Tryggers Foundation for Scientific Research for providing a postdoctoral research stipend to AG (through HdB). HdB is a research fellow at Naturalis financed by the Netherlands Organisation for Scientific Research (NWO). Further support for fieldwork was gratefully received from an Anne S. Chatham fellowship of the Garden Club of America (AG), Sven och Dagmar Salens stiftelse (HdB), Lars Hiertas Minne (HdB) and the Swedish Science Council Swedish Research Links program (HdB). In Memoriam: Farzaneh Naghibi passed away in early 2014. She was an inspiration to all of us, as well as to a generation of Iranian researchers in ethnobotany and pharmacognosy. She will be remembered for her focus on quality and innovative research and her openhearted hospitality. She was an active coach for young researchers both male and female, providing opportunities for aspiring students to fulfill their ambitions, show their dedication, and develop their independence.</t>
  </si>
  <si>
    <t>SPRINGER</t>
  </si>
  <si>
    <t>DORDRECHT</t>
  </si>
  <si>
    <t>VAN GODEWIJCKSTRAAT 30, 3311 GZ DORDRECHT, NETHERLANDS</t>
  </si>
  <si>
    <t>0960-3115</t>
  </si>
  <si>
    <t>1572-9710</t>
  </si>
  <si>
    <t>BIODIVERS CONSERV</t>
  </si>
  <si>
    <t>Biodivers. Conserv.</t>
  </si>
  <si>
    <t>10.1007/s10531-014-0746-y</t>
  </si>
  <si>
    <t>Biodiversity Conservation; Ecology; Environmental Sciences</t>
  </si>
  <si>
    <t>Biodiversity &amp; Conservation; Environmental Sciences &amp; Ecology</t>
  </si>
  <si>
    <t>AO1OB</t>
  </si>
  <si>
    <t>WOS:000341081400005</t>
  </si>
  <si>
    <t>Pilot, M; Greco, C; vonHoldt, BM; Randi, E; Jedrzejewski, W; Sidorovich, VE; Konopinski, MK; Ostrander, EA; Wayne, RK</t>
  </si>
  <si>
    <t>Pilot, Malgorzata; Greco, Claudia; vonHoldt, Bridgett M.; Randi, Ettore; Jedrzejewski, Wlodzimierz; Sidorovich, Vadim E.; Konopinski, Maciej K.; Ostrander, Elaine A.; Wayne, Robert K.</t>
  </si>
  <si>
    <t>EVOLUTIONARY APPLICATIONS</t>
  </si>
  <si>
    <t>admixed ancestry; domestic dog; gene introgression; grey wolf; hybridisation</t>
  </si>
  <si>
    <t>CANIS-LUPUS; ADMIXED ANCESTRY; DETECTING HYBRIDIZATION; EVOLUTIONARY HISTORY; POPULATION-STRUCTURE; GENE FLOW; WOLF; WILD; GENOME; INTROGRESSION</t>
  </si>
  <si>
    <t>Hybridisation between a domesticated species and its wild ancestor is an important conservation problem, especially if it results in the introgression of domestic gene variants into wild species. Nevertheless, the legal status of hybrids remains unregulated, partially because of the limited understanding of the hybridisation process and its consequences. The occurrence of hybridisation between grey wolves and domestic dogs is well documented from different parts of the wolf geographic range, but little is known about the frequency of hybridisation events, their causes and the genetic impact on wolf populations. We analysed 61K SNPs spanning the canid genome in wolves from across Eurasia and North America and compared that data to similar data from dogs to identify signatures of admixture. The haplotype block analysis, which included 38 autosomes and the X chromosome, indicated the presence of individuals of mixed wolf-dog ancestry in most Eurasian wolf populations, but less admixture was present in North American populations. We found evidence for male-biased introgression of dog alleles into wolf populations, but also identified a first-generation hybrid resulting from mating between a female dog and a male wolf. We found small blocks of dog ancestry in the genomes of 62% Eurasian wolves studied and melanistic individuals with no signs of recent admixed ancestry, but with a dog-derived allele at a locus linked to melanism. Consequently, these results suggest that hybridisation has been occurring in different parts of Eurasia on multiple timescales and is not solely a recent phenomenon. Nevertheless, wolf populations have maintained genetic differentiation from dogs, suggesting that hybridisation at a low frequency does not diminish distinctiveness of the wolf gene pool. However, increased hybridisation frequency may be detrimental for wolf populations, stressing the need for genetic monitoring to assess the frequency and distribution of individuals resulting from recent admixture.</t>
  </si>
  <si>
    <t>[Pilot, Malgorzata] Univ Lincoln, Sch Life Sci, Lincoln, England; [Greco, Claudia; Randi, Ettore] Italian Natl Inst Environm Protect &amp; Res, Dept Environm Monitoring &amp; Biodivers Conservat, Bologna, Italy; [vonHoldt, Bridgett M.] Princeton Univ, Dept Ecol &amp; Evolutionary Biol, Princeton, NJ 08544 USA; [Randi, Ettore] Aalborg Univ, Dept 18, Sect Environm Engn, Aalborg, Denmark; [Jedrzejewski, Wlodzimierz] Polish Acad Sci, Mammal Res Inst, Bialowieza, Poland; [Sidorovich, Vadim E.] Natl Acad Sci Belarus, Inst Zool, Minsk, BELARUS; [Konopinski, Maciej K.] Polish Acad Sci, Inst Nat Conservat, Krakow, Poland; [Ostrander, Elaine A.] NHGRI, Canc Genet &amp; Comparat Genom Branch, NIH, Bethesda, MD 20892 USA; [Wayne, Robert K.] Univ Calif Los Angeles, Dept Ecol &amp; Evolutionary Biol, Los Angeles, CA 90095 USA; [Jedrzejewski, Wlodzimierz] IVIC, Ctr Ecol, Caracas, Venezuela</t>
  </si>
  <si>
    <t>University of Lincoln; Princeton University; Aalborg University; Polish Academy of Sciences; Mammal Research Institute of the Polish Academy of Sciences; National Academy of Sciences of Belarus (NASB); Scientific &amp; Practical Center for Bioresources of the National Academy of Sciences of Belarus; Polish Academy of Sciences; National Institutes of Health (NIH) - USA; NIH National Human Genome Research Institute (NHGRI); University of California System; University of California Los Angeles; Venezuelan Institute Science Research</t>
  </si>
  <si>
    <t>Pilot, M (corresponding author), Univ Lincoln, Sch Life Sci, Lincoln, England.;Wayne, RK (corresponding author), Univ Calif Los Angeles, Dept Ecol &amp; Evolutionary Biol, Los Angeles, CA 90095 USA.</t>
  </si>
  <si>
    <t>mpilot@lincoln.ac.uk; rwayne@ucla.edu</t>
  </si>
  <si>
    <t>Konopiński, Maciej Krzysztof/G-9982-2011; Greco, Claudia/ABA-6030-2020; Randi, Ettore/HOC-4300-2023</t>
  </si>
  <si>
    <t>Konopiński, Maciej Krzysztof/0000-0003-0893-0846; Pilot, Malgorzata/0000-0002-6057-5768; Ostrander, Elaine/0000-0001-6075-9738; Greco, Claudia/0000-0002-8678-0890; vonHoldt, Bridgett/0000-0001-6908-1687;</t>
  </si>
  <si>
    <t>Leverhulme Trust [RF-2017-185]; University of Lincoln Returners Research Fund; Polish Committee for Scientific Research; Italian Ministry of Environment; Italian National Institute for Environmental Protection and Research; University of Bologna, Italy; Institute of Nature Conservation; Polish Academy of Sciences; US National Science Foundation; Intramural Program of the National Human Genome Research Institute; National Human Genome Research Institute [ZIAHG200377] Funding Source: NIH RePORTER</t>
  </si>
  <si>
    <t>Leverhulme Trust(Leverhulme Trust); University of Lincoln Returners Research Fund; Polish Committee for Scientific Research(Polish State Committee for Scientific Research); Italian Ministry of Environment; Italian National Institute for Environmental Protection and Research; University of Bologna, Italy(University of Bologna); Institute of Nature Conservation; Polish Academy of Sciences; US National Science Foundation(National Science Foundation (NSF)); Intramural Program of the National Human Genome Research Institute(United States Department of Health &amp; Human ServicesNational Institutes of Health (NIH) - USANIH National Human Genome Research Institute (NHGRI)); National Human Genome Research Institute(United States Department of Health &amp; Human ServicesNational Institutes of Health (NIH) - USANIH National Human Genome Research Institute (NHGRI))</t>
  </si>
  <si>
    <t>Leverhulme Trust, Grant/Award Number: RF-2017-185; University of Lincoln Returners Research Fund; Polish Committee for Scientific Research; Italian Ministry of Environment; Italian National Institute for Environmental Protection and Research; University of Bologna, Italy; Institute of Nature Conservation; Polish Academy of Sciences; US National Science Foundation; Intramural Program of the National Human Genome Research Institute</t>
  </si>
  <si>
    <t>1752-4571</t>
  </si>
  <si>
    <t>EVOL APPL</t>
  </si>
  <si>
    <t>Evol. Appl.</t>
  </si>
  <si>
    <t>JUN</t>
  </si>
  <si>
    <t>10.1111/eva.12595</t>
  </si>
  <si>
    <t>Evolutionary Biology</t>
  </si>
  <si>
    <t>GH6RT</t>
  </si>
  <si>
    <t>WOS:000433572400007</t>
  </si>
  <si>
    <t>Courtois, EA; Gaucher, P; Chave, J; Schmeller, DS</t>
  </si>
  <si>
    <t>Courtois, Elodie A.; Gaucher, Philippe; Chave, Jerome; Schmeller, Dirk S.</t>
  </si>
  <si>
    <t>Widespread Occurrence of Bd in French Guiana, South America</t>
  </si>
  <si>
    <t>FUNGUS BATRACHOCHYTRIUM-DENDROBATIDIS; POPULATION DECLINES; AMPHIBIAN DECLINES; CHYTRIDIOMYCOSIS; PATHOGEN; DYNAMICS; EXTINCTIONS; PREVALENCE; AUSTRALIA; INFECTION</t>
  </si>
  <si>
    <t>The amphibian chytrid fungus Batrachochytrium dendrobatidis (Bd) is a purported agent of decline and extinction of many amphibian populations worldwide. Its occurrence remains poorly documented in many tropical regions, including the Guiana Shield, despite the area's high amphibian diversity. We conducted a comprehensive assessment of Bd in French Guiana in order to (1) determine its geographical distribution, (2) test variation of Bd prevalence among species in French Guiana and compare it to earlier reported values in other South American anuran species (http://www.bd-maps.net; 123 species from 15 genera) to define sentinel species for future work, (3) track changes in prevalence through time and (4) determine if Bd presence had a negative effect on one selected species. We tested the presence of Bd in 14 species at 11 sites for a total of 1053 samples (306 in 2009 and 747 in 2012). At least one Bd-positive individual was found at eight out of 11 sites, suggesting a wide distribution of Bd in French Guiana. The pathogen was not uniformly distributed among the studied amphibian hosts, with Dendrobatidae species displaying the highest prevalence (12.4%) as compared to Bufonidae (2.6%) and Hylidae (1.5%). In contrast to earlier reported values, we found highest prevalence for three Dendrobatidae species and two of them displayed an increase in Bd prevalence from 2009 to 2012. Those three species might be the sentinel species of choice for French Guiana. For Dendrobates tinctorius, of key conservation value in the Guiana Shield, smaller female individuals were more likely to be infected, suggesting either that frogs can outgrow their chytrid infections or that the disease induces developmental stress limiting growth. Generally, our study supports the idea that Bd is more widespread than previously thought and occurs at remote places in the lowland forest of the Guiana shield.</t>
  </si>
  <si>
    <t>[Courtois, Elodie A.] Ctr Natl Rech Sci CNRS Moulis, Stn Ecol Expt, Unite Serv &amp; Rech USR 2936, St Girons, France; [Courtois, Elodie A.; Gaucher, Philippe] Ctr Natl Rech Sci Guyane, Unite Serv &amp; Rech USR 3456, Cayenne, French Guiana; [Chave, Jerome] Unite Mixte Rech UMR 5174, Lab Ecol &amp; Diversite Biol, Toulouse, France; [Schmeller, Dirk S.] Helmholtz Ctr Environm Res, Dept Conservat Biol, Leipzig, Germany; [Schmeller, Dirk S.] Univ Toulouse, Lab Ecol Fonct &amp; Environm Ecolab, Toulouse, France; [Schmeller, Dirk S.] CNRS, EcoLab, Toulouse, France</t>
  </si>
  <si>
    <t>Centre National de la Recherche Scientifique (CNRS); CNRS - Institute of Ecology &amp; Environment (INEE); Helmholtz Association; Helmholtz Center for Environmental Research (UFZ); Universite de Toulouse; Universite Federale Toulouse Midi-Pyrenees (ComUE); Universite Toulouse III - Paul Sabatier; Institut National Polytechnique de Toulouse; Centre National de la Recherche Scientifique (CNRS); Universite de Toulouse; Universite Federale Toulouse Midi-Pyrenees (ComUE); Universite Toulouse III - Paul Sabatier; Institut National Polytechnique de Toulouse; Centre National de la Recherche Scientifique (CNRS)</t>
  </si>
  <si>
    <t>Courtois, EA (corresponding author), Ctr Natl Rech Sci CNRS Moulis, Stn Ecol Expt, Unite Serv &amp; Rech USR 2936, St Girons, France.</t>
  </si>
  <si>
    <t>courtoiselodie@gmail.com</t>
  </si>
  <si>
    <t>Chave, Jerome/E-9714-2015; Schmeller, Dirk/F-4324-2010</t>
  </si>
  <si>
    <t>Schmeller, Dirk/0000-0002-3860-9933</t>
  </si>
  <si>
    <t>Investissement d'Avenir (CEBA) [ANR-10-LABX-25-01]; Investissement d'Avenir (TULIP) [ANR-10-LABX-0041]; BioDiversa-project RACE (Risk Assessment of Chytridiomycosis to European amphibian biodiversity); AMAZONIE research program</t>
  </si>
  <si>
    <t>Investissement d'Avenir (CEBA)(Agence Nationale de la Recherche (ANR)); Investissement d'Avenir (TULIP)(Agence Nationale de la Recherche (ANR)); BioDiversa-project RACE (Risk Assessment of Chytridiomycosis to European amphibian biodiversity); AMAZONIE research program</t>
  </si>
  <si>
    <t>This work has benefited from two Investissement d'Avenir grants managed by the Agence Nationale de la Recherche (CEBA, ref. ANR-10-LABX-25-01 and TULIP, ref. ANR-10-LABX-0041) and benefitted through the use of the Nouragues station of material and technical support from USR 3456 and AnaEE-S infrastructure (ANR-11-INBS-0001). This work was financially supported by a grant from the AMAZONIE research program and from the BioDiversa-project RACE (Risk Assessment of Chytridiomycosis to European amphibian biodiversity) to DSS. The funders had no role in study design, data collection and analysis, decision to publish, or preparation of the manuscript.</t>
  </si>
  <si>
    <t>APR 22</t>
  </si>
  <si>
    <t>e0125128</t>
  </si>
  <si>
    <t>10.1371/journal.pone.0125128</t>
  </si>
  <si>
    <t>CG5KV</t>
  </si>
  <si>
    <t>WOS:000353331500112</t>
  </si>
  <si>
    <t>Serieys, LEK; Bishop, J; Okes, N; Broadfield, J; Winterton, DJ; Poppenga, RH; Viljoen, S; Wayne, RK; O'Riain, MJ</t>
  </si>
  <si>
    <t>Serieys, Laurel E. K.; Bishop, Jacqueline; Okes, Nicola; Broadfield, Joleen; Winterton, Deborah Jean; Poppenga, Robert H.; Viljoen, Storme; Wayne, Robert K.; O'Riain, M. Justin</t>
  </si>
  <si>
    <t>SCIENCE OF THE TOTAL ENVIRONMENT</t>
  </si>
  <si>
    <t>South Africa; Anticoagulant rodenticides; Urbanization; Caracal; Vineyards</t>
  </si>
  <si>
    <t>WEASELS MUSTELA-NIVALIS; LARGE-SPOTTED-GENETS; RODENTICIDE EXPOSURE; BRODIFACOUM; TOXICOSIS; BOBCATS; RISK; WILDLIFE; ERMINEA; CANADA</t>
  </si>
  <si>
    <t>Anticoagulant rodenticides (ARs) arc used worldwide to control rodent populations. ARs bioaccumulate across trophic levels and threaten non-target wildlife. We investigated the prevalence of AR exposure in seven predator species in the rapidly developing Greater Cape Town region of South Africa - a mosaic of natural, urban, and agricultural areas within a global biodiversity hotspot. We focused sampling on caracals (Caracal caracal, n = 28) as part of a larger caracal ecology study, but also opportunistically sampled Cape Clawless otters (Aonyx capensis, n = 9), large spotted genets (Genetta tigrina, n = 4), honey badger (Mellivora capensis, n = 1), water mongoose (Atilax paludinosus, n = 1), small gray mongoose (Galerella pulverulenta, n = 1), and Cape Eagle owl (Bubo capensis, n 1). We tested livers from all species, and blood from ten caracals, for eight AR compounds to assess prevalence and amount of exposure for each compound. We used generalized linear models to test spatial, demographic, and seasonal risk factors for ten measures of AR exposure in caracals. We detected at least one of the four most toxic AR compounds in six species. Exposure was high for caracals (92%) and all species combined (81%). For caracals, proximity to vineyards was the most important AR exposure risk factor. Vineyards in Cape Town do not use ARs to protect their vines but do host commercial hospitality structures where ARs are used. Vineyards may thus link caracals that forage within vineyards to the rat poisons used in and around their commercial structures. Residue levels were unexpected in large-spotted genets and Cape Clawless otters, suggesting invertebrate vectors. ARs may present a cryptic threat to populations already vulnerable to increasing habitat loss, vehicle collisions, poachers and fire. Targeted mitigation should include a mix of environmentally responsible policies that reduce AR use, particularly in areas near wildlife habitat. (C) 2019 Elsevier B.V. All rights reserved.</t>
  </si>
  <si>
    <t>[Serieys, Laurel E. K.; Bishop, Jacqueline; Okes, Nicola; Viljoen, Storme; O'Riain, M. Justin] Univ Cape Town, Inst Commun &amp; Wildlife Africa, Dept Biol Sci, Private Bag X3, ZA-7701 Cape Town, South Africa; [Serieys, Laurel E. K.; Broadfield, Joleen] Cape Leopard Trust, POB 31139, ZA-7966 Cape Town, South Africa; [Serieys, Laurel E. K.] Univ Calif Santa Cruz, Environm Studies, Campus Mail Stop,1153 High St, Santa Cruz, CA 95064 USA; [Winterton, Deborah Jean] South African Natl Pk, Cape Res Ctr, POB 216, ZA-7947 Steenberg, South Africa; [Poppenga, Robert H.] Univ Calif Davis, Ctr Anim Hlth &amp; Food Safety, Davis, CA 95616 USA; [Wayne, Robert K.] Univ Calif Los Angeles, Dept Ecol &amp; Evolut, Los Angeles, CA USA</t>
  </si>
  <si>
    <t>University of Cape Town; University of California System; University of California Santa Cruz; University of California System; University of California Davis; University of California System; University of California Los Angeles</t>
  </si>
  <si>
    <t>Serieys, LEK (corresponding author), Univ Cape Town, Inst Commun &amp; Wildlife Africa, Cape Town, South Africa.</t>
  </si>
  <si>
    <t>LaurelSerieys@gmail.com</t>
  </si>
  <si>
    <t>Broadfield, Joleen/MEP-4851-2025</t>
  </si>
  <si>
    <t>Bishop, Jacqueline/0000-0003-4703-1704; O'Riain, M Justin/0000-0001-5233-8327</t>
  </si>
  <si>
    <t>Center for Animal Health and Food Safety; Claude Leon Foundation; Cape Leopard Trust; University of California, Los Angeles; University of Cape Town through the Institute for Communities and Wildlife (iCWild)</t>
  </si>
  <si>
    <t>Center for Animal Health and Food Safety; Claude Leon Foundation; Cape Leopard Trust; University of California, Los Angeles(University of California System); University of Cape Town through the Institute for Communities and Wildlife (iCWild)</t>
  </si>
  <si>
    <t>We would like to thank many private donors, Experiment, the Center for Animal Health and Food Safety, the Claude Leon Foundation, Cape Leopard Trust, University of California, Los Angeles, and the University of Cape Town through the Institute for Communities and Wildlife (iCWild) for funding. We also than the many private citizens and City and SANParks employees that reported roadkill. Thanks to M.S. Rogan for statistical help and N. Nattrass for editorial feedback.</t>
  </si>
  <si>
    <t>ELSEVIER</t>
  </si>
  <si>
    <t>AMSTERDAM</t>
  </si>
  <si>
    <t>RADARWEG 29, 1043 NX AMSTERDAM, NETHERLANDS</t>
  </si>
  <si>
    <t>0048-9697</t>
  </si>
  <si>
    <t>1879-1026</t>
  </si>
  <si>
    <t>SCI TOTAL ENVIRON</t>
  </si>
  <si>
    <t>Sci. Total Environ.</t>
  </si>
  <si>
    <t>MAY 20</t>
  </si>
  <si>
    <t>10.1016/j.scitotenv.2019.02.122</t>
  </si>
  <si>
    <t>Environmental Sciences</t>
  </si>
  <si>
    <t>HR5IQ</t>
  </si>
  <si>
    <t>WOS:000463180700055</t>
  </si>
  <si>
    <t>González-Suárez, M; Gómez, A; Revilla, E</t>
  </si>
  <si>
    <t>Gonzalez-Suarez, Manuela; Gomez, Alicia; Revilla, Eloy</t>
  </si>
  <si>
    <t>comparative studies; habitat loss; hunting; invasive species; IUCN Red List; Mammalia; threats</t>
  </si>
  <si>
    <t>IUCN RED LIST; LIFE-HISTORY; EXTRINSIC THREATS; RISK; WORLDS; CONSERVATION; DECLINES; IMPACT; LAND; MAP</t>
  </si>
  <si>
    <t>Understanding what makes some species more vulnerable to extinction than others is an important challenge for conservation. Many comparative analyses have addressed this issue exploring how intrinsic and extrinsic traits associate with general estimates of vulnerability. However, these general estimates do not consider the actual threats that drive species to extinction and hence, are more difficult to translate into effective management. We provide an updated description of the types and spatial distribution of threats that affect mammals globally using data from the IUCN for 5941 species of mammals. Using these data we explore the links between intrinsic species traits and specific threats in order to identify key intrinsic features associated with particular drivers of extinction. We find that families formed by small-size habitat specialists are more likely to be threatened by habitat-modifying processes; whereas, families formed by larger mammals with small litter sizes are more likely to be threatened by processes that directly affect survival. These results highlight the importance of considering the actual threatening process in comparative studies. We also discuss the need to standardize and rank threat importance in global assessments such as the IUCN Red List to improve our ability to understand what makes some species more vulnerable to extinction than others.</t>
  </si>
  <si>
    <t>[Gonzalez-Suarez, Manuela; Gomez, Alicia; Revilla, Eloy] Estn Biol Donana CSIC, Dept Conservat Biol, Seville 41092, Spain</t>
  </si>
  <si>
    <t>Consejo Superior de Investigaciones Cientificas (CSIC); CSIC - Estacion Biologica de Donana (EBD)</t>
  </si>
  <si>
    <t>González-Suárez, M (corresponding author), Estn Biol Donana CSIC, Dept Conservat Biol, Calle Amer Vespucio S-N, Seville 41092, Spain.</t>
  </si>
  <si>
    <t>manuela.gonzalez@ebd.csic.es</t>
  </si>
  <si>
    <t>Gonzalez Suarez, Manuela/B-9740-2008; Revilla, Eloy/B-5100-2008</t>
  </si>
  <si>
    <t>Gonzalez Suarez, Manuela/0000-0001-5069-8900; Revilla, Eloy/0000-0001-5534-5581</t>
  </si>
  <si>
    <t>European Community's Seventh Framework Programme [235897]; Spanish Ministry of Science and Innovation [CGL2009- 07301= BOS, CGL2012- 35931/BOS, JCI-2011-09158]</t>
  </si>
  <si>
    <t>European Community's Seventh Framework Programme(European Union (EU)); Spanish Ministry of Science and Innovation(Spanish GovernmentMinistry of Science &amp; Innovation, Spain (MICINN))</t>
  </si>
  <si>
    <t>We thank the IUCN Red List for making the database of mammalian threats available to us. Animal silhouettes in Fig. 3 are used under Creative Commons License (drawn by Chris Spooner, Telecanter, and Nicubunu). This work was funded by the European Community's Seventh Framework Programme (FP7= 2007- 2013) under grant agreement n8 235897, and the Spanish Ministry of Science and Innovation (CGL2009- 07301= BOS, CGL2012- 35931/BOS and JCI-2011-09158 co-funded by FEDER). MGS and ER designed research and analyzed results. MGS and AG performed the analyses. MGS wrote the paper with substantial contributions from ER.</t>
  </si>
  <si>
    <t>10.1890/ES12-00380.1</t>
  </si>
  <si>
    <t>256KO</t>
  </si>
  <si>
    <t>Green Accepted, Green Published, gold</t>
  </si>
  <si>
    <t>WOS:000327309300009</t>
  </si>
  <si>
    <t>Dransfield, A; Hines, E; McGowan, J; Holzman, B; Nur, N; Elliott, M; Howar, J; Jahncke, J</t>
  </si>
  <si>
    <t>Dransfield, Andrea; Hines, Ellen; McGowan, Jennifer; Holzman, Barbara; Nur, Nadav; Elliott, Meredith; Howar, Julie; Jahncke, Jaime</t>
  </si>
  <si>
    <t>Where the whales are: using habitat modeling to support changes in shipping regulations within National Marine Sanctuaries in Central California</t>
  </si>
  <si>
    <t>ENDANGERED SPECIES RESEARCH</t>
  </si>
  <si>
    <t>EASTERN TROPICAL PACIFIC; HUMPBACK WHALES; VERTICAL-DISTRIBUTION; SPECIES DISTRIBUTION; BRITISH-COLUMBIA; FORAGING ECOLOGY; CURRENT SYSTEM; COUNT DATA; EL-NINO; LA-NINA</t>
  </si>
  <si>
    <t>Understanding habitat preferences for endangered species is a high priority for management strategies to ensure minimum conflict between human uses and wildlife conservation. The purpose of this study was to identify oceanographic variables that predict occurrences of humpback whales Megaptera novaeangliae within the Cordell Bank and Gulf of the Farallones National Marine Sanctuaries, California, USA, to assess potential conflict with vessel traffic. We used data collected by Applied California Current Ecosystem Studies (ACCESS) conducted from 2004 to 2011. Using zero-inflated negative binomial regression, we developed predictive models and identified locations highly used by whales to characterize humpback whale habitat. We analyzed whale encounter rates at 3-km bin intervals in relation to bathymetric, surface and midwater hydrographic predictor variables and temporal variables characterizing oceanographic conditions. Our models included variables that accounted for detectability of whales. Two models were compared and contrasted: (1) a surface-only model, using only surface oceanographic variables, and (2) a surface + mid-water model, using both surface and mid-water variables. The surface + mid-water model performed significantly better than the surface-only model, which underestimated the amount of suitable whale habitat in the northern half of our study area. We compared resulting predicted habitat areas with previous and current San Francisco Bay Area shipping lane poly gonal footprints to investigate whether newly accepted changes in routes reduced areal overlap with humpback whale habitat. Although our analyses show that the area occupied by shipping traffic has decreased in areas of high predicted humpback whale habitat use, changes in vessel lane footprints do not account for several important aspects of ship-strike risk, including vessel frequency, speed, size and density patterns within the shipping lanes and variability between lanes.</t>
  </si>
  <si>
    <t>[Dransfield, Andrea; Hines, Ellen; McGowan, Jennifer] Romberg Tiburon Ctr Environm Studies, Tiburon, CA 94920 USA; [Dransfield, Andrea; McGowan, Jennifer; Nur, Nadav; Elliott, Meredith; Howar, Julie; Jahncke, Jaime] Point Blue Conservat Sci, Petaluma, CA 94954 USA; [Hines, Ellen; Holzman, Barbara] San Francisco State Univ, San Francisco, CA 94132 USA</t>
  </si>
  <si>
    <t>California State University System; San Francisco State University</t>
  </si>
  <si>
    <t>Jahncke, J (corresponding author), Romberg Tiburon Ctr Environm Studies, Tiburon, CA 94920 USA.</t>
  </si>
  <si>
    <t>jjahncke@pointblue.org</t>
  </si>
  <si>
    <t>Elliott, Meredith/0009-0000-1615-4459; Jahncke, Jaime/0000-0002-2896-6101</t>
  </si>
  <si>
    <t>INTER-RESEARCH</t>
  </si>
  <si>
    <t>OLDENDORF LUHE</t>
  </si>
  <si>
    <t>NORDBUNTE 23, D-21385 OLDENDORF LUHE, GERMANY</t>
  </si>
  <si>
    <t>1863-5407</t>
  </si>
  <si>
    <t>1613-4796</t>
  </si>
  <si>
    <t>ENDANGER SPECIES RES</t>
  </si>
  <si>
    <t>Endanger. Species Res.</t>
  </si>
  <si>
    <t>10.3354/esr00627</t>
  </si>
  <si>
    <t>AW7DP</t>
  </si>
  <si>
    <t>Bronze</t>
  </si>
  <si>
    <t>WOS:000346425100004</t>
  </si>
  <si>
    <t>Death, CE; Coulson, G; Hufschmid, J; Morris, WK; Gould, J; Stevenson, M</t>
  </si>
  <si>
    <t>Death, Clare E.; Coulson, Graeme; Hufschmid, Jasmin; Morris, William K.; Gould, Jodie; Stevenson, Mark</t>
  </si>
  <si>
    <t>Fluoride; Eastern grey kangaroo; Risk prediction; Wildlife toxicology; Wildlife exposure modeling</t>
  </si>
  <si>
    <t>EASTERN GREY KANGAROOS; HOME-RANGE; MACROPUS-GIGANTEUS; GRAY-KANGAROO; DAIRY COWS; FLUOROSIS; EXPOSURE; DEER; POPULATION; MARSUPIALS</t>
  </si>
  <si>
    <t>Vegetation contaminated by industrial fluoride emissions can cause disease in herbivorous mammals. Spatially explicit exposure models offer a quantitative approach for evaluating and managing the potentially toxic effects of chronic fluoride consumption on wildlife. We monitored eastern grey kangaroos (Macropus giganteus) inhabiting a high-fluoride environment in the buffer zone of an aluminium smelter in southeastern Australia between 2010 and 2013. We measured fluoride levels at 19 pasture sites and determined the foraging range of 37 individual kangaroos. A series of generalised linear models were developed to estimate bone fluoride accumulation as a function of pasture exposure. Model outputs were compared to identify the most appropriate predictive tool for kangaroo bone fluoride accumulation relative to exposure. Accounting for age there was a negative association between bone fluoride concentration and distance of the central emission point from both the mean centre of foraging range and the point of death. The mean foraging range centre was the best predictor, with point of death just as suitable (and simpler), whereas more complex parameters such as monthly and cumulative fluoride exposure were poor predictors of bone fluoride concentration. The more complex dietary fluoride exposure estimates did not improve predictive capability compared with the simple, spatial models. We conclude that in actively managed wildlife populations, simple, locally validated models can provide estimates of bone fluoride accumulation sufficient to support decision-making. (C) 2018 Published by Elsevier B.V.</t>
  </si>
  <si>
    <t>[Death, Clare E.; Hufschmid, Jasmin; Stevenson, Mark] Univ Melbourne, Fac Vet &amp; Agr Sci, 250 Princes Hwy, Werribee, Vic 3030, Australia; [Coulson, Graeme] Univ Melbourne, Sch BioSci, Melbourne, Vic 3010, Australia; [Morris, William K.] Univ Melbourne, Sch BioSci, Quantitat &amp; Appl Ecol Grp, Melbourne, Vic 3010, Australia; [Gould, Jodie] Portland Aluminium, Quarry Rd, Portland, Vic, Australia</t>
  </si>
  <si>
    <t>University of Melbourne; University of Melbourne; University of Melbourne</t>
  </si>
  <si>
    <t>Death, CE (corresponding author), Univ Melbourne, Fac Vet &amp; Agr Sci, 250 Princes Hwy, Werribee, Vic 3030, Australia.</t>
  </si>
  <si>
    <t>drcedeath@gmail.com</t>
  </si>
  <si>
    <t>Hufschmid, Jasmin/Y-9079-2019; Death, Clare/ABE-2987-2020; stevenson, mark/AAE-9706-2019</t>
  </si>
  <si>
    <t>Hufschmid, Jasmin/0000-0001-9427-7702; Death, Clare/0000-0003-4540-1214;</t>
  </si>
  <si>
    <t>Australian Postgraduate Award Industry Scholarship in collaboration with Portland Aluminium; Holsworth Wildlife Endowment Fund</t>
  </si>
  <si>
    <t>Clare Death was supported by an Australian Postgraduate Award Industry Scholarship in collaboration with Portland Aluminium, and the Holsworth Wildlife Endowment Fund. The funders are supportive of publication but had no role in study design or preparation of the manuscript.</t>
  </si>
  <si>
    <t>APR 10</t>
  </si>
  <si>
    <t>10.1016/j.scitotenv.2018.12.203</t>
  </si>
  <si>
    <t>HK2FV</t>
  </si>
  <si>
    <t>WOS:000457725700053</t>
  </si>
  <si>
    <t>Tolotti, MT; Bach, P; Hazin, F; Travassos, P; Dagorn, L</t>
  </si>
  <si>
    <t>Tolotti, Mariana Travassos; Bach, Pascal; Hazin, Fabio; Travassos, Paulo; Dagorn, Laurent</t>
  </si>
  <si>
    <t>Vulnerability of the Oceanic Whitetip Shark to Pelagic Longline Fisheries</t>
  </si>
  <si>
    <t>POPULATIONS; COLLAPSE; CATCH</t>
  </si>
  <si>
    <t>A combination of fisheries dependent and independent data was used to assess the vulnerability of the oceanic whitetip shark to pelagic longline fisheries. The Brazilian tuna longline fleet, operating in the equatorial and southwestern Atlantic, is used as a case study. Fisheries dependent data include information from logbooks (from 1999 to 2011) and on-board observers (2004 to 2010), totaling 65,277 pelagic longline sets. Fisheries independent data were obtained from 8 oceanic whitetip sharks tagged with pop-up satellite archival tags in the area where longline fleet operated. Deployment periods varied from 60 to 178 days between 2010 and 2012. Tagging and pop-up sites were relatively close to each other, although individuals tended to travel long distances before returning to the tagging area. Some degree of site fidelity was observed. High utilization hotspots of tagged sharks fell inside the area under strongest fishing pressure. Despite the small sample size, a positive correlation between tag recorded information and catch data was detected. All sharks exhibited a strong preference for the warm and shallow waters of the mixed layer, spending on average more than 70% of the time above the thermocline and 95% above 120 m. Results indicate that the removal of shallow hooks on longline gear might be an efficient mitigation measure to reduce the bycatch of this pelagic shark species. The work also highlights the potential of tagging experiments to provide essential information for the development of spatio-temporal management measures.</t>
  </si>
  <si>
    <t>[Tolotti, Mariana Travassos; Bach, Pascal; Dagorn, Laurent] Univ Montpellier, CNRS, IFREMER, IRD,UMR MARBEC, Sete, France; [Tolotti, Mariana Travassos] Univ Fed Pernambuco, Dept Oceanog, Programa Posgrad Oceanog, Recife, PE, Brazil; [Hazin, Fabio; Travassos, Paulo] Univ Fed Rural Pernambuco, Dept Pesca &amp; Aquicultura, Recife, PE, Brazil</t>
  </si>
  <si>
    <t>Ifremer; Centre National de la Recherche Scientifique (CNRS); Universite de Montpellier; Institut de Recherche pour le Developpement (IRD); Universidade Federal de Pernambuco; Universidade Federal Rural de Pernambuco (UFRPE)</t>
  </si>
  <si>
    <t>Tolotti, MT (corresponding author), Univ Montpellier, CNRS, IFREMER, IRD,UMR MARBEC, Ave Jean Monnet CS 30171, Sete, France.</t>
  </si>
  <si>
    <t>mariana.travassos@ird.fr</t>
  </si>
  <si>
    <t>Hazin, Fábio/A-8402-2013; Bach, Pascal/E-9370-2013; TRAVASSOS, PAULO/AAX-5734-2020; Dagorn, Laurent/K-1002-2016</t>
  </si>
  <si>
    <t>Hazin, Fábio/0000-0003-3755-5379; Bach, Pascal/0000-0003-0804-8466; TRAVASSOS, PAULO/0000-0001-8667-5292;</t>
  </si>
  <si>
    <t>Commission of the European Communities; Conselho Nacional de Desenvolvimento Cientifico e Tecnologico; Fundacao CAPES; France Filiere Peche</t>
  </si>
  <si>
    <t>Commission of the European Communities(European Union (EU)); Conselho Nacional de Desenvolvimento Cientifico e Tecnologico(Conselho Nacional de Desenvolvimento Cientifico e Tecnologico (CNPQ)); Fundacao CAPES(Coordenacao de Aperfeicoamento de Pessoal de Nivel Superior (CAPES)); France Filiere Peche</t>
  </si>
  <si>
    <t>This study has been carried out with financial support from the Commission of the European Communities, specific RTD programme of Framework Programme 7, Theme 2-Food, Agriculture, Fisheries and Biotechnology, through the research project MADE (Mitigating adverse ecological impacts of open ocean fisheries). It does not necessarily reflect its views and in no way anticipates the Commission's future policy in this area. The fishery data was made available by the Ministry of Fisheries and Aquaculture of Brazil. The authors acknowledge Conselho Nacional de Desenvolvimento Cientifico e Tecnologico (www.cnpq.br), Fundacao CAPES (www.capes.gov.br) and France Filiere Peche (www.francefilierepeche.fr) for providing a fellowship to M.T. Tolotti.</t>
  </si>
  <si>
    <t>OCT 22</t>
  </si>
  <si>
    <t>e0141396</t>
  </si>
  <si>
    <t>10.1371/journal.pone.0141396</t>
  </si>
  <si>
    <t>CU0ZU</t>
  </si>
  <si>
    <t>WOS:000363249300049</t>
  </si>
  <si>
    <t>Latrubesse, EM; D'Horta, FM; Ribas, CC; Wittmann, F; Zuanon, J; Park, E; Dunne, T; Arima, EY; Baker, PA</t>
  </si>
  <si>
    <t>Latrubesse, Edgardo M.; D'Horta, Fernando M.; Ribas, Camila C.; Wittmann, Florian; Zuanon, Jansen; Park, Edward; Dunne, Thomas; Arima, Eugenio Y.; Baker, Paul A.</t>
  </si>
  <si>
    <t>AQUATIC CONSERVATION-MARINE AND FRESHWATER ECOSYSTEMS</t>
  </si>
  <si>
    <t>Amazon; dams; basin management; biodiversity; conservation; DEVI; ecology; habitats; hydro-geomorphology; impacts</t>
  </si>
  <si>
    <t>MADEIRA RIVER; BLACK-WATER; SUSPENDED SEDIMENT; HYDROELECTRIC DAMS; FLOODPLAIN FOREST; SPECIES RICHNESS; PARANA RIVER; BRAZIL; CONNECTIVITY; VEGETATION</t>
  </si>
  <si>
    <t>The extent and intensity of impacts of multiple new dams in the Amazon basin on specific biological groups are potentially large, but still uncertain and need to be better understood. It is known that river disruption and regulation by dams may affect sediment supplies, river channel migration, floodplain dynamics, and, as a major adverse consequence, are likely to decrease or even suppress ecological connectivity among populations of aquatic organisms and organisms dependent upon seasonally flooded environments. This article complements our previous results by assessing the relationships between dams, our Dam Environmental Vulnerability Index (DEVI), and the biotic environments threatened by the effects of dams. Because of the cartographic representation of DEVI, it is a useful tool to compare the potential hydrophysical impacts of proposed dams in the Amazon basin with the spatial distribution of biological diversity. As the impact of Amazonian dams on the biota of both rivers and periodically flooded riparian environments is severe, DEVIs from different Amazonian tributary basins are contrasted with patterns of diversity and distribution of fish, flooded forest trees and bird species. There is a consistent relationship between higher DEVI values and the patterns of higher species richness and endemism in all three biological groups. An assessment of vulnerability at the scale of tributary basins, the assessment of biodiversity patterns related to DEVI, and the analysis of teleconnections at basin scale, demonstrate that recent construction of dams is affecting the biota of the Amazon basin. The evidence presented here predicts that, if currently planned dams are built without considering the balance between energy production and environmental conservation, their cumulative effects will increase drastically and represent a major threat to Amazonian biodiversity.</t>
  </si>
  <si>
    <t>[Latrubesse, Edgardo M.] Nanyang Technol Univ NTU, Environm &amp; Earth Observ Singapore EOS, Asian Sch, Singapore, Singapore; [D'Horta, Fernando M.; Ribas, Camila C.; Zuanon, Jansen] Natl Inst Amazonian Res INPA, Manaus, Amazonas, Brazil; [Wittmann, Florian] Karlsruhe Inst Technol, Inst Floodplain Ecol, Rastatt, Germany; [Park, Edward] Nanyang Technol Univ, Natl Inst Educ NIE, Singapore, Singapore; [Dunne, Thomas] Univ Calif Santa Barbara, Bren Sch Environm Sci &amp; Management, Santa Barbara, CA 93106 USA; [Arima, Eugenio Y.] Univ Texas Austin, Dept Geog &amp; Environm, Austin, TX 78712 USA; [Baker, Paul A.] Duke Univ, Nicholas Sch Environm, Durham, NC 27708 USA</t>
  </si>
  <si>
    <t>Nanyang Technological University; Institute Nacional de Pesquisas da Amazonia; Helmholtz Association; Karlsruhe Institute of Technology; Nanyang Technological University; National Institute of Education (NIE) Singapore; University of California System; University of California Santa Barbara; University of Texas System; University of Texas Austin; Duke University</t>
  </si>
  <si>
    <t>Latrubesse, EM (corresponding author), Nanyang Technol Univ NTU, Environm &amp; Earth Observ Singapore EOS, Asian Sch, Singapore, Singapore.</t>
  </si>
  <si>
    <t>elatrubesse@ntu.edu.sg</t>
  </si>
  <si>
    <t>Dunne, Thomas/B-6374-2014; Zuanon, Jansen/E-5791-2013; Latrubesse, Edgardo/LWK-3036-2024; Park, Edward/JCD-7857-2023; Ribas, Camila/H-1769-2014; d'Horta, Fernando/AFS-3304-2022</t>
  </si>
  <si>
    <t>Dunne, Thomas/0000-0002-5281-6517; Zuanon, Jansen/0000-0001-8354-2750; Park, Edward/0000-0002-1299-1724; Latrubesse, Edgardo/0000-0001-5592-302X; Baker, Paul/0000-0001-9438-855X; Ribas, Camila/0000-0002-9088-4828;</t>
  </si>
  <si>
    <t>Council for Scientific and Technological Development-CNPq; CAPES Foundation; Earth Observatory of Singapore</t>
  </si>
  <si>
    <t>Council for Scientific and Technological Development-CNPq(Conselho Nacional de Desenvolvimento Cientifico e Tecnologico (CNPQ)); CAPES Foundation(Coordenacao de Aperfeicoamento de Pessoal de Nivel Superior (CAPES)); Earth Observatory of Singapore</t>
  </si>
  <si>
    <t>We thank the Guest Editor, Leandro Castello, for kindly inviting us to submit our article. We also thank the AQC Chief Editor, Philip J. Boon, and two anonymous reviewers for their valuable suggestions and comments. This research was supported partially by the Council for Scientific and Technological Development-CNPq, CAPES Foundation, and the Earth Observatory of Singapore.</t>
  </si>
  <si>
    <t>1052-7613</t>
  </si>
  <si>
    <t>1099-0755</t>
  </si>
  <si>
    <t>AQUAT CONSERV</t>
  </si>
  <si>
    <t>Aquat. Conserv.-Mar. Freshw. Ecosyst.</t>
  </si>
  <si>
    <t>MAY</t>
  </si>
  <si>
    <t>10.1002/aqc.3424</t>
  </si>
  <si>
    <t>AUG 2020</t>
  </si>
  <si>
    <t>Environmental Sciences; Marine &amp; Freshwater Biology; Water Resources</t>
  </si>
  <si>
    <t>Environmental Sciences &amp; Ecology; Marine &amp; Freshwater Biology; Water Resources</t>
  </si>
  <si>
    <t>SA0NJ</t>
  </si>
  <si>
    <t>Green Submitted, Green Published, hybrid</t>
  </si>
  <si>
    <t>WOS:000559825100001</t>
  </si>
  <si>
    <t>Calle-Rendón, BR; Moreno, F; Hilário, RR</t>
  </si>
  <si>
    <t>Calle-Rendon, Bayron R.; Moreno, Flavio; Hilario, Renato R.</t>
  </si>
  <si>
    <t>Armed conflict; biodiversity loss; flagship species; primates; protected areas</t>
  </si>
  <si>
    <t>ARMED CONFLICT; CONSERVATION; DEFORESTATION; BIODIVERSITY; WILDLIFE; WARFARE; WAR; DIVERSITY; IMPACT</t>
  </si>
  <si>
    <t>Colombia, one of the most biodiverse countries in the world, is entering a peaceful period after more than fifty years of armed conflict. Due to land use changes resulting from this new situation, negative effects on biodiversity, including mammals are expected. We think that mammal populations will be more sensitive in municipalities where activities related to post-conflict will be carried out. In that order, we aim to: 1) identify which mammal species would be more sensitive and 2) identify the critical regions where there is higher richness of sensitive mammals. We used the distributions of 95 mammal taxa and calculated a sensitivity index by combining four factors: 1) the proportion of each species distribution within protected areas in relation to their proposed extinction thresholds, 2) the proportion within post-conflict municipalities, 3) the proportion of five types of potential land use in post-conflict municipalities and 4) the threat status of each species. Using this index, we drew a map of species richness for mammals classified at high-risk and very high-risk categories. Primates were the most sensitive group to post-conflict changes. Uraba and the region near to the Serrania de San Lucas were the areas with the highest richness of sensitive species. We suggest using primates as flagship species to carry out conservation schemes in the post-conflict era in programmes led by local farmers and former fighters who have been reintegrated into civilian life.</t>
  </si>
  <si>
    <t>[Calle-Rendon, Bayron R.; Hilario, Renato R.] Univ Fed Amapa, Programa Posgrad Biodiversidade Trop PPGBio, Macapa, Brazil; [Calle-Rendon, Bayron R.; Hilario, Renato R.] Univ Fed Amapa, Lab Ecol LabEco, Macapa, Brazil; [Moreno, Flavio] Univ Nacl Colombia, Sede Medellin, Dept Ciencias Forestales, Medellin, Colombia</t>
  </si>
  <si>
    <t>Fundacao Universidade Federal do Amapa; Fundacao Universidade Federal do Amapa; Universidad Nacional de Colombia</t>
  </si>
  <si>
    <t>Calle-Rendón, BR (corresponding author), Univ Fed Amapa, Programa Posgrad Biodiversidade Trop PPGBio, Macapa, Brazil.;Calle-Rendón, BR (corresponding author), Univ Fed Amapa, Lab Ecol LabEco, Macapa, Brazil.</t>
  </si>
  <si>
    <t>brcalle@unal.edu.co</t>
  </si>
  <si>
    <t>Hilário, Renato/A-7158-2013</t>
  </si>
  <si>
    <t>Hilário, Renato/0000-0002-0346-0921</t>
  </si>
  <si>
    <t>CAPES (Federal Agency for Support and Evaluation of Graduate Education)</t>
  </si>
  <si>
    <t>CAPES (Federal Agency for Support and Evaluation of Graduate Education)(Coordenacao de Aperfeicoamento de Pessoal de Nivel Superior (CAPES))</t>
  </si>
  <si>
    <t>We are grateful to C. Murcia who made valuable comments on a first version of this paper, with X. Carretero-Pinzon who revised the final version in English and with the two reviewers who contributed to improve the manuscript. B.R.C.R. is supported by a PhD scholarship from the CAPES (Federal Agency for Support and Evaluation of Graduate Education).</t>
  </si>
  <si>
    <t>OCT 9</t>
  </si>
  <si>
    <t>10.3897/natureconservation.29.28943</t>
  </si>
  <si>
    <t>GY0VB</t>
  </si>
  <si>
    <t>WOS:000448239600001</t>
  </si>
  <si>
    <t>Hauser, DDW; Laidre, KL; Stern, HL</t>
  </si>
  <si>
    <t>Hauser, Donna D. W.; Laidre, Kristin L.; Stern, Harry L.</t>
  </si>
  <si>
    <t>Vulnerability of Arctic marine mammals to vessel traffic in the increasingly ice-free Northwest Passage and Northern Sea Route</t>
  </si>
  <si>
    <t>PROCEEDINGS OF THE NATIONAL ACADEMY OF SCIENCES OF THE UNITED STATES OF AMERICA</t>
  </si>
  <si>
    <t>risk analysis; resilience; vessel impacts; climate impacts; Arctic marine mammal</t>
  </si>
  <si>
    <t>CLIMATE-CHANGE; DYNAMIC OCEAN; BERING STRAIT; IMPACTS; RISK; HABITAT; WHALES; ECOSYSTEMS; MITIGATION; MANAGEMENT</t>
  </si>
  <si>
    <t>The fabled Northwest Passage and Northern Sea Route that were once the quests of early Western explorers are now increasingly sea ice-free, with routine vessel transits expected by midcentury. The potential impacts of this novel vessel traffic on endemic Arctic marine mammal (AMM) species are unknown despite their critical social and ecological roles in the ecosystem and widely recognized susceptibility to ice loss. We developed a vulnerability assessment of 80 subpopulations of seven AMM species to vessel traffic during the ice-free season. Vulnerability scores were based on the combined influence of spatially explicit exposure to the sea routes and a suite of sensitivity variables. More than half of AMM subpopulations (42/80) are exposed to open-water vessel transits in the Arctic sea routes. Narwhals (Monodon monoceros) were estimated to be most vulnerable to vessel impacts, given their high exposure and sensitivity, and polar bears (Ursus maritimus) were estimated to be the least vulnerable because of their low exposure and sensitivity. Regions with geographic bottlenecks, such as the Bering Strait and eastern Canadian Arctic, were characterized by two to three times higher vulnerability than more remote regions. These pinch points are obligatory pathways for both vessels and migratory AMMs, and so represent potentially high conflict areas but also opportunities for conservation-informed planning. Some of the species and regions identified as least vulnerable were also characterized by high uncertainty, highlighting additional data and monitoring needs. Our quantification of the heterogeneity of risk across AMM species provides a necessary first step toward developing best practices for maritime industries poised to advance into this rapidly changing seascape.</t>
  </si>
  <si>
    <t>[Hauser, Donna D. W.; Laidre, Kristin L.; Stern, Harry L.] Univ Washington, Appl Phys Lab, Polar Sci Ctr, Seattle, WA 98105 USA; [Hauser, Donna D. W.] Univ Alaska Fairbanks, Int Arctic Res Ctr, Fairbanks, AK 99775 USA</t>
  </si>
  <si>
    <t>University of Washington; University of Washington Seattle; University of Alaska System; University of Alaska Fairbanks</t>
  </si>
  <si>
    <t>Hauser, DDW (corresponding author), Univ Washington, Appl Phys Lab, Polar Sci Ctr, Seattle, WA 98105 USA.;Hauser, DDW (corresponding author), Univ Alaska Fairbanks, Int Arctic Res Ctr, Fairbanks, AK 99775 USA.</t>
  </si>
  <si>
    <t>dhauser2@alaska.edu</t>
  </si>
  <si>
    <t>Hauser, Donna/0000-0001-8236-7372</t>
  </si>
  <si>
    <t>NASA [NNX16AG33G]; Collaborative Alaskan Arctic Studies Program; NASA [NNX16AG33G, 904254] Funding Source: Federal RePORTER</t>
  </si>
  <si>
    <t>NASA(National Aeronautics &amp; Space Administration (NASA)); Collaborative Alaskan Arctic Studies Program; NASA(National Aeronautics &amp; Space Administration (NASA))</t>
  </si>
  <si>
    <t>Thanks to Peter Westley for reviewing an earlier draft, Richard McGovern for assisting in mapping sea routes, and Sheila Ocoma and Kathryn Koo for entering vessel transit data. Two anonymous reviewers improved the paper. This work was primarily funded by NASA Grant NNX16AG33G (to H.L.S. and K.L.L.), with additional support for D.D.W.H. from the Collaborative Alaskan Arctic Studies Program.</t>
  </si>
  <si>
    <t>NATL ACAD SCIENCES</t>
  </si>
  <si>
    <t>WASHINGTON</t>
  </si>
  <si>
    <t>2101 CONSTITUTION AVE NW, WASHINGTON, DC 20418 USA</t>
  </si>
  <si>
    <t>0027-8424</t>
  </si>
  <si>
    <t>P NATL ACAD SCI USA</t>
  </si>
  <si>
    <t>Proc. Natl. Acad. Sci. U. S. A.</t>
  </si>
  <si>
    <t>JUL 17</t>
  </si>
  <si>
    <t>10.1073/pnas.1803543115</t>
  </si>
  <si>
    <t>GN3GQ</t>
  </si>
  <si>
    <t>WOS:000438892600069</t>
  </si>
  <si>
    <t>D'Amico, M; Román, J; de los Reyes, L; Revilla, E</t>
  </si>
  <si>
    <t>D'Amico, M.; Roman, J.; de los Reyes, L.; Revilla, E.</t>
  </si>
  <si>
    <t>BIOLOGICAL CONSERVATION</t>
  </si>
  <si>
    <t>Road mortality; Vertebrates; Life-history; Temporal and spatial factors; Wildlife road-crossing structures; Mitigation measures</t>
  </si>
  <si>
    <t>BIODIVERSITY HOTSPOTS; MITIGATION MEASURES; VEHICLE COLLISIONS; BEHAVIORAL ECOLOGY; MORTALITY; ROADKILLS; ABUNDANCE; CONSEQUENCES; POPULATIONS; MANAGEMENT</t>
  </si>
  <si>
    <t>Road-kill is the most recognized impact of traffic and an important threat for biodiversity. Nevertheless, most research on this topic deals with particular species or with road features, describing proximate correlates and rarely making inference on the mechanisms. Here we provide a more general approximation by describing life-history, temporal and spatial factors affecting vertebrate road-kills in Mediterranean landscapes, which are a biodiversity hotspot with little studied road impacts. During one year we recorded the casualties found on paved roads within Dofiana Natural Park. We found 2368 road-kills belonging to 66 species (32% of the study area checklist), with abundant ectotherm species more likely to be road-killed. We also investigated the temporal and spatial factors affecting the road-kill patterns of different taxonomic and functional groups. The phenology of the species was the main factor affecting road-kill temporal patterns for lizards, all birds and small mammals. Additionally, rainfall events were associated with the road-kill peaks of wintering birds, whereas high temperatures were related to the increase of road-killed snakes and the decrease of road-killed amphibians. Amphibians, snakes, lizards and small passerines were mainly road-killed according with their spatial abundance. Mitigation measures such as wildlife road-crossing structures showed contradictory effectiveness for small vertebrates due to the lack of adequate drift fences. We suggest prioritizing the mitigation measures which can permanently decrease the risk of been road-killed for ectotherm species, such as specific road-crossing structures with effective drift fences on road-kill hotspots. Concurrently, group-specific temporal mitigation measures should be applied during the road-kill seasonal peaks. The present work provides recommendations to decrease road-kill impacts in Mediterranean environments, but simultaneously tries to contribute to a more general development of road ecology research, suggesting several useful guidelines to perform road-kill studies. (C) 2015 Elsevier Ltd. All rights reserved.</t>
  </si>
  <si>
    <t>[D'Amico, M.; Roman, J.; Revilla, E.] Estn Biol Donana CSIC, Seville, Spain; [de los Reyes, L.] Espacio Nat Donana, Area Conservac, Almonte, Huelva, Spain</t>
  </si>
  <si>
    <t>D'Amico, M (corresponding author), Estn Biol Donana EBD CSIC, C Amer Vespucio S-N, E-41092 Seville, Spain.</t>
  </si>
  <si>
    <t>damico@ebd.csic.es; jroman@ebd.csic.es; leonidas.reyes.ext@juntadeandalucia.es; revilla@ebd.csic.es</t>
  </si>
  <si>
    <t>; D'Amico, Marcello/B-5322-2016; Revilla, Eloy/B-5100-2008</t>
  </si>
  <si>
    <t>Román, Jacinto/0000-0003-0675-9432; D'Amico, Marcello/0000-0002-0573-9184; Revilla, Eloy/0000-0001-5534-5581</t>
  </si>
  <si>
    <t>Andalusian Ministry of Environment; Andalusian Regional Government [2008X0963]; CSIC; Spanish Ministry of Science and Innovation; FEDER [CGL2009-07301/BOS, CGL2012-35931/BOS]</t>
  </si>
  <si>
    <t>Andalusian Ministry of Environment; Andalusian Regional Government; CSIC(Consejo Superior de Investigaciones Cientificas (CSIC)); Spanish Ministry of Science and Innovation(Spanish GovernmentMinistry of Science &amp; Innovation, Spain (MICINN)); FEDER(European Union (EU)Spanish Government)</t>
  </si>
  <si>
    <t>The road-kill survey was realized by Donana Conservation Area, while the explanatory variable surveys were funded by the project 2008X0963 (Andalusian Ministry of Environment; Andalusian Regional Government). The EBD-CSIC provided unpublished data for life-history variable survey, and Carmen Diaz-Paniagua, Margarita Florencio and Carlos Ibanez suggested bibliographic references. The Huelva Provincial District of Public Works and Transportation (Andalusian Regional Government) provided traffic data for the A494 Matalascanas-Mazagon regional road. Land-Rover Espana S.A. kindly lent two vehicles for part of the fieldwork. Gemma Calvo, Clara Grilo, Pablo Lucas and especially Andrea Baron helped with fieldwork. MD was supported by JAE-PRE fellowship from CSIC; ER was supported by projects funded by the Spanish Ministry of Science and Innovation co-funded by FEDER (CGL2009-07301/BOS, CGL2012-35931/BOS). Sofia Conradi-Fernandez and Angela Genovese provided logistic support. Giulia Bastianelli, Manuela Gonzalez-Suarez, Simone Santoro and Laura Rios-Pena helped with statistical analyses; Anthony P. Clevenger, Nestor Fernandez, Zulima Tablado and Carlos Rodriguez provided their helpful comments. Sol Heber, Clara Grilo, Juan E. Malo, Miguel Delibes and five anonymous referees reviewed a draft version of the manuscript.</t>
  </si>
  <si>
    <t>ELSEVIER SCI LTD</t>
  </si>
  <si>
    <t>OXFORD</t>
  </si>
  <si>
    <t>THE BOULEVARD, LANGFORD LANE, KIDLINGTON, OXFORD OX5 1GB, OXON, ENGLAND</t>
  </si>
  <si>
    <t>0006-3207</t>
  </si>
  <si>
    <t>1873-2917</t>
  </si>
  <si>
    <t>BIOL CONSERV</t>
  </si>
  <si>
    <t>Biol. Conserv.</t>
  </si>
  <si>
    <t>10.1016/j.biocon.2015.06.010</t>
  </si>
  <si>
    <t>CV4SP</t>
  </si>
  <si>
    <t>WOS:000364257100026</t>
  </si>
  <si>
    <t>Koerner, SE; Poulsen, JR; Blanchard, EJ; Okouyi, J; Clark, CJ</t>
  </si>
  <si>
    <t>Koerner, Sally E.; Poulsen, John R.; Blanchard, Emily J.; Okouyi, Joseph; Clark, Connie J.</t>
  </si>
  <si>
    <t>JOURNAL OF APPLIED ECOLOGY</t>
  </si>
  <si>
    <t>abundance; Anthropocene defaunation; biodiversity; birds; Central Africa; hunting intensity; mammals; species richness; tropical forests</t>
  </si>
  <si>
    <t>PRIMATE COMMUNITIES; TROPICAL FORESTS; TREE RECRUITMENT; SEED DISPERSAL; FOOD SECURITY; EMPTY FOREST; CONGO BASIN; BUSHMEAT; CONSERVATION; ABUNDANCE</t>
  </si>
  <si>
    <t>1. Anthropocene defaunation is the global phenomenon of human-induced animal biodiversity loss. Understanding the patterns and process of defaunation is critical to predict outcomes for wildlife populations and cascading consequences for ecosystem function and human welfare. 2. We investigated a defaunation gradient in north-eastern Gabon by establishing 24 transects at varying distances (2-30 km) to rural villages and surveying the abundance and composition of vertebrate communities. Distance from village was positively correlated with observations of hunting (shotgun shells, campfires, hunters), making it a good proxy for hunting pressure. 3. Species diversity declined significantly with proximity to village, with mammal richness increasing by roughly 1 similar to 5 species every 10 km travelled away from a village. Compared to forest far from villages, the wildlife community near villages consisted of higher abundances of large birds and rodents and lower abundances of large mammals like monkeys and ungulates. 4. Distance to nearest village emerged as a key driver of the relative abundance of five of the six taxonomic guilds, indicating that the top-down force of hunting strongly influences large vertebrate community composition and structure. Several measures of vegetation structure also explained animal abundance, but these varied across taxonomic guilds. Forest elephants were the exception: no measured variable or combination of variables explained variation in elephant abundances. 5. Synthesis and applications. Hunting is concentrated within 10 km around villages, creating a hunting halo characterized by heavily altered animal communities composed of relatively small-bodied species. Although the strongest anthropogenic effects are relatively distance-limited, the linear increase in species richness shown here even at distances 30 km from villages suggests that hunting may have altered vertebrate abundances across the entire landscape. Central African forests store &gt; 25% of the carbon in tropical forests and are home to 3000 endemic species, but roughly 53% of the region lies within the village hunting halo. Resource management strategies should take into account this hunting-induced spatial variation in animal communities. Near villages, resource management should focus on sustainable community-led hunting programmes that provide long- term supplies of wild meat to rural people. Resource management far from villages should focus on law enforcement and promoting industry practices that maintain remote tracts of land to preserve ecosystem services like carbon storage and biodiversity.</t>
  </si>
  <si>
    <t>[Koerner, Sally E.; Poulsen, John R.; Blanchard, Emily J.; Clark, Connie J.] Duke Univ, Nicholas Sch Environm, POB 90328, Durham, NC 27708 USA; [Okouyi, Joseph] Agence Natl Parcs Nationaux, Libreville 20379, Gabon</t>
  </si>
  <si>
    <t>Duke University</t>
  </si>
  <si>
    <t>Koerner, SE (corresponding author), Univ S Florida, Dept Integrat Biol, SCA 100,4202 E Fowler Ave, Tampa, FL 33620 USA.</t>
  </si>
  <si>
    <t>koerner@USF.edu</t>
  </si>
  <si>
    <t>Koerner, Sally/I-1701-2019; Poulsen, John/O-5332-2019</t>
  </si>
  <si>
    <t>Koerner, Sally/0000-0001-6403-7513; Poulsen, John/0000-0002-1532-9808</t>
  </si>
  <si>
    <t>0021-8901</t>
  </si>
  <si>
    <t>1365-2664</t>
  </si>
  <si>
    <t>J APPL ECOL</t>
  </si>
  <si>
    <t>J. Appl. Ecol.</t>
  </si>
  <si>
    <t>10.1111/1365-2664.12798</t>
  </si>
  <si>
    <t>Biodiversity Conservation; Ecology</t>
  </si>
  <si>
    <t>EU7UB</t>
  </si>
  <si>
    <t>WOS:000401239100014</t>
  </si>
  <si>
    <t>Kidane, Y; Stahlmann, R; Beierkuhnlein, C</t>
  </si>
  <si>
    <t>Kidane, Yohannes; Stahlmann, Reinhold; Beierkuhnlein, Carl</t>
  </si>
  <si>
    <t>ENVIRONMENTAL MONITORING AND ASSESSMENT</t>
  </si>
  <si>
    <t>Biodiversity loss; Vegetation dynamics; Endemism; Elevational gradient; Land use change; Remote sensing; Tropical mountains</t>
  </si>
  <si>
    <t>SOUTHERN ETHIOPIA; NATIONAL-PARK; ECOSYSTEMS; HIGHLANDS; CLIMATE; CONSEQUENCES; STABILITY; IMPACT; FOREST; FIRE</t>
  </si>
  <si>
    <t>Shifts in biological communities are occurring at rapid rates as human activities induced global climate change increases. Understanding the effects of the change on biodiversity is important to reduce loss of biodiversity and mass extinction, and to insure the long-term persistence of natural resources and natures' services. Especially in remote landscapes of developing countries, precise knowledge about on-going processes is scarce. Here we apply satellite imagery to assess spatio-temporal land use and land cover change (LULCC) in the Bale Mountains for a period of four decades. This study aims to identify the main drivers of change in vegetation patterns and to discuss the implications of LULCC on spatial arrangements and trajectories of floral communities. Remote sensing data acquired from Landsat MSS, Landsat ETM + and SPOT for four time steps (1973, 1987, 2000, and 2008) were analyzed using 11 LULC units defined based on the dominant plant taxa and cover types of the habitat. Change detection matrices revealed that over the last 40 years, the area has changed from a quite natural to a more cultural landscape. Within a representative subset of the study area (7,957.5 km(-2)), agricultural fields have increased from 1.71% to 9.34% of the total study area since 1973. Natural habitats such as upper montane forest, afroalpine grasslands, afromontane dwarf shrubs and herbaceous formations, and water bodies also increased. Conversely, afromontane grasslands have decreased in size by more than half (going from 19.3% to 8.77%). Closed Erica forest also shrank from 15.0% to 12.37%, and isolated Erica shrubs have decreased from 6.86% to 5.55%, and afroalpine dwarf shrubs and herbaceous formations reduced from 5.2% to 1.56%. Despite fluctuations the afromontane rainforest (Harenna forest), located south of the Bale Mountains, has remained relatively stable. In conclusion this study documents a rapid and ecosystem-specific change of this biodiversity hotspot due to intensified human activities (e.g., deforestation, agriculture, infrastructure expansion). Specifically, the ecotone between the afromontane and the afroalpine area represent a hotspot of biodiversity loss today. Taking into consideration the projections of regional climate warming and modified precipitation regimes, LULCC can be expected to become even more intensive in the near future. This is likely to impose unprecedented pressures on the largely endemic biota of the area.</t>
  </si>
  <si>
    <t>[Kidane, Yohannes; Stahlmann, Reinhold; Beierkuhnlein, Carl] Univ Bayreuth, Dept Biogeog, D-95440 Bayreuth, Germany</t>
  </si>
  <si>
    <t>University of Bayreuth</t>
  </si>
  <si>
    <t>Kidane, Y (corresponding author), Univ Bayreuth, Dept Biogeog, Univ Str 30, D-95440 Bayreuth, Germany.</t>
  </si>
  <si>
    <t>yohannes-kidane@hotmail.com</t>
  </si>
  <si>
    <t>Beierkuhnlein, Carl/ABF-9693-2021</t>
  </si>
  <si>
    <t>Beierkuhnlein, Carl/0000-0002-6456-4628; Stahlmann, Reinhold/0000-0001-5904-417X</t>
  </si>
  <si>
    <t>Rufford Small Grants Foundation</t>
  </si>
  <si>
    <t>We express gratitude to the SPOT Planet Action Program and its partner institutes for the free grant of SPOT satellite images, ArcGIS 9.3.1 software, and ENVI-IDL 4.7 remote sensing software and books. We also acknowledge the financial support for this work from the Rufford Small Grants Foundation.</t>
  </si>
  <si>
    <t>0167-6369</t>
  </si>
  <si>
    <t>ENVIRON MONIT ASSESS</t>
  </si>
  <si>
    <t>Environ. Monit. Assess.</t>
  </si>
  <si>
    <t>DEC</t>
  </si>
  <si>
    <t>10.1007/s10661-011-2514-8</t>
  </si>
  <si>
    <t>032TO</t>
  </si>
  <si>
    <t>WOS:000310742200033</t>
  </si>
  <si>
    <t>Hui, W; Ceming, T; Wen, X; Xuan, W; Dahan, ARKX; Qiang, F</t>
  </si>
  <si>
    <t>Hui, Wang; Ceming, Tan; Wen, Xiong; Xuan, Wang; Dahan, Aierkaixi; Qiang, Fu</t>
  </si>
  <si>
    <t>Vascular plants in the tourist area of Lushan National Nature Reserve, China: status, threats and conservation</t>
  </si>
  <si>
    <t>ECO MONT-JOURNAL ON PROTECTED MOUNTAIN AREAS RESEARCH</t>
  </si>
  <si>
    <t>forest community; habitat fragmentation; Lushan Mountain; non-native species; vascular plants</t>
  </si>
  <si>
    <t>DIVERSITY</t>
  </si>
  <si>
    <t>Lushan National Nature Reserve, one of the hotspots of montane plant diversity, is undergoing disturbance from human activities, especially plant introduction, road construction and tourism. Our survey carried out in 2015 and 2016 identified 563 vascular plant species, belonging to 337 genera and 114 families, distributed along the main tourism routes. 157 of the species are endemic to China and 3 to Lushan. 26 species are threatened with extinction and 15 are ancient relic species. 131 are introduced species which have become established in the survey area, and 17 of these are invasive species. Current knowledge indicates that the native plant fauna has been modified. The shrub and herb layers include a large number of introduced and domesticated plants. Conservation suggestions for local biodiversity are emphasized in this study.</t>
  </si>
  <si>
    <t>[Hui, Wang; Xuan, Wang; Dahan, Aierkaixi; Qiang, Fu] Huazhong Agr Univ, Coll Hort &amp; Forestry Sci, Hubei Engn Technol Res Ctr Forestry Informat, Wuhan 430070, Hubei, Peoples R China; [Ceming, Tan] Forest Herbarium Jiujiang, Jiujiang 332000, Jiangxi, Peoples R China; [Wen, Xiong] Guangdong Ocean Univ, Coll Fisheries, Zhanjiang 524088, Guangdong, Peoples R China</t>
  </si>
  <si>
    <t>Huazhong Agricultural University; Guangdong Ocean University</t>
  </si>
  <si>
    <t>Qiang, F (corresponding author), Huazhong Agr Univ, Coll Hort &amp; Forestry Sci, Hubei Engn Technol Res Ctr Forestry Informat, Wuhan 430070, Hubei, Peoples R China.</t>
  </si>
  <si>
    <t>wanghui@mail.hzau.edu.cn; 1244546214@qq.com; chinaxiongwen@gmail.com; 952812005@qq.com; 1406338170@qq.com; fuqiang@mail.hzau.edu.cn</t>
  </si>
  <si>
    <t>National Natural Science Foundation of China [31600189]</t>
  </si>
  <si>
    <t>National Natural Science Foundation of China(National Natural Science Foundation of China (NSFC))</t>
  </si>
  <si>
    <t>The authors are grateful to Peng Yansong and Yi Yongmei for assistance in plant identification. This research was supported by the National Natural Science Foundation of China (No. 31600189).</t>
  </si>
  <si>
    <t>AUSTRIAN ACAD SCIENCES PRESS, UNIV INNSBRUCK</t>
  </si>
  <si>
    <t>VIENNA</t>
  </si>
  <si>
    <t>PO BOX 471, POSTGASSE 7, VIENNA, 1011, AUSTRIA</t>
  </si>
  <si>
    <t>2073-106X</t>
  </si>
  <si>
    <t>2073-1558</t>
  </si>
  <si>
    <t>ECO MONT</t>
  </si>
  <si>
    <t>Eco Mont</t>
  </si>
  <si>
    <t>10.1553/eco.mont-12-1s60</t>
  </si>
  <si>
    <t>KB6YM</t>
  </si>
  <si>
    <t>WOS:000506638100008</t>
  </si>
  <si>
    <t>Smith, JN; Kelly, N; Renner, IW</t>
  </si>
  <si>
    <t>Smith, Joshua N.; Kelly, Natalie; Renner, Ian W.</t>
  </si>
  <si>
    <t>ECOLOGICAL APPLICATIONS</t>
  </si>
  <si>
    <t>density surface model; generalized additive model; Great Barrier Reef; habitat model; humpback whale; MaxEnt; ship strike; spatial cross-validation; spatial risk assessment; species distribution modeling</t>
  </si>
  <si>
    <t>SPECIES DISTRIBUTION MODELS; POINT PROCESS MODELS; HUMPBACK WHALES; MEGAPTERA-NOVAEANGLIAE; GROUND VALIDATION; BREEDING HABITAT; DISTRIBUTIONS; PREDICTION; IDENTIFICATION; PERFORMANCE</t>
  </si>
  <si>
    <t>Identification of species' Biologically Important Areas (BIAs) is fundamental to conservation planning and species distribution models (SDMs) are a powerful tool commonly used to do this. Presence-only data are increasingly being used to develop SDMs to aid the conservation decision-making process. The application of presence-only SDMs for marine species' is particularly attractive due to often logistical and economic costs of obtaining systematic species' distribution data. However, robust model validation is important for conservation management applications that require accurate and reliable species' occurrence data (e.g., spatially explicit risk assessments). This is commonly done using a random subset of the data and less commonly with fully independent test data. Here, we apply a spatial block cross-validation (CV) approach to validate a MaxEnt presence-only model using independent presence/absence survey data for a highly mobile, marine species (humpback whale,Megaptera novaengliae) in the Great Barrier Reef (GBR). A MaxEnt model was developed using opportunistic whale sightings (2003-2007) and then used to identify areas differing in habitat suitability (low, medium, high) to conduct a systematic, line-transect, aerial survey (2012) and derive a density surface model. A spatial block CV buffering strategy was used to validate the MaxEnt model, using the opportunistic sightings as training data and independent aerial survey sightings data as test data. Moderate performance measures indicate MaxEnt was reliable in identifying the distribution patterns of a mobile whale species on their breeding ground, indicated by areas of high density aligned to areas of high habitat suitability. Furthermore, we demonstrate that MaxEnt models can be useful and cost-effective for designing a sampling scheme to undertake systematic surveys that significantly reduces sampling effort. In this study, higher quality information on whale reproductive class (calf vs. non-calf groups) was obtained that the presence-only data lacked, while sampling only 18% of the GBR World Heritage Area. The validation approach using fully independent data provides greater confidence in the MaxEnt model, which indicates significant overlap with the main breeding ground of humpback whales and the inner shipping route. This is important when evaluating presence-only models within certain conservation management applications, such as spatial risk assessments.</t>
  </si>
  <si>
    <t>[Smith, Joshua N.] Murdoch Univ, Coll Sci Hlth Engn &amp; Educ, Environm &amp; Conservat Sci, 90 South St, Perth, WA 6150, Australia; [Kelly, Natalie] Australian Govt Dept Agr Water &amp; Environm, Australian Antarctic Div, 203 Channel Highway, Kingston, Tas 7000, Australia; [Renner, Ian W.] Univ Newcastle, Sch Math &amp; Phys Sci, Univ Dr, Callaghan, NSW 2308, Australia</t>
  </si>
  <si>
    <t>Murdoch University; Australian Antarctic Division; University of Newcastle</t>
  </si>
  <si>
    <t>Smith, JN (corresponding author), Murdoch Univ, Coll Sci Hlth Engn &amp; Educ, Environm &amp; Conservat Sci, 90 South St, Perth, WA 6150, Australia.</t>
  </si>
  <si>
    <t>joshua.smith@uqconnect.edu.au</t>
  </si>
  <si>
    <t>Renner, Ian/JAD-0394-2023; Smith, Joshua/AAU-9181-2020; Kelly, Nat/B-3481-2010</t>
  </si>
  <si>
    <t>Renner, Ian/0000-0003-3116-2486; Smith, Joshua/0000-0001-9912-422X; Kelly, Nat/0000-0002-9664-354X</t>
  </si>
  <si>
    <t>Australian Marine Mammal Centre</t>
  </si>
  <si>
    <t>We would like to thank the Great Barrier Reef Marine Park Authority for their collaboration on this project, and particularly Mark Read for his support. The aerial survey was undertaken using the company Observair and we would like to thank our pilot Brad Welch for his flexibility in the field and professionalism when undertaking the surveys. We thank an experienced and hardworking aerial survey team that consisted of Susan Sobtzick, Natalie Schmitt, Verity McCorkill, Louise Bennett. We thank Blue Planet Marine for facilitation of the contracting of the survey team. We also acknowledge the NOAA CoastWatch Program and NASA's Goddard Space Flight Center, OceanColor Web for use of the MODIS Aqua SST/Pathfinder SST data and Project 3D-GBR for the gbr100 bathymetry data set. Shapefile base layers for the Great Barrier Reef were provided courtesy of the Great Barrier Reef Marine Park Authority. We greatly acknowledge funding for this project from the Australian Marine Mammal Centre. J. Smith conceived the fieldwork design and collected the data. J. Smith, N. Kelly, and I. Renner analyzed the data; J. Smith led the manuscript writing and J. Smith, N. Kelly, and I. Renner contributed critically to the drafts and gave final approval for publication.</t>
  </si>
  <si>
    <t>1051-0761</t>
  </si>
  <si>
    <t>1939-5582</t>
  </si>
  <si>
    <t>ECOL APPL</t>
  </si>
  <si>
    <t>Ecol. Appl.</t>
  </si>
  <si>
    <t>10.1002/eap.2214</t>
  </si>
  <si>
    <t>SEP 2020</t>
  </si>
  <si>
    <t>Ecology; Environmental Sciences</t>
  </si>
  <si>
    <t>PW0IT</t>
  </si>
  <si>
    <t>Green Submitted, hybrid</t>
  </si>
  <si>
    <t>WOS:000569460700001</t>
  </si>
  <si>
    <t>Lessmann, J; Troya, MJ; Flecker, AS; Funk, WC; Guayasamin, JM; Ochoa-Herrera, V; Poff, NL; Suárez, E; Encalada, AC</t>
  </si>
  <si>
    <t>Lessmann, Janeth; Troya, Maria J.; Flecker, Alexander S.; Funk, W. Chris; Guayasamin, Juan M.; Ochoa-Herrera, Valeria; Poff, N. LeRoy; Suarez, Esteban; Encalada, Andrea C.</t>
  </si>
  <si>
    <t>PEERJ</t>
  </si>
  <si>
    <t>Andean-Amazon rivers and streams; GIS; Conservation planning; Predictive modeling; Freshwater ecosystems; Spatial patterns</t>
  </si>
  <si>
    <t>FRESH-WATER FISH; LAND-USE; ENVIRONMENTAL-IMPACT; OIL INDUSTRY; CONSERVATION; BIODIVERSITY; DIVERSITY; CLASSIFICATION; COMMUNITIES; PERSPECTIVE</t>
  </si>
  <si>
    <t>Anthropogenic threat maps are commonly used as a surrogate for the ecological integrity of rivers in freshwater conservation, but a clearer understanding of their relationships is required to develop proper management plans at large scales. Here, we developed and validated empirical models that link the ecological integrity of rivers to threat maps in a large, heterogeneous and biodiverse Andean-Amazon watershed. Through fieldwork, we recorded data on aquatic invertebrate community composition, habitat quality, and physical-chemical parameters to calculate the ecological integrity of 140 streams/rivers across the basin. Simultaneously, we generated maps that describe the location, extent, and magnitude of impact of nine anthropogenic threats to freshwater systems in the basin. Through seven-fold cross-validation procedure, we found that regression models based on anthropogenic threats alone have limited power for predicting the ecological integrity of rivers. However, the prediction accuracy improved when environmental predictors (slope and elevation) were included, and more so when the predictions were carried out at a coarser scale, such as microbasins. Moreover, anthropogenic threats that amplify the incidence of other pressures (roads, human settlements and oil activities) are the most relevant predictors of ecological integrity. We concluded that threat maps can offer an overall picture of the ecological integrity pattern of the basin, becoming a useful tool for broad-scale conservation planning for freshwater ecosystems. While it is always advisable to have finer scale in situ measurements of ecological integrity, our study shows that threat maps provide fast and cost-effective results, which so often are needed for pressing management and conservation actions.</t>
  </si>
  <si>
    <t>[Lessmann, Janeth; Troya, Maria J.; Guayasamin, Juan M.; Suarez, Esteban; Encalada, Andrea C.] Univ San Francisco Quito, Inst BIOSFERA, Colegio Ciencias Biol &amp; Ambientales, Quito, Ecuador; [Lessmann, Janeth] Pontificia Univ Catolica Chile, Dept Ecol, Santiago, Chile; [Lessmann, Janeth] Inst Ecol &amp; Biodiversidad, Santiago, Chile; [Flecker, Alexander S.] Cornell Univ, Dept Ecol &amp; Evolutionary Biol, Ithaca, NY USA; [Funk, W. Chris; Poff, N. LeRoy] Colorado State Univ, Dept Biol, Grad Degree Program Ecol, Ft Collins, CO 80523 USA; [Guayasamin, Juan M.] Univ Tecnol Indoamer, Fac Ciencias Medio Ambiente, Ctr Invest Biodiversidad &amp; Cambio Climat BioCamb, Quito, Ecuador; [Ochoa-Herrera, Valeria] Univ San Francisco Quito, Colegio Ciencias &amp; Ingn, Politecn, Quito, Ecuador; [Ochoa-Herrera, Valeria] Univ N Carolina, Gillings Sch Global Publ Hlth, Dept Environm Sci &amp; Engn, Chapel Hill, NC 27515 USA; [Poff, N. LeRoy] Univ Canberra, Inst Appl Ecol, Canberra, ACT, Australia; [Encalada, Andrea C.] Univ Coimbra, Dept Life Sci, MARE, Coimbra, Portugal; [Encalada, Andrea C.] Univ N Carolina, Dept Geog, Chapel Hill, NC 27515 USA</t>
  </si>
  <si>
    <t>Universidad San Francisco de Quito; Pontificia Universidad Catolica de Chile; Cornell University; Colorado State University System; Colorado State University Fort Collins; Universidad San Francisco de Quito; University of North Carolina; University of North Carolina Chapel Hill; University of Canberra; Universidade de Coimbra; University of North Carolina; University of North Carolina Chapel Hill</t>
  </si>
  <si>
    <t>Lessmann, J (corresponding author), Univ San Francisco Quito, Inst BIOSFERA, Colegio Ciencias Biol &amp; Ambientales, Quito, Ecuador.;Lessmann, J (corresponding author), Pontificia Univ Catolica Chile, Dept Ecol, Santiago, Chile.;Lessmann, J (corresponding author), Inst Ecol &amp; Biodiversidad, Santiago, Chile.</t>
  </si>
  <si>
    <t>jdlessmann@uc.cl</t>
  </si>
  <si>
    <t>Suarez, Esteban/AAP-7440-2020; Lessmann, Janeth/M-1524-2017; Ochoa-Herrera, Valeria/ABB-5060-2020; Poff, N LeRoy/C-1239-2009</t>
  </si>
  <si>
    <t>Suarez, Esteban/0000-0003-0425-8933; Lessmann, Janeth/0000-0002-1502-625X; Ochoa-Herrera, Valeria/0000-0002-3826-2079; Poff, N LeRoy/0000-0002-1390-8742; Guayasamin, Juan/0000-0003-0098-978X; Encalada, Anea C/0000-0003-2497-6086; Flecker, Alexander/0000-0002-4636-2109</t>
  </si>
  <si>
    <t>Partnership for Enhanced Engagement in Research (PEER) Program from USAID; NSF Collaborative Dimensions of Biodiversity grant [DEB-1046408, DEB-1045960, DEB-1045991]; Universidad Tecnologica Indoamerica (Evaluacion quimica y biologica de la calidad de agua de la cuenca del Rio Napo, Ecuador) [Q2012-10]; USFQ (Recursos de agua dulce y biodiversidad en la Cuenca del Napo)</t>
  </si>
  <si>
    <t>Partnership for Enhanced Engagement in Research (PEER) Program from USAID; NSF Collaborative Dimensions of Biodiversity grant; Universidad Tecnologica Indoamerica (Evaluacion quimica y biologica de la calidad de agua de la cuenca del Rio Napo, Ecuador); USFQ (Recursos de agua dulce y biodiversidad en la Cuenca del Napo)</t>
  </si>
  <si>
    <t>This study was funded by Partnership for Enhanced Engagement in Research (PEER) Program from USAID and NSF Collaborative Dimensions of Biodiversity grant (awards: DEB-1046408, DEB-1045960, and DEB-1045991), Universidad Tecnologica Indoamerica (Evaluacion quimica y biologica de la calidad de agua de la cuenca del Rio Napo, Ecuador; Q2012-10 to Juan M. Guayasamin), and collaboration grant USFQ (Recursos de agua dulce y biodiversidad en la Cuenca del Napo to Andrea C. Encalada). The funders had no role in study design, data collection and analysis, decision to publish, or preparation of the manuscript.</t>
  </si>
  <si>
    <t>PEERJ INC</t>
  </si>
  <si>
    <t>LONDON</t>
  </si>
  <si>
    <t>341-345 OLD ST, THIRD FLR, LONDON, EC1V 9LL, ENGLAND</t>
  </si>
  <si>
    <t>2167-8359</t>
  </si>
  <si>
    <t>NOV 20</t>
  </si>
  <si>
    <t>e8060</t>
  </si>
  <si>
    <t>10.7717/peerj.8060</t>
  </si>
  <si>
    <t>JQ2XS</t>
  </si>
  <si>
    <t>WOS:000498814300004</t>
  </si>
  <si>
    <t>Mojica, EK; Watts, BD; Turrin, CL</t>
  </si>
  <si>
    <t>Mojica, Elizabeth K.; Watts, Bryan D.; Turrin, Courtney L.</t>
  </si>
  <si>
    <t>Utilization Probability Map for Migrating Bald Eagles in Northeastern North America: A Tool for Siting Wind Energy Facilities and Other Flight Hazards</t>
  </si>
  <si>
    <t>BIRD MORTALITY; GOLDEN EAGLES; COLLISION; RISK; MOVEMENT; RAPTORS; FARMS; SEX</t>
  </si>
  <si>
    <t>Collisions with anthropogenic structures are a significant and well documented source of mortality for avian species worldwide. The bald eagle (Haliaeetus leucocephalus) is known to be vulnerable to collision with wind turbines and federal wind energy guidelines include an eagle risk assessment for new projects. To address the need for risk assessment, in this study, we 1) identified areas of northeastern North America utilized by migrating bald eagles, and 2) compared these with high wind-potential areas to identify potential risk of bald eagle collision with wind turbines. We captured and marked 17 resident and migrant bald eagles in the northern Chesapeake Bay between August 2007 and May 2009. We produced utilization distribution (UD) surfaces for 132 individual migration tracks using a dynamic Brownian bridge movement model and combined these to create a population wide UD surface with a 1 km cell size. We found eagle migration movements were concentrated within two main corridors along the Appalachian Mountains and the Atlantic Coast. Of the 3,123 wind turbines &gt;= 100 m in height in the study area, 38% were located in UD 20, and 31% in UD 40. In the United States portion of the study area, commercially viable wind power classes overlapped with only 2% of the UD category 20 (i.e., the areas of highest use by migrating eagles) and 4% of UD category 40. This is encouraging because it suggests that wind energy development can still occur in the study area at sites that are most viable from a wind power perspective and are unlikely to cause significant mortality of migrating eagles. In siting new turbines, wind energy developers should avoid the high-use migration corridors (UD categories 20 &amp; 40) and focus new wind energy projects on lower-risk areas (UD categories 60-100).</t>
  </si>
  <si>
    <t>[Mojica, Elizabeth K.] Coll William &amp; Mary, Ctr Conservat Biol, Williamsburg, VA USA; Virginia Commonwealth Univ, Williamsburg, VA USA; [Mojica, Elizabeth K.] EDM Int Inc, 4001 Automat Way, Ft Collins, CO USA; [Turrin, Courtney L.] Yale Univ, Dept Psychol, New Haven, CT USA</t>
  </si>
  <si>
    <t>William &amp; Mary; Virginia Commonwealth University; Yale University</t>
  </si>
  <si>
    <t>Mojica, EK (corresponding author), Coll William &amp; Mary, Ctr Conservat Biol, Williamsburg, VA USA.;Mojica, EK (corresponding author), EDM Int Inc, 4001 Automat Way, Ft Collins, CO USA.</t>
  </si>
  <si>
    <t>lmojica@edmlink.com</t>
  </si>
  <si>
    <t>Mojica, Elizabeth/G-1504-2012</t>
  </si>
  <si>
    <t>Mojica, Elizabeth/0000-0001-6941-4840; turrin, ceic-olivier/0000-0001-7187-8070</t>
  </si>
  <si>
    <t>American Wind Wildlife Institute [778361]; U.S. Fish and Wildlife Service [F14PX00564]; U.S. Army at Aberdeen Proving Ground [W91ZLK-05-D-0020]</t>
  </si>
  <si>
    <t>American Wind Wildlife Institute; U.S. Fish and Wildlife Service(US Fish &amp; Wildlife Service); U.S. Army at Aberdeen Proving Ground</t>
  </si>
  <si>
    <t>Funding for this project was provided by the American Wind Wildlife Institute, 778361 (https://awwi.org/); U.S. Fish and Wildlife Service, F14PX00564 (http://www.fws.gov/); and the U.S. Army at Aberdeen Proving Ground, W91ZLK-05-D-0020 (https://www.apg.army.mil/). The funders had no role in study design, data collection and analysis, or decision to publish. Funders provided comments during preparation of the manuscript.</t>
  </si>
  <si>
    <t>JUN 23</t>
  </si>
  <si>
    <t>e0157807</t>
  </si>
  <si>
    <t>10.1371/journal.pone.0157807</t>
  </si>
  <si>
    <t>DP3JL</t>
  </si>
  <si>
    <t>WOS:000378389200050</t>
  </si>
  <si>
    <t>Knouft, JH; Chu, ML</t>
  </si>
  <si>
    <t>Knouft, Jason H.; Chu, Ma Librada</t>
  </si>
  <si>
    <t>ECOHYDROLOGY</t>
  </si>
  <si>
    <t>urbanization; MIKE-SHE; hydrology; fish species richness; stream flow</t>
  </si>
  <si>
    <t>ECOLOGICAL CONSEQUENCES; PISCIVOROUS BASS; GRAZING MINNOWS; FLOW REGIME; STREAMFLOW; THRESHOLDS; RESPONSES; THREATS; ALGAE</t>
  </si>
  <si>
    <t>Natural flow regimes are important predictors of variation in freshwater biodiversity, yet urbanization can significantly impact the volume and variability of water moving through a watershed. Moreover, there is limited quantitative understanding of spatial variation in the effects of urbanization on watershed hydrology and the impacts of this variation on aquatic species distributions and assemblage composition. We used a physically based watershed model (MIKE-SHE), a hydrodynamic river model (MIKE-11), and current landcover classifications to characterize flows at sites across the Big River watershed in eastern Missouri. Estimates of streamflow from the MIKE-SHE model based on current landcover classifications were then used to predict variation in fish species richness at 44 sites across the watershed. We also quantified the potential effects of five urbanization scenarios on streamflows throughout the watershed and used flow estimates from the urbanization hydrological models to predict changes in fish species richness as urban areas increase. Responses varied among sites, with some sites predicted to increase in species richness whereas others are predicted to decrease in species richness. This mosaic of responses is likely due to the inconsistent impact of urbanization on streamflows throughout the watershed. Results also differed among taxonomic groups. The number of species of Cyprinidae (minnows) is generally expected to increase within sites across the watershed, whereas the number of species of Centrachidae (bass and sunfish) is expected to decrease. This differential shift in cyprinid and centrarchid richness is predicted to have a compensatory effect, with overall richness remaining, on average, relatively constant among sites. Copyright (c) 2014 John Wiley &amp; Sons, Ltd.</t>
  </si>
  <si>
    <t>[Knouft, Jason H.] St Louis Univ, Dept Biol, St Louis, MO 63103 USA; [Knouft, Jason H.; Chu, Ma Librada] St Louis Univ, Ctr Environm Sci, St Louis, MO 63103 USA</t>
  </si>
  <si>
    <t>Saint Louis University; University System of Maryland; University of Maryland Center for Environmental Science; Saint Louis University</t>
  </si>
  <si>
    <t>Knouft, JH (corresponding author), St Louis Univ, Dept Biol, 3507 Laclede Ave, St Louis, MO 63103 USA.</t>
  </si>
  <si>
    <t>jknouft@slu.edu</t>
  </si>
  <si>
    <t>Knouft, Jason/0000-0002-3737-5696</t>
  </si>
  <si>
    <t>National Science Foundation [DEB-0844644]; Saint Louis University</t>
  </si>
  <si>
    <t>National Science Foundation(National Science Foundation (NSF)); Saint Louis University</t>
  </si>
  <si>
    <t>We thank Lynn Schrader and members of the Missouri Department of Conservation for collecting and providing the fish data used in this study. Funding for this research was provided to J. H. K. by the National Science Foundation (DEB-0844644) and Saint Louis University. The authors declare no conflicts of interest associated with the work reported in this manuscript.</t>
  </si>
  <si>
    <t>1936-0584</t>
  </si>
  <si>
    <t>1936-0592</t>
  </si>
  <si>
    <t>MAR</t>
  </si>
  <si>
    <t>10.1002/eco.1506</t>
  </si>
  <si>
    <t>Ecology; Environmental Sciences; Water Resources</t>
  </si>
  <si>
    <t>Environmental Sciences &amp; Ecology; Water Resources</t>
  </si>
  <si>
    <t>CD5PQ</t>
  </si>
  <si>
    <t>WOS:000351140700008</t>
  </si>
  <si>
    <t>McClellan, CM; Read, AJ; Price, BA; Cluse, WM; Godfrey, MH</t>
  </si>
  <si>
    <t>McClellan, Catherine M.; Read, Andrew J.; Price, Blake A.; Cluse, Wendy M.; Godfrey, Matthew H.</t>
  </si>
  <si>
    <t>bycatch; Caretta caretta; Chelonia mydas; gill net fishery; Lepidochelys kempii; marine vertebrates; Pamlico Sound, North Carolina, USA; Paralichthys lethostigma; satellite telemetry; sea turtle; southern flounder; spatial overlap index</t>
  </si>
  <si>
    <t>TURTLE EXCLUDER DEVICES; SEA-TURTLES; NORTH-CAROLINA; LOGGERHEAD TURTLES; LOCATION ACCURACY; CARETTA-CARETTA; CHELONIA-MYDAS; STRANDINGS; WATERS; FISHERIES</t>
  </si>
  <si>
    <t>The unintended bycatch of long-lived marine species in fishing gear is an important global conservation issue. One suite of management approaches used to address this problem restricts or modifies fishing practices in areas where the probability of bycatch is believed to be high. Information on the distribution and behavior of the bycaught species is a desirable component of any such scheme, but such observations are often lacking. We describe a spatially explicit approach that combines data on the distribution of fishing effort and observations of the distribution of bycatch species derived from satellite telemetry. In a case study, we used a spatially explicit predator-prey model to investigate real-time interactions between three species of sea turtles (Caretta caretta, Chelonia mydas, and Lepidochelys kempii) and the fall large-mesh gill net fishery that targets southern flounder (Paralichthys lethostigma) in Pamlico Sound, North Carolina between 2002 and 2004. The model calculates a spatial overlap index, thereby allowing us to identify which fishing areas have the greatest risk of encountering bycatch. In this study, our telemetry deployments (n = 50) were designed specifically to address existing fisheries conservation measures in Pamlico Sound intended to reduce sea turtle bycatch. We were able to predict the spatial distribution of bycatch and evaluate management measures. This approach offers a powerful tool to managers faced with the need to reduce bycatch.</t>
  </si>
  <si>
    <t>[McClellan, Catherine M.; Read, Andrew J.] Duke Univ, Marine Lab, Div Marine Sci &amp; Conservat, Beaufort, NC 28516 USA; [Price, Blake A.] N Carolina Div Marine Fisheries, Morehead City, NC 28557 USA; [Cluse, Wendy M.] N Carolina Wildlife Resources Commiss, Morehead City, NC 28557 USA; [Godfrey, Matthew H.] N Carolina Wildlife Resources Commiss, Beaufort, NC 28516 USA</t>
  </si>
  <si>
    <t>McClellan, CM (corresponding author), Duke Univ, Marine Lab, Div Marine Sci &amp; Conservat, 135 Duke Marine Lab Rd, Beaufort, NC 28516 USA.</t>
  </si>
  <si>
    <t>catherin@duke.edu</t>
  </si>
  <si>
    <t>Read, Andrew/AAE-8386-2019</t>
  </si>
  <si>
    <t>North Carolina Sea Grant's Fishery Resource [02-FEG-05]; New England Aquarium Consortium for Wildlife Bycatch Reduction; Duke University Marine Laboratory; Oak Foundation</t>
  </si>
  <si>
    <t>North Carolina Sea Grant's Fishery Resource; New England Aquarium Consortium for Wildlife Bycatch Reduction; Duke University Marine Laboratory; Oak Foundation</t>
  </si>
  <si>
    <t>This research was funded by the North Carolina Sea Grant's Fishery Resource Grant Program(#02-FEG-05) and the New England Aquarium Consortium for Wildlife Bycatch Reduction. The Duke University Marine Laboratory and Oak Foundation supported this work through graduate student fellowships to Catherine McClellan. Research on sea turtles was authorized by NMFS Scientific Research Permit 1260 and the Duke University Institutional Animal Care and Use Committee (A146-02-05).</t>
  </si>
  <si>
    <t>ECOLOGICAL SOC AMER</t>
  </si>
  <si>
    <t>1990 M STREET NW, STE 700, WASHINGTON, DC 20036 USA</t>
  </si>
  <si>
    <t>10.1890/08-1091.1</t>
  </si>
  <si>
    <t>484VC</t>
  </si>
  <si>
    <t>WOS:000269075200024</t>
  </si>
  <si>
    <t>Kirkman, SP; Holness, S; Harris, LR; Sink, KJ; Lombard, AT; Kainge, P; Majiedt, P; Nsiangango, SE; Nsingi, KK; Samaai, T</t>
  </si>
  <si>
    <t>Kirkman, Stephen P.; Holness, Stephen; Harris, Linda R.; Sink, Kerry J.; Lombard, Amanda T.; Kainge, Paulus; Majiedt, Prideel; Nsiangango, Silvi E.; Nsingi, Kumbi K.; Samaai, Toufiek</t>
  </si>
  <si>
    <t>OCEAN &amp; COASTAL MANAGEMENT</t>
  </si>
  <si>
    <t>Marine protected areas; Ecologically or biologically significant marine areas; Ecosystem mapping; Ocean zoning; Large marine ecosystem</t>
  </si>
  <si>
    <t>BIODIVERSITY; AREAS; SERVICES; IMPACTS; OCEAN; WORLD</t>
  </si>
  <si>
    <t>The Benguela Current Large Marine Ecosystem (BCLME) is subject to moderate to high levels of fishing, mining and numerous other human pressures, all of which are set to intensify through current socio-economic development initiatives in Angola, Namibia and South Africa. There is, however, minimal spatial protection of marine and coastal ecosystems in the region, potentially reducing the sustainability of the planned development and the likelihood of achieving Sustainable Development Goals. As a precursor to Marine Spatial Planning (MSP) processes in the three countries, and to guide establishment of Marine Protected Areas (MPAs), this study aimed to: assess two headline indicators of ecosystem status, namely their potential threat status and current spatial protection levels; and to use Systematic Conservation Planning (SCP) to prioritise specific areas for protection to achieve networks of MPAs that are representative of national and regional biodiversity. Two hundred and forty eight ecosystem types in the coastal (n = 134), offshore benthic (n = 86) and pelagic (n = 28) zones of the BCLME were classified, mapped and assessed. Overall, 35% of all ecosystem types in the study domain were threatened, with more threatened coastal (37%) and offshore benthic (37%) ecosystem types compared to pelagic ecosystem types (14%), although the same pattern was not necessarily evident within each country. Nearly two thirds (59%) of the BCLME ecosystem types were not protected in MPAs, and most of those that were well (19%) or moderately protected (14%) were coastal types that are within a single extensive MPA in Namibia. Notwithstanding, there was still a sufficient area of most ecosystem types that was assessed to be in good ecological condition in all three countries and that could be prioritised for representative protection of the region's biodiversity. A portfolio of priority conservation areas was identified from Marxan selection-frequency outputs, providing a spatial vision for protected areas in the BCLME that includes coastal, inshore and offshore areas in all three countries. This first assessment of marine ecosystem threat and protection status for an entire LME demonstrates a rapid science-based approach that can inform integrated ocean management and multiple development goals. The study provides a basis for identifying Ecologically or Biologically Significant Marine Areas, potential sites for MPAs or other spatial management in the region, and demonstrates the contribution of SCP and spatial management to MSP.</t>
  </si>
  <si>
    <t>[Kirkman, Stephen P.; Samaai, Toufiek] Oceans &amp; Coastal Res, Dept Environm Affairs, POB 52126, ZA-8000 Cape Town, South Africa; [Holness, Stephen; Harris, Linda R.; Sink, Kerry J.; Lombard, Amanda T.] Nelson Mandela Univ, Inst Coastal &amp; Marine Res, Dept Zool, POB 77000, ZA-6031 Port Elizabeth, South Africa; [Sink, Kerry J.; Majiedt, Prideel] Kirstenbosch, South African Natl Biodivers Inst, Ctr Biodivers Conservat, Rhodes Ave, ZA-7700 Newlands, South Africa; [Kainge, Paulus] Minist Fisheries &amp; Marine Resources, Natl Marine Informat &amp; Res Ctr NatMIRC, POB 912, Swakopmund, Namibia; [Nsiangango, Silvi E.] Minist Agr &amp; Desenvolvimento Rural &amp; Pescas, Inst Nacl Invest Pesqueira, Ilha de Luanda 2601, Luanda, Angola; [Nsingi, Kumbi K.] Benguela Current Convent, Private Bag 5031, Swakopmund, Namibia</t>
  </si>
  <si>
    <t>Department of Environment, Forestry &amp; Fisheries; Nelson Mandela University; South African National Biodiversity Institute</t>
  </si>
  <si>
    <t>Kirkman, SP (corresponding author), Oceans &amp; Coastal Res, Dept Environm Affairs, POB 52126, ZA-8000 Cape Town, South Africa.</t>
  </si>
  <si>
    <t>spkirkman@gmail.com; silvinsiangango@gmail.com</t>
  </si>
  <si>
    <t>; Lombard, Amanda Talita/AAE-4649-2019; Harris, Linda/NJS-8008-2025; Majiedt, Prideel/JNS-7900-2023; Kirkman, Stephen/AAA-9139-2021</t>
  </si>
  <si>
    <t>Sink, Kerry/0000-0001-5051-573X; Lombard, Amanda Talita/0000-0002-4323-1170; Harris, Linda/0000-0003-4719-0481;</t>
  </si>
  <si>
    <t>Benguela Current Commission [BEH/09/01]</t>
  </si>
  <si>
    <t>Benguela Current Commission</t>
  </si>
  <si>
    <t>The study was funded by the Benguela Current Commission (project BEH/09/01) and led by the Department of Environmental Affairs, South Africa. The National Marine Information and Research Centre (NATMIRC) was the key data provider for Namibia and for Angola, the Institute for the Development of Artisanal Fisheries, the National Fisheries Research Institute, and Agostinho Neto University. The South African National Biodiversity Institute is thanked for allowing the use of data layers compiled for the Offshore Marine Protected Area project, the 2011 South African National Biodiversity Assessment and the West Coast Plan. The following are thanked for their contributions to the study: John Kathena, Trevor Wolf, Erwann Lagabrielle, Carola Kirchner and Russell Chalmers, as well as the many other researchers and workshop participants who have contributed to the assessment, SCP, EBSA and MPA processes in the region.</t>
  </si>
  <si>
    <t>0964-5691</t>
  </si>
  <si>
    <t>1873-524X</t>
  </si>
  <si>
    <t>OCEAN COAST MANAGE</t>
  </si>
  <si>
    <t>Ocean Coastal Manage.</t>
  </si>
  <si>
    <t>FEB 1</t>
  </si>
  <si>
    <t>10.1016/j.ocecoaman.2018.10.038</t>
  </si>
  <si>
    <t>Oceanography; Water Resources</t>
  </si>
  <si>
    <t>HK1LW</t>
  </si>
  <si>
    <t>WOS:000457667400011</t>
  </si>
  <si>
    <t>Santos, H; Rodrigues, L; Jones, G; Rebelo, H</t>
  </si>
  <si>
    <t>Santos, Helena; Rodrigues, Luisa; Jones, Gareth; Rebelo, Hugo</t>
  </si>
  <si>
    <t>Species distribution modelling; Chiroptera; Mortality; Wind farms; Maximum entropy modelling; Mortality niche</t>
  </si>
  <si>
    <t>SAMPLE-SIZE; PERFORMANCE</t>
  </si>
  <si>
    <t>Bats are often killed in large numbers at wind farms over a wide geographical range. We aimed to predict which areas conferred higher fatality risks to bats at wind farms. In an innovative approach, we combined species distribution modelling with mortality data and the ecological conditions at wind farms located in Portugal. We then generated predictive models to determine areas of probable mortality and which environmental factors were promoting it. Mortality data for four bat species, Hypsugo savii, Nyctalus leisleri, Pipistrellus kuhlii and Pipistrellus pipistrellus, were used. These experienced the highest levels of fatalities at wind farms in Portugal, comprising 290 of the 466 fatalities recorded from 2003 to 2011. The mortality risk models showed robust performances. Wind farms sited at humid areas with mild temperatures, closer than 5 km to forested areas and within 600 m of steep slopes showed higher probabilities of mortality. High mortality risk areas also overlapped highly with the potential distribution of N. leisleri in Portugal, suggesting that populations of this species may be at high risk due to wind farm fatalities. Moreover, a large extent of the area predicted to be a hotspot for mortality (i.e. areas likely to confer high mortality risk for four species) overlaps with sites highly suitable for wind farm construction. In summary, the approach used in this study could be paradigmatic for the development of important pre-emptive conservation measures for bat populations by identifying mortality risk in areas prior to wind farm installation and determining which conditions promote mortality. (C) 2012 Elsevier Ltd. All rights reserved.</t>
  </si>
  <si>
    <t>[Santos, Helena; Rebelo, Hugo] Univ Porto, CIBIO, Ctr Invest Biodiversidade &amp; Recursos Genet, Inst Ciencias Agr Vairao, P-4485661 Vairao, Portugal; [Rodrigues, Luisa] Inst Conservacao Nat &amp; Biodiversidade, P-1169230 Lisbon, Portugal; [Jones, Gareth; Rebelo, Hugo] Univ Bristol, Sch Biol Sci, Bristol BS8 1UG, Avon, England</t>
  </si>
  <si>
    <t>Universidade do Porto; University of Bristol</t>
  </si>
  <si>
    <t>Santos, H (corresponding author), Univ Porto, CIBIO, Ctr Invest Biodiversidade &amp; Recursos Genet, Inst Ciencias Agr Vairao, R Padre Armando Quintas, P-4485661 Vairao, Portugal.</t>
  </si>
  <si>
    <t>helena.vianasantos@gmail.com</t>
  </si>
  <si>
    <t>Santos, Helena/L-7958-2013; Rebelo, Hugo/C-9005-2009</t>
  </si>
  <si>
    <t>Santos, Helena/0000-0003-3682-5840; Jones, Gareth/0000-0002-1904-3735; Roigues, Luisa/0000-0002-7424-8901; Rebelo, Hugo/0000-0002-7118-4068</t>
  </si>
  <si>
    <t>Bat Conservation International; Fundacao para a Ciencia e Tecnologia [SFRH/BPD/65418/2009]; [PTDC/BIA-BIC/110587/2209]; Fundação para a Ciência e a Tecnologia [SFRH/BPD/65418/2009] Funding Source: FCT</t>
  </si>
  <si>
    <t>Bat Conservation International; Fundacao para a Ciencia e Tecnologia(Fundacao para a Ciencia e a Tecnologia (FCT)); ; Fundação para a Ciência e a Tecnologia</t>
  </si>
  <si>
    <t>This work would not have been possible without the valuable data provided by the institutions APA and DGEG and the help provided by Francisco Amorim and Pedro Tarroso. We would like to thank Bat Conservation International for the financial support provided through the Student's Research Scholarship granted for this project. HR was funded by a Grant from Fundacao para a Ciencia e Tecnologia (SFRH/BPD/65418/2009) and fieldwork was partly supported by Project PTDC/BIA-BIC/110587/2209. We also thank two anonymous reviewers for their valuable suggestions and comments.</t>
  </si>
  <si>
    <t>10.1016/j.biocon.2012.06.017</t>
  </si>
  <si>
    <t>113FF</t>
  </si>
  <si>
    <t>WOS:000316651200021</t>
  </si>
  <si>
    <t>McGowan, J; Hines, E; Elliott, M; Howar, J; Dransfield, A; Nur, N; Jahncke, J</t>
  </si>
  <si>
    <t>McGowan, Jennifer; Hines, Ellen; Elliott, Meredith; Howar, Julie; Dransfield, Andrea; Nur, Nadav; Jahncke, Jaime</t>
  </si>
  <si>
    <t>ECOSYSTEM-BASED MANAGEMENT; SPECIES DISTRIBUTION MODELS; NORTHERN CALIFORNIA; ECOLOGICAL CRITERIA; TROPHIC TRANSFER; WIND FARMS; HOTSPOTS; CONSERVATION; BIODIVERSITY; PREDICTION</t>
  </si>
  <si>
    <t>Understanding seabird habitat preferences is critical to future wildlife conservation and threat mitigation in California. The objective of this study was to investigate drivers of seabird habitat selection within the Gulf of the Farallones and Cordell Bank National Marine Sanctuaries to identify areas for targeted conservation planning. We used seabird abundance data collected by the Applied California Current Ecosystem Studies Program (ACCESS) from 2004-2011. We used zero-inflated negative binomial regression to model species abundance and distribution as a function of near surface ocean water properties, distances to geographic features and oceanographic climate indices to identify patterns in foraging habitat selection. We evaluated seasonal, inter-annual and species-specific variability of at-sea distributions for the five most abundant seabirds nesting on the Farallon Islands: western gull (Larus occidentalis), common murre (Uria aalge), Cassin's auklet (Ptychorampus aleuticus), rhinoceros auklet (Cerorhinca monocerata) and Brandt's cormorant (Phalacrocorax penicillatus). The waters in the vicinity of Cordell Bank and the continental shelf east of the Farallon Islands emerged as persistent and highly selected foraging areas across all species. Further, we conducted a spatial prioritization exercise to optimize seabird conservation areas with and without considering impacts of current human activities. We explored three conservation scenarios where 10, 30 and 50 percent of highly selected, species-specific foraging areas would be conserved. We compared and contrasted results in relation to existing marine protected areas (MPAs) and the future alternative energy footprint identified by the California Ocean Uses Atlas. Our results show that the majority of highly selected seabird habitat lies outside of state MPAs where threats from shipping, oil spills, and offshore energy development remain. This analysis accentuates the need for innovative marine spatial planning efforts and provides a foundation on which to build more comprehensive zoning and management in California's National Marine Sanctuaries.</t>
  </si>
  <si>
    <t>[McGowan, Jennifer; Hines, Ellen; Dransfield, Andrea] San Francisco State Univ, Dept Geog, San Francisco, CA 94132 USA; [McGowan, Jennifer; Elliott, Meredith; Howar, Julie; Dransfield, Andrea; Nur, Nadav; Jahncke, Jaime] Point Blue Conservat Sci, Petaluma, CA USA</t>
  </si>
  <si>
    <t>Jahncke, J (corresponding author), Point Blue Conservat Sci, Petaluma, CA USA.</t>
  </si>
  <si>
    <t>McGowan, Jennifer/A-7752-2014</t>
  </si>
  <si>
    <t>Applied California Current Ecosystem Studies (ACCESS); California State University COAST</t>
  </si>
  <si>
    <t>This work was supported in part by the Applied California Current Ecosystem Studies (ACCESS, www.accessoceans.org) Partnership, an ongoing collaboration between PRBO Conservation Science, Cordell Bank and Gulf of the Farallones National Marine Sanctuaries, to support marine wildlife conservation and healthy ecosystems in northern and central California. The authors want to acknowledge contributions from the PRBO Board of Directors, individual donors, Dix and Didi Boring, Faucett Catalyst Fund, Hellman Family Foundation, McCaw Family Foundation, Moore Family Foundation, National Fish and Wildlife Foundation, and the Resources Legacy Fund. Additional financial support came from California State University COAST. This is PRBO Conservation Science publication number 1908. The funders had no role to play in study design, data collection and analysis, decision to publish, or preparation of the manuscript.</t>
  </si>
  <si>
    <t>e71406</t>
  </si>
  <si>
    <t>10.1371/journal.pone.0071406</t>
  </si>
  <si>
    <t>201BN</t>
  </si>
  <si>
    <t>WOS:000323115800057</t>
  </si>
  <si>
    <t>Pérez-García, JM; DeVault, TL; Botella, F; Sánchez-Zapata, JA</t>
  </si>
  <si>
    <t>Manuel Perez-Garcia, Juan; DeVault, Travis L.; Botella, Francisco; Antonio Sanchez-Zapata, Jose</t>
  </si>
  <si>
    <t>Correction</t>
  </si>
  <si>
    <t>[Manuel Perez-Garcia, Juan; Botella, Francisco; Antonio Sanchez-Zapata, Jose] Univ Miguel Hernandez, Ecol Area, Dept Appl Biol, Alicante 03202, Spain; [Manuel Perez-Garcia, Juan] Univ Lleida, Dept Anim Sci, Fac Life Sci &amp; Engn, Lleida 25198, Spain; [DeVault, Travis L.] Wildlife Serv, USDA, Natl Wildlife Res Ctr, Sandusky, OH USA</t>
  </si>
  <si>
    <t>Universidad Miguel Hernandez de Elche; Universitat de Lleida; United States Department of Agriculture (USDA)</t>
  </si>
  <si>
    <t>Pérez-García, JM (corresponding author), Univ Miguel Hernandez, Ecol Area, Dept Appl Biol, Alicante 03202, Spain.</t>
  </si>
  <si>
    <t>jperez@umh.es</t>
  </si>
  <si>
    <t>Botella, Francisco/P-7790-2019; Sanchez-Zapata, Jose Antonio/H-1413-2015; Pérez-García, Juan Manuel/A-7037-2012; Botella Robles, Francisco/F-7626-2011</t>
  </si>
  <si>
    <t>Sanchez-Zapata, Jose Antonio/0000-0001-8230-4953; Pérez-García, Juan Manuel/0000-0002-1191-0187; DeVault, Travis/0000-0001-6413-1104; Botella Robles, Francisco/0000-0002-1877-5360</t>
  </si>
  <si>
    <t>AUG</t>
  </si>
  <si>
    <t>A</t>
  </si>
  <si>
    <t>10.1016/j.biocon.2017.06.021</t>
  </si>
  <si>
    <t>FC9UG</t>
  </si>
  <si>
    <t>WOS:000407186000042</t>
  </si>
  <si>
    <t>Expert evaluation; Power lines; Predictive modelling; Raptor; Reserve design; Spain</t>
  </si>
  <si>
    <t>EAGLES AQUILA-CHRYSAETOS; OWL-BUBO-BUBO; POWER-LINES; BONELLIS EAGLE; RAPTOR ELECTROCUTION; WIND-FARMS; CONSERVATION; MORTALITY; DISPERSAL; BEHAVIOR</t>
  </si>
  <si>
    <t>The use of systematic area-selection procedures to design protected areas can help optimize conservation actions. However, this process has rarely been used to identify high-risk mortality areas to protect wildlife from human impacts. Electrocution on power lines is one the most important human-related causes of bird mortality worldwide, especially for raptors. Identifying and correcting dangerous individual pylons can significantly reduce the number of electrocution victims, but applying this procedure at a large spatial scale is impractical. In this paper we describe a new selection process that allows for identification of high-risk mortality areas at large scales, combining spatial electrocution risk models with maps of species sensitivity to such an impact. We used the Valencia Region (eastern Spain) as our study system. The risk prediction map was built using bird electrocution records on 1 km x 1 km grids from. 2000 to 2009 and the species sensitivity map was built using data on presence and use of four raptor species. The combination of both maps was compared to the distribution of Special Protected Areas and validated by local experts to identify prediction errors or gaps. The final proposal of high priority areas to protect birds from electrocution covered 16.3% of the Valencia Region. Our work supports the use of predictive models and sensitivity maps in the decision-making process to locate high priority infrastructure-related wildlife protection areas at a large scale.</t>
  </si>
  <si>
    <t>[Manuel Perez-Garcia, Juan; Botella, Francisco; Antonio Sanchez-Zapata, Jose] Univ Miguel Hernandez, Dept Appl Biol, Ecol Area, Alicante 03202, Spain; [Manuel Perez-Garcia, Juan] Univ Lleida, Dept Anim Sci, Fac Life Sci &amp; Engn, Lleida 25198, Spain; [DeVault, Travis L.] USDA, Wildlife Serv, Natl Wildlife Res Ctr, Sandusky, OH USA</t>
  </si>
  <si>
    <t>Pérez-García, JM (corresponding author), Univ Miguel Hernandez, Dept Appl Biol, Ecol Area, Alicante 03202, Spain.</t>
  </si>
  <si>
    <t>; Botella, Francisco/P-7790-2019; Sanchez-Zapata, Jose Antonio/H-1413-2015; Botella Robles, Francisco/F-7626-2011; Pérez-García, Juan Manuel/A-7037-2012</t>
  </si>
  <si>
    <t>DeVault, Travis/0000-0001-6413-1104; Sanchez-Zapata, Jose Antonio/0000-0001-8230-4953; Botella Robles, Francisco/0000-0002-1877-5360; Pérez-García, Juan Manuel/0000-0002-1191-0187</t>
  </si>
  <si>
    <t>Juan de la Cierva research - Ministry of Economy and Competitiveness [FJCI-2015-25632]</t>
  </si>
  <si>
    <t>Juan de la Cierva research - Ministry of Economy and Competitiveness</t>
  </si>
  <si>
    <t>We are particularly grateful to Juan Jimenez, Alejandro Izquierdo, Merce Vilalta, Jorge Crespo and all the staff of the wildlife recovery centre El Saler and Santa Faz. We thank also to Iberdrola and Electrica del Maestrazgo for their collaboration in supplying data. The comments of three anonymous reviewers improved a previous version of this manuscript. This work was conducted as part of JMPG's PhD thesis, who was supported by a Juan de la Cierva research contract by the Ministry of Economy and Competitiveness (FJCI-2015-25632).</t>
  </si>
  <si>
    <t>10.1016/j.biocon.2017.04.033</t>
  </si>
  <si>
    <t>FB1CP</t>
  </si>
  <si>
    <t>WOS:000405881600037</t>
  </si>
  <si>
    <t>Semper-Pascual, A; Decarre, J; Baumann, M; Camino, M; Di Blanco, Y; Gómez-Valencia, B; Kuemmerle, T</t>
  </si>
  <si>
    <t>Semper-Pascual, Asuncion; Decarre, Julieta; Baumann, Matthias; Camino, Micaela; Di Blanco, Yamil; Gomez-Valencia, Bibiana; Kuemmerle, Tobias</t>
  </si>
  <si>
    <t>Deforestation; Giant anteater; Gran chaco; Land-use change; Tropical dry forests and savannas</t>
  </si>
  <si>
    <t>REINTRODUCED GIANT ANTEATERS; LAND-USE CHANGE; MYRMECOPHAGA-TRIDACTYLA; HABITAT SELECTION; BIODIVERSITY LOSS; HOME-RANGE; FOREST; DEFORESTATION; EXTINCTION; WILDLIFE</t>
  </si>
  <si>
    <t>Land-use change is a global threat to biodiversity, but how land-use change affects species beyond the direct effect of habitat loss remains poorly understood. We developed an approach to isolate and map the direct and indirect effects of agricultural expansion on species of conservation concern, using the threatened giant anteater (Myrmecophaga tridactyla) in the Gran Chaco as an example. We reconstructed anteater occupancy change between 1985 and 2015 by fitting single-season occupancy models with contemporary camera-trap data and backcasting the models to 1985 and 2000 land-cover/use maps. Based on this, we compared the area of forest loss (direct effect of agricultural expansion) with the area where forests remained but occupancy still declined (indirect effect of agricultural expansion). Anteater occupancy decreased substantially since 1985, particularly after 2000 when agriculture expanded rapidly. Between 1985 and 2015, similar to 64,000 km(2) of forest disappeared, yet occupancy declined across a larger area (similar to 102,000 km(2)), extending far into seemingly untransformed habitat. This suggests that widespread sink habitat has emerged due to agricultural land-use change, and that species may lose their habitat through direct and indirect effects of agricultural expansion, highlighting the urgent need for broad-scale conservation planning in the Chaco. Appropriate management responses could proactively protect more habitat where populations are stable, and restore habitat or address causes of mortality in areas where declines occur. Our work also highlights how occupancy modelling combined with remote sensing can help to detect the direct and indirect effects of agricultural expansion, providing guidance for spatially targeting conservation strategies to halt extinctions.</t>
  </si>
  <si>
    <t>[Semper-Pascual, Asuncion; Baumann, Matthias; Kuemmerle, Tobias] Humboldt Univ, Geog Dept, Unter Linden 6, D-10099 Berlin, Germany; [Decarre, Julieta] Inst Nacl Tecnol Agr INTA, Inst Recursos Biol IRB CIRN, Reseros &amp; Las Cabanas S-N,HB1712WAA, Buenos Aires, DF, Argentina; [Camino, Micaela] Consejo Nacl Invest Cient &amp; Tecn CONICET, Lab Biol Conservac, Ctr Ecol Litoral CECOAL, Ruta Nacl 5,Km 2-5, RA-3400 Corrientes, Argentina; [Di Blanco, Yamil] Univ Nacl Misiones UNaM, Inst Biol Subtrop IBS, Consejo Nacl Invest Cient &amp; Tecn CONICET, Fac Ciencias Forestales,UNaM,Assoc Civil Ctr Inve, Bertoni 85,N3370BFA, Puerto Iguazu, Misiones, Argentina; [Gomez-Valencia, Bibiana] Univ Buenos Aires, Fac Ciencias Exactas &amp; Nat, Grp Estudios Sistemas Ecol Ambientes Agr, Intendente Guiraldes 2160,C1428EGA, Buenos Aires, DF, Argentina; [Gomez-Valencia, Bibiana] Inst Invest Recursos Biol Alexander von Humboldt, Ave Paseo Bolivar Circunvalar 16-20, Bogota, DC, Colombia; [Kuemmerle, Tobias] Humboldt Univ, Integrat Res Inst Transformat Human Environm Syst, Unter Linden 6, D-10099 Berlin, Germany</t>
  </si>
  <si>
    <t>Humboldt University of Berlin; Instituto Nacional de Tecnologia Agropecuaria (INTA); Consejo Nacional de Investigaciones Cientificas y Tecnicas (CONICET); Consejo Nacional de Investigaciones Cientificas y Tecnicas (CONICET); University of Buenos Aires; Alliance; International Center for Tropical Agriculture - CIAT; Humboldt University of Berlin</t>
  </si>
  <si>
    <t>Semper-Pascual, A (corresponding author), Humboldt Univ, Geog Dept, Unter Linden 6, D-10099 Berlin, Germany.</t>
  </si>
  <si>
    <t>asuncion.semper.pascual@geo.hu-berlin.de</t>
  </si>
  <si>
    <t>Kuemmerle, Tobias/B-4340-2008; Baumann, Matthias/K-4757-2014; Semper-Pascual, Asunción/AFS-1528-2022</t>
  </si>
  <si>
    <t>Kuemmerle, Tobias/0000-0002-9775-142X; Baumann, Matthias/0000-0003-2375-3622;</t>
  </si>
  <si>
    <t>Projekt DEAL; German Ministry of Education and Research (BMBF) [031B0034A]; German Research Foundation (DFG) [KU 2458/5-1]; Argentine National Institute of Agrarian Technologies (INTA)</t>
  </si>
  <si>
    <t>Projekt DEAL; German Ministry of Education and Research (BMBF)(Federal Ministry of Education &amp; Research (BMBF)); German Research Foundation (DFG)(German Research Foundation (DFG)); Argentine National Institute of Agrarian Technologies (INTA)</t>
  </si>
  <si>
    <t>Open Access funding provided by Projekt DEAL. We thank A. Ghoddousi and G. Gavier Pizarro for helpful discussions. We also thank E.A. Law and C. Wordley for checking the language. We are very grateful to the Argentine National Institute of Agrarian Technologies (INTA) for fieldwork support. We also gratefully acknowledge funding by the German Ministry of Education and Research (BMBF, Project PASANOA, 031B0034A) and the German Research Foundation (DFG, Project KU 2458/5-1). Finally, three anonymous reviewers, an anonymous associate editor and editor Dr. K.E. Hodges are thanked for very helpful and constructive comments.</t>
  </si>
  <si>
    <t>10.1007/s10531-020-02042-1</t>
  </si>
  <si>
    <t>OC3UE</t>
  </si>
  <si>
    <t>WOS:000561243800001</t>
  </si>
  <si>
    <t>Hernández-Matías, A; Mañosa, S; Rollan, A; Bosch, R; Tintó, A; Real, J</t>
  </si>
  <si>
    <t>Hernandez-Matias, Antonio; Manosa, Santi; Rollan, Alex; Bosch, Rafel; Tinto, Albert; Real, Joan</t>
  </si>
  <si>
    <t>GLOBAL ECOLOGY AND CONSERVATION</t>
  </si>
  <si>
    <t>Anthropogenic mortality; Aquila fasciata; Birds; Conservation prioritization; Electrocution; Power lines; Raptors; Sink populations; Threat mitigation</t>
  </si>
  <si>
    <t>EAGLE HIERAAETUS-FASCIATUS; BONELLIS EAGLE; POWER-LINES; BIRD ELECTROCUTION; AQUILA-FASCIATA; CONSERVATION; RISK; VIABILITY; AREAS; SURVIVAL</t>
  </si>
  <si>
    <t>Non-natural mortality is a major threat to animal conservation worldwide. Its origins are extremely diverse and include infrastructures that cause animal casualties. Its effects are widely felt and so prioritization criteria are necessary when implementing mitigation actions. Most of the threats causing non-natural mortality have in common the fact that they are distributed unevenly across several spatial scales. Thus, here we present a protocol for prioritizing conservation measures in: (i) population fractions suffering from high levels of non-natural mortality whose demographic effects are the most serious, and in (ii) areas with the highest risk of casualties due to heterogeneities in both spatial use by individuals and the inherent hazards of the infrastructures causing mortality. To do so, the protocol consist of 5 steps: 1) to identify sink populations over large geographical areas; 2) to identify sink areas of high mortality within target populations; 3) to identify areas intensively used by individuals in target areas; 4) to identify spatial points or individual infrastructures showing high mortality risk; and 5) using direct evidence of casualties to complete information on high-risk sites and infrastructures. To show the potential of this protocol, we use as an example the mitigation of mortality due to electrocution in Bonelli's eagle in SW Europe, where this species is of conservation concern. Thanks to the retrofitting of dangerous pylons, we demonstrate that our protocol can help restore Bonelli's eagle territories to levels that will ensure the persistence of the studied population. In addition, we show that our criteria enhance the optimization of resource investment in mortality mitigation as our criteria identify the pylons with the most devastating effects on the population. To summarize, we provide the basis for a framework applicable to many different species and scenarios whose costs in terms of mitigation actions and benefits in terms of population viability prospects can be explicitly calculated. (C) 2020 The Authors. Published by Elsevier B.V.</t>
  </si>
  <si>
    <t>[Hernandez-Matias, Antonio; Rollan, Alex; Bosch, Rafel; Tinto, Albert; Real, Joan] Univ Barcelona, Equip Biol Conservacio, Dept Biol Evolut Ecol &amp; Ciencies Ambientals, Av Diagonal 643, Barcelona 08028, Catalonia, Spain; [Hernandez-Matias, Antonio; Rollan, Alex; Bosch, Rafel; Tinto, Albert; Real, Joan] Univ Barcelona, Equip Biol Conservacio, Inst Recerca Biodiversitat IRBio, Av Diagonal 643, Barcelona 08028, Catalonia, Spain; [Hernandez-Matias, Antonio] Univ Girona, Dept Ciencies Ambientals, Girona 17003, Catalonia, Spain; [Manosa, Santi] Univ Barcelona, Dept Biol Evolut Ecol &amp; Ciencies Ambientals, Av Diagonal 643, Barcelona 08028, Catalonia, Spain; [Manosa, Santi] Univ Barcelona, Inst Recerca Biodiversitat IRBio, Av Diagonal 643, Barcelona 08028, Catalonia, Spain</t>
  </si>
  <si>
    <t>University of Barcelona; University of Barcelona; Universitat de Girona; University of Barcelona; University of Barcelona</t>
  </si>
  <si>
    <t>Hernández-Matías, A (corresponding author), Univ Barcelona, Equip Biol Conservacio, Dept Biol Evolut Ecol &amp; Ciencies Ambientals, Av Diagonal 643, Barcelona 08028, Catalonia, Spain.;Hernández-Matías, A (corresponding author), Univ Barcelona, Equip Biol Conservacio, Inst Recerca Biodiversitat IRBio, Av Diagonal 643, Barcelona 08028, Catalonia, Spain.</t>
  </si>
  <si>
    <t>ahernandezmatias@ub.edu</t>
  </si>
  <si>
    <t>; Mañosa, Santi/R-6693-2018; Real, Joan/L-1590-2017</t>
  </si>
  <si>
    <t>HERNANDEZ-MATIAS, ANTONIO/0000-0001-9810-8121; Mañosa, Santi/0000-0003-0681-1552; Real, Joan/0000-0003-1355-8938</t>
  </si>
  <si>
    <t>Diputacio de Barcelona; Spanish Government [GL2004-03189, CGL2007-64805/BOS, CGL2010-17056, CGL2013-41565-P]; MAVA Foundation [13/38]; Endesa SAU</t>
  </si>
  <si>
    <t>Diputacio de Barcelona; Spanish Government(Spanish Government); MAVA Foundation(ACEV Foundation); Endesa SAU</t>
  </si>
  <si>
    <t>We are greatly grateful to the Diputacio de Barcelona and Endesa SAU for financial help and support. Part of this study and the implementation of corrective measures in power lines were possible thanks to three agreements between power line companies (FECSA-ENDESA, Estabanell y Paysa S.A., and Electra Caldense S.A.), local administrations (Diputaci~o de Barcelona) and the Universitat de Barcelona (2000e2007). The research projects GL2004-03189, CGL2007-64805/BOS, CGL2010-17056 and CGL2013-41565-P run by the Spanish Government, and project 13/38 by MAVA Foundation also contributed to this work. We are also indebted to F. Par~es and J. Resano and other naturalists and/or scientists, who allowed the collection of field data.</t>
  </si>
  <si>
    <t>2351-9894</t>
  </si>
  <si>
    <t>GLOB ECOL CONSERV</t>
  </si>
  <si>
    <t>Glob. Ecol. Conserv.</t>
  </si>
  <si>
    <t>e01082</t>
  </si>
  <si>
    <t>10.1016/j.gecco.2020.e01082</t>
  </si>
  <si>
    <t>NN3ZR</t>
  </si>
  <si>
    <t>WOS:000568729900019</t>
  </si>
  <si>
    <t>C</t>
  </si>
  <si>
    <t>Cowles, JL; McLain, K; Beale, PL; Cook, KV</t>
  </si>
  <si>
    <t>Racke, KD; McGaughey, BD; Cowles, JL; Hall, AT; Jackson, SH; Jenkins, JJ; Johnston, JJ</t>
  </si>
  <si>
    <t>Cowles, James L.; McLain, Kelly; Beale, Perry L.; Cook, Kirk V.</t>
  </si>
  <si>
    <t>Using GIS To Assess Pesticide Exposure to Threatened and Endangered Species for Ecological Risk Assessment</t>
  </si>
  <si>
    <t>PESTICIDE REGULATION AND THE ENDANGERED SPECIES ACT</t>
  </si>
  <si>
    <t>Proceedings Paper</t>
  </si>
  <si>
    <t>Symposium on the Endangered Species Act and Pesticide Regulation: Scientific and Process Improvements / 242nd Meeting of the American-Chemical-Society</t>
  </si>
  <si>
    <t>AUG 30-SEP 01, 2011</t>
  </si>
  <si>
    <t>Denver, CO</t>
  </si>
  <si>
    <t>Amer Chem Soc, AGRO Div,Dow AgroScienes,CropLife Amer,Intrinsik Environm Sci</t>
  </si>
  <si>
    <t>With the listing of salmon for protection under the Endangered Species Act, the Washington State Department of Agriculture (WSDA) determined that the traditional environmental data sets for pesticide registration decisions were insufficient to accurately determine potential exposure and subsequent effects of pesticides on salmonids and other listed species in Washington State. WSDA has implemented a program to spatially determine the location and use of pesticides in relationship to salmonid habitat and monitor pesticide residues in salmon-bearing streams in Washington State. Data elements developed include a geographic information system (GIS) incorporating the location of 160 crop types grown in Washington and an estimation of state-specific pesticide use.</t>
  </si>
  <si>
    <t>[Cowles, James L.; McLain, Kelly; Beale, Perry L.; Cook, Kirk V.] Washington State Dept Agr, Olympia, WA 98504 USA</t>
  </si>
  <si>
    <t>Cowles, JL (corresponding author), Washington State Dept Agr, 1111 Washington St SE, Olympia, WA 98504 USA.</t>
  </si>
  <si>
    <t>cowles.jim@gmail.com</t>
  </si>
  <si>
    <t>AMER CHEMICAL SOC</t>
  </si>
  <si>
    <t>1155 SIXTEENTH ST NW, WASHINGTON, DC 20036 USA</t>
  </si>
  <si>
    <t>0097-6156</t>
  </si>
  <si>
    <t>1947-5918</t>
  </si>
  <si>
    <t>978-0-8412-2703-3</t>
  </si>
  <si>
    <t>ACS SYM SER</t>
  </si>
  <si>
    <t>ACS Symp. Ser.</t>
  </si>
  <si>
    <t>Agriculture, Multidisciplinary; Environmental Sciences</t>
  </si>
  <si>
    <t>Conference Proceedings Citation Index - Science (CPCI-S)</t>
  </si>
  <si>
    <t>Agriculture; Environmental Sciences &amp; Ecology</t>
  </si>
  <si>
    <t>BEO32</t>
  </si>
  <si>
    <t>WOS:000317550400022</t>
  </si>
  <si>
    <t>Verutes, GM; Johnson, AF; Caillat, M; Ponnampalam, LS; Peter, C; Vu, L; Junchompoo, C; Lewison, RL; Hines, EM</t>
  </si>
  <si>
    <t>Verutes, Gregory M.; Johnson, Andrew F.; Caillat, Marjolaine; Ponnampalam, Louisa S.; Peter, Cindy; Vu, Long; Junchompoo, Chalatip; Lewison, Rebecca L.; Hines, Ellen M.</t>
  </si>
  <si>
    <t>SMALL-SCALE FISHERIES; DOLPHINS ORCAELLA-BREVIROSTRIS; DUGONGS DUGONG-DUGON; PARTICIPATORY RESEARCH; IMPACTS; HABITAT; MANAGEMENT; CONSERVATION; TRENDS; SUSTAINABILITY</t>
  </si>
  <si>
    <t>Fisheries bycatch has been identified as the greatest threat to marine mammals worldwide. Characterizing the impacts of bycatch on marine mammals is challenging because it is difficult to both observe and quantify, particularly in small-scale fisheries where data on fishing effort and marine mammal abundance and distribution are often limited. The lack of risk frameworks that can integrate and visualize existing data have hindered the ability to describe and quantify bycatch risk. Here, we describe the design of a new geographic information systems tool built specifically for the analysis of bycatch in small-scale fisheries, called Bycatch Risk Assessment (ByRA). Using marine mammals in Malaysia and Vietnam as a test case, we applied ByRA to assess the risks posed to Irrawaddy dolphins (Orcaella brevirostris)and dugongs (Dugong dugon) by five small-scale fishing gear types (hook and line, nets, longlines, pots and traps, and trawls). ByRA leverages existing data on animal distributions, fisheries effort, and estimates of interaction rates by combining expert knowledge and spatial analyses of existing data to visualize and characterize bycatch risk. By identifying areas of bycatch concern while accounting for uncertainty using graphics, maps and summary tables, we demonstrate the importance of integrating available geospatial data in an accessible format that taps into local knowledge and can be corroborated by and communicated to stakeholders of data-limited fisheries. Our methodological approach aims to meet a critical need of fisheries managers: to identify emergent interaction patterns between fishing gears and marine mammals and support the development of management actions that can lead to sustainable fisheries and mitigate bycatch risk for species of conservation concern.</t>
  </si>
  <si>
    <t>[Verutes, Gregory M.] Univ Santiago de Compostela, Fac Polit &amp; Social Sci, Santiago De Compostela, Spain; [Verutes, Gregory M.] Campus Mar,Int Campus Excellence, Vigo, Spain; [Johnson, Andrew F.] MarFishEco Fisheries Consultants, Edinburgh, Midlothian, Scotland; [Johnson, Andrew F.] Heriot Watt Univ, Lyell Ctr, Inst Life &amp; Earth Sci, Sch Energy Geosci Infrastruct &amp; Soc, Edinburgh, Midlothian, Scotland; [Caillat, Marjolaine] Environm Def Fund, San Francisco, CA USA; [Ponnampalam, Louisa S.] MareCet Res Org, Shah Alam, Malaysia; [Peter, Cindy] Univ Malaysia Sarawak, Inst Biodivers &amp; Environm Conservat, Sarawak, Malaysia; [Vu, Long] Ctr Biodivers Conservat &amp; Endangered Species, Vietnam Marine Megafauna Network, Ho Chi Minh City, Vietnam; [Junchompoo, Chalatip] Dept Marine &amp; Coastal Resources, Rayong, Thailand; [Lewison, Rebecca L.] San Diego State Univ, Dept Biol, San Diego, CA 92182 USA; [Hines, Ellen M.] San Francisco State Univ, Estuary &amp; Ocean Sci Ctr, Tiburon, CA USA</t>
  </si>
  <si>
    <t>Universidade de Santiago de Compostela; Heriot Watt University; Environmental Defense Fund; University of Malaysia Sarawak; California State University System; San Diego State University; California State University System; San Francisco State University</t>
  </si>
  <si>
    <t>Verutes, GM (corresponding author), Univ Santiago de Compostela, Fac Polit &amp; Social Sci, Santiago De Compostela, Spain.;Verutes, GM (corresponding author), Campus Mar,Int Campus Excellence, Vigo, Spain.</t>
  </si>
  <si>
    <t>gregg@marfisheco.com</t>
  </si>
  <si>
    <t>; Peter, Cindy/AAW-2550-2020; PONNAMPALAM, LOUISA/B-8885-2010</t>
  </si>
  <si>
    <t>Frederick Johnson, Anew/0000-0003-3365-8768; Peter, Cindy/0000-0003-2418-0707; Verutes, Gregory/0000-0002-7667-7902; Vu, Long/0000-0003-3161-8674; Ponnampalam, Louisa/0000-0003-0371-2620; , Marjolaine/0000-0001-8300-1452</t>
  </si>
  <si>
    <t>Pew Charitable Trusts via a Pew Marine Fellowship; Dugong &amp; Seagrass Conservation Project of the Global Environment Fund (GEF); Sarawak Shell Berhad; Ocean Park Conservation Foundation; International Whaling Commission; Ministry of Science, Technology and Innovation, Malaysia; U.S. National Office of Atmospheric Administration Office of International Affairs and Seafood Inspection Award [NA16NMF4630338]</t>
  </si>
  <si>
    <t>Pew Charitable Trusts via a Pew Marine Fellowship; Dugong &amp; Seagrass Conservation Project of the Global Environment Fund (GEF); Sarawak Shell Berhad; Ocean Park Conservation Foundation; International Whaling Commission; Ministry of Science, Technology and Innovation, Malaysia(Ministry of Energy, Science, Technology, Environment and Climate Change (MESTECC), Malaysia); U.S. National Office of Atmospheric Administration Office of International Affairs and Seafood Inspection Award</t>
  </si>
  <si>
    <t>Data collection in the Sibu-Tinggi field site was funded by the Pew Charitable Trusts via a Pew Marine Fellowship to LSP and the Dugong &amp; Seagrass Conservation Project of the Global Environment Fund (GEF). Data collection in the Kuching Bay field site was funded by Sarawak Shell Berhad, Ocean Park Conservation Foundation, International Whaling Commission and the Ministry of Science, Technology and Innovation, Malaysia. Funding for this project was from the U.S. National Office of Atmospheric Administration Office of International Affairs and Seafood Inspection Award Number: NA16NMF4630338.</t>
  </si>
  <si>
    <t>AUG 20</t>
  </si>
  <si>
    <t>e0237835</t>
  </si>
  <si>
    <t>10.1371/journal.pone.0237835</t>
  </si>
  <si>
    <t>NG9QD</t>
  </si>
  <si>
    <t>WOS:000564315600015</t>
  </si>
  <si>
    <t>Ansari, A; Golabi, MH</t>
  </si>
  <si>
    <t>Ansari, Amir; Golabi, Mohammad H.</t>
  </si>
  <si>
    <t>INTERNATIONAL SOIL AND WATER CONSERVATION RESEARCH</t>
  </si>
  <si>
    <t>Haftad-gholleh; Wild goat (Capra aegagrus); Wildlife disease; Habitat quality and rarity; Habitat risk assessment</t>
  </si>
  <si>
    <t>DES PETITS RUMINANTS; PPR; EPIDEMIOLOGY; INFECTION; REGION</t>
  </si>
  <si>
    <t>In recent years, the destruction of habitats has reduced the wild goat population in the Haftad-Gholleh protected area. The wild goat (Capra aegagrus) is known as symbol of biodiversity of Markazi Province. In a field study conducted between 2007 and 2017, the number of wild goats were surveyed and threat to their habitat were determined as the population and the ecological conditions as well as their movements in the Haftad-Gholleh were identified. Landsat image of year 2018 was used to produce digital land use maps for this study. Ecological Quality, Rarity and Risk Assessment was performed with ESM, HQR and HRA models. The images were classified into three classes including; Agriculture-livestock, Rangeland, and Residential regions. The results indicated that 75% of the casualties of the wild goat by Peste des Petits Ruminants disease were from the Chekab Valley and 25% from the Sibak Valley. Almost 80% of deaths among the population of wild goats were observed in the month of July. However, there are two important mountainous and plains habitats in the Haftad-Gholleh Area. Among the biggest threats and more devastating stressors in the region were to villagers, agricultural-livestock and roads development. However, among the stressors, the agriculture-livestock caused more deaths in the mountainous habitat of the wild goats. Thus, there is an urgent need for habitat conservation of the existing population of the wild goat in Haftad-Gholleh area. (C) 2019 International Research and Training Center on Erosion and Sedimentation and China Water and Power Press. Production and Hosting by Elsevier B.V.</t>
  </si>
  <si>
    <t>[Ansari, Amir] Arak Univ, Fac Agr &amp; Nat Resources, Dept Environm Sci, Arak 3815688349, Iran; [Golabi, Mohammad H.] Univ Guam, Coll Nat &amp; Appl Sci, Mangilao, GU 96923 USA</t>
  </si>
  <si>
    <t>Arak University; University of Guam</t>
  </si>
  <si>
    <t>Golabi, MH (corresponding author), Univ Guam, Coll Nat &amp; Appl Sci, Mangilao, GU 96923 USA.</t>
  </si>
  <si>
    <t>a-ansari@araku.ac.ir; mgolabi@triton.uog.edu</t>
  </si>
  <si>
    <t>ansari, amir/GON-7372-2022</t>
  </si>
  <si>
    <t>ansari, amir/0000-0003-3245-2303</t>
  </si>
  <si>
    <t>General Directorates of Environment Markazi Province; Arak University [gh. f/57/98]</t>
  </si>
  <si>
    <t>General Directorates of Environment Markazi Province; Arak University(Arak University)</t>
  </si>
  <si>
    <t>All personnel and the General Directorates of Environment Markazi Province and Arak University (Grant Number: gh. f/57/98) who have collaborated with the author in the recent study are appreciated.</t>
  </si>
  <si>
    <t>KEAI PUBLISHING LTD</t>
  </si>
  <si>
    <t>BEIJING</t>
  </si>
  <si>
    <t>16 DONGHUANGCHENGGEN NORTH ST, BEIJING, DONGHENG DISTRICT 100717, PEOPLES R CHINA</t>
  </si>
  <si>
    <t>2095-6339</t>
  </si>
  <si>
    <t>2589-059X</t>
  </si>
  <si>
    <t>INT SOIL WATER CONSE</t>
  </si>
  <si>
    <t>Int. Soil Water Conserv. Res.</t>
  </si>
  <si>
    <t>10.1016/j.iswcr.2019.08.004</t>
  </si>
  <si>
    <t>Environmental Sciences; Soil Science; Water Resources</t>
  </si>
  <si>
    <t>Environmental Sciences &amp; Ecology; Agriculture; Water Resources</t>
  </si>
  <si>
    <t>JD1XE</t>
  </si>
  <si>
    <t>WOS:000489768900004</t>
  </si>
  <si>
    <t>Trew, BT; Grantham, HS; Barrientos, C; Collins, T; Doherty, PD; Formia, A; Godley, BJ; Maxwell, SM; Parnell, RJ; Pikesley, SK; Tilley, D; Witt, MJ; Metcalfe, K</t>
  </si>
  <si>
    <t>Trew, Brittany T.; Grantham, Hedley S.; Barrientos, Christian; Collins, Tim; Doherty, Philip D.; Formia, Angela; Godley, Brendan J.; Maxwell, Sara M.; Parnell, Richard J.; Pikesley, Stephen K.; Tilley, Dominic; Witt, Matthew J.; Metcalfe, Kristian</t>
  </si>
  <si>
    <t>FRONTIERS IN MARINE SCIENCE</t>
  </si>
  <si>
    <t>cumulative impacts; Gulf of Guinea; marine conservation; marine protected areas; marine mammals; threat mapping; sea turtles; species distribution models</t>
  </si>
  <si>
    <t>ATLANTIC HUMPBACK DOLPHIN; PROTECTED AREAS; CLIMATE-CHANGE; SOUSA-TEUSZII; DERMOCHELYS-CORIACEA; LEATHERBACK TURTLES; SATELLITE TRACKING; LARGEST ROOKERY; SEA-TURTLE; MANAGEMENT</t>
  </si>
  <si>
    <t>Marine biodiversity is under extreme pressure from anthropogenic activity globally, leading to calls to protect at least 10% of the world's oceans within marine protected areas (MPAs) and other effective area-based conservation measures. Fulfilling such commitments, however, requires a detailed understanding of the distribution of potentially detrimental human activities, and their predicted impacts. One such approach that is being increasingly used to strengthen our understanding of human impacts is cumulative impact mapping; as it can help identify economic sectors with the greatest potential impact on species and ecosystems in order to prioritize conservation management strategies, providing clear direction for intervention. In this paper, we present the first local cumulative utilization impact mapping exercise for the Bioko-Corisco-Continental area of Equatorial Guinea's Exclusive Economic Zone - situated in the Gulf of Guinea, one of the most important and least studied marine regions in the Eastern Central Atlantic. This study examines the potential impact of ten direct anthropogenic activities on a suite of key marine megafauna species and reveals that the most suitable habitats for these species, located on the continental shelf, are subject to the highest threat scores. However, in some coastal areas, the persistence of highly suitable habitat subject to lower threat scores suggests that there are still several strategic areas that are less impacted by human activity that may be suitable sites for protected area expansion. Highlighting both the areas with potentially the highest impact, and those with lower impact levels, as well as particularly damaging activities can inform the direction of future conservation initiatives in the region.</t>
  </si>
  <si>
    <t>[Trew, Brittany T.; Doherty, Philip D.; Godley, Brendan J.; Pikesley, Stephen K.; Tilley, Dominic; Metcalfe, Kristian] Univ Exeter, Coll Life &amp; Environm Sci, Ctr Ecol &amp; Conservat, Penryn Campus, Penryn, England; [Grantham, Hedley S.] Wildlife Conservat Soc, Global Conservat Program, Bronx, NY 10460 USA; [Barrientos, Christian] Wildlife Conservat Soc, Equatorial Guinea Program, Bata, Equat Guinea; [Collins, Tim] Wildlife Conservat Soc, Marine Program, Bronx, NY USA; [Formia, Angela] Wildlife Conservat Soc, Gulf Guinea Sea Turtle Program, Libreville, Gabon; [Maxwell, Sara M.] Univ Washington, Sch Interdisciplinary Arts &amp; Sci, Bothell, WA USA; [Parnell, Richard J.] Wildlife Conservat Soc, Gabon Program, Libreville, Gabon; [Witt, Matthew J.] Univ Exeter, Coll Life &amp; Environm Sci, Environm Biol Grp, Hathefly Labs, Exeter, Devon, England</t>
  </si>
  <si>
    <t>University of Exeter; Wildlife Conservation Society; Wildlife Conservation Society; University of Washington; University of Washington Bothell; University of Exeter</t>
  </si>
  <si>
    <t>Metcalfe, K (corresponding author), Univ Exeter, Coll Life &amp; Environm Sci, Ctr Ecol &amp; Conservat, Penryn Campus, Penryn, England.;Grantham, HS (corresponding author), Wildlife Conservat Soc, Global Conservat Program, Bronx, NY 10460 USA.</t>
  </si>
  <si>
    <t>hgrantham@wcs.org; kristian.metcalfe@exeter.ac.uk</t>
  </si>
  <si>
    <t>Metcalfe, Kristian/A-2297-2015; Trew, Brittany T/GLT-2567-2022; Witt, Matthew/V-3318-2018; godley, brendan/A-6139-2009</t>
  </si>
  <si>
    <t>Metcalfe, Kristian/0000-0002-7662-5379; Trew, Brittany T/0000-0002-0649-828X; Witt, Matthew/0000-0002-9498-5378; godley, brendan/0000-0003-3845-0034; Doherty, Philip/0000-0001-7561-3731; Grantham, Hedley/0000-0002-8933-807X; Tilley, Dominic/0000-0002-5427-191X</t>
  </si>
  <si>
    <t>Wildlife Conservation Society through the Waitt Foundation; Darwin Initiative through the Department for Environment, Food and Rural Affairs (Defra) in the United Kingdom [17-005/20-009/23-011/26-014]; Waterloo Foundation; NERC Science Innovation Placement [NE/R007039/1]; Marine Turtle Conservation Fund (United States Fish and Wildlife Service, United States Department of the Interior); Vaalco Energy; Harvest Natural Resources; Sea World and Busch Gardens Conservation Fund; Tullow Oil; Old Dominion University; WWF; Wildlife Conservation Society; University of Exeter; Natural Environment Research Council [NE/R007039/1] Funding Source: researchfish; NERC [NE/R007039/1] Funding Source: UKRI</t>
  </si>
  <si>
    <t>Wildlife Conservation Society through the Waitt Foundation; Darwin Initiative through the Department for Environment, Food and Rural Affairs (Defra) in the United Kingdom; Waterloo Foundation; NERC Science Innovation Placement; Marine Turtle Conservation Fund (United States Fish and Wildlife Service, United States Department of the Interior); Vaalco Energy; Harvest Natural Resources; Sea World and Busch Gardens Conservation Fund; Tullow Oil; Old Dominion University; WWF; Wildlife Conservation Society; University of Exeter; Natural Environment Research Council(UK Research &amp; Innovation (UKRI)Natural Environment Research Council (NERC)); NERC(UK Research &amp; Innovation (UKRI)Natural Environment Research Council (NERC))</t>
  </si>
  <si>
    <t>CB and HG were supported by funding from the Wildlife Conservation Society through the Waitt Foundation and acknowledge the Ministry of Fisheries and Aquatic Resources in Equatorial Guinea for providing permits to conduct research that supported this study. KM, DT, MW, and BG were supported by funding from the Darwin Initiative (Projects 17-005/20-009/23-011/26-014) through the Department for Environment, Food and Rural Affairs (Defra) in the United Kingdom and the Waterloo Foundation. PD was supported by a NERC Science Innovation Placement (NE/R007039/1). AF and the Gulf of Guinea Sea Turtle Program were supported by funding from the Marine Turtle Conservation Fund (United States Fish and Wildlife Service, United States Department of the Interior). Satellite tracking of leatherback and olive ridley sea turtles was supported by funding from Vaalco Energy, Harvest Natural Resources, the Sea World and Busch Gardens Conservation Fund, Tullow Oil, the Old Dominion University, WWF, the Wildlife Conservation Society, and the University of Exeter.</t>
  </si>
  <si>
    <t>FRONTIERS MEDIA SA</t>
  </si>
  <si>
    <t>LAUSANNE</t>
  </si>
  <si>
    <t>AVENUE DU TRIBUNAL FEDERAL 34, LAUSANNE, CH-1015, SWITZERLAND</t>
  </si>
  <si>
    <t>2296-7745</t>
  </si>
  <si>
    <t>FRONT MAR SCI</t>
  </si>
  <si>
    <t>Front. Mar. Sci.</t>
  </si>
  <si>
    <t>NOV 26</t>
  </si>
  <si>
    <t>10.3389/fmars.2019.00717</t>
  </si>
  <si>
    <t>Environmental Sciences; Marine &amp; Freshwater Biology</t>
  </si>
  <si>
    <t>Environmental Sciences &amp; Ecology; Marine &amp; Freshwater Biology</t>
  </si>
  <si>
    <t>JR7GO</t>
  </si>
  <si>
    <t>WOS:000499789400001</t>
  </si>
  <si>
    <t>Zhang, X; Vincent, ACJ</t>
  </si>
  <si>
    <t>Zhang, Xiong; Vincent, Amanda C. J.</t>
  </si>
  <si>
    <t>CONSERVATION BIOLOGY</t>
  </si>
  <si>
    <t>anthropogenic stressors; coastal habitats; conservation status; data deficient; threat management; threat mapping; estado de conservacion; estresantes antropogenicos; deficiencia de datos; habitats costeros; manejo de amenazas; mapeo de amenazas</t>
  </si>
  <si>
    <t>EXTINCTION RISK; CONSERVATION; VULNERABILITY; BIOLOGY; GENUS</t>
  </si>
  <si>
    <t>Understanding threats acting on marine organisms and their conservation status is vital but challenging given a paucity of data. We studied the cumulative human impact (CHI) on and conservation status of seahorses (Hippocampus spp.)-a genus of rare and data-poor marine fishes. With expert knowledge and relevant spatial data sets, we built linear-additive models to assess and map the CHI of 12 anthropogenic stressors on 42 seahorse species. We examined the utility of indices of estimated impact (impact of each stressor and CHI) in predicting conservation status for species with random forest (RF) models. The CHI values for threatened species were significantly higher than those for nonthreatened species (category based on International Union for Conservation of Nature Red List). We derived high-accuracy RF models (87% and 96%) that predicted that 5 of the 17 data-deficient species were threatened. Demersal fishing practices with high bycatch and pollution were the best predictors of threat category. Major threat epicenters were in China, Southeast Asia, and Europe. Our results and maps of CHI may help guide global seahorse conservation and indicate that modeling and mapping human impacts can reveal threat patterns and conservation status for data-poor species. We found that for exploring threat patterns of focal species, species-level CHI models are better than existing ecosystem-level CHI models. Uso de Modelos de Impacto Humano Acumulativo para Revelar los Patrones de Amenaza Mundial para Hipocampos El entendimiento de las amenazas que actuan sobre los organismos marinos y su estado de conservacion es de suma importancia pero a la vez un gran reto debido a la insuficiencia de datos. Estudiamos el estado de conservacion y el impacto humano acumulativo (CHI, en ingles) que existe sobre los hipocampos (Hippocampus spp.)- un genero de peces marinos raro y escaso de datos. Construimos modelos lineales aditivos con el conocimiento de expertos y conjuntos de datos espaciales relevantes para evaluar y mapear el CHI de los doce estresantes antropogenicos que afectan a las 42 especies de hipocampos. Examinamos la utilidad que tienen los indices de impacto estimado (el impacto de cada estresante y cada CHI) para la prediccion del estado de conservacion de las especies usando modelos de bosque azaroso (RF, en ingles). Los valores del CHI para las especies amenazadas fueron considerablemente mas altos que aquellos obtenidos para las especies no amenazadas (categoria basada en la Lista Roja de la Union Internacional para la Conservacion de la Naturaleza). De esto derivamos modelos RF de alta certeza (87% y 96%), los cuales pronosticaron que cinco de las 17 especies deficientes de datos estaban amenazadas. Las practicas de pesca demersal con una captura accesoria elevada y la contaminacion fueron los mejores pronosticadores de la categoria de amenaza. Los principales epicentros de amenaza se ubicaron en China, el sureste asiatico y en Europa. Nuestros resultados y mapas de CHI pueden ayudar a guiar la conservacion mundial de hipocampos y tambien indican que el modelado y el mapeo de de los impactos humanos pueden revelar los patrones de amenaza y el estado de conservacion de las especies deficientes de datos. Descubrimos que para explorar los patrones de amenaza de especies focales, son mejores los modelos de CHI a nivel de especie que los ya existentes modelos de CHI a nivel de ecosistema. Resumen ?? ?????????????????????????????????, ???????????????? (Hippocampus spp) -??????????????-??????????????????????????????????, ?????????????? 12 ???????? 42 ??????????, ???????????????????????????????????????? (?????????????????????) ?????????????????????, (?????????????????) ???????????????????????????????????????????? (87%? 96%) ?????, ????? 17 ??????????? 5 ????????????????? (????????????) ???????????????????????????????????????????????????????????, ??????????????????????????????????????????, ???????, ??????????????????, ???????????????????????????????, ??????????????????????????????????????????????? Article impact statement: Modeling and mapping human impacts can reveal conservation status and threat patterns for data-poor marine species.</t>
  </si>
  <si>
    <t>[Zhang, Xiong; Vincent, Amanda C. J.] Univ British Columbia, Inst Oceans &amp; Fisheries, Project Seahorse, 2202 Main Mall, Vancouver, BC V6M 1Z4, Canada</t>
  </si>
  <si>
    <t>University of British Columbia</t>
  </si>
  <si>
    <t>Zhang, X (corresponding author), Univ British Columbia, Inst Oceans &amp; Fisheries, Project Seahorse, 2202 Main Mall, Vancouver, BC V6M 1Z4, Canada.</t>
  </si>
  <si>
    <t>x.zhang@oceans.ubc.ca</t>
  </si>
  <si>
    <t>, Xiong/0000-0003-0132-734X; Vincent, Amanda/0000-0002-1058-0251</t>
  </si>
  <si>
    <t>0888-8892</t>
  </si>
  <si>
    <t>1523-1739</t>
  </si>
  <si>
    <t>CONSERV BIOL</t>
  </si>
  <si>
    <t>Conserv. Biol.</t>
  </si>
  <si>
    <t>10.1111/cobi.13325</t>
  </si>
  <si>
    <t>JL9AF</t>
  </si>
  <si>
    <t>WOS:000495818000015</t>
  </si>
  <si>
    <t>Duan, HL; Xia, SX; Yu, XB; Liu, Y; Teng, JK; Dou, YH</t>
  </si>
  <si>
    <t>Duan, Houlang; Xia, Shaoxia; Yu, Xiubo; Liu, Yu; Teng, Jiakun; Dou, Yuehan</t>
  </si>
  <si>
    <t>China; functional group; human-dominated landscapes; natural landscapes; sensitivity; waterbirds</t>
  </si>
  <si>
    <t>DISTRIBUTION MODELS; INTERTIDAL HABITAT; OCCUPANCY MODELS; BIRDS; SHOREBIRDS; RESPONSES; WATERFOWL; HOTSPOTS; LOSSES; BIAS</t>
  </si>
  <si>
    <t>Habitat loss is widely regarded as one of the most destructive factors threatening native biodiversity. Because migratory waterbirds include some of the most globally endangered species, information on their sensitivity to landscape would benefit their conservation. While citizen science data on waterbird species occurrence are subjected to various biases, their appropriate interpretation can provide information of benefit to species conservation. We apply a bootstrapping procedure to citizen science data to reduce sampling biases and report the relative sensitivity of waterbird species to natural versus human-dominated landscapes. Analyses are performed on 30,491 data records for 69 waterbird species referred to five functional groups observed in China between 2000 and 2018. Of these taxa, 30 species (43.5%) are significantly associated with natural landscapes, more so for cranes, geese, and ducks than for shorebirds and herons. The relationship between land association and the threat status of waterbirds is significant when the range size of species is considered as the mediator, and the higher the land association, the higher the threat status. Sensitive species significantly associated with natural landscapes are eight times more likely to be classified as National Protected Species (NPS) Classes I or II than less sensitive species significantly associated with human-dominated landscapes. We demonstrate the potential for citizen science data to assist in conservation planning in the context of landscape changes. Our methods might assist others to obtain information to help relieve species decline and extinction.</t>
  </si>
  <si>
    <t>[Duan, Houlang; Xia, Shaoxia; Yu, Xiubo; Liu, Yu; Teng, Jiakun; Dou, Yuehan] Chinese Acad Sci, Inst Geog Sci &amp; Nat Resources Res, Key Lab Ecosyst Network Observat &amp; Modeling, Beijing 100101, Peoples R China; [Duan, Houlang; Yu, Xiubo; Teng, Jiakun] Univ Chinese Acad Sci, Coll Resources &amp; Environm, Beijing, Peoples R China; [Dou, Yuehan] Wageningen Univ &amp; Res, Land Use Planning Grp, Wageningen, Netherlands</t>
  </si>
  <si>
    <t>Chinese Academy of Sciences; Institute of Geographic Sciences &amp; Natural Resources Research, CAS; Chinese Academy of Sciences; University of Chinese Academy of Sciences, CAS; Wageningen University &amp; Research</t>
  </si>
  <si>
    <t>Yu, XB (corresponding author), Chinese Acad Sci, Inst Geog Sci &amp; Nat Resources Res, Key Lab Ecosyst Network Observat &amp; Modeling, Beijing 100101, Peoples R China.</t>
  </si>
  <si>
    <t>yuxb@igsnrr.ac.cn</t>
  </si>
  <si>
    <t>Yu, Xiubo/A-5875-2016; DOU, Yuehan/ADS-1043-2022</t>
  </si>
  <si>
    <t>Dou, Yuehan/0000-0002-7481-8572; Teng, Jiakun/0000-0001-9207-3765</t>
  </si>
  <si>
    <t>Earth Big Data Scientific Engineering project of the Chinese Academy of Sciences [XDA19020305]; Developing China's Coastal WaterBirds and Habitats Database Project; National Natural Science Foundation of China [41701212]</t>
  </si>
  <si>
    <t>Earth Big Data Scientific Engineering project of the Chinese Academy of Sciences; Developing China's Coastal WaterBirds and Habitats Database Project; National Natural Science Foundation of China(National Natural Science Foundation of China (NSFC))</t>
  </si>
  <si>
    <t>Earth Big Data Scientific Engineering project of the Chinese Academy of Sciences, Grant/Award Number: XDA19020305; Developing China's Coastal WaterBirds and Habitats Database Project; National Natural Science Foundation of China, Grant/Award Number: 41701212</t>
  </si>
  <si>
    <t>10.1002/ece3.6449</t>
  </si>
  <si>
    <t>MU4PL</t>
  </si>
  <si>
    <t>WOS:000538997300001</t>
  </si>
  <si>
    <t>Haines, AM; Leu, M; Svancara, LK; Wilson, G; Scott, JM</t>
  </si>
  <si>
    <t>Haines, Aaron M.; Leu, Matthias; Svancara, Leona K.; Wilson, Gina; Scott, J. Michael</t>
  </si>
  <si>
    <t>NORTHWEST SCIENCE</t>
  </si>
  <si>
    <t>BIODIVERSITY HOTSPOTS; NATURE-RESERVES; RICHNESS; AMERICA</t>
  </si>
  <si>
    <t>Identification of biodiversity hotspots (hereafter, hotspots) has become a common strategy to delineate important areas for wildlife conservation. However, the use of hotspots has not often incorporated important habitat types, ecosystem services, anthropogenic activity, or consistency in identifying important conservation areas. The purpose of this study was to identify hotspots to improve avian conservation efforts for Species of Greatest Conservation Need (SGCN) in the state of Idaho, United States. We evaluated multiple approaches to define hotspots and used a unique approach based on weighting species by their distribution size and conservation status to identify hotspot areas. All hotspot approaches identified bodies of water (Bear Lake, Grays Lake, and American Falls Reservoir) as important hotspots for Idaho avian SGCN, but we found that the weighted approach produced more congruent hotspot areas when compared to other hotspot approaches. To incorporate anthropogenic activity into hotspot analysis, we grouped species based on their sensitivity to specific human threats (i.e., urban development, agriculture, fire suppression, grazing, roads, and logging) and identified ecological sections within Idaho that may require specific conservation actions to address these human threats using the weighted approach. The Snake River Basalts and Overthrust Mountains ecological sections were important areas for potential implementation of conservation actions to conserve biodiversity. Our approach to identifying hotspots may be useful as part of a larger conservation strategy to aid land managers or local governments in applying conservation actions on the ground.</t>
  </si>
  <si>
    <t>[Haines, Aaron M.] Upper Iowa Univ, Dept Biol Sci, Fayetteville, IA 52142 USA; [Leu, Matthias] US Geol Survey, Forest &amp; Rangeland Sci Ctr, Boise, ID 83706 USA; [Svancara, Leona K.] Idaho Nat Heritage Program, Idaho Dept Fish &amp; Game, Moscow, ID 83844 USA; [Wilson, Gina] Univ Idaho, Landscape Dynam Lab, Moscow, ID 83844 USA; [Scott, J. Michael] Univ Idaho, US Geol Survey, Idaho Cooperat Fish &amp; Wildlife Res Unit, Moscow, ID 83844 USA</t>
  </si>
  <si>
    <t>United States Department of the Interior; United States Geological Survey; University of Idaho; University of Idaho; United States Department of the Interior; United States Geological Survey</t>
  </si>
  <si>
    <t>Haines, AM (corresponding author), Upper Iowa Univ, Dept Biol Sci, Fayetteville, IA 52142 USA.</t>
  </si>
  <si>
    <t>hainesa@uiu.edu</t>
  </si>
  <si>
    <t>; Haines, Aaron/KQU-3164-2024</t>
  </si>
  <si>
    <t>Svancara, Leona/0009-0007-1936-6079;</t>
  </si>
  <si>
    <t>Idaho Department of Fish and Game; Center for Research on Invasive Species and Small Populations</t>
  </si>
  <si>
    <t>Funds and support for this project were provided by Idaho Department of Fish and Game and the Center for Research on Invasive Species and Small Populations. We specifically recognize the support of Jon Beals and Rex Sallabanks from the Idaho Department of Fish and Game. We thank John Fleckenstein, Richard Camp, Gary Beauvais, Kern Vierling, Lee Vierling, and Sebastian Martinuzzi for their comments on this manuscript.</t>
  </si>
  <si>
    <t>WASHINGTON STATE UNIV</t>
  </si>
  <si>
    <t>PULLMAN</t>
  </si>
  <si>
    <t>PO BOX 645020, PULLMAN, WA 99164-5910 USA</t>
  </si>
  <si>
    <t>0029-344X</t>
  </si>
  <si>
    <t>NORTHWEST SCI</t>
  </si>
  <si>
    <t>Northwest Sci.</t>
  </si>
  <si>
    <t>SPR</t>
  </si>
  <si>
    <t>10.3955/046.084.0206</t>
  </si>
  <si>
    <t>604FD</t>
  </si>
  <si>
    <t>WOS:000278261800006</t>
  </si>
  <si>
    <t>Weimerskirch, H; Filippi, DP; Collet, J; Waugh, SM; Patrick, SC</t>
  </si>
  <si>
    <t>Weimerskirch, H.; Filippi, D. P.; Collet, J.; Waugh, S. M.; Patrick, S. C.</t>
  </si>
  <si>
    <t>biologging; conservation method; long-line fisheries; vessel monitoring system</t>
  </si>
  <si>
    <t>WANDERING ALBATROSS; SEABIRD COMMUNITIES; MARINE MEGAFAUNA; FISHERIES; BYCATCH; CONSERVATION; INFORMATION; RESPONSES; PATTERNS; IMPACTS</t>
  </si>
  <si>
    <t>Despite international waters covering over 60% of the world's oceans, understanding of how fisheries in these regions shape ecosystem processes is surprisingly poor. Seabirds forage at fishing vessels, which has potentially deleterious effects for their population, but the extent of overlap and behavior in relation to ships is poorly known. Using novel biologging devices, which detect radar emissions and record the position of boats and seabirds, we measured the true extent of the overlap between seabirds and fishing vessels and generated estimates of the intensity of fishing and distribution of vessels in international waters. During breeding, wandering albatrosses (Diomedea exulans) from the Crozet Islands patrolled an area of over 10 million km(2) at distances up to 2500 km from the colony. Up to 79.5% of loggers attached to birds detected vessels. The extent of overlap between albatrosses and fisheries has widespread implications for bycatch risk in seabirds and reveals the areas of intense fishing throughout the ocean. We suggest that seabirds equipped with radar detectors are excellent monitors of the presence of vessels in the Southern Ocean and offer a new way to monitor the presence of illegal fisheries and to better understand the impact of fisheries on seabirds.</t>
  </si>
  <si>
    <t>[Weimerskirch, H.; Collet, J.] CNRS, Ctr Etud Biol Chize, F-79360 Villiers En Bois, France; [Filippi, D. P.] Sextant Technol, 116 Wilton Rd, Wellington 6012, New Zealand; [Waugh, S. M.] Te Papa Museum, 55 Cable St, Wellington 6011, New Zealand; [Patrick, S. C.] Univ Liverpool, Sch Environm Sci, Liverpool L69 3GP, Merseyside, England</t>
  </si>
  <si>
    <t>Centre National de la Recherche Scientifique (CNRS); University of Liverpool</t>
  </si>
  <si>
    <t>Weimerskirch, H (corresponding author), CNRS, Ctr Etud Biol Chize, F-79360 Villiers En Bois, France.</t>
  </si>
  <si>
    <t>henri.weimerskirch@cebc.cnrs.fr</t>
  </si>
  <si>
    <t>Collet, Julien/AAO-3785-2020; Weimerskirch, Henri/K-7306-2019</t>
  </si>
  <si>
    <t>European Research Council Advanced Grant under the European Community's Seven Framework Program [ERC-2012-ADG_20120314]</t>
  </si>
  <si>
    <t>European Research Council Advanced Grant under the European Community's Seven Framework Program</t>
  </si>
  <si>
    <t>This study is a contribution to Programme IPEV 109 at Crozet and to the Program EARLYLIFE funded by a European Research Council Advanced Grant under the European Community's Seven Framework Program FP7/2007-2013 (Grant Agreement ERC-2012-ADG_20120314 to H.W.). We thank the many field workers involved in the field studies in Crozet, in particular C. Morey-Rubio and G. Bernard for help with tag deployment and recovery, A. Prudor for help with the data analysis. Our data are available through the Birdlife Seabird Tracking Database.</t>
  </si>
  <si>
    <t>10.1111/cobi.12965</t>
  </si>
  <si>
    <t>FR7IB</t>
  </si>
  <si>
    <t>WOS:000419240100023</t>
  </si>
  <si>
    <t>Mondal, B; Dolui, G; Pramanik, M; Maity, S; Biswas, SS; Pal, R</t>
  </si>
  <si>
    <t>Mondal, Biswajit; Dolui, Gour; Pramanik, Malay; Maity, Santu; Biswas, Sumantra Sarathi; Pal, Raghunath</t>
  </si>
  <si>
    <t>ECOLOGICAL INDICATORS</t>
  </si>
  <si>
    <t>East Kolkata wetland; SimWeight; Urban growth; Wetland shrinkage monitoring (WSM) model; Wetland transition</t>
  </si>
  <si>
    <t>LAND-USE CHANGE; TIME-SERIES; ECOSYSTEM; SIMULATION; MANAGEMENT; DYNAMICS; RISK</t>
  </si>
  <si>
    <t>The usefulness and need for wetland ecosystems are in general, manifold. Nonetheless, their current situation in many parts of the world is truly a matter of concern, both in terms of biodiversity as well as human well-being. While policy development and decision-making are vital, there is also a great need to understand the wetlands transition process, taking into account measures for their conservation. In an attempt towards such an understanding, this study analyses the eco-social transformation of the East Kolkata Wetland (EKW). As a primary step to examine the patterns and drivers of wetland change in the EKW, land cover changes have been quantified. In addition, the significance of the driving factors has been adjudged and modelled using Wetland Shrinkage Monitoring (WSM) model. The outcome shows that wetland shrinkage largely determined by proximity forces of urban growth. While the Markov transition indicates that 46% out of 38 km(2) wetland tends to alter to other classes, wetland transition 2025 points out that almost 9 km(2) area is at critical risk. In addition to these findings, the study ascertains that a decent functioning of the local authorities and a comprehensive land use planning are indispensable to curb wetland degradation.</t>
  </si>
  <si>
    <t>[Mondal, Biswajit; Maity, Santu; Biswas, Sumantra Sarathi; Pal, Raghunath] Jawaharlal Nehru Univ, Ctr Study Reg Dev, New Delhi, India; [Dolui, Gour] Vidyasagar Univ, Dept Geog &amp; Environm Management, Midnapore, W Bengal, India; [Pramanik, Malay] Jawaharlal Nehru Univ, Ctr Int Polit Org &amp; Disarmament, New Delhi, India</t>
  </si>
  <si>
    <t>Jawaharlal Nehru University, New Delhi; Vidyasagar University; Jawaharlal Nehru University, New Delhi</t>
  </si>
  <si>
    <t>Mondal, B (corresponding author), Jawaharlal Nehru Univ, Ctr Study Reg Dev, New Delhi, India.</t>
  </si>
  <si>
    <t>biswaj92_ssf@jnu.ac.in</t>
  </si>
  <si>
    <t>Pal, Raghunath/AAW-6911-2021; BISWAS, SUMANTRA SARATHI/AAZ-1763-2020; Pramanik, Malay/AAU-1085-2021; Mondal, Biswajit/X-8269-2018</t>
  </si>
  <si>
    <t>Pal, Raghunath/0000-0003-1926-6792; Maity, Santu/0000-0001-8601-2093; Dolui, Gour/0000-0001-7207-4525; BISWAS, SUMANTRA SARATHI/0000-0002-0069-1361; Pramanik, Malay/0000-0002-7085-1236; Mondal, Biswajit/0000-0002-6624-8581</t>
  </si>
  <si>
    <t>1470-160X</t>
  </si>
  <si>
    <t>1872-7034</t>
  </si>
  <si>
    <t>ECOL INDIC</t>
  </si>
  <si>
    <t>Ecol. Indic.</t>
  </si>
  <si>
    <t>10.1016/j.ecolind.2017.07.037</t>
  </si>
  <si>
    <t>Biodiversity Conservation; Environmental Sciences</t>
  </si>
  <si>
    <t>FP3XR</t>
  </si>
  <si>
    <t>WOS:000417551800007</t>
  </si>
  <si>
    <t>Fiorini, L; Zullo, F; Romano, B</t>
  </si>
  <si>
    <t>Fiorini, L.; Zullo, F.; Romano, B.</t>
  </si>
  <si>
    <t>Urbanization impact; Land take; Land-use change; Coastal systems; Anthropogenization</t>
  </si>
  <si>
    <t>LAND-USE; SPRAWL; TRANSFORMATION; URBANIZATION</t>
  </si>
  <si>
    <t>The phenomenon of urban sprawl has already been recognized as one of the major anthropic threats to natural ecosystems. This study investigates the spatial distribution of urban expansion with reference to two Italian Islands, Sicily and Sardinia, from post-war to the first decade of the 2000s (i.e. noughties). The two Regions are an important tourist destination in the Mediterranean basin, owing, to their landscapes and climate. The analysis produced a series of interesting results, such as the average annual speed of transformation of the coastal strip or the size and modalities of urban development, correlated with demographic and morphological parameters. The study also focused on the urban transformations that have affected the protected areas within these Regions. The final part of the work is fully devoted to the policies and techniques that should be adopted in the remaining coastal stretches, that is those not yet affected by urban transformation. In fact, for these areas policies should be focused on the preservation of community habitats and the protection of ecological connections with relevant consequences in the national biodiversity conservation. With regards to the processed data allowed to draw a map of management responsibilities at municipal and regional levels for the review of future urban planning in terms of sustainable governance. (C) 2016 Elsevier Ltd. All rights reserved.</t>
  </si>
  <si>
    <t>[Fiorini, L.; Zullo, F.; Romano, B.] Univ Aquila, Dept Civil Engn Architecture &amp; Environm, Via Giovanni Gronchi 18, I-67100 Laquila, Italy</t>
  </si>
  <si>
    <t>University of L'Aquila</t>
  </si>
  <si>
    <t>Fiorini, L (corresponding author), Univ Aquila, Dept Civil Engn Architecture &amp; Environm, Via Giovanni Gronchi 18, I-67100 Laquila, Italy.</t>
  </si>
  <si>
    <t>lorena.fiorini@graduate.univaq.it</t>
  </si>
  <si>
    <t>Zullo, Francesco/T-4413-2019; Fiorini, Lorena/G-9966-2019</t>
  </si>
  <si>
    <t>Zullo, Francesco/0000-0002-9124-0776; Fiorini, Lorena/0000-0002-3071-9644; Romano, Bernardino/0000-0002-5947-1275</t>
  </si>
  <si>
    <t>Region of Umbria [0023769 - 23/02/2015]; SUNLIFE project [LIFE 13/NAT/IT/000371]</t>
  </si>
  <si>
    <t>Region of Umbria; SUNLIFE project</t>
  </si>
  <si>
    <t>The methodology presented was implemented in the RERU3 (Rete Ecologica Regionale Umbra) project, and its monitoring was supported by the Region of Umbria (Agreement n.0023769 - 23/02/2015), which we thank for the resources provided. The indicators used were developed within the SUNLIFE project (LIFE 13/NAT/IT/000371 - Strategy for the Natura 2000 Network of the Umbria Region). A special thanks to the Editor and to anonymous reviewers that contributed in improving this article.</t>
  </si>
  <si>
    <t>JUL 1</t>
  </si>
  <si>
    <t>10.1016/j.ocecoaman.2016.12.008</t>
  </si>
  <si>
    <t>EY1PG</t>
  </si>
  <si>
    <t>WOS:000403737200019</t>
  </si>
  <si>
    <t>Názaro, MG; Dos Santos, DA; Torres, R; Baumann, M; Blendinger, PG</t>
  </si>
  <si>
    <t>Gabriela Nazaro, Maria; Dos Santos, Daniel A.; Torres, Ricardo; Baumann, Matthias; Blendinger, Pedro G.</t>
  </si>
  <si>
    <t>JOURNAL OF BIOGEOGRAPHY</t>
  </si>
  <si>
    <t>beta diversity; bird communities; dry forest; endangered ecosystems; GDM; land use; species distribution</t>
  </si>
  <si>
    <t>BETA-DIVERSITY; DRY FOREST; AGRICULTURAL INTENSIFICATION; USE INTENSITY; PATTERNS; BIODIVERSITY; COVER; DISTRIBUTIONS; BIOGEOGRAPHY; COMMUNITIES</t>
  </si>
  <si>
    <t>Aim To evaluate the structure of bird communities throughout the South American Gran Chaco determining the effects of climate, geography and land use/land cover in bird beta diversity, as well as to understand the beta diversity processes underlying land use changes across broad spatial ranges. Location South American Gran Chaco. Taxon Birds. Methods We constructed a site-by-species matrix with occurrence probabilities of 293 bird species across 2,669 spatial units tiling completely the study area. Based on this matrix, we calculated pairwise dissimilarities scores and performed a hierarchical cluster analysis for describing the spatial configuration of dissimilarities. The clustering result was spatially represented through an original venation map with boundaries between sites widened in the function of their distance in the dendrogram. We used the Generalized Dissimilarity Modelling approach to model beta diversity, using geographic distance, climatic and land use/land cover information as predictors. We mapped beta diversity patterns using colour theory and the HSV colour model. Results We identified two main clusters of sites across the Gran Chaco, which represent environmentally different sites and harbour very distinct assemblages of species. These main groups are separated by two natural delimiters: The Bermejo-Pilcomayo interfluvium and the Lower Parana floodplain. Overall, we observed that the percentage of cropland and climatic variables were important shapers of bird beta diversity. Main conclusions We provide the first area-wide assessment of land use/land cover effects on bird beta diversity for the Gran Chaco. The distribution of croplands has a marked influence on bird beta diversity at regional scale highlighting the role of anthropic changes in reshaping bird beta diversity within the ecoregion. Taking into account the global increasing conversion of forests into croplands, a growing footprint of land use changes over geographical patterns of bird diversity in forest biomes can be anticipated.</t>
  </si>
  <si>
    <t>[Gabriela Nazaro, Maria; Blendinger, Pedro G.] Univ Nacl Tucuman, Inst Ecol Reg, San Miguel De Tucuman, Argentina; [Gabriela Nazaro, Maria; Blendinger, Pedro G.] Consejo Nacl Invest Cient &amp; Tecn, San Miguel De Tucuman, Argentina; [Dos Santos, Daniel A.] Univ Nacl Tucuman, Inst Biodiversidad Neotrop, San Miguel De Tucuman, Argentina; [Dos Santos, Daniel A.] Cupulas Univ, Consejo Nacl Invest Cient &amp; Tecn, San Miguel De Tucuman, Argentina; [Dos Santos, Daniel A.; Blendinger, Pedro G.] Univ Nacl Tucuman, Fac Ciencias Nat, Miguel Lillo 205, RA-4000 San Miguel De Tucuman, Argentina; [Torres, Ricardo] Univ Nacl Cordoba, Fac Ciencias Exactas Fis &amp; Nat, Muse Zool, Cordoba, Argentina; [Torres, Ricardo] Univ Nacl Cordoba, Inst Diversidad &amp; Ecol Anim, Consejo Nacl Invest Cient &amp; Tecn, Cordoba, Argentina; [Baumann, Matthias] Humboldt Univ, Geog Dept, Berlin, Germany</t>
  </si>
  <si>
    <t>Universidad Nacional de Tucuman; Consejo Nacional de Investigaciones Cientificas y Tecnicas (CONICET); Universidad Nacional de Tucuman; Consejo Nacional de Investigaciones Cientificas y Tecnicas (CONICET); Universidad Nacional de Tucuman; National University of Cordoba; National University of Cordoba; Consejo Nacional de Investigaciones Cientificas y Tecnicas (CONICET); Humboldt University of Berlin</t>
  </si>
  <si>
    <t>Dos Santos, DA (corresponding author), Univ Nacl Tucuman, Fac Ciencias Nat, Miguel Lillo 205, RA-4000 San Miguel De Tucuman, Argentina.;Dos Santos, DA (corresponding author), Univ Nacl Tucuman, IML, Miguel Lillo 205, RA-4000 San Miguel De Tucuman, Argentina.</t>
  </si>
  <si>
    <t>dadossantos@csnat.unt.edu.ar</t>
  </si>
  <si>
    <t>Baumann, Matthias/K-4757-2014</t>
  </si>
  <si>
    <t>Baumann, Matthias/0000-0003-2375-3622; Blendinger, Peo G/0000-0002-2130-9934; Torres, Ricardo/0000-0001-7114-6996</t>
  </si>
  <si>
    <t>Consejo Nacional de Investigaciones Cientificas y Tecnicas</t>
  </si>
  <si>
    <t>Consejo Nacional de Investigaciones Cientificas y Tecnicas(Consejo Nacional de Investigaciones Cientificas y Tecnicas (CONICET))</t>
  </si>
  <si>
    <t>0305-0270</t>
  </si>
  <si>
    <t>1365-2699</t>
  </si>
  <si>
    <t>J BIOGEOGR</t>
  </si>
  <si>
    <t>J. Biogeogr.</t>
  </si>
  <si>
    <t>10.1111/jbi.13827</t>
  </si>
  <si>
    <t>MAR 2020</t>
  </si>
  <si>
    <t>Ecology; Geography, Physical</t>
  </si>
  <si>
    <t>Environmental Sciences &amp; Ecology; Physical Geography</t>
  </si>
  <si>
    <t>MD3ZU</t>
  </si>
  <si>
    <t>WOS:000520874400001</t>
  </si>
  <si>
    <t>Pullanikkatil, D; Mograbi, PJ; Palamuleni, L; Ruhiiga, T; Shackleton, C</t>
  </si>
  <si>
    <t>Pullanikkatil, Deepa; Mograbi, Penelope J.; Palamuleni, Lobina; Ruhiiga, Tabukeli; Shackleton, Charlie</t>
  </si>
  <si>
    <t>ENVIRONMENT DEVELOPMENT AND SUSTAINABILITY</t>
  </si>
  <si>
    <t>Ecosystems trade-offs; Land-use change; Likangala River; Livelihoods; Long-term change; Mapping; Participatory GIS</t>
  </si>
  <si>
    <t>LAND-COVER CHANGE; FOREST PRODUCTS; BIODIVERSITY; SPACE; CONSERVATION; LIVELIHOODS; CONSUMPTION; CHALLENGES; LANDSCAPE; RISK</t>
  </si>
  <si>
    <t>Provisioning ecosystem services of the Likangala River Catchment in southern Malawi are important for livelihoods of those living there. Remote sensing, participatory mapping and focus group discussions were used to explore the spatio-temporal changes and trade-offs in land-cover change from 1984 to 2013, and how that affects provisioning ecosystem services in the area. Communities derive a number of provisioning ecosystem services from the catchment. Forty-eight species of edible wild animals (including birds), 28 species of edible wild plants and fungi, 22 species of medicinal plants, construction materials, ornamental flowers, firewood, honey, gum, reeds and thatch/weaving grasses were derived from the catchment and used by local communities. These provisioning services are under threat from land-use change within two hot-spots, Zomba Mountain and mouth of the river at Lake Chilwa. Zomba Mountain has experienced losses in forests and gains in shrublands, and Lake Chilwa area saw losses of forests, wetlands and shrublands due to increased areas under cultivation. Extrapolation of trends of land cover change in the catchment until 2023 revealed that forests and wetlands will occupy less than 2% of the catchment, while urban areas will grow to over 5% of catchment area. The main driver for land-use change is need for expansion of agricultural land for food production. Participatory mapping and focus group discussions point towards a decline in provisioning services in the catchment and spill-over effects to other catchments. This requires a holistic approach to address the drivers of land-use change for effective management of this ecosystem.</t>
  </si>
  <si>
    <t>[Pullanikkatil, Deepa; Mograbi, Penelope J.; Shackleton, Charlie] Rhodes Univ, Dept Environm Sci, Grahamstown, South Africa; [Pullanikkatil, Deepa; Palamuleni, Lobina; Ruhiiga, Tabukeli] North West Univ, Sch Geo &amp; Spatial Sci, Mafikeng, South Africa</t>
  </si>
  <si>
    <t>Rhodes University; North West University - South Africa</t>
  </si>
  <si>
    <t>Pullanikkatil, D (corresponding author), Rhodes Univ, Dept Environm Sci, Grahamstown, South Africa.;Pullanikkatil, D (corresponding author), North West Univ, Sch Geo &amp; Spatial Sci, Mafikeng, South Africa.</t>
  </si>
  <si>
    <t>d.pullanikkatil@gmail.com</t>
  </si>
  <si>
    <t>Mograbi, Penelope/J-8495-2019; Palamuleni, Lobina/Q-2577-2019; Shackleton, Charlie/F-4177-2014</t>
  </si>
  <si>
    <t>Mograbi, Penelope/0000-0001-8437-7021; Pullanikkatil, Deepa/0000-0003-1685-4548; Shackleton, Charlie/0000-0002-8489-6136</t>
  </si>
  <si>
    <t>NorthWest University; South African Research Chairs Initiative of the Dept of Science and Technology; National Research Foundation of South Africa</t>
  </si>
  <si>
    <t>NorthWest University; South African Research Chairs Initiative of the Dept of Science and Technology; National Research Foundation of South Africa(National Research Foundation - South Africa)</t>
  </si>
  <si>
    <t>The study was funded through NorthWest University's Ph.D. bursary. All community members who participated in the mapping and focus group discussions are thanked. Preparation time by PD, PM and CS for the paper was supported by the South African Research Chairs Initiative of the Dept of Science and Technology and the National Research Foundation of South Africa. Any opinion, finding, conclusion or recommendation expressed in this material is that of the authors and the NRF does not accept any liability in this regard.</t>
  </si>
  <si>
    <t>1387-585X</t>
  </si>
  <si>
    <t>1573-2975</t>
  </si>
  <si>
    <t>ENVIRON DEV SUSTAIN</t>
  </si>
  <si>
    <t>Environ. Dev. Sustain.</t>
  </si>
  <si>
    <t>10.1007/s10668-018-0240-x</t>
  </si>
  <si>
    <t>Green &amp; Sustainable Science &amp; Technology; Environmental Sciences</t>
  </si>
  <si>
    <t>Science &amp; Technology - Other Topics; Environmental Sciences &amp; Ecology</t>
  </si>
  <si>
    <t>KI9EP</t>
  </si>
  <si>
    <t>WOS:000511659800024</t>
  </si>
  <si>
    <t>Lunn, KE; Moreau, MA</t>
  </si>
  <si>
    <t>Unmonitored trade in marine ornamental fishes: the case of Indonesia's Banggai cardinalfish (Pterapogon kauderni)</t>
  </si>
  <si>
    <t>CORAL REEFS</t>
  </si>
  <si>
    <t>international aquarium trade; reef fish exploitation; trade monitoring; Banggai cardinalfish; artisanal fisheries</t>
  </si>
  <si>
    <t>APOGONIDAE</t>
  </si>
  <si>
    <t>Millions of coral reef fishes are collected each year for sale on the international aquarium market. Several marine ornamental species, including the Banggai cardinalfish, are biologically unsuitable for large-scale exploitation, yet their trade continues largely unmonitored. With little known about the Banggai cardinalfish or its trade, we interviewed trade participants from north and central Sulawesi, Indonesia to document the organization, scale, and price structure of the species' local collection and sale. Interviews revealed a large and growing commerce in Banggai cardinalfish, with at least 118,000 fish per month being sold in the Banggai region during the study period. Given the scale of the trade, the species' restricted geographic range, and its natural susceptibility to exploitation, we propose that long-term monitoring is needed to safeguard Banggal cardinalfish populations and to serve as a much-needed example for monitoring and managing other marine ornamental fishes at risk of over-exploitation.</t>
  </si>
  <si>
    <t>Zool Soc London, London NW1 4RY, England</t>
  </si>
  <si>
    <t>Zoological Society of London</t>
  </si>
  <si>
    <t>Moreau, MA (corresponding author), McGill Univ, Dept Geog, 805 Sherbrooke St W, Montreal, PQ H3A 2K6, Canada.</t>
  </si>
  <si>
    <t>mariannick.moreau@mail.mcgill.ca</t>
  </si>
  <si>
    <t>Moreau, Marie-Annick/AAX-8199-2021</t>
  </si>
  <si>
    <t>Moreau, Marie-Annick/0000-0003-1812-5955</t>
  </si>
  <si>
    <t>NEW YORK</t>
  </si>
  <si>
    <t>ONE NEW YORK PLAZA, SUITE 4600, NEW YORK, NY, UNITED STATES</t>
  </si>
  <si>
    <t>0722-4028</t>
  </si>
  <si>
    <t>1432-0975</t>
  </si>
  <si>
    <t>10.1007/s00338-004-0393-y</t>
  </si>
  <si>
    <t>Marine &amp; Freshwater Biology</t>
  </si>
  <si>
    <t>859FW</t>
  </si>
  <si>
    <t>WOS:000224249800005</t>
  </si>
  <si>
    <t>Schuette, P; Creel, S; Christianson, D</t>
  </si>
  <si>
    <t>Schuette, Paul; Creel, Scott; Christianson, Dave</t>
  </si>
  <si>
    <t>competition; gazelle; giraffe; impala; livestock; Maasai; predation; ungulate; wildebeest; zebra</t>
  </si>
  <si>
    <t>INTERSPECIFIC COMPETITION; FORAGING BEHAVIOR; MARA REGION; RISK; DISTURBANCE; HERBIVORES; ABUNDANCE; LIVESTOCK; PATTERNS; LIONS</t>
  </si>
  <si>
    <t>African rangelands support diverse ungulate communities whose member species exhibit unique combinations of body morphology and behaviour that have evolved over millions of years to limit the effects of competition and predation on fitness, and more recently, to cope with people and livestock. The mechanisms by which native ungulates cope with the combined effects of competition, predation and human disturbance are poorly understood. Addressing this knowledge gap will help guide management and conservation plans for large mammal communities outside of strictly protected areas. We conducted animal counts on line transects and used a spatially explicit distance sampling model to test the influence of bottom-up effects (vegetation), top-down effects from African lion Panthera leo and spotted hyena Crocuta crocuta and human disturbance (livestock density, occupied human settlements) on native ungulate densities and distributions across a multiple-use rangeland in Kenya. We examined five species that varied in body morphology and foraging strategy, including two large-bodied grazers (zebra Equus quagga; wildebeest Connochaetes taurinus), two medium-bodied, mixed-feeders (Grant's gazelle Nanger granti; impala Aepyceros melampus) and one very large-bodied browser (giraffe Giraffa camelopardalis tippelskirchi). Densities and distributions of all species varied across available land-use types, with bottom-up effects (vegetation) and human disturbance having the strongest overall effects. Responses varied by ungulate foraging strategy. Distributions of grazers and the browser (giraffe) changed seasonally, while distributions of mixed-feeders and a grazer (zebra) changed diurnally. At broad spatial scales, ungulates did not respond to long-term variation in predation risk though they have been shown to respond behaviourally to short-term variation in risk.Synthesis and applications. Our results revealed that native ungulates in this multiple-use rangeland occur at densities comparable to many flagship protected area populations. We attribute observed densities to spatial heterogeneity across this landscape that included variation in human land use (community conservation area, seasonal settlements and livestock grazing, permanent settlements) and vegetation (grassland, bushland, woodland) that changed through time (seasonally, diurnally). This variation allowed ungulates to carve out ecological niches while reducing exposure to the potential limiting effects of competition and human disturbance. For some species, securing access to forage resources and avoiding human disturbance may be associated with costs through increased risk of predation. Our research reveals the trade-offs native ungulates make to cope with changes in forage availability, human disturbance and predation risk, providing important insights to help guide native ungulate conservation efforts in multiple-use rangelands.</t>
  </si>
  <si>
    <t>[Schuette, Paul; Creel, Scott] Montana State Univ, Dept Ecol, 310 Lewis Hall, Bozeman, MT 59717 USA; [Schuette, Paul] SUNY Coll Environm Sci &amp; Forestry, 1 Forestry Dr, Syracuse, NY 13210 USA; [Christianson, Dave] Univ Arizona, Sch Nat Resources &amp; Environm, Biol Sci East 325, Tucson, AZ 85721 USA</t>
  </si>
  <si>
    <t>Montana State University System; Montana State University Bozeman; State University of New York (SUNY) System; State University of New York (SUNY) College of Environmental Science &amp; Forestry; University of Arizona</t>
  </si>
  <si>
    <t>Schuette, P (corresponding author), Montana State Univ, Dept Ecol, 310 Lewis Hall, Bozeman, MT 59717 USA.;Schuette, P (corresponding author), SUNY Coll Environm Sci &amp; Forestry, 1 Forestry Dr, Syracuse, NY 13210 USA.</t>
  </si>
  <si>
    <t>pschuett@esf.edu</t>
  </si>
  <si>
    <t>National Science Foundation [IOS-0642393, IOS-1145749]; Cincinnati Zoo; Panthera Kaplan Graduate fellowship</t>
  </si>
  <si>
    <t>National Science Foundation(National Science Foundation (NSF)); Cincinnati Zoo; Panthera Kaplan Graduate fellowship</t>
  </si>
  <si>
    <t>We thank the Kenya Ministry of Science and Technology (Permit: NCST/RRI/12/1/MAS/03/7) and the Kenya Wildlife Service (Permit: KWS/CRA/5001) for permission to conduct this research. We thank the Olkiramatian and Shompole community for permission and assistance conducting research on their group ranches and the African Conservation Centre for their facilitation of this research. This research was funded by the National Science Foundation (IOS-0642393 and IOS-1145749), the Cincinnati Zoo and a Panthera Kaplan Graduate fellowship to PS.</t>
  </si>
  <si>
    <t>10.1111/1365-2664.12610</t>
  </si>
  <si>
    <t>DR7FO</t>
  </si>
  <si>
    <t>WOS:000380065600011</t>
  </si>
  <si>
    <t>Meynecke, JO; Meager, JJ</t>
  </si>
  <si>
    <t>Meynecke, Jan-Olaf; Meager, Justin J.</t>
  </si>
  <si>
    <t>JOURNAL OF COASTAL RESEARCH</t>
  </si>
  <si>
    <t>14th International Coastal Symposium (ICS)</t>
  </si>
  <si>
    <t>MAR 06-11, 2016</t>
  </si>
  <si>
    <t>Sydney, AUSTRALIA</t>
  </si>
  <si>
    <t>Univ Sydney,Geocoastal Res Grp,Coastal Educ &amp; Res Fdn,JCR</t>
  </si>
  <si>
    <t>Humpback whales; stranding; East Australian Current; SOI</t>
  </si>
  <si>
    <t>RELATIVE ABUNDANCE; EAST-COAST; PATTERNS</t>
  </si>
  <si>
    <t>Cetacean strandings are well-known phenomena in all parts of the world. In most cases the underlying reasons are unknown. Incidents have been associated with factors including changes in magnetic fields, diseases, unusual weather events, vessel strikes, pollution and fishing. Quantitative analyses over large spatial and time scales can provide insights into stranding hotspots, trends and relationships with physical drivers. Here we collated and combined available information on humpback whale (Megaptera novaeangliae) incidents that occurred in Queensland, on the east coast of Australia between 1989 and 2014. This study provides a first overview of incidents for humpback whales for the east coast of Australia over a 25 year period. Incidents included reports of carcasses, vessel strikes, injured animals found stranded, entrapped in shallow water, entangled or floating offshore. The location, timing, age class and types of over 200 incidents were analysed for trends and compared with oceanic and physical processes. The majority of incidents involving calves or juvenile humpback whales occurred during the austral winter (peak in August). The rate of strandings was associated with the position of the East Australian Current, and lagged Southern Oscillation Index (SOI). Our study demonstrates the importance of long-term strandings records to allow for the investigation of trends over spatial and temporal scales relevant to migratory species. A comprehensive strandings program is an important conservation and monitoring tool to better understand long-term trends and to quantify key threats to cetaceans.</t>
  </si>
  <si>
    <t>[Meynecke, Jan-Olaf] Griffith Univ, Griffith Ctr Coastal Management, Gold Coast, Australia; [Meynecke, Jan-Olaf] Humpbacks &amp; High Rises Inc, Gold Coast, Australia; [Meager, Justin J.] Queensland Dept Environm &amp; Heritage Protect, Brisbane, Qld, Australia</t>
  </si>
  <si>
    <t>Griffith University</t>
  </si>
  <si>
    <t>Meynecke, JO (corresponding author), Griffith Univ, Griffith Ctr Coastal Management, Gold Coast, Australia.;Meynecke, JO (corresponding author), Humpbacks &amp; High Rises Inc, Gold Coast, Australia.</t>
  </si>
  <si>
    <t>j.meynecke@griffith.edu.au</t>
  </si>
  <si>
    <t>Meager, Justin/E-6693-2012</t>
  </si>
  <si>
    <t>Meager, Justin/0000-0002-3349-1841; , Jan-Olaf/0000-0002-4639-4055</t>
  </si>
  <si>
    <t>COASTAL EDUCATION &amp; RESEARCH FOUNDATION</t>
  </si>
  <si>
    <t>LAWRENCE</t>
  </si>
  <si>
    <t>810 EAST 10TH STREET, LAWRENCE, KS 66044 USA</t>
  </si>
  <si>
    <t>0749-0208</t>
  </si>
  <si>
    <t>1551-5036</t>
  </si>
  <si>
    <t>J COASTAL RES</t>
  </si>
  <si>
    <t>J. Coast. Res.</t>
  </si>
  <si>
    <t>10.2112/SI75-180.1</t>
  </si>
  <si>
    <t>Environmental Sciences; Geography, Physical; Geosciences, Multidisciplinary</t>
  </si>
  <si>
    <t>Environmental Sciences &amp; Ecology; Physical Geography; Geology</t>
  </si>
  <si>
    <t>DI1FF</t>
  </si>
  <si>
    <t>WOS:000373241300034</t>
  </si>
  <si>
    <t>Parravicini, V; Rovere, A; Vassallo, P; Micheli, F; Montefalcone, M; Morri, C; Paoli, C; Albertelli, G; Fabiano, M; Bianchi, CN</t>
  </si>
  <si>
    <t>Parravicini, V.; Rovere, A.; Vassallo, P.; Micheli, F.; Montefalcone, M.; Morri, C.; Paoli, C.; Albertelli, G.; Fabiano, M.; Bianchi, C. N.</t>
  </si>
  <si>
    <t>Ecosystem status; Marine spatial planning; Ecosystem-based management; Cartography; Random forests; Multiple stressors; Mediterranean Sea</t>
  </si>
  <si>
    <t>SPECIES-ABUNDANCE DISTRIBUTIONS; MARINE PROTECTED AREAS; DECISION-MAKING; RANDOM FORESTS; HUMAN IMPACTS; LIGURIAN SEA; MANAGEMENT; FRAMEWORK; REEF; CLASSIFICATION</t>
  </si>
  <si>
    <t>Human use of ecosystem resources and services is increasing worldwide, generating pressures that alter ecosystem structure, functioning and provision of services. Unexpected ecosystem change is becoming frequent, and the complex ways through which multiple human pressures may interact leave conservation practitioners and natural resource managers faced with high uncertainty. We developed a geospatial approach for modeling the complex relationships between multiple h man pressures and coastal ecosystems status. This framework was then used to produce maps of the expected status of marine coastal ecosystems resulting from variation in the cumulative human pressure. The geospatial modeling approach we developed was tested on an emblematic study case requiring marine spatial planning, i.e. a recently established marine protected area (MPA) that will have to coexist with the expansion of a close commercial harbor. In the study case presented, our modeling approach was used to predict the status of coastal ecosystems resulting from different management alternatives. Results showed that should Port Authority support MPA in reducing human pressures in the area, coastal ecosystems would not be expected to further deteriorate as a consequence of harbor expansion. Our approach proved effective in modeling complex interaction among multiple pressures (e.g. synergisms) and predicting potential future scenarios. The implementation of this approach into geographical information systems (GIS)allows managers to represent the expected outcomes of their planned conservation effort!, thereby representing an important decision-support tool for finding efficient management solutions in the face of complex interactions and high uncertainty. (C) 2011 Elsevier Ltd. All rights reserved.</t>
  </si>
  <si>
    <t>[Parravicini, V.; Rovere, A.; Vassallo, P.; Montefalcone, M.; Morri, C.; Paoli, C.; Albertelli, G.; Fabiano, M.; Bianchi, C. N.] Univ Genoa, DipTeRis, Dipartimento Terr &amp; Sue Risorse, I-16126 Genoa, Italy; [Parravicini, V.; Rovere, A.] SEAMap Srl, Seascape Evaluat Assessment &amp; Mapping, Genoa, Italy; [Micheli, F.] Stanford Univ, Hopkins Marine Stn, Pacific Grove, CA 93950 USA</t>
  </si>
  <si>
    <t>University of Genoa; Stanford University</t>
  </si>
  <si>
    <t>Parravicini, V (corresponding author), Univ Genoa, DipTeRis, Dipartimento Terr &amp; Sue Risorse, I-16126 Genoa, Italy.</t>
  </si>
  <si>
    <t>valeriano.parravicini@unige.it</t>
  </si>
  <si>
    <t>; Vassallo, Paolo/ABG-7144-2021; Rovere, Alessio/H-4398-2019; Paoli, Chiara/ITU-0353-2023; Parravicini, Valeriano/A-8539-2011; Montefalcone, Monica/NVM-8364-2025</t>
  </si>
  <si>
    <t>Morri, Carla/0000-0003-4520-2741; Vassallo, Paolo/0000-0002-7474-8308; Rovere, Alessio/0000-0001-5575-1168; Bianchi, Carlo Nike/0000-0003-1071-3285; Paoli, Chiara/0000-0001-8228-8965; MONTEFALCONE, MONICA/0000-0002-3851-1880; Micheli, Fiorenza/0000-0002-6865-1438; Parravicini, Valeriano/0000-0002-3408-1625;</t>
  </si>
  <si>
    <t>Pew Fellowship in Marine Conservation</t>
  </si>
  <si>
    <t>FM was partly supported through a Pew Fellowship in Marine Conservation. Field activities were done thanks to a collaboration with the Isola di Bergeggi MPA. Thanks are due to S. Baiardo, D. Bevacqua, I. Caballero and H. Fatmi for advice and to the experts (with the willingness of remaining anonymous) who helped in the evaluation of pressure intensities. We are thankful to two anonymous reviewers whose valuable comments improved an early version of the manuscript.</t>
  </si>
  <si>
    <t>10.1016/j.ecolind.2011.07.027</t>
  </si>
  <si>
    <t>927EY</t>
  </si>
  <si>
    <t>WOS:000302891100026</t>
  </si>
  <si>
    <t>Hughes, AC</t>
  </si>
  <si>
    <t>Hughes, Alice C.</t>
  </si>
  <si>
    <t>biodiversity; China; deforestation; environmental impact assessment; infrastructure; sustainable; biodiversidad; China; deforestacion; evaluacion de impacto ambiental; infraestructura; sustentable</t>
  </si>
  <si>
    <t>CHINA BELT; SOUTHEAST-ASIA; CO2 EMISSIONS; CONSERVATION; ECOLOGY; TRADE</t>
  </si>
  <si>
    <t>China's Belt and Road Initiative (BRI) sets to create connections and build infrastructure across Eurasia, Asia, and parts of the African continent in its initial phase and is the largest infrastructure project of all time. Any infrastructure project on this scale will necessarily pass through ecofragile regions and key biodiversity areas (KBAs). This creates an imperative to identify possible areas of impact and probable effects on conservation values to facilitate adaptive planning and to mitigate, minimize, or avoid impacts. Using the highest resolution route maps of the BRI available, I overlaid the proposed road and rail routes on KBAs, protected areas, and predicted biodiversity hotspots for over 4138 animal and 7371 plant species. I also assessed the relationship between the proposed route with the distribution of mines across BRI countries and the proportion of deforestation and forest near routes. Infrastructure, especially mining, was clustered near the proposed route; thus, construction and development along the route may increase the size and number of mines. Up to 15% of KBAs were within 1 km of proposed railways. Thus, planned and probable development along the routes may pose a significant risk to biodiversity, especially because the majority of KBAs are unprotected. Many biodiversity hotspots for different taxa were near the route. These hotspots varied between taxa, making systematic management and environmental impact assessments an effective strategy for at least some taxa. A combination of planning and mitigation strategies will likely be necessary to protect the most important areas for biodiversity proximal to development, especially in currently unprotected KBAs and other regions that need protection. A fuller assessment of trade-offs between conservation and other values will be necessary to make good decisions for each project and site being developed, including potentially modifying parts of the route to minimize impacts. Modification or foregoing of infrastructure may be needed if stakeholders consider the conservation costs too high.</t>
  </si>
  <si>
    <t>[Hughes, Alice C.] Chinese Acad Sci, Xishuangbanna Trop Bot Garden, Ctr Integrat Conservat, Landscape Ecol Grp, Mengla 666303, Yunnan, Peoples R China</t>
  </si>
  <si>
    <t>Chinese Academy of Sciences; Xishuangbanna Tropical Botanical Garden, CAS</t>
  </si>
  <si>
    <t>Hughes, AC (corresponding author), Chinese Acad Sci, Xishuangbanna Trop Bot Garden, Ctr Integrat Conservat, Landscape Ecol Grp, Mengla 666303, Yunnan, Peoples R China.</t>
  </si>
  <si>
    <t>achughes@xtbg.ac.cn</t>
  </si>
  <si>
    <t>hughes, Alice/HCH-3838-2022</t>
  </si>
  <si>
    <t>hughes, Alice/0000-0002-4899-3158</t>
  </si>
  <si>
    <t>NSFC [Y4ZK111B01, Y5ZK121B01, Y7GJ021B01, Y8XD021B01]; CAS [XDA20050202]</t>
  </si>
  <si>
    <t>NSFC(National Natural Science Foundation of China (NSFC)); CAS(Chinese Academy of Sciences)</t>
  </si>
  <si>
    <t>I acknowledge financial support of NSFC grants Y4ZK111B01, Y5ZK121B01, Y7GJ021B01, and Y8XD021B01 and CAS Grant XDA20050202, without which the data to complete this analysis would not have been collated. I also especially thank M. C. Orr for support, useful discussions, and especially invaluable help in editing.</t>
  </si>
  <si>
    <t>10.1111/cobi.13317</t>
  </si>
  <si>
    <t>IH7FF</t>
  </si>
  <si>
    <t>hybrid</t>
  </si>
  <si>
    <t>WOS:000474668700018</t>
  </si>
  <si>
    <t>Stock, A; Crowder, LB; Halpern, BS; Micheli, F</t>
  </si>
  <si>
    <t>Stock, Andy; Crowder, Larry B.; Halpern, Benjamin S.; Micheli, Fiorenza</t>
  </si>
  <si>
    <t>cumulative effects; mapping; marine; multiple stressors; sensitivity analysis; uncertainty</t>
  </si>
  <si>
    <t>ECOSYSTEMS; MANAGEMENT; STRESSORS</t>
  </si>
  <si>
    <t>Increasing anthropogenic pressure on marine ecosystems from fishing, pollution, climate change, and other sources is a big concern in marine conservation. Scientists have thus developed spatial models to map cumulative human impacts on marine ecosystems. However, these models are based on many assumptions and incorporate data that suffer from substantial incompleteness and inaccuracies. Rather than using a single model, we used Monte Carlo simulations to identify which parts of the oceans are subject to the most and least impact from anthropogenic stressors under 7 simulated sources of uncertainty (factors: e.g., missing stressor data and assuming linear ecosystem responses to stress). Most maps agreed that high-impact areas were located in the Northeast Atlantic, the eastern Mediterranean, the Caribbean, the continental shelf off northern West Africa, offshore parts of the tropical Atlantic, the Indian Ocean east of Madagascar, parts of East and Southeast Asia, parts of the northwestern Pacific, and many coastal waters. Large low-impact areas were located off Antarctica, in the central Pacific, and in the southern Atlantic. Uncertainty in the broad-scale spatial distribution of modeled human impact was caused by the aggregate effects of several factors, rather than being attributable to a single dominant source. In spite of the identified uncertainty in human-impact maps, they can-at broad spatial scales and in combination with other environmental and socioeconomic information-point to priority areas for research and management.</t>
  </si>
  <si>
    <t>[Stock, Andy] Stanford Univ, Emmett Interdisciplinary Program Environm &amp; Resou, Stanford, CA 94305 USA; [Crowder, Larry B.; Micheli, Fiorenza] Stanford Univ, Hopkins Marine Stn, Pacific Grove, CA 93950 USA; [Crowder, Larry B.; Micheli, Fiorenza] Stanford Ctr Ocean Solut, Monterey, CA 93940 USA; [Crowder, Larry B.; Micheli, Fiorenza] Stanford Univ, Stanford Woods Inst Environm, Stanford, CA 94305 USA; [Halpern, Benjamin S.] Univ Calif Santa Barbara, Bren Sch Environm Sci &amp; Management, Santa Barbara, CA 93106 USA; [Halpern, Benjamin S.] Univ Calif Santa Barbara, Natl Ctr Ecol Anal &amp; Synth, Santa Barbara, CA 93101 USA; [Halpern, Benjamin S.] Imperial Coll London, Dept Life Sci, Silwood Pk Campus, Ascot SL5 7PY, Berks, England; [Stock, Andy] Lamont Doherty Earth Observ, Marine Biol, 61 Rt 9W, Palisades, NY 10964 USA</t>
  </si>
  <si>
    <t>Stanford University; Stanford University; Stanford University; University of California System; University of California Santa Barbara; University of California System; University of California Santa Barbara; Imperial College London; Columbia University</t>
  </si>
  <si>
    <t>Stock, A (corresponding author), Stanford Univ, Emmett Interdisciplinary Program Environm &amp; Resou, Stanford, CA 94305 USA.;Stock, A (corresponding author), Lamont Doherty Earth Observ, Marine Biol, 61 Rt 9W, Palisades, NY 10964 USA.</t>
  </si>
  <si>
    <t>astock@ldeo.columbia.edu</t>
  </si>
  <si>
    <t>; Halpern, Benjamin/J-6141-2014</t>
  </si>
  <si>
    <t>Micheli, Fiorenza/0000-0002-6865-1438; Stock, Andy/0000-0003-2848-1961;</t>
  </si>
  <si>
    <t>Goldman Graduate Fellowship from the Stanford Woods Institute for the Environment; Gordon and Betty Moore Foundation; Stanford Center for Ocean Solutions; US NSF-CNH program [DEB-1212124, OCE-1736830]</t>
  </si>
  <si>
    <t>Goldman Graduate Fellowship from the Stanford Woods Institute for the Environment; Gordon and Betty Moore Foundation(Gordon &amp; Betty Moore Foundation); Stanford Center for Ocean Solutions; US NSF-CNH program</t>
  </si>
  <si>
    <t>A.S. was funded by a Goldman Graduate Fellowship from the Stanford Woods Institute for the Environment. L.B.C. and B.S.H. acknowledge support from the Gordon and Betty Moore Foundation. L.B.C. was also supported by the Stanford Center for Ocean Solutions. F.M. acknowledges the support of the US NSF-CNH program (grants DEB-1212124 and OCE-1736830).</t>
  </si>
  <si>
    <t>10.1111/cobi.13141</t>
  </si>
  <si>
    <t>GZ9XT</t>
  </si>
  <si>
    <t>WOS:000449856900014</t>
  </si>
  <si>
    <t>Becker, CG; Zamudio, KR</t>
  </si>
  <si>
    <t>Becker, C. Guilherme; Zamudio, Kelly R.</t>
  </si>
  <si>
    <t>chytridiomycosis; species diversity; anurans; Neotropics; pathogen</t>
  </si>
  <si>
    <t>BATRACHOCHYTRIUM-DENDROBATIDIS INFECTION; EPIDEMIC DISEASE; GLOBAL DECLINE; FOREST; CLIMATE; CHYTRIDIOMYCOSIS; FRAGMENTATION; PATHOGEN; BIODIVERSITY; TEMPERATURE</t>
  </si>
  <si>
    <t>Habitat loss and disease are main drivers of global amphibian declines, yet the interaction between them remains largely unexplored. Here we show that paradoxically, habitat loss is negatively associated with occurrence, prevalence, and infection intensity of the chytrid fungus Batrachochytrium dendrobatidis (Bd) in amphibian populations in the tropics. At a large spatial scale, increased habitat loss predicted lower disease risk in amphibian populations across Costa Rica and eastern Australia, even after jointly considering the effect of potential biotic and abiotic correlates. Lower host-species richness and suboptimal microclimates for Bd in disturbed habitats are potential mechanisms underlying this pattern. Furthermore, we found that anthropogenic deforestation practices biased to lowlands and natural vegetation remaining in inaccessible highlands explain increased Bd occurrence at higher elevations. At a smaller spatial scale, holding constant elevation, latitude, and macroclimate, we also found a negative relationship between habitat loss, and both Bd prevalence and infection intensity in frog populations in two landscapes of the Brazilian Atlantic Forest. Our results indicate that amphibians will be disproportionately affected by emerging diseases in pristine environments, and that, paradoxically, disturbed habitats may act as shelters from disease, but only for the very few species that can tolerate deforestation. Thus, tropical amphibian faunas are threatened both by destruction of natural habitats as well as increased disease in pristine forests. To curb further extinctions and develop effective mitigation and restoration programs we must look to interactions between habitat loss and disease, the two main factors at the root of global amphibian declines.</t>
  </si>
  <si>
    <t>[Becker, C. Guilherme; Zamudio, Kelly R.] Cornell Univ, Dept Ecol &amp; Evolutionary Biol, Ithaca, NY 14850 USA</t>
  </si>
  <si>
    <t>Cornell University</t>
  </si>
  <si>
    <t>Becker, CG (corresponding author), Cornell Univ, Dept Ecol &amp; Evolutionary Biol, Ithaca, NY 14850 USA.</t>
  </si>
  <si>
    <t>cgb58@cornell.edu</t>
  </si>
  <si>
    <t>Zamudio, Kelly/R-3533-2016; Becker, C./B-9887-2014</t>
  </si>
  <si>
    <t>Zamudio, Kelly/0000-0001-5107-6206;</t>
  </si>
  <si>
    <t>American Philosophical Society; Sigma Xi; Andrew Mellon Foundation; Department of Ecology and Evolutionary Biology at Cornell University; Mario Einaudi Center for International Studies; Coordenacao de Aperfeicoamento de Pessoal de Nivel Superior-Fulbright [2157-08]; National Science Foundation [DEB-0542848]; Direct For Biological Sciences; Division Of Environmental Biology [0815315] Funding Source: National Science Foundation</t>
  </si>
  <si>
    <t>American Philosophical Society; Sigma Xi; Andrew Mellon Foundation; Department of Ecology and Evolutionary Biology at Cornell University; Mario Einaudi Center for International Studies; Coordenacao de Aperfeicoamento de Pessoal de Nivel Superior-Fulbright; National Science Foundation(National Science Foundation (NSF)); Direct For Biological Sciences; Division Of Environmental Biology(National Science Foundation (NSF)NSF - Directorate for Biological Sciences (BIO))</t>
  </si>
  <si>
    <t>We thank M. F. K. Becker, H. W. Greene, C. F. B. Haddad, K. R. Lips, A. V. Longo, J. Rohr, K. Wagner, K.R.Z. laboratory members, and one anonymous reviewer for feedback on the manuscript; A. V. Longo for help with qPCRs; C. F. B. Haddad for field planning and sampling design; F. Adams and N. Alves for field support; and S. Sadigov and F. Vermeylen for statistical assistance. Research permits were provided by Instituto Chico Mendes-Instituto Brasileiro do Meio Ambiente e dos Recursos Naturais Renovaveis/Brazil (Permit 20621-1 and 21.125-1), Instituto Florestal do Estado de Sao Paulo (Permit 260108-009.662), and the Cornell University Institutional Animal Care and Use Committee. Our work was funded by grants from the American Philosophical Society, Sigma Xi, Andrew Mellon Foundation, Department of Ecology and Evolutionary Biology at Cornell University, Mario Einaudi Center for International Studies, and Coordenacao de Aperfeicoamento de Pessoal de Nivel Superior-Fulbright (Grant 2157-08) (to C. G. B.) and National Science Foundation Grant DEB-0542848 (to K.R.Z.).</t>
  </si>
  <si>
    <t>1091-6490</t>
  </si>
  <si>
    <t>JUN 14</t>
  </si>
  <si>
    <t>10.1073/pnas.1014497108</t>
  </si>
  <si>
    <t>777DD</t>
  </si>
  <si>
    <t>Green Submitted</t>
  </si>
  <si>
    <t>WOS:000291594000035</t>
  </si>
  <si>
    <t>van Zonneveld, M; Thomas, E; Castañeda-Alvarez, NP; Van Damme, V; Alcazar, C; Loo, J; Scheldeman, X</t>
  </si>
  <si>
    <t>van Zonneveld, Maarten; Thomas, Evert; Castaneda-Alvarez, Nora P.; Van Damme, Veerle; Alcazar, Carolina; Loo, Judy; Scheldeman, Xavier</t>
  </si>
  <si>
    <t>DIVERSITY AND DISTRIBUTIONS</t>
  </si>
  <si>
    <t>climate change; ecogeography; evolutionary significant units; intraspecific diversity; reserve selection; risk assessment; Latin America; circa situm conservation; in situ conservation</t>
  </si>
  <si>
    <t>BIODIVERSITY; DIVERSITY; FOREST; UNITS</t>
  </si>
  <si>
    <t>Background: Humans threat the populations of tree species by overexploitation, deforestation, land use change, and climate change. We present a novel threat assessment at intraspecific level to support the conservation of genetic resources of 80 socioeconomically viable tree species in South America. In this assessment, we evaluate the threat status of Ecogeographic Range Segments (ERSs). ERSs are groups of populations of a specific species in a certain ecological zone of a particular grid cell of a species' geographic occupancy. Methods: We used species location records to determine the species distributions and species-specific ERSs. We distinguished eight threat situations to assess the risk of extirpation of the ERSs of all 80 species. These threat situations were determined by large or little tree cover, low or high human pressure, and low or high climate change impact. Available layers of tree cover and threats were used to determine the levels of fragmentation and direct human pressure. Maxent niche modelling with two Global Circulation Models helped determining climate change impact by the 2050s. Results: When all 80 species are considered, in total, 59% of the ERSs are threatened by little tree cover or high human pressure. When climate change is also considered, then 71-73% of the ERSs are threatened. When an increased risk of extirpation of populations outside protected areas is considered, then 84-86% of the ERSs are threatened. Seven species warrant special attention because all their ERSs are threatened across their whole distribution in South America: Balfourondendron riedelianum, Cariniana legalis, Dalbergia nigra, Handroanthus pulcherrimus, Pachira quintana, Prosopis flexuosa, and Prosopis pallida. Conclusions: Our results confirm the urgency to set up a regional action plan for the conservation of tree genetic resources in South America. With this threat assessment, we aim to support governments and organizations who are taking up this task.</t>
  </si>
  <si>
    <t>[van Zonneveld, Maarten] Biovers Int, Costa Rica Off, Turrialba, Costa Rica; [van Zonneveld, Maarten] World Vegetable Ctr, Shanhua, Taiwan; [Thomas, Evert; Castaneda-Alvarez, Nora P.; Van Damme, Veerle; Alcazar, Carolina; Scheldeman, Xavier] Biovers Int, Reg Off Amer, Lima, Peru; [Castaneda-Alvarez, Nora P.] Crop Trust, Bonn, Germany; [Loo, Judy] Biovers Int, Rome, Italy</t>
  </si>
  <si>
    <t>Alliance; Bioversity International; Alliance; Bioversity International; Alliance; Bioversity International</t>
  </si>
  <si>
    <t>van Zonneveld, M (corresponding author), World Vegetable Ctr, Shanhua, Taiwan.</t>
  </si>
  <si>
    <t>maarten.vanzonneveld@worldveg.org</t>
  </si>
  <si>
    <t>; Scheldeman, Xavier/AAF-7960-2021; Álvarez, Nora/I-8026-2015</t>
  </si>
  <si>
    <t>Scheldeman, Xavier/0000-0001-7967-7361;</t>
  </si>
  <si>
    <t>CGIAR Forest, Trees and Agroforestry (FTA) Research Program; INIA-Spain</t>
  </si>
  <si>
    <t>CGIAR Forest, Trees and Agroforestry (FTA) Research Program(CGIAR); INIA-Spain(Instituto de Investigacion Agropecuaria (INIA))</t>
  </si>
  <si>
    <t>We thank Kaue de Sousa and Jesus Salcedo from Bioversity International for support in data collection. We thank Andy Jarvis from CIAT for sharing the threat maps. We thank all LAFORGEN members who shared occurrence data of the prioritized tree species. This work is supported by the CGIAR Forest, Trees and Agroforestry (FTA) Research Program and by the INIA-Spain financed project 'Strengthening Regional Collaboration in Conservation and Sustainable Use of Forest Genetic Resources in Latin America and Sub-Saharan Africa'.</t>
  </si>
  <si>
    <t>1366-9516</t>
  </si>
  <si>
    <t>1472-4642</t>
  </si>
  <si>
    <t>DIVERS DISTRIB</t>
  </si>
  <si>
    <t>Divers. Distrib.</t>
  </si>
  <si>
    <t>10.1111/ddi.12724</t>
  </si>
  <si>
    <t>GH6RG</t>
  </si>
  <si>
    <t>WOS:000433571100001</t>
  </si>
  <si>
    <t>Laneri, K; Louzao, M; Martínez-Abraín, A; Arcos, JM; Belda, EJ; Guallart, J; Sánchez, A; Giménez, M; Maestre, R; Oro, D</t>
  </si>
  <si>
    <t>Laneri, K.; Louzao, M.; Martinez-Abrain, A.; Arcos, J. M.; Belda, E. J.; Guallart, J.; Sanchez, A.; Gimenez, M.; Maestre, R.; Oro, D.</t>
  </si>
  <si>
    <t>Trawling regime influences longline seabird bycatch in the Mediterranean: new insights from a small-scale fishery</t>
  </si>
  <si>
    <t>MARINE ECOLOGY PROGRESS SERIES</t>
  </si>
  <si>
    <t>Small-scale fishery; Interactions between fisheries; Multi-fisheries management; Trawling inactivity; Cory's shearwater; Mitigation measures; Western Mediterranean</t>
  </si>
  <si>
    <t>BALEARIC SHEARWATER; POPULATION-DYNAMICS; GILLNET FISHERIES; FOOD AVAILABILITY; EBRO DELTA; BY-CATCH; MORTALITY; SEA; CONSERVATION; ALBATROSSES</t>
  </si>
  <si>
    <t>Unintended mortality in longlines emerged in the early 1990s as one of the most important threats for pelagic seabirds worldwide. Most of the studies were focused on highly developed industrial fisheries, overlooking bycatch in small-scale artisanal fisheries. However, bycatch in smallscale fisheries might have negative effects similar to those of industrial fisheries when they overlap with hotspot areas of top predators. Moreover, different types of fishing gear coexist in the same oceanographic area, particularly in highly exploited marine ecosystems such as the western Mediterranean. We quantify for the first time the influence of trawling regime on Cory's shearwater Calonectris diomedea bycatch in the western Mediterranean longline artisanal fishery. The availability of trawling discards has substantial influence on the foraging and breeding ecology of many seabirds, and trawling inactivity may drive shearwaters to seek alternative food resources, such as baits used in longline fishing. Based on our previous knowledge of the system, we also tested other variables affecting bycatch over 8 yr (1998 to 2005). Within this 2-fishery framework, we found that trawling regime, longline fishing time and breeding stage were key factors explaining shearwater attendance to longline vessels, but mainly trawling regime and fishing time increased the incidental capture of Cory's shearwaters. More specifically, during the pre-breeding and chick-rearing periods, bycatch dramatically increased during sunrise sets in the absence of trawling activity. Importantly, this study indicates the need for an integrated multi-fisheries management approach for the conservation of seabirds and highlights the necessity of banning longline fishing during periods of trawling inactivity.</t>
  </si>
  <si>
    <t>[Louzao, M.] Univ Oviedo, Dept Biol Organismos &amp; Sistemas, E-33071 Oviedo, Spain; [Arcos, J. M.; Sanchez, A.; Gimenez, M.; Maestre, R.] SEO BirdLife, Barcelona 08026, Spain; [Belda, E. J.] Univ Politecn Valencia, Inst Invest Gest Integrada Zonas Costeras, Valencia 46730, Spain; [Guallart, J.] Univ Valencia, Dept Zool, Biol Marine Lab, E-46100 Valencia, Spain; [Maestre, R.] Inst Ecol Litoral, Alicante 03560, Spain; [Laneri, K.; Louzao, M.; Martinez-Abrain, A.; Oro, D.] IMEDEA CSIC UIB, Esporles 07190, Mallorca, Spain</t>
  </si>
  <si>
    <t>University of Oviedo; Universitat Politecnica de Valencia; University of Valencia; Consejo Superior de Investigaciones Cientificas (CSIC); ATTITUS Educacao; Universitat de les Illes Balears</t>
  </si>
  <si>
    <t>Laneri, K (corresponding author), Fundacio Inst Catala Ciencies Clima IC3, Doctor Trueta 203, Barcelona 08005, Catalonia, Spain.</t>
  </si>
  <si>
    <t>karinalaneri@gmail.com; maite.louzao@ufz.de</t>
  </si>
  <si>
    <t>Belda Pérez, Eduardo Jorge/A-6684-2013; Oro, Daniel/H-4208-2012; Martínez-Abraín, Alejano/G-4522-2016; Arcos, José Manuel/GRJ-0631-2022; Guallart, Javier/HKF-6991-2023; Belda, Eduardo/A-6684-2013; Louzao, Maite/N-5379-2014</t>
  </si>
  <si>
    <t>Belda Pérez, Eduardo Jorge/0000-0003-1995-1271; Oro, Daniel/0000-0003-4782-3007; Martínez-Abraín, Alejano/0000-0001-8009-4331; Laneri, Karina/0000-0001-8536-4695; Arcos, José Manuel/0000-0001-7486-4475; Guallart, Javier/0000-0002-7947-4502; Louzao, Maite/0000-0002-9997-5144</t>
  </si>
  <si>
    <t>Secretaria General de Pesca Maritima (Spanish Ministry of Agriculture and Fishing); Conselleria de Medio Ambiente (Generalitat Valenciana); Govern de les Illes Balears; European Commission; Spanish Ministries of Education and Science [BOS2003-01960, CGL2006-04325/BOS, REN2002-00450, SB2005-0060, MEC-06-CTM2006-05588]; Balearic Government; Marie Curie Individual Fellowship [PIEF-GA-2008-220063]; SEO/BirdLife; [024A/2002]</t>
  </si>
  <si>
    <t>Secretaria General de Pesca Maritima (Spanish Ministry of Agriculture and Fishing); Conselleria de Medio Ambiente (Generalitat Valenciana)(Center for Forestry Research &amp; Experimentation (CIEF)); Govern de les Illes Balears; European Commission(European Union (EU)European Commission Joint Research Centre); Spanish Ministries of Education and Science(Spanish Government); Balearic Government; Marie Curie Individual Fellowship(European Union (EU)); SEO/BirdLife;</t>
  </si>
  <si>
    <t>This work would not have been possible without the help of several skippers from the Comunidad Valenciana and Islas Baleares. We are especially grateful to G. Tavecchia, M. Genovart, S. Garcia-Barcelona and J. S. Aguilar for fruitful discussions, as well as to X. Duran and L. Jover for their valuable statistical advice. We also thank V. Tena and all other Columbretes I. wardens for their suggestions regarding fisheries interaction. Funds were provided by SEO/BirdLife, Secretaria General de Pesca Maritima (Spanish Ministry of Agriculture and Fishing), Conselleria de Medio Ambiente (Generalitat Valenciana), Govern de les Illes Balears, DISCBIRD and LIFE projects (European Commission) and the Spanish Ministries of Education and Science (ref. BOS2003-01960, CGL2006-04325/BOS and REN2002-00450) and of the Environment (ref. 024A/2002). K. L. was supported by a post-doctoral fellowship from the Spanish Ministry of Education and Science (MEC: SB2005-0060). M. L. was supported by a predoctoral fellowship from the Balearic Government and 2 postdoctoral individual fellowships funded by the Spanish Ministry of Education and Science (ref. MEC-06-CTM2006-05588) and the Marie Curie Individual Fellowship (PIEF-GA-2008-220063). We also thank 4 anonymous referees for their constructive comments.</t>
  </si>
  <si>
    <t>0171-8630</t>
  </si>
  <si>
    <t>1616-1599</t>
  </si>
  <si>
    <t>MAR ECOL PROG SER</t>
  </si>
  <si>
    <t>Mar. Ecol.-Prog. Ser.</t>
  </si>
  <si>
    <t>U599</t>
  </si>
  <si>
    <t>10.3354/meps08847</t>
  </si>
  <si>
    <t>Ecology; Marine &amp; Freshwater Biology; Oceanography</t>
  </si>
  <si>
    <t>Environmental Sciences &amp; Ecology; Marine &amp; Freshwater Biology; Oceanography</t>
  </si>
  <si>
    <t>696CK</t>
  </si>
  <si>
    <t>WOS:000285419300020</t>
  </si>
  <si>
    <t>Mazor, TK; Pitcher, CR; Ellis, N; Rochester, W; Jennings, S; Hiddink, JG; McConnaughey, RA; Kaiser, MJ; Parma, AM; Suuronen, P; Kangas, M; Hilborn, R</t>
  </si>
  <si>
    <t>Mazor, Tessa K.; Pitcher, C. Roland; Ellis, Nick; Rochester, Wayne; Jennings, Simon; Hiddink, Jan Geert; McConnaughey, Robert A.; Kaiser, Michel J.; Parma, Ana M.; Suuronen, Petri; Kangas, Mervi; Hilborn, Ray</t>
  </si>
  <si>
    <t>Australian benthic fauna; benthic invertebrates; fisheries management; fishery closures; marine conservation; marine reserves; species distribution modelling; trawl fisheries</t>
  </si>
  <si>
    <t>GREAT-BARRIER-REEF; SPECIES RICHNESS; DISTURBANCE; MANAGEMENT; FISHERIES; CONSERVATION; OBJECTIVES; COMMUNITY; ABUNDANCE; HABITATS</t>
  </si>
  <si>
    <t>AimTrawling is the most widespread direct human disturbance on the seabed. Knowledge of the extent and consequences of this disturbance is limited because large-scale distributions of seabed fauna are not well known. We map faunal distributions in the Australian Exclusive Economic Zone (EEZ) and quantify the proportion of their abundance that occurs in areas 1) that are directly trawled and 2) where legislation permanently prohibits trawlingdefined as percentage exposure or protection, respectively. Our approach includes developing a method that integrates data from disparate seabed surveys to spatially expand predicted benthos distributions. LocationAustralia. MethodsWe collate data from 18 seabed surveys to map the distribution of seabed invertebrates (benthos) in nine regions. Our approach combines data from multiple surveys, groups taxa within taxonomic classes and uses Random Forests to predict spatial abundance distributions of benthos groups from environmental variables. Exposure and protection of benthos groups were quantified by mapping their predicted abundance distributions against the footprint of trawling and legislated boundaries of marine reserves and fishery closures. ResultsTrawling is currently prohibited from more area of Australia's EEZ (58%) than is trawled (&lt;5%). Across 134 benthos groups, 96% had greater protection of abundance than exposure. The mean trawl exposure of benthos-group abundance was 7%, compared to mean protection of 38%, whereas the mean abundance neither trawled nor protected was 55%. Fishery closures covered 19% less study area than marine reserves, but overlapped with a higher proportion (5% more) of benthos-group abundance. Main ConclusionsThis study provides the most extensive quantitative assessment of the current exposure of Australia's benthos to trawling. Further, it highlights the contribution of fishery closures to marine conservation. These results help identify regions and taxa that are at greatest potential risk from trawling and support managers to achieve balance between conservation and sustainable industries in marine ecosystems.</t>
  </si>
  <si>
    <t>[Mazor, Tessa K.; Pitcher, C. Roland; Ellis, Nick; Rochester, Wayne] CSIRO Oceans &amp; Atmosphere, Brisbane, Qld, Australia; [Jennings, Simon] Ctr Environm Fisheries &amp; Aquaculture Sci, Lowestoft, Suffolk, England; [Jennings, Simon] Univ East Anglia, Sch Environm Sci, Norwich, Norfolk, England; [Hiddink, Jan Geert; Kaiser, Michel J.] Bangor Univ, Sch Ocean Sci, Menai Bridge, Gwynedd, Wales; [McConnaughey, Robert A.] NOAA, Alaska Fisheries Sci Ctr, Seattle, WA USA; [Parma, Ana M.] Ctr Nacl Patagon, Puerto Madryn, Chubut, Argentina; [Suuronen, Petri] FAO Fisheries &amp; Aquaculture Dept, Rome, Italy; [Kangas, Mervi] Dept Fisheries, Perth, WA, Australia; [Hilborn, Ray] Univ Washington, Seattle, WA 98195 USA</t>
  </si>
  <si>
    <t>Commonwealth Scientific &amp; Industrial Research Organisation (CSIRO); Centre for Environment Fisheries &amp; Aquaculture Science; University of East Anglia; Bangor University; National Oceanic Atmospheric Admin (NOAA) - USA; Centro Nacional Patagonico (CENPAT); Food &amp; Agriculture Organization of the United Nations (FAO); University of Washington; University of Washington Seattle</t>
  </si>
  <si>
    <t>Mazor, TK (corresponding author), CSIRO Oceans &amp; Atmosphere Flagship, Dutton Pk, Qld, Australia.</t>
  </si>
  <si>
    <t>tessa.mazor@csiro.au</t>
  </si>
  <si>
    <t>Hiddink, Jan Geert/C-1238-2009; Jennings, Simon/F-5085-2012; Rochester, Wayne/K-1569-2018; Kaiser, Michel Josef/M-8543-2013; Mazor, Tessa/G-2017-2012</t>
  </si>
  <si>
    <t>Hiddink, Jan Geert/0000-0001-7114-830X; Jennings, Simon/0000-0002-2390-7225; Rochester, Wayne/0000-0002-7315-9341; Kaiser, Michel Josef/0000-0001-8782-3621; Mazor, Tessa/0000-0001-7307-5693</t>
  </si>
  <si>
    <t>CSIRO Post-Doctoral Fellowship</t>
  </si>
  <si>
    <t>CSIRO Post-Doctoral Fellowship(Commonwealth Scientific &amp; Industrial Research Organisation (CSIRO)CSIRO Data61)</t>
  </si>
  <si>
    <t>10.1111/ddi.12622</t>
  </si>
  <si>
    <t>FK5NI</t>
  </si>
  <si>
    <t>WOS:000413545900006</t>
  </si>
  <si>
    <t>Bonesi, L; Rushton, SP; Macdonald, DW</t>
  </si>
  <si>
    <t>Bonesi, Laura; Rushton, Steve P.; Macdonald, David W.</t>
  </si>
  <si>
    <t>predator control; invasive alien species; dispersal; American mink; water vole; eradication</t>
  </si>
  <si>
    <t>MUSTELA-VISON; AMERICAN MINK; ARVICOLA-TERRESTRIS; POPULATION VIABILITY; SMALL ISLANDS; PREDATION; REMOVAL; DECLINE; ERADICATION; DISPERSAL</t>
  </si>
  <si>
    <t>Introduced alien species are the second most important threat to global biodiversity after habitat loss. The American mink Mustela vison has been introduced to several countries and is threatening a number of native species worldwide. We developed a spatially explicit and individual based model as a planning tool to identify key criteria for the implementation of trapping campaigns as a way to control open American mink populations. We first predicted the minimum effort required to reduce populations of mink below a certain threshold and the best time of year in which to trap mink to minimise their numbers. We then employed this methodology to predict the best trapping strategy to ensure the long-term survival of the water vole Arvicola terrestris, one of the species most endangered by the spread of the mink in the UK. We also applied the mink and water vole population models to rationalise a set of observed data in an area of 50 x 30 km in the Upper Thames (UK). The model predicted that it is necessary to remove mink for at least 3 months every year and that a mixed strategy of trapping during the mating, late dispersal and winter seasons is best for keeping mink at low densities. Concentrating trapping during the late dispersal and winter seasons is instead best for ensuring the long-term survival of water voles. Targeting immigrating juvenile mink as well as reproductive adults is important. The model also showed that trapping efficiency might be an important factor to consider when choosing periods in which to trap. (c) 2007 Elsevier Ltd. All rights reserved.</t>
  </si>
  <si>
    <t>Newcastle Univ, Sch Biol, Ctr Life Sci Modelling, Newcastle Upon Tyne NE1 7RU, Tyne &amp; Wear, England; Univ Oxford, Wildlife Conservat Res Unit, Abingdon OX13 5QL, Oxon, England</t>
  </si>
  <si>
    <t>Newcastle University - UK; University of Oxford</t>
  </si>
  <si>
    <t>Bonesi, L (corresponding author), Univ Trieste, Dept Biol, Via Weiss 2, I-34127 Trieste, Italy.</t>
  </si>
  <si>
    <t>laura.bonesi@zoo.ox.ac.uk; steven.rushton@ncl.ac.uk; david.macdonald@zoo.ox.ac.uk</t>
  </si>
  <si>
    <t>Bonesi, Laura/0000-0003-3351-3892</t>
  </si>
  <si>
    <t>10.1016/j.biocon.2007.01.008</t>
  </si>
  <si>
    <t>178OA</t>
  </si>
  <si>
    <t>WOS:000247228800014</t>
  </si>
  <si>
    <t>Iglesias-Merchan, C; Diaz-Balteiro, L; Soliño, M</t>
  </si>
  <si>
    <t>Iglesias-Merchan, Carlos; Diaz-Balteiro, Luis; Solino, Mario</t>
  </si>
  <si>
    <t>TRANSPORTATION RESEARCH PART D-TRANSPORT AND ENVIRONMENT</t>
  </si>
  <si>
    <t>Airport; Fragstats; Acoustic fragmentation; Natura 2000; Noise mapping; Soundscape ecology</t>
  </si>
  <si>
    <t>LANDSCAPE FRAGMENTATION; PROTECTED AREAS; UNITED-STATES; ECONOMIC VALUATION; SOUNDSCAPE; DIVERSITY; ECOLOGY; CONSERVATION; BIODIVERSITY; DISTURBANCE</t>
  </si>
  <si>
    <t>Global transportation growth causes several disproportionate impacts on the environment as, for instance, noise pollution which is related to negative effects on human health but also to quiet natural areas decline and biodiversity loss. Besides, sound is a component of ecosystems severely threatened by transportation noise disturbance which is related to negative effects on ecosystem functions. This study deals with aircraft noise impact on natural environments from a multiple innovative perspective. It complementarily combines: noise modeling, field measurements, soundscape audibility, human perception and spatial pattern tools for assessing the chronic growing outdoor noise pollution of ecosystems at landscape scale. Firstly, noticeable soundscape degradation from aircraft overflights has been found causing severe acoustic fragmentation and disruptions in the quietness of a national park in Spain (European Union). Air traffic caused sound pressure levels to increase by approximately 8 decibels from natural ambient levels. Secondly, spatial pattern tools together with noise mapping have been found to be useful in providing decision support for decisions-making through anthropogenic noise impact assessment on the natural environment. Finally, public opinion did not perceive aircraft noise-disruption as being as relevant as that quantified by technical procedures. Although 82% of visitors agree that anthropogenic noise pollution may negatively impact on conservation. (C) 2015 Elsevier Ltd. All rights reserved.</t>
  </si>
  <si>
    <t>[Iglesias-Merchan, Carlos] Tech Univ Madrid, Projects &amp; Rural Planning Dept, Madrid 28040, Spain; [Iglesias-Merchan, Carlos] CENERIC Res Ctr, Tres Cantos 28760, Spain; [Diaz-Balteiro, Luis] Tech Univ Madrid, Res Grp Econ Sustainable Environm, Madrid 28040, Spain; [Solino, Mario] Natl Inst Agr &amp; Food Res &amp; Technol INIA, Forest Res Ctr CIFOR, Madrid 28040, Spain; [Solino, Mario] Univ Valladolid, Sustainable Forest Management Res Inst, Palencia 34004, Spain; [Solino, Mario] INIA, Palencia 34004, Spain</t>
  </si>
  <si>
    <t>Universidad Politecnica de Madrid; Universidad Politecnica de Madrid; Instituto Nacional Investigacion Tecnologia Agraria Alimentaria (INIA); Universidad de Valladolid; Universidad de Valladolid</t>
  </si>
  <si>
    <t>Iglesias-Merchan, C (corresponding author), Tech Univ Madrid, Projects &amp; Rural Planning Dept, C Ramiro de Maeztu S-N, Madrid 28040, Spain.</t>
  </si>
  <si>
    <t>carlos.iglesias@upm.es; luis.diaz.balteiro@upm.es; solino.mario@inia.es</t>
  </si>
  <si>
    <t>Soliño, Mario/A-5648-2012; Diaz-Balteiro, Luis/B-7169-2009; Iglesias-Merchan, Carlos/O-9217-2016</t>
  </si>
  <si>
    <t>Soliño, Mario/0000-0001-7065-7348; Diaz-Balteiro, Luis/0000-0002-4435-2740; Iglesias-Merchan, Carlos/0000-0002-5622-2708</t>
  </si>
  <si>
    <t>Regional Government of Madrid; Spanish Ministry of Education and Science [AGL2011-25825]; Government of the Madrid Autonomous Region</t>
  </si>
  <si>
    <t>Regional Government of Madrid; Spanish Ministry of Education and Science(Spanish Government); Government of the Madrid Autonomous Region</t>
  </si>
  <si>
    <t>Permission to do noise environmental research in the former Penalara Natural Park (PNP), currently included in Sierra of Guadarrama National Park (since Summer 2013), was granted by the Regional Government of Madrid for three consecutive years. Special thanks and acknowledgements to the entire staff of the Natural Park for carrying out the visitor surveys under the supervision of Juan Vielva (PNP Director), Luis Navalon (PNP Research and Management Center) and Ana Diaz-Guerra (PNP Visitor's Center). Thanks are given to Kenneth Plotkin (Wyle labs. EERC) for technical support and also to Diana Badder for editing the English. The work of Luis Diaz-Balteiro was funded by the Spanish Ministry of Education and Science under project AGL2011-25825 and by the Government of the Madrid Autonomous Region. The authors declare that they have no conflict of interest. The funders had no role in study design, data collection and analysis, decision to publish, or preparation of the manuscript.</t>
  </si>
  <si>
    <t>PERGAMON-ELSEVIER SCIENCE LTD</t>
  </si>
  <si>
    <t>THE BOULEVARD, LANGFORD LANE, KIDLINGTON, OXFORD OX5 1GB, ENGLAND</t>
  </si>
  <si>
    <t>1361-9209</t>
  </si>
  <si>
    <t>TRANSPORT RES D-TR E</t>
  </si>
  <si>
    <t>Transport. Res. Part D-Transport. Environ.</t>
  </si>
  <si>
    <t>10.1016/j.trd.2015.09.006</t>
  </si>
  <si>
    <t>Environmental Studies; Transportation; Transportation Science &amp; Technology</t>
  </si>
  <si>
    <t>Environmental Sciences &amp; Ecology; Transportation</t>
  </si>
  <si>
    <t>CY0ET</t>
  </si>
  <si>
    <t>WOS:000366079900001</t>
  </si>
  <si>
    <t>Hyde, JL; Bohlman, SA; Valle, D</t>
  </si>
  <si>
    <t>Hyde, Jacy L.; Bohlman, Stephanie A.; Valle, Denis</t>
  </si>
  <si>
    <t>Transmission lines; Energy; Tropical forests; Environmental Impact Assessment; Deforestation; Hydropower</t>
  </si>
  <si>
    <t>FOREST FRAGMENTATION; POWERLINE CORRIDOR; ROADS; IMPACTS; DEFORESTATION; COMMUNITY; BIRDS; INFRASTRUCTURE; HYDROPOWER; EXPANSION</t>
  </si>
  <si>
    <t>The environmental impacts of energy generation plants, especially those with large dams, have been widely discussed in the Amazon region, but little attention has been paid to the impacts of the associated transmission lines. These impacts are likely to be substantial given the wide geographic extent of the lines and the relatively high forest cover in the traversed areas. Publicly available information about the location and extent of the transmission line network in the Amazon is neither accurate nor current, and its environmental impacts on terrestrial ecosystems have not been assessed on a large scale. This study estimates the scale of the impact of the current and planned transmission and distribution line network using a hand-digitized dataset and the predicted impact area determined from Environmental Impact Assessments. The Legal Amazon region contains 39,625 km of verified transmission and distribution lines, estimated to directly impact 23,467 km(2) of land. We find that the transmission line network directly impacts double the area flooded by hydroelectric reservoirs in the Legal Amazon. Of the direct impact area, 5.1% is within protected areas and 10.3% overlaps with intact forest. By 2026, the transmission line network is estimated to grow by 37% in the Legal Amazon, increasing the direct impact to forests by 70% and to protected lands by 29%. Transmission lines are impacting enough land to be considered a serious conservation threat and should be treated as such in research and environmental planning in the Amazon region.</t>
  </si>
  <si>
    <t>[Hyde, Jacy L.; Bohlman, Stephanie A.; Valle, Denis] Univ Florida, Sch Forest Resources &amp; Conservat, 136 Newins Zeigler Hall, Gainesville, FL 32611 USA</t>
  </si>
  <si>
    <t>State University System of Florida; University of Florida</t>
  </si>
  <si>
    <t>Hyde, JL (corresponding author), 136 Newins Zeigler Hall, Gainesville, FL 32611 USA.</t>
  </si>
  <si>
    <t>jlhyde@ufl.edu; sbohlman@ufl.edu; drvalle@ufl.edu</t>
  </si>
  <si>
    <t>Valle, Denis/B-7650-2012</t>
  </si>
  <si>
    <t>Valle, Denis/0000-0002-9830-8876</t>
  </si>
  <si>
    <t>University of Florida Water Institute; University of Florida Water Institute Graduate Fellows program; NSF [1617413]; Division Of Environmental Biology; Direct For Biological Sciences [1617413] Funding Source: National Science Foundation</t>
  </si>
  <si>
    <t>University of Florida Water Institute(University of Florida); University of Florida Water Institute Graduate Fellows program; NSF(National Science Foundation (NSF)); Division Of Environmental Biology; Direct For Biological Sciences(National Science Foundation (NSF)NSF - Directorate for Biological Sciences (BIO))</t>
  </si>
  <si>
    <t>We would like to thank the University of Florida Water Institute, our colleagues in in the Amazon Dams Network/Rede Barragens Amazonicas (ADN/RBA), the faculty and students affiliated with the 2015 University of Florida Water Institute Graduate Fellows program, and our associates at ANEEL and EPE for their support during this research process. This research was supported in part by the University of Florida Water Institute Graduate Fellows program and by NSF grant #1617413 in the Coupled Natural Human Systems program.</t>
  </si>
  <si>
    <t>10.1016/j.biocon.2018.10.027</t>
  </si>
  <si>
    <t>HD8OA</t>
  </si>
  <si>
    <t>WOS:000452815200037</t>
  </si>
  <si>
    <t>Montevecchi, WA; Hedd, A; Tranquilla, LM; Fifield, DA; Burke, CM; Regular, PM; Davoren, GK; Garthe, S; Robertson, GJ; Phillips, RA</t>
  </si>
  <si>
    <t>Montevecchi, W. A.; Hedd, A.; Tranquilla, L. McFarlane; Fifield, D. A.; Burke, C. M.; Regular, P. M.; Davoren, G. K.; Garthe, S.; Robertson, G. J.; Phillips, R. A.</t>
  </si>
  <si>
    <t>Biodiversity hotspots; Marine Protected Areas; Risk; Seabirds; Tracking</t>
  </si>
  <si>
    <t>COMMON MURRES; FORAGING TACTICS; MIGRATION; CONSERVATION; PREDATOR; SEA; ALBATROSSES; MORTALITY; FISHERIES; LABRADOR</t>
  </si>
  <si>
    <t>Protection of the marine environment lags far behind that of terrestrial domains. To help ameliorate this circumstance, top predators are being tracked to identify important ocean habitats, biodiversity hotspots and high risk areas and to assess effects of anthropogenic developments, pollution and environmental perturbations. We used GPS, Global Location Sensors (GLSs) and satellite platform terminal transmitters (PTTs) to track foraging and migrating thick-billed and common murres and northern gannets along with vessel surveys to identify potential Marine Protected Areas, to assess risk and to evaluate the consequences of the recent Gulf of Mexico oil disaster. Multi-year persistent sites of forage fishes generated multi-species predator aggregations. Species- and colony-specific winter inshore and offshore distributions of murres are associated with risks of climate change (ice), by-catch in fishing gear, hunting and oil extraction. Some thick-billed murres wintered in oceanic areas beyond the continental slope, and an area of high biological diversity was identified west of the Mid-Atlantic Ridge that, owing to its location beyond national jurisdictions, presents unique challenges for protection. Migration research indicated a substantial proportion of the North American gannet population wintering in the Gulf of Mexico near the Deepwater Horizon pollution area. Northern gannets incurred the highest incidence of oiling/recoveries and were the third-most oiled avian species; distributions and exit dates suggest that sub-adult birds suffered much, likely most, of this mortality. Environmental risk is being assessed by tracking combined with stable isotope and blood assays to probe trophic interactions, habitat relationships and to identify and protect biologically significant marine areas. (c) 2012 Elsevier Ltd. All rights reserved.</t>
  </si>
  <si>
    <t>[Montevecchi, W. A.; Hedd, A.; Tranquilla, L. McFarlane; Fifield, D. A.; Burke, C. M.; Regular, P. M.] Mem Univ, Dept Psychol, Cognit &amp; Behav Ecol Program, St John, NF A1C 3X9, Canada; [Davoren, G. K.] Univ Manitoba, Dept Zool, Winnipeg, MB R3T 2N2, Canada; [Garthe, S.] Univ Kiel, Res &amp; Technol Ctr FTZ, Busum, Germany; [Robertson, G. J.] Environm Canada, Sci &amp; Technol Branch, Mt Pearl, NL A1N 4T3, Canada; [Phillips, R. A.] British Antarctic Survey, Nat Environm Res Council, Cambridge CB3 0ET, England</t>
  </si>
  <si>
    <t>Memorial University Newfoundland; University of Manitoba; University of Kiel; Environment &amp; Climate Change Canada; UK Research &amp; Innovation (UKRI); Natural Environment Research Council (NERC); NERC British Antarctic Survey</t>
  </si>
  <si>
    <t>Montevecchi, WA (corresponding author), Mem Univ Newfoundland, Dept Psychol, St John, NF A1B 3X9, Canada.</t>
  </si>
  <si>
    <t>mont@mun.ca; ahedd@mun.ca; 1.mcfarlane.tranquilla@gmail.com; dave@mun.ca; chantelb@mun.ca; b23pmr@mun.ca; davor-eng@cc.umanitoba.ca; garthe@ftz-westuni-kiel.de; Greg.Robertson@ec.gc.ca; raphil@bas.ac.uk</t>
  </si>
  <si>
    <t>Robertson, Greg/AAI-5849-2020; Regular, Paul/AAY-5741-2021</t>
  </si>
  <si>
    <t>Robertson, Greg/0000-0001-8452-5506; Hedd, April/0000-0003-2222-2627;</t>
  </si>
  <si>
    <t>International Polar Year Program; NSERC; Memorial University of Newfoundland; Environment Canada; Wildlife Habitat Canada; Northern Studies Training Program; Natural Environment Research Council [bas0100025] Funding Source: researchfish; NERC [bas0100025] Funding Source: UKRI</t>
  </si>
  <si>
    <t>International Polar Year Program; NSERC(Natural Sciences and Engineering Research Council of Canada (NSERC)); Memorial University of Newfoundland; Environment Canada(CGIAR); Wildlife Habitat Canada; Northern Studies Training Program; Natural Environment Research Council(UK Research &amp; Innovation (UKRI)Natural Environment Research Council (NERC)); NERC(UK Research &amp; Innovation (UKRI)Natural Environment Research Council (NERC))</t>
  </si>
  <si>
    <t>We thank Rob Ronconi, Ben Lascelles, Jim Reid and Gary Langham for organizing and inviting our participation in the symposium at the first World Seabird Conference. We acknowledge Seaturtle.org for use of the STAT tool in the analysis and mapping of satellite tracked murres and gannets and corresponding oceanographic information. Our research has been generously supported by the International Polar Year Program, NSERC, Memorial University of Newfoundland, Environment Canada, Wildlife Habitat Canada and the Northern Studies Training Program.</t>
  </si>
  <si>
    <t>NOV-DEC</t>
  </si>
  <si>
    <t>10.1016/j.biocon.2011.12.001</t>
  </si>
  <si>
    <t>071MZ</t>
  </si>
  <si>
    <t>WOS:000313599000008</t>
  </si>
  <si>
    <t>Palacios-Torres, Y; de la Rosa, JD; Olivero-Verbel, J</t>
  </si>
  <si>
    <t>Palacios-Torres, Yuber; de la Rosa, Jesus D.; Olivero-Verbel, Jesus</t>
  </si>
  <si>
    <t>ENVIRONMENTAL POLLUTION</t>
  </si>
  <si>
    <t>Risk assessment; Sediment quality guidelines; Biodiversity; Choco; Colombia</t>
  </si>
  <si>
    <t>ECOLOGICAL RISK-ASSESSMENT; RARE-EARTH-ELEMENTS; HEAVY-METALS; SPATIAL-DISTRIBUTION; MAGDALENA RIVER; MEKONG DELTA; BIODIVERSITY; POLLUTION; TOXICITY; WATER</t>
  </si>
  <si>
    <t>The Atrato watershed is a rainforest that supports exceptional wildlife species and is considered one of the most biodiversity-rich areas on the planet, currently threatened by massive gold mining. Aimed to protect this natural resource, the Constitutional Court of Colombia declared the river subject to rights. The objective of this study was to quantify trace elements in sediments and fish from Atrato watershed, assessing their environmental and human health risk. Forty-two trace elements were quantified using ICP-MS. Thirty-one elements increased their concentration downstream the river. Concentration Factors (CF) suggest sediments were moderately polluted by Cr, Cu, Cd, and strongly polluted by As. Most stations had Cr (98%) and Ni (78%) concentrations greater than the Probable Effect Concentration (PEC) criteria. Together, toxic elements generate a Pollution Load Index (PLI) and a Potential Ecological Risk Index (RI) that categorized 54% of the sediments as polluted, and 90% as moderate polluted, respectively. Hemiancistrus wilsoni, a low trophic guild fish species, had the greater average levels for Ni, Cu, As and Cd, among other elements. Rubidium and Cs showed a positive correlation with fish trophic level, suggesting these two metals biomagnify in the food chain. The Hazard Quotient (HQ) for As was greater than 1 for several species, indicating a potential risk to human health. Collectively, data suggest gold mining carried out in this biodiversity hotspot releases toxic elements that have abrogated sediment quality in Atrato River, and their incorporation in the trophic chain constitutes a large threat on environmental and human health due to fish consumption. Urgent legal and civil actions should be implemented to halt massive mining-driven deforestation to enforce Atrato River rights. (C) 2019 Elsevier Ltd. All rights reserved.</t>
  </si>
  <si>
    <t>[Palacios-Torres, Yuber; Olivero-Verbel, Jesus] Univ Cartagena, Sch Pharmaceut Sci, Environm &amp; Computat Chem Grp, Zaragocilla Campus, Cartagena 130015, Colombia; [Palacios-Torres, Yuber] Technol Univ Choco Diego Luis Cordoba, Sch Nat Sci, Environm Toxicol &amp; Nat Resources Grp, Quibdo 292, Choco, Colombia; [de la Rosa, Jesus D.] Univ Huelva, Ctr Res Sustainable Chem CIQSO, Associate Unit CSIC Univ Huelva Atmospher Pollut, Campus Carmen, E-21071 Huelva, Spain</t>
  </si>
  <si>
    <t>Universidad de Cartagena; Consejo Superior de Investigaciones Cientificas (CSIC); Universidad de Huelva</t>
  </si>
  <si>
    <t>Olivero-Verbel, J (corresponding author), Univ Cartagena, Sch Pharmaceut Sci, Environm &amp; Computat Chem Grp, Zaragocilla Campus, Cartagena 130015, Colombia.</t>
  </si>
  <si>
    <t>joliverov@unicartagena.edu.co</t>
  </si>
  <si>
    <t>de la Rosa, Jesús D/C-9385-2011</t>
  </si>
  <si>
    <t>de la Rosa, Jesús D/0000-0001-6644-8754</t>
  </si>
  <si>
    <t>World Wildlife Fund (WWF) [TZ37-2015]; National Program for Doctoral Formation (COLCIENCIAS) [694-2014]</t>
  </si>
  <si>
    <t>World Wildlife Fund (WWF); National Program for Doctoral Formation (COLCIENCIAS)(Departamento Administrativo de Ciencia, Tecnologia e Innovacion Colciencias)</t>
  </si>
  <si>
    <t>This work was supported by the World Wildlife Fund (WWF), Grant TZ37-2015, and the National Program for Doctoral Formation (COLCIENCIAS. 694-2014).</t>
  </si>
  <si>
    <t>0269-7491</t>
  </si>
  <si>
    <t>1873-6424</t>
  </si>
  <si>
    <t>ENVIRON POLLUT</t>
  </si>
  <si>
    <t>Environ. Pollut.</t>
  </si>
  <si>
    <t>10.1016/j.envpol.2019.113290</t>
  </si>
  <si>
    <t>JY9WW</t>
  </si>
  <si>
    <t>WOS:000504757200044</t>
  </si>
  <si>
    <t>Belpaire, C; Reyns, T; Geeraerts, C; Van Loco, J</t>
  </si>
  <si>
    <t>Belpaire, Claude; Reyns, Tim; Geeraerts, Caroline; Van Loco, Joris</t>
  </si>
  <si>
    <t>CHEMOSPHERE</t>
  </si>
  <si>
    <t>European eel; Malachite Green; Crystal Violet; Bioaccumulation; Belgium; Textile industry</t>
  </si>
  <si>
    <t>MALACHITE GREEN RESIDUES; GENTIAN-VIOLET; RAINBOW-TROUT; CAUGHT DOWNSTREAM; TEMPORAL TRENDS; CATFISH; WATER; ELIMINATION; PERSISTENCE; CELLS</t>
  </si>
  <si>
    <t>Dyes are used to stain inks, paints, textile, paper, leather and household products. They are omnipresent, some are toxic and may threaten our environment, especially aquatic ecosystems. The presence of residues of sixteen dyes (triarylmethanes, xanthenes, phenothiazines and phenoxazines) and their metabolites was analyzed in muscle tissue samples of individual yellow-phased European eels (Anguilla anguilla) from 91 locations in Belgian rivers, canals and lakes sampled between 2000 and 2009 using ultra performance liquid chromatography-tandem mass spectrometry. Eel was contaminated by dyes in 77% of the sites. Malachite Green, Crystal Violet and Brilliant Green were present in 25-58% of the samples. Dye occurrence was related to the distribution of textile and dye production industries. This field study is the first large-scale survey to document the occurrence of artificial dyes in wildlife. Considering the annual amounts of dyes produced worldwide and the unintentional spillage during their use, our observations warrant additional research in other parts of the world. The presence of these highly toxic dyes in the European eel may form an additional threat to this critically endangered species. The contaminated eels should be considered as not suitable for consumption. (C) 2015 Elsevier Ltd. All rights reserved.</t>
  </si>
  <si>
    <t>[Belpaire, Claude] Res Inst Nat &amp; Forest INBO, B-1560 Hoeilaart, Belgium; [Reyns, Tim; Van Loco, Joris] Sci Inst Publ Hlth, Food Med &amp; Consumer Safety, B-1050 Brussels, Belgium; [Geeraerts, Caroline] Res Inst Nat &amp; Forest INBO, B-9500 Geraardsbergen, Belgium</t>
  </si>
  <si>
    <t>Research Institute for Nature &amp; Forest; Research Institute for Nature &amp; Forest</t>
  </si>
  <si>
    <t>Belpaire, C (corresponding author), Res Inst Nat &amp; Forest, Duboislaan 14, B-1560 Hoeilaart, Belgium.</t>
  </si>
  <si>
    <t>claude.belpaire@inbo.be</t>
  </si>
  <si>
    <t>; Van Loco, Joris/D-1907-2015</t>
  </si>
  <si>
    <t>Belpaire, Claude/0000-0002-0183-2656; Geeraerts, Caroline/0000-0001-6670-6135; Van Loco, Joris/0000-0001-8439-3371</t>
  </si>
  <si>
    <t>0045-6535</t>
  </si>
  <si>
    <t>1879-1298</t>
  </si>
  <si>
    <t>10.1016/j.chemosphere.2015.08.007</t>
  </si>
  <si>
    <t>CS0SP</t>
  </si>
  <si>
    <t>WOS:000361772800103</t>
  </si>
  <si>
    <t>Steizenmüller, V; Ellis, JR; Rogers, SI</t>
  </si>
  <si>
    <t>Stelzenmueller, Vanessa; Ellis, Jim R.; Rogers, Stuart I.</t>
  </si>
  <si>
    <t>GIs; Indicator kriging; Marine spatial planning; Random simulations; Sensitivity index; Vulnerability</t>
  </si>
  <si>
    <t>SOUTHERN NORTH-SEA; CUMULATIVE IMPACTS; UNITED-KINGDOM; CONSERVATION; SENSITIVITY; WATERS; AREAS; COAST; UK; DISTRIBUTIONS</t>
  </si>
  <si>
    <t>Management of human activities in the marine environment increasingly requires spatially explicit risk assessments that link the occurrence and magnitude of a pressure to information on the sensitivity of the environment. We developed a marine spatial risk assessment framework for the UK continental shelf assessing the vulnerability of 11 fish and shellfish species to aggregate extraction. We calculated a sensitivity index (SI) using life-history characteristics and modelled species distributions on the UK shelf using long-term monitoring data and indicator kriging. Merging sensitivity indices and predicted species distributions allowed us to map the sensitivity of the selected fish to aggregate extraction. The robustness of the sensitivity map was affected primarily by widespread species with a low to medium level of sensitivity, while highly sensitive species with more restricted distributions had a limited effect on the overall sensitivity. The highest sensitivity in the case study occurred in coastal regions, and where nursery and spawning areas of four important commercial species occur. To test the framework, we overlaid the estimated sensitivity map with the occurrence of aggregate extraction activity in inshore waters, including sediment plume estimations, to describe species vulnerability to dredging. We conclude that our spatially explicit risk assessment framework can be applied to other ecosystem components and pressures at different spatial scales and it is therefore a promising tool that can support the sustainable development of marine spatial plans. (C) 2009 Elsevier Ltd. All rights reserved.</t>
  </si>
  <si>
    <t>[Stelzenmueller, Vanessa; Ellis, Jim R.; Rogers, Stuart I.] Ctr Environm Fisheries &amp; Aquaculture Sci Cefas, Lowestoft NR33 OHT, Suffolk, England</t>
  </si>
  <si>
    <t>Centre for Environment Fisheries &amp; Aquaculture Science</t>
  </si>
  <si>
    <t>Steizenmüller, V (corresponding author), Ctr Environm Fisheries &amp; Aquaculture Sci Cefas, Pakefield Rd, Lowestoft NR33 OHT, Suffolk, England.</t>
  </si>
  <si>
    <t>vanessa.stelzenmuller@cefas.co.uk</t>
  </si>
  <si>
    <t>Stelzenmüller, Vanessa/0000-0002-6419-8357</t>
  </si>
  <si>
    <t>UK Department of Environment, Food and Rural Affairs [AE1148, A0916]</t>
  </si>
  <si>
    <t>UK Department of Environment, Food and Rural Affairs(Department for Environment, Food &amp; Rural Affairs (DEFRA))</t>
  </si>
  <si>
    <t>This study was funded by the UK Department of Environment, Food and Rural Affairs (contracts AE1148 and A0916). We thank John Cotter for helpful comments on the analysis and David Max-well for statistical advice.</t>
  </si>
  <si>
    <t>10.1016/j.biocon.2009.10.007</t>
  </si>
  <si>
    <t>553GK</t>
  </si>
  <si>
    <t>WOS:000274354200030</t>
  </si>
  <si>
    <t>Steven, R; Castley, JG</t>
  </si>
  <si>
    <t>Steven, Rochelle; Castley, J. Guy</t>
  </si>
  <si>
    <t>Tourism as a threat to critically endangered and endangered birds: global patterns and trends in conservation hotspots</t>
  </si>
  <si>
    <t>Birds; Tourism; Threatened species; Impacts; Red list</t>
  </si>
  <si>
    <t>BIODIVERSITY HOTSPOTS; RED-LIST; EXTINCTION; IMPACTS; ECOTOURISM; DISTURBANCE; MANAGEMENT</t>
  </si>
  <si>
    <t>More than 12 % of bird species are threatened with extinction. Numerous anthropogenic activities and processes are considered responsible for such declines, including tourism related activities. These activities often occur in global biodiversity hotspots but few studies consider the potential risks associated with tourism. The relative importance of tourism as a threat to birds was quantified using a global analysis of the threats facing critically endangered and endangered birds in the hotspots. Sixty-three critically endangered and endangered bird species are reportedly threatened by tourism. Among those 63 species, marine, coastal and aquatic birds are threatened more by tourism than was expected. Hotspots with the most species threatened by tourism are Polynesia-Micronesia and the Mediterranean Basin. This study uses individual threatening processes in a new way to characterise hotspots for conservation action, advancing previous identification criteria. Analysing hotspots in terms of the relative presence of individual threatening processes may help to more effectively direct future research in these priority regions.</t>
  </si>
  <si>
    <t>[Steven, Rochelle; Castley, J. Guy] Griffith Univ, Griffith Sch Environm, Int Ctr Ecotourism Res, Gold Coast, Qld 4222, Australia</t>
  </si>
  <si>
    <t>Steven, R (corresponding author), Griffith Univ, Griffith Sch Environm, Int Ctr Ecotourism Res, Gold Coast Campus, Gold Coast, Qld 4222, Australia.</t>
  </si>
  <si>
    <t>r.steven@griffith.edu.au; g.castley@griffith.edu.au</t>
  </si>
  <si>
    <t>Castley, Guy/A-7056-2010; Steven, Rochelle/AAD-5898-2020</t>
  </si>
  <si>
    <t>Castley, Guy/0000-0002-8418-5828; Steven, Rochelle/0000-0002-3474-6818</t>
  </si>
  <si>
    <t>APR</t>
  </si>
  <si>
    <t>10.1007/s10531-013-0470-z</t>
  </si>
  <si>
    <t>118GF</t>
  </si>
  <si>
    <t>Green Accepted, Bronze</t>
  </si>
  <si>
    <t>WOS:000317011700014</t>
  </si>
  <si>
    <t>Thellmann, K; Cotter, M; Baumgartner, S; Treydte, A; Cadisch, G; Asch, F</t>
  </si>
  <si>
    <t>Thellmann, Kevin; Cotter, Marc; Baumgartner, Sabine; Treydte, Anna; Cadisch, Georg; Asch, Folkard</t>
  </si>
  <si>
    <t>Tipping Points in the Supply of Ecosystem Services of a Mountainous Watershed in Southeast Asia</t>
  </si>
  <si>
    <t>SUSTAINABILITY</t>
  </si>
  <si>
    <t>Southeast Asia; ecosystem services; rubber; regime shift; tipping point; scenario modeling; InVEST</t>
  </si>
  <si>
    <t>SAFE OPERATING SPACE; TROPICAL RAIN-FOREST; LAND-USE; ENVIRONMENTAL CONSEQUENCES; SWIDDEN CULTIVATION; RUBBER PLANTATION; DECISION-MAKING; SOUTHWEST CHINA; NATURAL-RUBBER; REGIME SHIFTS</t>
  </si>
  <si>
    <t>Rubber plantations have expanded at an unprecedented rate in Southeast Asia in recent decades. This has led to a substantial decline in the supply of ecosystem services (ESS) and has reduced livelihood options and socioeconomic well-being in rural areas. We assessed the impact of two land use scenarios on the supply of ESS in a mountainous watershed in Xishuangbanna Prefecture, People's Republic of China. We combined time-series data derived from spatially explicit ESS models (InVEST) with a sequential, data-driven algorithm (R-method) to identify potential tipping points (TPs) in the supply of ESS under two rubber plantation expansion scenarios. TPs were defined as any situation in which the state of a system is changed through positive feedback as a result of accelerating changes. The TP analysis included hydrological, agronomical, and climate-regulation ESS, as well as multiple facets of biodiversity (habitat quality for vertebrate, invertebrate, and plant species). We identified regime shifts indicating potential tipping points, which were linked to abrupt changes in rubber yields, in both scenarios at varying spatial scales. With this study, we provide an easily applicable method for regional policy making and land use planning in data-scarce environments to reduce the risk of traversing future TPs in ESS supply for rubber producing land use systems.</t>
  </si>
  <si>
    <t>[Thellmann, Kevin; Cotter, Marc; Baumgartner, Sabine; Treydte, Anna; Cadisch, Georg; Asch, Folkard] Univ Hohenheim, Hans Ruthenberg Inst, Inst Agr Sci Trop &amp; Subtrop, D-70593 Stuttgart, Germany; [Treydte, Anna] Nelson Mandela African Inst Sci &amp; Technol, POB 447, Arusha, Tanzania</t>
  </si>
  <si>
    <t>University Hohenheim; Nelson Mandela African Institution of Science &amp; Technology</t>
  </si>
  <si>
    <t>Thellmann, K (corresponding author), Univ Hohenheim, Hans Ruthenberg Inst, Inst Agr Sci Trop &amp; Subtrop, D-70593 Stuttgart, Germany.</t>
  </si>
  <si>
    <t>kevin.thellmann@uni-hohenheim.de; marc.cotter@uni-hohenheim.de; sabine.baumgartner@uni-hohenheim.de; anna.treydte@uni-hohenheim.de; georg.cadisch@uni-hohenheim.de; fa@uni-hohenheim.de</t>
  </si>
  <si>
    <t>Cotter, Marc/HKM-8431-2023; Asch, Folkard/AAS-7653-2021</t>
  </si>
  <si>
    <t>Cotter, Marc/0000-0001-5004-654X; Treydte, Anna/0000-0003-0605-3069; Asch, Folkard/0000-0001-6589-9916</t>
  </si>
  <si>
    <t>German-Chinese joint research project SURUMER (Sustainable Rubber in the Mekong Region); German Federal Ministry of Education and Research (BMBF) [FKZ 01LL0919]; BMBF [FKZ 01LC1709]; BMBF</t>
  </si>
  <si>
    <t>German-Chinese joint research project SURUMER (Sustainable Rubber in the Mekong Region); German Federal Ministry of Education and Research (BMBF)(Federal Ministry of Education &amp; Research (BMBF)); BMBF(Federal Ministry of Education &amp; Research (BMBF)); BMBF(Federal Ministry of Education &amp; Research (BMBF))</t>
  </si>
  <si>
    <t>This work was supported by the German-Chinese joint research project SURUMER (Sustainable Rubber in the Mekong Region). SURUMER was funded by the German Federal Ministry of Education and Research (BMBF) (Grant number FKZ 01LL0919). BMBF also provided funding for this open access publication. Furthermore, this work was an outcome of the initial phase of the SOS Uplands project, funded by BMBF (Grant number FKZ 01LC1709).</t>
  </si>
  <si>
    <t>MDPI</t>
  </si>
  <si>
    <t>BASEL</t>
  </si>
  <si>
    <t>ST ALBAN-ANLAGE 66, CH-4052 BASEL, SWITZERLAND</t>
  </si>
  <si>
    <t>2071-1050</t>
  </si>
  <si>
    <t>SUSTAINABILITY-BASEL</t>
  </si>
  <si>
    <t>10.3390/su10072418</t>
  </si>
  <si>
    <t>Green &amp; Sustainable Science &amp; Technology; Environmental Sciences; Environmental Studies</t>
  </si>
  <si>
    <t>GP5WQ</t>
  </si>
  <si>
    <t>WOS:000440947600309</t>
  </si>
  <si>
    <t>Almeida, D; Ellis, A; England, J; Copp, GH</t>
  </si>
  <si>
    <t>Almeida, David; Ellis, Adam; England, Judy; Copp, Gordon H.</t>
  </si>
  <si>
    <t>freshwater conservation; historic data; invasive species; signal crayfish; spatial dynamics; white-clawed crayfish</t>
  </si>
  <si>
    <t>WHITE-CLAWED CRAYFISH; FRESH-WATER CRAYFISH; AUSTROPOTAMOBIUS-PALLIPES; PROPAGULE PRESSURE; SIGNAL CRAYFISH; LONG-TERM; POPULATIONS; STREAM; INVASION; IMPACTS</t>
  </si>
  <si>
    <t>Monitoring is crucial for the conservation of endangered crayfish species as well as for managing and controlling invasive species. Yet, relatively few studies have assessed relationships between native white-clawed crayfish Austropotamobius pallipes and non-native signal Pacifastacus leniusculus, narrow-clawed Astacus leptodactylus, virile Orconectes virilis and red-swamp Procambarus clarkii crayfishes in freshwater environments at ecologically relevant spatial and temporal scales. Thus, the present study examines the distribution dynamics of native and non-native crayfishes in the River Thames Basin District (16 133 km(2), south-eastern England) over four decades (1971-2010). To reveal geographical bioinvasion and decline patterns, data on occurrences (sampling site, date) of native white-clawed and four non-native crayfishes were used to create sequences of decade maps for each species. Cumulative numbers of occupied grid squares were used to construct invasion/decline' curves and rates. To quantify dynamic features, the frequencies of survey occurrence for each species were subjected to time-series analysis, followed by cross-correlation to determine relationships between crayfishes. White-clawed crayfish was initially widespread, but gradually disappeared after the mid-1970s, coinciding with the introduction and initial dispersal of signal crayfish. During 2001-2010 white-clawed crayfish numbers declined steeply. Introduced in the mid-1980s, narrow-clawed crayfish spread within a few years, but is now restricted to the east of the basin, where virile and red-swamp crayfishes were reported with low presence since their introductions in 2006. Dynamics of white-clawed and signal crayfishes showed the opposing trends with a highly significant negative association. Geographical patterns indicate that non-native crayfishes were introduced in multiple locations in the study area. Recovery of native crayfish seems unlikely, given the impacts of signal crayfish and the continuing arrival of new crayfish species. This paper demonstrates the utility of using broad temporal and spatial scales for revealing accurate insights on invasion and decline dynamics. Copyright (c) 2013 Crown copyright.</t>
  </si>
  <si>
    <t>[Almeida, David; Copp, Gordon H.] Cefas Lowestoft, Salmon &amp; Freshwater Team, Pakefield Rd, Lowestoft NR33 OHT, Suffolk, England; [Ellis, Adam; England, Judy] Environm Agcy North East Thames, Hatfield, Herts, England; [Copp, Gordon H.] Bournemouth Univ, Ctr Conservat Ecol &amp; Environm Change, Poole BH12 5BB, Dorset, England; [Copp, Gordon H.] Trent Univ, Environm &amp; Life Sci Grad Programme, Peterborough, ON K9J 7B8, Canada</t>
  </si>
  <si>
    <t>Centre for Environment Fisheries &amp; Aquaculture Science; Bournemouth University; Trent University</t>
  </si>
  <si>
    <t>Copp, GH (corresponding author), Cefas Lowestoft, Salmon &amp; Freshwater Team, Pakefield Rd, Lowestoft NR33 OHT, Suffolk, England.</t>
  </si>
  <si>
    <t>gordon.copp@cefas.co.uk</t>
  </si>
  <si>
    <t>Copp, Gordon/D-5284-2013; Almeida, David/IWM-1938-2023</t>
  </si>
  <si>
    <t>Almeida, David/0000-0003-0592-7174</t>
  </si>
  <si>
    <t>Environment Agency (England and Wales); Department of Environment, Food and Rural Affairs (UK)</t>
  </si>
  <si>
    <t>Environment Agency (England and Wales); Department of Environment, Food and Rural Affairs (UK)(Department for Environment, Food &amp; Rural Affairs (DEFRA))</t>
  </si>
  <si>
    <t>This study was funded by the Environment Agency (England and Wales) and the Department of Environment, Food and Rural Affairs (UK). We thank two anonymous reviewers and the journal editor for constructive comments to improve the manuscript. The views expressed in this paper are those of the authors and not necessarily those of their parent organizations.</t>
  </si>
  <si>
    <t>10.1002/aqc.2366</t>
  </si>
  <si>
    <t>AE4DS</t>
  </si>
  <si>
    <t>WOS:000333931400006</t>
  </si>
  <si>
    <t>Saito, MU; Furukawa, T; Koyanagi, TF</t>
  </si>
  <si>
    <t>Saito, Masayuki U.; Furukawa, Takuya; Koyanagi, Tomoyo F.</t>
  </si>
  <si>
    <t>JOURNAL OF MAMMALOGY</t>
  </si>
  <si>
    <t>extinction debt; habitat fragmentation; historical effect; historical landscape; land use; Lepus; time-lagged response; urban ecology; wildlife management</t>
  </si>
  <si>
    <t>EXTINCTION DEBT; HABITAT FRAGMENTATION; SPECIES RICHNESS; BIODIVERSITY; URBANIZATION; CONSERVATION; ENVIRONMENT; DIVERSITY; BUTTERFLIES; POPULATION</t>
  </si>
  <si>
    <t>Urban areas are highly dynamic landscapes and urbanization patterns are spatially complex. For effective wildlife management in urban landscapes, it is essential to consider the complex history of urbanization and its time-delayed effects on species distribution. We examined whether the history of local land use affects the time-delayed response of Japanese hares (Lepus brachyurus) to landscape change in an urban ecosystem by hierarchically reducing the factors affecting differences in the response. We evaluated the occurrence of hares in 62 forest patches along an urban gradient in the Tama Hills area, Japan. Using sites where the surrounding landscape remained relatively stable, we calculated the habitat threshold of hare occurrence based on the surrounding forest area. We extracted sites that used to be suitable for hare occurrence in the past but later on surpassed the identified habitat threshold (i.e., 'regressive sites') and analyzed the landscape factors explaining the extinction debt of hares. Finally, we mapped potential extinction debt throughout the study region. We detected possible extinction debt in 4 regressive sites. We also found that forest patch size and the number of surrounding forest patches were related to hare occurrence. Based on this prediction, several other sites with potential extinction debt were identified in the study region. We found that the delayed response of the Japanese hares is likely caused by differences in forest fragmentation processes at each site. Our hierarchical approach could be an effective methodology for detecting and explaining the cause of extinction debt at the local scale and would contribute to the management of urban land for wildlife conservation.</t>
  </si>
  <si>
    <t>[Saito, Masayuki U.] Tokyo Univ Agr &amp; Technol, Fac Agr, 3-5-8 Saiwaicho, Fuchu, Tokyo 1838509, Japan; [Saito, Masayuki U.] Japan Soc Promot Sci, Chiyoda Ku, 5-3-1 Kojimachi, Tokyo 1028472, Japan; [Furukawa, Takuya] Forestry &amp; Forest Prod Res Inst, Ctr Biodivers Res, 1 Matsunosato, Tsukuba, Ibaraki 3058687, Japan; [Koyanagi, Tomoyo F.] Tokyo Gakugei Univ, Field Studies Inst Environm Educ, 4-1-1 Nukuikitamachi, Koganei, Tokyo 1848501, Japan</t>
  </si>
  <si>
    <t>Tokyo University of Agriculture &amp; Technology; Japan Society for the Promotion of Science; Forestry &amp; Forest Products Research Institute - Japan; Tokyo Gakugei University</t>
  </si>
  <si>
    <t>Saito, MU (corresponding author), Tokyo Univ Agr &amp; Technol, Fac Agr, 3-5-8 Saiwaicho, Fuchu, Tokyo 1838509, Japan.;Saito, MU (corresponding author), Japan Soc Promot Sci, Chiyoda Ku, 5-3-1 Kojimachi, Tokyo 1028472, Japan.</t>
  </si>
  <si>
    <t>saito.ume@gmail.com</t>
  </si>
  <si>
    <t>Furukawa, Takuya/JXL-3358-2024</t>
  </si>
  <si>
    <t>Furukawa, Takuya/0000-0003-2006-6560</t>
  </si>
  <si>
    <t>JSPS KAKENHI [15J08830]; Ministry of the Environment, Japan [1-1401]; Grants-in-Aid for Scientific Research [15J08830, 16H02996] Funding Source: KAKEN</t>
  </si>
  <si>
    <t>JSPS KAKENHI(Ministry of Education, Culture, Sports, Science and Technology, Japan (MEXT)Japan Society for the Promotion of ScienceGrants-in-Aid for Scientific Research (KAKENHI)); Ministry of the Environment, Japan(Ministry of the Environment, Japan); Grants-in-Aid for Scientific Research(Ministry of Education, Culture, Sports, Science and Technology, Japan (MEXT)Japan Society for the Promotion of ScienceGrants-in-Aid for Scientific Research (KAKENHI))</t>
  </si>
  <si>
    <t>We thank T. Akasaka for helpful comments on data analysis. This study was partly supported by JSPS KAKENHI (grant number 15J08830) and the Environment Research and Technology Development Fund (1-1401) of the Ministry of the Environment, Japan.</t>
  </si>
  <si>
    <t>OXFORD UNIV PRESS INC</t>
  </si>
  <si>
    <t>CARY</t>
  </si>
  <si>
    <t>JOURNALS DEPT, 2001 EVANS RD, CARY, NC 27513 USA</t>
  </si>
  <si>
    <t>0022-2372</t>
  </si>
  <si>
    <t>1545-1542</t>
  </si>
  <si>
    <t>J MAMMAL</t>
  </si>
  <si>
    <t>J. Mammal.</t>
  </si>
  <si>
    <t>SEP 27</t>
  </si>
  <si>
    <t>10.1093/jmammal/gyw085</t>
  </si>
  <si>
    <t>Zoology</t>
  </si>
  <si>
    <t>DZ1VC</t>
  </si>
  <si>
    <t>WOS:000385628300021</t>
  </si>
  <si>
    <t>Veach, V; Moilanen, A; Di Minin, E</t>
  </si>
  <si>
    <t>Veach, Victoria; Moilanen, Atte; Di Minin, Enrico</t>
  </si>
  <si>
    <t>BIODIVERSITY; MARINE; IMPACTS; LAND; MAP</t>
  </si>
  <si>
    <t>Including threats in spatial conservation prioritization helps identify areas for conservation actions where biodiversity is at imminent risk of extinction. At the global level, an important limitation when identifying spatial priorities for conservation actions is the lack of information on the spatial distribution of threats. Here, we identify spatial conservation priorities under three prominent threats to biodiversity (residential and commercial development, agricultural expansion, and forest loss), which are primary drivers of habitat loss and threaten the persistence of the highest number of species in the International Union for the Conservation of Nature (IUCN) Red List, and for which spatial data is available. We first explore how global priority areas for the conservation of vertebrate (mammals, birds, and amphibians) species coded in the Red List as vulnerable to each threat differ spatially. We then identify spatial conservation priorities for all species vulnerable to all threats. Finally, we identify the potentially most threatened areas by overlapping the identified priority areas for conservation with maps for each threat. We repeat the same with four other well-known global conservation priority area schemes, namely Key Biodiversity Areas, Biodiversity Hotspots, the global Protected Area Network, and Wilderness Areas. We find that residential and commercial development directly threatens only about 4% of the global top 17% priority areas for species vulnerable under this threat. However, 50% of the high priority areas for species vulnerable to forest loss overlap with areas that have already experienced some forest loss. Agricultural expansion overlapped with similar to 20% of high priority areas. Biodiversity Hotspots had the greatest proportion of their total area under direct threat from all threats, while expansion of low intensity agriculture was found to pose an imminent threat to Wilderness Areas under future agricultural expansion. Our results identify areas where limited resources should be allocated to mitigate risks to vertebrate species from habitat loss.</t>
  </si>
  <si>
    <t>[Veach, Victoria; Moilanen, Atte] Univ Helsinki, Dept Biosci, Helsinki, Finland; [Di Minin, Enrico] Univ Helsinki, Dept Geosci, Helsinki, Finland; [Di Minin, Enrico] Univ KwaZulu Natal, Sch Life Sci, Durban, South Africa</t>
  </si>
  <si>
    <t>University of Helsinki; University of Helsinki; University of Kwazulu Natal</t>
  </si>
  <si>
    <t>Di Minin, E (corresponding author), Univ Helsinki, Dept Geosci, Helsinki, Finland.;Di Minin, E (corresponding author), Univ KwaZulu Natal, Sch Life Sci, Durban, South Africa.</t>
  </si>
  <si>
    <t>enrico.di.minin@helsinki.fi</t>
  </si>
  <si>
    <t>Di Minin, Enrico/J-6904-2013; Moilanen, Atte/A-5005-2011</t>
  </si>
  <si>
    <t>Di Minin, Enrico/0000-0002-5562-318X;</t>
  </si>
  <si>
    <t>European Research Council Starting Grant [260393]; Academy of Finland Centre of Excellence Program [250444]; Academy of Finland [296524]</t>
  </si>
  <si>
    <t>European Research Council Starting Grant(European Research Council (ERC)); Academy of Finland Centre of Excellence Program(Research Council of Finland); Academy of Finland(Research Council of Finland)</t>
  </si>
  <si>
    <t>This work was supported by European Research Council Starting Grant, 260393, A.M.; Academy of Finland Centre of Excellence Program 2012-2017, 250444, A.M. and V.V.; Academy of Finland 2016-2019, 296524, E.M. https://erc.europa.eu/. http://www.aka.fi/en.</t>
  </si>
  <si>
    <t>NOV 28</t>
  </si>
  <si>
    <t>e0188397</t>
  </si>
  <si>
    <t>10.1371/journal.pone.0188397</t>
  </si>
  <si>
    <t>FN9ZL</t>
  </si>
  <si>
    <t>WOS:000416402000025</t>
  </si>
  <si>
    <t>Reddy, CS; Khuroo, AA; Krishna, PH; Saranya, KRL; Jha, CS; Dadhwal, VK</t>
  </si>
  <si>
    <t>Reddy, C. Sudhakar; Khuroo, Anzar A.; Krishna, P. Hari; Saranya, K. R. L.; Jha, C. S.; Dadhwal, V. K.</t>
  </si>
  <si>
    <t>ECOLOGICAL ENGINEERING</t>
  </si>
  <si>
    <t>Biodiversity; Threat; Forest ecosystem; Conservation; Geospatial</t>
  </si>
  <si>
    <t>EXTINCTION RISK; COVER CHANGES; QUANTIFICATION; DEFORESTATION; FRAMEWORK; HOTSPOTS; CRITERIA</t>
  </si>
  <si>
    <t>Up-scaling the evaluation of threat status of biodiversity from species to ecosystem level has remained for long a research challenge in global conservation science. To meet this challenge, the present study makes an attempt toward actionable conservation prescription and assigning a threat category scheme for forest ecosystems. The scheme sets the quantitative criteria for evaluation of cumulative anthropogenic threats in grid cells, such as deforestation, degradation, fragmentation, forest fires and biological invasions. Adopting the convention of IUCN, five conservation status categories (i.e. Critically Endangered, Endangered, Vulnerable, Near Threatened, Least Concern) have been similarly adopted for the forest ecosystems facing these threats. The operational success of this scheme of threat categories at ecosystem level has been strengthened by remote sensing and field data generated for the forest ecosystems of Odisha, India. The threat category status of the forest ecosystems were identified by creating grids (5 km x 5 km) in GIS and assigned the degree of the threats for each grid. The database on deforestation was generated using topographical maps of 1935 and remote sensing data of 1975 and 2010. The degradation in forest ecosystems have been assessed based on the change in forest canopy closure, fragmentation pattern, forest fire distribution and impact of biological invasions. The analysis for conservation priority hotspots complements an assessment of the threatened ecosystems undergoing remarkable level of multiple threats. Areas under the danger of cumulative anthropogenic threats would have a higher priority. 5.8% grids of existing forest had included under the category of conservation priority hotspot-I, followed by 12.4% in conservation priority hotspot-II, and 12.5% in conservation priority hotspot-III. An integrated approach involving the cumulative anthropogenic threat indicators have been found to be the most appropriate tool to empirically evaluate the threat status of the forest ecosystems. Finally, identification of ecosystems especially those facing increasing extinction risks, as attempted in the present study, can help in devising an appropriate policy and management agenda for the conservation and sustainable use of biodiversity. (C) 2014 Elsevier B.V. All rights reserved.</t>
  </si>
  <si>
    <t>[Reddy, C. Sudhakar; Krishna, P. Hari; Saranya, K. R. L.; Jha, C. S.; Dadhwal, V. K.] Indian Space Res Org, Natl Remote Sensing Ctr, Hyderabad 500625, Andhra Pradesh, India; [Khuroo, Anzar A.] Univ Kashmir, Dept Bot, Ctr Biodivers &amp; Taxon, Srinagar 190006, Jammu &amp; Kashmir, India</t>
  </si>
  <si>
    <t>Department of Space (DoS), Government of India; Indian Space Research Organisation (ISRO); National Remote Sensing Centre (NRSC); University of Kashmir</t>
  </si>
  <si>
    <t>Reddy, CS (corresponding author), Indian Space Res Org, Natl Remote Sensing Ctr, Hyderabad 500625, Andhra Pradesh, India.</t>
  </si>
  <si>
    <t>drsudhakarreddy@gmail.com</t>
  </si>
  <si>
    <t>Dadhwal, Vinay/F-9825-2010; HARIKRISHNA, PEDDI/ABD-8510-2020; Khuroo, Anzar Ahmad/D-1216-2015; Chintala, Sudhakar Reddy/C-4049-2015</t>
  </si>
  <si>
    <t>Dadhwal, Vinay/0000-0001-5084-1367; Khuroo, Anzar Ahmad/0000-0002-0251-2793; Chintala, Sudhakar Reddy/0000-0002-5979-1412</t>
  </si>
  <si>
    <t>ISRO-DOS Geosphere Biosphere Programme</t>
  </si>
  <si>
    <t>The present work has been carried out as part of ISRO's National Carbon Project. The authors are grateful to ISRO-DOS Geosphere Biosphere Programme for financial support.</t>
  </si>
  <si>
    <t>0925-8574</t>
  </si>
  <si>
    <t>1872-6992</t>
  </si>
  <si>
    <t>ECOL ENG</t>
  </si>
  <si>
    <t>Ecol. Eng.</t>
  </si>
  <si>
    <t>10.1016/j.ecoleng.2014.05.006</t>
  </si>
  <si>
    <t>Ecology; Engineering, Environmental; Environmental Sciences</t>
  </si>
  <si>
    <t>Environmental Sciences &amp; Ecology; Engineering</t>
  </si>
  <si>
    <t>AL2AM</t>
  </si>
  <si>
    <t>WOS:000338928200036</t>
  </si>
  <si>
    <t>Short, R; Gurung, R; Rowcliffe, M; Hill, N; Milner-Gulland, EJ</t>
  </si>
  <si>
    <t>Short, Rebecca; Gurung, Rajina; Rowcliffe, Marcus; Hill, Nicholas; Milner-Gulland, E. J.</t>
  </si>
  <si>
    <t>FISH-COMMUNITIES; BIOMASS</t>
  </si>
  <si>
    <t>Free or subsidised mosquito net (MN) distribution has been an increasingly important tool in efforts to combat malaria in recent decades throughout the developing world, making great strides towards eradicating this hugely detrimental disease. However, there has been increasing concern in the natural resource management and healthcare communities over alternative use of MNs, particularly in artisanal fisheries where it has been suggested they pose a threat to sustainability of fish stocks. So far, little evidence has been presented as to the global prevalence and characteristics of MN fishing, limiting global management initiatives and incentives for action across disciplines. We conducted a rapid global assessment of mosquito net fishing (MNF) observations from expert witnesses living and/or working in malarial zones using an internet survey. MNF was found to be a broadly pan-tropical activity, particularly prevalent in sub-Saharan Africa. MNF is conducted using a variety of deployment methods and scales including seine nets, scoop/dip nets, set nets and traps. MNF was witnessed in a broad range of marine and freshwater habitats and was seen to exploit a wide range of taxa, with capture of juvenile fish reported in more than half of responses. Perceived drivers of MNF were closely related to poverty, revealing potentially complex and arguably detrimental livelihood and food security implications which we discuss in light of current literature and management paradigms. The key policies likely to influence future impacts of MNF are in health, regarding net distribution, and natural resource management regarding restrictions on use. We outline critical directions for research and highlight the need for a collaborative, interdisciplinary approach to development of both localised and broad-scale policy.</t>
  </si>
  <si>
    <t>[Short, Rebecca; Gurung, Rajina; Milner-Gulland, E. J.] Imperial Coll London, Dept Life Sci, Silwood Pk Campus, Ascot, Berks, England; [Short, Rebecca; Rowcliffe, Marcus] Zool Soc London, Inst Zool, Regents Pk, London, England; [Hill, Nicholas] Zool Soc London, Conservat Programmes, Regents Pk, London, England; [Hill, Nicholas] Univ Exeter, Ctr Ecol &amp; Conservat, Penryn, Cornwall, England; [Milner-Gulland, E. J.] Univ Oxford, Dept Zool, Oxford, England</t>
  </si>
  <si>
    <t>Imperial College London; Zoological Society of London; Zoological Society of London; University of Exeter; University of Oxford</t>
  </si>
  <si>
    <t>Short, R (corresponding author), Imperial Coll London, Dept Life Sci, Silwood Pk Campus, Ascot, Berks, England.;Short, R (corresponding author), Zool Soc London, Inst Zool, Regents Pk, London, England.</t>
  </si>
  <si>
    <t>rebecca.short@zsl.org</t>
  </si>
  <si>
    <t>; Rowcliffe, Marcus/G-3713-2018</t>
  </si>
  <si>
    <t>Hill, Nicholas Anthony Owen/0000-0002-5921-0091; Rowcliffe, Marcus/0000-0002-4286-6887; Short, Rebecca/0000-0002-8721-9245</t>
  </si>
  <si>
    <t>Natural Environment Research Council; Grantham Institute, Imperial College London (NERC) [NE/L002515/1]; Pew Marine Fellowship; Natural Environment Research Council [1510328] Funding Source: researchfish</t>
  </si>
  <si>
    <t>Natural Environment Research Council(UK Research &amp; Innovation (UKRI)Natural Environment Research Council (NERC)); Grantham Institute, Imperial College London (NERC); Pew Marine Fellowship; Natural Environment Research Council(UK Research &amp; Innovation (UKRI)Natural Environment Research Council (NERC))</t>
  </si>
  <si>
    <t>RS is a Natural Environment Research Council funded PhD student with the Science and Solutions for a Changing Planet Doctoral Training Partnership at the Grantham Institute, Imperial College London (NERC Ref: NE/L002515/1, http://www.nerc.ac.uk/funding/available/postgrad/responsive/dtp/). EJMG acknowledges funding from a Pew Marine Fellowship.</t>
  </si>
  <si>
    <t>JAN 31</t>
  </si>
  <si>
    <t>e0191519</t>
  </si>
  <si>
    <t>10.1371/journal.pone.0191519</t>
  </si>
  <si>
    <t>FU2GT</t>
  </si>
  <si>
    <t>WOS:000423668400048</t>
  </si>
  <si>
    <t>Kurland, J; Pires, SF; Marteache, N</t>
  </si>
  <si>
    <t>Kurland, Justin; Pires, Stephen F.; Marteache, Nerea</t>
  </si>
  <si>
    <t>FOREST POLICY AND ECONOMICS</t>
  </si>
  <si>
    <t>Forestry crime; Crime pattern theory; GIS; Exact logistic regression; Situational crime prevention; Flora</t>
  </si>
  <si>
    <t>SITUATIONAL CRIME-PREVENTION; ROUTINE ACTIVITIES; ELEPHANT IVORY; ILLEGAL TRADE; CRIMINOLOGY; EVENTS; LAW</t>
  </si>
  <si>
    <t>Poaching redwood burls is a problem for Redwood National and State Parks (RNSP), in Northern California, USA. Poachers use chainsaws to remove and they sell them at local burl shops. Consequently, targeted trees are left susceptible to disease and can die. Given the limited resources RNSP have at their disposal, the study reports an empirically driven resource allocation strategy. The study first explores the spatial distribution of poaching incidents and other potentially important drivers of poaching in RNSP before employing an econometric approach informed by crime pattern theory to better understand how features of the natural and built environment within RNSP explain burl poaching. An exact logistic model suggests areas that include a greater number of targets (i.e. redwood burls) that are accessible to roads, as well as areas that are near to a greater number of burl shops are at an increased risk of burl poaching. The odds-ratios for each respective variable in the model are utilized to highlight those areas at greatest risk, and in turn to provide practical guidance for more spatially focused ranger patrols and interventions. A comprehensive intervention strategy that works on multiple levels to reduce opportunities for burl poaching in RNSP is discussed.</t>
  </si>
  <si>
    <t>[Kurland, Justin] Univ Waikato, New Zealand Inst Secur &amp; Crime Sci, Private Bag 3105, Hamilton 3240, New Zealand; [Pires, Stephen F.] Florida Int Univ, Steven J Green Sch Int &amp; Publ Affairs, Dept Criminal Justice, 11200 SW 8th St,PCA 368A, Miami, FL 33199 USA; [Marteache, Nerea] Calif State Univ San Bernardino, Dept Criminal Justice, 5500 Univ Pkwy, San Bernardino, CA 92407 USA</t>
  </si>
  <si>
    <t>University of Waikato; State University System of Florida; Florida International University; California State University System; California State University San Bernardino</t>
  </si>
  <si>
    <t>Pires, SF (corresponding author), Florida Int Univ, Steven J Green Sch Int &amp; Publ Affairs, Dept Criminal Justice, 11200 SW 8th St,PCA 368A, Miami, FL 33199 USA.</t>
  </si>
  <si>
    <t>sfpires@fiu.edu</t>
  </si>
  <si>
    <t>Marteache, Nerea/0000-0003-4534-5320; Pires, Stephen/0000-0002-8525-0185</t>
  </si>
  <si>
    <t>California State University San Bernadino</t>
  </si>
  <si>
    <t>This research was made possible through an internal seed grant provided by California State University San Bernadino.</t>
  </si>
  <si>
    <t>1389-9341</t>
  </si>
  <si>
    <t>1872-7050</t>
  </si>
  <si>
    <t>FOREST POLICY ECON</t>
  </si>
  <si>
    <t>Forest Policy Econ.</t>
  </si>
  <si>
    <t>10.1016/j.forpol.2018.06.009</t>
  </si>
  <si>
    <t>Economics; Environmental Studies; Forestry</t>
  </si>
  <si>
    <t>Business &amp; Economics; Environmental Sciences &amp; Ecology; Forestry</t>
  </si>
  <si>
    <t>GP0VG</t>
  </si>
  <si>
    <t>WOS:000440528900007</t>
  </si>
  <si>
    <t>Swartz, W; Sala, E; Tracey, S; Watson, R; Pauly, D</t>
  </si>
  <si>
    <t>Swartz, Wilf; Sala, Enric; Tracey, Sean; Watson, Reg; Pauly, Daniel</t>
  </si>
  <si>
    <t>The Spatial Expansion and Ecological Footprint of Fisheries (1950 to Present)</t>
  </si>
  <si>
    <t>GLOBAL FISHERIES</t>
  </si>
  <si>
    <t>Using estimates of the primary production required (PPR) to support fisheries catches (a measure of the footprint of fishing), we analyzed the geographical expansion of the global marine fisheries from 1950 to 2005. We used multiple threshold levels of PPR as percentage of local primary production to define 'fisheries exploitation' and applied them to the global dataset of spatially-explicit marine fisheries catches. This approach enabled us to assign exploitation status across a 0.5 degrees latitude/longitude ocean grid system and trace the change in their status over the 56-year time period. This result highlights the global scale expansion in marine fisheries, from the coastal waters off North Atlantic and West Pacific to the waters in the Southern Hemisphere and into the high seas. The southward expansion of fisheries occurred at a rate of almost one degree latitude per year, with the greatest period of expansion occurring in the 1980s and early 1990s. By the mid 1990s, a third of the world's ocean, and two-thirds of continental shelves, were exploited at a level where PPR of fisheries exceed 10% of PP, leaving only unproductive waters of high seas, and relatively inaccessible waters in the Arctic and Antarctic as the last remaining 'frontiers.' The growth in marine fisheries catches for more than half a century was only made possible through exploitation of new fishing grounds. Their rapidly diminishing number indicates a global limit to growth and highlights the urgent need for a transition to sustainable fishing through reduction of PPR.</t>
  </si>
  <si>
    <t>[Swartz, Wilf; Watson, Reg; Pauly, Daniel] Univ British Columbia, Sea Us Project, Fisheries Ctr, Vancouver, BC V5Z 1M9, Canada; [Sala, Enric] Ctr Estudis Avancats Blanes CSIC, Blanes, Spain; [Sala, Enric] Natl Geog Soc, Washington, DC USA; [Tracey, Sean] Univ Tasmania, Marine Res Labs, Tasmanian Aquaculture &amp; Fisheries Inst, Hobart, Tas, Australia</t>
  </si>
  <si>
    <t>University of British Columbia; Consejo Superior de Investigaciones Cientificas (CSIC); CSIC - Centre d'Estudis Avancats de Blanes (CEAB); National Geographic Society; University of Tasmania</t>
  </si>
  <si>
    <t>Swartz, W (corresponding author), Univ British Columbia, Sea Us Project, Fisheries Ctr, Vancouver, BC V5Z 1M9, Canada.</t>
  </si>
  <si>
    <t>d.pauly@fisheries.ubc.ca</t>
  </si>
  <si>
    <t>Watson, Reg/F-4850-2012; Tracey, Sean/J-7446-2014; Pauly, Daniel/AAY-2316-2021</t>
  </si>
  <si>
    <t>Watson, Reg/0000-0001-7201-8865; Tracey, Sean/0000-0002-6735-5899; Pauly, Daniel/0000-0003-3756-4793</t>
  </si>
  <si>
    <t>Pew Charitable Trusts; National Geographic Society; Waitt Foundation</t>
  </si>
  <si>
    <t>Pew Charitable Trusts; National Geographic Society(National Geographic Society); Waitt Foundation</t>
  </si>
  <si>
    <t>This research was funded by the Pew Charitable Trusts (via fundings to the Sea Around Us project), National Geographic Society and the Waitt Foundation. The funders had no role in study design, data collection and analysis, decision to publish, or preparation of the manuscript.</t>
  </si>
  <si>
    <t>DEC 2</t>
  </si>
  <si>
    <t>e15143</t>
  </si>
  <si>
    <t>10.1371/journal.pone.0015143</t>
  </si>
  <si>
    <t>688QY</t>
  </si>
  <si>
    <t>WOS:000284868000026</t>
  </si>
  <si>
    <t>Evans, MC; Watson, JEM; Fuller, RA; Venter, O; Bennett, SC; Marsack, PR; Possingham, HP</t>
  </si>
  <si>
    <t>Evans, Megan C.; Watson, James E. M.; Fuller, Richard A.; Venter, Oscar; Bennett, Simon C.; Marsack, Peter R.; Possingham, Hugh P.</t>
  </si>
  <si>
    <t>The Spatial Distribution of Threats to Species in Australia</t>
  </si>
  <si>
    <t>BIOSCIENCE</t>
  </si>
  <si>
    <t>endangered species; threatening processes; biodiversity; Australia; conservation</t>
  </si>
  <si>
    <t>HUMAN FOOTPRINT; HUMAN IMPACTS; MARINE ECOSYSTEMS; PROTECTED AREAS; UNITED-STATES; CONSERVATION; BIODIVERSITY; FUTURE; SCALE; PATTERNS</t>
  </si>
  <si>
    <t>Conservation is ultimately about safeguarding biodiversity by arresting and reversing the impacts of threatening processes. Although data on the distributions of species are increasingly well resolved, the spatial distributions of threats to species are poorly understood. We mapped the distributions of eight major threats to Australia's threatened plants, vertebrates, and invertebrates using the geographic ranges of species affected by particular threats as surrogates for their spatial occurrence. Our results indicate that simply quantifying the proportion of species affected by particular threatening processes does not adequately capture the variation in the spatial extent, prevalence, or predominance of threats to species. Conservation planning is an inherently spatial process; therefore, explicitly considering the spatial dimension of threats could significantly enhance our ability to direct efforts to areas where the greatest conservation outcomes can be delivered.</t>
  </si>
  <si>
    <t>[Evans, Megan C.; Venter, Oscar; Possingham, Hugh P.] Univ Queensland, Ctr Ecol, Brisbane, Qld, Australia; [Watson, James E. M.] Wildlife Conservat Soc, Global Climate Adaptat Team, Bronx, NY USA; [Fuller, Richard A.] Univ Queensland, Ctr Ecol, Brisbane, Qld, Australia; [Fuller, Richard A.] Commonwealth Sci &amp; Ind Res Org CSIRO Climate Adap, Brisbane, Qld, Australia; [Fuller, Richard A.] CSIRO Sustainable Ecosyst, Brisbane, Qld, Australia; [Bennett, Simon C.; Marsack, Peter R.] Australian Govt, Dept Sustainabil Environm Water Populat &amp; Communi, Canberra, ACT, Australia</t>
  </si>
  <si>
    <t>University of Queensland; Wildlife Conservation Society; University of Queensland; Commonwealth Scientific &amp; Industrial Research Organisation (CSIRO); Commonwealth Scientific &amp; Industrial Research Organisation (CSIRO)</t>
  </si>
  <si>
    <t>Evans, MC (corresponding author), Univ Queensland, Ctr Ecol, Brisbane, Qld, Australia.</t>
  </si>
  <si>
    <t>m.evans1@uq.edu.au</t>
  </si>
  <si>
    <t>Possingham, Hugh/B-1337-2008; Evans, Megan/G-5081-2010; Venter, Oscar/ABE-1477-2021; Fuller, Richard/B-7971-2008; Watson, James/D-8779-2013</t>
  </si>
  <si>
    <t>Possingham, Hugh/0000-0001-7755-996X; Evans, Megan/0000-0001-6763-310X; Venter, Oscar/0000-0003-1719-8474; Fuller, Richard/0000-0001-9468-9678; Watson, James/0000-0003-4942-1984</t>
  </si>
  <si>
    <t>Australian government</t>
  </si>
  <si>
    <t>Australian government(Australian Government)</t>
  </si>
  <si>
    <t>We are grateful to the following people for assistance in collating data for this manuscript: Naomi Nelson, Sharon Kazemi, Susan Kelly, Naomi Wynd, Jane Hosking, Jason Ferris, Angela McCauley, and Stuart Butt for the threats database, as well as Martin Taylor from World Wildlife Fund-Australia for providing habitat preferences for threatened species. We thank Lissa Barr, Yvonne Buckley, Craig Franklin, and Clive McAlpine for providing helpful feedback on an earlier version of this manuscript, and Kerrie Wilson for valuable discussion throughout the course of this project. We also thank three anonymous reviewers for feedback that greatly improved this manuscript. This research has been funded through the Australian government's Commonwealth Environment Research Facilities program.</t>
  </si>
  <si>
    <t>AMER INST BIOLOGICAL SCI</t>
  </si>
  <si>
    <t>1444 EYE ST, NW, STE 200, WASHINGTON, DC 20005 USA</t>
  </si>
  <si>
    <t>0006-3568</t>
  </si>
  <si>
    <t>10.1525/bio.2011.61.4.8</t>
  </si>
  <si>
    <t>Biology</t>
  </si>
  <si>
    <t>Life Sciences &amp; Biomedicine - Other Topics</t>
  </si>
  <si>
    <t>747KY</t>
  </si>
  <si>
    <t>WOS:000289319900013</t>
  </si>
  <si>
    <t>Wang, CJ; Zhang, J; Wan, JZ; Qu, H; Mu, XY; Zhang, ZX</t>
  </si>
  <si>
    <t>Wang, Chunjing; Zhang, Jing; Wan, Jizhong; Qu, Hong; Mu, Xianyun; Zhang, Zhixiang</t>
  </si>
  <si>
    <t>FRONTIERS OF EARTH SCIENCE</t>
  </si>
  <si>
    <t>threatened plant species; extremely small populations; climate; protection value; human activities; China</t>
  </si>
  <si>
    <t>IUCN RED LIST; CONSERVATION; DIVERSITY; RICHNESS; PATTERNS; CLIMATE; OVEREXPLOITATION; MODELS; SITU</t>
  </si>
  <si>
    <t>Many biological conservationists take actions to conserve plant species with extremely small populations (PSESP) in China; however, there have been few studies on the spatial distribution of threats to PSESP. Hence, we selected distribution data of PSESP and made a map of the spatial distribution of threats to PSESP in China. First, we used the weight assignment method to evaluate the threat risk to PSESP at both country and county scales. Second, we used a geographic information system to map the spatial distribution of threats to PSESP, and explored the threat factors based on linear regression analysis. Finally, we suggested some effective conservation options. We found that the PSESP with high values of protection, such as the plants with high scientific research values and ornamental plants, were threatened by over-exploitation and utilization, habitat fragmentation, and a small sized wild population in broad-leaved forests and bush fallows. We also identified some risk hotspots for PSESP in China. Regions with low elevation should be given priority for exand in-situ conservation. Moreover, climate change should be considered for conservation of PSESP. To avoid intensive over-exploitation or utilization and habitat fragmentation, in-situ conservation should be practiced in regions with high temperatures and low temperature seasonality, particularly in the high risk hotspots for PSESP that we proposed. Ex-situ conservation should be applied in these same regions, and over-exploitation and utilization of natural resources should be prevented. It is our goal to apply the concept of PSESP to the global scale in the future.</t>
  </si>
  <si>
    <t>[Wang, Chunjing; Zhang, Jing; Wan, Jizhong; Qu, Hong; Mu, Xianyun; Zhang, Zhixiang] Beijing Forestry Univ, Sch Nat Conservat, Beijing 100083, Peoples R China</t>
  </si>
  <si>
    <t>Beijing Forestry University</t>
  </si>
  <si>
    <t>Zhang, ZX (corresponding author), Beijing Forestry Univ, Sch Nat Conservat, Beijing 100083, Peoples R China.</t>
  </si>
  <si>
    <t>zxzhang@bjfu.edu.cn</t>
  </si>
  <si>
    <t>Qu, Hongchao/HTL-2717-2023; Wan, Ji-Zhong/Q-5594-2018; Wang, Chun-Jing/J-7223-2019</t>
  </si>
  <si>
    <t>Zhang, Zhixiang/0000-0002-1161-5065;</t>
  </si>
  <si>
    <t>State Forestry Bureau</t>
  </si>
  <si>
    <t>This research was supported by the entrusted project The gap analysis and establishment of regulatory database for three important endangered plant species of the protection division under the State Forestry Bureau.</t>
  </si>
  <si>
    <t>233 SPRING ST, NEW YORK, NY 10013 USA</t>
  </si>
  <si>
    <t>2095-0195</t>
  </si>
  <si>
    <t>2095-0209</t>
  </si>
  <si>
    <t>FRONT EARTH SCI-PRC</t>
  </si>
  <si>
    <t>Front. Earth Sci.</t>
  </si>
  <si>
    <t>10.1007/s11707-016-0550-y</t>
  </si>
  <si>
    <t>Geosciences, Multidisciplinary</t>
  </si>
  <si>
    <t>Geology</t>
  </si>
  <si>
    <t>EK8NR</t>
  </si>
  <si>
    <t>WOS:000394181200011</t>
  </si>
  <si>
    <t>Scabin, AB; Costa, FRC; Schöngart, J</t>
  </si>
  <si>
    <t>Scabin, Andressa Barbara; Capellotto Costa, Flavia Regina; Schoengart, Jochen</t>
  </si>
  <si>
    <t>ENVIRONMENTAL CONSERVATION</t>
  </si>
  <si>
    <t>Amazon; dendrochronology; flood plains; growth; trees; human pressure; population structure</t>
  </si>
  <si>
    <t>SUSTAINABLE FOREST MANAGEMENT; POPULATION-STRUCTURE; GROWTH; EXTRACTION; TREES; FIRE</t>
  </si>
  <si>
    <t>Amazonia is one of the world's leading suppliers of timber and the Amazonian timber industry is an important source of regional income, however the economic benefits of this market are associated with environmental damage, mainly when the wood is removed illegally. The Anavilhanas National Park, located in the Brazilian state of Amazonas, has been subjected to illegal logging and elaboration of control programmes requires knowledge of the distribution of timber species and the intensity of logging. This study examines the density and growth rate of the five most harvested tree species in the Park, the spatial distribution of illegal logging operations and their effects on population structure. In total, 2332 trees with diameter at breast height greater than 10 cm, as well as stumps of cut trees, were sampled, and dendrochronology was used to estimate growth rates. Some size classes of Virola surinamensis trees and species within the family Lauraceae decreased in abundance as harvesting intensity increased. Growth rates of the most abundant species of Lauraceae, Ocotea cymbarum, were high, indicating stands may recover quickly when harvesting stops. The population structure of Calophyllum brasiliense showed no negative effects due to logging, but its low growth rate and stand distribution suggest that continued exploitation may endanger these populations. Logging had no detectable negative effects on the size structure of populations of Macrolobium acaciifolium or Hevea spp., and their high growth rates suggest that they will not be threatened by current logging rates. Overall growth rates in the Anavilhanas archipelago are higher than those recorded in other black-water floodplain forest (igapo). Logging of most species (except Lauraceae spp., which have the highest market value) is concentrated in the southern region of the Park, which has more human settlements close by. There was no general relationship between harvesting intensity and geographic distance to human settlements, but there was a tendency for harvesting to be higher in sites with concentrations of trees of high market value. Potential strategies to control illegal logging activities in the Anavilhanas archipelago include encouragement of sustainable logging in Park buffer zones and stimulation of ecotourism initiatives in the southern region of the Park. Ecotourism development can provide an economic alternative to illegal logging for local communities and inhibit logging by increasing vigilance.</t>
  </si>
  <si>
    <t>[Scabin, Andressa Barbara] Inst Nacl de Pesquisas da Amazonia, Grad Program Ecol, BR-69011970 Manaus, Amazonas, Brazil; [Schoengart, Jochen] Max Planck Inst Chem, Biogeochem Dept, D-55128 Mainz, Germany; [Schoengart, Jochen] Inst Nacl de Pesquisas da Amazonia, Projeto Max Planck, BR-69011910 Manaus, Amazonas, Brazil</t>
  </si>
  <si>
    <t>Institute Nacional de Pesquisas da Amazonia; Max Planck Society; Institute Nacional de Pesquisas da Amazonia</t>
  </si>
  <si>
    <t>Scabin, AB (corresponding author), Ave Tres Marco 200,Complemento L4, BR-18087180 Sao Paulo, Brazil.</t>
  </si>
  <si>
    <t>dedascabin@gmail.com</t>
  </si>
  <si>
    <t>Schongart, Jochen/I-2659-2016; C Costa, Flavia R/K-4386-2014</t>
  </si>
  <si>
    <t>Schongart, Jochen/0000-0002-7696-9657; C Costa, Flavia R/0000-0002-9600-4625</t>
  </si>
  <si>
    <t>CNPq [575637/2008-0]; CAPES</t>
  </si>
  <si>
    <t>CNPq(Conselho Nacional de Desenvolvimento Cientifico e Tecnologico (CNPQ)); CAPES(Coordenacao de Aperfeicoamento de Pessoal de Nivel Superior (CAPES))</t>
  </si>
  <si>
    <t>This study was financed by the project CNPq 575637/2008-0. Andressa Scabin was supported by a CAPES fellowship. We thank the people who helped with field work, managers of Anavilhanas National Park, researchers of PPBio (Brazilian Program for Biodiversity Research), and William Magnusson and the anonymous reviewers for critical comments and suggestions.</t>
  </si>
  <si>
    <t>CAMBRIDGE UNIV PRESS</t>
  </si>
  <si>
    <t>32 AVENUE OF THE AMERICAS, NEW YORK, NY 10013-2473 USA</t>
  </si>
  <si>
    <t>0376-8929</t>
  </si>
  <si>
    <t>1469-4387</t>
  </si>
  <si>
    <t>ENVIRON CONSERV</t>
  </si>
  <si>
    <t>Environ. Conserv.</t>
  </si>
  <si>
    <t>10.1017/S0376892911000610</t>
  </si>
  <si>
    <t>936QT</t>
  </si>
  <si>
    <t>WOS:000303605800002</t>
  </si>
  <si>
    <t>Milne, R; Cunningham, SJ; Lee, ATK; Smit, B</t>
  </si>
  <si>
    <t>Milne, Robyn; Cunningham, Susan J.; Lee, Alan T. K.; Smit, Ben</t>
  </si>
  <si>
    <t>CONSERVATION PHYSIOLOGY</t>
  </si>
  <si>
    <t>Bioclimatic envelope models; climate change; endemism; evaporative water loss; Fynbos; heat tolerance</t>
  </si>
  <si>
    <t>CLIMATE-CHANGE; METABOLIC-RATES; PHENOTYPIC FLEXIBILITY; PLANT DIVERSITY; GLOBAL CHANGE; THERMOREGULATION; FYNBOS; MODELS; WATER; ENVELOPE</t>
  </si>
  <si>
    <t>We investigated whether observed avian range contractions and population declines in the Fynbos biome of South Africa were mechanistically linked to recent climate warming. We aimed to determine whether there were correlations between preferred temperature envelope, or changes in temperature within species' ranges, and recent changes in range and population size, for 12 Fynbos-resident bird species, including six that are endemic to the biome. We then measured the physiological responses of each species at air temperatures ranging from 24 to 42 degrees C to determine whether physiological thermal thresholds could provide a mechanistic explanation for observed population trends. Our data show that Fynbos-endemic species occupying the coolest regions experienced the greatest recent reductions in range and population size (&gt; 30% range reduction between 1991 and the present). In addition, species experiencing the largest increases in air temperature within their ranges showed the greatest declines. However, evidence for a physiological mechanistic link between warming and population declines was equivocal, with only the larger species showing low thermal thresholds for their body mass, compared with other birds globally. In addition, some species appear more vulnerable than others to air temperatures in their ranges above physiological thermal thresholds. Of these, the high-altitude specialist Cape rockjumper (Chaetops frenatus) seems most at risk from climate warming. This species showed: (i) the lowest threshold for increasing evaporative water loss at high temperatures; and (ii) population declines specifically in those regions of its range recording significant warming trends. Our findings suggest that caution must be taken when attributing causality explicitly to thermal stress, even when population trends are clearly correlated with rates of warming. Studies explicitly investigating the mechanisms underlying such correlations will be key to appropriate conservation planning.</t>
  </si>
  <si>
    <t>[Milne, Robyn; Cunningham, Susan J.; Lee, Alan T. K.] Univ Cape Town, Percy Fitzpatrick Inst African Ornithol, DST NRF Ctr Excellence, ZA-7701 Rondebosch, South Africa; [Lee, Alan T. K.] South African Natl Biodivers Inst, Climate Change &amp; Adaptat Div, Birds &amp; Environm Change Programme, ZA-7735 Claremont, South Africa; [Smit, Ben] Nelson Mandela Metropolitan Univ, Dept Zool, Ctr African Conservat Ecol, ZA-6031 Port Elizabeth, South Africa</t>
  </si>
  <si>
    <t>National Research Foundation - South Africa; University of Cape Town; South African National Biodiversity Institute; Nelson Mandela University</t>
  </si>
  <si>
    <t>Smit, B (corresponding author), Nelson Mandela Metropolitan Univ, Dept Zool, Ctr African Conservat Ecol, ZA-6031 Port Elizabeth, South Africa.</t>
  </si>
  <si>
    <t>ben.smit@nmmu.ac.za</t>
  </si>
  <si>
    <t>Lee, Alan Tristram Kenneth/AAG-1630-2021; Cunningham, Susan/AAR-3915-2020; Smit, Ben/AAO-4778-2020</t>
  </si>
  <si>
    <t>Lee, Alan Tristram Kenneth/0000-0002-5858-9351; Cunningham, Susan/0000-0001-9934-2585; Smit, Ben/0000-0003-4160-8242</t>
  </si>
  <si>
    <t>DST/NRF Centre of Excellence at the Percy FitzPatrick Institute of African Ornithology, University of Cape Town; Nelson Mandela Metropolitan University</t>
  </si>
  <si>
    <t>This research was funded by the DST/NRF Centre of Excellence at the Percy FitzPatrick Institute of African Ornithology, University of Cape Town, and a Nelson Mandela Metropolitan University research grant to B.S. The work on animals in this study was approved by the Science Faculty Animal Ethics Committee, University of Cape Town (#2013/V23/PR).</t>
  </si>
  <si>
    <t>OXFORD UNIV PRESS</t>
  </si>
  <si>
    <t>GREAT CLARENDON ST, OXFORD OX2 6DP, ENGLAND</t>
  </si>
  <si>
    <t>2051-1434</t>
  </si>
  <si>
    <t>CONSERV PHYSIOL</t>
  </si>
  <si>
    <t>Conserv. Physiol.</t>
  </si>
  <si>
    <t>NOV 15</t>
  </si>
  <si>
    <t>cov048</t>
  </si>
  <si>
    <t>10.1093/conphys/cov048</t>
  </si>
  <si>
    <t>Biodiversity Conservation; Ecology; Environmental Sciences; Physiology</t>
  </si>
  <si>
    <t>Biodiversity &amp; Conservation; Environmental Sciences &amp; Ecology; Physiology</t>
  </si>
  <si>
    <t>DK8TR</t>
  </si>
  <si>
    <t>WOS:000375201700001</t>
  </si>
  <si>
    <t>Vardarman, J; Berchová-Bímová, K; Peknicová, J</t>
  </si>
  <si>
    <t>Vardarman, Johana; Berchova-Bimova, Katerina; Peknicova, Jana</t>
  </si>
  <si>
    <t>Natura 2000 network; Level of invasion; Species distribution; Habitat disturbance; Neophytes</t>
  </si>
  <si>
    <t>ALIEN PLANTS; SPECIES RICHNESS; NATURE-RESERVES; HABITAT; PATTERNS; IMPACTS; DIVERSITY; EUROPE; INVASIBILITY; METAANALYSIS</t>
  </si>
  <si>
    <t>As anthropogenic pressure on the landscape increases, invasive alien species (IAS) pose a growing threat to areas designed to protect high biodiversity habitats. In order to assess the present danger of IAS spread, we examined 23 Czech sites of community importance (SCI) within Natura 2000 protected areas (PA) over 2015 and mapped the occurrence of four IAS: Solidago spp. (goldenrod), Impatiens glandulifera (Himalayan balsam), Heracleum mantegazzianum (giant hogweed) and Fallopia spp. (Japanese knotweed). The model areas were divided into five monitoring zones, graded by conservation importance and habitat disturbance level (core area [A], broader core area [B], semi-natural habitat [C], anthropogenically affected habitat [D], anthropogenically degraded habitat [E]). Despite a high number of IAS occurrences (3222 localities), habitats of European importance (zone A) showed a relatively low level of invasion (&lt; 0.3% total area). Highest IAS occurrence number was in SCI border areas and disturbed habitats (zones C and E). There was a significant positive correlation between level of invasion inside and outside SCIs, related to human activities such as logging and urbanisation. A strong effect for watercourse vicinity was noted for the occurrence of I. glandulifera and Fallopia spp.; but not for H. mantegazzianum and Solidago spp. A stratified management approach, employing zones delimitation to assess what threat pose IAS to the PA objects of conservation, can be useful to prioritize control measures in IAS local action plans.</t>
  </si>
  <si>
    <t>[Vardarman, Johana; Berchova-Bimova, Katerina; Peknicova, Jana] Czech Univ Life Sci Prague, Fac Environm Sci, Dept Appl Ecol, Kamycka 129, Prague 16521 6, Suchdol, Czech Republic</t>
  </si>
  <si>
    <t>Czech University of Life Sciences Prague</t>
  </si>
  <si>
    <t>Vardarman, J (corresponding author), Czech Univ Life Sci Prague, Fac Environm Sci, Dept Appl Ecol, Kamycka 129, Prague 16521 6, Suchdol, Czech Republic.</t>
  </si>
  <si>
    <t>vardarman@fzp.czu.cz</t>
  </si>
  <si>
    <t>Jackovičová, Johana/ABB-3120-2020; Berchová Bímová, Kateřina/V-1817-2018</t>
  </si>
  <si>
    <t>, Johana/0000-0003-2242-1167; Berchová Bímová, Kateřina/0000-0002-6666-5836</t>
  </si>
  <si>
    <t>EEA [EHP-CZ02-OV-1-024-2015]</t>
  </si>
  <si>
    <t>EEA</t>
  </si>
  <si>
    <t>This research was supported through Project No. EHP-CZ02-OV-1-024-2015 Monitoring of the Status of Species Listed in the EU Nature Directives in Natura 2000 Sites, funded by the EEA. We would like to thank all students who were involved in IAS field mapping. Also, we are indebted to Dr. Kevin Roche for his linguistic improvements.</t>
  </si>
  <si>
    <t>10.1007/s10531-018-1508-z</t>
  </si>
  <si>
    <t>GI3EU</t>
  </si>
  <si>
    <t>WOS:000434255200002</t>
  </si>
  <si>
    <t>Anderson, LG; Chapman, JK; Escontrela, D; Gough, CLA</t>
  </si>
  <si>
    <t>Anderson, Lucy G.; Chapman, Jennifer K.; Escontrela, Daniela; Gough, Charlotte L. A.</t>
  </si>
  <si>
    <t>MANAGEMENT OF BIOLOGICAL INVASIONS</t>
  </si>
  <si>
    <t>non-native species; citizen science; Pterois volitans; marine invasions; Caribbean; fisheries</t>
  </si>
  <si>
    <t>CITIZEN SCIENCE; PTEROIS-VOLITANS; MARINE; CHALLENGES; ATLANTIC; PROGRAM</t>
  </si>
  <si>
    <t>Across the Caribbean, targeted fishing is gaining momentum as a cost-effective method to control invasive alien lionfish (Pterois volitans and Pterois miles) by suppressing population numbers below site-specific threshold levels i.e. a population density that is predicted to cause declines in native fish biomass. Yet in marine reserve no take zones (NTZs) or reefs at depths of &gt; 18 m) where commercial fishing is either not permitted or impractical, alternative methods of lionfish control are required. This study evaluates the potential for conservation volunteers to act as citizen scientists monitoring invasive lionfish populations and to support removal efforts in Bacalar Chico Marine Reserve (BCMR), Belize. Two underwater visual census techniques were trialled with conservation volunteers, each with associated benefits and drawbacks. A log of opportunistic lionfish sightings on SCUBA dives has been used to record sightings per unit effort (SPUE) data 2011-2015. In 2014, more rigorous lionfish focused searches (lionfish-adapted belt transects) were introduced. Opportunistic lionfish sightings contributed to a five year SPUE dataset that suggests that lionfish population growth rate has slowed in BCMR, where a lionfish removal program was also carried out by conservation volunteers over the same timeframe. However, lionfish focused searches showed that the mean density in 2014 was high (mean = 27.05 +/- 8.77 fish ha(-1), 1-30 m) relative to lionfish populations in their native ranges, particularly at sites at depths &gt; 18m (mean = 43.39 +/- 13.76 fish ha(-1), 18-30 m). Drawing on lessons from Belize, we discuss the potential for conservation volunteers to support invasive alien species (IAS) monitoring and control efforts in marine environments.</t>
  </si>
  <si>
    <t>[Chapman, Jennifer K.; Escontrela, Daniela; Gough, Charlotte L. A.] Blue Ventures Conservat, 39-41 North Rd, London N7 9DP, England</t>
  </si>
  <si>
    <t>Chapman, JK (corresponding author), Blue Ventures Conservat, 39-41 North Rd, London N7 9DP, England.</t>
  </si>
  <si>
    <t>jen@blueventures.org</t>
  </si>
  <si>
    <t>Gough, Charlotte/0000-0002-5313-4868; Anderson, Lucy/0000-0002-9744-0349</t>
  </si>
  <si>
    <t>Blue Ventures Expeditions</t>
  </si>
  <si>
    <t>The authors would like to thank Dr. Stephanie Green for her advice adapting LFS methods, two anonymous reviewers for helpful comments on the manuscript, and all Blue Ventures field staff and conservation volunteers of expeditions in Belize 2011-2015, without whom this work would not have been possible. This work was completed under Belize Fisheries Department research permits numbers and was funded entirely by Blue Ventures Expeditions.</t>
  </si>
  <si>
    <t>REGIONAL EURO-ASIAN BIOLOGICAL INVASIONS CENTRE-REABIC</t>
  </si>
  <si>
    <t>HELSINKI</t>
  </si>
  <si>
    <t>PO BOX 3, HELSINKI, 00981, FINLAND</t>
  </si>
  <si>
    <t>1989-8649</t>
  </si>
  <si>
    <t>MANAG BIOL INVASION</t>
  </si>
  <si>
    <t>Manag. Biol. Invasion</t>
  </si>
  <si>
    <t>10.3391/mbi.2017.8.4.14</t>
  </si>
  <si>
    <t>FJ2TS</t>
  </si>
  <si>
    <t>WOS:000412583100014</t>
  </si>
  <si>
    <t>Poor, EE; Jati, VIM; Imron, MA; Kelly, MJ</t>
  </si>
  <si>
    <t>Poor, Erin E.; Jati, Virta I. M.; Imron, Muhammad Ali; Kelly, Marcella J.</t>
  </si>
  <si>
    <t>RAIN-FOREST ROADS; SMALL MAMMALS; HABITAT; FRAGMENTATION; BIODIVERSITY; IMPACTS; CONSERVATION; RESPONSES; FROGS</t>
  </si>
  <si>
    <t>Worldwide, roads are a main driver of deforestation and degradation as they increase forest access along the forest edge. In many tropical areas, unofficial roads go unreported and unrecorded, resulting in inaccurate estimates of intact forested areas. This is the case in central Sumatra, which boasts populations of critically endangered Sumatran elephants (Elephas maximus sumatrensis), tigers (Panthera tigris sumatrae) and other endemic flora and fauna that make the area globally unique. However, maps do not reflect the reality of forest loss in the area. Here we present new maps from 2002 and 2016 of digitized and ground-truthed roads in one of Sumatra's unique lowland tropical protected areas, Tesso Nilo National Park. Using our newly created roads dataset, we examine the distribution of forest with respect to distance to roads. Our data show &gt;2,400 km of roads within the national park in 2016 -nearly a 10-fold increase from roads known in 2002. Most forest (82-99%) within Tesso Nilo falls within 100 m, 500 m, and 1000 m of road edges. Length of road increased 157% and road density increased from 1.06 km/km(2) to 2.63 km/km(2) from 2002-2016. Our results suggest that this endemic ecosystem is facing substantial threat from roads and their associated impacts. Without swift management action, such as road closures and increased enforcements by park management, this ecosystem, and its endemic wildlife, could be lost. It is imperative that protected areas worldwide more rigorously consider roads and road effects on ecosystem fragmentation in their conservation plans.</t>
  </si>
  <si>
    <t>[Poor, Erin E.; Kelly, Marcella J.] Virginia Tech, Dept Fish &amp; Wildlife Conservat, Blacksburg, VA USA; [Jati, Virta I. M.] World Wildlife Fund, Pekanbaru, Riau, Indonesia; [Imron, Muhammad Ali] Univ Gadjah Mada, Dept Forest Resources Conservat, Yogyakarta, Indonesia</t>
  </si>
  <si>
    <t>Virginia Polytechnic Institute &amp; State University; Gadjah Mada University</t>
  </si>
  <si>
    <t>Poor, EE (corresponding author), Virginia Tech, Dept Fish &amp; Wildlife Conservat, Blacksburg, VA USA.</t>
  </si>
  <si>
    <t>erinpoor@vt.edu</t>
  </si>
  <si>
    <t>Kelly, Marcella/B-4891-2011; Imron, Muhammad Ali/GSN-5793-2022; Imron, Muhammad Ali/GSN-5793-2022</t>
  </si>
  <si>
    <t>Kelly, Marcella/0000-0001-9044-3873; Poor, Erin/0000-0002-8799-3193; Imron, Muhammad Ali/0000-0003-2371-7795</t>
  </si>
  <si>
    <t>National Science Foundation [1536323]; Cleveland Zoo; Philadelphia Zoo; Riverbanks Zoo; US Student Fulbright Program; Ideawild; Virginia Tech; World Wildlife Fund; Indonesian Ministry of Research, Technology and Higher Education; Ministry of Forestry and Environment; Division Of Behavioral and Cognitive Sci; Direct For Social, Behav &amp; Economic Scie [1536323] Funding Source: National Science Foundation</t>
  </si>
  <si>
    <t>National Science Foundation(National Science Foundation (NSF)); Cleveland Zoo; Philadelphia Zoo; Riverbanks Zoo; US Student Fulbright Program; Ideawild; Virginia Tech(University of Virginia); World Wildlife Fund; Indonesian Ministry of Research, Technology and Higher Education(Ministry of Research and Technology of the Republic of Indonesia (RISTEK)); Ministry of Forestry and Environment; Division Of Behavioral and Cognitive Sci; Direct For Social, Behav &amp; Economic Scie(National Science Foundation (NSF)NSF - Directorate for Social, Behavioral &amp; Economic Sciences (SBE))</t>
  </si>
  <si>
    <t>This work was supported through grants from the National Science Foundation (nsf.gov), Doctoral Dissertation Improvement Grant, number 1536323, the Cleveland Zoo, the Philadelphia Zoo, the Riverbanks Zoo, the US Student Fulbright Program, Ideawild, Virginia Tech and the World Wildlife Fund. The funders had no role in study design, data collection and analysis, decision to publish, or preparation of the manuscript.We would like to thank the Indonesian Ministry of Research, Technology and Higher Education and the Ministry of Forestry and Environment, FA Widodo and Sunarto for their support and advice, and Zulfahmi and Jerry Irawan for their critical help in the field. We also thank the anonymous reviewers that helped improve our manuscript. This work was completed with the support of the World Wildlife Fund, the Philadelphia Zoo, the National Science Foundation [Grant Number 1536323], the Cleveland Zoo, the Riverbanks Zoo, Ideawild, the US Student Fulbright Program and Virginia Tech.</t>
  </si>
  <si>
    <t>e0217540</t>
  </si>
  <si>
    <t>10.1371/journal.pone.0217540</t>
  </si>
  <si>
    <t>IW3YW</t>
  </si>
  <si>
    <t>WOS:000484918700010</t>
  </si>
  <si>
    <t>Alves, DMCC; Terribile, LC; Brito, D</t>
  </si>
  <si>
    <t>Alves, Davi M. C. C.; Terribile, Levi C.; Brito, Daniel</t>
  </si>
  <si>
    <t>WEST-NILE-VIRUS; EMERGING DISEASE; EXTINCTION; EMERGENCE; SPREAD; RISK</t>
  </si>
  <si>
    <t>White-Nose syndrome (WNS) is an emergent infectious disease that has already killed around six million bats in North America and has spread over two thousand kilometers from its epicenter. However, only a few studies on the possible impacts of the fungus on bat hosts were conducted, particularly concerning its implications for bat conservation. We predicted the consequences of WNS spread by generating a map with potential areas for its occurrence based on environmental conditions in sites where the disease already occurs, and overlaid it with the geographic distribution of all hibernating bats in North America. We assumed that all intersection localities would negatively affect local bat populations and reassessed their conservation status based on their potential population decline. Our results suggest that WNS will not spread widely throughout North America, being mostly restricted to the east and southeast regions. In contrast, our most pessimistic scenario of population decline indicated that the disease would threaten 32% of the bat species. Our results could help further conservation plans to preserve bat diversity in North America.</t>
  </si>
  <si>
    <t>[Alves, Davi M. C. C.] Univ Fed Goias, Dept Ecol, Lab Ecol Teor &amp; Sintese, Goiania, Go, Brazil; [Terribile, Levi C.] Univ Fed Goias, Lab Macroecol, Jatai, Go, Brazil; [Brito, Daniel] Univ Fed Goias, Dept Ecol, Lab Ecol Aplicada &amp; Conservacao, Goiania, Go, Brazil</t>
  </si>
  <si>
    <t>Universidade Federal de Goias; Universidade Federal de Goias; Universidade Federal de Goias</t>
  </si>
  <si>
    <t>Alves, DMCC (corresponding author), Univ Fed Goias, Dept Ecol, Lab Ecol Teor &amp; Sintese, Goiania, Go, Brazil.</t>
  </si>
  <si>
    <t>davimello22@gmail.com</t>
  </si>
  <si>
    <t>Brito, Daniel/A-4014-2008; Terribile, Levi/AAW-1102-2021</t>
  </si>
  <si>
    <t>Brito, Daniel/0000-0003-1131-4622;</t>
  </si>
  <si>
    <t>CNPq; CAPES</t>
  </si>
  <si>
    <t>Daniel Brito is supported by CNPq and Davi Alves is supported by CAPES. The funders had no role in study design, data collection and analysis, decision to publish, or preparation of the manuscript.</t>
  </si>
  <si>
    <t>SEP 9</t>
  </si>
  <si>
    <t>e107395</t>
  </si>
  <si>
    <t>10.1371/journal.pone.0107395</t>
  </si>
  <si>
    <t>AQ3IF</t>
  </si>
  <si>
    <t>WOS:000342684500094</t>
  </si>
  <si>
    <t>Plaza, PI; Martínez-López, E; Lambertucci, SA</t>
  </si>
  <si>
    <t>Plaza, Pablo I.; Martinez-Lopez, Emma; Lambertucci, Sergio A.</t>
  </si>
  <si>
    <t>Carbamates; Organophosphorus; Human-wildlife conflicts; Poisoning; Protected areas</t>
  </si>
  <si>
    <t>PLASMA CHOLINESTERASE ACTIVITY; ECOSYSTEM CONTAMINANT TRANSFER; CALIFORNIA CONDORS; ANTICOAGULANT RODENTICIDES; NEOPHRON-PERCNOPTERUS; EGGSHELL THICKNESS; GYPS-FULVUS; ORGANOCHLORINE PESTICIDES; NECROSYRTES-MONACHUS; POPULATION DECLINES</t>
  </si>
  <si>
    <t>Probably the most important threat currently affecting vultures worldwide is exposure to pesticides, both accidentally and through deliberate abuse. This is of special concern since around 70% of vulture species are threatened by human activities. However, information about this threat is sparse and geographically biased. We compiled existing knowledge about pesticide exposure in vulture species globally, providing unifying criteria to mitigate this problem with a joint global effort. Most information available about accidental exposure to pesticides in vultures is related to organochlorine pesticides. Non-lethal exposure to these compounds occurs on every continent that vultures inhabit. While concentrations of organochlorine pesticides reported in different samples appear to be too low to produce health impacts, some studies show vultures with levels compatible with health impacts. In addition, there are some reports of vultures contaminated accidentally by anticoagulant rodenticides and external antiparasitic drugs used in veterinary practices. Deliberate abuse of pesticides to poison wildlife also occurs on every continent where vultures live, affecting most (78%) vulture species. However, little information is available for some regions of America, Asia and Europe. The exact number of vultures killed due to deliberate poisoning with pesticides is not well known, but the available figures are alarming (e.g. up to 500 individuals in a single event). The most widely used pesticides affecting vulture populations, and associated with deliberate poisoning, are carbamates and organophosphorus compounds. Of particular concern is the fact that massive poisoning events with these compounds occur, in some cases, within protected areas. This suggests that if this situation is not reversed, some vulture populations could disappear. A combination of measures such as banning pesticides, controlling their distribution-acquisition and environmental education could produce better results that banning pesticides alone. If poisoning with pesticides is not stopped, this threatened avian group could inadvertently go extinct very soon. (C) 2019 Elsevier B.V. All rights reserved.</t>
  </si>
  <si>
    <t>[Plaza, Pablo I.; Lambertucci, Sergio A.] Univ Nacl Comahue, CONICET, INIBIOMA, Grp Invest Biol Conservac,Lab Ecotono, Quintral 1250 R8400FRF, San Carlos De Bariloche, Rio Negro, Argentina; [Martinez-Lopez, Emma] Univ Murcia, Fac Vet, Dept Hlth Sci, Area Toxicol, Campus Espinardo, E-30100 Murcia, Spain; [Martinez-Lopez, Emma] Univ Murcia, Biomed Res Inst Murcia IMIB Arrixaca, Lab Toxicol, Murcia, Spain</t>
  </si>
  <si>
    <t>Consejo Nacional de Investigaciones Cientificas y Tecnicas (CONICET); Universidad Nacional del Comahue; University of Murcia; University of Murcia; Hospital Clinico Universitario Virgen de la Arrixaca</t>
  </si>
  <si>
    <t>Plaza, PI (corresponding author), Univ Nacl Comahue, CONICET, INIBIOMA, Grp Invest Biol Conservac,Lab Ecotono, Quintral 1250 R8400FRF, San Carlos De Bariloche, Rio Negro, Argentina.</t>
  </si>
  <si>
    <t>grinbic@comahue-conicet.gob.ar</t>
  </si>
  <si>
    <t>; Martínez-Lopez, Emma/AAB-3097-2019</t>
  </si>
  <si>
    <t>LAMBERTUCCI, SERGIO/0000-0002-2624-2185; Martínez-Lopez, Emma/0000-0002-0569-0982</t>
  </si>
  <si>
    <t>Agencia Nacional de Promocion Cientifica y Tecnologica, PICT (BID) [0725-2014]; Universidad Nacional del Comahue project [04/B227]</t>
  </si>
  <si>
    <t>Agencia Nacional de Promocion Cientifica y Tecnologica, PICT (BID); Universidad Nacional del Comahue project</t>
  </si>
  <si>
    <t>We thank Dr. Darcy Ogada and two anonymous reviewers for all the comments that improved this manuscript. We thank the Agencia Nacional de Promocion Cientifica y Tecnologica, PICT (BID) 0725-2014, and Universidad Nacional del Comahue project 04/B227.</t>
  </si>
  <si>
    <t>OCT 15</t>
  </si>
  <si>
    <t>10.1016/j.scitotenv.2019.06.160</t>
  </si>
  <si>
    <t>IP8SO</t>
  </si>
  <si>
    <t>WOS:000480316300117</t>
  </si>
  <si>
    <t>Jones, JPG; Rasamy, JR; Harvey, A; Toon, A; Oidtmann, B; Randrianarison, MH; Raminosoa, N; Ravoahangimalala, OR</t>
  </si>
  <si>
    <t>Jones, Julia P. G.; Rasamy, Jeanne R.; Harvey, Andrew; Toon, Alicia; Oidtmann, Birgit; Randrianarison, Michele H.; Raminosoa, Noromalala; Ravoahangimalala, Olga R.</t>
  </si>
  <si>
    <t>The perfect invader: a parthenogenic crayfish poses a new threat to Madagascar's freshwater biodiversity</t>
  </si>
  <si>
    <t>BIOLOGICAL INVASIONS</t>
  </si>
  <si>
    <t>Aphanomyces; Astacoides; Exotic; Invasive species; Marbled crayfish; Procambarus</t>
  </si>
  <si>
    <t>PROCAMBARUS-CLARKII; INVASIVE CRAYFISH; EUROPE; PREDICTIONS; IMPACTS; ECOLOGY</t>
  </si>
  <si>
    <t>In 2007 an unusual crayfish found in food markets in the capital of Madagascar was preliminarily identified as Procambarus 'Marmorkrebs': a new world taxa and the only decapod known to reproduce by parthenogenesis. We present information on the identity, distribution and ecology of this recent invader and attempt to evaluate the threat it poses to Madagascar's biodiversity and to livelihoods. The species appears to be currently limited to the area close to Antananarivo, but is being sold alive on major transport routes. We present molecular evidence of its taxonomic relationships and confirm that the Procambarus present in Madagascar is indeed the parthenogenic taxa. We investigate its reproductive ecology and find Procambarus 'Marmorkrebs' to have an extremely high fecundity; more than six times that of the native crayfish Astacoides. The limited evidence we have suggests that this species poses a serious threat to freshwater biodiversity and that it is likely to damage human livelihoods (through its impact on fishing and possibly rice agriculture). More research is urgently needed but in the meantime action is needed to reduce the rate of spread before it is too late.</t>
  </si>
  <si>
    <t>[Jones, Julia P. G.] Bangor Univ, Sch Environm &amp; Nat Resources, Bangor LL57 2UW, Gwynedd, Wales; [Rasamy, Jeanne R.; Randrianarison, Michele H.; Raminosoa, Noromalala; Ravoahangimalala, Olga R.] Univ Antananarivo, Dept Anim Biol, Antananarivo, Madagascar; [Harvey, Andrew] Royal Haskoning Ltd, Edinburgh, Midlothian, Scotland; [Toon, Alicia] Brigham Young Univ, Dept Biol, Provo, UT 84602 USA; [Oidtmann, Birgit] Ctr Environm, Weymouth, England</t>
  </si>
  <si>
    <t>Bangor University; University Antananarivo; Brigham Young University</t>
  </si>
  <si>
    <t>Jones, JPG (corresponding author), Bangor Univ, Sch Environm &amp; Nat Resources, Bangor LL57 2UW, Gwynedd, Wales.</t>
  </si>
  <si>
    <t>julia.jones@bangor.ac.uk</t>
  </si>
  <si>
    <t>; Harvey, Anew/T-5542-2019; Toon, Alicia/C-2175-2016; Jones, Julia P G/A-3031-2011</t>
  </si>
  <si>
    <t>Razanabolana Rasamy, Jeanne/0009-0006-2848-562X; Harvey, Anew/0000-0001-7252-1583; Toon, Alicia/0000-0002-1517-2601; Jones, Julia P G/0000-0002-5199-3335</t>
  </si>
  <si>
    <t>1387-3547</t>
  </si>
  <si>
    <t>1573-1464</t>
  </si>
  <si>
    <t>BIOL INVASIONS</t>
  </si>
  <si>
    <t>Biol. Invasions</t>
  </si>
  <si>
    <t>10.1007/s10530-008-9334-y</t>
  </si>
  <si>
    <t>448CC</t>
  </si>
  <si>
    <t>WOS:000266238700025</t>
  </si>
  <si>
    <t>Coll, M; Piroddi, C; Albouy, C; Lasram, FB; Cheung, WWL; Christensen, V; Karpouzi, VS; Guilhaumon, F; Mouillot, D; Paleczny, M; Palomares, ML; Steenbeek, J; Trujillo, P; Watson, R; Pauly, D</t>
  </si>
  <si>
    <t>Coll, Marta; Piroddi, Chiara; Albouy, Camille; Lasram, Frida Ben Rais; Cheung, William W. L.; Christensen, Villy; Karpouzi, Vasiliki S.; Guilhaumon, Francois; Mouillot, David; Paleczny, Michelle; Palomares, Maria Lourdes; Steenbeek, Jeroen; Trujillo, Pablo; Watson, Reg; Pauly, Daniel</t>
  </si>
  <si>
    <t>The Mediterranean Sea under siege: spatial overlap between marine biodiversity, cumulative threats and marine reserves</t>
  </si>
  <si>
    <t>GLOBAL ECOLOGY AND BIOGEOGRAPHY</t>
  </si>
  <si>
    <t>Cumulative impacts; human threats; marine biodiversity; marine conservation; marine protected areas; Mediterranean Sea</t>
  </si>
  <si>
    <t>PROTECTED AREAS; ECOSYSTEM SERVICES; CONSERVATION; FISH; CONSEQUENCES; FISHERIES; HOTSPOTS; IMPACTS; HABITAT; CATCHES</t>
  </si>
  <si>
    <t>Aim A large body of knowledge exists on individual anthropogenic threats that have an impact on marine biodiversity in the Mediterranean Sea, although we know little about how these threats accumulate and interact to affect marine species and ecosystems. In this context, we aimed to identify the main areas where the interaction between marine biodiversity and threats is more pronounced and to assess their spatial overlap with current marine protected areas in the Mediterranean. Location Mediterranean Sea. Methods We first identified areas of high biodiversity of marine mammals, marine turtles, seabirds, fishes and commercial or well-documented invertebrates. We mapped potential areas of high threat where multiple threats are occurring simultaneously. Finally we quantified the areas of conservation concern for biodiversity by looking at the spatial overlap between high biodiversity and high cumulative threats, and we assessed the overlap with protected areas. Results Our results show that areas with high marine biodiversity in the Mediterranean Sea are mainly located along the central and north shores, with lower values in the south-eastern regions. Areas of potential high cumulative threats are widespread in both the western and eastern basins, with fewer areas located in the south-eastern region. The interaction between areas of high biodiversity and threats for invertebrates, fishes and large animals in general (including large fishes, marine mammals, marine turtles and seabirds) is concentrated in the coastal areas of Spain, Gulf of Lions, north-eastern Ligurian Sea, Adriatic Sea, Aegean Sea, south-eastern Turkey and regions surrounding the Nile Delta and north-west African coasts. Areas of concern are larger for marine mammal and seabird species. Main conclusions These areas may represent good candidates for further research, management and protection activities, since there is only a maximum 2% overlap between existing marine protected areas (which cover 5% of the Mediterranean Sea) and our predicted areas of conservation concern for biodiversity.</t>
  </si>
  <si>
    <t>[Coll, Marta] CSIC, ICM, E-08003 Barcelona, Spain; [Coll, Marta; Piroddi, Chiara; Christensen, Villy; Karpouzi, Vasiliki S.; Paleczny, Michelle; Palomares, Maria Lourdes; Steenbeek, Jeroen; Trujillo, Pablo; Watson, Reg; Pauly, Daniel] Univ British Columbia, Fisheries Ctr, Vancouver, BC V6T 1Z4, Canada; [Albouy, Camille; Guilhaumon, Francois; Mouillot, David] Univ Montpellier 2, CNRS, Lab Ecol Syst Marins Cotiers UMR 5119, IRD,IFREMER,UMII,UMI, F-34095 Montpellier 5, France; [Albouy, Camille] UMII, IFREMER, IRD, Ctr Rech Halieut Mediterraneenne &amp; Trop UMR 212, F-34203 Sete, France; [Lasram, Frida Ben Rais] Inst Natl Agron Tunisie, Unite Rech Ecosyst &amp; Ressources Aquat UR03AGRO1, Tunis 1082, Tunisia; [Cheung, William W. L.] Univ E Anglia, Sch Environm Sci, Norwich NR4 7TJ, Norfolk, England; [Cheung, William W. L.] Ctr Environm Fisheries &amp; Aquaculture Sci, Lowestoft NR33 0HT, Suffolk, England; [Guilhaumon, Francois] Univ Evora, Rui Nabeiro Biodivers Chair, CIBIO, P-7000890 Evora, Portugal; [Mouillot, David] James Cook Univ, Australian Res Council Ctr Excellence Coral Reef, Townsville, Qld 4811, Australia</t>
  </si>
  <si>
    <t>Consejo Superior de Investigaciones Cientificas (CSIC); CSIC - Centro Mediterraneo de Investigaciones Marinas y Ambientales (CMIMA); CSIC - Instituto de Ciencias del Mar (ICM); University of British Columbia; Centre National de la Recherche Scientifique (CNRS); Ifremer; Institut de Recherche pour le Developpement (IRD); Universite de Montpellier; Ifremer; Institut de Recherche pour le Developpement (IRD); Universite de Carthage; University of East Anglia; Centre for Environment Fisheries &amp; Aquaculture Science; University of Evora; James Cook University</t>
  </si>
  <si>
    <t>Coll, M (corresponding author), CSIC, ICM, Passeig Maritim Barceloneta 37-49, E-08003 Barcelona, Spain.</t>
  </si>
  <si>
    <t>mcoll@icm.csic.es</t>
  </si>
  <si>
    <t>; Pauly, Daniel/AAY-2316-2021; Guilhaumon, François/C-3240-2009; Christensen, Villy/C-3945-2009; , William/F-5104-2013; albouy, camille/H-9317-2012; Coll, Marta/A-9488-2012; Watson, Reg/F-4850-2012; Palomares, Maria Lourdes/K-1641-2019; Steenbeek, Jeroen/F-9936-2016; Mouillot, David/HCH-5670-2022; Piroddi, Chiara/AAD-8895-2019; Cheung, William/F-5104-2013</t>
  </si>
  <si>
    <t>Ben Rais Lasram, Frida/0000-0003-3327-908X; Pauly, Daniel/0000-0003-3756-4793; Guilhaumon, François/0000-0003-4707-8932; Christensen, Villy/0000-0003-0688-2633; , William/0000-0003-3626-1045; albouy, camille/0000-0003-1629-2389; Coll, Marta/0000-0001-6235-5868; Watson, Reg/0000-0001-7201-8865; Palomares, Maria Lourdes/0000-0001-5905-1556; Steenbeek, Jeroen/0000-0002-7878-8075; Piroddi, Chiara/0000-0003-2168-5830;</t>
  </si>
  <si>
    <t>European Community [FP7-PEOPLE-2007-4-1-IOF]; FISHECO [IOF-GA-2009-236316]; Fondation Total; Fondation pour la Recherche sur la Biodiversite; Centre National de la Recherche Scientifique throught program BiodivMEx; University of British Columbia; Pew Environment Group</t>
  </si>
  <si>
    <t>European Community; FISHECO; Fondation Total; Fondation pour la Recherche sur la Biodiversite; Centre National de la Recherche Scientifique throught program BiodivMEx; University of British Columbia; Pew Environment Group</t>
  </si>
  <si>
    <t>MC was funded by a European Community Marie-Curie post-doctoral Fellowship through the International Outgoing Fellowships (Call: FP7-PEOPLE-2007-4-1-IOF) to ECOFUN. DM was supported by a Marie Curie International Outgoing Fellowship (FISHECO) with agreement number IOF-GA-2009-236316. This work was partly funded by Fondation Total, Fondation pour la Recherche sur la Biodiversite (project BIODIVMED) and Centre National de la Recherche Scientifique throught program BiodivMEx. This work was supported by the Sea Around Us project, a scientific collaboration between the University of British Columbia and the Pew Environment Group. We are grateful to all those researchers who contributed to this analysis with their data.</t>
  </si>
  <si>
    <t>1466-822X</t>
  </si>
  <si>
    <t>1466-8238</t>
  </si>
  <si>
    <t>GLOBAL ECOL BIOGEOGR</t>
  </si>
  <si>
    <t>Glob. Ecol. Biogeogr.</t>
  </si>
  <si>
    <t>10.1111/j.1466-8238.2011.00697.x</t>
  </si>
  <si>
    <t>904VT</t>
  </si>
  <si>
    <t>WOS:000301227200007</t>
  </si>
  <si>
    <t>Loveridge, AJ; Valeix, M; Elliot, NB; Macdonald, DW</t>
  </si>
  <si>
    <t>Loveridge, Andrew J.; Valeix, Marion; Elliot, Nicholas B.; Macdonald, David W.</t>
  </si>
  <si>
    <t>African lion; anthropogenic mortality; attractive sinks; bushmeat snaring; ecological traps; Hwange National Park; Panthera leo; protected areas; retaliatory killing; trophy hunting</t>
  </si>
  <si>
    <t>HUMAN-DOMINATED LANDSCAPE; HABITAT SELECTION; POPULATION-DYNAMICS; ECOLOGICAL TRAPS; PROTECTED AREAS; EURASIAN LYNX; PANTHERA-LEO; CONSERVATION; CARNIVORE; CONNECTIVITY</t>
  </si>
  <si>
    <t>1. Demography and conservation status of many wild organisms are increasingly shaped by interactions with humans. This is particularly the case for large, wide-ranging carnivores. 2. Using 206 mortality records (1999-2012) of lions in Hwange National Park, Zimbabwe, we calculated mortality rates for each source of anthropogenic mortality, modelled risk of anthropogenic mortality across the landscape accounting for time lions spent in different parts of the landscape, and assessed whether subsets of the population were more at risk. 3. Anthropogenic activities caused 88% of male and 67% of female mortalities; male mortality being dominated by trophy hunting while the sources for female mortality were more varied (bycatch snaring, retaliatory killing, hunting). 4. Landscapes of anthropogenic mortality risk revealed that communal subsistence farming areas, characterized by high risk (due to retaliatory killing) but avoided by lions, are population sinks. Trophy hunting areas and areas within protected areas bordering communal farmland, where bushmeat snaring is prevalent, form 'ecological traps' (or 'attractive sinks'). 5. Lions avoided risky areas, suggesting they may make behavioural decisions based on perceptions of risk. Experienced adults used risky areas less and incorporated lower proportions of them in their home ranges than young individuals, suggesting that the latter may either be naive or forced into peripheral habitats. 6. Synthesis and applications. This paper contributes to an understanding of how large carnivore populations are affected by anthropogenic mortality across the conservation landscape. This is critical to designing focussed, appropriate and cost-effective conservation management strategies. Agricultural areas are intuitively identified by conservationists as being risky for carnivores due to retaliatory killing, with threats largely mitigated against by improving livestock protection. However, parts of protected areas may also form less easily identified 'attractive sinks' for carnivores. In particular, trophy hunting areas adjacent to national parks need careful management to avoid damaging effects of overhunting. Law enforcement is needed to reduce the effects of bushmeat poaching on predators and other wildlife in protected areas. To be most effective, resource-limited antipoaching activities should prioritize wildlife-rich areas close to human settlement as these tend to be hot spots for bushmeat poaching.</t>
  </si>
  <si>
    <t>[Loveridge, Andrew J.; Valeix, Marion; Elliot, Nicholas B.; Macdonald, David W.] Univ Oxford, Dept Zool, Wildlife Conservat Res Unit, Recanati Kaplan Ctr, Tubney House,Abingdon Rd, Oxford OX13 5QL, England; [Valeix, Marion] Univ Claude Bernard Lyon 1, Lab Biometrie &amp; Biol Evolut, CNRS, UMR 5558, 1 Bat Gregor Mendel,43 Bd 11 Novembre 1918, F-69622 Villeurbanne, France</t>
  </si>
  <si>
    <t>University of Oxford; Centre National de la Recherche Scientifique (CNRS); CNRS - Institute of Ecology &amp; Environment (INEE); VetAgro Sup; Universite Claude Bernard Lyon 1</t>
  </si>
  <si>
    <t>Loveridge, AJ (corresponding author), Univ Oxford, Dept Zool, Wildlife Conservat Res Unit, Recanati Kaplan Ctr, Tubney House,Abingdon Rd, Oxford OX13 5QL, England.</t>
  </si>
  <si>
    <t>andrew.loveridge@zoo.ox.ac.uk</t>
  </si>
  <si>
    <t>VALEIX, Marion/0000-0002-9732-1737</t>
  </si>
  <si>
    <t>Darwin Initiative for Biodiversity Grants [162-09-015, EIDPO002]; Mitsubishi Fund for Europe and Africa; SATIB Trust; Eppley Foundation; Panthera Foundation; Robertson Foundation; Recanati-Kaplan Foundation</t>
  </si>
  <si>
    <t>Darwin Initiative for Biodiversity Grants; Mitsubishi Fund for Europe and Africa; SATIB Trust; Eppley Foundation; Panthera Foundation; Robertson Foundation; Recanati-Kaplan Foundation</t>
  </si>
  <si>
    <t>We thank the Director of ZPWMA for permission to undertake this research and the assistance of ZPWMA and Hwange Lion Project field staff for data collection. Research was supported by Darwin Initiative for Biodiversity Grants 162-09-015 and EIDPO002, Mitsubishi Fund for Europe and Africa, R.G. Frankenberg, Boesak and Kruger, Rufford Maurice Laing, SATIB Trust, Eppley, Panthera, Robertson and, Recanati-Kaplan Foundations and Riv and Joan Winant. Funders had no role in study design, data collection, data analysis, manuscript preparation or decision to submit.</t>
  </si>
  <si>
    <t>10.1111/1365-2664.12794</t>
  </si>
  <si>
    <t>WOS:000401239100015</t>
  </si>
  <si>
    <t>Yang, W; Li, M; Sun, T; Jin, YW</t>
  </si>
  <si>
    <t>Yang, Wei; Li, Ming; Sun, Tao; Jin, Yuwan</t>
  </si>
  <si>
    <t>Tidal barrier; Freshwater releases; Macrobenthos community; Synergistic effect; Yellow River Delta; China</t>
  </si>
  <si>
    <t>ECOLOGICAL RISK; FOOD-WEB; BIODIVERSITY; SUCCESSION; IMPACTS; MARSHES; FLOWS</t>
  </si>
  <si>
    <t>Tidal barriers isolate intertidal areas from tides, creating distinct conditions on either side of the barrier, and freshwater releases change the receiving area's hydrology and salinity. However, the combined effect of these human actions is unknown. Using the macrobenthos community as a bioindicator, we sampled part of the northern Yellow River Delta that has been managed using tidal barriers and freshwater releases, in the spring and autumn of 2014, before and after the summer freshwater release. The macrobenthos communities differed greatly on opposite sides of the barrier. During the spring, 7 to 8 species were found inside the barrier (mainly Insecta and Crustacea), versus 22 in the intertidal area (mainly Polychaetes, Mollusca, Crustacea, and Insecta). During the autumn, 10 to 13 species were found inside the barrier and 16 in the intertidal area. Non-metric multidimensional scaling and hierarchical clustering divided the macrobenthos communities into groups that mostly agreed with the spatial distribution of the investigated areas. The characteristics of the modified ecosystems determined the similarity of the macrobenthos communities. The effects of the tidal barriers and the freshwater releases interacted: the barriers decreased sediment salinity compared with that in the intertidal area, and freshwater releases increased this differentiation. To restore the delta's original freshwater ecosystems, the tidal barriers are required to contain the freshwater releases. In addition, the effects of the freshwater releases were generally positive. Therefore, it is reasonable to retain the barriers and to continue or increase these releases. (C) 2016 Elsevier Ltd. All rights reserved.</t>
  </si>
  <si>
    <t>[Yang, Wei; Li, Ming; Sun, Tao; Jin, Yuwan] Beijing Normal Univ, Sch Environm, State Key Lab Water Environm Simulat, Beijing 100875, Peoples R China</t>
  </si>
  <si>
    <t>Beijing Normal University</t>
  </si>
  <si>
    <t>Yang, W (corresponding author), 9 Xinjiekouwai St, Beijing, Peoples R China.</t>
  </si>
  <si>
    <t>yangwei@bnu.edu.cn</t>
  </si>
  <si>
    <t>Yang, Wei/0000-0003-1353-846X</t>
  </si>
  <si>
    <t>National Basic Research Program of China (973 Program) [2013CB430402]; National Science Foundation for Innovative Research Group [51421065]; National Natural Science Foundation of China [51279008, 51579012]; Fundamental Research Funds for the Central Universities [2012CXQT02]</t>
  </si>
  <si>
    <t>National Basic Research Program of China (973 Program)(National Basic Research Program of China); National Science Foundation for Innovative Research Group; National Natural Science Foundation of China(National Natural Science Foundation of China (NSFC)); Fundamental Research Funds for the Central Universities(Fundamental Research Funds for the Central Universities)</t>
  </si>
  <si>
    <t>We thank the National Basic Research Program of China (973 Program, No. 2013CB430402), the National Science Foundation for Innovative Research Group (No. 51421065), the National Natural Science Foundation of China (No. 51279008 and 51579012), and the Fundamental Research Funds for the Central Universities (No. 2012CXQT02) for their financial support. We also thank Geoffrey Hart for providing language help during the writing of this paper.</t>
  </si>
  <si>
    <t>10.1016/j.ocecoaman.2016.11.024</t>
  </si>
  <si>
    <t>EI2YE</t>
  </si>
  <si>
    <t>WOS:000392355100008</t>
  </si>
  <si>
    <t>Assunçao, ACR; Alexandrino, RV; Caiafa, AN; de Oliveira, G</t>
  </si>
  <si>
    <t>Ribeiro Assuncao, Andressa Cristina; Alexandrino, Ricardo Vieira; Caiafa, Alessandra Nasser; de Oliveira, Guilherme</t>
  </si>
  <si>
    <t>Environmental suitability; Ecological niche model; Ensemble forecast; Downscaling; Phytosociology; Management interventions</t>
  </si>
  <si>
    <t>LAM. MORACEAE; LAND-USE; SUSTAINABLE DEVELOPMENT; BIODIVERSITY HOTSPOTS; BIOTIC STABILITY; PLANT INVASIONS; CONSERVATION; VULNERABILITY; COMMUNITIES; ECOCLIMATE</t>
  </si>
  <si>
    <t>Protected areas (PAs) are a cornerstone to biodiversity conservation, reducing the negative effects of human occupation on the biodiversity persistence. However, the implementation of PAs does not always mitigate the impacts of human occupation such as biological invasions and climatic changes. We evaluated the effect of the invasion of Artocarpus heterophyllus, the jackfruit, over Atlantic Forest PAs, under the influence of climate changes and across scales. The environmental suitability of jackfruit for preindustrial, future (2080), and delta (=future-preindustrial) was used to establish the risk of invasiveness. To validate the hypothesis that PAs have higher jackfruit invasiveness than usual in preindustrial, future, and delta periods, we used a null model. We conducted a phytosociological study in Guariru Natural Heritage Private Reserve (NHPR) for evaluating the effect of jackfruit on species richness. The Atlantic Forest PAs have higher jackfruit environmental suitability than expected for both preindustrial, future, and delta periods. In Guariru NHPR, the presence of jackfruit was inversely proportional to the species richness. The combined effect of jackfruit invasion and climatic changes showed that the Atlantic Forest PAs are threatened by the effect of jackfruit competitive pressure over native species, thus dominating ecosystems both by density and biomass, in preindustrial, and under climate changes. Guariru NHPR is already losing its biodiversity through the presence of jackfruit, needing management interventions. We strongly recommend that to combat the occurrence of jackfruit in Atlantic Forest PAs, management interventions should be taken to control its persistence, also delineating its role inside the community structure.</t>
  </si>
  <si>
    <t>[Ribeiro Assuncao, Andressa Cristina; Alexandrino, Ricardo Vieira; Caiafa, Alessandra Nasser] Univ Fed Reconcavo Bahia, Ctr Ciencias Agr Ambientais &amp; Biol, Lab Ecol Vegetal &amp; Restauracao Ecol, Setor Ciencias Biol, Cruz Das Almas, Brazil; [de Oliveira, Guilherme] Univ Fed Reconcavo Bahia, Ctr Ciencias Agr Ambientais &amp; Biol, Lab Biogeog Conservacao, Setor Ciencias Biol, Rua Rui Barbosa 710, BR-44380000 Cruz Das Almas, BA, Brazil</t>
  </si>
  <si>
    <t>Universidade Federal do Reconcavo da Bahia; Universidade Federal do Reconcavo da Bahia</t>
  </si>
  <si>
    <t>de Oliveira, G (corresponding author), Univ Fed Reconcavo Bahia, Ctr Ciencias Agr Ambientais &amp; Biol, Lab Biogeog Conservacao, Setor Ciencias Biol, Rua Rui Barbosa 710, BR-44380000 Cruz Das Almas, BA, Brazil.</t>
  </si>
  <si>
    <t>guilhermeoliveirabio@yahoo.com.br</t>
  </si>
  <si>
    <t>de Oliveira, Guilherme/S-1531-2019; Caiafa, Alessandra/AAM-2068-2020</t>
  </si>
  <si>
    <t>Conselho Nacional de Desenvolvimento Cientifico e Tecnologico (CNPq) [442103/2014-0]; Incentive Program for Atlantic Forest Natural Heritage Private Reserves; MCTIC/CNPq [465610/2014-5]; FAPEG</t>
  </si>
  <si>
    <t>Conselho Nacional de Desenvolvimento Cientifico e Tecnologico (CNPq)(Conselho Nacional de Desenvolvimento Cientifico e Tecnologico (CNPQ)); Incentive Program for Atlantic Forest Natural Heritage Private Reserves; MCTIC/CNPq(Conselho Nacional de Desenvolvimento Cientifico e Tecnologico (CNPQ)); FAPEG(Fundacao de Amparo a Pesquisa do Estado do Goias (FAPEG))</t>
  </si>
  <si>
    <t>This work was supported by Conselho Nacional de Desenvolvimento Cientifico e Tecnologico (CNPq) [442103/2014-0], and Incentive Program for Atlantic Forest Natural Heritage Private Reserves, coordinated by Conservation International Brasil, Fundacao SOS Mata Atlantica, and The Nature Conservancy [Ed. X-2011]. We developed our work in the context of the National Institutes for Science and Technology (INCT) in Ecology, Evolution and Biodiversity Conservation, supported by MCTIC/CNPq [465610/2014-5] and FAPEG. The authors are grateful to the suggestions and comments of two anonymous reviewers which improved and clarified the manuscript.</t>
  </si>
  <si>
    <t>10.1007/s10530-018-1840-y</t>
  </si>
  <si>
    <t>HM3TM</t>
  </si>
  <si>
    <t>WOS:000459397200017</t>
  </si>
  <si>
    <t>Pitman, RT; Swanepoel, LH; Hunter, L; Slotow, R; Balme, GA</t>
  </si>
  <si>
    <t>Pitman, Ross T.; Swanepoel, Lourens H.; Hunter, Luke; Slotow, Rob; Balme, Guy A.</t>
  </si>
  <si>
    <t>Leopard; Panthera pardus; Human-carnivore conflict; Harvest rates; Trophy hunting; Problem animal</t>
  </si>
  <si>
    <t>LEOPARDS PANTHERA-PARDUS; CONSERVATION; HABITAT; POPULATIONS; MISMATCHES; PREDATION; SYSTEMS; AFRICA</t>
  </si>
  <si>
    <t>Management zones feature prominently in conservation planning, particularly at large spatial scales, but prioritization of areas of concern is required to focus efforts and limited resources. Human-mediated mortality constitutes a major threat to species persistence, particularly for widespread carnivores that undergo harvest and population control, such as the leopard (Panthera pardus). In this study, we evaluated the extent and spatial distribution of legal anthropogenic offtake of leopards to identify de facto refugia and ecological traps across Limpopo Province, South Africa. We defined refugia as management units with offtake levels below an established sustainable harvest rate, and ecological traps as management units with offtake exceeding the sustainable harvest rate. We assessed offtake at three geographical scales using trophy hunting permit records alone, and then in combination with problem leopard permit records to investigate the compounding effect of additional forms of offtake and the potential for management scale mismatching. Across Limpopo Province, high leopard offtake created fewer areas of refuge than ecological traps. Refugia were smaller in size and within close proximity of ecological traps. Human-mediated leopard mortality occurred mostly in prime leopard habitat. Finer-scaled management units resulted in fewer ecological traps and more refugia, and enables authorities to focus conservation attention in areas of concern. Human-mediated leopard mortality exceeded the annual offtake rate considered sustainable. Our study highlights the importance of assessing both the scale and distribution of the harvest, whilst also considering alternative forms of offtake, when devising harvest management strategies. Management scale mismatching and high human-mediated leopard mortality is of particular concern in Limpopo Province, as such, we propose an adaptive, science-based regulatory framework aimed at improving leopard harvest strategies.</t>
  </si>
  <si>
    <t>[Pitman, Ross T.; Hunter, Luke; Slotow, Rob] Univ KwaZulu Natal, Sch Life Sci, ZA-4000 Durban, South Africa; [Swanepoel, Lourens H.] Univ Venda, South African Res Chair Biodivers Value &amp; Change, Dept Zool, ZA-0950 Thohoyandou, South Africa; [Swanepoel, Lourens H.] Univ Pretoria, Ctr Wildlife Management, ZA-0002 Pretoria, South Africa; [Balme, Guy A.] Univ Cape Town, Dept Biol Sci, ZA-7701 Cape Town, South Africa; [Hunter, Luke; Balme, Guy A.] Panthera, New York, NY 10018 USA; [Slotow, Rob] UCL, Dept Genet Evolut &amp; Environm, London, England</t>
  </si>
  <si>
    <t>University of Kwazulu Natal; University of Venda; University of Pretoria; University of Cape Town; University of London; University College London</t>
  </si>
  <si>
    <t>Pitman, RT (corresponding author), Univ KwaZulu Natal, Sch Life Sci, Westville Campus, ZA-4000 Durban, South Africa.</t>
  </si>
  <si>
    <t>rosstyzackpitman@me.com</t>
  </si>
  <si>
    <t>; Slotow, Rob/AAM-9053-2020; Pitman, Ross/B-2289-2013; Swanepoel, L/O-3226-2019; Hunter, Luke/H-3324-2019</t>
  </si>
  <si>
    <t>Slotow, Rob/0000-0001-9469-1508;</t>
  </si>
  <si>
    <t>Panthera; Panthera Kaplan Graduate Award; South African National Research Foundation (NRF) [83690]; NRF [88179]</t>
  </si>
  <si>
    <t>Panthera; Panthera Kaplan Graduate Award; South African National Research Foundation (NRF)(National Research Foundation - South Africa); NRF</t>
  </si>
  <si>
    <t>This study was funded by Panthera. R.T.P was supported by a Panthera Kaplan Graduate Award and a South African National Research Foundation (NRF) bursary (#83690). L.H.S was supported by a NRF post-doctoral fellowship (#88179). We thank the LEDET and staff for granting access to the relevant data and assistance in data collection.</t>
  </si>
  <si>
    <t>10.1007/s10531-015-0921-9</t>
  </si>
  <si>
    <t>CN7VX</t>
  </si>
  <si>
    <t>WOS:000358643500008</t>
  </si>
  <si>
    <t>Borrelli, P; Armenteras, D; Panagos, P; Modugno, S; Schütt, B</t>
  </si>
  <si>
    <t>Borrelli, Pasquale; Armenteras, Dolors; Panagos, Panos; Modugno, Sirio; Schuett, Brigitta</t>
  </si>
  <si>
    <t>The Implications of Fire Management in the Andean Paramo: A Preliminary Assessment Using Satellite Remote Sensing</t>
  </si>
  <si>
    <t>REMOTE SENSING</t>
  </si>
  <si>
    <t>vegetation monitoring; Landsat; MODIS; FIRMS; image differencing; dNDVI; dNBR; land degradation; logistic regression analysis</t>
  </si>
  <si>
    <t>NORTHERN ANDES; BURN SEVERITY; FOREST COVER; RAINFALL; HISTORY; INDICATOR; COLOMBIA; TIME; SOIL</t>
  </si>
  <si>
    <t>The upper ranges of the northern Andes are characterized by unique Neotropical, high altitude ecosystems known as paramos. These tundra-like grasslands are widely recognized by the scientific community for their biodiversity and their important ecosystem services for the local human population. Despite their remoteness, limited accessibility for humans and waterlogged soils, paramos are highly flammable ecosystems. They are constantly under the influence of seasonal biomass burning mostly caused by humans. Nevertheless, little is known about the spatial extent of these fires, their regime and the resulting ecological impacts. This paper presents a thorough mapping and analysis of the fires in one of the world's largest paramo, namely the Complejo de Paramos of Cruz Verde-Sumapaz in the Eastern mountain range of the Andes (Colombia). Landsat TM/ETM+ and MODIS imagery from 2001 to 2013 was used to map and analyze the spatial distribution of fires and their intra- and inter-annual variability. Moreover, a logistic regression model analysis was undertaken to test the hypothesis that the dynamics of the paramo fires can be related to human pressures. The resulting map shows that the burned paramo areas account for 57,179.8 hectares, of which 50% (28,604.3 hectares) are located within the Sumapaz National Park. The findings show that the fire season mainly occurs from January to March. The accuracy assessment carried out using a confusion matrix based on 20 reference burned areas shows values of 90.1% (producer accuracy) for the mapped burned areas with a Kappa Index of Agreement (KIA) of 0.746. The results of the logistic regression model suggest a significant predictive relevance of the variables road distance (0.55 ROC (receiver operating characteristic)) and slope gradient (0.53 ROC), indicating that the higher the probability of fire occurrence, the smaller the distance to the road and the higher the probability of more gentle slopes. The paper sheds light on fires in the Colombian paramos and provides a solid basis for further investigation of the impacts on the natural ecosystem functions and biodiversity.</t>
  </si>
  <si>
    <t>[Borrelli, Pasquale; Panagos, Panos] European Commiss, Joint Res Ctr, Inst Environm &amp; Sustainabil, I-21027 Ispra, Italy; [Borrelli, Pasquale; Schuett, Brigitta] Free Univ Berlin, Dept Earth Sci, Phys Geog, D-12249 Berlin, Germany; [Armenteras, Dolors] Univ Nacl Colombia, Fac Ciencias, Dept Biol, Grp ECOLMOD Ecol Paisaje &amp; Modelac Ecosistemas, Bogota, Colombia; [Modugno, Sirio] Univ Cassino &amp; Southern Lazio, Dept Human Sci Social &amp; Hlth, I-03043 Cassino, Italy</t>
  </si>
  <si>
    <t>European Commission Joint Research Centre; EC JRC ISPRA Site; Free University of Berlin; Universidad Nacional de Colombia; University of Cassino</t>
  </si>
  <si>
    <t>Borrelli, P (corresponding author), European Commiss, Joint Res Ctr, Inst Environm &amp; Sustainabil, Via E Fermi 2749, I-21027 Ispra, Italy.</t>
  </si>
  <si>
    <t>pasquale.borrelli@jrc.ec.europa.eu; darmenterasp@unal.edu.co; panos.panagos@jrc.ec.europa.eu; sirio.modugno@gmail.com; Brigitta.Schuett@fu-berlin.de</t>
  </si>
  <si>
    <t>Borrelli, Pasquale/AAF-6547-2019; Panagos, Panos/F-1699-2011; Armenteras, Dolors/A-4000-2010</t>
  </si>
  <si>
    <t>Borrelli, Pasquale/0000-0002-4767-5115; Panagos, Panos/0000-0003-1484-2738; Armenteras, Dolors/0000-0003-0922-7298</t>
  </si>
  <si>
    <t>Bundesministerium fur Bildung und Forschung (Federal Ministry of Education and Research) [01DN13030]</t>
  </si>
  <si>
    <t>Bundesministerium fur Bildung und Forschung (Federal Ministry of Education and Research)(Federal Ministry of Education &amp; Research (BMBF))</t>
  </si>
  <si>
    <t>The authors are grateful to the National Aeronautics and Space Administration (NASA) and the United States Geological Survey (USGS), who have kindly provided the Landsat imagery. This study and the field work activities were supported by the financial help of the Bundesministerium fur Bildung und Forschung (Federal Ministry of Education and Research). Project number: 01DN13030.</t>
  </si>
  <si>
    <t>2072-4292</t>
  </si>
  <si>
    <t>REMOTE SENS-BASEL</t>
  </si>
  <si>
    <t>Remote Sens.</t>
  </si>
  <si>
    <t>10.3390/rs70911061</t>
  </si>
  <si>
    <t>Environmental Sciences; Geosciences, Multidisciplinary; Remote Sensing; Imaging Science &amp; Photographic Technology</t>
  </si>
  <si>
    <t>Environmental Sciences &amp; Ecology; Geology; Remote Sensing; Imaging Science &amp; Photographic Technology</t>
  </si>
  <si>
    <t>CT0UA</t>
  </si>
  <si>
    <t>WOS:000362511400003</t>
  </si>
  <si>
    <t>Mcdonald, RI; Kareiva, P; Formana, RTT</t>
  </si>
  <si>
    <t>Mcdonald, Robert I.; Kareiva, Peter; Formana, Richard T. T.</t>
  </si>
  <si>
    <t>alliance for zero extinction database; ecoregions; international union for conservation of nature (IUCN) red list; land-cover change; parks; urban sprawl</t>
  </si>
  <si>
    <t>HUMAN-POPULATION DENSITY; HABITAT FRAGMENTATION; SOUTHERN CALIFORNIA; SPECIES-DIVERSITY; ECOREGIONS; EXTINCTION; PARKS; MANAGEMENT; PRIORITIES; HOTSPOTS</t>
  </si>
  <si>
    <t>Due to human population growth and migration, there will be nearly 2 billion new urban residents by 2030, yet the consequences of both current and future urbanization for biodiversity conservation are poorly known. Here we show that urban growth will have impacts on ecoregions, rare species, and protected areas that are localized but cumulatively significant. Currently, 29 of the world's 825 ecoregions have over one-third of their area, urbanized, and these 29 ecoregions are the only home of 213 endemic terrestrial vertebrate species. Our analyses suggest that 8% of terrestrial vertebrate species on the IUCN Red List are imperiled largely because of urban development. By 2030, 15 additional ecoregions are expected to lose more than 5% of their remaining undeveloped area, and they contain 118 vertebrate species found nowhere else. Of the 779 rare species with only one known population globally, 24 are expected to be impacted by urban growth. In addition, the distance between protected areas and cities is predicted to shrink dramatically in some regions: for example, the median distance from a protected area to a city in Eastern Asia is predicted to fall from 43 km to 23 km by 2030. Most protected areas likely to be impacted by new urban growth (88%) are in countries of low to moderate income, potentially limiting institutional capacity to adapt to new anthropogenic stresses on protected areas. In short, trends in global ecoregions, rare species, and protected areas suggest localized but significant biodiversity degradation associated with current and upcoming urbanization. (c) 2008 Elsevier Ltd. All rights reserved.</t>
  </si>
  <si>
    <t>[Mcdonald, Robert I.; Formana, Richard T. T.] Harvard Univ, Grad Sch Design, Cambridge, MA 02138 USA; [Kareiva, Peter] Nature Conservancy, Seattle, WA 98105 USA</t>
  </si>
  <si>
    <t>Harvard University; Nature Conservancy</t>
  </si>
  <si>
    <t>Mcdonald, RI (corresponding author), Nature Conservancy, 4245 N Fairfax Dr, Arlington, VA 22203 USA.</t>
  </si>
  <si>
    <t>rmcdonald@gsd.harvard.edu; pkareiva@tnc.org; rforman@gsd.harvard.edu</t>
  </si>
  <si>
    <t>McDonald, Robert/0000-0002-7273-6549</t>
  </si>
  <si>
    <t>10.1016/j.biocon.2008.04.025</t>
  </si>
  <si>
    <t>324RQ</t>
  </si>
  <si>
    <t>WOS:000257536100023</t>
  </si>
  <si>
    <t>Zhu, P; Cao, W; Huang, L; Xiao, T; Zhai, J</t>
  </si>
  <si>
    <t>Zhu, Ping; Cao, Wei; Huang, Lin; Xiao, Tong; Zhai, Jun</t>
  </si>
  <si>
    <t>The Impacts of Human Activities on Ecosystems within China's Nature Reserves</t>
  </si>
  <si>
    <t>national nature reserves; human activities; land cover changes; nighttime light; vegetation fraction; net primary productivity; China</t>
  </si>
  <si>
    <t>LAND-USE CHANGE; PROTECTED AREAS; CLIMATE-CHANGE; GLOBAL BIODIVERSITY; EXTINCTION RISK; FUTURE; DIVERSITY; SCENARIOS; SATELLITE; TRENDS</t>
  </si>
  <si>
    <t>Protected areas (PAs) provide refuges for threatened species and are considered to be the most important approach to biodiversity conservation. Besides climate change, increasing human population is the biggest threat to biodiversity and habitats in PAs. In this paper, the temporal and spatial variations of land cover changes (LCC), vegetation fraction (VFC), and net primary productivity (NPP) were studied to present the ecosystem dynamics of habitats in 6 different types of national nature reserves (NNRs) in 8 climate zones in China. Furthermore, we used Defense Meteorological Satellite Program/Operational Linescan System (DMSP/OLS) nighttime light datasets and the human disturbance (HD) index estimated from LCC to quantify the living and developing human pressures within the NNRs in the period 2000-2013. The results showed that (1) the living human activities of NNRs increased apparently in the humid warm-temperate zone, Qinghai-Tibet Plateau, mid-temperate semi-arid zone, and mid-temperate humid zone, with the highest increase of nighttime light observed in inland wetlands; (2) the developing human activities in NNRs indicated by the HD index were higher in the humid warm-temperate zone and mid-temperate semi-arid zone as a result of increasing areas of agricultural and built activities, and lower in the sub-tropics due to improved conservation of forest ecosystems; (3) the relationship between HD and VFC suggests that ecosystems in most NNRs of south-subtropics, mid-temperate arid zone and Qinghai-Tibet Plateau were predominantly impacted by climate change. However, HDs were the prevalent factor of ecosystem dynamics in most NNRs of north-subtropics, mid-temperate semi-arid and humid zones.</t>
  </si>
  <si>
    <t>[Zhu, Ping; Cao, Wei; Huang, Lin] Chinese Acad Sci, Inst Geog Sci &amp; Nat Resources Res, Key Lab Land Surface Pattern &amp; Simulat, Beijing 100101, Peoples R China; [Zhu, Ping; Cao, Wei; Huang, Lin] Univ Chinese Acad Sci, Beijing 100049, Peoples R China; [Xiao, Tong; Zhai, Jun] Minist Ecol &amp; Environm Peoples Republ China, Satellite Environm Ctr, Beijing 100094, Peoples R China</t>
  </si>
  <si>
    <t>Chinese Academy of Sciences; Institute of Geographic Sciences &amp; Natural Resources Research, CAS; Chinese Academy of Sciences; University of Chinese Academy of Sciences, CAS</t>
  </si>
  <si>
    <t>Huang, L (corresponding author), Chinese Acad Sci, Inst Geog Sci &amp; Nat Resources Res, Key Lab Land Surface Pattern &amp; Simulat, Beijing 100101, Peoples R China.;Huang, L (corresponding author), Univ Chinese Acad Sci, Beijing 100049, Peoples R China.</t>
  </si>
  <si>
    <t>zhup.15s@igsnrr.ac.cn; caowei@igsnrr.ac.cn; huanglin@igsnrr.ac.cn; xt_earth@sina.com; zhaij@lreis.ac.cn</t>
  </si>
  <si>
    <t>; Huang, Lin/JNS-7316-2023</t>
  </si>
  <si>
    <t>Zhai, Jun/0000-0001-5272-1158; ZHU, PING/0000-0001-7701-2817;</t>
  </si>
  <si>
    <t>National Key Research and Development Program [2017YFC0506404]; Key Programs for Frontier Science of the Chinese Academy of Sciences [QYZDB-SSW-DQC005]</t>
  </si>
  <si>
    <t>National Key Research and Development Program(National Key Research &amp; Development Program of China); Key Programs for Frontier Science of the Chinese Academy of Sciences</t>
  </si>
  <si>
    <t>This research was funded by The National Key Research and Development Program, No. 2017YFC0506404 and the Key Programs for Frontier Science of the Chinese Academy of Sciences, No. QYZDB-SSW-DQC005.</t>
  </si>
  <si>
    <t>MDPI AG, Grosspeteranlage 5, CH-4052 BASEL, SWITZERLAND</t>
  </si>
  <si>
    <t>10.3390/su11236629</t>
  </si>
  <si>
    <t>KD9MV</t>
  </si>
  <si>
    <t>WOS:000508186400101</t>
  </si>
  <si>
    <t>Boulanger, J; Stenhouse, GB</t>
  </si>
  <si>
    <t>Boulanger, John '; Stenhouse, Gordon B.</t>
  </si>
  <si>
    <t>The Impact of Roads on the Demography of Grizzly Bears in Alberta</t>
  </si>
  <si>
    <t>HABITAT SELECTION; BRITISH-COLUMBIA; BODY-CONDITION; MORTALITY; SURVIVAL; FRAGMENTATION; POPULATIONS; DISTURBANCE; MOUNTAINS; INVENTORY</t>
  </si>
  <si>
    <t>One of the principal factors that have reduced grizzly bear populations has been the creation of human access into grizzly bear habitat by roads built for resource extraction. Past studies have documented mortality and distributional changes of bears relative to roads but none have attempted to estimate the direct demographic impact of roads in terms of both survival rates, reproductive rates, and the interaction of reproductive state of female bears with survival rate. We applied a combination of survival and reproductive models to estimate demographic parameters for threatened grizzly bear populations in Alberta. Instead of attempting to estimate mean trend we explored factors which caused biological and spatial variation in population trend. We found that sex and age class survival was related to road density with subadult bears being most vulnerable to road-based mortality. A multi-state reproduction model found that females accompanied by cubs of the year and/or yearling cubs had lower survival rates compared to females with two year olds or no cubs. A demographic model found strong spatial gradients in population trend based upon road density. Threshold road densities needed to ensure population stability were estimated to further refine targets for population recovery of grizzly bears in Alberta. Models that considered lowered survival of females with dependant offspring resulted in lower road density thresholds to ensure stable bear populations. Our results demonstrate likely spatial variation in population trend and provide an example how demographic analysis can be used to refine and direct conservation measures for threatened species.</t>
  </si>
  <si>
    <t>[Boulanger, John '] Integrated Ecol Res, Nelson, BC, Canada; [Stenhouse, Gordon B.] Foothills Res Inst, Hinton, AB, Canada</t>
  </si>
  <si>
    <t>Boulanger, J (corresponding author), Integrated Ecol Res, Nelson, BC, Canada.</t>
  </si>
  <si>
    <t>boulange@ecological.bc.ca</t>
  </si>
  <si>
    <t>Boulanger, John/0000-0001-8222-1445</t>
  </si>
  <si>
    <t>Foothills Research Institute; National Science and Engineering Research Council (NSERC); Canadian Forestry Company (CANFOR); Conoco Phillips; Shell Canada Ltd.; Suncor Energy Inc.; Sundance Forest Industry Ltd.; Talisman Energy Inc.; TransCanada Pipelines Ltd.; Weyerhaeuser Company Ltd.; Foothills Research Institute Grizzly Bear Project</t>
  </si>
  <si>
    <t>Foothills Research Institute; National Science and Engineering Research Council (NSERC)(Natural Sciences and Engineering Research Council of Canada (NSERC)); Canadian Forestry Company (CANFOR); Conoco Phillips; Shell Canada Ltd.; Suncor Energy Inc.; Sundance Forest Industry Ltd.; Talisman Energy Inc.; TransCanada Pipelines Ltd.; Weyerhaeuser Company Ltd.; Foothills Research Institute Grizzly Bear Project</t>
  </si>
  <si>
    <t>Funding for this work was from the Foothills Research Institute, National Science and Engineering Research Council (NSERC), Canadian Forestry Company (CANFOR), Conoco Phillips, Shell Canada Ltd., Suncor Energy Inc., Sundance Forest Industry Ltd., Talisman Energy Inc., TransCanada Pipelines Ltd., Weyerhaeuser Company Ltd. and other research partners of the Foothills Research Institute Grizzly Bear Project. The full list of research partners and funders of the Foothill Research Institute are: Ainsworth Lumber, Alberta Biodiversity Monitoring Program, Alberta Conservation Association, Alberta Upstream Oil and Gas Research Fund, Alberta Energy Regulator, Alberta Ecotrust, Alberta Environment Sustainable Research and Development (Government of Alberta), Alberta Fish and Game, Alberta Newsprint, Alberta Advanced Education and Technology (Innovation and Science), Alberta Innovates -Biosolutions, Alberta Upstream Petroleum Research Fund, Anadarko Anderson Exploration Ltd., Anderson Resources Ltd., BP Canada Energy Company, Banff National Park, BC Oil &amp; Gas Commission, Buchanan Lumber-Tolko, Burlington Resources Ltd., Canada Centre for Remote Sensing, Canadian Hunter, Canadian Wildlife Service, Canfor, Cardinal River Operations, Canadian Forest Service, Conoco Phillips Ltd.,</t>
  </si>
  <si>
    <t>DEC 22</t>
  </si>
  <si>
    <t>e115535</t>
  </si>
  <si>
    <t>10.1371/journal.pone.0115535</t>
  </si>
  <si>
    <t>CA3ZY</t>
  </si>
  <si>
    <t>WOS:000348845100074</t>
  </si>
  <si>
    <t>Malavasi, M; Santoro, R; Cutini, M; Acosta, ATR; Carranza, ML</t>
  </si>
  <si>
    <t>Malavasi, M.; Santoro, R.; Cutini, M.; Acosta, A. T. R.; Carranza, M. Laura</t>
  </si>
  <si>
    <t>PLANT BIOSYSTEMS</t>
  </si>
  <si>
    <t>species guilds (e.g. typical, ruderal, alien); spatial pattern; cover types; Coastal dune conservation; plant richness</t>
  </si>
  <si>
    <t>HABITAT FRAGMENTATION; FOREST FRAGMENTATION; SPATIAL-PATTERN; CLIMATE-CHANGE; DIVERSITY; VEGETATION; CONNECTIVITY; DISTURBANCE; ECOSYSTEMS; AREA</t>
  </si>
  <si>
    <t>We analyze the spatial patterns of natural dune cover patches and their plant richness, comparing coastal sites with different levels of human pressure in central Italy. We created a detailed land cover map of dune sites. The spatial pattern of natural dune cover types was characterized by computing a set of patch-based metrics. To quantify patch plant richness, we used 16m(2) vegetation plots, randomly distributed on coastal dune cover types. For each patch, the richness of the entire pool of species and of three guilds (i.e., typical dune, ruderal, and alien species) was considered. We compared different levels of human pressure on coastal dunes focusing on pattern metrics and floristic information by using the nonparametric Kruskal-Wallis test. In sites with high human pressure, we have observed a general simplification in the natural dune spatial pattern and a decline of plant richness but with a specific response for each cover type. Alien and ruderal species presented low richness in all patches. In coastal dunes, the harsh ecological conditions and the strong sea-inland gradient shape the distribution of human activities and control the number of ruderal species. The approach effectively describes fragmentation and biodiversity in dune ecosystems.</t>
  </si>
  <si>
    <t>[Malavasi, M.; Santoro, R.; Cutini, M.; Acosta, A. T. R.] Univ Rome Tre, Dipartimento Sci, Vle Marconi 446, I-00146 Rome, Italy; [Carranza, M. Laura] Univ Molise, Dipartimento Biosci &amp; Terr, EnviX Lab, I-86090 Pesche, IS, Italy</t>
  </si>
  <si>
    <t>Roma Tre University; University of Molise</t>
  </si>
  <si>
    <t>Carranza, ML (corresponding author), Univ Molise, Dipartimento Biosci &amp; Terr, EnviX Lab, I-86090 Pesche, IS, Italy.</t>
  </si>
  <si>
    <t>carranza@unimol.it</t>
  </si>
  <si>
    <t>Acosta, Alicia T R/E-3653-2012; Carranza, Maria Laura/E-7698-2012; CUTINI, Maurizio/HSG-1681-2023; Malavasi, Marco/AAM-1324-2020</t>
  </si>
  <si>
    <t>Acosta, Alicia T R/0000-0001-6572-3187; Carranza, Maria Laura/0000-0001-5753-890X; CUTINI, Maurizio/0000-0002-8597-8221; Malavasi, Marco/0000-0002-9639-1784</t>
  </si>
  <si>
    <t>ENVEUROPE project [LIFE08 ENV/IT/000339]</t>
  </si>
  <si>
    <t>ENVEUROPE project</t>
  </si>
  <si>
    <t>This work was partially funded by ENVEUROPE project [grant number LIFE08 ENV/IT/000339].</t>
  </si>
  <si>
    <t>TAYLOR &amp; FRANCIS LTD</t>
  </si>
  <si>
    <t>ABINGDON</t>
  </si>
  <si>
    <t>2-4 PARK SQUARE, MILTON PARK, ABINGDON OR14 4RN, OXON, ENGLAND</t>
  </si>
  <si>
    <t>1126-3504</t>
  </si>
  <si>
    <t>1724-5575</t>
  </si>
  <si>
    <t>PLANT BIOSYST</t>
  </si>
  <si>
    <t>Plant Biosyst.</t>
  </si>
  <si>
    <t>JAN 2</t>
  </si>
  <si>
    <t>10.1080/11263504.2014.913730</t>
  </si>
  <si>
    <t>Plant Sciences</t>
  </si>
  <si>
    <t>DE9OK</t>
  </si>
  <si>
    <t>WOS:000370967200009</t>
  </si>
  <si>
    <t>Porobic, J; Fulton, EA; Parada, C; Frusher, S; Ernst, B; Manríquez, P</t>
  </si>
  <si>
    <t>Porobic, Javier; Fulton, Elizabeth A.; Parada, Carolina; Frusher, Stewart; Ernst, Billy; Manriquez, Pablo</t>
  </si>
  <si>
    <t>LOBSTER JASUS-EDWARDSII; CRAB CHACEON-CHILENSIS; ROBINSON-CRUSOE ISLAND; SEA SEAMOUNT FISHERIES; ROCK LOBSTER; HOPLOSTETHUS-ATLANTICUS; MARINE ECOSYSTEMS; SPINY LOBSTER; ORANGE ROUGHY; ARCHIPELAGO</t>
  </si>
  <si>
    <t>The Juan Fernandez Ridge (JFRE) is a vulnerable marine ecosystem (VME) located off the coast of central Chile formed by the Juan Fernandez Archipelago and a group of seamounts. This ecosystem has unique biological and oceanographic features, characterized by: small geographical units, high degree of endemism with a high degree of connectivity within the system. Two fleets have historically operated in this system: a long term coastal artisanal fishery associated with the Islands, focused mainly on lobster, and a mainland based industrial demersal finfish fishery operating on the seamounts which is currently considered overexploited. The management of these fisheries has been based on a classical single-species approach to determine output controls (industrial fleet) and a mixed management system with formal and informal components (artisanal fleet). There has been growing interest in increasing the exploitation of fisheries, and modernization of the fishing fleet already operating in the JFRE. Under this scenario of increased levels of fishing exploitation and the high level of interrelation of species it might be necessary to understand the impact of these fisheries from a holistic perspective based on a ecosystem-based modeling approach. To address these challenges we developed an Atlantis end-to-end model was configured for this ecosystem. The implemented model has a high degree of skill in representing the observed trends and fluctuations of the JFRE. The model shows that the industrial fishing has a localized impact and the artisanal fisheries have a relatively low impact on the ecosystem, mainly via the lobster fishery. The model indicates that the depletion of large sized lobster has leads to an increase in the population of sea urchins. Although this increase is not sufficient, as yet, to cause substantial flow-on effects to other groups, caution is advised in case extra pressure leads the ecosystem towards a regime shift.</t>
  </si>
  <si>
    <t>[Porobic, Javier] Inst Marine &amp; Antarctic Studies, Quantitat Marine Sci Program, Hobart, Tas, Australia; [Porobic, Javier; Fulton, Elizabeth A.] CSIRO Oceans &amp; Atmosphere, Hobart, Tas, Australia; [Porobic, Javier] Univ Tasmania, Inst Marine &amp; Antarctic Studies, Hobart, Tas, Australia; [Fulton, Elizabeth A.; Frusher, Stewart] Univ Tasmania, Ctr Marine Socioecol, Hobart, Tas, Australia; [Parada, Carolina] Univ Concepcion, Dept Geofis, Concepcion, Chile; [Parada, Carolina] Univ Concepcion, Inst Milenio Oceanog, Concepcion, Chile; [Parada, Carolina; Ernst, Billy] Univ CatoIica Norte, Dept Biol Marina, Millennium Nucleus Ecol &amp; Sustainable Management, Coquimbo, Chile; [Ernst, Billy; Manriquez, Pablo] Univ Concepcion, Dept Oceanog, Concepcion, Chile</t>
  </si>
  <si>
    <t>University of Tasmania; Commonwealth Scientific &amp; Industrial Research Organisation (CSIRO); CSIRO Oceans &amp; Atmosphere; University of Tasmania; University of Tasmania; Universidad de Concepcion; Universidad de Concepcion; Universidad de Concepcion</t>
  </si>
  <si>
    <t>Porobic, J (corresponding author), CSIRO Oceans &amp; Atmosphere, Hobart, Tas, Australia.;Porobic, J (corresponding author), Univ Tasmania, Inst Marine &amp; Antarctic Studies, Hobart, Tas, Australia.</t>
  </si>
  <si>
    <t>javier.porobicgarate@csiro.au</t>
  </si>
  <si>
    <t>Porobic, Javier/ABE-7495-2021; Fulton, Beth/A-2871-2008; Parada Véliz, Carolina/HXK-1997-2023</t>
  </si>
  <si>
    <t>Porobic, Javier/0000-0001-5642-5372; Parada Véliz, Carolina/0000-0003-1311-5563;</t>
  </si>
  <si>
    <t>Commonwealth Scientific and Industrial Research Organization; Institute for Marine and Antarctic Studies, University of Tasmania; University of Tasmania</t>
  </si>
  <si>
    <t>This work was supported by The Commonwealth Scientific and Industrial Research Organization and the Institute for Marine and Antarctic Studies, University of Tasmania. The author Javier Porobic received a PhD scholarship, part of the Quantitative Marine Science program from the University of Tasmania and The Commonwealth Scientific and Industrial Research Organization. The funders had no role in study design, data collection and analysis, decision to publish, or preparation of the manuscript.</t>
  </si>
  <si>
    <t>FEB 22</t>
  </si>
  <si>
    <t>e0212485</t>
  </si>
  <si>
    <t>10.1371/journal.pone.0212485</t>
  </si>
  <si>
    <t>HM8DR</t>
  </si>
  <si>
    <t>WOS:000459709100076</t>
  </si>
  <si>
    <t>Thonfeld, F; Steinbach, S; Muro, J; Hentze, K; Games, I; Näschen, K; Kauzeni, PF</t>
  </si>
  <si>
    <t>Thonfeld, Frank; Steinbach, Stefanie; Muro, Javier; Hentze, Konrad; Games, Ian; Naeschen, Kristian; Kauzeni, Pellage Francis</t>
  </si>
  <si>
    <t>ISPRS JOURNAL OF PHOTOGRAMMETRY AND REMOTE SENSING</t>
  </si>
  <si>
    <t>Protected area; Conservation; maxEnt; Anthropogenic land use; Land use/land cover change; Land suitability modeling</t>
  </si>
  <si>
    <t>ONE-CLASS CLASSIFICATION; ANTELOPE KOBUS-VARDONI; UDZUNGWA MOUNTAINS; FOREST PLANTATIONS; WETLAND; AFRICA; VALLEY; LIVINGSTONE; MANAGEMENT; TRENDS</t>
  </si>
  <si>
    <t>The Kilombero floodplain in Tanzania is one of the largest wetlands in Africa and at the same time one of the focus regions for agricultural production of the Tanzanian government. Whereas the floodplain received a lot of attention from the scientific community over the past years, little is known about the state of the entire catchment, in particular of its protected areas. We have evaluated how human impact - expressed here as land with specific anthropogenic land use (e.g. settlements, agricultural areas, teak plantations) - varies across the different protection categories (e.g. national park, game reserve, wildlife management area etc.). For that, first we used long-term land use/land cover (LULC) change maps of the Kilombero catchment to assess the human impact per protected area category. Second, we calculated building density per square kilometer as an indicator of existing human pressure. Third, from the anthropogenic LULC area in 2014 we predicted those areas that show similar morphometric, edaphic and bio-climatic conditions in the study region using the maximum-entropy algorithm (maxEnt). Results of the analysis reveal that in 2014 almost half of the Kilombero Ramsar site was covered by anthropogenic land uses, resulting in a share of 17% for all protected areas. Protected areas with strict use regulations such as national parks and game reserves showed virtually no anthropogenic land use throughout the observation period of 40 years (1974-2014), whereas LULC change was higher in unprotected areas. The increase of agricultural land was mainly at the expense of open woodland, floodplain grassland and savanna grassland. Our results further demonstrate that approx. 670.000 ha of the Kilombero catchment comprise similar conditions as the currently used land within the catchment. However, two thirds of it is located in protected areas, causing challenges for conservation. This is the first study exploring the effect of protected areas of the Kilombero catchment from a LULC and modeling perspective.</t>
  </si>
  <si>
    <t>[Thonfeld, Frank] German Aerosp Ctr DLR, German Remote Sensing Data Ctr DFD, Munchener Str 20, D-82234 Wessling, Germany; [Thonfeld, Frank] Univ Wurzburg, Dept Remote Sensing, Oswald Kulpe Str 86, D-97074 Wurzburg, Germany; [Steinbach, Stefanie] Univ Twente, Fac Geoinformat Sci &amp; Earth Observat ITC, Hengelosestr 99, NL-7514 AE Enschede, Netherlands; [Muro, Javier] Univ Bonn, Ctr Remote Sensing Land Surfaces ZFL, D-53113 Bonn, Germany; [Hentze, Konrad; Naeschen, Kristian] Univ Bonn, Dept Geog, D-53115 Bonn, Germany; [Games, Ian] Belgian Dev Agcy, MNRT, Mpingo House,Nyerere Rd, Dar Es Salaam 15472, Tanzania; [Kauzeni, Pellage Francis] Minist Nat Resources &amp; Tourism, POB 1351, Dodoma 40472, Tanzania</t>
  </si>
  <si>
    <t>Helmholtz Association; German Aerospace Centre (DLR); University of Wurzburg; University of Twente; University of Bonn; University of Bonn</t>
  </si>
  <si>
    <t>Thonfeld, F (corresponding author), German Aerosp Ctr DLR, German Remote Sensing Data Ctr DFD, Munchener Str 20, D-82234 Wessling, Germany.</t>
  </si>
  <si>
    <t>frank.thonfeld@dlr.de; s.steinbach@utwente.nl; jmuro@uni-bonn.de; k.hentze@geographie.uni-bonn.de; igames@zol.co.zw; knaesche@uni-bonn.de; pellagek@yahoo.co.uk</t>
  </si>
  <si>
    <t>Muro Martín, Javier/IZD-7581-2023; Muro, Javier/IZD-7581-2023</t>
  </si>
  <si>
    <t>Muro Martín, Javier/0000-0001-5127-8983; Steinbach, Stefanie/0000-0002-7439-0844; Thonfeld, Frank/0000-0002-3371-7206</t>
  </si>
  <si>
    <t>German Federal Ministry of Education and Research [FKZ: 031A250 A-H]; German Federal Ministry of Economic Cooperation and Development; European Union; Enabel (Belgian Development Agency); Enabel [TAN1102711]</t>
  </si>
  <si>
    <t>German Federal Ministry of Education and Research(Federal Ministry of Education &amp; Research (BMBF)); German Federal Ministry of Economic Cooperation and Development; European Union(European Union (EU)); Enabel (Belgian Development Agency); Enabel</t>
  </si>
  <si>
    <t>The LULC maps this research is based on were generated at the University of Bonn, Germany, within the GlobE - Wetlands in East Africa project, which was funded by the German Federal Ministry of Education and Research (FKZ: 031A250 A-H) with additional funding provided by the German Federal Ministry of Economic Cooperation and Development. Ian Games and Pellage Kauzeni were involved in the Kilombero and Lower Rufiji Wetlands Ecosystem Management Project (KILORWEMP) financed by the European Union and the Enabel (Belgian Development Agency) and executed by the Ministry of Natural Resources and Tourism of the Government of Tanzania and the Enabel (TAN1102711).</t>
  </si>
  <si>
    <t>0924-2716</t>
  </si>
  <si>
    <t>1872-8235</t>
  </si>
  <si>
    <t>ISPRS J PHOTOGRAMM</t>
  </si>
  <si>
    <t>ISPRS-J. Photogramm. Remote Sens.</t>
  </si>
  <si>
    <t>10.1016/j.isprsjprs.2020.07.019</t>
  </si>
  <si>
    <t>Geography, Physical; Geosciences, Multidisciplinary; Remote Sensing; Imaging Science &amp; Photographic Technology</t>
  </si>
  <si>
    <t>Physical Geography; Geology; Remote Sensing; Imaging Science &amp; Photographic Technology</t>
  </si>
  <si>
    <t>NM2LA</t>
  </si>
  <si>
    <t>WOS:000567932300004</t>
  </si>
  <si>
    <t>Holon, F; Boissery, P; Guilbert, A; Freschet, E; Deter, J</t>
  </si>
  <si>
    <t>Holon, F.; Boissery, P.; Guilbert, A.; Freschet, E.; Deter, J.</t>
  </si>
  <si>
    <t>ESTUARINE COASTAL AND SHELF SCIENCE</t>
  </si>
  <si>
    <t>seagrass meadows decline; consequences of urbanization; large-scale decrease of seagrass meadows; loss of marine meadows; human-driven impacts; anthropogenic pressures</t>
  </si>
  <si>
    <t>POPULATION-DYNAMICS; MARINE ECOSYSTEMS; ANCHORING DAMAGE; MEADOWS; WASTE; REGRESSION; HABITAT; SEA</t>
  </si>
  <si>
    <t>Shallow Posidonia oceanica beds (0 to 15 m), the most common seagrass in the Mediterranean, were mapped from aerial photographs dating from the 1920's and from 2012 along 800 km of coastline in South-Eastern France (Provence-Alpes-Cote-d'Azur region). Changes in P. oceanica bed spatial distribution (limits and extent) during these 85 years were analyzed in terms of concordance (remaining areas), positive discordance (expanding areas) or negative discordance (lost areas). Lost areas were linked with direct or indirect impacts of coastal development (artificialized coastlines (namely harbours, ports of refuge, landfills, artificial beaches, groynes and pontoons, submarine pipelines and aquatic farms) visible on the photographs. The comparison showed that 73% of the shallow limits have declined. Considering spatial extent, remaining seagrass meadows areas accounted for the major part (85%), while lost areas accounted for 13% and expanding areas for 1.1%. Lost areas were mainly linked with artificial coastlines but 44% remained with undetermined causes (invisible pressures and/or mixed effects). The analysis of 96 coastal facilities creating the artificial (namely man-made) coastlines showed that the highest impact over the longest distance (5 km) was caused by harbours. Only artificial beaches had such a distant impact. Pontoons were the least surrounded by lost seagrass meadows areas. These quantitative data offer important information for marine conservation. (C) 2015 Elsevier Ltd. All rights reserved.</t>
  </si>
  <si>
    <t>[Holon, F.; Guilbert, A.; Freschet, E.; Deter, J.] Andromede Oceanol, F-34280 Carnon, France; [Boissery, P.] Agence Eau Rhone Mediterranee Corse, Delegat Marseille, Immeuble Noailles, F-13001 Marseille, France; [Deter, J.] Univ Montpellier, Inst Sci Evolut ISEM UMR UM CNRS IRD 5554, F-34095 Montpellier 5, France</t>
  </si>
  <si>
    <t>Universite de Montpellier</t>
  </si>
  <si>
    <t>Deter, J (corresponding author), Univ Montpellier, Inst Sci Evolut ISEM UMR UM CNRS IRD 5554, Campus Univ Montpellier, F-34095 Montpellier 5, France.</t>
  </si>
  <si>
    <t>julie.deter@andromede-ocean.com</t>
  </si>
  <si>
    <t>French Water Agency (Agence de l'Eau Rhone Mediterranee Corse); LabEX CeMEB; Andromede Oceanologie</t>
  </si>
  <si>
    <t>The data used for this work were made available by the consortium Region Provence-Alpes-Cote d'Azur (C) SHOM, IFREMER et Phototheque nationale (2008),IGN, ortho littoral V2 Ortho Littorale V2 - MEDDE, SHOM, and Oeil d'Andromede. We thank The French Water Agency (Agence de l'Eau Rhone Mediterranee Corse) for its support. Florian is a PhD student funded by LabEX CeMEB and Andromede Oceanologie. Our work is catalogued by the ISEM Steering Committee as ISEM xxxx (http://www.isem.cnrs.fr)).We are grateful to two anonymous reviewers and the editor Mike Eliott for their conscientious work which has greatly helped to improve the manuscript. Many thanks to Benoit Jullian for his advices during the analysis and to Sibylle Cazacu who has corrected the English version of the manuscript.</t>
  </si>
  <si>
    <t>ACADEMIC PRESS LTD- ELSEVIER SCIENCE LTD</t>
  </si>
  <si>
    <t>24-28 OVAL RD, LONDON NW1 7DX, ENGLAND</t>
  </si>
  <si>
    <t>0272-7714</t>
  </si>
  <si>
    <t>1096-0015</t>
  </si>
  <si>
    <t>ESTUAR COAST SHELF S</t>
  </si>
  <si>
    <t>Estuar. Coast. Shelf Sci.</t>
  </si>
  <si>
    <t>NOV 5</t>
  </si>
  <si>
    <t>10.1016/j.ecss.2015.05.017</t>
  </si>
  <si>
    <t>Marine &amp; Freshwater Biology; Oceanography</t>
  </si>
  <si>
    <t>CZ5CH</t>
  </si>
  <si>
    <t>WOS:000367119500024</t>
  </si>
  <si>
    <t>Acevedo, P; Cassinello, J; Gortazar, C</t>
  </si>
  <si>
    <t>Acevedo, Pelayo; Cassinello, Jorge; Gortazar, Christian</t>
  </si>
  <si>
    <t>biodiversity conservation; Capra hircus; Capra pyrenaica; livestock grazing system; habitat displacement; habitat suitability analysis; resource competition</t>
  </si>
  <si>
    <t>CAPRA-PYRENAICA MAMMALIA; SPANISH WILD GOAT; SHEEP OVIS-ARIES; BIODIVERSITY CONSERVATION; SPECIES DISTRIBUTIONS; LARGE HERBIVORES; SOUTHERN SPAIN; SIERRA-NEVADA; NATURAL-PARK; ABSENCE DATA</t>
  </si>
  <si>
    <t>In this paper an updated distribution of the Iberian ibex (Capra pyrenaica, Schinz 1838) in the central Spanish region of Castile-La Mancha is shown. The species is present in 19% of the study region, and in areas not cited so far in the literature. A detailed analysis of habitat suitability was also carried out, applying a new methodology, Ecological-Niche Factor Analysis, which uses presence data to build a habitat suitability map of a given species. As livestock activity is quite intense in the region, the presence of a potential competitor, the domestic goat (Capra hircus), was included in the analyses. Factors affecting ibex relative abundance were determined by means of a nested stepwise multiple regression, where livestock presence/absence was the nested factor. The presence of livestock has a negative effect on ibex relative abundance, causing the ibex to select areas of poor, sparse vegetation, cultivated lands and forests, whereas in the absence of livestock, the ibex is mainly present in pasture-scrub lands and non-cultivated lands. Conservation implications of these results are discussed in the context of a Mediterranean region where extensive livestock grazing systems abound.</t>
  </si>
  <si>
    <t>Inst Invest Rec Cineget, CSIC, UCLM, JCCM, E-13005 Ciudad Real, Spain</t>
  </si>
  <si>
    <t>Universidad de Castilla-La Mancha; Consejo Superior de Investigaciones Cientificas (CSIC); CSIC - Instituto de Investigacion en Recursos Cinegeticos (IREC)</t>
  </si>
  <si>
    <t>Cassinello, J (corresponding author), Inst Invest Rec Cineget, CSIC, UCLM, JCCM, Ronda Toledo s-n, E-13005 Ciudad Real, Spain.</t>
  </si>
  <si>
    <t>jorge.cassinello@uclm.es</t>
  </si>
  <si>
    <t>Gortazar, Christian/E-7918-2012; Cassinello, Jorge/A-4324-2009; Acevedo, Pelayo/L-6737-2013</t>
  </si>
  <si>
    <t>Gortazar, Christian/0000-0003-0012-4006; Acevedo, Pelayo/0000-0002-3509-7696</t>
  </si>
  <si>
    <t>10.1007/s10531-006-9032-y</t>
  </si>
  <si>
    <t>215JT</t>
  </si>
  <si>
    <t>WOS:000249805300009</t>
  </si>
  <si>
    <t>Doherty, TS; Dickman, CR; Glen, AS; Newsome, TM; Nimmo, DG; Ritchie, EG; Vanak, AT; Wirsing, AJ</t>
  </si>
  <si>
    <t>Doherty, Tim S.; Dickman, Chris R.; Glen, Alistair S.; Newsome, Thomas M.; Nimmo, Dale G.; Ritchie, Euan G.; Vanak, Abi T.; Wirsing, Aaron J.</t>
  </si>
  <si>
    <t>Disease transmission; Free-roaming; Invasive predator; Resource subsidies; Top-predator; Trophic cascade</t>
  </si>
  <si>
    <t>INVASIVE PREDATORS; CANIS-FAMILIARIS; WILDLIFE; BIODIVERSITY; CARNIVORES; COMPETITION; WOLVES</t>
  </si>
  <si>
    <t>Domestic dogs (Canis familiaris) have a near-global distribution. They range from being feral and free-ranging to owned and completely dependent on humans. All types of domestic dogs can interact with wildlife and have severe negative impacts on biodiversity. Here, we use IUCN Red List data to quantify the number of threatened species negatively impacted by dogs, assess the prevalence of different types of dog impact, and identify regional hotspots containing high numbers of impacted species. Using this information, we highlight key research and management gaps and priorities. Domestic dogs have contributed to 11 vertebrate extinctions and are a known or potential threat to at least 188 threatened species worldwide. These estimates are greater than those reported by previous assessments, but are probably conservative due to biases in the species, regions and types of impacts studied and/or reported. Predation is the most frequently reported impact, followed by disturbance, disease transmission, competition, and hybridisation. Regions with the most species impacted are: South-east Asia, Central America and the Caribbean, South America, Asia (excluding SE), Micro/Mela/Polynesia, and Australia. We propose that the impacts of domestic dogs can be better understood and managed through: taxonomic and spatial prioritisation of research and management; examining potential synergisms between dogs and other threatening processes; strategic engagement with animal welfare and human health campaigns; community engagement and education; and mitigating anthropogenic effects such as resource subsidies. Such actions are essential for threatened species persistence, especially given that human and dog populations are expected to increase both numerically and geographically in the coming decades.</t>
  </si>
  <si>
    <t>[Doherty, Tim S.; Newsome, Thomas M.; Ritchie, Euan G.] Deakin Univ, Sch Life &amp; Environm Sci, Ctr Integrat Ecol, Burwood Campus, Geelong, Vic, Australia; [Dickman, Chris R.; Newsome, Thomas M.] Univ Sydney, Sch Life &amp; Environm Sci, Desert Ecol Res Grp, Sydney, NSW, Australia; [Glen, Alistair S.] Landcare Res, Auckland, New Zealand; [Newsome, Thomas M.] Oregon State Univ, Dept Forest Ecosyst &amp; Soc, Corvallis, OR 97331 USA; [Newsome, Thomas M.; Wirsing, Aaron J.] Univ Washington, Sch Environm &amp; Forest Sci, Seattle, WA 98195 USA; [Nimmo, Dale G.] Charles Sturt Univ, Sch Environm Sci, Inst Land Water &amp; Soc, Albury, NSW, Australia; [Vanak, Abi T.] Ashoka Trust Res Ecol &amp; Environm, Ctr Biodivers &amp; Conservat, Bangalore, Karnataka, India; [Vanak, Abi T.] Wellcome Trust DBT India Alliance, Clin &amp; Publ Hlth Program, Hyderabad, Telangana, India; [Vanak, Abi T.] Univ KwaZulu Natal, Sch Life Sci, Durban, South Africa</t>
  </si>
  <si>
    <t>Deakin University; University of Sydney; Landcare Research - New Zealand; Oregon State University; University of Washington; University of Washington Seattle; Charles Sturt University; Wellcome Trust DBT India Alliance; University of Kwazulu Natal</t>
  </si>
  <si>
    <t>Doherty, TS (corresponding author), Deakin Univ, Sch Life &amp; Environm Sci, Ctr Integrat Ecol, Burwood Campus, Geelong, Vic, Australia.</t>
  </si>
  <si>
    <t>tim.doherty.0@gmail.com</t>
  </si>
  <si>
    <t>Vanak, Abi/F-8519-2010; Ritchie, Euan/N-1088-2014; Doherty, Tim S/LXU-5444-2024; Newsome, Thomas/AET-0276-2022; Dickman, Christopher/Q-4662-2019; Glen, Al/AGH-1175-2022; Nimmo, Dale/LMM-9158-2024</t>
  </si>
  <si>
    <t>Ritchie, Euan/0000-0003-4410-8868; Doherty, Tim S/0000-0001-7745-0251; Newsome, Thomas/0000-0003-3457-3256; Dickman, Christopher/0000-0002-1067-3730; Glen, Al/0000-0002-7777-7630;</t>
  </si>
  <si>
    <t>London</t>
  </si>
  <si>
    <t>125 London Wall, London, ENGLAND</t>
  </si>
  <si>
    <t>10.1016/j.biocon.2017.04.007</t>
  </si>
  <si>
    <t>WOS:000405881600007</t>
  </si>
  <si>
    <t>Ibouroi, MT; Hassane, NA; Moindjie, S; Ombade, M; Mohamed, N; Saidou, MH; Abderemane, K; Cheha, A; Chiffard, J</t>
  </si>
  <si>
    <t>Ibouroi, Mohamed Thani; Hassane, Nassia Ali; Moindjie, Said; Ombade, Mouniati; Mohamed, Nassabia; Saidou, Mohamed Hamidou; Abderemane, Kassim; Cheha, Ali; Chiffard, Jules</t>
  </si>
  <si>
    <t>JOURNAL OF ORNITHOLOGY</t>
  </si>
  <si>
    <t>Comoro Islands; Density surface modeling; Habitat loss; Karthala forest; Population size; Species distribution modeling</t>
  </si>
  <si>
    <t>NORTHERN MADAGASCAR; DENSITY; BIODIVERSITY; EXTINCTION; HOTSPOTS; ANJOUAN; FOREST</t>
  </si>
  <si>
    <t>The Grande Comoro Scops Owl (Otus pauliani) is an endangered, rare and elusive owl species restricted to the Karthala forest, Grande Comore. This scops owl species is listed among the most threatened animals of the Comoro archipelago. The species is subjected to strong anthropogenic pressures causing a high rate of habitat loss. Little is known about the species' population size, habitat suitability and geographic distribution, making the establishment of relevant conservation strategies difficult. In this study we assessed the population density and abundance of the species using the distance sampling approach through (1) the conventional distance sampling method (CDS), and (2) density surface modeling (DSM). Based on DSM, we applied a species distribution modeling method to investigate habitat suitability and geographic distribution of the species to close this knowledge gap. Average population density was estimated to be ca. 27 individuals km(-2). We estimated a global population size of 3452 individuals. Our DSM suggested that the Grande Comoro Scops Owl has a very limited distribution (133 km(2)), restricted to high elevations in Grande Comore's remaining natural forests (between 800 and 2000 m altitude). However, the currently high level of habitat disturbance and conversion of natural forest into agricultural land could render the species vulnerable to extinction. To ensure the viability of the species and the biodiversity of the Karthala forest, we suggest (1) restoring forest and securing corridors in the Karthala remnant forest; (2) avoiding the conversion of secondary forest into agricultural land, and using existing agroforestry for plantation development; (3) involving a broad community of local individuals and entities in their conservation and management.</t>
  </si>
  <si>
    <t>[Ibouroi, Mohamed Thani; Cheha, Ali] Grp Intervent Dev Durable GIDD Moroni, Hamramba, Comoros; [Ibouroi, Mohamed Thani; Chiffard, Jules] PSL Res Univ, EPHE, SupAgro, CNRS,UMR 5175,UM,IRD,INRA,CEFE, F-34293 Montpellier, France; [Ibouroi, Mohamed Thani] UAMI, Moroni, Comoros; [Hassane, Nassia Ali; Moindjie, Said; Ombade, Mouniati; Mohamed, Nassabia; Saidou, Mohamed Hamidou; Abderemane, Kassim] Parcs Nationaux Comores, RNAP, EX CEFADER, Mde, Comoros</t>
  </si>
  <si>
    <t>Universite PSL; Ecole Pratique des Hautes Etudes (EPHE); Institut Agro; Montpellier SupAgro; CIRAD; Centre National de la Recherche Scientifique (CNRS); Institut de Recherche pour le Developpement (IRD); Universite Paul-Valery; Universite de Montpellier; INRAE; CNRS - Institute of Ecology &amp; Environment (INEE)</t>
  </si>
  <si>
    <t>Ibouroi, MT (corresponding author), Grp Intervent Dev Durable GIDD Moroni, Hamramba, Comoros.;Ibouroi, MT (corresponding author), PSL Res Univ, EPHE, SupAgro, CNRS,UMR 5175,UM,IRD,INRA,CEFE, F-34293 Montpellier, France.;Ibouroi, MT (corresponding author), UAMI, Moroni, Comoros.</t>
  </si>
  <si>
    <t>halibathani@yahoo.fr</t>
  </si>
  <si>
    <t>IBOUROI, Mohamed Thani/IAN-1204-2023</t>
  </si>
  <si>
    <t>IBOUROI, Mohamed Thani/0000-0003-2934-6622</t>
  </si>
  <si>
    <t>Reseau National d'Aires Protegees (RNAP); Parcs Nationaux des Comores; Rufford Foundation [26731-2]</t>
  </si>
  <si>
    <t>Reseau National d'Aires Protegees (RNAP); Parcs Nationaux des Comores; Rufford Foundation</t>
  </si>
  <si>
    <t>We would like to thank Comoros National Direction of the Environment and Forests for permission to conduct our fieldwork. The fieldwork was funded by the Reseau National d'Aires Protegees (RNAP), Parcs Nationaux des Comores, and the Rufford Foundation (grant no. 26731-2 to M. T. I.) through a research support grant. We are grateful to our local assistants and eco-guards for their contribution and assistance during the field surveys. Special thanks go to Ali Soidik, Ibrahim Msahazi, Fahami Abderemane, our drivers, Abdoulfatah and Abderemane, and the whole RNAP team. The absence data used in this study were obtained from different Comoros institutions, including the University of Comoros, the Geothermie Project and Comoros National Parks. Finally, we are grateful to the two anonymous reviewers who provided extensive and critical corrections that improved the improvement.</t>
  </si>
  <si>
    <t>SPRINGER HEIDELBERG</t>
  </si>
  <si>
    <t>HEIDELBERG</t>
  </si>
  <si>
    <t>TIERGARTENSTRASSE 17, D-69121 HEIDELBERG, GERMANY</t>
  </si>
  <si>
    <t>2193-7192</t>
  </si>
  <si>
    <t>2193-7206</t>
  </si>
  <si>
    <t>J ORNITHOL</t>
  </si>
  <si>
    <t>J. Ornithol.</t>
  </si>
  <si>
    <t>10.1007/s10336-019-01689-0</t>
  </si>
  <si>
    <t>Ornithology</t>
  </si>
  <si>
    <t>KI4QY</t>
  </si>
  <si>
    <t>WOS:000511336100018</t>
  </si>
  <si>
    <t>Xu, Y; Shen, ZH; Ying, LX; Ciais, P; Liu, HY; Piao, SL; Wen, C; Jiang, YX</t>
  </si>
  <si>
    <t>Xu, Yue; Shen, Ze-Hao; Ying, Ling-Xiao; Ciais, Philippe; Liu, Hong-Yan; Piao, Shi-long; Wen, Cheng; Jiang, You-Xu</t>
  </si>
  <si>
    <t>Thermal variability; Vegetation; Vulnerability; Exposure; Sensitivity; Resilience</t>
  </si>
  <si>
    <t>LAND-USE; BIODIVERSITY CONSERVATION; COMMUNITY RESILIENCE; PLANT-COMMUNITIES; PROTECTED AREAS; CHANGE IMPACTS; ECOSYSTEM; DIVERSITY; RESISTANCE; FRAMEWORK</t>
  </si>
  <si>
    <t>Vulnerability assessments can be helpful in assessing the impact of climate change on natural ecosystems and are expected to support adaptation and/or mitigation strategies in the 21st century. A challenge when conducting such assessments is the integration of the multi-level properties and processes of ecosystems into an assessment framework. Focusing on the primary stresses of climate thermal variability (at both upper and lower extremes), this study proposes a quantitative indicator system following the IPCC framework of vulnerability assessment that assesses the impact of historical climate change, during 1901-2013, on the natural terrestrial vegetation types in China. The final output of the vulnerability assessment was expressed as a composite index, composed of ecosystem exposure, sensitivity and resilience to climate thermal change, and including biological, ecological and spatial traits of vegetation types in the assessment. The exposure to temperature variability was generally higher in January than in July, and higher in non-arborous vegetation types than forests. In contrast, sensitivity was higher for forests, wetlands and alpine tundra regions, especially for small areas and areas with scattered patterns. Original forests especially those distributed in the north had lower resilience than other vegetation types. The vulnerability of natural vegetation types in China to the temperature variability of the past century was very low to moderate, with a few exceptions, including tropical mangroves and the semiarid to arid vegetation types in northwestern China, which had high vulnerability. Vulnerability was stronger in winter than in summer. Our results are generally in accord with the scenario-based projections on the geographical pattern of vegetation vulnerability to climate change, and revealed the difference caused by not considering moisture. The risks for these fragmented and narrow-range ecosystems are highlighted, and the importance of natural resilience is stressed for the assessment of vegetation vulnerability to climate change. Given the inadequate coverage of the natural reserve network in China (after the large investment in recent decades) found in the high-vulnerability vegetation types (with a few exceptions), the assessment of natural resilience of ecosystems could be critical for the optimal design of socio-economic strategies in response to the impacts of future climate change. (C) 2015 Elsevier Ltd. All rights reserved.</t>
  </si>
  <si>
    <t>[Xu, Yue; Shen, Ze-Hao; Ying, Ling-Xiao; Liu, Hong-Yan; Piao, Shi-long] Peking Univ, Coll Urban &amp; Environm Sci, MOE Key Lab Earth Surface Proc, Dept Ecol, Beijing 100871, Peoples R China; [Ciais, Philippe] CE LOrme Merisiers, UMR CEA CNRS UVSQ, Lab Sci Climat &amp; Environm, Batiment 709, F-91191 Gif Sur Yvette, France; [Wen, Cheng] Peking Univ, Sch Life Sci, Beijing 100871, Peoples R China; [Jiang, You-Xu] Chinese Acad Forestry, Inst Forest Ecol Environm &amp; Protect, Beijing 100093, Peoples R China</t>
  </si>
  <si>
    <t>Peking University; Universite Paris Saclay; CEA; Peking University; Chinese Academy of Forestry; Ecology &amp; Nature Conservation Institute, CAF</t>
  </si>
  <si>
    <t>Shen, ZH (corresponding author), Peking Univ, Coll Urban &amp; Environm Sci, MOE Key Lab Earth Surface Proc, Dept Ecol, Beijing 100871, Peoples R China.</t>
  </si>
  <si>
    <t>Liu, Yanxu/JOZ-4430-2023; Shen, Zehao/GQI-1121-2022; Ciais, Philippe/A-6840-2011</t>
  </si>
  <si>
    <t>National Natural Science Foundation of China [31170449, 41371190, 31321061]; international project of the Ministry of Environmental Protection on The Development of Indicator Systems for the Interactions between Climate Change and Biodiversity in China</t>
  </si>
  <si>
    <t>National Natural Science Foundation of China(National Natural Science Foundation of China (NSFC)); international project of the Ministry of Environmental Protection on The Development of Indicator Systems for the Interactions between Climate Change and Biodiversity in China</t>
  </si>
  <si>
    <t>This study was supported by National Natural Science Foundation of China (31170449, 41371190, 31321061), and the international project of the Ministry of Environmental Protection on The Development of Indicator Systems for the Interactions between Climate Change and Biodiversity in China.</t>
  </si>
  <si>
    <t>10.1016/j.ecolind.2015.12.023</t>
  </si>
  <si>
    <t>DE8SC</t>
  </si>
  <si>
    <t>WOS:000370906000027</t>
  </si>
  <si>
    <t>Rodríguez-Teijeiro, JD; Sardà-Palomera, F; Nadal, J; Ferrer, X; Ponz, C; Puigcerver, M</t>
  </si>
  <si>
    <t>Domingo Rodriguez-Teijeiro, Jose; Sarda-Palomera, Francesc; Nadal, Jesus; Ferrer, Xavier; Ponz, Carolina; Puigcerver, Manel</t>
  </si>
  <si>
    <t>Cereal crops; Coturnix coturnix; hunting pressure; pre-migratory concentration; ring recovery; Spain; steppe-land bird</t>
  </si>
  <si>
    <t>MIGRATION; BIRDS; HABITAT; ENERGY; EUROPE; IMPACT; AREAS</t>
  </si>
  <si>
    <t>Aim Information on the movements of bird populations in extensive landscapes is needed to assess environmental effects and conservation strategies over appropriate temporal and spatial scales. The common quail (Coturnix coturnix) is a game bird that breeds mainly in dense cereal crops. These crops cover huge areas of the Iberian Peninsula. The aim of this work is to relate cereal mowing, which causes rapid and massive habitat loss for the common quail, to population movements of the species during its breeding season. Location Spain, southern Europe. Methods We used ring recoveries to analyse, using circular statistics, the orientation of movements by male common quails in the northern half of Spain. Forward stepwise multiple regressions were applied to correlate (1) the Julian day of cereal harvesting at 770 locations with the respective latitude, longitude and elevation, and (2) the number of hunted birds with hunting pressure, breeding densities and mean mowing date by province. Finally, data concerning the number of quails hunted at the end of the breeding season were compared by province and year using two-way ANOVA. Results Our results show that during the breeding season in the northern half of Spain, male quails orient their movements towards higher areas, and mainly to the northern Castilian Plateau. These are the areas of Spain where cereals are harvested latest. Moreover, records show that the number of quails hunted is significantly higher in these areas than in other areas of the country, independently of hunting pressure and breeding densities, and it is extremely high in the northern Castilian Plateau. Main conclusions Cereal mowing combined with some Spanish geographical characteristics acts as a funnel, forcing quail populations to concentrate in certain areas of Spain at the end of the breeding season. This implies that the number of quails hunted in these areas may be high, and that they therefore constitute priority conservation areas.</t>
  </si>
  <si>
    <t>[Domingo Rodriguez-Teijeiro, Jose; Sarda-Palomera, Francesc; Ferrer, Xavier] Univ Barcelona, Fac Biol, Dept Biol Anim, E-08028 Barcelona, Spain; [Nadal, Jesus; Ponz, Carolina] Univ Lleida, Dept Anim Prod, Lleida, Spain; [Puigcerver, Manel] Univ Barcelona, Fac Formacio Professorat, Dept Didact Ciencies Expt &amp; Matemat, E-08028 Barcelona, Spain</t>
  </si>
  <si>
    <t>University of Barcelona; Universitat de Lleida; University of Barcelona</t>
  </si>
  <si>
    <t>Sardà-Palomera, F (corresponding author), Univ Barcelona, Fac Biol, Dept Biol Anim, Avinguda Diagonal 645, E-08028 Barcelona, Spain.</t>
  </si>
  <si>
    <t>fsarda@ub.edu</t>
  </si>
  <si>
    <t>; Ferrer, Xavier/F-1286-2016; Nadal, Jesús/S-6008-2016; Rodríguez-Teijeiro, José Domingo/AAV-7830-2021</t>
  </si>
  <si>
    <t>Sardà-Palomera, Francesc/0000-0002-3121-9182; Nadal, Jesús/0000-0002-1875-7242; Rodríguez-Teijeiro, José Domingo/0000-0001-7787-9293</t>
  </si>
  <si>
    <t>Direccion General de Investigacion Cientifica y Tecnica [PB-96-0229, BOS2000-0564-C02-01, CGL2004-05308/BOS]; Direccio General de Recerca [2005-SGR-00090]; Activitats Cinegetiques of the Generalitat de Catalunya; Real Federacion Espanola de Caza</t>
  </si>
  <si>
    <t>Direccion General de Investigacion Cientifica y Tecnica(Spanish GovernmentMinistry of Science &amp; Innovation, Spain (MICINN)); Direccio General de Recerca; Activitats Cinegetiques of the Generalitat de Catalunya; Real Federacion Espanola de Caza</t>
  </si>
  <si>
    <t>We thank the Direccion General de Investigacion Cientifica y Tecnica (projects PB-96-0229, BOS2000-0564-C02-01 and CGL2004-05308/BOS), the Direccio General de Recerca (2005-SGR-00090) and the rea d'Activitats Cinegetiques of the Generalitat de Catalunya for providing financial support. This study was partially financed by the Real Federacion Espanola de Caza. We also thank the Instituto Nacional de Meteorologia (specific agreement with the University of Barcelona, 02/05/2004); the European Environment Agency (EEA, Copenhagen, 2004) for providing CORINE 2000, free land use data; the Common Breeding Birds Surveying Program (SACRE) run by SEO/BirdLife; all the volunteers who collected the mowing and bird data; and the team of 25 ringers belonging to the Spanish Hunting Federation Ringing Project for their efforts. Thanks to Eva Ribes and Francesc Maci who helped to collect the mowing data. Thanks are due to an anonymous referee for helpful suggestions and comments. The English version of this manuscript has been revised by Robin Rycroft, Linguistic Advice Service of the University of Barcelona.</t>
  </si>
  <si>
    <t>10.1111/j.1365-2699.2009.02109.x</t>
  </si>
  <si>
    <t>497PA</t>
  </si>
  <si>
    <t>WOS:000270070900007</t>
  </si>
  <si>
    <t>Alexander, SM; Waters, NM</t>
  </si>
  <si>
    <t>TRANSPORTATION RESEARCH PART C-EMERGING TECHNOLOGIES</t>
  </si>
  <si>
    <t>habitat fragmentation; wildlife movement corridors; multi-species; mitigation</t>
  </si>
  <si>
    <t>HABITAT FRAGMENTATION; ROCKY-MOUNTAINS; CONSERVATION; EXTINCTION; LANDSCAPE; FOREST; ROADS</t>
  </si>
  <si>
    <t>Road fragmentation is a concern for wildlife viability in and adjacent to protected areas in the Rocky Mountains. Roads create a barrier to wildlife movement and have documented demographic effects, including the alteration of animal communities, the reduction of biological diversity, and the increased threat of extinction. Wildlife movement across and adjacent to the Trans-Canada Highway (TCH) (14,000 annual average daily traffic, AADT) and Highway 1A (3000 AADT) was studied in Banff National Park, Alberta. Animal tracks were observed crossing roadways and on transects adjacent to roads for wolves, cougar, lynx, wolverine, marten, elk, deer, sheep, hare, and red squirrel relative to road types. Data were analyzed to assess the barrier effect and a geographical information system (GIS) was used to identify landscape attributes associated with species movement. The TCH was found to be a barrier to movement for all species, In less perturbed environments, it was observed that movement patterns for the wildlife communities were spatially continuous and that individual species movement was complex. This movement was not observed across the TCH. An interpolation of point data showed sites of high crossing frequency within the continuum of crossing points. These sites ranged from 250 to 2000 m in diameter. General predictors for movement by aspect were found to be the south, southwest and west facing slopes. Flat slopes, areas of low topographic complexity, and slopes lower than 5 degrees were also effective predictors of animal movements. The data suggest that maintaining contiguous tracts of habitat with the above attributes facilitate normal wildlife movement most effectively. Mitigation that approximates previous patterns can be achieved only by elevating and/or burying extensive sections of highway. (C) 2000 Elsevier Science Ltd. All rights reserved.</t>
  </si>
  <si>
    <t>Univ Calgary, Dept Geog, Calgary, AB T2N 1N4, Canada</t>
  </si>
  <si>
    <t>University of Calgary</t>
  </si>
  <si>
    <t>Alexander, SM (corresponding author), Univ Calgary, Dept Geog, 2500 Univ Dr NW, Calgary, AB T2N 1N4, Canada.</t>
  </si>
  <si>
    <t>0968-090X</t>
  </si>
  <si>
    <t>TRANSPORT RES C-EMER</t>
  </si>
  <si>
    <t>Transp. Res. Pt. C-Emerg. Technol.</t>
  </si>
  <si>
    <t>FEB-DEC</t>
  </si>
  <si>
    <t>1-6</t>
  </si>
  <si>
    <t>10.1016/S0968-090X(00)00014-0</t>
  </si>
  <si>
    <t>Transportation Science &amp; Technology</t>
  </si>
  <si>
    <t>Transportation</t>
  </si>
  <si>
    <t>356JZ</t>
  </si>
  <si>
    <t>WOS:000089441300017</t>
  </si>
  <si>
    <t>Han, R; Guo, L; Xu, NY; Wang, D</t>
  </si>
  <si>
    <t>Han, Rui; Guo, Luo; Xu, NuanYin; Wang, Dan</t>
  </si>
  <si>
    <t>The Effect of the Grain for Green Program on Ecosystem Health in the Upper Reaches of the Yangtze River Basin: A Case Study of Eastern Sichuan, China</t>
  </si>
  <si>
    <t>INTERNATIONAL JOURNAL OF ENVIRONMENTAL RESEARCH AND PUBLIC HEALTH</t>
  </si>
  <si>
    <t>ecosystem health; the Grain for Green Program; the LULC change direction model; Pressure-State-Response model; Eastern Sichuan Region</t>
  </si>
  <si>
    <t>LAND-USE CHANGE; LOESS PLATEAU; KARST REGIONS; RESTORATION; POLICY; SERVICES</t>
  </si>
  <si>
    <t>The Eastern Sichuan Region (ESR) is one of the key pilot regions for Grain for Green Program (GGP) implementation in the upper reaches of the Yangtze River basin in China. Therefore, monitoring the effect of the GGP on the ecosystem in the ESR is important. In this study, the Mann-Kendall Trend Test Model was used to ascertain the changes in vegetation coverage. The transfer matrix was used to explore the changes in Land Use/Land Cover (LULC). LULC change direction model (LCDM) was used to preliminarily assess the impact of LULC changes on the ecosystem. The Pressure-State-Response model (PSR), reflecting the human pressure and the ecosystem state, was applied to analyze the spatial-temporal characteristics of the ecosystem health index (EHI). The time span of this study was from 1990 to 2015. The results show that the vegetation coverage changed significantly (p &lt; 0.05), and ecosystem function developed towards positive because of the increase in the coverage of forestland and water land and decrease in the coverage of farmland. The spatial distribution of the EHI was influenced by the pattern of land use. The eastern region, associated with a large area of forestland and grassland, has a low population density and a low degree of land use exploitation, resulting in a high EHI value. The situation was completely opposite in the western region. Regarding the temporal scale, in spite of the decreasing pressure indicator, most counties had experienced an increase in the EHI. There was a clear correlation between the increased EHI values and the restored areas at the third stage (2000-2005) (p &lt; 0.05, r(2) = 0.164), but this correlation disappeared at the latter stage (2005-2015) (p &gt; 0.05). The changes showed significant variations in time and area because of differences in the process and the intensity of the implication of the GGP.</t>
  </si>
  <si>
    <t>[Han, Rui; Guo, Luo] Minzu Univ China, Coll Life &amp; Environm Sci, Beijing 100081, Peoples R China; [Xu, NuanYin] Peking Univ, Sch Urban Planning &amp; Design, Shenzhen 518055, Peoples R China; [Wang, Dan] Univ Nottingham Ningbo China, Dept Chem &amp; Environm Engn, Res Grp Nat Resources &amp; Environm, Int Doctoral Innovat Ctr, Ningbo 315100, Zhejiang, Peoples R China</t>
  </si>
  <si>
    <t>Minzu University of China; Peking University Shenzhen Graduate School (PKU Shenzhen); Peking University; University of Nottingham Ningbo China</t>
  </si>
  <si>
    <t>Guo, L (corresponding author), Minzu Univ China, Coll Life &amp; Environm Sci, Beijing 100081, Peoples R China.</t>
  </si>
  <si>
    <t>18301234@muc.edu.cn; guoluo@muc.edu.cn; xunuanyin@pku.edu.cn; Dan.Wang@nottingham.edu.cn</t>
  </si>
  <si>
    <t>; Wang, Dan/KRP-4656-2024</t>
  </si>
  <si>
    <t>Han, Rui/0000-0002-6669-2375; Wang, Dan/0000-0002-8050-6591; Han, Rui/0000-0002-5503-2398</t>
  </si>
  <si>
    <t>Chinese Ministry of science [2017YFC0505601]; Chinese Nationalities Affairs Commission [10301-0190040129]</t>
  </si>
  <si>
    <t>Chinese Ministry of science; Chinese Nationalities Affairs Commission</t>
  </si>
  <si>
    <t>This research study was supported by the key research project of Chinese Ministry of science (2017YFC0505601) and innovation team project of Chinese Nationalities Affairs Commission (10301-0190040129).</t>
  </si>
  <si>
    <t>1660-4601</t>
  </si>
  <si>
    <t>INT J ENV RES PUB HE</t>
  </si>
  <si>
    <t>Int. J. Environ. Res. Public Health</t>
  </si>
  <si>
    <t>JUN 2</t>
  </si>
  <si>
    <t>10.3390/ijerph16122112</t>
  </si>
  <si>
    <t>Environmental Sciences; Public, Environmental &amp; Occupational Health</t>
  </si>
  <si>
    <t>Environmental Sciences &amp; Ecology; Public, Environmental &amp; Occupational Health</t>
  </si>
  <si>
    <t>IG4CA</t>
  </si>
  <si>
    <t>WOS:000473750500046</t>
  </si>
  <si>
    <t>Peristeraki, P; Tserpes, G; Kavadas, S; Kallianiotis, A; Stergiou, KI</t>
  </si>
  <si>
    <t>Peristeraki, Panagiota; Tserpes, George; Kavadas, Stefanos; Kallianiotis, Argyris; Stergiou, Kostantinos, I</t>
  </si>
  <si>
    <t>FISHERIES RESEARCH</t>
  </si>
  <si>
    <t>Chondrichthyes; Mediterranean; Fishing pressure; Biomass; Spatial distribution</t>
  </si>
  <si>
    <t>BALEARIC-ISLANDS; SCYLIORHINUS-CANICULA; BY-CATCH; ELASMOBRANCH; MORTALITY; SURVIVAL; TRENDS; SHARKS; ASSEMBLAGES; DISCARDS</t>
  </si>
  <si>
    <t>Chondrichthyan species are considered highly susceptible to fishing activities and as indicator species for overfishing and ecosystem stability. In European waters, chondrichthyes have become a focus of conservation actions due to the abundance declines of several species. In the present study, fishery independent data obtained from the Mediterranean International Trawl Surveys (MEDITS) in the Aegean and E. Ionian Seas (eastern Mediterranean) were coupled with bottom trawl fishing effort data obtained from vessel monitoring systems (VMS) in order to evaluate the effect of fishing on biomass variations of demersal chondrichthyan species. The study focused on commonly captured species such as Raja clavata, Galeus melastomus, Scyliorhinus canicula and Squalus spp, as well as to the total chondrichthyan biomass. The effect of fishing effort on biomass indices, expressed in terms of kg per square km of swept area, was examined by means of Generalized Additive Model techniques, using also the sampling position, year and depth as co-variates. Overall findings suggested a biomass decline of chondrichthyan species with increasing fishing effort. Nevertheless, it was also found that certain species (e.g G. melastomus in both areas and S. canicula in the Aegean Sea) can withstand fishing pressure and it is likely that discard survival rates, depth preferences and fisheries exploitation patterns, are the main drivers explaining variations regarding the impact of fishing on the different stocks.</t>
  </si>
  <si>
    <t>[Peristeraki, Panagiota; Tserpes, George] Hellen Ctr Marine Res, Inst Marine Biol Resources &amp; Inland Waters, POB 2214, Iraklion, Crete, Greece; [Peristeraki, Panagiota] Univ Crete, Biol Dept, Iraklion, Crete, Greece; [Kavadas, Stefanos; Stergiou, Kostantinos, I] Hellen Ctr Marine Res, Inst Marine Biol Resources &amp; Inland Waters, Athens, Greece; [Kallianiotis, Argyris] Fisheries Res Inst, Kavala, Greece; [Stergiou, Kostantinos, I] Aristotle Univ Thessaloniki, Sch Biol, Dept Zool, Lab Ichthyol, Thessaloniki, Greece</t>
  </si>
  <si>
    <t>Hellenic Centre for Marine Research; University of Crete; Hellenic Centre for Marine Research; Aristotle University of Thessaloniki</t>
  </si>
  <si>
    <t>Peristeraki, P (corresponding author), Hellen Ctr Marine Res, Inst Marine Biol Resources &amp; Inland Waters, POB 2214, Iraklion, Crete, Greece.</t>
  </si>
  <si>
    <t>notap@hcmr.gr</t>
  </si>
  <si>
    <t>; Tserpes, George/L-6201-2013</t>
  </si>
  <si>
    <t>Kavadas, Stefanos/0000-0003-3473-9084;</t>
  </si>
  <si>
    <t>0165-7836</t>
  </si>
  <si>
    <t>1872-6763</t>
  </si>
  <si>
    <t>FISH RES</t>
  </si>
  <si>
    <t>Fish Res.</t>
  </si>
  <si>
    <t>10.1016/j.fishres.2019.105367</t>
  </si>
  <si>
    <t>Fisheries</t>
  </si>
  <si>
    <t>JN4NA</t>
  </si>
  <si>
    <t>WOS:000496874700004</t>
  </si>
  <si>
    <t>Hayashi, SN; Souza, PWM; Nascimento, WR; Fernandes, MEB</t>
  </si>
  <si>
    <t>Hayashi, Sanae N.; Souza-Filho, Pedro Walfir M.; Nascimento, Wilson R., Jr.; Fernandes, Marcus E. B.</t>
  </si>
  <si>
    <t>FORESTS; DEFORESTATION; MANAGEMENT; CARBON; CONSERVATION; DEGRADATION; AQUACULTURE; DYNAMICS; BRAZIL; ROADS</t>
  </si>
  <si>
    <t>Mangroves play an essential ecological role in the maintenance of the coastal zone and are extremely important for the socioeconomics of coastal communities. However, mangrove ecosystems are impacted by a range of anthropogenic pressures, and the loss of this habitat can be attributed primarily to the human occupation of the coastal zone. In the present study, we analyzed the spatial patterns of land use in the mangrove of the Brazilian Amazon coast, and evaluated the anthropogenic drivers of this impact, using a remote sensing approach. We mapped the road network using RapidEye images, and human settlements using global data. The results of these analyses indicate that the Brazilian Amazon coast has a low population density and low rates of anthropogenic impact in most of the coastal microregions investigated, factors that contribute to the maintenance and conservation of the region's mangrove. The study also revealed that the paved road network is one of the principal drivers of land use in the mangrove, whereas other factors, such as population density, urban centers, and the number of settlements are much less important. While the region has 2024 km of paved highways, unpaved roads (17,496 km) facilitate access to the mangrove, with approximately 90% of anthropogenic impact being recorded within a 3 km radius of these roads. While the network of paved highways is relatively reduced in extension, preventive measures are urgently required to impede any major shift in the current scenario, caused by the expansion of major development programs. The results of the study indicate that biophysical, economic, and political factors may also contribute to the reduction, stability, and development of one of the world's largest areas of mangrove forest.</t>
  </si>
  <si>
    <t>[Hayashi, Sanae N.; Fernandes, Marcus E. B.] Univ Fed Para, Inst Estudos Costeiros, Lab Ecol Manguezal, Campus Braganca, Braganca, Para, Brazil; [Hayashi, Sanae N.] Univ Fed Rural Amazonia, Lab Geoproc &amp; Educ Financeira &amp; Ambiental, Campus Capanema, Capanema, Para, Brazil; [Souza-Filho, Pedro Walfir M.] Univ Fed Para, Inst Geociencias, Lab Analises Imagens Trop Umido, Belem, Para, Brazil; [Souza-Filho, Pedro Walfir M.; Nascimento, Wilson R., Jr.] Inst Tecnol Vale, Belem, Para, Brazil</t>
  </si>
  <si>
    <t>Universidade Federal do Para; Universidade Federal Rural da Amazonia (UFRA); Universidade Federal do Para; Instituto Tecnologico Vale Desenvolvimento Sustentavel</t>
  </si>
  <si>
    <t>Fernandes, MEB (corresponding author), Univ Fed Para, Inst Estudos Costeiros, Lab Ecol Manguezal, Campus Braganca, Braganca, Para, Brazil.</t>
  </si>
  <si>
    <t>mebf@ufpa.br</t>
  </si>
  <si>
    <t>Souza-Filho, Pedro Walfir/J-4958-2012; Hayashi, Sanae/OYE-0063-2025</t>
  </si>
  <si>
    <t>Nogueira Hayashi, Sanae/0000-0001-7249-8600;</t>
  </si>
  <si>
    <t>Brazilian National Council for Scientific and Technological Development (CNPq); Office of Naval Research (ONR) [N62909-14-1-N201]</t>
  </si>
  <si>
    <t>Brazilian National Council for Scientific and Technological Development (CNPq)(Conselho Nacional de Desenvolvimento Cientifico e Tecnologico (CNPQ)); Office of Naval Research (ONR)(United States Department of DefenseUnited States NavyOffice of Naval Research)</t>
  </si>
  <si>
    <t>Funding was provided by the Brazilian National Council for Scientific and Technological Development (CNPq) and Office of Naval Research (ONR#N62909-14-1-N201). The funders had no role in study design, data collection and analysis, decision to publish, or preparation of the manuscript.</t>
  </si>
  <si>
    <t>JUN 26</t>
  </si>
  <si>
    <t>e0217754</t>
  </si>
  <si>
    <t>10.1371/journal.pone.0217754</t>
  </si>
  <si>
    <t>IT5DV</t>
  </si>
  <si>
    <t>WOS:000482883600015</t>
  </si>
  <si>
    <t>Ramos-Merchante, A; Prende, J</t>
  </si>
  <si>
    <t>Ramos-Merchante, Adrian; Prende, Jose</t>
  </si>
  <si>
    <t>Index of biotic integrity; Condition index; Water framework directive; Quality indices; Mediterranean freshwater fish; Ecosystem health; Guadalquivir basin</t>
  </si>
  <si>
    <t>FRESH-WATER FISH; BIOTIC INTEGRITY; BIOLOGICAL INTEGRITY; HABITAT QUALITY; MEDITERRANEAN STREAM; BARBUS-SCLATERI; ASSEMBLAGES; IMPACT; MACROINVERTEBRATES; INDICATORS</t>
  </si>
  <si>
    <t>An index of biotic integrity (IBI) based on fish health, population age-structure, abundance and community richness of native and alien fish, originally developed for the Akar basin (E Spain) (IBI-J), was adapted and validated here for another Mediterranean basin the Guadalquivir (IBI-G). Until now, no one fish-based IBI sensitive, useful in a large geographical context, simple and easily applied has been employed in species-poor Mediterranean basins. Various attempts to develop such an index have generally failed to achieve all these objectives. In this paper, the applicability of the index was enhanced through several modifications to the metrics used in the original IBI-J, and a new version of the index was also developed which included an additional metric recommended by the author of the IBI-J. In the IBI-G each of the five metrics that make up the IBI (percentage of individuals with anomalies, age structure of native fish population, relative native fish density, loss of native species and alien fish pressure) were validated and adjusted to the specificities of a typical Mediterranean fish community. Both, IBI-J and IBI-G, are robust and coherent assessment tools, highly sensitive to the main pressure gradients observed in the study area, as demonstrated by its correlation with many pressure indicators (biotic and habitat indexes, habitat variables and physico-chemical parameters). It points to the real possibility of extending the same methodology to similar basins for the purposes of monitoring, management and ecological assessment, especially in contexts relating to the Water Framework Directive (WFD). In addition, this new index does not need undisturbed reference sites, a completely unreal requisite in Mediterranean basins, where there is a general scarcity of pristine sites to be used as reference conditions. The results of this study highlight the usefulness of IBI-J/IBI-G as a powerful biomonitoring tool, especially in application of the WFD.</t>
  </si>
  <si>
    <t>[Ramos-Merchante, Adrian; Prende, Jose] Univ Huelva, Dept Integrated Sci, Campus El Carmen,Avda Andalucia S-N, Huelva 21071, Spain</t>
  </si>
  <si>
    <t>Universidad de Huelva</t>
  </si>
  <si>
    <t>Prende, J (corresponding author), Univ Huelva, Dept Integrated Sci, Campus El Carmen,Avda Andalucia S-N, Huelva 21071, Spain.</t>
  </si>
  <si>
    <t>jprenda@uhu.es</t>
  </si>
  <si>
    <t>Prenda, José/K-4994-2014; Ramos-Merchante, Aián/B-6516-2018</t>
  </si>
  <si>
    <t>Prenda, José/0000-0002-1505-8331; Ramos-Merchante, Aián/0000-0003-1076-0524</t>
  </si>
  <si>
    <t>Junta de Andalucia, Convocatoria de Proyectos de Excelencia [P07-RNM-03309]; Campus Transfronterizo para la Gestion Sostenible de los Recursos Hidricos (Campus Eagua)</t>
  </si>
  <si>
    <t>Junta de Andalucia, Convocatoria de Proyectos de Excelencia(Junta de Andalucia); Campus Transfronterizo para la Gestion Sostenible de los Recursos Hidricos (Campus Eagua)</t>
  </si>
  <si>
    <t>This study was financially supported by the Junta de Andalucia, Convocatoria de Proyectos de Excelencia (P07-RNM-03309) and by Campus Transfronterizo para la Gestion Sostenible de los Recursos Hidricos (Campus Eagua).</t>
  </si>
  <si>
    <t>10.1016/j.ecolind.2017.08.034</t>
  </si>
  <si>
    <t>FX1RA</t>
  </si>
  <si>
    <t>WOS:000425828200006</t>
  </si>
  <si>
    <t>Craig, CA; Thomson, RL; Girardello, M; Santangeli, A</t>
  </si>
  <si>
    <t>Craig, Christie A.; Thomson, Robert L.; Girardello, Marco; Santangeli, Andrea</t>
  </si>
  <si>
    <t>AMBIO</t>
  </si>
  <si>
    <t>African vulture crisis; Communal; Conservancy; Farmer; Human-wildlife conflict; Poison use</t>
  </si>
  <si>
    <t>PROTECTED AREAS; CONSERVATION; SCAVENGERS; CONFLICT; BENEFITS; WILDLIFE; PEOPLE</t>
  </si>
  <si>
    <t>The use of poison by farmers to control livestock predators is a major threat to vulture populations across Eurasia and Africa. While there is now some understanding of poison use on freehold farmland regions in southern Africa, the prevalence and drivers of this practice are still unknown in communal farmlands. We surveyed 353 communal farmers in Namibia to assess the prevalence of reported poison use and intended poison use and the factors associated with both. We used the Randomised Response Technique, a method deemed to yield more robust estimates of the prevalence of sensitive behaviours compared to direct questioning. We found 1.7% of communal farmers admitted to using poison in the last year. Furthermore, across the study region, predicted poison use was the highest (up to 7%) in areas of the upper north-west. The identified hotspots' of poison use will assist conservation practitioners to focus their poison-mitigation efforts centred in the areas of the highest need.</t>
  </si>
  <si>
    <t>[Craig, Christie A.; Thomson, Robert L.] Univ Cape Town, FitzPatrick Inst African Ornithol, DST NRF Ctr Excellence, Cape Town, South Africa; [Girardello, Marco] Univ Acores, Dept Ciencias Agr, Azorean Biodivers Grp CE3c, Rua Capitao Joao dAvila Sn, P-9700042 Angra Do Heroismo, Portugal; [Santangeli, Andrea] Univ Helsinki, Finnish Museum Nat Hist, Helsinki Lab Ornithol, Helsinki, Finland</t>
  </si>
  <si>
    <t>University of Cape Town; National Research Foundation - South Africa; Universidade dos Acores; University of Helsinki</t>
  </si>
  <si>
    <t>Craig, CA (corresponding author), Univ Cape Town, FitzPatrick Inst African Ornithol, DST NRF Ctr Excellence, Cape Town, South Africa.</t>
  </si>
  <si>
    <t>christiea250@gmail.com; robert.thomson@uct.ac.za; marco.girardello@gmail.com; andrea.santangeli@helsinki.fi</t>
  </si>
  <si>
    <t>Thoon, Robert L/B-9637-2012; Craig, Christie Anne/GQI-4640-2022; Santangeli, Anea/HJJ-1458-2023</t>
  </si>
  <si>
    <t>Thoon, Robert L/0000-0002-6958-1259; Craig, Christie Anne/0000-0002-4344-9313; Santangeli, Anea/0000-0003-0273-1977</t>
  </si>
  <si>
    <t>British Ecological Society; Mohamed bin Zayed Species Conservation fund [142510056]; National Research Foundation</t>
  </si>
  <si>
    <t>British Ecological Society; Mohamed bin Zayed Species Conservation fund; National Research Foundation</t>
  </si>
  <si>
    <t>We appreciate the time given by every farmer who participated in this research. We thank Ndapanda Kasaona and Ndina Hapinge for their translation services in the field. We are grateful to Liz Komen, Chris Brown, Holger Kolberg, the MET, Annatjie du Preez, NACSO, Basilia Shivute, Teo Ntinda, Andrew Malherbe, Vince and Edgar Naude, Timm Hoffmann and Jane Turpie for their advice and support while planning and implementing this research. We thank the British Ecological Society, Mohamed bin Zayed Species Conservation fund (Project Number: 142510056) and the National Research Foundation for funding the field work for this research. We also thank two anonymous reviewers for their constructive comments. Lastly, we thank the Agra stores in Opuwo, Omaruru, Khorixas and Outjo for allowing us to survey in their stores.</t>
  </si>
  <si>
    <t>0044-7447</t>
  </si>
  <si>
    <t>1654-7209</t>
  </si>
  <si>
    <t>10.1007/s13280-018-1128-6</t>
  </si>
  <si>
    <t>Engineering, Environmental; Environmental Sciences</t>
  </si>
  <si>
    <t>Engineering; Environmental Sciences &amp; Ecology</t>
  </si>
  <si>
    <t>IA3BV</t>
  </si>
  <si>
    <t>WOS:000469438600009</t>
  </si>
  <si>
    <t>Morgan, BJ; Abwe, EE; Dixson, AF; Astaras, C</t>
  </si>
  <si>
    <t>Morgan, Bethan J.; Abwe, Ekwoge E.; Dixson, Alan F.; Astaras, Christos</t>
  </si>
  <si>
    <t>INTERNATIONAL JOURNAL OF PRIMATOLOGY</t>
  </si>
  <si>
    <t>Africa; Cameroon; Conservation; Drill; Mandrillus leucophaeus; Primate; Survey; Rain forest</t>
  </si>
  <si>
    <t>BUSHMEAT; PALEOENVIRONMENTS; EXPLOITATION; VEGETATION; FORESTS</t>
  </si>
  <si>
    <t>The populations of many endangered species are becoming increasingly fragmented, and accurate, current information on the status of these subpopulations is essential for the design of effective conservation strategies within a human-dominated landscape. The drill (Mandrillus leucophaeus) is one of the most spectacular and endangered primates in Africa, yet up-to-date information on its distribution, population status, and conservation outlook is lacking. Cameroon has been estimated to encompass 80 % of the species' range. We examined the distribution, population status, and conservation outlook for the drill throughout its historic range in Cameroon. To do this, we divided the historic range of the drill in Cameroon (46,000 km(2)) into 52 survey units along natural and manmade boundary features. Based on a series of field surveys in 2002-2009, village interviews, analysis of geospatial data, and bibliographical research, we assigned each survey unit a rank of 0-4 for 15 parameters indicative of current situation for drills, habitat suitability, and conservation outlook. We obtained direct evidence for the presence of drills in 16 of the 52 survey units, with those of Ejagham, Korup, Ebo, and Nta Ali receiving the highest index scores. We warn of local extirpations and increased isolation among drill populations due to loss of dispersal corridors, e.g., Douala Edea survey unit. In some cases drills persist in forest fragments within human-dominated landscapes, e.g., Kupe-Manenguba, but the species' future is probably dependent on effective wildlife management in a handful of isolated strongholds where probability of long-term protection is higher, particularly in Korup National Park, Takamanda National Park, and the proposed Ebo National Park. Pressure from current and proposed large-scale commercial plantations, oil prospecting, logging, and the continual human population growth in this region means that a concerted conservation effort will be needed to safeguard the remaining drill habitat if the species is to survive in Cameroon.</t>
  </si>
  <si>
    <t>[Morgan, Bethan J.] Zool Soc San Diego, Inst Conservat Res, Escondido, CA 92025 USA; [Morgan, Bethan J.] Univ Stirling, Sch Nat Sci, Stirling FK9 4LA, Scotland; [Morgan, Bethan J.; Abwe, Ekwoge E.] Ebo Forest Res Project, Messa, Cameroon; [Dixson, Alan F.] Victoria Univ Wellington, Sch Biol Sci, Wellington 6012, New Zealand; [Astaras, Christos] Univ Gottingen, Dept Conservat Biol, Ctr Nat Conservat, D-37075 Gottingen, Germany; [Astaras, Christos] Univ Oxford, Dept Zool, Recanati Kaplan Ctr, Wildlife Conservat Res Unit, Tubney OX13 5QL, England</t>
  </si>
  <si>
    <t>Zoological Society of San Diego; University of Stirling; Victoria University Wellington; University of Gottingen; University of Oxford</t>
  </si>
  <si>
    <t>Morgan, BJ (corresponding author), Zool Soc San Diego, Inst Conservat Res, Escondido, CA 92025 USA.</t>
  </si>
  <si>
    <t>bmorgan@sandiegozoo.org</t>
  </si>
  <si>
    <t>Astaras, Christos/AAP-4186-2020</t>
  </si>
  <si>
    <t>Astaras, Christos/0000-0002-8503-217X; Morgan, Bethan/0000-0003-2835-9835</t>
  </si>
  <si>
    <t>Government of Cameroon's Ministry of Forestry and Wildlife; Ministry of Research and Technical Innovation; Margot Marsh Biodiversity Foundation; Offield Family Foundation; US Fish and Wildlife Great Ape Conservation Fund; Arcus Foundation</t>
  </si>
  <si>
    <t>We thank the Government of Cameroon's Ministry of Forestry and Wildlife and Ministry of Research and Technical Innovation for providing research permission as well as supporting this study on the ground. Funding was provided by the Margot Marsh Biodiversity Foundation, the Offield Family Foundation, the US Fish and Wildlife Great Ape Conservation Fund, and the Arcus Foundation, to whom we are very grateful. We thank our entire field teams, in particular Abwe Enang Abwe, Mfossa Daniel, Cletus Arong, Daniel Awoh, and Chris Wild, as well as all the village chiefs and interviewees who assisted with this study. We thank James Higham and two anonymous reviewers who commented on earlier versions of this manuscript.</t>
  </si>
  <si>
    <t>0164-0291</t>
  </si>
  <si>
    <t>1573-8604</t>
  </si>
  <si>
    <t>INT J PRIMATOL</t>
  </si>
  <si>
    <t>Int. J. Primatol.</t>
  </si>
  <si>
    <t>10.1007/s10764-013-9661-4</t>
  </si>
  <si>
    <t>114LD</t>
  </si>
  <si>
    <t>WOS:000316741800005</t>
  </si>
  <si>
    <t>Bhola, N; Ogutu, JO; Said, MY; Piepho, HP; Olff, H</t>
  </si>
  <si>
    <t>Bhola, Nina; Ogutu, Joseph O.; Said, Mohamed Y.; Piepho, Hans-Peter; Olff, Han</t>
  </si>
  <si>
    <t>competition; facilitation; land use; Normalized Difference Vegetation Index; pastoralism; predation; protection</t>
  </si>
  <si>
    <t>DIFFERENCE VEGETATION INDEX; LAND-USE; AFRICAN HERBIVORES; MINERAL-NUTRITION; LANDSCAPE-SCALE; BODY-SIZE; RAINFALL; WILDLIFE; EAST; PASTORALISM</t>
  </si>
  <si>
    <t>1. The distributions of large herbivores in protected areas and their surroundings are becoming increasingly restricted by changing land use, with adverse consequences for wildlife populations. 2. We analyse changes in distributions of herbivore hotspots to understand their environmental and anthropogenic correlates using 50 aerial surveys conducted at a spatial resolution of 5 x 5 km(2) (n = 289 cells) in the Mara region of Kenya during 19772010. We compare the distributions across seasons, land use types (protection, pastoralism and agro-pastoralism) and 10 species with different body sizes and feeding styles. 3. Small herbivores that are the most susceptible to predation and dependent on high-quality forage concentrate in the greenest and wet areas and close to rivers in Masai pastoral ranches in both seasons. Livestock grazing creates conditions favouring small herbivores in these ranches, including high-quality short grasses and better visibility, implying facilitation. But in the reserve, they concentrate in browner, drier and flatter areas and farther from rivers, suggesting facilitation by large grazers in the wet season, or little competition with migratory herbivores occupying the reserve in the dry season. 4. In the wet season, medium herbivores concentrate in similar areas to small herbivores in the ranches and reserve. However, in the dry season, they stay in the reserve, and also concentrate in green and wet areas close to rivers when migrants occur in the reserve. As such areas typically have higher predation risk, this suggests facilitation by the migrants by absorbing most predation pressure or, alternatively, competitive displacement by the migrants from preferred habitats. 5. Large herbivores, which suffer the least predation, depend on bulk forage and are the most likely to engender conflicts with people, concentrate in the reserve all year. This suggests attraction to the taller and denser grass and perceived greater safety in the reserve in both seasons. 6. These results reveal how predation risk, forage quantity and quality, water, competition with and facilitation by livestock interact with individual life-history traits, seasons and land use in shaping the dynamics of herbivore hotspots in protected and human-dominated savannas.</t>
  </si>
  <si>
    <t>[Bhola, Nina; Olff, Han] Univ Groningen, Ctr Ecol &amp; Evolutionary Studies, NL-9700 CC Groningen, Netherlands; [Ogutu, Joseph O.; Piepho, Hans-Peter] Univ Hohenheim, Bioinformat Unit, Inst Crop Sci, D-70599 Stuttgart, Germany; [Ogutu, Joseph O.; Said, Mohamed Y.] Int Livestock Res Inst, Nairobi, Kenya</t>
  </si>
  <si>
    <t>University of Groningen; University Hohenheim; CGIAR; International Livestock Research Institute (ILRI)</t>
  </si>
  <si>
    <t>Bhola, N (corresponding author), Univ Groningen, Ctr Ecol &amp; Evolutionary Studies, POB 11103, NL-9700 CC Groningen, Netherlands.</t>
  </si>
  <si>
    <t>nina.bhola@gmail.com</t>
  </si>
  <si>
    <t>; Olff, Han/A-8516-2008</t>
  </si>
  <si>
    <t>Ogutu, Joseph O/0000-0002-7379-0387; Piepho, Hans-Peter/0000-0001-7813-2992; Olff, Han/0000-0003-2154-3576;</t>
  </si>
  <si>
    <t>International Livestock Research Institute (ILRI); University of Groningen; Marco Polo Funds</t>
  </si>
  <si>
    <t>International Livestock Research Institute (ILRI)(CGIAR); University of Groningen; Marco Polo Funds</t>
  </si>
  <si>
    <t>We thank the Department of Resource Surveys and Remote Sensing of Kenya (DRSRS) for providing the data on wildlife surveys. The International Livestock Research Institute (ILRI), the University of Groningen and the Marco Polo Funds supported this study. We also thank three anonymous reviewers and the associate editor for critical comments that helped improve earlier drafts of this paper.</t>
  </si>
  <si>
    <t>10.1111/j.1365-2656.2012.02000.x</t>
  </si>
  <si>
    <t>030FF</t>
  </si>
  <si>
    <t>WOS:000310554300014</t>
  </si>
  <si>
    <t>Gaines, KF; Boring, CS; Porter, DE</t>
  </si>
  <si>
    <t>GIS; raccoons (Procyon lotor); radiocaesium; resounc e selection functions; risk assessment; spatial modelling</t>
  </si>
  <si>
    <t>HOME-RANGE; LANDSCAPE; ACCUMULATION; POPULATION; COMMUNITY; SEDIMENTS; RESERVOIR; MOVEMENT; FIELD</t>
  </si>
  <si>
    <t>A spatially explicit model of raccoon (Procyon lotor) distribution for the U.S. Department of Energy's (DOE) Savannah River S to (SRS) in west-central South Carolina was developed using data from a raccoon radio-telemetry study and visualized within a Geographic Information System (GIs). An inductive approach was employed to develop three sub-models using the ecological requirements of raccoons studied in the following habitats: (1) man-made reservoirs, (2) bottomland hardwood/riverine systems, and (3) isolated wetland systems. Logistic regression was used to derive probabilistic resource selection functions using habitat compositional data and landscape metrics. The final distribution model provides a spatially explicit probability (likelihood of being in an area) surface for male raccoons. The model is a stand-alone tool consisting of algorithms independent of the specific GIS data layers to which they were derived. The model was then used to predict contaminant burdens in raccoons inhabiting a riverine system contaminated with radiocaesium (Cs-137). The predicted Cs-137 burdens were less than if one would assume homogeneous use of the contaminated areas. This modelling effort provides a template for DOE managed lands and other large government facilities to establish a framework for site-specific ecological assessments that use wildlife species as endpoints. (c) 2004 Elsevier B.V. All rights reserved.</t>
  </si>
  <si>
    <t>Univ S Carolina, Norman J Arnold Sch Publ Hlth, Columbia, SC 29208 USA; Univ Georgia, Savannah River Ecol Lab, Aiken, SC 29802 USA; Environm &amp; Occupat Hlth Sci Inst, Consortium Risk Evaluat Stakeholder Participat, Piscataway, NJ USA; Rutgers State Univ, Div Life Sci, Piscataway, NJ USA</t>
  </si>
  <si>
    <t>University of South Carolina System; University of South Carolina Columbia; United States Department of Energy (DOE); Savannah River Ecology Laboratory; University System of Georgia; University of Georgia; Rutgers University System; Rutgers University New Brunswick</t>
  </si>
  <si>
    <t>Gaines, KF (corresponding author), Univ S Dakota, Dept Biol, Vermillion, SD 57069 USA.</t>
  </si>
  <si>
    <t>kfgaines@usd.edu</t>
  </si>
  <si>
    <t>ELSEVIER SCIENCE BV</t>
  </si>
  <si>
    <t>PO BOX 211, 1000 AE AMSTERDAM, NETHERLANDS</t>
  </si>
  <si>
    <t>APR 1</t>
  </si>
  <si>
    <t>1-3</t>
  </si>
  <si>
    <t>10.1016/j.scitotenv.2004.09.017</t>
  </si>
  <si>
    <t>924VP</t>
  </si>
  <si>
    <t>WOS:000229009100002</t>
  </si>
  <si>
    <t>Araujo, CC; Wang, JY</t>
  </si>
  <si>
    <t>Araujo, Claryana C.; Wang, John Y.</t>
  </si>
  <si>
    <t>The dammed river dolphins of Brazil: impacts and conservation</t>
  </si>
  <si>
    <t>Brazil; conservation; distribution; human impact; hydroelectric dams; Inia geoffrensis; Sotalia fluviatilis</t>
  </si>
  <si>
    <t>BOTOS INIA-GEOFFRENSIS; PREFERENCES; DAMS</t>
  </si>
  <si>
    <t>A major threat to river dolphins in Brazil is habitat loss and fragmentation as a result of the construction of hydroelectric dams. We examine the degree of overlap between the distributions of two river dolphin species (boto Inia geoffrensis and tucuxi Sotalia fluviatilis) and hydroelectric projects and provide an initial quantification of impacts. The locations of dams were overlaid onto a map of the known distributions of the dolphins. Two types of impacts were evaluated: population fragmentation and effects on prey. For each of these a binary score (for absence or presence) was assigned for each dam. The sum of all impact scores for each dam, in each of the three watersheds in which dolphins are found, including realized and potential impacts, was calculated as the impact index. Thirteen dams affect the distribution of I. geoffrensis (as could a further three dams under construction and seven planned), and three dams affect S. fluviatilis (as could three under construction and two planned). Overall, the impact index was higher for I. geoffrensis than for S. fluviatilis. The Araguaia-Tocantins and North Atlantic watersheds have higher impact index values than the Amazon watershed. Although some impacts of damming could not be considered in this study, our approach was a rapid initial risk assessment that provided an overall understanding of how river dolphins are and may be affected by hydroelectric projects in Brazil. Our method may be applicable to other freshwater cetaceans and species facing similar threats when information about impacts is incomplete.</t>
  </si>
  <si>
    <t>[Araujo, Claryana C.] Univ Fed Goias, UFG, Appl Ecol &amp; Conservat Lab, BR-74001970 Goiania, Go, Brazil; [Wang, John Y.] CetAsia Res Grp Ltd, Thornhill, ON L4J- 7X1, Canada; [Araujo, Claryana C.] Projeto Boto Araguaia, Goiania, Go, Brazil; [Wang, John Y.] Trent Univ, Dept Biol, Peterborough, ON K9J 7B8, Canada</t>
  </si>
  <si>
    <t>Universidade Federal de Goias; Trent University</t>
  </si>
  <si>
    <t>Araujo, CC (corresponding author), Univ Fed Goias, UFG, Appl Ecol &amp; Conservat Lab, BR-74001970 Goiania, Go, Brazil.</t>
  </si>
  <si>
    <t>araujoclaryana@gmail.com</t>
  </si>
  <si>
    <t>Coordenacao de Aperfeicoamento de Pessoal de Nivel Superior, Brazil</t>
  </si>
  <si>
    <t>Coordenacao de Aperfeicoamento de Pessoal de Nivel Superior, Brazil(Coordenacao de Aperfeicoamento de Pessoal de Nivel Superior (CAPES))</t>
  </si>
  <si>
    <t>C.C. Araujo is supported by a PhD scholarship from Coordenacao de Aperfeicoamento de Pessoal de Nivel Superior, Brazil. The authors greatly appreciate the comments provided by Randall R. Reeves and Thomas A. Jefferson.</t>
  </si>
  <si>
    <t>0030-6053</t>
  </si>
  <si>
    <t>1365-3008</t>
  </si>
  <si>
    <t>10.1017/S0030605314000362</t>
  </si>
  <si>
    <t>AX2JR</t>
  </si>
  <si>
    <t>WOS:000346770000009</t>
  </si>
  <si>
    <t>Cowburn, B; Samoilys, MA; Obura, D</t>
  </si>
  <si>
    <t>Cowburn, B.; Samoilys, M. A.; Obura, D.</t>
  </si>
  <si>
    <t>MARINE POLLUTION BULLETIN</t>
  </si>
  <si>
    <t>Climate change; Coral bleaching; Resilience; Artisanal fisheries; Pollution</t>
  </si>
  <si>
    <t>BASE-LINES; RESILIENCE; FISHERIES; IMPACTS; WORLDS; COMMUNITIES; MANAGEMENT; TRENDS; FUTURE</t>
  </si>
  <si>
    <t>Coral bleaching and various human stressors have degraded the coral reefs of the Comoros Archipelago in the past 40 years and rising atmospheric CO2 levels are predicted to further impact marine habitats. The condition of reefs in the Comoros is poorly known; using SCUBA based methods we surveyed reef condition and resilience to bleaching at sites in Grande Comore and Moheli in 2010 and 2016. The condition of reefs was highly variable, with a range in live coral cover between 6% and 60% and target fishery species biomass between 20 and 500 kg per ha. The vulnerability assessment of reefs to future coral bleaching and their exposure to fishing, soil erosion and river pollution in Moheli Marine Park found that offshore sites around the islets south of the island were least likely to be impacted by these negative pressures. The high variability in both reef condition and vulnerability across reefs in the Park lends itself to spatially explicit conservation actions. However, it is noteworthy that climate impacts to date appear moderate and that local human pressures are not having a major impact on components of reef health and recovery, suggesting these reefs are relatively resilient to the current anthropogenic stresses that they are experiencing.</t>
  </si>
  <si>
    <t>[Cowburn, B.; Samoilys, M. A.; Obura, D.] CORDIO East Africa, 9 Kibaki Flats,POB 10135, Mombasa 80101, Kenya; [Samoilys, M. A.] Univ Oxford, Dept Zool, Oxford OX2 6GG, England</t>
  </si>
  <si>
    <t>University of Oxford</t>
  </si>
  <si>
    <t>Samoilys, MA (corresponding author), CORDIO East Africa, 9 Kibaki Flats,POB 10135, Mombasa 80101, Kenya.;Samoilys, MA (corresponding author), Univ Oxford, Dept Zool, Oxford OX2 6GG, England.</t>
  </si>
  <si>
    <t>msamoilys@cordioea.net</t>
  </si>
  <si>
    <t>WWF Madagascar; Dresy Lovasoa and Harisoa Rakotondrazafy; Western Indian Ocean Marine Science Association grant (WIOMSA) [MASMA/OR/2008/05]; Pervoli Trust fellowship</t>
  </si>
  <si>
    <t>WWF Madagascar; Dresy Lovasoa and Harisoa Rakotondrazafy; Western Indian Ocean Marine Science Association grant (WIOMSA); Pervoli Trust fellowship</t>
  </si>
  <si>
    <t>This study was made possible by funding and logistical support provided by WWF Madagascar and in particular we would like to acknowledge the support provided by Dresy Lovasoa and Harisoa Rakotondrazafy for the work conducted in 2016. The surveys in 2010 were funded through a Western Indian Ocean Marine Science Association grant (WIOMSA:MASMA/OR/2008/05) to CORDIO East Africa. M.S. was supported by a Pervoli Trust fellowship. We appreciate the logistical support provided by the staff at Parc National de Moheli and Laka Lodge for completing our fieldwork. Finally, we would like to thank Juliet Furaha, Peter Musembi, Daniel Davis and Philippe Robert for their assistance in data collection in 2016.</t>
  </si>
  <si>
    <t>0025-326X</t>
  </si>
  <si>
    <t>1879-3363</t>
  </si>
  <si>
    <t>MAR POLLUT BULL</t>
  </si>
  <si>
    <t>Mar. Pollut. Bull.</t>
  </si>
  <si>
    <t>10.1016/j.marpolbul.2018.04.065</t>
  </si>
  <si>
    <t>GQ6RU</t>
  </si>
  <si>
    <t>WOS:000441853600107</t>
  </si>
  <si>
    <t>Böhm, M; Collen, B; Baillie, JEM; Bowles, P; Chanson, J; Cox, N; Hammerson, G; Hoffmann, M; Livingstone, SR; Ram, M; Rhodin, AGJ; Stuart, SN; van Dijk, PP; Young, BE; Afuang, LE; Aghasyan, A; Garcia, A; Aguilar, C; Ajtic, R; Akarsu, F; Alencar, LRV; Allison, A; Ananjeva, N; Anderson, S; Andrén, C; Ariano-Sánchez, D; Arredondo, JC; Auliya, M; Austin, CC; Avci, A; Baker, PJ; Barreto-Lima, AF; Barrio-Amorós, CL; Basu, D; Bates, MF; Batistella, A; Bauer, A; Bennett, D; Böhme, W; Broadley, D; Brown, R; Burgess, J; Captain, A; Carreira, S; Castañeda, MD; Castro, F; Catenazzi, A; Cedeño-Vázquez, JR; Chapple, DG; Cheylan, M; Cisneros-Heredia, DF; Cogalniceanu, D; Cogger, H; Corti, C; Costa, GC; Couper, PJ; Courtney, T; Crnobrnja-Isailovic, J; Crochet, PA; Crother, B; Cruz, F; Daltry, JC; Daniels, RIR; Das, I; de Silva, A; Diesmos, AC; Dirksen, L; Doan, TM; Dodd, CK ; Doody, JS; Dorcas, ME; de Barros, JD; Egan, VT; El Mouden, E; Embert, D; Espinoza, RE; Fallabrino, A; Feng, X; Feng, ZJ; Fitzgerald, L; Flores-Villela, O; França, FGR; Frost, D; Gadsden, H; Gamble, T; Ganesh, SR; Garcia, MA; García-Pérez, JE; Gatus, J; Gaulke, M; Geniez, P; Georges, A; Gerlach, J; Goldberg, S; Gonzalez, JCT; Gower, DJ; Grant, T; Greenbaum, E; Grieco, C; Guo, P; Hamilton, AM; Hare, K; Hedges, SB; Heideman, N; Hilton-Taylor, C; Hitchmough, R; Hollingsworth, B; Hutchinson, M; Ineich, I; Iverson, J; Jaksic, FM; Jenkins, R; Joger, U; Jose, R; Kaska, Y; Kaya, U; Keogh, JS; Köhler, G; Kuchling, G; Kumlutas, Y; Kwet, A; La Marca, E; Lamar, W; Lane, A; Lardner, B; Latta, C; Latta, G; Lau, M; Lavin, P; Lawson, D; LeBreton, M; Lehr, E; Limpus, D; Lipczynski, N; Lobo, AS; López-Luna, MA; Luiselli, L; Lukoschek, V; Lundberg, M; Lymberakis, P; Macey, R; Magnusson, WE; Mahler, DL; Malhotra, A; Mariaux, J; Maritz, B; Marques, OAV; Márquez, R; Martins, M; Masterson, G; Mateo, JA; Mathew, R; Mathews, N; Mayer, G; McCranie, JR; Measey, GJ; Mendoza-Quijano, F; Menegon, M; Métrailler, S; Milton, DA; Montgomery, C; Morato, SAA; Mott, T; Muñoz-Alonso, A; Murphy, J; Nguyen, TQ; Nilson, G; Nogueira, C; Núñez, H; Orlov, N; Ota, H; Ottenwalder, J; Papenfuss, T; Pasachnik, S; Passos, P; Pauwels, OSG; Pérez-Buitrago, N; Pérez-Mellado, V; Pianka, ER; Pleguezuelos, J; Pollock, C; Ponce-Campos, P; Powell, R; Pupin, F; Díaz, GEQ; Radder, R; Ramer, J; Rasmussen, AR; Raxworthy, C; Reynolds, R; Richman, N; Rico, EL; Riservato, E; Rivas, G; da Rocha, PLB; Rödel, MO; Schettino, LR; Roosenburg, WM; Ross, JP; Sadek, R; Sanders, K; Santos-Barrera, G; Schleich, HH; Schmidt, BR; Schmitz, A; Sharifi, M; Shea, G; Shi, HT; Shine, R; Sindaco, R; Slimani, T; Somaweera, R; Spawls, S; Stafford, P; Stuebing, R; Sweet, S; Sy, E; Temple, HJ; Tognelli, MF; Tolley, K; Tolson, PJ; Tuniyev, B; Tuniyev, S; Üzüm, N; van Buurt, G; Van Sluys, M; Velasco, A; Vences, M; Vesely, M; Vinke, S; Vinke, T; Vogel, G; Vogrin, M; Vogt, RC; Wearn, OR; Werner, YL; Whiting, MJ; Wiewandt, T; Wilkinson, J; Wilson, B; Wren, S; Zamin, T; Zhou, K; Zug, G</t>
  </si>
  <si>
    <t>Bohm, Monika; Collen, Ben; Baillie, Jonathan E. M.; Bowles, Philip; Chanson, Janice; Cox, Neil; Hammerson, Geoffrey; Hoffmann, Michael; Livingstone, Suzanne R.; Ram, Mala; Rhodin, Anders G. J.; Stuart, Simon N.; van Dijk, Peter Paul; Young, Bruce E.; Afuang, Leticia E.; Aghasyan, Aram; Garcia, Andres; Aguilar, Cesar; Ajtic, Rastko; Akarsu, Ferdi; Alencar, Laura R. V.; Allison, Allen; Ananjeva, Natalia; Anderson, Steve; Andren, Claes; Ariano-Sanchez, Daniel; Arredondo, Juan Camilo; Auliya, Mark; Austin, Christopher C.; Avci, Aziz; Baker, Patrick J.; Barreto-Lima, Andre F.; Barrio-Amoros, Cesar L.; Basu, Dhruvayothi; Bates, Michael F.; Batistella, Alexandre; Bauer, Aaron; Bennett, Daniel; Bohme, Wolfgang; Broadley, Don; Brown, Rafe; Burgess, Joseph; Captain, Ashok; Carreira, Santiago; Castaneda, Maria del Rosario; Castro, Fernando; Catenazzi, Alessandro; Cedeno-Vazquez, Jose R.; Chapple, David G.; Cheylan, Marc; Cisneros-Heredia, Diego F.; Cogalniceanu, Dan; Cogger, Hal; Corti, Claudia; Costa, Gabriel C.; Couper, Patrick J.; Courtney, Tony; Crnobrnja-Isailovic, Jelka; Crochet, Pierre-Andre; Crother, Brian; Cruz, Felix; Daltry, Jennifer C.; Daniels, R. I. Ranjit; Das, Indraneil; de Silva, Anslem; Diesmos, Arvin C.; Dirksen, Lutz; Doan, Tiffany M.; Dodd, C. Kenneth, Jr.; Doody, J. Sean; Dorcas, Michael E.; de Barros Filho, Jose Duarte; Egan, Vincent T.; El Mouden, El Hassan; Embert, Dirk; Espinoza, Robert E.; Fallabrino, Alejandro; Feng, Xie; Feng, Zhao-Jun; Fitzgerald, Lee; Flores-Villela, Oscar; Franca, Frederico G. R.; Frost, Darrell; Gadsden, Hector; Gamble, Tony; Ganesh, S. R.; Garcia, Miguel A.; Garcia-Perez, Juan E.; Gatus, Joey; Gaulke, Maren; Geniez, Philippe; Georges, Arthur; Gerlach, Justin; Goldberg, Stephen; Gonzalez, Juan-Carlos T.; Gower, David J.; Grant, Tandora; Greenbaum, Eli; Grieco, Cristina; Guo, Peng; Hamilton, Alison M.; Hare, Kelly; Hedges, S. Blair; Heideman, Neil; Hilton-Taylor, Craig; Hitchmough, Rod; Hollingsworth, Bradford; Hutchinson, Mark; Ineich, Ivan; Iverson, John; Jaksic, Fabian M.; Jenkins, Richard; Joger, Ulrich; Jose, Reizl; Kaska, Yakup; Kaya, Ugur; Keogh, J. Scott; Kohler, Gunther; Kuchling, Gerald; Kumlutas, Yusuf; Kwet, Axel; La Marca, Enrique; Lamar, William; Lane, Amanda; Lardner, Bjorn; Latta, Craig; Latta, Gabrielle; Lau, Michael; Lavin, Pablo; Lawson, Dwight; LeBreton, Matthew; Lehr, Edgar; Limpus, Duncan; Lipczynski, Nicola; Lobo, Aaron S.; Lopez-Luna, Marco A.; Luiselli, Luca; Lukoschek, Vimoksalehi; Lundberg, Mikael; Lymberakis, Petros; Macey, Robert; Magnusson, William E.; Mahler, D. Luke; Malhotra, Anita; Mariaux, Jean; Maritz, Bryan; Marques, Otavio A. V.; Marquez, Rafael; Martins, Marcio; Masterson, Gavin; Mateo, Jose A.; Mathew, Rosamma; Mathews, Nixon; Mayer, Gregory; McCranie, James R.; Measey, G. John; Mendoza-Quijano, Fernando; Menegon, Michele; Metrailler, Sebastien; Milton, David A.; Montgomery, Chad; Morato, Sergio A. A.; Mott, Tami; Munoz-Alonso, Antonio; Murphy, John; Nguyen, Truong Q.; Nilson, Goeran; Nogueira, Cristiano; Nunez, Herman; Orlov, Nikolai; Ota, Hidetoshi; Ottenwalder, Jose; Papenfuss, Theodore; Pasachnik, Stesha; Passos, Paulo; Pauwels, Olivier S. G.; Perez-Buitrago, Nestor; Perez-Mellado, Valentin; Pianka, Eric R.; Pleguezuelos, Juan; Pollock, Caroline; Ponce-Campos, Paulino; Powell, Robert; Pupin, Fabio; Quintero Diaz, Gustavo E.; Radder, Raju; Ramer, Jan; Rasmussen, Arne R.; Raxworthy, Chris; Reynolds, Robert; Richman, Nadia; Rico, Edmund L.; Riservato, Elisa; Rivas, Gilson; da Rocha, Pedro L. B.; Rodel, Mark-Oliver; Rodriguez Schettino, Lourdes; Roosenburg, Willem M.; Ross, James P.; Sadek, Riyad; Sanders, Kate; Santos-Barrera, Georgina; Schleich, Hermann H.; Schmidt, Benedikt R.; Schmitz, Andreas; Sharifi, Mozafar; Shea, Glenn; Shi, Hai-Tao; Shine, Richard; Sindaco, Roberto; Slimani, Tahar; Somaweera, Ruchira; Spawls, Steve; Stafford, Peter; Stuebing, Rob; Sweet, Sam; Sy, Emerson; Temple, Helen J.; Tognelli, Marcelo F.; Tolley, Krystal; Tolson, Peter J.; Tuniyev, Boris; Tuniyev, Sako; Uzum, Nazan; van Buurt, Gerard; Van Sluys, Monique; Velasco, Alvaro; Vences, Miguel; Vesely, Milan; Vinke, Sabine; Vinke, Thomas; Vogel, Gernot; Vogrin, Milan; Vogt, Richard C.; Wearn, Oliver R.; Werner, Yehudah L.; Whiting, Martin J.; Wiewandt, Thomas; Wilkinson, John; Wilson, Byron; Wren, Sally; Zamin, Tara; Zhou, Kaiya; Zug, George</t>
  </si>
  <si>
    <t>IUCN Red List; Extinction risk; Threatened species; Lizards; Snakes; Turtles; Distribution maps</t>
  </si>
  <si>
    <t>BIODIVERSITY CONSERVATION; MOLECULAR PHYLOGENY; DIVERSITY; CLIMATE; CLASSIFICATION; DISTRIBUTIONS; AMPHIBIANS; RADIATION; RICHNESS; MAMMALS</t>
  </si>
  <si>
    <t>Effective and targeted conservation action requires detailed information about species, their distribution, systematics and ecology as well as the distribution of threat processes which affect them. Knowledge of reptilian diversity remains surprisingly disparate, and innovative means of gaining rapid insight into the status of reptiles are needed in order to highlight urgent conservation cases and inform environmental policy with appropriate biodiversity information in a timely manner. We present the first ever global analysis of extinction risk in reptiles, based on a random representative sample of 1500 species (16% of all currently known species). To our knowledge, our results provide the first analysis of the global conservation status and distribution patterns of reptiles and the threats affecting them, highlighting conservation priorities and knowledge gaps which need to be addressed urgently to ensure the continued survival of the world's reptiles. Nearly one in five reptilian species are threatened with extinction, with another one in five species classed as Data Deficient. The proportion of threatened reptile species is highest in freshwater environments, tropical regions and on oceanic islands, while data deficiency was highest in tropical areas, such as Central Africa and Southeast Asia, and among fossorial reptiles. Our results emphasise the need for research attention to be focussed on tropical areas which are experiencing the most dramatic rates of habitat loss, on fossorial reptiles for which there is a chronic lack of data, and on certain taxa such as snakes for which extinction risk may currently be underestimated due to lack of population information. Conservation actions specifically need to mitigate the effects of human-induced habitat loss and harvesting, which are the predominant threats to reptiles. (C) 2012 Elsevier Ltd. All rights reserved.</t>
  </si>
  <si>
    <t>[Bohm, Monika; Collen, Ben; Ram, Mala; Richman, Nadia; Wearn, Oliver R.] Zool Soc London, Inst Zool, Regents Pk, London NW1 4RY, England; [Baillie, Jonathan E. M.; Wren, Sally] Zool Soc London, Conservat Programmes, London NW1 4RY, England; [Bowles, Philip; Cox, Neil; Tognelli, Marcelo F.] Conservat Int, IUCN CI Biodivers Assessment Unit, Arlington, VA 22202 USA; [Chanson, Janice; Cox, Neil] IUCN, Species Programme, CH-1196 Gland, Switzerland; [Chanson, Janice] IUCN CI Biodivers Assessment Unit, Cheltenham, Vic 3192, Australia; [Hammerson, Geoffrey] NatureServe, Port Townsend, WA 98368 USA; [Hoffmann, Michael] United Nations Environm Programme World Conservat, IUCN SSC Species Survival Commiss, Cambridge CB3 0DL, England; [Livingstone, Suzanne R.] Univ Glasgow, Fac Biomed &amp; Life Sci, Glasgow G12 8QQ, Lanark, Scotland; [Rhodin, Anders G. J.] Chelonian Res Fdn, Lunenburg, MA 01462 USA; [Stuart, Simon N.] IUCN Species Survival Commiss, CH-1196 Gland, Switzerland; [Stuart, Simon N.] United Nations Environm Programme World Conservat, Cambridge CB3 0DL, England; [Stuart, Simon N.; van Dijk, Peter Paul] Conservat Int, Arlington, VA 22202 USA; [Stuart, Simon N.] Univ Bath, Dept Biol &amp; Biochem, Bath BA2 7AY, Avon, England; [Stuart, Simon N.] Al Ain Wildlife Pk &amp; Resort, Abu Dhabi, U Arab Emirates; [Young, Bruce E.] NatureServe, Arlington, VA 22203 USA; [Afuang, Leticia E.; Gonzalez, Juan-Carlos T.] Univ Philippines, Inst Biol Sci, Laguna 4031, Philippines; [Aghasyan, Aram] Bioresources Management Agcy, Minist Nat Protect, Protected Areas Management Dept, Yerevan, Armenia; [Garcia, Andres] UNAM, Inst Biol, Estn Biol Chamela, San Patricio, Jalisco, Mexico; [Ajtic, Rastko] Inst Nat Conservat Serbia, Belgrade 11070, Serbia; [Akarsu, Ferdi] Doga Dernegi Nat Assoc, Ankara, Turkey; [Alencar, Laura R. V.; Martins, Marcio] Univ Sao Paulo, Inst Biociencias, Dept Ecol, BR-05508090 Sao Paulo, Brazil; [Allison, Allen] Bernice P Bishop Museum, Honolulu, HI 96817 USA; [Ananjeva, Natalia; Orlov, Nikolai] Russian Acad Sci, Inst Zool, St Petersburg 199034, Russia; [Anderson, Steve] Univ Pacific, Stockton, CA 95211 USA; [Andren, Claes] Nordens Ark, SE-45693 Hunnebostrand, Sweden; [Ariano-Sanchez, Daniel] Org Zootrop, Gen Projects, Guatemala City 1001, Guatemala; [Arredondo, Juan Camilo] Univ Sao Paulo, Museu Zool, BR-04218170 Sao Paulo, Brazil; [Auliya, Mark] UFZ Helmholtz Ctr Environm Res, Dept Conservat Biol, D-04318 Leipzig, Germany; [Austin, Christopher C.] Louisiana State Univ, Museum Nat Sci, Dept Biol Sci, Baton Rouge, LA 70803 USA; [Avci, Aziz; Uzum, Nazan] Adnan Menderes Univ, Fac Sci &amp; Arts, Dept Biol, Aydin, Turkey; [Baker, Patrick J.] Texas A&amp;M Univ Syst, AgriLIFE Res, Blackland Res &amp; Extens Ctr, Temple, TX 76502 USA; [Baker, Patrick J.] Wetlands Inst, Stone Harbor, NJ 08247 USA; [Barreto-Lima, Andre F.] Univ Fed Rio Grande do Sul, Inst Biociencias, BR-91540000 Porto Alegre, RS, Brazil; [Barrio-Amoros, Cesar L.] Fdn Andigena, Merida 5101A, Venezuela; [Basu, Dhruvayothi] Katerniaghat Fdn, Lucknow 226006, Uttar Pradesh, India; [Bates, Michael F.] Natl Museum, Dept Herpetol, ZA-9300 Bloemfontein, South Africa; [Batistella, Alexandre] Dept Environm Mato Grosso, Belo Horizonte, MG, Brazil; [Bauer, Aaron] Villanova Univ, Dept Biol, Villanova, PA 19085 USA; [Bennett, Daniel] Mampam Conservat, Glossop, Derbyshire, England; [Bohme, Wolfgang; Nguyen, Truong Q.] Zool Forsch Museum Alexander Koenig ZFMK, D-53113 Bonn, Germany; [Broadley, Don] Nat Hist Museum Zimbabwe, Dept Herpetol, Bulawayo, Zimbabwe; [Brown, Rafe] Univ Kansas, Dept Ecol &amp; Evolutionary Biol, Nat Hist Museum, Lawrence, KS 66045 USA; [Brown, Rafe] Univ Kansas, Dept Ecol &amp; Evolutionary Biol, Biodivers Inst, Lawrence, KS 66045 USA; [Burgess, Joseph] Guana Tolomato Matanzas Natl Estuarine Res Reserv, Ponte Vedra, FL 32082 USA; [Carreira, Santiago] Fac Ciencias UDELAR, Inst Ecol &amp; Ciencias Ambientales, Lab Sistemat Vertebrados &amp; Hist Nat, Montevideo, Uruguay; [Castaneda, Maria del Rosario] Harvard Univ, Museum Comparat Zool, Cambridge, MA 02138 USA; [Castro, Fernando] Univ Valle, Dept Biol, Cali, Colombia; [Catenazzi, Alessandro] Univ Calif Berkeley, Berkeley, CA 94720 USA; [Cedeno-Vazquez, Jose R.] Inst Tecnol Chetumal, Chetmal, Quintana Roo, Mexico; [Chapple, David G.] Monash Univ, Sch Biol Sci, Clayton, Vic 3800, Australia; [Chapple, David G.] Victoria Univ Wellington, Sch Biol Sci, Allan Wilson Ctr Mol Ecol &amp; Evolut, Wellington, New Zealand; [Cheylan, Marc; Crochet, Pierre-Andre] Ctr Ecol Fonct &amp; Evolut, CNRS UMR5175, F-34293 Montpellier 5, France; [Cisneros-Heredia, Diego F.] Univ San Francisco Quito, Colegio Ciencias Biol &amp; Ambientales, Quito, Ecuador; [Cogalniceanu, Dan] Univ Ovidius Constanta, Fac Nat Sci, Constanta, Romania; [Cogger, Hal] Australian Museum, Sydney, NSW 2010, Australia; [Corti, Claudia] Univ Florence, Museo Storia Nat, Sez Zool La Specola, I-50121 Florence, Italy; [Costa, Gabriel C.] Univ Fed Rio Grande do Norte, BR-59072970 Natal, RN, Brazil; [Couper, Patrick J.] Queensland Museum, Biodivers Program, Brisbane, Qld 4101, Australia; [Courtney, Tony] So Fisheries Ctr, Queensland Dept Employment Econ Dev &amp; Innovat, Deception, Qld 4508, Australia; [Crnobrnja-Isailovic, Jelka] Univ Nis, Fac Sci &amp; Math, Nish, Serbia; [Crnobrnja-Isailovic, Jelka] IBISS Beograd, Belgrade, Serbia; [Crother, Brian] SE Louisiana Univ, Dept Biol Sci, Hammond, LA 70402 USA; [Cruz, Felix] INIBIOMA CONICET UNComa, RA-8400 San Carlos De Bariloche, Rio Negro, Argentina; [Daltry, Jennifer C.] Fauna &amp; Flora Int, Cambridge CB1 2JD, England; [Daniels, R. I. Ranjit] Care Earth Trust, Madras 600061, Tamil Nadu, India; [Das, Indraneil] Univ Malaysia Sarawak, Inst Biodivers &amp; Environm Conservat, Sarawak, Malaysia; [de Silva, Anslem] Rajarata Univ Sri Lanka, Mihintale, Sri Lanka; [Diesmos, Arvin C.] Philippine Natl Museum, Herpetol Dept, Manila, Philippines; [Dirksen, Lutz] Reptile &amp; Anim Presentat, D-13089 Berlin, Germany; [Doan, Tiffany M.] Cent Connecticut State Univ, Dept Biol, New Britain, CT 06050 USA; [Dodd, C. Kenneth, Jr.; Ross, James P.] Univ Florida, Dept Wildlife Ecol &amp; Conservat, Gainesville, FL 32611 USA; [Dorcas, Michael E.] Davidson Coll, Dept Biol, Davidson, NC 28035 USA; [de Barros Filho, Jose Duarte] Univ Estadual Rio de Janeiro LAZOVERTE UERJ, Lab Zool Vertebrados, Rio De Janeiro, Brazil; [Egan, Vincent T.] Dept Econ Dev Environm &amp; Tourism, ZA-0700 Polokwane, Limpopo, South Africa; [El Mouden, El Hassan; Slimani, Tahar] Univ Cadi Ayyad, Dept Biol, Marrakech, Morocco; [Doody, J. Sean; Embert, Dirk] Fdn Amigos Nat, Santa Cruz, Bolivia; [Espinoza, Robert E.] Calif State Univ Northridge, Dept Biol, Northridge, CA 91330 USA; [Fallabrino, Alejandro] Karumbe, Montevideo, Uruguay; [Feng, Xie] Chinese Acad Sci, Chengdu Inst Biol, Chengdu, Sichuan, Peoples R China; [Feng, Zhao-Jun] Xuzhou Normal Univ, Xuzhou, Jiangsu, Peoples R China; [Fitzgerald, Lee] Texas A&amp;M Univ, College Stn, TX 77843 USA; [Flores-Villela, Oscar] Univ Nacl Autonoma Mexico, Fac Ciencias, Museo Zool, Mexico City 04510, DF, Mexico; [Franca, Frederico G. R.] Univ Fed Paraiba, Rio Tinto, PB, Brazil; [Frost, Darrell; Raxworthy, Chris] Amer Museum Nat Hist, New York, NY 10024 USA; [Gadsden, Hector] Inst Ecol AC, Chihuahua 31109, Mexico; [Gamble, Tony] Univ Minnesota, Minneapolis, MN 55455 USA; [Ganesh, S. R.] Chennai Snake Pk, Madras 600022, Tamil Nadu, India; [Gatus, Joey] Univ San Carlos, Dept Biol, Cebu, Philippines; [Gaulke, Maren] Univ Munich, GeoBio Ctr, D-80333 Munich, Germany; [Geniez, Philippe] Ctr Ecol Fonct &amp; Evolut, EPHE UMR5175, F-34293 Montpellier 5, France; [Georges, Arthur] Univ Canberra, Inst Appl Ecol, Canberra, ACT 2601, Australia; [Gerlach, Justin] Nat Protect Trust Seychelles, Cambridge CB1 7BX, England; [Goldberg, Stephen] Whittier Coll, Dept Biol, Whittier, CA 90608 USA; [Gonzalez, Juan-Carlos T.] Univ Oxford, Dept Zool, Edward Grey Inst Field Ornithol, Oxford OX1 3PS, England; [Gower, David J.; Stafford, Peter] Nat Hist Museum, Dept Zool, London SW7 5BD, England; [Grant, Tandora] San Diego Zoo Inst Conservat Res, Escondido, CA 92027 USA; [Greenbaum, Eli] Univ Texas El Paso, Dept Biol Sci, El Paso, TX 79968 USA; [Grieco, Cristina; Sindaco, Roberto] Ist Piante Legno &amp; Ambiente, I-10132 Turin, Italy; [Guo, Peng] Yibin Univ, Yibin, Sichuan, Peoples R China; [Hamilton, Alison M.; Zug, George] Smithsonian Inst, Natl Museum Nat Hist, Div Amphibian &amp; Reptiles, Washington, DC 20013 USA; [Hare, Kelly] Univ Otago, Dept Zool, Dunedin 9054, New Zealand; [Hedges, S. Blair] Penn State Univ, Dept Biol, University Pk, PA 16802 USA; [Heideman, Neil] Univ Free State, ZA-9300 Bloemfontein, South Africa; [Hilton-Taylor, Craig; Pollock, Caroline] IUCN, Species Programme, Cambridge CB3 0DL, England; [Hitchmough, Rod] Dept Conservat, Wellington 6143, New Zealand; [Hollingsworth, Bradford] San Diego Nat Hist Museum, Dept Herpetol, San Diego, CA 92112 USA; [Hutchinson, Mark] South Australian Museum, Adelaide, SA 5000, Australia; [Ineich, Ivan] Museum Natl Hist Nat, UMR CNRS Origine Struct &amp; Evolut Biodiversite 720, Dept Systemat &amp; Evolut, F-75005 Paris, France; [Iverson, John] Earlham Coll, Dept Biol, Richmond, IN 47374 USA; [Jaksic, Fabian M.] Catholic Univ Chile, CASEB, Santiago, Chile; [Jenkins, Richard] Madagasikara Voakajy, Antananarivo, Madagascar; [Jenkins, Richard] Univ Kent, Sch Anthropol &amp; Conservat, Durrell Inst Conservat &amp; Ecol, Canterbury CT2 7NR, Kent, England; [Jenkins, Richard] Bangor Univ, Sch Environm Nat Resources &amp; Geog, Bangor LL57 2UW, Gwynedd, Wales; [Joger, Ulrich] State Nat Hist Museum, D-38106 Braunschweig, Germany; [Jose, Reizl] Bohol Isl State Univ, Bohol, Philippines; [Kaska, Yakup] Pamukkale Univ, Dept Biol, Denizli, Turkey; [Kaya, Ugur] Ege Univ, Fac Sci, Biol Sect, Dept Zool, TR-35100 Bornova, Turkey; [Keogh, J. Scott] Australian Natl Univ, Res Sch Biol, Canberra, ACT 0200, Australia; [Kohler, Gunther] Senckenberg Forsch Inst &amp; Nat Museum, D-60325 Frankfurt, Germany; [Kuchling, Gerald] Univ Western Australia, Sch Anim Biol, Perth, WA 6009, Australia; [Kumlutas, Yusuf] Dokuz Eylul Univ, Fac Educ, Dept Biol, Izmir, Turkey; [Kwet, Axel] Staatliches Museum Naturkunde Stuttgart, D-70191 Stuttgart, Germany; [La Marca, Enrique] Univ Los Andes, Fac Ciencias Forestales &amp; Ambientales, Escuela Geog, Lab Biogeografia, Merida 5101A, Venezuela; [Lamar, William] Univ Texas Tyler, Tyler, TX 75799 USA; [Lane, Amanda; Shea, Glenn] Univ Sydney, Fac Vet Sci, Sydney, NSW 2006, Australia; [Lardner, Bjorn] Colorado State Univ, Ft Collins, CO 80523 USA; [Latta, Craig; Latta, Gabrielle] Australian Freshwater Turtle Conservat &amp; Res Asso, Carters Ridge, Qld, Australia; [Lau, Michael] WWF Hong Kong, Hong Kong, Hong Kong, Peoples R China; [Lavin, Pablo] Univ Autonoma Ciudad Juarez, Chihuahua, Mexico; [Lawson, Dwight] Zoo Atlanta, Se Atlanta, GA 30315 USA; [Lehr, Edgar] Illinois Wesleyan Univ, Bloomington, IL 61702 USA; [Lipczynski, Nicola] WildScreen, Bristol BS1 4HJ, Avon, England; [Lobo, Aaron S.] Univ Cambridge, Dept Zool, Cambridge CB2 3EJ, England; [Lopez-Luna, Marco A.] Univ Juarez Autonoma Tabasco, Div Acad Ciencias Biol, Villahermosa, Tabasco, Mexico; [Luiselli, Luca] Ctr Environm Studies Demetra, I-00198 Rome, Italy; [Lukoschek, Vimoksalehi] Univ Calif Irvine, Irvine, CA 92697 USA; [Lukoschek, Vimoksalehi] James Cook Univ, ARC Ctr Excellence Coral Reef Studies, Townsville, Qld 4811, Australia; [Lundberg, Mikael] Museum Tierkunde, Staatliche Nat Hist Sammlungen Dresden, D-01109 Dresden, Germany; [Lymberakis, Petros] Univ Crete, Nat Hist Museum Crete, Iraklion 71409, Greece; [Macey, Robert] Merritt Coll, Dept Biol, Oakland, CA 94619 USA; [Magnusson, William E.; Vogt, Richard C.] Inst Nacl de Pesquisas da Amazonia, BR-69083000 Manaus, Amazonas, Brazil; [Mahler, D. Luke] Univ Calif Davis, Ctr Populat Biol, Davis, CA 95616 USA; [Malhotra, Anita] Bangor Univ, Coll Nat Sci, Sch Biol Sci, Bangor LL57 2UW, Gwynedd, Wales; [Mariaux, Jean] Museum Nat Hist, CH-1208 Geneva, Switzerland; [Maritz, Bryan; Masterson, Gavin] Univ Witwatersrand, Sch Anim Plant &amp; Environm Sci, ZA-2050 Johannesburg, South Africa; [Marques, Otavio A. V.] Inst Butantan, Lab Ecol &amp; Evolucao, BR-05503900 Sao Paulo, Brazil; [Marquez, Rafael] CSIC, Museo Nacl Ciencias Nat, Dept Biodiversidad &amp; Biol Evolut, E-28006 Madrid, Spain; [Mateo, Jose A.] Univ Las Palmas, BIOGES, Las Palmas Gran Canaria 35001, Canary Islands, Spain; [Mathew, Rosamma] Zool Survey India, North Eastern Reg Ctr, Shillong 793003, Meghalaya, India; [Mayer, Gregory] Univ Wisconsin Parkside, Dept Biol Sci, Kenosha, WI 53141 USA; [Measey, G. John] North West Univ, Sch Environm Sci &amp; Dev, ZA-2520 Potchefstroom, South Africa; [Mendoza-Quijano, Fernando] Inst Tecnol Huejutla, Huejutla De Reyes 43000, Hidalgo, Mexico; [Menegon, Michele; Pupin, Fabio] Museo Tridentino Sci Nat, I-38122 Trento, Italy; [Milton, David A.] CSIRO Marine &amp; Atmospher Res, Cleveland, Qld 4163, Australia; [Montgomery, Chad] Truman State Univ, Kirksville, MO 63501 USA; [Morato, Sergio A. A.] Univ Tuiuti Parana, Curitiba, Parana, Brazil; [Mott, Tami] Univ Fed Mato Grosso, Inst Biociencias, Dept Biol &amp; Zool, Cuiaba, Brazil; [Munoz-Alonso, Antonio] El Colegio Frontera Sur, Chiapas, Mexico; [Murphy, John; Stuebing, Rob] Field Museum Nat Hist, Chicago, IL 60605 USA; [Nguyen, Truong Q.] Inst Ecol &amp; Biol Resources, Hanoi, Vietnam; [Nilson, Goeran] Goteborg Nat Hist Museum, SE-40235 Gothenburg, Sweden; [Nogueira, Cristiano] Univ Brasilia, Dept Zool, BR-70910900 Brasilia, DF, Brazil; [Nunez, Herman] Museo Nacl Hist Nat, Santiago, Chile; [Ota, Hidetoshi] Univ Hyogo, Inst Nat &amp; Environm Sci, Sanda, Hyogo 6691546, Japan; [Papenfuss, Theodore] Univ Calif Berkeley, Museum Vertebrate Zool, Berkeley, CA 94720 USA; [Pasachnik, Stesha] Univ Tennessee, Knoxville, TN 37996 USA; [Passos, Paulo] Univ Fed Rio de Janeiro, Museu Nacl, Dept Vertebrados, BR-20940040 Rio De Janeiro, RJ, Brazil; [Pauwels, Olivier S. G.] Inst Royal Sci Nat Belg, B-1000 Brussels, Belgium; [Perez-Buitrago, Nestor] Univ Puerto Rico, San Juan, PR 00936 USA; [Perez-Mellado, Valentin] Univ Salamanca, Fac Biol, E-37008 Salamanca, Spain; [Pianka, Eric R.] Univ Texas Austin, Austin, TX 78712 USA; [Pleguezuelos, Juan] Univ Granada, Dep Anim Biol, Fac Sci, E-18071 Granada, Spain; [Ponce-Campos, Paulino] Basque Trop AC, Jocotepec 45800, Jalisco, Mexico; [Powell, Robert] Avila Univ, Dept Biol, Kansas City, MO 64145 USA; [Quintero Diaz, Gustavo E.] Univ Autonoma Aguascalientes, Aguascalientes, Mexico; [Radder, Raju; Shine, Richard; Somaweera, Ruchira] Univ Sydney, Sch Biol Sci, Sydney, NSW 2006, Australia; [Ramer, Jan] Indianapolis Zoo, Indianapolis, IN 46222 USA; [Rasmussen, Arne R.] Royal Danish Acad Fine Arts, Sch Conservat, DK-1263 Copenhagen K, Denmark; [Reynolds, Robert] Natl Museum Nat Hist, USGS Patuxent Wildlife Res Ctr, Washington, DC 20013 USA; [Rico, Edmund L.] Int Inst Rural Reconstruct YC James Yen Ctr Silan, Cavite 4118, Philippines; [Rivas, Gilson] Univ Zulia, Fac Ciencias Expt, Museo Biol, Maracaibo 4011, Zulia, Venezuela; [da Rocha, Pedro L. B.] Univ Fed Bahia, Inst Biol, BR-40170290 Salvador, BA, Brazil; [Rodel, Mark-Oliver] Humboldt Univ, Museum Naturkunde, D-10115 Berlin, Germany; [Rodriguez Schettino, Lourdes] Inst Ecol &amp; Systemat, Havana, Cuba; [Roosenburg, Willem M.] Ohio Univ, Dept Biol Sci, Ohio Ctr Ecol &amp; Evolutionary Studies, Athens, OH 45701 USA; [Sadek, Riyad] Amer Univ Beirut, Dept Biol, Beirut, Lebanon; [Sanders, Kate] Univ Adelaide, Sch Earth &amp; Environm Sci, Adelaide, SA 5005, Australia; [Santos-Barrera, Georgina] Univ Nacl Autonoma Mexico, Fac Ciencias, Mexico City 04510, DF, Mexico; [Schleich, Hermann H.] Inst &amp; Nucl Zool ARCO, E-04200 Tabernas, Spain; [Schmidt, Benedikt R.] Univ Zurich, Inst Evolutionary Biol &amp; Environm Studies, CH-8057 Zurich, Switzerland; [Schmidt, Benedikt R.] Karch, CH-2000 Neuchatel, Switzerland; [Schmitz, Andreas] Museum Hist Nat, Dept Herpetol &amp; Ichthyol, CH-1208 Geneva, Switzerland; [Sharifi, Mozafar] Razi Univ, Dept Biol, Kermanshah, Iran; [Shi, Hai-Tao] Hainan Normal Univ, Coll Life Sci, Haikou 571158, Peoples R China; [Spawls, Steve] City Coll, Dept Hlth &amp; Sci, Norwich NR2 2LJ, Norfolk, England; [Sweet, Sam] Univ Calif Santa Barbara, Santa Barbara, CA 93106 USA; [Temple, Helen J.] Biodivers Consultancy, Cambridge, England; [Tognelli, Marcelo F.] Inst Argentina Invest Zonas Aridas IADIZA CONICET, RA-5500 Mendoza, Argentina; [Tolley, Krystal] South African Natl Biodivers Inst, ZA-7735 Cape Town, South Africa; [Tolson, Peter J.] Toledo Zoo, Toledo, OH 43614 USA; [Van Sluys, Monique] Univ Estado Rio de Janeiro, IBRAG, Dept Ecol, BR-20550013 Rio De Janeiro, Brazil; [Velasco, Alvaro] IUCN SSC Crocodile Specialist Grp, Caracas, Venezuela; [Vences, Miguel] Tech Univ Carolo Wilhelmina Braunschweig, D-38092 Braunschweig, Germany; [Vesely, Milan] Palacky Univ, CR-77147 Olomouc, Czech Republic; [Vogel, Gernot] Soc Southeast Asian Herpetol, D-69115 Heidelberg, Germany; [Vogrin, Milan] DPPVN, Race, Slovenia; [Werner, Yehudah L.] Hebrew Univ Jerusalem, Inst Life Sci EEB, IL-91904 Jerusalem, Israel; [Werner, Yehudah L.] Senckenberg Dresden, Museum Tierkunde, D-01109 Dresden, Germany; [Whiting, Martin J.] Macquarie Univ, Sydney, NSW 2109, Australia; [Wiewandt, Thomas] Wild Horizons Inc, Tucson, AZ 85703 USA; [Wilkinson, John] Amphibian &amp; Reptile Conservat, Bournemouth BH1 4AP, Dorset, England; [Wilson, Byron] Univ W Indies, Mona, Jamaica; [Zamin, Tara] Queens Univ, Dept Biol, Kingston, ON K7L 3N6, Canada; [Zhou, Kaiya] Nanjing Normal Univ, Coll Life Sci, Nanjing, Jiangsu, Peoples R China</t>
  </si>
  <si>
    <t>Zoological Society of London; Zoological Society of London; Conservation International; University of Glasgow; Conservation International; University of Bath; Nature Conservancy; University of the Philippines System; University of the Philippines Los Banos; Universidad Nacional Autonoma de Mexico; Doga Association; Universidade de Sao Paulo; Russian Academy of Sciences; Zoological Institute of the Russian Academy of Sciences; University of the Pacific; Universidade de Sao Paulo; Helmholtz Association; Helmholtz Center for Environmental Research (UFZ); Louisiana State University System; Louisiana State University; Adnan Menderes University; Texas A&amp;M University System; Universidade Federal do Rio Grande do Sul; Villanova University; Zoologisches Forschungsmuseum Alexander Koenig (ZFMK); University of Kansas; University of Kansas; Universidad de la Republica, Uruguay; Harvard University; Universidad del Valle; University of California System; University of California Berkeley; Monash University; Victoria University Wellington; Universite PSL; Ecole Pratique des Hautes Etudes (EPHE); Institut Agro; Montpellier SupAgro; CIRAD; Centre National de la Recherche Scientifique (CNRS); Institut de Recherche pour le Developpement (IRD); Universite Paul-Valery; Universite de Montpellier; Universidad San Francisco de Quito; Ovidius University; Australian Museum; University of Florence; Universidade Federal do Rio Grande do Norte; Queensland Museum; University of Nis; University of Louisiana System; Southeastern Louisiana University; Universidad Nacional del Comahue; Consejo Nacional de Investigaciones Cientificas y Tecnicas (CONICET); University of Malaysia Sarawak; Rajarata University of Sri Lanka; National Museum of the Philippines; Connecticut State University System; Central Connecticut State University; State University System of Florida; University of Florida; Davidson College; Universidade do Estado do Rio de Janeiro; Cadi Ayyad University of Marrakech; California State University System; California State University Northridge; Chinese Academy of Sciences; Chengdu Institute of Biology, CAS; Jiangsu Normal University; Texas A&amp;M University System; Texas A&amp;M University College Station; Universidad Nacional Autonoma de Mexico; Universidade Federal da Paraiba; American Museum of Natural History (AMNH); Instituto de Ecologia - Mexico; University of Minnesota System; University of Minnesota Twin Cities; University of San Carlos; University of Munich; Universite PSL; Ecole Pratique des Hautes Etudes (EPHE); Institut Agro; Montpellier SupAgro; CIRAD; Centre National de la Recherche Scientifique (CNRS); Institut de Recherche pour le Developpement (IRD); Universite Paul-Valery; Universite de Montpellier; University of Canberra; Whittier College; University of Oxford; Natural History Museum London; Zoological Society of San Diego; University of Texas System; University of Texas El Paso; Yibin University; Smithsonian Institution; Smithsonian National Museum of Natural History; University of Otago; Pennsylvania Commonwealth System of Higher Education (PCSHE); Pennsylvania State University; Pennsylvania State University - University Park; University of the Free State; South Australian Museum; Museum National d'Histoire Naturelle (MNHN); Earlham College; Pontificia Universidad Catolica de Chile; University of Kent; Bangor University; Pamukkale University; Ege University; Australian National University; Leibniz Association; Senckenberg Gesellschaft fur Naturforschung (SGN); University of Western Australia; Dokuz Eylul University; University of Los Andes Venezuela; University of Texas System; University of Texas at Tyler; University of Sydney; Colorado State University System; Colorado State University Fort Collins; World Wildlife Fund; Universidad Autonoma de Ciudad Juarez; Illinois Wesleyan University; University of Cambridge; Universidad Juarez Autonoma de Tabasco; Centre of Environmental Studies DEMETRA s.r.l.; University of California System; University of California Irvine; James Cook University; ARC Centre of Excellence for Coral Reef Studies; University of Crete; Institute Nacional de Pesquisas da Amazonia; University of California System; University of California Davis; Bangor University; University of Witwatersrand; Instituto Butantan; Consejo Superior de Investigaciones Cientificas (CSIC); CSIC - Museo Nacional de Ciencias Naturales (MNCN); Universidad de Las Palmas de Gran Canaria; Zoological survey of India; University of Wisconsin System; University of Wisconsin Parkside; North West University - South Africa; Commonwealth Scientific &amp; Industrial Research Organisation (CSIRO); Universidade Tuiuti do Parana (UTP); Universidade Federal de Mato Grosso; El Colegio de la Frontera Sur (ECOSUR); Field Museum of Natural History (Chicago); Vietnam Academy of Science &amp; Technology (VAST); Universidade de Brasilia; University of Hyogo; University of California System; University of California Berkeley; University of Tennessee System; University of Tennessee Knoxville; Universidade Federal do Rio de Janeiro; University of Puerto Rico; University of Salamanca; University of Texas System; University of Texas Austin; University of Granada; Universidad Autonoma de Aguascalientes; University of Sydney; Smithsonian Institution; Smithsonian National Museum of Natural History; United States Department of the Interior; United States Geological Survey; Universidade Federal da Bahia; Leibniz Institut fur Evolutions und Biodiversitatsforschung; Humboldt University of Berlin; University System of Ohio; Ohio University; American University of Beirut; Adelaide University; University of Adelaide; Universidad Nacional Autonoma de Mexico; University of Zurich; Razi University; Hainan Normal University; University of California System; University of California Santa Barbara; South African National Biodiversity Institute; Universidade do Estado do Rio de Janeiro; Braunschweig University of Technology; Palacky University Olomouc; Hebrew University of Jerusalem; Leibniz Association; Senckenberg Gesellschaft fur Naturforschung (SGN); Macquarie University; University West Indies Mona Jamaica; Queens University - Canada; Nanjing Normal University</t>
  </si>
  <si>
    <t>Böhm, M (corresponding author), Zool Soc London, Inst Zool, Regents Pk, London NW1 4RY, England.</t>
  </si>
  <si>
    <t>monika.bohm@ioz.ac.uk</t>
  </si>
  <si>
    <t>Muñoz Alonso, Luis Antonio/V-7652-2019; Martins, Marcio/C-1150-2011; López-Luna, Marco A/GPJ-9591-2022; Das, Inaneil/IZE-4822-2023; Alencar, Laura/E-2030-2013; Jaksic, Fabian M/G-1705-2014; Vences, Miguel/E-5573-2010; Gamble, Tony/AAT-4463-2020; Keogh, J Scott/C-8441-2009; Vogel, Gernot/A-6526-2013; Chapple, David/B-9073-2008; García-Pérez, Juan Elías/AAQ-9182-2020; Cedeño-Vázquez, José Rogelio/T-4737-2019; Whiting, Martin J/E-2999-2010; EL MOUDEN, El Hassan/P-4760-2018; Hare, Kelly/B-3696-2008; Rocha, Peo Luís Bernardo da/A-3325-2008; Collen, Ben/F-2543-2016; , SR Ganesh/AAV-7996-2020; Cisneros-Heredia, Diego/D-1744-2011; Gerlach, Justin/NRA-6591-2025; Georges, Arthur/D-2153-2009; Measey, John/F-2028-2010; CASTRO HERRERA, FERNANDO/NDS-8721-2025; Costa, Gabriel/A-4147-2008; Cogalniceanu, Dan/B-7065-2011; Marquez, Rafael/E-4454-2013; Schmidt, Benedikt R/B-8491-2008; Fapesp, Biota/F-8655-2017; Murphy, John C/T-6175-2018; Somaweera, Ruchira/G-7531-2014; França, Frederico G R/M-6718-2013; Gonzalez, Juan Carlos/GWC-3669-2022; Slimani, Tahar/ISA-1887-2023; Díaz Matey, Gustavo/H-6794-2015; Perez-Mellado, Valentin/G-3476-2015; Akarsu, Ferdi/D-6801-2019; Ponce, Paulino/LZH-6592-2025; Böhm, Monika/E-1153-2018; Afuang, Leticia/HOF-9155-2023; Tognelli, Marcelo/L-3958-2019; Vogrin, Milan/KIB-4658-2024; Magnusson, William/J-9408-2014; Courtney, Anthony/C-7867-2009; Diesmos, Arvin/AGG-8542-2022; Mariaux, Jean/A-1142-2010; Nguyen, Truong/F-3730-2012; Tolley, Krystal/D-9738-2011; Veselý, Milan/MNH-4492-2025; Hutchinson, Mark/ABK-4050-2022; Fitzgerald, Lee/I-5193-2013; Milton, David/A-9794-2011; DALTRY, JENNIFER/PDX-9515-2025; Morato, Sergio/NWH-9427-2025; Austin, Christopher/J-4527-2012; Kaya, Ugur/AAO-1605-2021; Mott, Tamí/I-5317-2012; Lehr, Edgar/K-1210-2016; Lukoschek, Vimoksalehi/C-6126-2013; Tuniyev, Boris/ABA-8998-2020; Gadsden, Hector/A-2066-2015; Ajtic, Rastko/OIU-8889-2025; Marques, Otavio/H-4775-2015; guo, peng/AAG-4052-2019; Kaska, Yakup/W-1368-2017; Catenazzi, Alessano/C-8615-2009; KUMLUTAŞ, Yusuf/P-4722-2019; Passos, Paulo/ABE-5351-2020; Rasmussen, Arne Redsted/KVY-3258-2024; Hoffmann, Michael/E-6419-2010; Luiselli, Luca/AAG-9098-2020; Aguilar Puntriano, Cesar/Q-6148-2018; Barreto-Lima, André Felipe/E-3383-2015; Menegon, Michele/F-9365-2011; Sanders, Kate/D-1507-2019; de Campos Nogueira, Cristiano/I-5100-2012; Orlov, Nikolai/AAF-4316-2021; Üzüm, Nazan/AAQ-1132-2021; Flores-Villela, Oscar/OOM-2977-2025</t>
  </si>
  <si>
    <t>Muñoz Alonso, Luis Antonio/0000-0002-0225-0332; Martins, Marcio/0000-0001-8108-6309; López-Luna, Marco A/0000-0003-2259-544X; Das, Inaneil/0000-0001-9522-2228; ord, Peter/0000-0003-0988-8934; Castañeda, María del Rosario/0000-0003-1874-2953; Alencar, Laura/0000-0002-6805-7682; Jaksic, Fabian M/0000-0003-0098-0291; Vences, Miguel/0000-0003-0747-0817; Ajtić, Rastko/0000-0003-3017-2332; Gamble, Tony/0000-0002-0204-8003; Keogh, J Scott/0000-0002-1373-6186; Richman, Nadia/0000-0003-4072-1622; Lymberakis, Petros/0000-0002-5067-9600; Vogel, Gernot/0000-0002-4542-518X; Chapple, David/0000-0002-7720-6280; García-Pérez, Juan Elías/0000-0003-1486-2720; Cedeño-Vázquez, José Rogelio/0000-0001-7763-902X; Whiting, Martin J/0000-0002-4662-0227; EL MOUDEN, El Hassan/0000-0003-2711-4393; Hare, Kelly/0000-0002-9473-5256; Rocha, Peo Luís Bernardo da/0000-0002-8330-483X; Collen, Ben/0000-0003-2564-4243; , SR Ganesh/0000-0002-1947-8093; Cisneros-Heredia, Diego/0000-0002-6132-2738; Gerlach, Justin/0000-0002-0157-0449; Ariano-Sánchez, Daniel/0000-0003-4955-5018; Corti, Claudia/0000-0001-6015-0092; Georges, Arthur/0000-0003-2428-0361; Roosenburg, Willem/0000-0002-3683-1637; Measey, John/0000-0001-9939-7615; CASTRO HERRERA, FERNANDO/0000-0002-7626-0103; Costa, Gabriel/0000-0002-6777-6706; Cogalniceanu, Dan/0000-0003-2959-014X; Marquez, Rafael/0000-0002-2070-860X; Schmidt, Benedikt R/0000-0002-4023-1001; Fapesp, Biota/0000-0002-9887-8449; Murphy, John C/0000-0001-9252-6103; Somaweera, Ruchira/0000-0002-7470-8736; França, Frederico G R/0000-0001-6989-2455; Mahler, D Luke/0000-0001-6483-3667; Lundberg, Mikael/0000-0002-5243-0841; Perez-Mellado, Valentin/0000-0002-7137-4945; Malhotra, Anita/0000-0002-1738-9046; Tognelli, Marcelo/0000-0002-9761-4505; Diesmos, Arvin/0000-0001-7272-3927; Mariaux, Jean/0000-0002-9601-855X; Zamin, Tara/0000-0002-0991-6651; Egan, Vincent/0000-0002-4237-2406; Tolley, Krystal/0000-0002-7778-1963; Veselý, Milan/0000-0001-6315-8583; Fitzgerald, Lee/0000-0001-5648-9480; Daltry, Jennifer C/0000-0003-0364-9465; Lukoschek, Vimoksalehi/0000-0002-0268-3808; Crnobrnja-Isailović, Jelka/0000-0003-4292-5995; Gadsden, Hector/0000-0002-1164-0578; Catenazzi, Alessano/0000-0002-3650-4783; Passos, Paulo/0000-0002-1775-0970; Rasmussen, Arne Redsted/0000-0001-5454-4423; Sindaco, Roberto/0000-0002-2590-9603; Hoffmann, Michael/0000-0003-4785-2254; Wren, Sally/0009-0003-4003-0562; Cruz, Félix/0000-0002-2475-1429; Aguilar Puntriano, Cesar/0000-0001-6372-7926; Wearn, Oliver/0000-0001-8258-3534; Barreto-Lima, André Felipe/0000-0002-3686-6573; de Campos Nogueira, Cristiano/0000-0003-1835-6761;</t>
  </si>
  <si>
    <t>Esmee Fairbairn Foundation; Rufford Foundation; Regina Bauer Frankenberg Foundation for Animal Welfare; Moore Family Foundation; Gordon and Betty Moore Foundation; Conservation International, Critical Ecosystem Partnership Fund (CEPF); European Commission; Zayed Species Conservation Fund; Conservation International Madagascar; Darwin Initiative</t>
  </si>
  <si>
    <t>Esmee Fairbairn Foundation; Rufford Foundation; Regina Bauer Frankenberg Foundation for Animal Welfare; Moore Family Foundation; Gordon and Betty Moore Foundation(Gordon &amp; Betty Moore Foundation); Conservation International, Critical Ecosystem Partnership Fund (CEPF); European Commission(European Union (EU)European Commission Joint Research Centre); Zayed Species Conservation Fund; Conservation International Madagascar; Darwin Initiative</t>
  </si>
  <si>
    <t>MB and MR were funded by a grant from the Esmee Fairbairn Foundation, BC by the Rufford Foundation. North American and Mexican species assessments were funded by the Regina Bauer Frankenberg Foundation for Animal Welfare. Species assessments under the Global Reptile Assessment (GRA) initiative are supported by: Moore Family Foundation, Gordon and Betty Moore Foundation, Conservation International, Critical Ecosystem Partnership Fund (CEPF), and European Commission. Additional acknowledgements are included in the online supplementary material.r The assessment workshop for Mexican reptiles was kindly hosted by Ricardo Ayala and the station personnel of the Estacion de Biologia Chamela, Institut de Biologia, Universidad Nacional Autonoma de Mexico. Workshop and logistical organisation of the Philippines assessments was provided by the Conservation International Philippines Office, in particular Ruth Grace Rose Ambal, Melizar V. Duya and Oliver Coroza. Workshop and logistical organisation for the European Reptile and Amphibian Assessments was provided by Doga Dernegi, in particular Ozge Balkiz and Ozgur Koc. Workshop and logistical organisation for assessments of sea snakes and homalopsids was provided by the International Sea Turtle Symposium and Dr. Colin Limpus (Australian Government Environmental Protection Agency). Special thanks to Jenny Chapman (EPA) and Chloe Schaub le (ISTS). Thank you also to Dr. Gordon Guymer (Chief Botanist Director of Herbarium) for accommodating us at the Herbarium in the Brisbane Botanical Gardens, and Mark Read and Kirsten Dobbs (Great Barrier Reef Marine Parks Association) and Dave Pollard and Brad Warren (Ocean Watch Australia) for institutional support. Mohamed Bin Zayed Species Conservation Fund, Conservation International Madagascar and the Darwin Initiative contributed to funding the costs of the Madagascar reptile workshop.</t>
  </si>
  <si>
    <t>10.1016/j.biocon.2012.07.015</t>
  </si>
  <si>
    <t>WOS:000316651200043</t>
  </si>
  <si>
    <t>Martin, CS; Carpentier, A; Vaz, S; Coppin, F; Curet, L; Dauvin, JC; Delavenne, J; Dewarumez, JM; Dupuis, L; Engelhard, G; Ernande, B; Foveau, A; Garcia, C; Gardel, L; Harrop, S; Just, R; Koubbi, P; Lauria, V; Meaden, GJ; Morin, J; Ota, Y; Rostiaux, E; Smith, R; Spilmont, N; Vérin, Y; Villanueva, C; Warembourg, C</t>
  </si>
  <si>
    <t>Martin, C. S.; Carpentier, A.; Vaz, S.; Coppin, F.; Curet, L.; Dauvin, J. -C.; Delavenne, J.; Dewarumez, J. -M.; Dupuis, L.; Engelhard, G.; Ernande, B.; Foveau, A.; Garcia, C.; Gardel, L.; Harrop, S.; Just, R.; Koubbi, P.; Lauria, V.; Meaden, G. J.; Morin, J.; Ota, Y.; Rostiaux, E.; Smith, R.; Spilmont, N.; Verin, Y.; Villanueva, C.; Warembourg, C.</t>
  </si>
  <si>
    <t>The Channel habitat atlas for marine resource management (CHARM): an aid for planning and decision-making in an area under strong anthropogenic pressure</t>
  </si>
  <si>
    <t>AQUATIC LIVING RESOURCES</t>
  </si>
  <si>
    <t>Eastern English Channel; Dover Strait; Benthos; Fish; Habitat; Ecosystem; Marine spatial planning; Fisheries; Legislation; Trophic network; Food web; GIS; Geographic Information System</t>
  </si>
  <si>
    <t>EASTERN ENGLISH-CHANNEL; BENTHIC COMMUNITIES; COASTAL WATERS; CONSERVATION; BAY; REGRESSION; SCIENCE; DESIGN; SOMME; MODEL</t>
  </si>
  <si>
    <t>The eastern English Channel, the narrow channel of water separating northern France and southeast England is an area of intense human use of the array of resources concentrated into its relative small area. The vulnerability of living resources and their habitats brought together French and British maritime experts within a common project (called CHARM): to create an atlas of marine resource habitats in the eastern English Channel so as to provide planners and decision-makers with the necessary information to help managing the use of its living and non-living resources. This multidisciplinary and richly illustrated atlas provides abundant information on the legal framework and physical environment; benthic invertebrates, fish and their habitats; fishing activities; and a first attempt at developing a trophic network model (using ECOPATH software) and a marine conservation planning exercise (using MARXAN software, at a spatial resolution of 25 km(2)). Although most of the data used were collected elsewhere, some were collected especially for the project. Similarly, most of the analyses performed on the data where entirely original for this geographical area. The CHARM atlas has significantly improved the knowledge about the eastern Channel while contributing to the recognition that such holistic or multidisciplinary approaches to exploited marine systems are necessary to efficiently and durably manage their resources use.</t>
  </si>
  <si>
    <t>[Martin, C. S.; Carpentier, A.; Vaz, S.; Coppin, F.; Delavenne, J.; Ernande, B.; Gardel, L.; Lauria, V.; Morin, J.; Rostiaux, E.; Verin, Y.; Villanueva, C.; Warembourg, C.] IFREMER, Inst Francais Rech Exploitat Mer, Lab Ressources Halieut, Ctr Manche Mer Nord, F-62321 Boulogne, France; [Martin, C. S.; Dupuis, L.; Meaden, G. J.] Canterbury Christ Church Univ, Dept Geog &amp; Life Sci, Canterbury CT1 1QU, Kent, England; [Curet, L.; Harrop, S.; Just, R.; Ota, Y.; Smith, R.] Univ Kent, DICE, Dep Anthropol, Canterbury CT2 7NS, Kent, England; [Dauvin, J. -C.; Dewarumez, J. -M.; Foveau, A.; Garcia, C.; Spilmont, N.] USTL, CNRS, LOG, Stn Marine Wimereux,UMR 8187, F-62930 Wimereux, France; [Engelhard, G.] CEFAS, Lowestoft Lab, Lowestoft NR33 0HT, Suffolk, England; [Koubbi, P.] Univ Paris 06, Lab Oceanog Villefranche, UMR 7093, F-06230 Villefranche Sur Mer, France; [Koubbi, P.] CNRS, LOV, UMR 7093, F-06230 Villefranche Sur Mer, France</t>
  </si>
  <si>
    <t>Ifremer; Canterbury Christ Church University; University of Kent; Centre National de la Recherche Scientifique (CNRS); CNRS - National Institute for Earth Sciences &amp; Astronomy (INSU); Centre for Environment Fisheries &amp; Aquaculture Science; Sorbonne Universite; Centre National de la Recherche Scientifique (CNRS); CNRS - National Institute for Earth Sciences &amp; Astronomy (INSU); Centre National de la Recherche Scientifique (CNRS); CNRS - National Institute for Earth Sciences &amp; Astronomy (INSU); Sorbonne Universite</t>
  </si>
  <si>
    <t>Carpentier, A (corresponding author), IFREMER, Inst Francais Rech Exploitat Mer, Lab Ressources Halieut, Ctr Manche Mer Nord, 150 Quai Gambetta,BP 699, F-62321 Boulogne, France.</t>
  </si>
  <si>
    <t>andre.carpentier@ifremer.fr</t>
  </si>
  <si>
    <t>Koubbi, Philippe/D-5873-2015; Villanueva, Maria Ching/B-5870-2016; Martin, Corinne/G-9041-2011; Smith, Robert/D-9660-2011; Lauria, Valentina/R-9053-2018; Ernande, Bruno/C-1182-2008</t>
  </si>
  <si>
    <t>Villanueva, Maria Ching/0000-0003-2562-3282; Martin, Corinne/0000-0002-5428-2766; Spilmont, Nicolas/0000-0002-2380-1113; Smith, Robert/0000-0003-1599-9171; Vaz, Sanine/0000-0002-7365-8335; Lauria, Valentina/0000-0002-4179-9133; Foveau, Aurélie/0000-0001-6283-2214; Le Roy, Emilie/0000-0001-5698-0077; Ernande, Bruno/0000-0002-0727-5774</t>
  </si>
  <si>
    <t>EDP SCIENCES S A</t>
  </si>
  <si>
    <t>LES ULIS CEDEX A</t>
  </si>
  <si>
    <t>17, AVE DU HOGGAR, PA COURTABOEUF, BP 112, F-91944 LES ULIS CEDEX A, FRANCE</t>
  </si>
  <si>
    <t>0990-7440</t>
  </si>
  <si>
    <t>1765-2952</t>
  </si>
  <si>
    <t>AQUAT LIVING RESOUR</t>
  </si>
  <si>
    <t>Aquat. Living Resour.</t>
  </si>
  <si>
    <t>OCT-DEC</t>
  </si>
  <si>
    <t>10.1051/alr/2009051</t>
  </si>
  <si>
    <t>Fisheries; Marine &amp; Freshwater Biology</t>
  </si>
  <si>
    <t>555QH</t>
  </si>
  <si>
    <t>WOS:000274527800008</t>
  </si>
  <si>
    <t>Bacigalupe, LD; Vásquez, IA; Estay, SA; Valenzuela-Sánchez, A; Alvarado-Rybak, M; Penafiel-Ricaurte, A; Cunningham, AA; Soto-Azta, C</t>
  </si>
  <si>
    <t>Bacigalupe, Leonardo D.; Vasquez, Inao A.; Estay, Sergio A.; Valenzuela-Sanchez, Andres; Alvarado-Rybak, Mario; Penafiel-Ricaurte, Alexandra; Cunningham, Andrew A.; Soto-Azta, Claudio</t>
  </si>
  <si>
    <t>Batrachochytrium dendrobatidis; chile; chytrid fungus; chytridiomycosis; emerging infectious diseases; maxent; pathogen mitigation strategy; species distribution model</t>
  </si>
  <si>
    <t>PATHOGEN BATRACHOCHYTRIUM-DENDROBATIDIS; EMERGING INFECTIOUS-DISEASES; SPECIES DISTRIBUTION; DISTRIBUTION MODELS; ENVIRONMENTAL DETERMINANTS; CLIMATE-CHANGE; CHYTRIDIOMYCOSIS; PREVALENCE; EXTINCTION; WILDLIFE</t>
  </si>
  <si>
    <t>Amphibian chytridiomycosis, due to infection with the fungus Batrachochytrium dendrobatidis (Bd), has been associated with the alarming decline and extinction crisis of amphibians worldwide. It is essential for conservation management to identify regions with high or low suitability for Bd. We use a species distribution model to estimate the environmental suitability of Bd in the Chilean Winter Rainfall-Valdivian Forest biodiversity hotspot. Fourteen environmental variables were used as predictors in the statistical modeling (Maxent, generalized linear models, random forest) which also included 56 independent Bd+ localities. High-risk areas (i.e., suitability above a defined threshold) were validated through prospective field surveys conducted in 2017. As results from Maxent, which only uses presence data, were the only results retained, refugia (i.e., suitability below a defined threshold) were validated with the Bd absences (N = 12) used in the GLM and RF modeling. Our results showed that (1) suitability for Bd increased with human footprint and with shorter distances to urban centers and water bodies and decreased with elevation; (2) climate was not a major factor shaping the current distribution of Bd; and (3) the model predicted high-risk and refugia areas fairly well. Surveys of 24 new localities in high-risk areas confirmed that 23 were Bd+; hence, these areas warrant consideration for long-term Bd surveillance, population monitoring, and disease mitigation. In addition, five localities with apparent Bd absence were found in the predicted high-risk areas. Our models showed that refugia can exist near high-risk areas and Bd+ sites. Four localities with apparent Bd absence were located within the refugia predicted by the model. Preventing Bd transmission to such refugia is of paramount importance for persistence of Bd-susceptible amphibian populations. The identification and validation through prospective field surveys of high-risk areas and refugia are imperative to develop strategies to prevent further arrival and establishment of Bd and also, by identifying amphibian species or populations of conservation concern in such areas, will help to guide specific actions to reduce the biodiversity loss caused by chytridiomycosis.</t>
  </si>
  <si>
    <t>[Bacigalupe, Leonardo D.; Vasquez, Inao A.; Estay, Sergio A.; Valenzuela-Sanchez, Andres] Univ Austral Chile, Fac Ciencias, Inst Ciencias Ambientales &amp; Evolut, Valdivia, Chile; [Estay, Sergio A.] Pontificia Univ Catolica Chile, Ctr Appl Ecol &amp; Sustainabil, Santiago, Chile; [Valenzuela-Sanchez, Andres] ONG Ranita Darwin, Santiago, Chile; [Alvarado-Rybak, Mario; Penafiel-Ricaurte, Alexandra; Soto-Azta, Claudio] Univ Andres Bello, Fac Ciencias Vida, Med Conservat, Ctr Invest Sustentabilidad, Santiago, Chile; [Alvarado-Rybak, Mario; Penafiel-Ricaurte, Alexandra; Cunningham, Andrew A.] Zool Soc London, Inst Zool, Regents Pk, London NM1 4RY, England</t>
  </si>
  <si>
    <t>Universidad Austral de Chile; Pontificia Universidad Catolica de Chile; Universidad Andres Bello; Zoological Society of London</t>
  </si>
  <si>
    <t>Bacigalupe, LD (corresponding author), Univ Austral Chile, Fac Ciencias, Inst Ciencias Ambientales &amp; Evolut, Valdivia, Chile.</t>
  </si>
  <si>
    <t>lbacigal@gmail.com</t>
  </si>
  <si>
    <t>Vásquez, Inao/KRO-8605-2024; Valenzuela-Sánchez, Andrés/AAG-2762-2019</t>
  </si>
  <si>
    <t>Estay, Sergio/0000-0002-3797-8964;</t>
  </si>
  <si>
    <t>FONDECYT [1160370, 1181758, 3180107, 1150029]; CAPES [FB-0002-2014]</t>
  </si>
  <si>
    <t>FONDECYT(Comision Nacional de Investigacion Cientifica y Tecnologica (CONICYT)CONICYT FONDECYT); CAPES(Coordenacao de Aperfeicoamento de Pessoal de Nivel Superior (CAPES))</t>
  </si>
  <si>
    <t>Leonardo D. Bacigalupe, C. Soto-Azat, and Andres Valenzuela-Sanchez acknowledge funding from FONDECYT grants 1150029, 1181758, and 3180107, respectively. Sergio A. Estay acknowledges funding from FONDECYT 1160370 and CAPES FB-0002-2014 line 4. The authors declare they do not have any conflict of interest. We would like to thank Johara Bourke and Virginia Moreno who gave us unpublished information on Bd sampling sites and The Nature Conservancy for collaborating with us in sampling within the Reserva Costera Valdiviana. Special thanks to two anonymous reviewers whose comments greatly improved the manuscript. LDB and CSA conceived the idea and secured the funding for this project; LDB, IAV, and SAE designed the methodology; CSA, AVS, MAR, AAC, IAV, and APR completed the fieldwork, molecular analyses, and interpretation of laboratory results; IAV performed the analyses with input from SAE and LDB; LDB and IAV led the writing of the manuscript. All authors contributed critically to the drafts and gave final approval for publication. We declare we have no competing interests.</t>
  </si>
  <si>
    <t>e02724</t>
  </si>
  <si>
    <t>10.1002/ecs2.2724</t>
  </si>
  <si>
    <t>IG8RS</t>
  </si>
  <si>
    <t>WOS:000474063600030</t>
  </si>
  <si>
    <t>Périquet, S; Roxburgh, L; le Roux, A; Collinson, WJ</t>
  </si>
  <si>
    <t>Periquet, Stephanie; Roxburgh, Lizanne; le Roux, Aliza; Collinson, Wendy J.</t>
  </si>
  <si>
    <t>Testing the Value of Citizen Science for Roadkill Studies: A Case Study from South Africa</t>
  </si>
  <si>
    <t>FRONTIERS IN ECOLOGY AND EVOLUTION</t>
  </si>
  <si>
    <t>spatial clusters; mammals; mortality; road ecology; wildlife-vehicle collisions</t>
  </si>
  <si>
    <t>ROADS; KILLS</t>
  </si>
  <si>
    <t>Roads impact wildlife through a range of mechanisms from habitat loss and decreased landscape connectivity to direct mortality through wildlife-vehicle collisions (roadkill). These collisions have been rated amongst the highest modern risks to wildlife. With the development of citizen science projects, in which members of the public participate in data collection, it is now possible to monitor the impacts of roads over scales far beyond the limit of traditional studies. However, the reliability of data provided by citizen scientists for roadkill studies remains largely untested. This study used a dataset of 2,666 roadkill reports on national and regional roads in South Africa (total length similar to 170,000 km) over 3 years. We first compared roadkill data collected from trained road patrols operating on a major highway with data submitted by citizen scientists on the same road section (431 km). We found that despite minor differences, the broad spatial and taxonomic patterns were similar between trained reporters and untrained citizen scientists. We then compared data provided by two groups of citizen scientists across South Africa: (1) those working in the zoology/conservation sector (that we have termed regular observers, whose reports were considered to be more accurate due to their knowledge and experience), and (2) occasional observers, whose reports required verification by an expert. Again, there were few differences between the type of roadkill report provided by regular and occasional reporters; both types identified the same area (or cluster) where roadkill was reported most frequently. However, occasional observers tended to report charismatic and easily identifiable species more often than road patrols or regular observers. We conclude that citizen scientists can provide reliable data for roadkill studies when it comes to identifying general patterns and high-risk areas. Thus, citizen science has the potential to be a valuable tool for identifying potential roadkill hotspots and at-risk species across large spatial and temporal scales that are otherwise impractical and expensive when using standard data collection methodologies. This tool allows researchers to extract data and focus their efforts on potential areas and species of concern, with the ultimate goal of implementing effective roadkill-reduction measures.</t>
  </si>
  <si>
    <t>[Periquet, Stephanie; le Roux, Aliza] Univ Free State, Dept Zool &amp; Entomol, Phuthaditjhaba, South Africa; [Roxburgh, Lizanne; Collinson, Wendy J.] Endangered Wildlife Trust, Johannesburg, South Africa</t>
  </si>
  <si>
    <t>University of the Free State</t>
  </si>
  <si>
    <t>Collinson, WJ (corresponding author), Endangered Wildlife Trust, Johannesburg, South Africa.</t>
  </si>
  <si>
    <t>wendyc@ewt.org.za</t>
  </si>
  <si>
    <t>le Roux, Aliza/Y-3541-2019; Collinson, Wendy/P-1586-2019; Périquet-Pearce, Stéphanie/J-9979-2019</t>
  </si>
  <si>
    <t>Périquet-Pearce, Stéphanie/0000-0001-8901-3729</t>
  </si>
  <si>
    <t>Directorate Research Development at the University of the Free State; Bridgestone SA; N3 Toll Concession (N3TC); Bakwena Platinum Corridor Concession</t>
  </si>
  <si>
    <t>We thank the Directorate Research Development at the University of the Free State for financial support to SP. We also thank Bridgestone SA, N3 Toll Concession (N3TC) and Bakwena Platinum Corridor Concession for their financial support of the EWT's project.</t>
  </si>
  <si>
    <t>2296-701X</t>
  </si>
  <si>
    <t>FRONT ECOL EVOL</t>
  </si>
  <si>
    <t>Front. Ecol. Evol.</t>
  </si>
  <si>
    <t>FEB 19</t>
  </si>
  <si>
    <t>10.3389/fevo.2018.00015</t>
  </si>
  <si>
    <t>HC2HF</t>
  </si>
  <si>
    <t>WOS:000451622200001</t>
  </si>
  <si>
    <t>Ebdon, P; Riekkola, L; Constantine, R</t>
  </si>
  <si>
    <t>Ebdon, Philippa; Riekkola, Leena; Constantine, Rochelle</t>
  </si>
  <si>
    <t>Voluntary mitigation; Human-wildlife conflict; Conservation management; Vessel strike; Bryde's whales</t>
  </si>
  <si>
    <t>VESSEL STRIKES; BRYDES WHALES; REDUCE RISK; MANAGEMENT; COLLISIONS; CONSERVATION; MORTALITY</t>
  </si>
  <si>
    <t>Evidence-based policy, with proven efficacy, is key to the mitigation of human-wildlife conflict. Voluntary agreements to implement conservation actions can take less time to implement than mandatory policies. However, their efficacy is questionable as they rely on the awareness of the measures, cooperation, and goodwill of affected stakeholders. The aim of this study was to examine the efficacy of voluntary ship strike mitigation measures implemented in 2013 to protect a threatened, resident population of Bryde's whales (Balaenoptera edeni brydei) in the Hauraki Gulf, New Zealand. Automatic Identification System (AIS) and whale sightings data were used to determine the distribution and density of ships and whales throughout the Gulf to quantify and assess compliance to the voluntary 10 kt speed limit, and subsequently the risk of lethal ship strike to whales. From October 2014 September 2016, the location of 189 groups of whales and shipping routes of 703 vessels &gt;= 70 m in length were plotted using ArcGIS. Hotspots of preferred whale habitat differed from 2010 to 2013, but shipping traffic density did not. Probability of lethal ship strike to whales in the Gulf has nearly halved (26%) since 2013 (51%) due to a reduction in average vessel speed from 13.2 kt to 10 kt. Observation and reporting systems developed to reduce potential ship strike events, were analysed at a fine scale using reporting rates and AIS data to measure the reactions of ships to real-time reports. Few whale sightings were reported to Harbor Control (n = 37; 8% shipping, 68% whale watch vessel, 24% other vessel types), and no ships diverted course to avoid reported whale locations. This study highlights the importance of testing the efficacy of conservation mitigation measures, as effective voluntary actions may provide a means to reduce the threat of ship strike to whales.</t>
  </si>
  <si>
    <t>[Ebdon, Philippa; Riekkola, Leena; Constantine, Rochelle] Univ Auckland, Sch Biol Sci, Private Bag 92019, Auckland 1142, New Zealand</t>
  </si>
  <si>
    <t>University of Auckland</t>
  </si>
  <si>
    <t>Constantine, R (corresponding author), Univ Auckland, Sch Biol Sci, Private Bag 92019, Auckland 1142, New Zealand.</t>
  </si>
  <si>
    <t>philippaebdon@gmail.com; Irie003@aucklanduni.ac.nz; r.constantine@auckland.ac.nz</t>
  </si>
  <si>
    <t>Riekkola, Leena/0000-0002-9653-7106; Ebdon, Philippa/0000-0001-9399-0717</t>
  </si>
  <si>
    <t>University of Auckland Research Masters Scholarship</t>
  </si>
  <si>
    <t>This work was supported by a University of Auckland Research Masters Scholarship to P. Ebdon.</t>
  </si>
  <si>
    <t>10.1016/j.ocecoaman.2019.105034</t>
  </si>
  <si>
    <t>KE7UL</t>
  </si>
  <si>
    <t>WOS:000508756500028</t>
  </si>
  <si>
    <t>Kamrowski, RL; Limpus, C; Jones, R; Anderson, S; Hamann, M</t>
  </si>
  <si>
    <t>Kamrowski, Ruth L.; Limpus, Col; Jones, Rhondda; Anderson, Sharolyn; Hamann, Mark</t>
  </si>
  <si>
    <t>GLOBAL CHANGE BIOLOGY</t>
  </si>
  <si>
    <t>artificial light; conservation planning; GIS analysis; marine turtles; population resilience; temporal change</t>
  </si>
  <si>
    <t>HATCHLING SEA-TURTLES; CLIMATE-CHANGE; SATELLITE IMAGERY; MANAGEMENT UNITS; CHELONIA-MYDAS; POLLUTION; BEACH; IMPACTS; GREEN; ORIENTATION</t>
  </si>
  <si>
    <t>Artificial light at night poses a significant threat to multiple taxa across the globe. In coastal regions, artificial lighting close to marine turtle nesting beaches is disruptive to their breeding success. Prioritizing effective management of light pollution requires an understanding of how the light exposure of nesting areas changes over time in response to changing temporal and spatial distributions of coastal development. We analyzed multitemporal, satellite night-light data, in combination with linear mixed model analysis, to determine broadscale changes in artificial light exposure at Australian marine turtle nesting areas between 1993 and 2010. We found seven marine turtle management units (MU), from five species, have experienced significant increases in light exposure over time, with flatback turtles nesting in east Australia experiencing the fastest increases. The remaining 12 MUs showed no significant change in light exposure. Unchanging MUs included those previously identified as having high exposure to light pollution (located in western Australia and southern Queensland), indicating that turtles in these areas have been potentially exposed to high light levels since at least the early nineties. At a finer geographic scale (within-MU), nine MUs contained nesting areas with significant increases in light exposure. These nesting areas predominantly occurred close to heavily industrialized coastal areas, thus emphasizing the importance of rigorous light management in industry. Within all MUs, nesting areas existed where light levels were extremely low and/or had not significantly increased since 1993. With continued coastal development, nesting females may shift to these darker/unchanging 'buffer' areas in the future. This is valuable information that informs our understanding of the capacity and resilience of marine turtles faced with coastal development: an understanding that is essential for effective marine turtle conservation.</t>
  </si>
  <si>
    <t>[Kamrowski, Ruth L.; Hamann, Mark] James Cook Univ, Sch Earth &amp; Environm Sci, Townsville, Qld 4811, Australia; [Limpus, Col] Dept Environm &amp; Heritage Protect, Brisbane, Qld 4001, Australia; [Jones, Rhondda] James Cook Univ, Sch Marine &amp; Trop Biol, Townsville, Qld 4811, Australia; [Hamann, Mark] Univ S Australia, Sch Nat &amp; Built Environm, Adelaide, SA 5095, Australia; [Hamann, Mark] Univ S Australia, Barbara Hardy Inst, Adelaide, SA 5095, Australia</t>
  </si>
  <si>
    <t>James Cook University; James Cook University; Adelaide University; University of South Australia; Adelaide University; University of South Australia</t>
  </si>
  <si>
    <t>Kamrowski, RL (corresponding author), James Cook Univ, Sch Earth &amp; Environm Sci, Townsville, Qld 4811, Australia.</t>
  </si>
  <si>
    <t>ruth.kamrowski@my.jcu.edu.au</t>
  </si>
  <si>
    <t>Anderson, Sharolyn/F-4653-2013; Hamann, Mark/ABG-5857-2020; anderson, sharolyn/F-4653-2013; Jones, Rhondda/E-4853-2013</t>
  </si>
  <si>
    <t>anderson, sharolyn/0000-0002-9456-0193; Jones, Rhondda/0000-0002-1031-2863; Hamann, Mark/0000-0003-4588-7955; Kamrowski, Ruth Lisa/0009-0009-7947-1684</t>
  </si>
  <si>
    <t>Northcote Trust Graduate Scholarship Scheme; Australian Government's NERP program</t>
  </si>
  <si>
    <t>Northcote Trust Graduate Scholarship Scheme; Australian Government's NERP program(Australian Government)</t>
  </si>
  <si>
    <t>We acknowledge the image and data processing of NTL data by NOAA's National Geophysical Data Center and the DMSP data collected by the US Air Force Weather Agency. We thank Chris Elvidge for advice regarding intercalibration of the NTL data. This manuscript forms part of RLK's PhD research at James Cook University. R. L. K. is supported by the Northcote Trust Graduate Scholarship Scheme. M. H. is supported by the Australian Government's NERP program.</t>
  </si>
  <si>
    <t>1354-1013</t>
  </si>
  <si>
    <t>1365-2486</t>
  </si>
  <si>
    <t>GLOBAL CHANGE BIOL</t>
  </si>
  <si>
    <t>Glob. Change Biol.</t>
  </si>
  <si>
    <t>10.1111/gcb.12503</t>
  </si>
  <si>
    <t>AL4JW</t>
  </si>
  <si>
    <t>WOS:000339100200008</t>
  </si>
  <si>
    <t>Coristine, LE; Kerr, JT</t>
  </si>
  <si>
    <t>Coristine, Laura E.; Kerr, Jeremy T.</t>
  </si>
  <si>
    <t>Breeding birds; climate change; climate debt; peripheral populations; range shift; thermal limit</t>
  </si>
  <si>
    <t>CLIMATE-CHANGE; POPULATION TRENDS; BIRD DISTRIBUTIONS; RESPONSES; BIODIVERSITY; CONSTRAINTS; BUTTERFLIES; BOUNDARIES; TRACKING; SURVIVAL</t>
  </si>
  <si>
    <t>Climate change is causing widespread geographical range shifts, which likely reflects different processes at leading and trailing range margins. Progressive warming is thought to relax thermal barriers at poleward range margins, enabling colonization of novel areas, but imposes increasingly unsuitable thermal conditions at equatorward margins, leading to range losses from those areas. Few tests of this process during recent climate change have been possible, but understanding determinants of species' range limits will improve predictions of their geographical responses to climate change and variation in extinction risk. Here, we examine the relationship between poleward and equatorward range margin dynamics with respect to temperature-related geographical limits observed for 34 breeding passerine species in North America between 1984-1988 and 2002-2006. We find that species' equatorward range margins were closer to their upper realized thermal niche limits and proximity to those limits predicts equatorward population extinction risk through time. Conversely, the difference between breeding bird species' poleward range margin temperatures and the coolest temperatures they tolerate elsewhere in their ranges was substantial and remained consistent through time: range expansion at species' poleward range margins is unlikely to directly reflect lowered thermal barriers to colonization. The process of range expansion may reflect more complex factors operating across broader areas of species' ranges. The latitudinal extent of breeding bird ranges is decreasing through time. Disparate responses observed at poleward versus equatorward margins arise due to differences in range margin placement within the realized thermal niche and suggest that climate-induced geographical shift at equatorward range limits more strongly reflect abiotic conditions than at their poleward range limits. This further suggests that observed geographic responses to date may fail to demonstrate the true cost of climate change on the poleward portion of species' distributions. Poleward range margins for North American breeding passerines are not presently in equilibrium with realized thermal limits.</t>
  </si>
  <si>
    <t>[Coristine, Laura E.; Kerr, Jeremy T.] Univ Ottawa, Dept Biol, Canadian Facil Ecoinformat Res, Ottawa, ON K1N 6N5, Canada</t>
  </si>
  <si>
    <t>University of Ottawa</t>
  </si>
  <si>
    <t>Coristine, LE (corresponding author), Univ Ottawa, Dept Biol, Canadian Facil Ecoinformat Res, 30 Marie Curie, Ottawa, ON K1N 6N5, Canada.</t>
  </si>
  <si>
    <t>laura@coristine.com</t>
  </si>
  <si>
    <t>Coristine, Laura/0000-0003-2205-3392</t>
  </si>
  <si>
    <t>University of Ottawa Excellence Scholarship; Heather Glendinning McMurter Award from the Department of Biology at the University of Ottawa; Ontario Graduate Scholarship; CSF; Natural Sciences and Engineering Research Council of Canada; University Research Chair in Macroecology and Conservation at the University of Ottawa; Ontario's Ministry of Research and Innovation</t>
  </si>
  <si>
    <t>University of Ottawa Excellence Scholarship; Heather Glendinning McMurter Award from the Department of Biology at the University of Ottawa; Ontario Graduate Scholarship(Ontario Graduate Scholarship); CSF; Natural Sciences and Engineering Research Council of Canada(Natural Sciences and Engineering Research Council of Canada (NSERC)CGIAR); University Research Chair in Macroecology and Conservation at the University of Ottawa; Ontario's Ministry of Research and Innovation</t>
  </si>
  <si>
    <t>LC was funded through a University of Ottawa Excellence Scholarship, the Heather Glendinning McMurter Award from the Department of Biology at the University of Ottawa, and an Ontario Graduate Scholarship. LC would like to acknowledge invaluable support provided by CSF. JTK gratefully acknowledges Discovery Grant support from the Natural Sciences and Engineering Research Council of Canada, Ontario's Ministry of Research and Innovation support through a research award, and the University Research Chair in Macroecology and Conservation at the University of Ottawa. David Currie, Lenore Fahrig, and anonymous reviewers provided comments that improved this paper. Dan McKenney and Pia Papadopol at the Canadian Forest Service provided high-resolution climate data. We are grateful to the USGS BBS research team at Patuxent and the many breeding bird survey volunteers, without whose dedication this research would have sible. Jacob Spendelow kindly permitted golden-winged warbler photograph.</t>
  </si>
  <si>
    <t>10.1002/ece3.1683</t>
  </si>
  <si>
    <t>CX5RW</t>
  </si>
  <si>
    <t>WOS:000365761200002</t>
  </si>
  <si>
    <t>Hiddink, JG; Burrows, MT; Molinos, JG</t>
  </si>
  <si>
    <t>Hiddink, Jan G.; Burrows, Michael T.; Molinos, Jorge Garcia</t>
  </si>
  <si>
    <t>benthic invertebrate; benthos; distribution shifts; North Sea; sea bottom temperature; sea surface temperature; velocity of climate change</t>
  </si>
  <si>
    <t>COMMUNITY STRUCTURE; SPECIES RICHNESS; FISH ASSEMBLAGE; RANGE SHIFTS; MARINE; IMPACTS; BIODIVERSITY; ECOSYSTEMS; MECHANISMS</t>
  </si>
  <si>
    <t>Climate change is a major threat to biodiversity and distributions shifts are one of the most significant threats to global warming, but the extent to which these shifts keep pace with a changing climate is yet uncertain. Understanding the factors governing range shifts is crucial for conservation management to anticipate patterns of biodiversity distribution under future anthropogenic climate change. Soft-sediment invertebrates are a key faunal group because of their role in marine biogeochemistry and as a food source for commercial fish species. However, little information exists on their response to climate change. Here, we evaluate changes in the distribution of 65 North Sea benthic invertebrate species between 1986 and 2000 by examining their geographic, bathymetric and thermal niche shifts and test whether species are tracking their thermal niche as defined by minimum, mean or maximum sea bottom (SBT) and surface (SST) temperatures. Temperatures increased in the whole North Sea with many benthic invertebrates showing north-westerly range shifts (leading/trailing edges as well as distribution centroids) and deepening. Nevertheless, distribution shifts for most species (3.8-7.3kmyr(-1) interquantile range) lagged behind shifts in both SBT and SST (mean 8.1kmyr(-1)), resulting in many species experiencing increasing temperatures. The velocity of climate change (VoCC) of mean SST accurately predicted both the direction and magnitude of distribution centroid shifts, while maximum SST did the same for contraction of the trailing edge. The VoCC of SBT was not a good predictor of range shifts. No good predictor of expansions of the leading edge was found. Our results show that invertebrates need to shift at different rates and directions to track the climate velocities of different temperature measures, and are therefore lagging behind most temperature measures. If these species cannot withstand a change in thermal habitat, this could ultimately lead to a drop in benthic biodiversity.</t>
  </si>
  <si>
    <t>[Hiddink, Jan G.] Bangor Univ, Sch Ocean Sci, Menai Bridge LL59 5AB, Anglesey, Wales; [Burrows, Michael T.; Molinos, Jorge Garcia] Scottish Assoc Marine Sci, Inst Marine, Dept Ecol, Oban, Argyll, Scotland</t>
  </si>
  <si>
    <t>Bangor University; University of the Highlands &amp; Islands</t>
  </si>
  <si>
    <t>Hiddink, JG (corresponding author), Bangor Univ, Sch Ocean Sci, Menai Bridge LL59 5AB, Anglesey, Wales.</t>
  </si>
  <si>
    <t>j.hiddink@bangor.ac.uk</t>
  </si>
  <si>
    <t>García Molinos, Jorge/C-9252-2015; Burrows, Michael/D-9844-2013; Hiddink, Jan Geert/C-1238-2009</t>
  </si>
  <si>
    <t>García Molinos, Jorge/0000-0001-7516-1835; Burrows, Michael/0000-0003-4620-5899; Hiddink, Jan Geert/0000-0001-7114-830X</t>
  </si>
  <si>
    <t>UK Natural Environment Research Council [NE/J024082/1]; Natural Environment Research Council [NE/L013029/1, NE/J024082/1] Funding Source: researchfish; NERC [NE/J024082/1, NE/L013029/1] Funding Source: UKRI</t>
  </si>
  <si>
    <t>UK Natural Environment Research Council(UK Research &amp; Innovation (UKRI)Natural Environment Research Council (NERC)); Natural Environment Research Council(UK Research &amp; Innovation (UKRI)Natural Environment Research Council (NERC)); NERC(UK Research &amp; Innovation (UKRI)Natural Environment Research Council (NERC))</t>
  </si>
  <si>
    <t>We thank all involved in NSBS 1986 and NSBP 2000 for carrying out the surveys and making the data available. M.T.B. and J.G.M. were supported by the UK Natural Environment Research Council grant NE/J024082/1.</t>
  </si>
  <si>
    <t>10.1111/gcb.12726</t>
  </si>
  <si>
    <t>AX1HJ</t>
  </si>
  <si>
    <t>WOS:000346698100013</t>
  </si>
  <si>
    <t>Northrup, JM; Rivers, JW; Yang, ZQ; Betts, MG</t>
  </si>
  <si>
    <t>Northrup, Joseph M.; Rivers, James W.; Yang, Zhiqiang; Betts, Matthew G.</t>
  </si>
  <si>
    <t>Bayesian hierarchical model; Breeding Bird Survey; climate change; habitat loss; land-use change; synergistic effects</t>
  </si>
  <si>
    <t>MANAGED FOREST PLANTATIONS; HABITAT FRAGMENTATION; PACIFIC-NORTHWEST; BIODIVERSITY; LANDSCAPE; IMPACTS; DISTRIBUTIONS; THRESHOLDS; MODELS; BIRDS</t>
  </si>
  <si>
    <t>Climate and land-use changes are expected to be the primary drivers of future global biodiversity loss. Although theory suggests that these factors impact species synergistically, past studies have either focused on only one in isolation or have substituted space for time, which often results in confounding between drivers. Tests of synergistic effects require congruent time series on animal populations, climate change and land-use change replicated across landscapes that span the gradient of correlations between the drivers of change. Using a unique time series of high-resolution climate (measured as temperature and precipitation) and land-use change (measured as forest change) data, we show that these drivers of global change act synergistically to influence forest bird population declines over 29 years in the Pacific Northwest of the United States. Nearly half of the species examined had declined over this time. Populations declined most in response to loss of early seral and mature forest, with responses to loss of early seral forest amplified in landscapes that had warmed over time. In addition, birds declined more in response to loss of mature forest in areas that had dried over time. Climate change did not appear to impact populations in landscapes with limited habitat loss, except when those landscapes were initially warmer than the average landscape. Our results provide some of the first empirical evidence of synergistic effects of climate and land-use change on animal population dynamics, suggesting accelerated loss of biodiversity in areas under pressure from multiple global change drivers. Furthermore, our findings suggest strong spatial variability in the impacts of climate change and highlight the need for future studies to evaluate multiple drivers simultaneously to avoid potential misattribution of effects.</t>
  </si>
  <si>
    <t>[Northrup, Joseph M.; Yang, Zhiqiang; Betts, Matthew G.] Oregon State Univ, Forest Biodivers Res Network, Dept Forest Ecosyst &amp; Soc, Corvallis, OR 97331 USA; [Northrup, Joseph M.] Ontario Minist Nat Resources &amp; Forestry, Wildlife Res &amp; Monitoring Sect, Peterborough, ON, Canada; [Rivers, James W.] Oregon State Univ, Dept Forest Ecosyst &amp; Soc, Corvallis, OR 97331 USA; [Yang, Zhiqiang] US Forest Serv, USDA, RMRS Res Stn, Ogden, UT USA</t>
  </si>
  <si>
    <t>Oregon State University; Ministry of Natural Resources &amp; Forestry; Oregon State University; United States Department of Agriculture (USDA); United States Forest Service</t>
  </si>
  <si>
    <t>Northrup, JM; Betts, MG (corresponding author), Oregon State Univ, Forest Biodivers Res Network, Dept Forest Ecosyst &amp; Soc, Corvallis, OR 97331 USA.</t>
  </si>
  <si>
    <t>joe.northrup@gmail.com; matt.betts@oregonstate.edu</t>
  </si>
  <si>
    <t>Northrup, Joseph/AAM-2874-2020; Betts, Matthew/Q-2978-2019</t>
  </si>
  <si>
    <t>Northrup, Joseph/0000-0001-6319-4138; Rivers, James/0000-0001-5041-6002; Betts, Matthew/0000-0002-7100-2551</t>
  </si>
  <si>
    <t>College of Forestry at Oregon State University; USDA National Institute of Food and Agriculture, McIntire Stennis project [1014995]; US Department of Agriculture [AFRI-2009-426 04457, AFRI-2015-67019-23178]; US National Science Foundation LTER at the H.J. Andrews Experimental Forest [NSF DEB-0823380]</t>
  </si>
  <si>
    <t>College of Forestry at Oregon State University; USDA National Institute of Food and Agriculture, McIntire Stennis project; US Department of Agriculture(United States Department of Agriculture (USDA)); US National Science Foundation LTER at the H.J. Andrews Experimental Forest(National Science Foundation (NSF))</t>
  </si>
  <si>
    <t>We thank J. Sauer for helpful discussion about our modeling approach, B. Phalan for discussions about use of the Breeding Bird Survey data and the editor and two anonymous reviewers for detailed comments that improved the manuscript. This work was supported by the College of Forestry at Oregon State University, the USDA National Institute of Food and Agriculture, McIntire Stennis project 1014995, and the US Department of Agriculture (AFRI-2009-426 04457, AFRI-2015-67019-23178). We also acknowledge US National Science Foundation LTER at the H.J. Andrews Experimental Forest (NSF DEB-0823380).</t>
  </si>
  <si>
    <t>10.1111/gcb.14571</t>
  </si>
  <si>
    <t>HU2LX</t>
  </si>
  <si>
    <t>WOS:000465103600002</t>
  </si>
  <si>
    <t>van den Boog, T; Bulkan, J; Tansey, J; van Andel, TR</t>
  </si>
  <si>
    <t>van den Boog, Tim; Bulkan, Janette; Tansey, James; van Andel, Tinde R.</t>
  </si>
  <si>
    <t>JOURNAL OF ETHNOBIOLOGY AND ETHNOMEDICINE</t>
  </si>
  <si>
    <t>Indigenous peoples; Globalisation; Tenure security; Suriname; Stingray (Potamotrygon boesemani)</t>
  </si>
  <si>
    <t>WILDLIFE; MANAGEMENT</t>
  </si>
  <si>
    <t>Background: Non-timber forest products (NTFPs) have been traded for millennia by indigenous communities. Current increased demands driven by globalisation, however, put more pressure on local harvesters and their surrounding ecosystems. The safeguarding of indigenous access rights to harvesting grounds is needed, either through communal land titles or collaborative management agreements, both to secure prior indigenous rights and to minimise further negative ecological impacts. Methods: This study was carried out in two indigenous communities in West Suriname located along the Corentyne River. We assessed the three economically most important NTFPs for each community. We determined the land tenure status of harvesting grounds and negative impacts on target species and/or ecosystem. Ethnobotanical data were collected (n = 53), and semi-structured interviews were held with hunters and gatherers (n = 13). Local and national maps were acquired, and their data merged. Results: Results showed that the communities have no tenure security over their most important harvesting sites. These collection sites are State owned and some under (active) logging concession. All of the traded wild animal populations had decreased because of increased local and non-local commercial interest, especially the stingray Potamotrygon boesemani (first described in 2008), which was traded for US$250 per live specimen. The stingray population had become imperilled within months as local and (inter-) national regulations for this species are non-existent. Conclusions: We stress the urgent need for collaborative management agreements over the harvesting sites between the government of Suriname and the indigenous communities to prevent further non-local developments and harvesting to disturb the local economy. An immediate moratorium on the export of P. boesemani is necessary to prevent the extinction of this endemic stingray.</t>
  </si>
  <si>
    <t>[van den Boog, Tim; Bulkan, Janette] Univ British Columbia, Fac Forestry, Forest Resources Management, Vancouver, BC, Canada; [Tansey, James] Univ British Columbia, Sauder Sch Business, Vancouver, BC, Canada; [van Andel, Tinde R.] Nat Biodivers Ctr, Vondellaan 55, NL-2332 AA Leiden, Netherlands</t>
  </si>
  <si>
    <t>University of British Columbia; University of British Columbia; Naturalis Biodiversity Center</t>
  </si>
  <si>
    <t>van Andel, TR (corresponding author), Nat Biodivers Ctr, Vondellaan 55, NL-2332 AA Leiden, Netherlands.</t>
  </si>
  <si>
    <t>tinde.vanandel@naturalis.nl</t>
  </si>
  <si>
    <t>van Andel, Tinde/F-4962-2016; van Andel, Tinde/A-7614-2011; Bulkan, Janette/LDG-3001-2024</t>
  </si>
  <si>
    <t>van Andel, Tinde/0000-0002-4951-1894;</t>
  </si>
  <si>
    <t>van Eeden Fonds; Alberta Mennega Stichting; Stichting dr. Hendrik Muller's Vaderlandsch Fonds</t>
  </si>
  <si>
    <t>This research has been generously supported by the van Eeden Fonds, the Alberta Mennega Stichting and the Stichting dr. Hendrik Muller's Vaderlandsch Fonds.</t>
  </si>
  <si>
    <t>BMC</t>
  </si>
  <si>
    <t>CAMPUS, 4 CRINAN ST, LONDON N1 9XW, ENGLAND</t>
  </si>
  <si>
    <t>1746-4269</t>
  </si>
  <si>
    <t>J ETHNOBIOL ETHNOMED</t>
  </si>
  <si>
    <t>J. Ethnobiol. Ethnomed.</t>
  </si>
  <si>
    <t>JUN 28</t>
  </si>
  <si>
    <t>10.1186/s13002-018-0244-5</t>
  </si>
  <si>
    <t>Biodiversity Conservation; Plant Sciences; Pharmacology &amp; Pharmacy</t>
  </si>
  <si>
    <t>Biodiversity &amp; Conservation; Plant Sciences; Pharmacology &amp; Pharmacy</t>
  </si>
  <si>
    <t>GL0AP</t>
  </si>
  <si>
    <t>WOS:000436623300001</t>
  </si>
  <si>
    <t>Jaric, I; Lennox, RJ; Kalinkat, G; Cvijanovic, G; Radinger, J</t>
  </si>
  <si>
    <t>Jaric, Ivan; Lennox, Robert J.; Kalinkat, Gregor; Cvijanovic, Gorcin; Radinger, Johannes</t>
  </si>
  <si>
    <t>climate change; extinction threat; global warming; IUCN; Red List</t>
  </si>
  <si>
    <t>EXTINCTION RISK; MEDITERRANEAN RIVER; POTENTIAL IMPACTS; AQUATIC INSECTS; TRAITS PREDICT; LAND-USE; VULNERABILITY; PATTERNS; DISTRIBUTIONS; STREAMFLOW</t>
  </si>
  <si>
    <t>Climate change is expected to strongly affect freshwater fish communities. Combined with other anthropogenic drivers, the impacts may alter species spatio-temporal distributions and contribute to population declines and local extinctions. To provide timely management and conservation of fishes, it is relevant to identify species that will be most impacted by climate change and those that will be resilient. Species traits are considered a promising source of information on characteristics that influence resilience to various environmental conditions and impacts. To this end, we collated life-history traits and climatic niches of 443 European freshwater fish species and compared those identified as susceptible to climate change to those that are considered to be resilient. Significant differences were observed between the two groups in their distribution, life history, and climatic niche, with climate-change-susceptible species being distributed within the Mediterranean region, and being characterized by greater threat levels, lesser commercial relevance, lower vulnerability to fishing, smaller body and range size, and warmer thermal envelopes. Based on our results, we establish a list of species of highest priority for further research and monitoring regarding climate-change susceptibility within Europe. The presented approach represents a promising tool to efficiently assess large groups of species regarding their susceptibility to climate change and other threats, and to identify research and management priorities.</t>
  </si>
  <si>
    <t>[Jaric, Ivan] Czech Acad Sci, Inst Hydrobiol, Biol Ctr, Ceske Budejovice, Czech Republic; [Jaric, Ivan; Kalinkat, Gregor; Radinger, Johannes] Leibniz Inst Freshwater Ecol &amp; Inland Fisheries I, Berlin, Germany; [Jaric, Ivan; Cvijanovic, Gorcin] Univ Belgrade, Inst Multidisciplinary Res, Belgrade, Serbia; [Lennox, Robert J.] Carleton Univ, Dept Biol, Fish Ecol &amp; Conservat Physiol Lab, Ottawa, ON, Canada; [Radinger, Johannes] Univ Girona, GRECO, Inst Aquat Ecol, Girona, Spain</t>
  </si>
  <si>
    <t>Czech Academy of Sciences; Biology Centre of the Czech Academy of Sciences; Leibniz Association; Leibniz Institut fur Gewasserokologie und Binnenfischerei (IGB); University of Belgrade; Carleton University; Universitat de Girona</t>
  </si>
  <si>
    <t>Jaric, I (corresponding author), Czech Acad Sci, Inst Hydrobiol, Biol Ctr, Ceske Budejovice, Czech Republic.</t>
  </si>
  <si>
    <t>ivan.jaric@hbu.cas.cz</t>
  </si>
  <si>
    <t>; Jaric, Ivan/R-4048-2016; Radinger, Johannes/B-9113-2013; Kalinkat, Gregor/H-5401-2013</t>
  </si>
  <si>
    <t>Lennox, Robert/0000-0003-1010-0577; Jaric, Ivan/0000-0002-2185-297X; Radinger, Johannes/0000-0002-2637-9464; Kalinkat, Gregor/0000-0003-3529-5681; Cvijanović, Gorčin/0000-0002-6354-6145</t>
  </si>
  <si>
    <t>Deutsche Forschungsgemeinschaft [KA 3029/2-1]; Ministarstvo Prosvete, Nauke i Tehnoloskog Razvoja [173045]; BiodivERsA COFUND [BiodivERsA3-2015-26]; Akademie Ved Ceske Republiky; European Union [677039]; Bundesministerium fur Bildung und Forschung; Alexander von Humboldt-Stiftung; Spanish Ministry of Economy, Industry and Competitiveness [PCIN-2016-1]</t>
  </si>
  <si>
    <t>Deutsche Forschungsgemeinschaft(German Research Foundation (DFG)); Ministarstvo Prosvete, Nauke i Tehnoloskog Razvoja; BiodivERsA COFUND; Akademie Ved Ceske Republiky; European Union(European Union (EU)); Bundesministerium fur Bildung und Forschung(Federal Ministry of Education &amp; Research (BMBF)); Alexander von Humboldt-Stiftung(Alexander von Humboldt Foundation); Spanish Ministry of Economy, Industry and Competitiveness(Spanish Government)</t>
  </si>
  <si>
    <t>Deutsche Forschungsgemeinschaft, Grant/Award Number: KA 3029/2-1; Ministarstvo Prosvete, Nauke i Tehnoloskog Razvoja, Grant/Award Number: 173045; BiodivERsA COFUND, Grant/Award Number: BiodivERsA3-2015-26; Akademie Ved Ceske Republiky; European Union's Horizon 2020 research and innovation programme, Grant/Award Number: 677039; Bundesministerium fur Bildung und Forschung; Alexander von Humboldt-Stiftung; Spanish Ministry of Economy, Industry and Competitiveness, Grant/Award Number: PCIN-2016-1</t>
  </si>
  <si>
    <t>10.1111/gcb.14518</t>
  </si>
  <si>
    <t>HH9BN</t>
  </si>
  <si>
    <t>WOS:000456028900007</t>
  </si>
  <si>
    <t>Yadav, N; Areendran, G; Sarma, K; Raj, K; Sahana, M</t>
  </si>
  <si>
    <t>Yadav, Neha; Areendran, G.; Sarma, Kiranmay; Raj, Krishna; Sahana, Mehebub</t>
  </si>
  <si>
    <t>MODELING EARTH SYSTEMS AND ENVIRONMENT</t>
  </si>
  <si>
    <t>Leopard (Panthera pardus fusca); Human-leopard conflict; Land use; land cover; Susceptibility zones; Aravalli landscape</t>
  </si>
  <si>
    <t>SUPPORT VECTOR MACHINE; LANDSLIDE SUSCEPTIBILITY; RUDRAPRAYAG DISTRICT; FREQUENCY RATIO; DECISION TREE; FOREST; MODELS; RISK</t>
  </si>
  <si>
    <t>Increasing global population pressure and related proliferations in demands for resources which eventually resulted in sensitive pressure on regions covering valued biodiversity. Human-wildlife conflict is one of the most common issues in conservation, encircling a huge diversity of circumstances and species. However, reasons of conflict are frequently more complex than predicted and issues which can affect human behaviour in these circumstances need to be implicit. The Leopard (Panthera pardus fusca) populations are being isolated in their micro habitat due to landscape fragmentation and increasing anthropogenic pressure over the India. Therefore, encounters between Leopards, livestock and humans are increasing in many areas, rising concerns about the costs of Leopards conservation. The present study aimed to assess of human-leopard conflict in the Aravalli landscape of Haryana (Gurugram, Mewat and Faridabad districts), India. The study was undertaken to investigate the ecological aspects of human-leopard conflict through spatial characteristics and dynamics of such conflict. In the present study, GPS field survey and mapping were done for the conflict's sites in three districts of Haryana by the reference of newspaper articles, news reports and internet sources. Afterwards, GPS field survey was carried out to verify conflict sites in the landscape. To understand ecological aspects of human-leopard conflict, the result shows that forest cover in the Aravalli landscape has been decreased continuously from 1996 to 2018. It has been also recorded that barren rocky land has been reduced in the given time period. In contrast, agriculture and settlement have been increased dramatically from 1996 to 2018. The change matrix analyses show that forest cover and barren rocky land has been converted in agriculture land as well as human settlements. In the study area, it has also been found that water bodies have also been declined. For Susceptibility zonation, 10 parameters were selected and prepared by help of literature review and validated using linear support vector machine model. Maxent model was run for 30-m grain size and output suggested a susceptibility zone for human-leopard conflict in the Gurugram, Faridabad and Mewat. The study concludes that the human-leopard conflicts were mostly recorded in the area which has been converted from forest land to agriculture or settlements and they were found to be most susceptible. The human-leopard conflicts were also recorded at the edge of forested land in study area.</t>
  </si>
  <si>
    <t>[Yadav, Neha; Sarma, Kiranmay] Guru Gobind Singh Indraprastha Univ, New Delhi, India; [Areendran, G.; Raj, Krishna; Sahana, Mehebub] WWF India, Indira Gandhi Conservat Monitoring Ctr IGCMC, New Delhi, India</t>
  </si>
  <si>
    <t>GGS Indraprastha University; World Wildlife Fund</t>
  </si>
  <si>
    <t>Sahana, M (corresponding author), WWF India, Indira Gandhi Conservat Monitoring Ctr IGCMC, New Delhi, India.</t>
  </si>
  <si>
    <t>neha.yadav133@gmail.com; gareendran@wwfindia.net; kiranmayipu@gmail.com; kraj@wwfindia.net; mehebubsahana@gmail.com</t>
  </si>
  <si>
    <t>Sahana, Goutam/AAI-7579-2021; Sarma, Kiranmay/JDW-1412-2023; Yadav, Neha/HTQ-1358-2023</t>
  </si>
  <si>
    <t>2363-6203</t>
  </si>
  <si>
    <t>2363-6211</t>
  </si>
  <si>
    <t>MODEL EARTH SYST ENV</t>
  </si>
  <si>
    <t>Model. Earth Syst. Environ.</t>
  </si>
  <si>
    <t>10.1007/s40808-020-00858-y</t>
  </si>
  <si>
    <t>Emerging Sources Citation Index (ESCI)</t>
  </si>
  <si>
    <t>TL7CU</t>
  </si>
  <si>
    <t>WOS:000543004800001</t>
  </si>
  <si>
    <t>Ioki, K; Din, NM; Ludwig, R; James, D; Hue, SW; Johari, SA; Awang, RA; Anthony, R; Phua, MH</t>
  </si>
  <si>
    <t>Ioki, Keiko; Din, Norlina Mohd; Ludwig, Ralf; James, Daniel; Hue, Su Wah; Johari, Shazrul Azwan; Awang, Remmy Alfie; Anthony, Rosila; Phua, Mui-How</t>
  </si>
  <si>
    <t>JOURNAL FOR NATURE CONSERVATION</t>
  </si>
  <si>
    <t>Participatory conservation planning; Community conservation area; Borneo; REDD</t>
  </si>
  <si>
    <t>MULTICRITERIA DECISION-ANALYSIS; NATURAL-RESOURCE MANAGEMENT; PROTECTED AREAS; BIODIVERSITY CONSERVATION; MOUNT KINABALU; BUFFER ZONE; RAIN-FOREST; SABAH; RESERVE</t>
  </si>
  <si>
    <t>In tropical regions, expanding human activities have become increasingly threatening to the ecological integrity of protected areas. Shifting cultivation and other agricultural activities around the protected areas by rural communities often lead to increased carbon emissions, wildlife habitat destruction and increasing hunting pressure. Land use planning, with the participation of local communities in the buffer zones, is being considered to strengthen the implementation of the Man and the Biosphere Program at Crocker Range Park, Sabah, Malaysia. As part of the European Union's 'Tackling Climate Change Through Sustainable Forest Management and Community Development' program, we emphasized the participatory geographic information systems (PGIS) approach to support village-scale land use planning that considers the needs of multiple stakeholders in the community. The PGIS was applied within a multi-criteria framework to determine the location of a potential community conservation area (CCA) and to plan future land use activities in the village. Key informant interviews were followed by a participatory mapping workshop, attended by various stakeholders and experts, which was convened to discuss and elicit local knowledge to generate the environmental and resource indicators for determining potential land use activities within the village (e.g., agriculture, tourism and recreation, and forest restoration). Based on the discussions and spatial analyses, a land use zoning map with a potential CCA was presented at a follow-up land use decision making workshop. The villagers and external stakeholders reached a consensus on the land use zoning; leading to the designation process of the CCA. The PGIS-based land use planning has effectively supported the community forest conservation and is potentially applicable to other Southeast Asia regions with similar environmental and socio-economic settings.</t>
  </si>
  <si>
    <t>[Ioki, Keiko; James, Daniel; Hue, Su Wah; Johari, Shazrul Azwan; Phua, Mui-How] Univ Malaysia Sabah, Fac Sci &amp; Nat Resources, Forestry Complex, Jalan UMS, Kota Kinabalu 88400, Sabah, Malaysia; [Din, Norlina Mohd; Awang, Remmy Alfie] Kinabalu Pk, Sabah Pk, POB 6, Ranau 89307, Sabah, Malaysia; [Ludwig, Ralf] DFS Deutsch Forstserv GmbH, Wittelsbacherstr 11, D-85622 Feldkirchen, Germany; [Anthony, Rosila] Sabah Forestry Dept, Km 11,Jalan Utara,Locked Bag 68, Sandakan 90009, Sabah, Malaysia</t>
  </si>
  <si>
    <t>Universiti Kebangsaan Malaysia; Universiti Malaysia Sabah; Pusat Penyelidikan Hutan</t>
  </si>
  <si>
    <t>Phua, MH (corresponding author), Univ Malaysia Sabah, Fac Sci &amp; Nat Resources, Forestry Complex, Jalan UMS, Kota Kinabalu 88400, Sabah, Malaysia.</t>
  </si>
  <si>
    <t>keiko_ioki@ums.edu.my; len71@hotmail.com; Ralf.Ludwig@dfs-online.de; danieljames.ums@gmail.com; capricornhue@gmail.com; shazrul.aj@gmail.com; eiflaymmer@gmail.com; Rosila.Anthony@sabah.gov.my; pmh@ums.edu.my</t>
  </si>
  <si>
    <t>Ioki, Keiko/I-5822-2016</t>
  </si>
  <si>
    <t>JAMES, DANIEL/0000-0002-5026-2047</t>
  </si>
  <si>
    <t>EU [DCI-ASIE/2012/022-600]; community of kampung Wassai</t>
  </si>
  <si>
    <t>EU(European Union (EU)); community of kampung Wassai</t>
  </si>
  <si>
    <t>This study was supported by The Ecolinc Project under the EU-Funded Programme Tackling Climate Change through Sustainable Forest Management &amp; Community Development (DCI-ASIE/2012/022-600). The authors would like to thank the community of kampung Wassai for their participation and support. In particular, the village chief, Mr. Yakiun Tonggulu, the chairman of village safety development committee (JKKK), Mr. Michael Gunting and village community researchers. We are grateful with Sabah Parks officers especially Mr. Andy Martin bin Ginal Martin for his support throughout the project. Above all, we wish to thank all of the workshop participants and interviewees for their contribution.</t>
  </si>
  <si>
    <t>ELSEVIER GMBH</t>
  </si>
  <si>
    <t>MUNICH</t>
  </si>
  <si>
    <t>HACKERBRUCKE 6, 80335 MUNICH, GERMANY</t>
  </si>
  <si>
    <t>1617-1381</t>
  </si>
  <si>
    <t>1618-1093</t>
  </si>
  <si>
    <t>J NAT CONSERV</t>
  </si>
  <si>
    <t>J. Nat. Conserv.</t>
  </si>
  <si>
    <t>10.1016/j.jnc.2019.125740</t>
  </si>
  <si>
    <t>JO7UX</t>
  </si>
  <si>
    <t>WOS:000497781700006</t>
  </si>
  <si>
    <t>Guo, QH; Kelly, M; Graham, CH</t>
  </si>
  <si>
    <t>Support vector machines for predicting distribution of sudden oak death in California</t>
  </si>
  <si>
    <t>ECOLOGICAL MODELLING</t>
  </si>
  <si>
    <t>geographic information systems; support vector machines; potential disease spread; sudden oak death</t>
  </si>
  <si>
    <t>POTENTIAL DISTRIBUTION; CHAGAS-DISEASE; HABITAT; MODELS; GENERATION; SYSTEM; DOMAIN</t>
  </si>
  <si>
    <t>In the central California coastal forests, a newly discovered virulent pathogen (Phytophthora ramorum) has killed hundreds of thousands of native oak trees. Predicting the potential distribution of the disease in California remains an urgent demand of regulators and scientists. Most methods used to map potential ranges of species (e.g. multivariate or logistic regression) require both presence and absence data, the latter of which are not always feasibly collected, and thus the methods often require the generation of 'pseudo' absence data. Other methods (e.g. BIOCLIM and DOMAIN) seek to model the presence-only data directly. In this study, we present alternative methods to conventional approaches to modeling by developing support vector machines (SVMs), which are the new generation of machine learning algorithms used to find optimal separability between classes within datasets, to predict the potential distribution of Sudden Oak Death in California. We compared the performances of two types of SVMs models: two-class SVMs with 'pseudo' absence data and one-class SVMs. Both models performed well. The one-class SVMs have a slightly better true-positive rate (0.9272 +/- 0.0460 S.D.) than the two-class SVMs (0.9105 +/- 0.0712 S.D.). However, the area predicted to be at risk for the disease using the one-class SVMs (18,441 km(2)) is much larger than that of the two-class SVMs (13,828 km(2)). Both models show that the majority of disease risk will occur in coastal areas. Compared with the results of two-class SVMs, the one-class SVMs predict a potential risk in the foothills of the Sierra Nevada mountain ranges; much greater risks are also found in Los Angles and Humboldt Counties. We believe the support vector machines when coupled with geographic information system (GIS) will be a useful method to deal with presence-only data in ecological analysis over a range of scales. (C) 2004 Elsevier B.V. All rights reserved.</t>
  </si>
  <si>
    <t>Univ Calif Berkeley, Dept Environm Sci Policy &amp; Management, Berkeley, CA 94720 USA; Univ Calif Berkeley, Museum Vertebrate Zool, Berkeley, CA 94720 USA; SUNY Stony Brook, Dept Ecol &amp; Evolut, Stony Brook, NY 11794 USA</t>
  </si>
  <si>
    <t>University of California System; University of California Berkeley; University of California System; University of California Berkeley; State University of New York (SUNY) System; Stony Brook University</t>
  </si>
  <si>
    <t>Guo, QH (corresponding author), Univ Calif Berkeley, Dept Environm Sci Policy &amp; Management, 151 Hilgard Hall 3110, Berkeley, CA 94720 USA.</t>
  </si>
  <si>
    <t>gqh@nature.berkeley.edu; mkelly@nature.berkeley.edu; cgraham@life.bio.sunysb.edu</t>
  </si>
  <si>
    <t>Guo, Qinghua/B-7731-2012; Graham, Catherine/A-9560-2011; Guo, Qinghua/B-7731-2012</t>
  </si>
  <si>
    <t>Guo, Qinghua/0000-0002-1065-0838; Graham, Catherine/0000-0001-9267-7948;</t>
  </si>
  <si>
    <t>0304-3800</t>
  </si>
  <si>
    <t>1872-7026</t>
  </si>
  <si>
    <t>ECOL MODEL</t>
  </si>
  <si>
    <t>Ecol. Model.</t>
  </si>
  <si>
    <t>FEB 25</t>
  </si>
  <si>
    <t>10.1016/j.ecolmodel.2004.07.012</t>
  </si>
  <si>
    <t>885LN</t>
  </si>
  <si>
    <t>WOS:000226158200006</t>
  </si>
  <si>
    <t>Henriques, S; Pais, MP; Vasconcelos, RP; Murta, A; Azevedo, M; Costa, MJ; Cabral, HN</t>
  </si>
  <si>
    <t>Henriques, Sofia; Pais, Miguel P.; Vasconcelos, Rita P.; Murta, Alberto; Azevedo, Manuela; Costa, Maria J.; Cabral, Henrique N.</t>
  </si>
  <si>
    <t>fishing pressure; fish assemblages; soft-substrate marine habitats; response models; guild approach; ecosystem function; structural and functional metrics; critical thresholds</t>
  </si>
  <si>
    <t>ECOSYSTEM-BASED MANAGEMENT; COMMUNITY INDICATORS; CONTINENTAL-SHELF; NORTH-SEA; CONSERVATION; THRESHOLDS; FISHERIES; TRAITS; IMPACT; AREAS</t>
  </si>
  <si>
    <t>Conservation science increasingly focuses on how ecosystem functioning is affected by anthropogenic pressures, which implies an understanding of the structural and functional changes in biological assemblages and requires indicators to detect such changes within a suitable time frame. A novel approach that combines the spatial analysis of fishing gradients (based on vessel monitoring system records) with distance-based linear models was used to assess the response of several functional and structural metrics of fish assemblages to gradients of trawling, within four distinct habitat types. In addition, critical thresholds of trawling intensity were identified for the most sensitive metrics through piecewise regression models. Overall, total biomass and dominance (i.e. number of species that make up 90% of the total biomass) metrics as well as metrics representing vulnerable features (such as chondrichthyes, species with very low resilience and sedentary species) were shown to be sensitive to fishing. Our results suggest that decreasing trends in these indicators are likely to be associated with direct and indirect fishing effects acting synergistically on specific features of fish assemblages leading to its homogenization, with likely impacts on ecosystems resilience. Critical thresholds at high, medium and low fishing intensity levels were identified depending on the metric used to assess fishing impacts, suggesting that it is difficult to define a single global target for fishing management as it ultimately will depend on management and conservation objectives (e.g. maintenance of biomass vs. maintenance of structure and function). Synthesis and applications. A key goal of the applied approach was to provide short-term indicators that are sensitive to gradients of trawling intensity and can be extrapolated to a broader geographical region. The identification of thresholds of fishing pressure that fish assemblages can withstand before ecosystem functioning is altered is key for the development of indicators as warning mechanisms, as well as to assess performance measures for management. Understanding responses to other pressure sources (e.g. pollution, dredging) requires further research, and combining an integrative functional traits approach with a wider range of pressures may help make this achievable.</t>
  </si>
  <si>
    <t>[Henriques, Sofia; Pais, Miguel P.; Vasconcelos, Rita P.; Costa, Maria J.; Cabral, Henrique N.] Univ Lisbon, Fac Ciencias, Ctr Oceanog, P-1749016 Lisbon, Portugal; [Murta, Alberto; Azevedo, Manuela] Inst Portugues Mar &amp; Atmosfera, P-1449006 Lisbon, Portugal; [Costa, Maria J.; Cabral, Henrique N.] Univ Lisbon, Fac Ciencias, Dept Biol Anim, P-1749016 Lisbon, Portugal</t>
  </si>
  <si>
    <t>Universidade de Lisboa; Instituto Portugues do Mar e da Atmosfera; Universidade de Lisboa</t>
  </si>
  <si>
    <t>Henriques, S (corresponding author), Univ Lisbon, Fac Ciencias, Ctr Oceanog, P-1749016 Lisbon, Portugal.</t>
  </si>
  <si>
    <t>snpires@fc.ul.pt</t>
  </si>
  <si>
    <t>Pais, Miguel/B-1537-2012; Henriques, Sofia/B-1690-2012; Costa, Maria José/B-2188-2012; Vasconcelos, Rita/F-1236-2011; Cabral, Henrique/D-5201-2011</t>
  </si>
  <si>
    <t>Pais, Miguel/0000-0003-4282-9995; Henriques, Sofia/0000-0002-0165-2997; Costa, Maria José/0000-0002-9089-7266; Vasconcelos, Rita/0000-0002-1113-4915; Cabral, Henrique/0000-0002-7646-6208</t>
  </si>
  <si>
    <t>Fundacao para a Ciencia e Tecnologia (FCT) [PTDC/MAR/117119/2010]; FCT [SFRH/BPD/94320/2013, SFRH/BPD/94638/2013, IF/00058/2013]; [PEst-OE/MAR/UI0199/2011]; Fundação para a Ciência e a Tecnologia [SFRH/BPD/94320/2013, SFRH/BPD/94638/2013, PTDC/MAR/117119/2010, PEst-OE/MAR/UI0199/2011] Funding Source: FCT</t>
  </si>
  <si>
    <t>Fundacao para a Ciencia e Tecnologia (FCT)(Fundacao para a Ciencia e a Tecnologia (FCT)); FCT(Fundacao para a Ciencia e a Tecnologia (FCT)); ; Fundação para a Ciência e a Tecnologia(Fundacao para a Ciencia e a Tecnologia (FCT))</t>
  </si>
  <si>
    <t>The authors would like to thank the Portuguese General-Directorate for Natural Resources, Safety and Maritime Services for providing VMS data as well as two reviewers and editor for their help in improving the manuscript. The survey data were collected under the Portuguese Biological Sampling Programme (PNAB- EC Data Collection Framework). Research was funded with project PTDC/MAR/117119/2010 from Fundacao para a Ciencia e Tecnologia (FCT). Host institution was funded with project PEst-OE/MAR/UI0199/2011, and post-doc grants attributed to S. Henriques (SFRH/BPD/94320/2013) and M.P. Pais (SFRH/BPD/94638/2013) as well as Investigador FCT programme to R.P. Vasconcelos (IF/00058/2013), all from FCT.</t>
  </si>
  <si>
    <t>10.1111/1365-2664.12235</t>
  </si>
  <si>
    <t>AH2PA</t>
  </si>
  <si>
    <t>WOS:000335962200008</t>
  </si>
  <si>
    <t>Obusan, MCM; Rivera, WL; Siringan, MAT; Aragones, LV</t>
  </si>
  <si>
    <t>Obusan, Marie Christine M.; Rivera, Windell L.; Siringan, Maria Auxilia T.; Aragones, Lemnuel V.</t>
  </si>
  <si>
    <t>Human interaction; Stranded cetaceans; Philippines</t>
  </si>
  <si>
    <t>MARINE-MAMMALS; FISHERIES; DOLPHINS; BYCATCH</t>
  </si>
  <si>
    <t>Human interactions continue to affect cetacean populations worldwide. In particular, fisheries are some of the serious threats which can take the form of direct fishery interactions (e.g. mortalities or injuries from fishing gear) or indirect fishery interactions (e.g. prey availability). In this study, cetacean stranding events (n = 354) that occurred in the Philippines from July 1998 March 2013 were analyzed for different forms of human interaction (HI). A subset of these strandings (i.e. 27 events with 28 individuals) was attended from January 2012 March 2013 using a protocol to examine stranded cetaceans for signs of HI. Based on HI categories, stranding events were classified as: (1) Non-HI Strandings or strandings not caused by HI (n = 21); (2) HI-Strandings or strandings caused by HI (n = 47); and (3) CBD (Could not Be Determined) or strandings (n = 286 in total) in which the contribution of HI was neither assessed (n = 278) nor confirmed (n = 8). Most stranding events had northeast monsoon seasonality. The findings from the protocol used for investigating HI in the representative subset of strandings demonstrated what could have been possibly missed in the larger dataset that included all other stranding events recorded from July 1998. Thirty-three percent of the assessed strandings in the subset were confirmed as HI-Strandings, and this proportion translates to at least 92 stranding events under CBD that were not assessed at all. In general, HI negatively affected stranded cetaceans by inflicting physical injuries (and often resulting to mortalities), eventually increasing their likelihood to strand. The regions with higher proportions of HI-Strandings were those previously identified as regional stranding hotspots: Region III (Central Luzon), Region VII (Central Visayas), Region V (Bicol Region), and Region I (Ilocos Region). The implicated forms of HI in the case of direct fishery interactions included entanglement in fishing nets, entrapment in fish cages, collisions with fishing vessels, and fishing gear-associated injuries; while those of direct human interactions included physical attack, intentional capture, and collision with a navigation vessel. Given the high frequency of live cetaceans getting stranded due to direct fisheries interaction, this study suggests the plausibility of considerable human-induced cetacean strandings in Philippine waters. As demonstrated, stranding events are practical opportunities to investigate the impacts of human interactions on cetaceans, and offer the chance to trace the links to fisheries even in animals that strand for any other reason. Future efforts should consider systematically assessing local cetacean stranding events for signs of HI and associating findings on parameters of fishing pressure. Likewise, blast-induced trauma, as well as marine debris ingestion or entanglement, need immediate research attention. All of these have important management implications for conserving the country's diverse cetaceans in relation to resource-use conflicts with humans. (C) 2016 Elsevier Ltd. All rights reserved.</t>
  </si>
  <si>
    <t>[Obusan, Marie Christine M.; Rivera, Windell L.; Aragones, Lemnuel V.] Univ Philippines, Inst Biol, Coll Sci, Quezon City 1101, Philippines; [Rivera, Windell L.; Siringan, Maria Auxilia T.] Univ Philippines, Nat Sci Res Inst, Quezon City 1101, Philippines; [Obusan, Marie Christine M.] Univ Philippines, Coll Sci, Inst Environm Sci &amp; Meteorol, Quezon City 1101, Philippines</t>
  </si>
  <si>
    <t>University of the Philippines System; University of the Philippines Diliman; University of the Philippines System; University of the Philippines Diliman; University of the Philippines System; University of the Philippines Diliman</t>
  </si>
  <si>
    <t>Obusan, MCM (corresponding author), Univ Philippines, Inst Biol, Coll Sci, Quezon City 1101, Philippines.</t>
  </si>
  <si>
    <t>christine.obusan@gmail.com</t>
  </si>
  <si>
    <t>Obusan, Marie Christine/KVB-6342-2024; Aragones, Lemnuel/ABA-9940-2020</t>
  </si>
  <si>
    <t>Aragones, Lemnuel/0000-0002-3318-3857</t>
  </si>
  <si>
    <t>Philippine Council for Health Research and Development Department of Science and Technology (PCHRD-DOST)</t>
  </si>
  <si>
    <t>We are indebted to the members of the different chapters of Philippine Marine Mammal Stranding Network (PMMSN), provincial veterinarians, regional sectors, and central office of the Bureau of Fisheries and Aquatic Resources (BFAR), Department of Agriculture (DA), local government units (LGUs), and Bryan Clark Hernandez for the assistance provided. Likewise, the authors thank the reviewers for the inputs and comments. This work was supported by the Philippine Council for Health Research and Development Department of Science and Technology (PCHRD-DOST) through the Accelerated Science and Technology Human Resource Development Program (ASTHRDP) grant for MCMO.</t>
  </si>
  <si>
    <t>10.1016/j.ocecoaman.2016.09.021</t>
  </si>
  <si>
    <t>ED8DF</t>
  </si>
  <si>
    <t>WOS:000389101500005</t>
  </si>
  <si>
    <t>Rorabaugh, JC; Hossack, BR; Muths, E; Sigafus, BH; Lemos-Espinal, JA</t>
  </si>
  <si>
    <t>Rorabaugh, James C.; Hossack, Blake R.; Muths, Erin; Sigafus, Brent H.; Lemos-Espinal, Julio A.</t>
  </si>
  <si>
    <t>STATUS OF THE THREATENED CHIRICAHUA LEOPARD FROG AND CONSERVATION CHALLENGES IN SONORA, MEXICO, WITH NOTES ON OTHER RANID FROGS AND NON-NATIVE PREDATORS</t>
  </si>
  <si>
    <t>HERPETOLOGICAL CONSERVATION AND BIOLOGY</t>
  </si>
  <si>
    <t>amphibians; conservation; invasive species; Lithobates chiricahuensis; threatened species</t>
  </si>
  <si>
    <t>PIPIENS COMPLEX; CHYTRIDIOMYCOSIS; POPULATION; RESPONSES; ARIZONA</t>
  </si>
  <si>
    <t>In North America, ranid frogs (Ranidae) have experienced larger declines than any other amphibian family, particularly species native to the southwestern USA arid adjacent Mexico; however, our knowledge of their conservation status and threats is limited in Mexico. We assessed the status of the federally listed as threatened (USA) Chiricahua Leopard Frog (Lithobates chiricahuensis) in Sonora, Mexico, based on a search of museum specimens, published records, unpublished accounts, and surveys from 2000-2016 of 84 sites within the geographical and elevational range of the species. We also provide information on occurrence of three other native ranid frog species encountered opportunistically during our surveys. The Chiricahua Leopard Frog is known in Sonora from only 20 historical (pre-2000) localities. Searches of three historical sites did not reveal any Chiricahua Leopard Frogs; however, we found it at three previously undocumented sites in 2016, all near Cananea. To our knowledge, these records are the first observations of Chiricahua Leopard Frogs in Sonora since 1998. Differences in conservation status between the USA and Sonora are likely due to differing magnitude and distribution of threats and a comparatively aggressive recovery program in the USA. For example, key non-native predators important in the decline of the Chiricahua Leopard Frog are much less widespread in Sonora compared to the southwestern USA, but there are fewer protections and recovery actions for the frog in Sonora than in the USA. Additional surveys for the Chiricahua Leopard Frog and other amphibians in Sonora should be a priority to fully assess threats and conservation status.</t>
  </si>
  <si>
    <t>[Rorabaugh, James C.] POB 31, St David, AZ 85630 USA; [Hossack, Blake R.] US Geol Survey, Northern Rocky Mt Sci Ctr, Aldo Leopold Wilderness Res Inst, 790 E Beckwith Ave, Missoula, MT 59801 USA; [Muths, Erin] US Geol Survey, Ft Collins Sci Ctr, 2150 Ctr Ave,Bldg C, Ft Collins, CO 80526 USA; [Sigafus, Brent H.] US Geol Survey, Southwest Biol Sci Ctr, Sonoran Desert Res Stn, 1110 East South Campus Dr, Tucson, AZ 85721 USA; [Lemos-Espinal, Julio A.] Fac Estudios Super Iztacala, Lab Ecol UBIPRO, Ave Barrios 1, Tlalnepantla 54090, Estado De Mexic, Mexico</t>
  </si>
  <si>
    <t>United States Department of the Interior; United States Geological Survey; United States Department of the Interior; United States Geological Survey; United States Department of the Interior; United States Geological Survey</t>
  </si>
  <si>
    <t>Rorabaugh, JC (corresponding author), POB 31, St David, AZ 85630 USA.</t>
  </si>
  <si>
    <t>jrorabaugh@hotmail.com</t>
  </si>
  <si>
    <t>SEMARNAT (Secretaria de Medio Ambiente y Recursos Naturales) [SGPA/DGVS/01676/1516, 36713, SGPA/DGVS/00916, FAUT0030]; Amphibian Research and Monitoring Initiative (ARMI) of the U.S. Geological Survey; Direccion General del Personal Academico-Programa de Apoyo a Proyectos de Investigacion e Innovacion Tecnologica (DGAPA-PAPIIT) [IN215418]; ARMI [606]</t>
  </si>
  <si>
    <t>SEMARNAT (Secretaria de Medio Ambiente y Recursos Naturales); Amphibian Research and Monitoring Initiative (ARMI) of the U.S. Geological Survey(United States Geological Survey); Direccion General del Personal Academico-Programa de Apoyo a Proyectos de Investigacion e Innovacion Tecnologica (DGAPA-PAPIIT); ARMI</t>
  </si>
  <si>
    <t>The following people assisted in the field: Valerie Boyarski, Juan Carlos Bravo, Gerardo Carre.n Arroyo, Thierry Chambert, Doug Duncan, Aline Estrella Zamora, Erin Fernandez, Stephen Hale, Karina Hilliard, David Hurtado Felix, Jef R. Yaeger, Thomas R. Jones, Abigail King, Terry Myers, Guillermo Molina Padilla, Ana Lilia Reina Guerrero, Jeffrey Servoss, Michael J. Sredl, Daniel Toyos Martinez, Thomas R. Van Devender, and Eric Wallace. Andrew Holycross and Tom Van Devender generously contributed unpublished ranid survey data and observations. Emily M. Braker (UCM), Charlotte Johnston (ASU), and Gregory Schneider (UMMZ) provided access to and assisted with identification of ranid frog specimens. Caren Goldberg's lab conducted the eDNA analysis. Cecil Schwalbe provided valuable input that improved the manuscript. This work was carried out under the following permits from SEMARNAT (Secretaria de Medio Ambiente y Recursos Naturales): SGPA/DGVS/01676/15&amp;16 and 36713, SGPA/DGVS/00916, and FAUT0030. Any use of trade, firm, or product names is for descriptive purposes only and does not imply endorsement by the U.S. Government. Funding to BRH, BHS, and EM was provided by the Amphibian Research and Monitoring Initiative (ARMI) of the U.S. Geological Survey. Funding to JLE was provided by Direccion General del Personal Academico-Programa de Apoyo a Proyectos de Investigacion e Innovacion Tecnologica (DGAPA-PAPIIT), through the project IN215418. This manuscript is ARMI contribution no. 606.</t>
  </si>
  <si>
    <t>HERPETOLOGICAL CONSERVATION &amp; BIOLOGY</t>
  </si>
  <si>
    <t>CORVALLIS</t>
  </si>
  <si>
    <t>C/O R BRUCE BURY, USGS FOREST &amp; RANGELAND, CORVALLIS, OR 00000 USA</t>
  </si>
  <si>
    <t>2151-0733</t>
  </si>
  <si>
    <t>1931-7603</t>
  </si>
  <si>
    <t>HERPETOL CONSERV BIO</t>
  </si>
  <si>
    <t>Herpetol. Conserv. Biol.</t>
  </si>
  <si>
    <t>GG9MC</t>
  </si>
  <si>
    <t>WOS:000433024200003</t>
  </si>
  <si>
    <t>Thiebot, JB; Delord, K; Marteau, C; Weimerskirch, H</t>
  </si>
  <si>
    <t>Thiebot, Jean-Baptiste; Delord, Karine; Marteau, Cedric; Weimerskirch, Henri</t>
  </si>
  <si>
    <t>WANDERING ALBATROSSES; LONGLINE FISHERY; DIOMEDEA-EXULANS; SEABIRD BYCATCH; SOUTHERN-OCEAN; HABITAT USE; CONSERVATION; BEHAVIOR; IMPACTS; CLIMATE</t>
  </si>
  <si>
    <t>Long-lived animals typically exhibit several stages throughout their life cycle during which their distribution may vary substantially, which may challenge the relevance of protection measures. Here we surveyed individual movements of the Critically Endangered Amsterdam albatross from Amsterdam Island, southern Indian Ocean, throughout its life cycle. Our goal was to identify, from the areas visited by the albatrosses, which coastal states share responsibility in regulating industrial fishing in their Exclusive Economic Zones (EEZs) in order to promote the preservation of this species. Using stage-relevant tracking techniques (satellite tags, GPS and GLS loggers), we surveyed 361 at-sea trips by 93 individuals over 9 yr, covering incubation, brooding, chick-rearing, sabbatical, failed-breeding, juvenile and immature stages. Our data show that Amsterdam albatrosses exhibit a wide and variable foraging radius (from 326 +/- 193 km during brooding to 5519 +/- 766 km for immatures) and at-sea distribution across stages, putting them beyond the French EEZ of Amsterdam Island for all or part of the trips surveyed in each stage, and even outside the Indian Ocean when breeding. In all, the breeding versus non-breeding albatrosses visited the EEZs of 1 to 3 versus 3 to 4 countries, respectively. Only breeders visited the EEZs of Madagascar and Mauritius, while only non-breeders visited the EEZs of Australia, South Africa and Namibia. This study stresses the relevance to conservation of obtaining synoptic information on the distribution of threatened species, especially regarding the breeding versus non-breeding categories of populations.</t>
  </si>
  <si>
    <t>Thiebot, JB (corresponding author), Natl Inst Polar Res, 10-3 Midoricho, Tokyo 1908518, Japan.</t>
  </si>
  <si>
    <t>jbthiebot@yahoo.fr</t>
  </si>
  <si>
    <t>Weimerskirch, Henri/K-7306-2019</t>
  </si>
  <si>
    <t>Grants-in-Aid for Scientific Research [26840153] Funding Source: KAKEN</t>
  </si>
  <si>
    <t>Grants-in-Aid for Scientific Research(Ministry of Education, Culture, Sports, Science and Technology, Japan (MEXT)Japan Society for the Promotion of ScienceGrants-in-Aid for Scientific Research (KAKENHI))</t>
  </si>
  <si>
    <t>10.3354/esr00564</t>
  </si>
  <si>
    <t>AE5SL</t>
  </si>
  <si>
    <t>WOS:000334049000007</t>
  </si>
  <si>
    <t>Paredes, I; Ramírez, F; Forero, MG; Green, AJ</t>
  </si>
  <si>
    <t>Paredes, Irene; Ramirez, Francisco; Forero, Manuela G.; Green, Andy J.</t>
  </si>
  <si>
    <t>Nitrogen pollution; Stable isotopes; Helophytes; Eutrophication; Anthropogenic impact; Wetland conservation</t>
  </si>
  <si>
    <t>NATIONAL-PARK; NITRATE SOURCES; SURFACE WATERS; WETLANDS; DENITRIFICATION; INDICATORS; EUTROPHICATION; CONTAMINATION; INPUTS; PLANT</t>
  </si>
  <si>
    <t>Nitrogen (N) loading from anthropogenic activities is contributing to the eutrophication and degradation of wetlands worldwide. Donana (southwestern Spain), includes a dynamic marshland protected as a UNESCO World Heritage Site, which has a catchment area exposed to increasing N inputs from intensive agriculture and poorly treated urban wastewaters. Identifying the sources of N entering this iconic wetland complex is vital for its conservation. To this end, we combined multiyear (2014-2016), spatially-explicit data on N concentration in water samples with measurements on the relative abundance of N stable isotopes (delta N-15) in Bolboschoenus maritimus and Typha domingensis, two dominant helophytes (i.e. emergent macrophytes) in the Donana marsh and entry streams. Overall, plant tissues from entry streams showed higher delta N-15 values than those from the marsh, particularly in those streams most affected by urban wastewaters. Isotopic values did not differ between plant species. Water samples affected by isotopically-enriched urban wastewaters and other diffuse organic N inputs (e.g. livestock farming) had relatively high Dissolved Inorganic Nitrogen (DIN) concentrations. In contrast, in streams mainly affected by diffuse N pollution from greenhouse crops, high DIN values were related to isotopically-depleted N sources (e.g., inorganic fertilizers). Thus, helophytes, in combination with other parameters such as N concentration in water or land cover, can be valuable indicators of anthropogenic pressures in Mediterranean wetlands. Helophytes have widespread distributions, and can be readily sampled even when water is no longer present. However, identification of specific N sources through helophyte delta N-15 values is limited when key potential N sources are isotopically undistinguishable (e.g. fertilizers vs. atmospheric sources).</t>
  </si>
  <si>
    <t>[Paredes, Irene; Green, Andy J.] CSIC, Estn Biol Donana, Dept Wetland Ecol, C Americo Vespucio 26, E-41092 Seville, Spain; [Ramirez, Francisco] Univ Barcelona, Ecol &amp; Ciencies Ambientals, Dept Biol Evolut, Av Diagonal 643, E-08028 Barcelona, Spain; [Forero, Manuela G.] CSIC, Estn Biol Donana, Dept Conservat Biol, C Americo Vespucio 26, E-41092 Seville, Spain</t>
  </si>
  <si>
    <t>Consejo Superior de Investigaciones Cientificas (CSIC); CSIC - Estacion Biologica de Donana (EBD); University of Barcelona; Consejo Superior de Investigaciones Cientificas (CSIC); CSIC - Estacion Biologica de Donana (EBD)</t>
  </si>
  <si>
    <t>Paredes, I (corresponding author), CSIC, Estn Biol Donana, Dept Wetland Ecol, C Americo Vespucio 26, E-41092 Seville, Spain.</t>
  </si>
  <si>
    <t>irene.paredeslosada@gmail.com</t>
  </si>
  <si>
    <t>Green, Andy/A-5189-2008; Ramírez, Francisco/I-3553-2014</t>
  </si>
  <si>
    <t>Ramírez, Francisco/0000-0001-9670-486X; Gonzalez Forero, Manuela/0000-0001-9157-9705</t>
  </si>
  <si>
    <t>Severo Ochoa Program for Centers of Excellence in R + D + I [SEV-2012-0262]; Programa Internacional de Becas La Caixa-Severo Ochoa 2014; ECOPOTENTIAL [European Union -EU- Horizon 2020] [641762]; Subprograma Juan de la Cierva-Incorporacion; Ministerio de Economia, Industria y Competitividad [IJCI-2015-24531]</t>
  </si>
  <si>
    <t>Severo Ochoa Program for Centers of Excellence in R + D + I; Programa Internacional de Becas La Caixa-Severo Ochoa 2014; ECOPOTENTIAL [European Union -EU- Horizon 2020]; Subprograma Juan de la Cierva-Incorporacion; Ministerio de Economia, Industria y Competitividad</t>
  </si>
  <si>
    <t>This study was funded through the Severo Ochoa Program for Centers of Excellence in R + D + I [SEV-2012-0262]. IP was supported by a PhD contract from Programa Internacional de Becas La Caixa-Severo Ochoa 2014. FR was partially funded by ECOPOTENTIAL [grant agreement No. 641762, European Union -EU- Horizon 2020] and Subprograma Juan de la Cierva-Incorporacion; Ministerio de Economia, Industria y Competitividad [IJCI-2015-24531].</t>
  </si>
  <si>
    <t>10.1016/j.ecolind.2018.10.009</t>
  </si>
  <si>
    <t>HT9LN</t>
  </si>
  <si>
    <t>WOS:000464891000015</t>
  </si>
  <si>
    <t>Rímalová, K; Douda, K; Stambergová, M</t>
  </si>
  <si>
    <t>Rimalova, Katerina; Douda, Karel; Stambergova, Monika</t>
  </si>
  <si>
    <t>Ecological status; Survey; Protected species; Invertebrates; Alien species; Pollution; Astacus astacus; Austropotamobius torrentium; Orconectes limosus</t>
  </si>
  <si>
    <t>AUSTROPOTAMOBIUS-TORRENTIUM SCHRANK; STONE CRAYFISH; WATER-QUALITY; PACIFASTACUS-LENIUSCULUS; ASTACUS-ASTACUS; LAKE; BIODIVERSITY; REPLACEMENT; CAMBARIDAE; CRUSTACEA</t>
  </si>
  <si>
    <t>The degradation of aquatic habitats has increasingly become one of the most important factors influencing the distribution of freshwater species worldwide. We analysed the occurrence of three crayfish species, Astacus astacus, Austropotamobius torrentium and Orconectes limosus, in relation to habitat degradation status (based on Directive 2000/60/ES), stream morphology, geographical characteristics and land cover. In total, we analysed 6,768 sites within the Czech Republic (Central Europe), of which 6,187 sites lacked crayfish; among the remainder, A. astacus was present in 507 sites, O. limosus occurred in 44 sites and A. torrentium was present in only 30 sites. The analysis revealed that A. astacus preferred streams of better water quality that were not surrounded by agricultural land or settlements. This species also preferentially occurred in smaller streams with stony bottom substrata that were located at higher altitudes. Austropotamobius torrentium occurrence was associated with the natural character of the water body and the presence of protected areas at higher altitudes. Conversely, the non-native crayfish species O. limosus was typically recorded at lower altitudes in downstream reaches surrounded by agricultural land and with deteriorated water quality. The degree of environmental (human) pressure besides differences in habitat characteristics at sites with ICS and NICS may be of general importance for conservation strategies aimed at central European native crayfish species, primarily because the habitat-driven co-occurrence pattern (and its possible changes in the future) may strongly influence interspecific relationships, such as direct competition and the spread of infectious diseases between crayfish species.</t>
  </si>
  <si>
    <t>[Rimalova, Katerina] Czech Univ Life Sci Prague, Fac Environm Sci, Dept Ecol, Prague 16521 6, Suchdol, Czech Republic; [Douda, Karel] Czech Univ Life Sci Prague, Dept Zool &amp; Fisheries, Prague 16521 6, Suchdol, Czech Republic; [Douda, Karel] Czech Univ Life Sci Prague, Fac Agrobiol Food &amp; Nat Resources, Prague 16521 6, Suchdol, Czech Republic; [Stambergova, Monika] Nat Conservat Agcy Czech Republ, Prague 14800 11, Czech Republic</t>
  </si>
  <si>
    <t>Czech University of Life Sciences Prague; Czech University of Life Sciences Prague; Czech University of Life Sciences Prague</t>
  </si>
  <si>
    <t>Rímalová, K (corresponding author), Czech Univ Life Sci Prague, Fac Environm Sci, Dept Ecol, Kamycka 129, Prague 16521 6, Suchdol, Czech Republic.</t>
  </si>
  <si>
    <t>katerina.rimalova@seznam.cz</t>
  </si>
  <si>
    <t>Douda, Karel/D-4759-2011</t>
  </si>
  <si>
    <t>Douda, Karel/0000-0002-7778-5147</t>
  </si>
  <si>
    <t>Nature Conservation Agency of the Czech Republic within Ministry of the Environment of the Czech Republic [VaV/620/01/03]; Internal Grant Agency of the Faculty of Environmental Sciences [2011421103123, 20124226]; ESF/MSMT [CZ.1.07/2.3.00/30.0040]; Czech Science Foundation [13-05872S]</t>
  </si>
  <si>
    <t>Nature Conservation Agency of the Czech Republic within Ministry of the Environment of the Czech Republic; Internal Grant Agency of the Faculty of Environmental Sciences; ESF/MSMT; Czech Science Foundation(Grant Agency of the Czech Republic)</t>
  </si>
  <si>
    <t>This Project was supported by the Nature Conservation Agency of the Czech Republic as a general organiser and funder of crayfish mapping within the project of the Ministry of the Environment of the Czech Republic (VaV/620/01/03). We are grateful to the Internal Grant Agency of the Faculty of Environmental Sciences (Nos. 2011421103123 and 20124226), ESF/MSMT (CZ.1.07/2.3.00/30.0040) and to the Czech Science Foundation (13-05872S). We would also like to thank Vaclav Rimal and Lucie Smejdova for their work in the field.</t>
  </si>
  <si>
    <t>10.1007/s10531-014-0784-5</t>
  </si>
  <si>
    <t>AT7BB</t>
  </si>
  <si>
    <t>WOS:000345090000009</t>
  </si>
  <si>
    <t>White, BLA</t>
  </si>
  <si>
    <t>Alves White, Benjamin Leonardo</t>
  </si>
  <si>
    <t>ACTA AMAZONICA</t>
  </si>
  <si>
    <t>hot spots; fire prevention; wildfire; remote sensing</t>
  </si>
  <si>
    <t>SPATIAL-PATTERNS; FOREST; CLIMATE</t>
  </si>
  <si>
    <t>Wildland fires can be responsible for negative impacts on the environment, causing damage to the fauna and flora and increasing the release of greenhouse gases. In the state of Amazonas, wildland fires represent a risk for biodiversity conservation, since more than 95% of the state is covered by Amazon rainforest, one of the largest and most biodiverse tropical forests of the world. This study aimed to analyze the spatiotemporal variation of fire occurrence from 2003 to 2016 in the state of Amazonas, based on data from the AQUA satellite processed by the Brazilian National Institute for Space Research, using the Collection 5 detection algorithm. The correlation between fire incidence versus anthropogenic and climatic variables was also tested. A significant uptrend was observed in the number of hot spots recorded over the years. About 83% of the wildland fires occurred during the months of August, September and October. The variables that correlated significantly with the number of hot spots for each municipality were deforested area, pasture area, agricultural area, municipality area and mean annual rainfall. The municipality with the highest number of hot spots detected was Labrea, while Careiro da Varzea presented the highest incidence per km(2). The southern and eastern regions of the state were the areas most affected by fire during the analyzed period. The results from this study emphasize the need for implementation of public policies aimed to reduce deforestation and wildland fires in the state, thus ensuring the conservation of the Amazon rainforest and its biodiversity.</t>
  </si>
  <si>
    <t>[Alves White, Benjamin Leonardo] Univ Fed Sergipe, Dept Biociencias, Av Vereador Olimpio Grande S-N, Itabaiana, Sergipe, Brazil</t>
  </si>
  <si>
    <t>Universidade Federal de Sergipe</t>
  </si>
  <si>
    <t>White, BLA (corresponding author), Univ Fed Sergipe, Dept Biociencias, Av Vereador Olimpio Grande S-N, Itabaiana, Sergipe, Brazil.</t>
  </si>
  <si>
    <t>white@ufs.br</t>
  </si>
  <si>
    <t>LA White, Benjamin/E-5770-2014</t>
  </si>
  <si>
    <t>Fundacao de Apoio a Pesquisa e a Inovacao Tecnologica do Estado de Sergipe (FAPITEC/SE); Conselho Nacional de Desenvolvimento Cientifico e Tecnologico (CNPq)</t>
  </si>
  <si>
    <t>Fundacao de Apoio a Pesquisa e a Inovacao Tecnologica do Estado de Sergipe (FAPITEC/SE); Conselho Nacional de Desenvolvimento Cientifico e Tecnologico (CNPq)(Conselho Nacional de Desenvolvimento Cientifico e Tecnologico (CNPQ))</t>
  </si>
  <si>
    <t>To the Fundacao de Apoio a Pesquisa e a Inovacao Tecnologica do Estado de Sergipe (FAPITEC/SE) and the Conselho Nacional de Desenvolvimento Cientifico e Tecnologico (CNPq) for a scholarship and funding, and to Prof. Theodore James White.</t>
  </si>
  <si>
    <t>INST NACIONAL PESQUISAS AMAZONIA</t>
  </si>
  <si>
    <t>MANAUS</t>
  </si>
  <si>
    <t>CAIXA POSTAL 478, ALAMEDA COSME FERREIRA, 1756, MANAUS, AMAZONAS 00000, BRAZIL</t>
  </si>
  <si>
    <t>0044-5967</t>
  </si>
  <si>
    <t>1809-4392</t>
  </si>
  <si>
    <t>ACTA AMAZON</t>
  </si>
  <si>
    <t>ACTA AMAZON.</t>
  </si>
  <si>
    <t>10.1590/1809-4392201704522</t>
  </si>
  <si>
    <t>Agronomy; Plant Sciences; Ecology; Forestry; Zoology</t>
  </si>
  <si>
    <t>Agriculture; Plant Sciences; Environmental Sciences &amp; Ecology; Forestry; Zoology</t>
  </si>
  <si>
    <t>GX5GV</t>
  </si>
  <si>
    <t>WOS:000447773900011</t>
  </si>
  <si>
    <t>Lin, YP; Anthony, J; Lin, WC; Lien, WY; Petway, JR; Lin, TE</t>
  </si>
  <si>
    <t>Lin, Yu-Pin; Anthony, Johnathen; Lin, Wei-Chih; Lien, Wan-Yu; Petway, Joy R.; Lin, Te-En</t>
  </si>
  <si>
    <t>LANDSCAPE ECOLOGY</t>
  </si>
  <si>
    <t>Spatiotemporal road kill modeling; Hotspot; Species distribution; Uncertainty; Systematic conservation planning</t>
  </si>
  <si>
    <t>SPECIES DISTRIBUTION MODELS; POINT PROCESS MODELS; TRIMERESURUS-STEJNEGERI-STEJNEGERI; WILDLIFE-VEHICLE COLLISIONS; CITIZEN SCIENCE DATA; GREEN TREE VIPERS; REPRODUCTIVE-CYCLE; HABITAT QUALITY; MORTALITY; LANDSCAPE</t>
  </si>
  <si>
    <t>ContextAccurate spatiotemporal modeling of roadkill hotspots is essential for the assessment of high risk roadkill locations. Increasing the spatiotemporal resolution of models may facilitate greater cost-effective solutions for roadkill mitigation strategies.ObjectiveThis study develops a novel spatiotemporal roadkill distribution model to simulate roadkill probability. Moreover, we systematically identify top prioritized road segments by the most frequent roadkill occurrence for multiple focal species.MethodsBased on the theory of the Poisson process, the proposed spatiotemporal roadkill distribution model with seasonal effects is validated with four focal reptilian species. The model simulates spatiotemporal roadkill patterns and addresses uncertainty by referencing ensemble species distribution models. Finally, we systematically prioritize road segments by the most frequent roadkill occurrence for multiple focal species.ResultsThe efficacy of the proposed spatiotemporal roadkill distribution model which is validated in terms of the area under the receiver operating characteristic curve (AUC) and accurate proportions. The AUC values based independent roadkill data tests ranged from 0.73 to 0.84. Both the efficacy of the proposed model, and the increases in uncertainty are attributable to decreasing seasonal sampling size and variation. Based on the independent roadkill data, more than 70% of roadkill events occurred within the top 30% priority segments by our approaches.ConclusionsThe proposed model is successfully applied in simulation of spatiotemporal roadkill probability. The seasonal effects benefit identification of high roadkill probability. Through the systematic identification and the proposed model, our approach provides useful information for the design of cost-effective surveys and appropriate conservation planning and mitigation strategies.</t>
  </si>
  <si>
    <t>[Lin, Yu-Pin; Anthony, Johnathen; Lien, Wan-Yu; Petway, Joy R.] Natl Taiwan Univ, Dept Bioenvironm Syst Engn, 1,Sec 4,Roosevelt Rd, Taipei 10617, Taiwan; [Lin, Wei-Chih] Geog Informat Technol Co, 4F,310,Sec 4,Zhongxiao E Rd, Taipei 10694, Taiwan; [Lin, Te-En] Endem Species Res Inst, 1 Ming Shen East Rd, Chichi Township 552, Nantou County, Taiwan</t>
  </si>
  <si>
    <t>National Taiwan University</t>
  </si>
  <si>
    <t>Lin, YP (corresponding author), Natl Taiwan Univ, Dept Bioenvironm Syst Engn, 1,Sec 4,Roosevelt Rd, Taipei 10617, Taiwan.</t>
  </si>
  <si>
    <t>yplin@ntu.edu.tw; moose_me_dowg@hotmail.com; b97602046@ntu.edu.tw; wanyulien@gmail.com; d05622007@ntu.edu.tw; mmskink@gmail.com</t>
  </si>
  <si>
    <t>Lin, Te-En/GPF-3580-2022</t>
  </si>
  <si>
    <t>Lin, Te-En/0000-0002-0920-4937; Lin, Yu-Pin/0000-0003-1954-334X</t>
  </si>
  <si>
    <t>Ministry of Science and Technology of the Republic of China, Taiwan [103-2119-M-002-012, 104-2119-M-002-026-, NSC 101-2119-M-002-016]; European Commission (EC) under the 7th Framework Programme [308454, 226852]</t>
  </si>
  <si>
    <t>Ministry of Science and Technology of the Republic of China, Taiwan(Ministry of Science and Technology, Taiwan); European Commission (EC) under the 7th Framework Programme</t>
  </si>
  <si>
    <t>The authors would like to thank the Ministry of Science and Technology of the Republic of China, Taiwan, for financially supporting this research under Contract Nos. 103-2119-M-002-012, 104-2119-M-002-026- and NSC 101-2119-M-002-016. The first author leads a National Taiwan University team as an associate partner of the projects EU BON and a partner of the SCALES. The EU BON (Project No. 308454) and SCALES Projects (No. 226852) are funded by the European Commission (EC) under the 7th Framework Programme. The authors would like to acknowledge Profs Tsun-Su Ding and Pei-Fan Lee for their partial data support.</t>
  </si>
  <si>
    <t>0921-2973</t>
  </si>
  <si>
    <t>1572-9761</t>
  </si>
  <si>
    <t>LANDSCAPE ECOL</t>
  </si>
  <si>
    <t>Landsc. Ecol.</t>
  </si>
  <si>
    <t>10.1007/s10980-019-00807-w</t>
  </si>
  <si>
    <t>Ecology; Geography, Physical; Geosciences, Multidisciplinary</t>
  </si>
  <si>
    <t>HX7BL</t>
  </si>
  <si>
    <t>WOS:000467558400002</t>
  </si>
  <si>
    <t>Calvert, AM; Gauthier, G; Reed, A</t>
  </si>
  <si>
    <t>JOURNAL OF WILDLIFE MANAGEMENT</t>
  </si>
  <si>
    <t>Atlantic Flyway; Chen caerulescens atlantica; conservation harvest; greater snow goose; harvest distribution; Quebec; staging distribution; wintering distribution</t>
  </si>
  <si>
    <t>SURVIVAL RATES; NECK BANDS; CANADA GEESE; WINTER; RECOVERY; MOVEMENTS</t>
  </si>
  <si>
    <t>Changes in harvest rate over the past 3 decades have been shown to be closely related to population growth of greater snow geese (GSG; Chen caerulescens atlantica). We used band-recovery and harvest survey data from 1970 to 2001 to study temporal variations in geographic harvest distribution. and composition of GSG in Quebec, Canada and the Atlantic Flyway states (AF) in the United States. We sought to determine whether (1) geographic variation in harvest was associated with temporal trends in total harvest rates observed during this period; (2) spatiotemporal distributions of harvest varied with age and sex; and (3) harvest distribution and composition differed between the spring conservation harvest initiated in 1999 and the regular fall hunt in Quebec. We detected over time a gradual spreading in the geographic distribution of the fall harvest from the upper St. Lawrence estuary toward southwestern Quebec. During winter, a sudden northward shift in the distribution of the United States harvest in the mid-1980s was associated with a high concentration of geese in mid-Atlantic Flyway states (Maryland, Delaware, and New jersey), possibly due to short-stopping during migration. We argue that this led to a reduction of hunting pressure on GSG and may have contributed to the sudden decline in harvest rate that occurred at that time and ultimately to the ensuing population increase. We observed a decreasing proportion of juveniles in the kill throughout the hunting season within fall staging grounds in Quebec and between Quebec and the United States. We also found a much higher proportion of adults in the spring harvest than in the fall that is consistent with the conservation goal of increasing the adult harvest. We recommend that management actions focus on increasing harvest in mid-Atlantic Flyway states if further control of population growth is desired.</t>
  </si>
  <si>
    <t>Univ Laval, Dept Biol, Ste Foy, PQ G1K 7P4, Canada; Univ Laval, Ctr Etud Nordiques, Ste Foy, PQ G1K 7P4, Canada; Canadian Wildlife Serv, Ste Foy, PQ G1V 4H5, Canada</t>
  </si>
  <si>
    <t>Laval University; Laval University; Environment &amp; Climate Change Canada; Canadian Wildlife Service</t>
  </si>
  <si>
    <t>Calvert, AM (corresponding author), Univ Laval, Dept Biol, Ste Foy, PQ G1K 7P4, Canada.</t>
  </si>
  <si>
    <t>gilles.gauthier@bio.ulaval.ca</t>
  </si>
  <si>
    <t>Gilles Gauthier, Gilles/AEK-9959-2022</t>
  </si>
  <si>
    <t>0022-541X</t>
  </si>
  <si>
    <t>1937-2817</t>
  </si>
  <si>
    <t>J WILDLIFE MANAGE</t>
  </si>
  <si>
    <t>J. Wildl. Manage.</t>
  </si>
  <si>
    <t>10.2193/0022-541X(2005)069[0561:SHOGSG]2.0.CO;2</t>
  </si>
  <si>
    <t>955CW</t>
  </si>
  <si>
    <t>WOS:000231203700010</t>
  </si>
  <si>
    <t>Ayram, CAC; Etter, A; Díaz-Timoté, J; Buriticá, SR; Ramírez, W; Corzo, G</t>
  </si>
  <si>
    <t>Correa Ayram, Camilo Andres; Etter, Andres; Diaz-Timote, Julian; Rodriguez Buritica, Susana; Ramirez, Wilson; Corzo, German</t>
  </si>
  <si>
    <t>Human impact; Multi-temporal analysis; Land use intensity; Threatened ecosystems; Colombia</t>
  </si>
  <si>
    <t>HUMAN PRESSURE; CONSERVATION; DEFORESTATION; LAND; HOTSPOTS; PERSPECTIVE; EXPANSION; PATTERNS; DRIVERS; FOREST</t>
  </si>
  <si>
    <t>The maintenance of biodiversity and the capacity of natural systems to provide goods and services for people is affected on different levels by the intensity of human activities on ecosystems. In this study, we apply a Legacy -adjusted Human Footprint Index (LHFI) to evaluate the spatiotemporal variation of anthropic impact in Colombia in 1970, 1990, 2000 and 2015. We identified hotspots of change in LHFI and we evaluated the in-tensity of anthropic pressures in natural regions and ecosystems. We found that LHFI in Colombia increased between 1970 and 2015. The Andean and Caribbean regions presented the highest levels of anthropic impact, remaining stable over time. Hotspots of change were mainly located in the following regions: Andean (Antioquia, Cauca and Valle del Cauca states), Amazon (Amazonas, parts of Meta, Guaviare and Putumayo states) and Orinoco (Casanare and parts of Meta and Vichada states). In addition, ecosystems that under the IUCN ecosystem risk categories are Critically Endangered (CR) and Vulnerable (VU) were the most affected by a high level of human impact. Spatiotemporal evaluation of the human footprint in Colombia provides new in-sights about trends in human pressures on ecosystems and constitutes an analytical tool with high potential for harmonizing land use planning and biodiversity conservation.</t>
  </si>
  <si>
    <t>[Correa Ayram, Camilo Andres; Diaz-Timote, Julian; Rodriguez Buritica, Susana; Ramirez, Wilson; Corzo, German] Inst Invest Recursos Biol Alexander von Humboldt, Programa Evaluac &amp; Monitoreo Biodiversidad, Ave Paseo Bolivar Circunvalar 16-20, Bogota, DC, Colombia; [Etter, Andres] Pontificia Univ Javeriana Bogota, Fac Estudios Ambientales &amp; Rurales, Dept Ecol &amp; Terr, Transversal 4 42-00 Piso 8, Bogota, DC, Colombia</t>
  </si>
  <si>
    <t>Alliance; International Center for Tropical Agriculture - CIAT; Pontificia Universidad Javeriana</t>
  </si>
  <si>
    <t>Ayram, CAC (corresponding author), Inst Invest Recursos Biol Alexander von Humboldt, Programa Evaluac &amp; Monitoreo Biodiversidad, Ave Paseo Bolivar Circunvalar 16-20, Bogota, DC, Colombia.</t>
  </si>
  <si>
    <t>ccorrea@humboldt.org.co</t>
  </si>
  <si>
    <t>Etter, Anes/E-1860-2011; Roiguez-Buritica, Susana/JDD-2153-2023; Correa Ayram, Camilo Andrés/AAS-4624-2020</t>
  </si>
  <si>
    <t>Etter, Anes/0000-0003-0665-9300; Díaz Timoté, Jhonatan Julián/0000-0002-1169-9799; Roiguez-Buritica, Susana/0000-0001-8175-1057; Correa Ayram, Camilo Andrés/0000-0001-8619-0295</t>
  </si>
  <si>
    <t>Ministry of the Environment of Colombia [0130]</t>
  </si>
  <si>
    <t>Ministry of the Environment of Colombia</t>
  </si>
  <si>
    <t>The authors thank the Ministry of the Environment of Colombia for providing financial support to this research (Resolution 0130 of 2018). We recognize the valuable contributions of reviewers who helped improve the manuscript. We also want to thank Julia Premauer for their support in the revision of English version of the manuscript.</t>
  </si>
  <si>
    <t>10.1016/j.ecolind.2020.106630</t>
  </si>
  <si>
    <t>MU3CR</t>
  </si>
  <si>
    <t>WOS:000555551000006</t>
  </si>
  <si>
    <t>Rashid, KJ; Hoque, MA; Esha, TA; Rahman, MA; Paul, A</t>
  </si>
  <si>
    <t>Rashid, Kazi Jihadur; Hoque, Md Atikul; Esha, Tasnia Aysha; Rahman, Md Atiqur; Paul, Alak</t>
  </si>
  <si>
    <t>LST; Random forest classification; Remote sensing; Rohingya influx; Vegetation loss</t>
  </si>
  <si>
    <t>RANDOM FOREST CLASSIFICATION; SPLIT-WINDOW ALGORITHM; TROPICAL DEFORESTATION; COVER; TM; MANAGEMENT; RETRIEVAL; IMPACTS; TREES</t>
  </si>
  <si>
    <t>In August 24, 2017, a massive outbreak took place in the Rakhine state of Myanmar which triggered a huge refugee influx to the Teknaf Peninsula, Bangladesh. To settle the refugees, makeshift camps were built in large numbers destroying huge amount of forest areas near the existing Kutupalong and Nayapara camps. Refugees have been encroaching the nearby forest covers to collect fuelwood and other purposes. These forest destructions have put the wildlife and biodiversity of the system in a substantial pressure as well as altering the land surface temperature (LST). This paper has examined the extent of vegetation change and the changes of LST from 2017 to 2019 throughout Kutupalong and Balukhali camp and adjacent areas using Landsat 8 images. Random forest algorithm and Plank equation were applied on images to identify vegetation change and LST, respectively. The overall and kappa accuracies for the maps of 2017 are 96% and 92%, respectively, while it stands at 94% and 88% for the 2019 image. Results derived from the analysis suggest that an estimated 1876 hectares of forested lands have been decreased in the study area. LST of the study area increased spatially throughout the whole region with a maximum value of 34 degrees C which is significantly higher than the pre-influx period. If this trend of forest-clearing activities continues, the place will become barren land soon and the LST will also increase. All these factors will ultimately trigger the climate change impacts and biodiversity loss of the area.</t>
  </si>
  <si>
    <t>[Rashid, Kazi Jihadur; Hoque, Md Atikul; Esha, Tasnia Aysha; Rahman, Md Atiqur; Paul, Alak] Univ Chittagong, Dept Geog &amp; Environm Studies, Chattogram 4331, Bangladesh</t>
  </si>
  <si>
    <t>University of Chittagong</t>
  </si>
  <si>
    <t>Rahman, MA (corresponding author), Univ Chittagong, Dept Geog &amp; Environm Studies, Chattogram 4331, Bangladesh.</t>
  </si>
  <si>
    <t>mmd.atiqur.rahman@cu.ac.bd</t>
  </si>
  <si>
    <t>Rashid, Kazi Jihadur/MFZ-8323-2025; Rahman, Mohammad Atiqur/AAH-1155-2019; Rahman, Mohammad/AAH-1155-2019</t>
  </si>
  <si>
    <t>Hoque, Atikul/0009-0005-6620-6866; Rashid, Kazi Jihadur/0000-0001-9524-825X; Rahman, Mohammad Atiqur/0000-0002-7198-4399; Paul, Alak/0000-0001-8934-8182;</t>
  </si>
  <si>
    <t>Department of Geography and Environmental Studies, University of Chittagong, Bangladesh</t>
  </si>
  <si>
    <t>The authors are thankful to the Department of Geography and Environmental Studies, University of Chittagong, Bangladesh, for different forms of supports during the study.</t>
  </si>
  <si>
    <t>10.1007/s10668-020-00733-x</t>
  </si>
  <si>
    <t>APR 2020</t>
  </si>
  <si>
    <t>QI6JH</t>
  </si>
  <si>
    <t>WOS:000528316800003</t>
  </si>
  <si>
    <t>Hurley, I; Wringe, BF; den Heyer, CE; Shackell, NL; Lotze, HK</t>
  </si>
  <si>
    <t>Hurley, Isabelle; Wringe, Brendan F.; den Heyer, Cornelia E.; Shackell, Nancy L.; Lotze, Heike K.</t>
  </si>
  <si>
    <t>CONSERVATION SCIENCE AND PRACTICE</t>
  </si>
  <si>
    <t>ecosystem effects; fisheries management; incidental catch; longline fishery; MSC certification; spatial zoning; survey data; threatened species</t>
  </si>
  <si>
    <t>IMPACTS</t>
  </si>
  <si>
    <t>The Atlantic halibut (Hippoglossus hippoglossus) longline fishery is the second most valuable groundfish fishery in Atlantic Canada and received Marine Stewardship Council certification in 2013. The bottom longline fishery accounts for most halibut landings but incidentally catches nontargeted species (bycatch). Since 1998, Fisheries and Oceans Canada and the halibut fishing industry performed annual longline surveys across the Scotian Shelf and Southern Grand Banks stock management area to monitor halibut abundance, and at-sea observers also recorded bycatch information. We examined the species composition and proportion of the survey bycatch and analyzed temporal and spatial trends in standardized weight of (a) halibut catch, (b) total bycatch, and (c) bycatch of species of conservation concern. From 1998 to 2016, 70% of the total catch by weight and 85% by number of individuals were bycatch. Over 100 identified species of finfish, sharks, skates, benthic invertebrates, marine mammals, and seabirds were caught as bycatch in the survey. This included four species listed under the Species at Risk Act (Northern wolffish, Anarhichas denticulatus; spotted wolffish, A. minor; Atlantic wolffish, A. lupus; Atlantic cod, Gadus morhua), and another 14 species awaiting a listing decision based on assessments by the Committee on the Status of Endangered Wildlife in Canada. Generally, the standardized weight of halibut and barndoor skate (Dipturus laevis) increased over time, while Atlantic cod, spiny dogfish (Squalus acanthias), white hake (Urophycis tenuis), and thorny skate (Amblyraja radiata) decreased. Spatial patterns indicated high bycatch levels on the southern Scotian Shelf and southern edge of the Southern Grand Banks, with hotspots for certain species of conservation concern. Our results identify temporal trends in threatened species and areas where they are susceptible to the Atlantic halibut longline fishery which can inform recovery strategies, bycatch levels and spatial zoning in fisheries management and marine conservation.</t>
  </si>
  <si>
    <t>[Hurley, Isabelle; Lotze, Heike K.] Dalhousie Univ, Biol Dept, 1355 Oxford St, Halifax, NS B3H 4J1, Canada; [Wringe, Brendan F.; den Heyer, Cornelia E.; Shackell, Nancy L.] Fisheries &amp; Oceans Canada, Bedford Inst Oceanog, Dartmouth, NS, Canada</t>
  </si>
  <si>
    <t>Dalhousie University; Fisheries &amp; Oceans Canada; Bedford Institute of Oceanography</t>
  </si>
  <si>
    <t>Hurley, I (corresponding author), Dalhousie Univ, Biol Dept, 1355 Oxford St, Halifax, NS B3H 4J1, Canada.</t>
  </si>
  <si>
    <t>irochehurley@gmail.com</t>
  </si>
  <si>
    <t>Shackell, Nancy/AAF-8209-2019</t>
  </si>
  <si>
    <t>Shackell, Nancy/0000-0001-5128-948X; Hurley, Isabelle/0000-0002-4456-5906</t>
  </si>
  <si>
    <t>Natural Sciences and Engineering Research Council of Canada [RGPIN-2014-04491]</t>
  </si>
  <si>
    <t>Natural Sciences and Engineering Research Council of Canada(Natural Sciences and Engineering Research Council of Canada (NSERC)CGIAR)</t>
  </si>
  <si>
    <t>Natural Sciences and Engineering Research Council of Canada, Grant/Award Number: RGPIN-2014-04491</t>
  </si>
  <si>
    <t>2578-4854</t>
  </si>
  <si>
    <t>CONSERV SCI PRACT</t>
  </si>
  <si>
    <t>Conserv. Sci. Pract.</t>
  </si>
  <si>
    <t>e3</t>
  </si>
  <si>
    <t>10.1002/csp2.3</t>
  </si>
  <si>
    <t>NZ2QV</t>
  </si>
  <si>
    <t>WOS:000576942100003</t>
  </si>
  <si>
    <t>Isunju, JB; Kemp, J</t>
  </si>
  <si>
    <t>Isunju, John Bosco; Kemp, Jaco</t>
  </si>
  <si>
    <t>Spatiotemporal analysis of encroachment on wetlands: a case of Nakivubo wetland in Kampala, Uganda</t>
  </si>
  <si>
    <t>Wetlands; Land-cover; Flooding; Pollution; Adaptation; Wise use</t>
  </si>
  <si>
    <t>CLIMATE-CHANGE; GIS; VULNERABILITY; VARIABILITY; MANAGEMENT</t>
  </si>
  <si>
    <t>Wetlands provide vital ecosystem services such as water purification, flood control, and climate moderation among others, which enhance environmental quality, promote public health, and contribute to risk reduction. The biggest threat to wetlands is posed by human activities which transform wetlands, often for short-term consumptive benefits. This paper aimed to classify and map recent land cover and provide a multi-temporal analysis of changes from 2002 to 2014 in the Nakivubo wetland through which wastewater from Kampala city drains to Lake Victoria in Uganda. The paper contributes through spatially congruent change maps showing site-specific land cover conversions. In addition, it gives insight into what happened to the wetlands, why it happened, how the changes in the wetlands affect the communities living in them, and how the situation could be better managed or regulated in future. The analysis is based on very high resolution (50-62 cm) aerial photos and satellite imagery, focus group discussions, and key informant interviews. Overall, the analysis of losses and gains showed a 62 % loss of wetland vegetation between 2002 and 2014, mostly attributable to crop cultivation. Cultivation in the wetland buffering the lake shore makes it unstable to anchor. The 2014 data shows large portions of the wetland calved away by receding lake waves. With barely no wetland vegetation buffer around the lake, the heavily polluted wastewater streams will lower the quality of lake water. Furthermore, with increased human activities in the wetland, exposure to flooding and pollution will be likely to have a greater impact on the health and livelihoods of vulnerable communities. This calls for a multi-faceted approach, coordination of the various stakeholders and engagement of wetland-dependent communities as part of the solution, and might require zoning out the wetland and restricting certain activities to specific zones.</t>
  </si>
  <si>
    <t>[Isunju, John Bosco; Kemp, Jaco] Univ Stellenbosch, Dept Geog &amp; Environm Studies, Private Bag X1 Matieland, ZA-7602 Stellenbosch, South Africa; [Isunju, John Bosco] Makerere Univ, Coll Hlth Sci, Dept Dis Control &amp; Environm Hlth, Sch Publ Hlth, POB 7072, Kampala, Uganda</t>
  </si>
  <si>
    <t>Stellenbosch University; Makerere University</t>
  </si>
  <si>
    <t>Isunju, JB (corresponding author), Makerere Univ, Coll Hlth Sci, Dept Dis Control &amp; Environm Hlth, Sch Publ Hlth, POB 7072, Kampala, Uganda.</t>
  </si>
  <si>
    <t>isunju@musph.ac.ug; jkemp@sun.ac.za</t>
  </si>
  <si>
    <t>; Kemp, Jaco/AAW-5419-2021</t>
  </si>
  <si>
    <t>Isunju, John Bosco/0000-0001-7396-7851; Kemp, Jaco/0000-0002-7954-2093;</t>
  </si>
  <si>
    <t>1573-2959</t>
  </si>
  <si>
    <t>10.1007/s10661-016-5207-5</t>
  </si>
  <si>
    <t>DH4IW</t>
  </si>
  <si>
    <t>WOS:000372750100002</t>
  </si>
  <si>
    <t>Mwendwa, BA; Kaaya, OE; Kilawe, CJ; Treydte, AC</t>
  </si>
  <si>
    <t>Mwendwa, Beatus A.; Kaaya, Omega E.; Kilawe, Charles J.; Treydte, Anna C.</t>
  </si>
  <si>
    <t>FOREST ECOLOGY AND MANAGEMENT</t>
  </si>
  <si>
    <t>Biodiversity hotspot; Invasive tree; Regeneration potential; Remote sensing; Distributional range; Population structure</t>
  </si>
  <si>
    <t>PLANT INVASIONS; POPULATION-STRUCTURE; MOUNTAINS; DIVERSITY; THREAT; ENGL.</t>
  </si>
  <si>
    <t>Globally, invasive plant species cause negative impacts to human livelihoods and natural ecosystems, particularly in biodiversity hotspots. Maesopsis eminii invasion in Amani Nature Forest Reserve, Tanzania, was considered an ecological disaster in the 1980s. After &gt; 50 years have elapsed since the species was first introduced in the reserve, there is yet little information available on its invasion progress. We assessed spatio-temporal invasion dynamics using forest inventory data collected in 1998 and resurveyed 60 (20 m x 50 m) sample plots in 2018. Among resurveyed plots, 30 had been invaded by M. eminii in 1998 and other 30 sample plots as control, which had no M. eminii in the year 1998. We also assessed vegetation cover change over a 20 year period between 1998 and 2018 using Landsat satellite images. Over the last 20 years, 23% of control plots were newly invaded by M. eminii. Tree species richness was 25% lower in invaded versus control plots (U = 1490, z = 2.9, p = 0.04). Large trees (DBH &gt;= 31-50 cm) of Maesopsis eminii were most abundant (62%) in invaded plots whereas small trees (DBH &lt;= 10 cm) were most abundant ( &gt; 50%) in control plots, indicating that the tree species might be prone to self-thinning. Woody species diversity was significantly lower in invaded (1.63 +/- 0.49) vs control plots (1.87 +/- 0.35; t((58)) = - 2.19, p = 0.03). The number of M. eminii individuals ha(-1) was positively associated with higher altitudes ranging above 800 masl (rho = 0.33, P = 0.011) but there was no correlation with distance away from the forest reserve boundary (rho = 0.11, P = 0.394;) nor with distance away from village centers (rho = -0.08, P = 0.502). Change detection analysis indicated about 1,108 ha of non-forest vegetation had regrown into forest over the last 20 years, particularly in the south - western region of the reserve. The region included 4 sample plots newly invaded by M. eminii. We conclude that there is an increase in spatial distribution of M. eminii individuals between the year 1998 and 2018. Furthermore, M. eminii has low regeneration potential in already invaded sites of high invasive density and only slowly invading gaps in uninvaded sites.</t>
  </si>
  <si>
    <t>[Mwendwa, Beatus A.; Treydte, Anna C.] Nelson Mandela African Inst Sci &amp; Technol, Dept Biodivers Conservat &amp; Ecosyst Management, Arusha, Tanzania; [Mwendwa, Beatus A.] Inst Adult Educ, Dar Es Salaam, Tanzania; [Kaaya, Omega E.; Kilawe, Charles J.] Sokoine Univ Agr, Dept Ecosyst &amp; Conservat, Morogoro, Tanzania; [Treydte, Anna C.] Univ Hohenheim, Hans Ruthenberg Inst, Agroecol Trop &amp; Subtrop, Stuttgart, Germany</t>
  </si>
  <si>
    <t>Nelson Mandela African Institution of Science &amp; Technology; Sokoine University of Agriculture; University Hohenheim</t>
  </si>
  <si>
    <t>Mwendwa, BA (corresponding author), Nelson Mandela African Inst Sci &amp; Technol, Dept Biodivers Conservat &amp; Ecosyst Management, Arusha, Tanzania.</t>
  </si>
  <si>
    <t>mwendwab@nm-aist.ac.tz</t>
  </si>
  <si>
    <t>; Kilawe, Charles/N-2677-2019</t>
  </si>
  <si>
    <t>Kilawe, Charles/0000-0002-8885-8065; Treydte, Anna/0000-0003-0605-3069;</t>
  </si>
  <si>
    <t>Institute of Adult Education (IAE); World Bank Centre for Research, Agricultural Advancement, Teaching Excellence and Sustainability (CREATES) project at Nelson Mandela African Institution of Science and Technology, Tanzania</t>
  </si>
  <si>
    <t>This work was supported by the Institute of Adult Education (IAE) and the World Bank Centre for Research, Agricultural Advancement, Teaching Excellence and Sustainability (CREATES) project at Nelson Mandela African Institution of Science and Technology, Tanzania.</t>
  </si>
  <si>
    <t>RADARWEG 29a, 1043 NX AMSTERDAM, NETHERLANDS</t>
  </si>
  <si>
    <t>0378-1127</t>
  </si>
  <si>
    <t>1872-7042</t>
  </si>
  <si>
    <t>FOREST ECOL MANAG</t>
  </si>
  <si>
    <t>For. Ecol. Manage.</t>
  </si>
  <si>
    <t>JUN 1</t>
  </si>
  <si>
    <t>10.1016/j.foreco.2020.118102</t>
  </si>
  <si>
    <t>Forestry</t>
  </si>
  <si>
    <t>LG6ER</t>
  </si>
  <si>
    <t>WOS:000528192200024</t>
  </si>
  <si>
    <t>Mijele, D; Obanda, V; Omondi, P; Soriguer, RC; Gakuya, F; Otiende, M; Hongo, P; Alasaad, S</t>
  </si>
  <si>
    <t>Mijele, Domnic; Obanda, Vincent; Omondi, Patrick; Soriguer, Ramon C.; Gakuya, Francis; Otiende, Moses; Hongo, Peter; Alasaad, Samer</t>
  </si>
  <si>
    <t>AFRICAN ELEPHANTS; RISK; SEGREGATION; PATTERNS</t>
  </si>
  <si>
    <t>Background: Very few studies have ever focused on the elephants that are wounded or killed as local communities attempt to scare these animals away from their settlements and farms, or on the cases in which local people take revenge after elephants have killed or injured humans. On the other hand, local communities live in close proximity to elephants and hence can play a positive role in elephant conservation by informing the authorities of the presence of injured elephants. Methodology/Principal Findings: Between 2007 and 2011, 129 elephants were monitored in Masai Mara (Kenya), of which 54 had various types of active (intentionally caused) or passive (non-intentionally caused) injuries. Also studied were 75 random control samples of apparently unaffected animals. The observed active injuries were as expected biased by age, with adults suffering more harm; on the other hand, no such bias was observed in the case of passive injuries. Bias was also observed in elephant sex since more males than females were passively and actively injured. Cases of passive and active injuries in elephants were negatively related to the proximity to roads and farms; the distribution of injured elephants was not affected by the presence of either human settlements or water sources. Overall more elephants were actively injured during the dry season than the wet season as expected. Local communities play a positive role by informing KWS authorities of the presence of injured elephants and reported 43% of all cases of injured elephants. Conclusions: Our results suggest that the negative effect of local communities on elephants could be predicted by elephant proximity to farms and roads. In addition, local communities may be able to play a more positive role in elephant conservation given that they are key informants in the early detection of injured elephants.</t>
  </si>
  <si>
    <t>[Mijele, Domnic; Obanda, Vincent; Omondi, Patrick; Gakuya, Francis; Otiende, Moses; Hongo, Peter] Kenya Wildlife Serv, Nairobi, Kenya; [Soriguer, Ramon C.; Alasaad, Samer] CSIC, Estn Biol Donana, E-41080 Seville, Spain; [Alasaad, Samer] Univ Zurich, Inst Evolutionary Biol &amp; Environm Studies IEU, Zurich, Switzerland</t>
  </si>
  <si>
    <t>Consejo Superior de Investigaciones Cientificas (CSIC); CSIC - Estacion Biologica de Donana (EBD); University of Zurich</t>
  </si>
  <si>
    <t>Mijele, D (corresponding author), Kenya Wildlife Serv, Nairobi, Kenya.</t>
  </si>
  <si>
    <t>dmijele@kws.go.ke; sameralasaad@hotmail.com</t>
  </si>
  <si>
    <t>; Casimiro-Soriguer, Ramon/ABF-2733-2021</t>
  </si>
  <si>
    <t>Mijele, Domnic/0000-0001-7307-6098; Casimiro-Soriguer, Ramon/0000-0002-9165-7766</t>
  </si>
  <si>
    <t>JUL 30</t>
  </si>
  <si>
    <t>e71179</t>
  </si>
  <si>
    <t>10.1371/journal.pone.0071179</t>
  </si>
  <si>
    <t>201AX</t>
  </si>
  <si>
    <t>WOS:000323114200115</t>
  </si>
  <si>
    <t>Herr, H; Fock, HO; Siebert, U</t>
  </si>
  <si>
    <t>Herr, Helena; Fock, Heino O.; Siebert, Ursula</t>
  </si>
  <si>
    <t>VMS; Sandeel fisheries; Gillnet fisheries; Resource competition; By-catch; North Sea</t>
  </si>
  <si>
    <t>BOTTLE-NOSED DOLPHINS; NORTH-SEA; STOMACH CONTENTS; CETACEANS; MORTALITY; DIET; MANAGEMENT; STARVATION; SOUTHERN; BYCATCH</t>
  </si>
  <si>
    <t>Interactions between cetaceans and fisheries are a major concern of cetacean conservation and fisheries management, as by-catch and resource competition occur as a result. To assess potential interaction between porpoises and fisheries in the German Bight, high-resolution spatial and temporal data were analysed in order to reveal association patterns between cetaceans and fisheries in the German Exclusive Economic Zone (EEZ) of the North Sea. To facilitate interpretation of resulting patterns, additionally, relationships of fish assemblages were analysed. Vessel monitoring system (VMS) data from 2006 and fisheries surveillance data from 2002 to 2006 were acquired to calculate fishing effort, aerial survey data from 2002 to 2006 to evaluate porpoise distribution, and trawl survey data from 2000 to 2007 to assess fish assemblage. Relationships were analysed in terms of seasonal association and overlap. Results showed that porpoise distribution was positively associated with sandeel fisheries in all seasons and with gillnet fisheries in summer. Overlaps for sandeel and gillnet fisheries were high in summer, while negligible in spring and autumn. In spring, high overlap was found for large beam trawlers targeting sole and plaice. In parallel, porpoise distribution was positively linked to fish assemblage components representing sandeel and poor cod in summer and flatfish in spring. Our results suggest that, especially in summer, resource competition between porpoises and industrial sandeel fisheries is likely and the risk of by-catch in gillnets is increased. In spring, interference with sole and plaice fisheries is to be expected. (C) 2009 Elsevier Ltd. All rights reserved.</t>
  </si>
  <si>
    <t>[Herr, Helena; Siebert, Ursula] Univ Kiel, Res &amp; Technol Ctr, D-25761 Buesum, Germany; [Fock, Heino O.] Fed Res Inst Rural Areas Forestry &amp; Fisheries, Inst Sea Fisheries, D-22767 Hamburg, Germany</t>
  </si>
  <si>
    <t>University of Kiel</t>
  </si>
  <si>
    <t>Herr, H (corresponding author), Univ Kiel, Res &amp; Technol Ctr, Hafentoern 1, D-25761 Buesum, Germany.</t>
  </si>
  <si>
    <t>herr@ftz-west.uni-kiel.de; heino.fock@vti.bund.de; ursula.siebert@ftz-west.uni-kiel.de</t>
  </si>
  <si>
    <t>Herr, Helena/JAC-6808-2023</t>
  </si>
  <si>
    <t>Herr, Helena/0000-0002-5028-2419</t>
  </si>
  <si>
    <t>Federal Environmental Ministry [FKZ 0329946B]; Federal Agency for Nature Conservation [FKZ 802 85 260]</t>
  </si>
  <si>
    <t>Federal Environmental Ministry; Federal Agency for Nature Conservation</t>
  </si>
  <si>
    <t>Porpoise data were obtained during project MINOS (Marine warm-blooded animals in the North and Baltic Seas: Foundations for assessment of offshore wind farms, FKZ 0329946B), funded by the Federal Environmental Ministry and Project EMSON (Census of marine mammals and seabirds in the German EEZs of Baltic and North Sea, FKZ 802 85 260) funded by the Federal Agency for Nature Conservation. Special thanks go to Meike Scheidat and Anita Gilles for helpful discussion, and to Rob Williams for proof-reading.</t>
  </si>
  <si>
    <t>10.1016/j.biocon.2009.07.025</t>
  </si>
  <si>
    <t>523UM</t>
  </si>
  <si>
    <t>WOS:000272100100018</t>
  </si>
  <si>
    <t>Yin, L; Dai, EF; Zheng, D; Wang, YH; Ma, L; Tong, M</t>
  </si>
  <si>
    <t>Yin Le; Dai Erfu; Zheng Du; Wang Yahui; Ma Liang; Tong Miao</t>
  </si>
  <si>
    <t>JOURNAL OF GEOGRAPHICAL SCIENCES</t>
  </si>
  <si>
    <t>human influence; human footprint; nature reserves; effectiveness</t>
  </si>
  <si>
    <t>NATIONAL NATURE-RESERVES; CHINA NATURE-RESERVES; NORTHWEST YUNNAN; CONSERVATION; CONSEQUENCES; ECOSYSTEMS; CHALLENGES; ECOTOURISM; DIVERSITY; HABITATS</t>
  </si>
  <si>
    <t>Mapping the human footprint (HF) makes it possible to quantify human influence, which has had an unprecedented impact on the global ecosystem. Using five categories of human pressure data, this study mapped the HF of the Hengduan Mountain region and assessed the effectiveness of nature reserves in reducing human impacts. The results showed that the HF of the Hengduan Mountain region was generally higher in the south and lower in the north. The HF increased by 11.24% over the past 25 years, with faster growth in the southeast. The HF growth rate in nature reserves was much lower than that across the region, which indicated that nature reserves played an important role in reducing the impact of human pressure. A study of Baimaxueshan nature reserve found that establishing nature reserves could effectively reduce the impact of human activities, and no leakage occurred. Population growth was an important reason for the increased HF in nature reserves. The development of ecotourism in nature reserves must be based on ecological protection. Strengthening the long-term monitoring, evaluation, and management of nature reserves is a basic requirement for their long-term development.</t>
  </si>
  <si>
    <t>[Yin Le; Zheng Du] Chinese Acad Sci, Inst Geog Sci &amp; Nat Resources Res, Key Lab Land Surface Pattern &amp; Simulat, Beijing 100101, Peoples R China; [Dai Erfu; Wang Yahui; Ma Liang; Tong Miao] Chinese Acad Sci, Key Lab Ecosyst Network Observat &amp; Modeling, Inst Geog Sci &amp; Nat Resources Res, Lhasa Plateau Ecosyst Res Stn, Beijing 100101, Peoples R China; [Yin Le; Dai Erfu; Zheng Du; Wang Yahui; Ma Liang; Tong Miao] Univ Chinese Acad Sci, Beijing 100049, Peoples R China</t>
  </si>
  <si>
    <t>Chinese Academy of Sciences; Institute of Geographic Sciences &amp; Natural Resources Research, CAS; Chinese Academy of Sciences; Institute of Geographic Sciences &amp; Natural Resources Research, CAS; Chinese Academy of Sciences; University of Chinese Academy of Sciences, CAS</t>
  </si>
  <si>
    <t>Dai, EF (corresponding author), Chinese Acad Sci, Key Lab Ecosyst Network Observat &amp; Modeling, Inst Geog Sci &amp; Nat Resources Res, Lhasa Plateau Ecosyst Res Stn, Beijing 100101, Peoples R China.;Dai, EF (corresponding author), Univ Chinese Acad Sci, Beijing 100049, Peoples R China.</t>
  </si>
  <si>
    <t>yinl.16b@igsnrr.ac.cn; daief@igsnrr.ac.cn</t>
  </si>
  <si>
    <t>Wang, Yahui/JCO-6233-2023; Dai, Erfu/A-1680-2013</t>
  </si>
  <si>
    <t>National Natural Science Foundation of China [41571098, 41530749]; Strategic Priority Research Program of the Chinese Academy of Sciences [XDA19040304]; National Key R&amp;D Program of China [2017YFC1502903, 2018YFC1508805]; Key Programs of the Chinese Academy of Sciences [ZDRW-ZS-2016-6-4-4]</t>
  </si>
  <si>
    <t>National Natural Science Foundation of China(National Natural Science Foundation of China (NSFC)); Strategic Priority Research Program of the Chinese Academy of Sciences(Chinese Academy of Sciences); National Key R&amp;D Program of China; Key Programs of the Chinese Academy of Sciences(Chinese Academy of Sciences)</t>
  </si>
  <si>
    <t>The National Natural Science Foundation of China, No.41571098, No.41530749; Strategic Priority Research Program of the Chinese Academy of Sciences, No.XDA19040304; National Key R&amp;D Program of China, No.2017YFC1502903, No.2018YFC1508805; Key Programs of the Chinese Academy of Sciences, No.ZDRW-ZS-2016-6-4-4</t>
  </si>
  <si>
    <t>SCIENCE PRESS</t>
  </si>
  <si>
    <t>16 DONGHUANGCHENGGEN NORTH ST, BEIJING 100717, PEOPLES R CHINA</t>
  </si>
  <si>
    <t>1009-637X</t>
  </si>
  <si>
    <t>1861-9568</t>
  </si>
  <si>
    <t>J GEOGR SCI</t>
  </si>
  <si>
    <t>J. Geogr. Sci.</t>
  </si>
  <si>
    <t>10.1007/s11442-020-1774-z</t>
  </si>
  <si>
    <t>Geography, Physical</t>
  </si>
  <si>
    <t>Physical Geography</t>
  </si>
  <si>
    <t>NE2SL</t>
  </si>
  <si>
    <t>WOS:000562447500006</t>
  </si>
  <si>
    <t>Tapia-Armijos, MF; Homeier, J; Munt, DD</t>
  </si>
  <si>
    <t>Fernanda Tapia-Armijos, Maria; Homeier, Juergen; Munt, David Draper</t>
  </si>
  <si>
    <t>APPLIED GEOGRAPHY</t>
  </si>
  <si>
    <t>Conservation; Land management; Protected area; Podocarpus national park; Human impact</t>
  </si>
  <si>
    <t>CONSERVATION; AMAZON; DEFORESTATION; BIODIVERSITY; DIVERSITY; AFFLUENCE; THREATS; FOREST</t>
  </si>
  <si>
    <t>Human influence and its impacts are perceptible in all ecosystems resulting in land transformation, changes in global biogeochemistry, climate change, and loss of biological diversity. Mapping the spatial and temporal patterns of human influence is essential to address land use management and conservation programs. In this study, we tailored the Human Footprint index (HF) developed at global level to evaluate the spatial and temporal patterns of human pressure in South Ecuador for 1982, 1990 and 2008. Landscape and ecosystem levels were analyzed to identify the contribution of different human proxies to the HF. We also used the HF to evaluate the effectiveness of protected areas to reduce human pressure in the surrounding landscape. We found that levels of human pressure increased and the wildest areas decreased since 1982. We identified important hotspots of changes in the seasonally dry forests in the western part and the premontane evergreen forest in the eastern part of the study area. Our results show that each human proxy contributes in a different way to the observed values of HF in the studied ecosystems. Finally, we found that Podocarpus NP, the most important protected area in our study region, seems to be partially effective in reducing human pressure inside and in the buffer zones where only a low increase in HF was detected. However, the HF values observed in the surrounding landscape were higher than those observed in the buffer zone and inside the protected area. We demonstrated that HF could be a useful regional evaluation tool to facilitate conservation planning. (C) 2016 Elsevier Ltd. All rights reserved.</t>
  </si>
  <si>
    <t>[Fernanda Tapia-Armijos, Maria; Munt, David Draper] Univ Tecn Particular Loja, Dept Ciencias Biol, Sect Ecol &amp; Sistemat, Loja 1101608, Ecuador; [Fernanda Tapia-Armijos, Maria; Homeier, Juergen] Univ Gottingen, Albrecht Von Haller Inst Plant Sci, Plant Ecol, Untere Karspille 2, D-37073 Gottingen, Germany; [Munt, David Draper] Ctr Ecol Evolucao &amp; Alteracties Ambientais, CE3C Ctr Ecol Evolut &amp; Environm Changes, C2, P-17490016 Campo Grande, Portugal</t>
  </si>
  <si>
    <t>Universidad Tecnica Particular de Loja; University of Gottingen</t>
  </si>
  <si>
    <t>Tapia-Armijos, MF (corresponding author), Univ Tecn Particular Loja, Dept Ciencias Biol, Sect Ecol &amp; Sistemat, Loja 1101608, Ecuador.</t>
  </si>
  <si>
    <t>mftapia@utpl.edu.ec</t>
  </si>
  <si>
    <t>Draper Munt, David/A-6902-2017; Homeier, Jürgen/G-1662-2011; aper Munt, David/A-6902-2017</t>
  </si>
  <si>
    <t>Homeier, Jürgen/0000-0001-5676-3267; aper Munt, David/0000-0001-7807-3574</t>
  </si>
  <si>
    <t>SENESCYT scholarship program; DFG within the research unit FOR 816 [HO 3296/2, HO 3293/3]; Portuguese Foundation for Science and Technology (FCT) [SFRH/BPD/100384/2014]; Fundação para a Ciência e a Tecnologia [SFRH/BPD/100384/2014] Funding Source: FCT</t>
  </si>
  <si>
    <t>SENESCYT scholarship program; DFG within the research unit FOR 816(German Research Foundation (DFG)); Portuguese Foundation for Science and Technology (FCT)(Fundacao para a Ciencia e a Tecnologia (FCT)); Fundação para a Ciência e a Tecnologia</t>
  </si>
  <si>
    <t>We thank C.I. Espinosa for manuscript revision and commentaries and C. Iniguez-Armijos for his comments on figures. This research was financially supported by SENESCYT scholarship program 2010 and the DFG within the research unit FOR 816 (projects HO 3296/2 and HO 3293/3). D. Draper Munt is funded by the Portuguese Foundation for Science and Technology (FCT) by the postdoc grant SFRH/BPD/100384/2014. We thank two anonymous reviewers for their suggestions that improved our manuscript.</t>
  </si>
  <si>
    <t>0143-6228</t>
  </si>
  <si>
    <t>1873-7730</t>
  </si>
  <si>
    <t>APPL GEOGR</t>
  </si>
  <si>
    <t>Appl. Geogr.</t>
  </si>
  <si>
    <t>10.1016/j.apgeog.2016.10.007</t>
  </si>
  <si>
    <t>Geography</t>
  </si>
  <si>
    <t>Social Science Citation Index (SSCI)</t>
  </si>
  <si>
    <t>EJ0JZ</t>
  </si>
  <si>
    <t>WOS:000392895900003</t>
  </si>
  <si>
    <t>Leeney, RH; Amies, R; Broderick, AC; Witt, MJ; Loveridge, J; Doyle, J; Godley, BJ</t>
  </si>
  <si>
    <t>Leeney, Ruth H.; Amies, Rachel; Broderick, Annette C.; Witt, Matthew J.; Loveridge, Jan; Doyle, Joana; Godley, Brendan J.</t>
  </si>
  <si>
    <t>cetacean communities; climate change; conservation; dolphin; porpoise; whale</t>
  </si>
  <si>
    <t>PORPOISES PHOCOENA-PHOCOENA; HARBOR PORPOISE; MARINE-MAMMALS; INCIDENTAL CATCHES; DELPHINUS-DELPHIS; TURTLE STRANDINGS; CLIMATE-CHANGE; BY-CATCH; MORTALITY; WATERS</t>
  </si>
  <si>
    <t>Marine vertebrate strandings data can provide insights into the long-term dynamics of cetacean populations, and the threats they face. We investigate whether the spatio-temporal patterns of cetacean strandings around Cornwall, SW Britain, have changed in the past century. Analysis of strandings from 1911 to 2006 (n = 2,257) show that, since the mid-1970s, the relative frequency of strandings of common dolphins (Delphinus delphis), harbour porpoises (Phocoena phocoena) and pilot whales (Globicephala melas) has increased significantly. Seasonal peaks in strandings frequencies are apparent, between December and March for harbour porpoises and common dolphins, and between November and January for pilot whales. There were significant positive trends in the number of common dolphin and harbour porpoise strandings, as a proportion of total strandings, over time. Strandings of common dolphins, porpoises and all other species occur more frequently on the south coast of Cornwall. A total of 415 cetaceans were subject to full veterinary necropsy to determine cause of death, between 1990 and 2006, and 253 (61%) of these individuals were determined to have died due to bycatch in fishing gear. Analyses of industrialised fishing pressure in UK waters show the seas around Cornwall to be one of the most heavily fished areas of the UK. We suggest a number of factors that could be responsible for the recent increases in cetacean strandings in southwest UK waters in recent years, including survey effort, as well as abundance and range shifts that are potentially linked with climate change. Although detectable levels of bycatch rate have not increased over time, fisheries interactions are in significant part responsible for mortality patterns and are worthy of more detailed investigation.</t>
  </si>
  <si>
    <t>[Leeney, Ruth H.; Amies, Rachel; Broderick, Annette C.; Witt, Matthew J.; Godley, Brendan J.] Univ Exeter, Ctr Ecol &amp; Conservat, Penryn TR10 9EZ, Cornwall, England</t>
  </si>
  <si>
    <t>University of Exeter</t>
  </si>
  <si>
    <t>Godley, BJ (corresponding author), Univ Exeter, Ctr Ecol &amp; Conservat, Cornwall Campus, Penryn TR10 9EZ, Cornwall, England.</t>
  </si>
  <si>
    <t>B.J.Godley@exeter.ac.uk</t>
  </si>
  <si>
    <t>Broderick, Annette/A-4062-2013; Witt, Matthew/V-3318-2018; godley, brendan/A-6139-2009; Leeney, Ruth/AAZ-3076-2021</t>
  </si>
  <si>
    <t>Broderick, Annette/0000-0003-1444-1782; Witt, Matthew/0000-0002-9498-5378; godley, brendan/0000-0003-3845-0034;</t>
  </si>
  <si>
    <t>10.1007/s10531-008-9377-5</t>
  </si>
  <si>
    <t>332LV</t>
  </si>
  <si>
    <t>WOS:000258085400002</t>
  </si>
  <si>
    <t>PLOS ONE Staff</t>
  </si>
  <si>
    <t>MAR 20</t>
  </si>
  <si>
    <t>e0121040</t>
  </si>
  <si>
    <t>10.1371/journal.pone.0121040</t>
  </si>
  <si>
    <t>CE8HY</t>
  </si>
  <si>
    <t>WOS:000352083900098</t>
  </si>
  <si>
    <t>Rodrigues, ASL; Brooks, TM; Butchart, SHM; Chanson, J; Cox, N; Hoffmann, M; Stuart, SN</t>
  </si>
  <si>
    <t>Rodrigues, Ana S. L.; Brooks, Thomas M.; Butchart, Stuart H. M.; Chanson, Janice; Cox, Neil; Hoffmann, Michael; Stuart, Simon N.</t>
  </si>
  <si>
    <t>Spatially Explicit Trends in the Global Conservation Status of Vertebrates</t>
  </si>
  <si>
    <t>RED-LIST INDEX; BREEDING BIRDS; BIODIVERSITY; WORLDS; EXTINCTIONS; ECOREGIONS; ALLOCATION; IMPACT; LAND; MAP</t>
  </si>
  <si>
    <t>The world's governments have committed to preventing the extinction of threatened species and improving their conservation status by 2020. However, biodiversity is not evenly distributed across space, and neither are the drivers of its decline, and so different regions face very different challenges. Here, we quantify the contribution of regions and countries towards recent global trends in vertebrate conservation status (as measured by the Red List Index), to guide action towards the 2020 target. We found that. 50% of the global deterioration in the conservation status of birds, mammals and amphibians is concentrated in,1% of the surface area, 39/1098 ecoregions (4%) and eight/195 countries (4%) - Australia, China, Colombia, Ecuador, Indonesia, Malaysia, Mexico, and the United States. These countries hold a third of global diversity in these vertebrate groups, partially explaining why they concentrate most of the losses. Yet, other megadiverse countries - most notably Brazil (responsible for 10% of species but just 1% of deterioration), plus India and Madagascar - performed better in conserving their share of global vertebrate diversity. Very few countries, mostly island nations (e.g. Cook Islands, Fiji, Mauritius, Seychelles, and Tonga), have achieved net improvements. Per capita wealth does not explain these patterns, with two of the richest countries - United States and Australia - fairing conspicuously poorly. Different countries were affected by different combinations of threats. Reducing global rates of biodiversity loss will require investment in the regions and countries with the highest responsibility for the world's biodiversity, focusing on conserving those species and areas most in peril and on reducing the drivers with the highest impacts.</t>
  </si>
  <si>
    <t>[Rodrigues, Ana S. L.] CNRS, Ctr Ecol Fonct &amp; Evolut, UMR5175, F-34293 Montpellier, France; [Brooks, Thomas M.; Chanson, Janice; Cox, Neil; Hoffmann, Michael; Stuart, Simon N.] IUCN, CH-1196 Gland, Switzerland; [Brooks, Thomas M.] Univ Philippines Los Banos, World Agroforestry Ctr ICRAF, Laguna 4031, Philippines; [Brooks, Thomas M.] Univ Tasmania, Sch Geog &amp; Environm Studies, Hobart, Tas 7001, Australia; [Butchart, Stuart H. M.] BirdLife Int, Cambridge, England; [Cox, Neil; Stuart, Simon N.] Conservat Int, Arlington, VA 22202 USA; [Hoffmann, Michael; Stuart, Simon N.] United Nations, Environm Programme, World Conservat Monitoring Ctr, Cambridge CB3 0DL, England; Univ Bath, Dept Biol &amp; Biochem, Bath BA2 7AY, Avon, England; Al Ain Zoo, Abu Dhabi, U Arab Emirates</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</si>
  <si>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CGIAR; World Agroforestry (ICRAF); University of the Philippines System; University of the Philippines Los Banos; University of Tasmania; BirdLife International; Conservation International; University of Bath</t>
  </si>
  <si>
    <t>Rodrigues, ASL (corresponding author), CNRS, Ctr Ecol Fonct &amp; Evolut, UMR5175, 1919 Route Mende, F-34293 Montpellier, France.</t>
  </si>
  <si>
    <t>ana.rodrigues@cefe.cnrs.fr</t>
  </si>
  <si>
    <t>Hoffmann, Michael/E-6419-2010; Butchart, Stuart/Y-2711-2018; Roigues, Ana/A-5914-2009</t>
  </si>
  <si>
    <t>Hoffmann, Michael/0000-0003-4785-2254; Brooks, Thomas/0000-0001-8159-3116; Butchart, Stuart/0000-0002-1140-4049; Roigues, Ana/0000-0003-4775-0127</t>
  </si>
  <si>
    <t>Gordon and Betty Moore Foundation; Critical Ecosystem Partnership Fund; Conservation International; BirdLife's Founder Patrons; Aage V. Jensen Charity Foundation; French National Research Agency [MORSE: ANR 11 CEPL 006 01]; NatureServe; Division Of Environmental Biology; Direct For Biological Sciences [1136586] Funding Source: National Science Foundation</t>
  </si>
  <si>
    <t>Gordon and Betty Moore Foundation(Gordon &amp; Betty Moore Foundation); Critical Ecosystem Partnership Fund; Conservation International; BirdLife's Founder Patrons; Aage V. Jensen Charity Foundation; French National Research Agency(Agence Nationale de la Recherche (ANR)); NatureServe; Division Of Environmental Biology; Direct For Biological Sciences(National Science Foundation (NSF)NSF - Directorate for Biological Sciences (BIO))</t>
  </si>
  <si>
    <t>This analysis is based on data compiled under the IUCN Red List of Threatened Species for bird, mammals and amphibians, an effort involving thousands of individuals over decades. This compilation was funded by a diversity of donors (full list in reference 7), and in particular by: Gordon and Betty Moore Foundation (http://www.moore.org/); Critical Ecosystem Partnership Fund (http://www.cepf.net); Conservation International (http://www.conservation.org); NatureServe (www.natureserve.org); BirdLife's Founder Patrons (http://www.birdlife.org/worldwide/partnership/major-donors-and-supporters); Aage V. Jensen Charity Foundation (www.avjf.dk). A.S.L.R. was funded by the French National Research Agency (project MORSE: ANR 11 CEPL 006 01). The funders had no role in study design, data collection and analysis, decision to publish, or preparation of the manuscript.</t>
  </si>
  <si>
    <t>e113934</t>
  </si>
  <si>
    <t>10.1371/journal.pone.0113934</t>
  </si>
  <si>
    <t>CA8CZ</t>
  </si>
  <si>
    <t>WOS:000349145400104</t>
  </si>
  <si>
    <t>Deribew, KT</t>
  </si>
  <si>
    <t>Deribew, Kiros Tsegay</t>
  </si>
  <si>
    <t>ECOLOGICAL PROCESSES</t>
  </si>
  <si>
    <t>Agro-pastoralist; Deforestation; Degradation; Overgrazing; Pastoralists</t>
  </si>
  <si>
    <t>LANDCOVER CHANGE; DYNAMICS</t>
  </si>
  <si>
    <t>The main grassland plain of Nech Sar National Park (NSNP) is a federally managed protected area in Ethiopia designated to protect endemic and endangered species. However, like other national parks in Ethiopia, the park has experienced significant land cover change over the past few decades. Indeed, the livelihoods of local populations in such developing countries are entirely dependent upon natural resources and, as a result, both direct and indirect anthropogenic pressures have been placed on natural parks. While previous research has looked at land cover change in the region, these studies have not been spatially explicit and, as a result, knowledge gaps in identifying systematic transitions continue to exist. This study seeks to quantify the spatial extent and land cover change trends in NSNP, identify the strong signal transitions, and identify and quantify the location of determinants of change. To this end, the author classifies panchromatic aerial photographs in 1986, multispectral SPOT imagery in 2005, and Sentinel imagery in 2019. The spatial extent and trends of land cover change analysis between these time periods were conducted. The strong signal transitions were systematically identified and quantified. Then, the basic driving forces of the change were identified. The locations of these transitions were also identified and quantified using the spatially explicit statistical model. The analysis revealed that over the past three decades (1986-2019), nearly 52% of the study area experienced clear landscape change, out of which the net change and swap change attributed to 39% and 13%, respectively. The conversion of woody vegetation to grassland (similar to 5%), subsequently grassland-to-open-overgrazed land (28.26%), and restoration of woody vegetation (0.76%) and grassland (0.72%) from riverine forest and open-overgrazed land, respectively, were found to be the fully systematic transitions whereas the rest transitions were recorded either partly systematic or random transitions. The location of these most systematic land cover transitions identified through the spatially explicit statistical modeling showed drivers due to biophysical conditions, accessibility, and urban/market expansions, coupled with successive government policies for biodiversity management, geo-politics, demographic, and socioeconomic factors. These findings provide important insights into biodiversity loss, land degradation, and ecosystem disruption. Therefore, the model for predicted probability generally suggests a 0.75 km and 0.72 km buffers which are likely to protect forest and grassland from conversion to grassland and open-overgrazed land, respectively.</t>
  </si>
  <si>
    <t>[Deribew, Kiros Tsegay] Jimma Univ, Dept Geog &amp; Environm Studies, POB 378, Jimma, Ethiopia</t>
  </si>
  <si>
    <t>Jimma University</t>
  </si>
  <si>
    <t>Deribew, KT (corresponding author), Jimma Univ, Dept Geog &amp; Environm Studies, POB 378, Jimma, Ethiopia.</t>
  </si>
  <si>
    <t>crosstsegaye@gmail.com</t>
  </si>
  <si>
    <t>Deribew, Kiros Tsegay/AAP-9465-2021</t>
  </si>
  <si>
    <t>Deribew, Kiros Tsegay/0000-0003-2433-8391</t>
  </si>
  <si>
    <t>2192-1709</t>
  </si>
  <si>
    <t>ECOL PROCESS</t>
  </si>
  <si>
    <t>Ecol. Process.</t>
  </si>
  <si>
    <t>DEC 9</t>
  </si>
  <si>
    <t>10.1186/s13717-019-0199-z</t>
  </si>
  <si>
    <t>KU7CL</t>
  </si>
  <si>
    <t>WOS:000519871100001</t>
  </si>
  <si>
    <t>Furlan, E; Torresan, S; Critto, A; Marcomini, A</t>
  </si>
  <si>
    <t>Furlan, Elisa; Torresan, Silvia; Critto, Andrea; Marcomini, Antonio</t>
  </si>
  <si>
    <t>Marine Strategy Framework Directive; Multi-hazard assessment; Endogenic and exogenic pressures; Multi-Criteria Decision Analysis; Adriatic Sea; Geographic information systems</t>
  </si>
  <si>
    <t>CLIMATE-CHANGE; ECOLOGICAL RISK; HUMAN PRESSURES; VULNERABILITY; CONSERVATION; IMPACT; STRESSORS</t>
  </si>
  <si>
    <t>In the last few decades the health of marine ecosystems has been progressively endangered by the anthropogenic presence. Natural and human-made pressures, as well as climate change effects, are posing increasing threats on marine areas, triggering alteration of biological, chemical and physical processes. Planning of marine areas has become a challenge for decision makers involved in the design of sustainable management options. In order to address threats posed by climate drivers in combination with local to regional anthropogenic pressures affecting marine ecosystems and activities, a multi-hazard assessment methodology was developed and applied to the Adriatic Sea for the reference scenario 2000-2015. Through a four-stages process based on the consecutive analysis of hazard, exposure, vulnerability and risk the methodology allows a semi-quantitative evaluation of the relative risk from anthropogenic and natural sources to multiple endpoints, thus supporting the identification and ranking of areas and targets more likely to be at risk. Resulting output showed that the higher relative hazard scores are linked to exogenic pressures (e.g. sea surface temperature variation) while the lower ones resulted from endogenic and more localized stressors (e.g. abrasion, nutrient input). Relatively very high scores were observed for vulnerability over the whole case study for almost all the considered pressures, showing seagrasses meadows, maerl and coral beds as the most susceptible targets. The approach outlined in this study provides planners and decision makers a quick-screening tool to evaluate progress towards attaining a good environmental status and to identify marine areas where management actions and adaptation strategies would be best targeted. Moreover, by focusing on risks induced by land-based drivers, resulting output can support the design of infrastructures for reducing pressures on the sea, contributing to improve the land-sea interface management. (c) 2017 Elsevier B.V. All rights reserved.</t>
  </si>
  <si>
    <t>[Furlan, Elisa; Torresan, Silvia; Critto, Andrea; Marcomini, Antonio] Univ Ca Foscari Venice, Dept Environm Sci Informat &amp; Stat, Via Torino 155, I-30170 Venice, Italy; [Furlan, Elisa; Torresan, Silvia; Critto, Andrea; Marcomini, Antonio] Fdn Ctr Euromediterraneo Cambiamenti Climat Fdn C, Via Augusto Imperatore 16, I-73100 Lecce, Italy</t>
  </si>
  <si>
    <t>Universita Ca Foscari Venezia; Centro Euro-Mediterraneo sui Cambiamenti Climatici (CMCC)</t>
  </si>
  <si>
    <t>Critto, A (corresponding author), Univ Ca Foscari Venice, Dept Environm Sci Informat &amp; Stat, Via Torino 155, I-30170 Venice, Italy.</t>
  </si>
  <si>
    <t>critto@unive.it</t>
  </si>
  <si>
    <t>FURLAN, ELISA/AAA-4247-2021; Marcomini, Antonio/JSL-7114-2023; TORRESAN, Silvia/ACY-7690-2022</t>
  </si>
  <si>
    <t>FURLAN, ELISA/0000-0001-6105-7447; TORRESAN, Silvia/0000-0002-9758-7084</t>
  </si>
  <si>
    <t>PERSEUS project (Policy-oriented marine Environmental Research for the Southern European Seas) within the European Commission 7th Framework Programme - theme Oceans of Tomorrow [287600]; Italian Ministry of Education, University and Research; Italian Ministry of Environment, Land and Sea under the GEMINA project</t>
  </si>
  <si>
    <t>PERSEUS project (Policy-oriented marine Environmental Research for the Southern European Seas) within the European Commission 7th Framework Programme - theme Oceans of Tomorrow; Italian Ministry of Education, University and Research(Ministry of Education, Universities and Research (MIUR)); Italian Ministry of Environment, Land and Sea under the GEMINA project</t>
  </si>
  <si>
    <t>The research leading to these results has been partly funded by the PERSEUS project (Policy-oriented marine Environmental Research for the Southern European Seas, http://www.perseus-net.eu) within the European Commission 7th Framework Programme - theme Oceans of Tomorrow (Grant Agreement No. 287600). Additional funding were provided by the Italian Ministry of Education, University and Research and the Italian Ministry of Environment, Land and Sea under the GEMINA project. The authors gratefully acknowledge their colleagues Dr. Alex Zabeo for his valuable advices and suggestions during methodology's development and the master student Giulia Donadello, of the Ca' Foscari University of Venice (http://www.unive.it/), for the valuable contribution in the GIS data collection and pre-processing.</t>
  </si>
  <si>
    <t>MAR 15</t>
  </si>
  <si>
    <t>10.1016/j.scitotenv.2017.09.076</t>
  </si>
  <si>
    <t>FU8UD</t>
  </si>
  <si>
    <t>WOS:000424130500104</t>
  </si>
  <si>
    <t>Gaisberger, H; Kindt, R; Loo, J; Schmidt, M; Bognounou, F; Da, SS</t>
  </si>
  <si>
    <t>Gaisberger, H.; Kindt, R.; Loo, J.; Schmidt, M.; Bognounou, F.; Da, S. S.</t>
  </si>
  <si>
    <t>Kindt, Roeland/AAV-3346-2020</t>
  </si>
  <si>
    <t>e0190760</t>
  </si>
  <si>
    <t>10.1371/journal.pone.0190760</t>
  </si>
  <si>
    <t>FR5JA</t>
  </si>
  <si>
    <t>WOS:000419101600174</t>
  </si>
  <si>
    <t>Gaisberger, H; Kindt, R; Loo, J; Schmidt, M; Bognounou, F; Da, SS; Diallo, OB; Ganaba, S; Gnoumou, A; Lompo, D; Lykke, AM; Mbayngone, E; Nacoulma, BMI; Ouedraogo, M; Ouedraogo, O; Parkouda, C; Porembski, S; Savadogo, P; Thiombiano, A; Zerbo, G; Vinceti, B</t>
  </si>
  <si>
    <t>Gaisberger, Hannes; Kindt, Roeland; Loo, Judy; Schmidt, Marco; Bognounou, Fidele; Da, Sie Sylvestre; Diallo, Ousmane Boukary; Ganaba, Souleymane; Gnoumou, Assan; Lompo, Djingdia; Lykke, Anne Mette; Mbayngone, Elisee; Nacoulma, Blandine Marie Ivette; Ouedraogo, Moussa; Ouedraogo, Oumarou; Parkouda, Charles; Porembski, Stefan; Savadogo, Patrice; Thiombiano, Adjima; Zerbo, Guibien; Vinceti, Barbara</t>
  </si>
  <si>
    <t>WEST-AFRICA; LAND-USE; CLIMATE; CONSERVATION; BIODIVERSITY; VEGETATION; CONSENSUS; EXAMPLE; IMPACT; FRUITS</t>
  </si>
  <si>
    <t>Over the last decades agroforestry parklands in Burkina Faso have come under increasing demographic as well as climatic pressures, which are threatening indigenous tree species that contribute substantially to income generation and nutrition in rural households. Analyzing the threats as well as the species vulnerability to them is fundamental for priority setting in conservation planning. Guided by literature and local experts we selected 16 important food tree species (Acacia macrostachya, Acacia senegal, Adansonia digitata, Annona senegalensis, Balanites aegyptiaca, Bombax costatum, Boscia senegalensis, Detarium microcarpum, Lannea microcarpa, Parkia biglobosa, Sclerocarya birrea, Strychnos spinosa, Tamarindus indica, Vitellaria paradoxa, Ximenia americana, Ziziphus mauritiana) and six key threats to them (overexploitation, overgrazing, fire, cotton production, mining and climate change). We developed a species-specific and spatially explicit approach combining freely accessible datasets, species distribution models (SDMs), climate models and expert survey results to predict, at fine scale, where these threats are likely to have the greatest impact. We find that all species face serious threats throughout much of their distribution in Burkina Faso and that climate change is predicted to be the most prevalent threat in the long term, whereas overexploitation and cotton production are the most important short-term threats. Tree populations growing in areas designated as 'highly threatened' due to climate change should be used as seed sources for ex situ conservation and planting in areas where future climate is predicting suitable habitats. Assisted regeneration is suggested for populations in areas where suitable habitat under future climate conditions coincides with high threat levels due to short-term threats. In the case of Vitellaria paradoxa, we suggest collecting seed along the northern margins of its distribution and considering assisted regeneration in the central part where the current threat level is high due to overexploitation. In the same way, population-specific recommendations can be derived from the individual and combined threat maps of the other 15 food tree species. The approach can be easily transferred to other countries and can be used to analyze general and species specific threats at finer and more local as well as at broader (continental) scales in order to plan more selective and efficient conservation actions in time. The concept can be applied anywhere as long as appropriate spatial data are available as well as knowledgeable experts.</t>
  </si>
  <si>
    <t>[Gaisberger, Hannes; Loo, Judy; Vinceti, Barbara] Biovers Int, Via Tre Denari 472-A, Rome, Italy; [Kindt, Roeland] World Agroforestry Ctr ICRAF, Nairobi, Kenya; [Schmidt, Marco] Senckenberg Biodivers &amp; Climate Res Ctr, Data &amp; Modelling Ctr, Senckenberganlage 25, Frankfurt, Germany; [Bognounou, Fidele] Univ Quebec, 2600 Blvd Laurier, Ville De Quebec, PQ, Canada; [Da, Sie Sylvestre] West African Sci Serv Ctr Climate Change &amp; Adapte, Blvd Mouammar Kadhafi, Ouagadougou, Burkina Faso; [Diallo, Ousmane Boukary; Ganaba, Souleymane] INERA CNRST, Environm &amp; Agr Res Inst, Ouagadougou, Burkina Faso; [Gnoumou, Assan] Univ Aube Nouvelle, Ouagadougou, Burkina Faso; [Lompo, Djingdia; Ouedraogo, Moussa; Zerbo, Guibien] CNSF, Natl Forest Seed Ctr, Ouagadougou, Burkina Faso; [Lykke, Anne Mette] Aarhus Univ, Vejlsovej 25, Silkeborg, Denmark; [Mbayngone, Elisee] Univ NDjamena, Ave Mobutu, Ndjamena, Chad; [Nacoulma, Blandine Marie Ivette; Ouedraogo, Oumarou; Thiombiano, Adjima] Univ Ouagadougou, Lab Bot &amp; Plant Ecol, Ouagadougou, Burkina Faso; [Parkouda, Charles] DTA, IRSAT CNRST, Dept Food Technol, Ouagadougou, Burkina Faso; [Porembski, Stefan] Univ Rostock, Rostock, Germany; [Savadogo, Patrice] World Agroforestry Ctr, Niamey, Niger; [Savadogo, Patrice] Int Crop Res Inst Semiarid Trop ICRAF ICRISAT, Niamey, Niger</t>
  </si>
  <si>
    <t>Alliance; Bioversity International; CGIAR; World Agroforestry (ICRAF); Senckenberg Biodiversitat &amp; Klima- Forschungszentrum (BiK-F); Leibniz Association; Senckenberg Gesellschaft fur Naturforschung (SGN); University of Quebec; Aarhus University; University of Rostock; CGIAR; International Crops Research Institute for the Semi-Arid-Tropics (ICRISAT)</t>
  </si>
  <si>
    <t>Gaisberger, H (corresponding author), Biovers Int, Via Tre Denari 472-A, Rome, Italy.</t>
  </si>
  <si>
    <t>h.gaisberger@cgiar.org</t>
  </si>
  <si>
    <t>Savadogo, Patrice/AAJ-1116-2020; Nacoulma, Blandine Marie Ivette/AAJ-3125-2020; ZERBO, Guibien/N-2002-2013; PARKOUDA, Charles/LWI-2398-2024; Schmidt, Marco/C-3821-2009; Lykke, Anne Mette/N-7051-2019; Kindt, Roeland/AAV-3346-2020; Gaisberger, Hannes Thomas/EXT-3640-2022; BOGNOUNOU, FIDELE/E-5190-2013</t>
  </si>
  <si>
    <t>Schmidt, Marco/0000-0001-6087-6117; Lykke, Anne Mette/0000-0002-4337-8607; Vinceti, Barbara/0000-0001-8908-2994; , Blandine/0000-0003-0689-0983; Kindt, Roeland/0000-0002-7672-0712; Gaisberger, Hannes Thomas/0000-0002-6023-1236; BOGNOUNOU, FIDELE/0000-0003-2809-6078</t>
  </si>
  <si>
    <t>Austria Development Agency [12610]; CGIAR Research Program on Forests, Trees and Agroforestry; CGIAR Research Program on Forests, Trees and Agroforestry (FTA)</t>
  </si>
  <si>
    <t>Austria Development Agency; CGIAR Research Program on Forests, Trees and Agroforestry(CGIAR); CGIAR Research Program on Forests, Trees and Agroforestry (FTA)(CGIAR)</t>
  </si>
  <si>
    <t>This work was supported by Austria Development Agency, Grant 12610, http://www. entwicklung.at/en/, to BV; and CGIAR Research Program on Forests, Trees and Agroforestry, http://foreststreesagroforestry.org/. The funders had no role in study design, data collection and analysis, decision to publish, or preparation of the manuscript.Finally, we would like to thank all donors who supported this research through their contributions to the CGIAR Research Program on Forests, Trees and Agroforestry (FTA).</t>
  </si>
  <si>
    <t>SEP 7</t>
  </si>
  <si>
    <t>e0184457</t>
  </si>
  <si>
    <t>10.1371/journal.pone.0184457</t>
  </si>
  <si>
    <t>FG0PY</t>
  </si>
  <si>
    <t>Green Submitted, Green Published, gold</t>
  </si>
  <si>
    <t>WOS:000409467200072</t>
  </si>
  <si>
    <t>Braunisch, V; Patthey, P; Arlettaz, RL</t>
  </si>
  <si>
    <t>Braunisch, Veronika; Patthey, Patrick; Arlettaz, Raphae L.</t>
  </si>
  <si>
    <t>Spatially explicit modeling of conflict zones between wildlife and snow sports: prioritizing areas for winter refuges</t>
  </si>
  <si>
    <t>Alpine ecosystems; Black Grouse; human disturbance; human-wildlife conflict; Maxent; maximum entropy model; ski tourism; Tetrao tetrix; wildlife refuge; winter sports</t>
  </si>
  <si>
    <t>CAPERCAILLIE TETRAO-UROGALLUS; SPECIES DISTRIBUTIONS; HUMAN DISTURBANCE; TOOL; RESPONSES; TOURISM</t>
  </si>
  <si>
    <t>Outdoor winter recreation exerts an increasing pressure upon mountain ecosystems, with unpredictable, free-ranging activities (e. g., ski mountaineering, snowboarding, and snowshoeing) representing a major source of stress for wildlife. Mitigating anthropogenic disturbance requires the spatially explicit prediction of the interference between the activities of humans and wildlife. We applied spatial modeling to localize conflict zones between wintering Black Grouse (Tetrao tetrix), a declining species of Alpine timberline ecosystems, and two free-ranging winter sports (off-piste skiing [including snow-boarding] and snowshoeing). Track data (snow-sports and birds' traces) obtained from aerial photographs taken over a 585-km transect running along the timberline, implemented within a maximum entropy model, were used to predict the occurrence of snow sports and Black Grouse as a function of landscape characteristics. By modeling Black Grouse presence in the theoretical absence of free-ranging activities and ski infrastructure, we first estimated the amount of habitat reduction caused by these two factors. The models were then extrapolated to the altitudinal range occupied by Black Grouse, while the spatial extent and intensity of potential conflict were assessed by calculating the probability of human-wildlife co-occurrence. The two snow-sports showed different distribution patterns. Skiers' occurrence was mainly determined by ski-lift presence and a smooth terrain, while snowshoers' occurrence was linked to hiking or skiing routes and moderate slopes. Wintering Black Grouse avoided ski lifts and areas frequented by free-ranging snow sports. According to the models, Black Grouse have faced a substantial reduction of suitable wintering habitat along the timberline transect: 12% due to ski infrastructure and another 16% when adding free-ranging activities. Extrapolating the models over the whole study area results in an overall habitat loss due to ski infrastructure of 10%, while there was a &gt;10% probability of human-wildlife encounters on 67% of the remaining area of suitable wintering habitat. Only 23% of the wintering habitat was thus free of anthropogenic disturbance. By identifying zones of potential conflict, while rating its relative intensity, our model provides a powerful tool to delineate and prioritize areas where wildlife winter refuges and visitor steering measures should be implemented.</t>
  </si>
  <si>
    <t>[Braunisch, Veronika; Patthey, Patrick; Arlettaz, Raphae L.] Univ Bern, Div Conservat Biol, Inst Ecol &amp; Evolut, CH-3012 Bern, Switzerland; [Braunisch, Veronika] Forest Res Inst Baden Wuerttemberg FVA, Div Wildlife Ecol, D-79100 Freiburg, Germany; [Arlettaz, Raphae L.] Swiss Ornithol Inst, Valais Field Stn, Nat Ctr, CH-3970 Salgesch, Switzerland</t>
  </si>
  <si>
    <t>University of Bern; Swiss Ornithological Institute</t>
  </si>
  <si>
    <t>Braunisch, V (corresponding author), Univ Bern, Div Conservat Biol, Inst Ecol &amp; Evolut, Baltzerstr 6, CH-3012 Bern, Switzerland.</t>
  </si>
  <si>
    <t>veronika.braunisch@iee.unibe.ch</t>
  </si>
  <si>
    <t>Braunisch, Veronika/AAH-8260-2020; Arlettaz, Raphaël/O-2182-2016</t>
  </si>
  <si>
    <t>Arlettaz, Raphaël/0000-0001-6360-5339; Braunisch, Veronika/0000-0001-7035-4662</t>
  </si>
  <si>
    <t>Swiss National Science Foundation; Interreg IIIa</t>
  </si>
  <si>
    <t>Swiss National Science Foundation(Swiss National Science Foundation (SNSF)); Interreg IIIa</t>
  </si>
  <si>
    <t>We thank S. Mettaz for assistance with the fieldwork, A. Ioset for data preparation, and P. Vogeli from the Swiss Alpine Club for providing the ski route information. We are grateful to Pierre-Alain Oggier, Maja Baltic, and Rebekka Schranz who provided data on Black Grouse wintering locations for model validation. This study was funded by grants of the Swiss National Science Foundation and Interreg IIIa to R. Arlettaz.</t>
  </si>
  <si>
    <t>10.1890/09-2167.1</t>
  </si>
  <si>
    <t>764VA</t>
  </si>
  <si>
    <t>WOS:000290661300026</t>
  </si>
  <si>
    <t>Di Fulvio, F; Forsell, N; Korosuo, A; Obersteiner, M; Hellweg, S</t>
  </si>
  <si>
    <t>Di Fulvio, Fulvio; Forsell, Nicklas; Korosuo, Anu; Obersteiner, Michael; Hellweg, Stefanie</t>
  </si>
  <si>
    <t>Biodiversity damage; Bioenergy; Land use; Perennial energy crops; Forestry; EU footprint; Trade</t>
  </si>
  <si>
    <t>LAND-USE IMPACTS; ECOSYSTEM SERVICES; CLIMATE-CHANGE; LIFE</t>
  </si>
  <si>
    <t>In this study, the potential global loss of species directly associated with land use in the EU and due to trade with other regions is computed over time, in order to reveal differences in impacts between the considered alternatives of plausible bioenergy policies development in the EU. The spatially explicit study combines a life cycle analysis (LCA) for biodiversity impact assessment with a global high resolution economic land use model. Both impacts of domestic land use and impacts through imports were included for estimating the biodiversity footprint of the member states of the (EU28). The analyzed scenarios assumed similar biomass demand until 2020 but differed thereafter, from keeping the growth of demand for bioenergy constant (CONST), to a strong increase of bioenergy in line with the EU target of decreasing greenhouse gas (GHG) emissions by 80% by 2050 (EMIRED) and with the baseline (BASE) scenario falling between the other two. As a general trend, the increasing demand for biomass was found to have substantial impact on biodiversity in all scenarios, while the differences between the scenarios were found to be modest. The share caused by imports was 15% of the overall biodiversity impacts detected in this study in the year 2000, and progressively increased to 24% to 26% in 2050, depending on the scenario. The most prominent future change in domestic land use in all scenarios was the expansion of perennial cultivations for energy. In the EMIRED scenario, there is a larger expansion of perennial cultivations and a smaller expansion of cropland in the EU than in the other two scenarios. As the biodiversity damage is smaller for land used for perennial cultivations than for cropland, this development decreases the internal biodiversity damage per unit of land. At the same time, however, the EMIRED scenario also features the largest outsourcing of damage, due to increased import of cropland products from outside the EU for satisfying the EU food demand. These two opposite effects even out each other, resulting in the total biodiversity damage for the EMIRED scenario being only slightly higher than the other two scenarios. The results of this study indicate that increasing cultivation of perennials for bioenergy and the consequent decrease in the availability of cropland for food production in the EU may lead to outsourcing of agricultural products supply to other regions. This development is associated with a leakage of biodiversity damages to species-rich and vulnerable regions outside the EU. In the case of a future increase in bioenergy demand, the combination of biomass supply from sustainable forest management in the EU, combined with imported wood pellets and cultivation of perennial energy crops, appears to be less detrimental to biodiversity than expansion of energy crops in the EU. (C) 2018 Elsevier B.V. All rights reserved.</t>
  </si>
  <si>
    <t>[Di Fulvio, Fulvio; Forsell, Nicklas; Korosuo, Anu; Obersteiner, Michael] IIASA, Ecosyst Serv &amp; Management Program ESM, Laxenburg, Austria; [Hellweg, Stefanie] ETH, Inst Environm Engn IfU, Ecol Syst Design, Zurich, Switzerland</t>
  </si>
  <si>
    <t>International Institute for Applied Systems Analysis (IIASA); Swiss Federal Institutes of Technology Domain; ETH Zurich</t>
  </si>
  <si>
    <t>Di Fulvio, F (corresponding author), IIASA, Ecosyst Serv &amp; Management Program ESM, Laxenburg, Austria.</t>
  </si>
  <si>
    <t>difulvi@iiasa.ac.at</t>
  </si>
  <si>
    <t>; Hellweg, Stefanie/AAA-7756-2019; Forsell, Nicklas/MZR-5564-2025; Obersteiner, Michael/ADG-8592-2022</t>
  </si>
  <si>
    <t>Di Fulvio, Fulvio/0000-0002-7317-6360; Hellweg, Stefanie/0000-0001-6376-9878; Forsell, Nicklas/0000-0002-4984-3231;</t>
  </si>
  <si>
    <t>European Research Council Synergy Grant [610028]; European Union's Horizon 2020 research and innovation programme under ALTERFOR project (Alternative models and robust decision-making for future forest management) [676754]</t>
  </si>
  <si>
    <t>European Research Council Synergy Grant(European Research Council (ERC)); European Union's Horizon 2020 research and innovation programme under ALTERFOR project (Alternative models and robust decision-making for future forest management)</t>
  </si>
  <si>
    <t>The Imbalance P project is acknowledged for financial support under the European Research Council Synergy Grant 610028.This project has received funding from the European Union's Horizon 2020 research and innovation programme under ALTERFOR project (Alternative models and robust decision-making for future forest management), Grant Agreement No. 676754.</t>
  </si>
  <si>
    <t>FEB 15</t>
  </si>
  <si>
    <t>10.1016/j.scitotenv.2018.08.419</t>
  </si>
  <si>
    <t>GX7AF</t>
  </si>
  <si>
    <t>WOS:000447915400146</t>
  </si>
  <si>
    <t>Awkerman, JA; Hemmer, B; Almario, A; Lilavois, C; Barron, MG; Raimondo, S</t>
  </si>
  <si>
    <t>Awkerman, Jill A.; Hemmer, Becky; Almario, Alex; Lilavois, Crystal; Barron, Mace G.; Raimondo, Sandy</t>
  </si>
  <si>
    <t>Spatially explicit assessment of estuarine fish after Deepwater Horizon oil spill: trade-off in complexity and parsimony</t>
  </si>
  <si>
    <t>sheepshead minnow; Louisiana; Barataria Bay; population model; PAH; Deepwater Horizon; Cyprinodon variegatus</t>
  </si>
  <si>
    <t>MINNOW CYPRINODON-VARIEGATUS; SHEEPSHEAD MINNOW; MULTIGENERATIONAL EXPOSURE; WILDLIFE POPULATIONS; MULTIPLE STRESSORS; R-PACKAGE; LOUISIANA; RESPONSES; TOXICITY; MODELS</t>
  </si>
  <si>
    <t>Evaluating long-term contaminant effects on wildlife populations depends on spatial information about habitat quality, heterogeneity in contaminant exposure, and sensitivities and distributions of species integrated into a systems modeling approach. Rarely is this information readily available, making it difficult to determine the applicability of realistic models to quantify population-level risks. To evaluate the trade-offs between data demands and increased specificity of spatially explicit models for population-level risk assessments, we developed a model for a standard toxicity test species, the sheepshead minnow (Cyprinodon variegatus), exposed to oil contamination following the Deepwater Horizon oil spill and compared the output with various levels of model complexity to a standard risk quotient approach. The model uses habitat and fish occupancy data collected over five sampling periods throughout 2008-2010 in Pensacola and Choctawhatchee Bays, Florida, USA, to predict species distribution, field-collected and publically available data on oil distribution and concentration, and chronic toxicity data from laboratory assays applied to a matrix population model. The habitat suitability model established distribution of fish within Barataria Bay, Louisiana, USA, and the population model projected the dynamics of the species in the study area over a 5-yr period (October 2009-September 2014). Vital rates were modified according to estimated contaminant concentrations to simulate oil exposure effects. To evaluate the differences in levels of model complexity, simulations varied from temporally and spatially explicit, including seasonal variation and location-specific oiling, to simple interpretations of a risk quotient derived for the study area. The results of this study indicate that species distribution, as well as spatially and temporally variable contaminant concentrations, can provide a more ecologically relevant evaluation of species recovery from catastrophic environmental impacts but might not be cost-effective or efficient for rapid assessment needs.</t>
  </si>
  <si>
    <t>[Awkerman, Jill A.; Hemmer, Becky; Almario, Alex; Lilavois, Crystal; Barron, Mace G.; Raimondo, Sandy] US EPA, Gulf Ecol Div, 1 Sabine Isl Dr, Gulf Breeze, FL 32561 USA</t>
  </si>
  <si>
    <t>United States Environmental Protection Agency</t>
  </si>
  <si>
    <t>Awkerman, JA (corresponding author), US EPA, Gulf Ecol Div, 1 Sabine Isl Dr, Gulf Breeze, FL 32561 USA.</t>
  </si>
  <si>
    <t>Awkerman.Jill@epa.gov</t>
  </si>
  <si>
    <t>10.1890/15-1410.1</t>
  </si>
  <si>
    <t>DW0UJ</t>
  </si>
  <si>
    <t>WOS:000383358000009</t>
  </si>
  <si>
    <t>Vangansbeke, P; Blondeel, H; Landuyt, D; De Frenne, P; Gorissen, L; Verheyen, K</t>
  </si>
  <si>
    <t>Vangansbeke, P.; Blondeel, H.; Landuyt, D.; De Frenne, P.; Gorissen, L.; Verheyen, K.</t>
  </si>
  <si>
    <t>Ecosystem services; Forest management planning; Pine plantations; Heathland; Metapopulation dynamics</t>
  </si>
  <si>
    <t>PINE PLANTATION FORESTS; CAPRIMULGUS-EUROPAEUS; ECOSYSTEM SERVICES; HUMAN DISTURBANCE; BIRD COMMUNITIES; MODEL SELECTION; TRADE-OFFS; LAND-USE; MANAGEMENT; LANDSCAPE</t>
  </si>
  <si>
    <t>Pine plantations established on former heathland are common throughout Western Europe and North America. Such areas can continue to support high biodiversity values of the former heathlands in the more open areas, while simultaneously delivering ecosystem services such as wood production and recreation in the forested areas. Spatially optimizing wood harvest and recreation without threatening the biodiversity values, however, is challenging. Demand for woody biomass is increasing but other pressures on biodiversity including climate change, habitat fragmentation and air pollution are intensifying too. Strategies to spatially optimize different ecosystem services with biodiversity conservation are still underexplored in the research literature. Here we explore optimization scenarios for advancing ecosystem stewardship in a pine plantation in Belgium. Point observations of seven key indicator species were used to estimate habitat suitability using generalized linear models. Based on the habitat suitability and species' characteristics, the spatially-explicit conservation value of different forested and open patches was determined with the help of a spatially-explicit conservation planning tool. Recreational pressure was quantified by interviewing forest managers and with automated trail counters. The impact of wood production and recreation on the conservation of the indicator species was evaluated. We found trade-offs between biodiversity conservation and both wood production and recreation, but were able to present a final scenario that combines biodiversity conservation with a restricted impact on both services. This case study illustrates that innovative forest management planning can achieve better integration of the delivery of different forest ecosystem services such as wood production and recreation with biodiversity conservation.</t>
  </si>
  <si>
    <t>[Vangansbeke, P.; Blondeel, H.; De Frenne, P.; Verheyen, K.] Univ Ghent, Forest &amp; Nat Lab, Geraardsbergsesteenweg 267, B-9090 Melle Gontrode, Belgium; [Vangansbeke, P.; Gorissen, L.] Flemish Inst Technol Res VITO, Unit Smart Energy &amp; Built Environm, Boeretang 200, B-2400 Mol, Belgium; [Landuyt, D.] Univ Ghent, Lab Environm Toxicol &amp; Aquat Ecol, Jozef Plateaustr 22, B-9000 Ghent, Belgium; [Landuyt, D.] Flemish Inst Technol Res VITO, Unit Environm Modelling, Boeretang 200, B-2400 Mol, Belgium</t>
  </si>
  <si>
    <t>Ghent University; VITO; Ghent University; VITO</t>
  </si>
  <si>
    <t>Vangansbeke, P (corresponding author), Univ Ghent, Forest &amp; Nat Lab, Geraardsbergsesteenweg 267, B-9090 Melle Gontrode, Belgium.;Vangansbeke, P (corresponding author), Flemish Inst Technol Res VITO, Unit Smart Energy &amp; Built Environm, Boeretang 200, B-2400 Mol, Belgium.</t>
  </si>
  <si>
    <t>Pieter.Vangansbeke@UGent.Be</t>
  </si>
  <si>
    <t>Landuyt, Dries/E-6226-2013; De Frenne, Pieter/N-4969-2014; Vangansbeke, Pieter/AAP-6762-2021; Blondeel, Haben/ABA-8040-2021</t>
  </si>
  <si>
    <t>De Frenne, Pieter/0000-0002-8613-0943; Vangansbeke, Pieter/0000-0002-6356-2858; Blondeel, Haben/0000-0001-9939-5994; Landuyt, ies/0000-0001-8107-5546; Verheyen, Kris/0000-0002-2067-9108</t>
  </si>
  <si>
    <t>Research Foundation-Flanders (FWO); Flemish Institute for Technological Research (VITO)</t>
  </si>
  <si>
    <t>Research Foundation-Flanders (FWO)(FWO); Flemish Institute for Technological Research (VITO)</t>
  </si>
  <si>
    <t>We are very grateful to all people that have helped with the data collection: Lien Poelmans (butterflies); Ruben Evens, Eddy Ulenaers and volunteers (nightjars); Johan Agten, Eddy Ulenaers and Dries Gorissen (recreation). We also want to thank the biodiversity platform of Bosland for input on the indicator species and Lander Baeten, Leen Depauw, Renato Toledo, Sanne Van Den Berge and Laura Van Vooren on the data analyses. This paper was written while PDF held a postdoctoral fellowship from the Research Foundation-Flanders (FWO). PVG performed this research in the framework of a PhD, funded by the Flemish Institute for Technological Research (VITO). We are very grateful to E. Brockerhoff, H. Jactel and two anonymous reviewers for their comments and corrections on the previous version of the manuscript.</t>
  </si>
  <si>
    <t>10.1007/s10531-016-1135-5</t>
  </si>
  <si>
    <t>FM7SP</t>
  </si>
  <si>
    <t>WOS:000415281200010</t>
  </si>
  <si>
    <t>Abade, L; Cusack, J; Moll, RJ; Strampelli, P; Dickman, AJ; Macdonald, DW; Montgomery, RA</t>
  </si>
  <si>
    <t>Abade, Leandro; Cusack, Jeremy; Moll, Remington J.; Strampelli, Paolo; Dickman, Amy J.; Macdonald, David W.; Montgomery, Robert A.</t>
  </si>
  <si>
    <t>CARNIVORE CONSERVATION; PROTECTED AREAS; SPACE USE; HABITAT; PREY; MANAGEMENT; CONFLICT; POPULATIONS; LIVESTOCK; SURVIVAL</t>
  </si>
  <si>
    <t>Understanding large carnivore occurrence patterns in anthropogenic landscapes adjacent to protected areas is central to developing actions for species conservation in an increasingly human-dominated world. Among large carnivores, leopards (Panthera pardus) are the most widely distributed felid. Leopards occupying anthropogenic landscapes frequently come into conflict with humans, which often results in leopard mortality. Leopards' use of anthropogenic landscapes, and their frequent involvement with conflict, make them an insightful species for understanding the determinants of carnivore occurrence across human-dominated habitats. We evaluated the spatial variation in leopard site use across a multiple-use landscape in Tanzania's Ruaha landscape. Our study region encompassed i) Ruaha National Park, where human activities were restricted and sport hunting was prohibited; ii) the Pawaga-Idodi Wildlife Management Area, where wildlife sport hunting, wildlife poaching, and illegal pastoralism all occurred at relatively low levels; and iii) surrounding village lands where carnivores and other wildlife were frequently exposed to human-carnivore conflict related-killings and agricultural habitat conversion and development. We investigated leopard occurrence across the study region via an extensive camera trapping network. We estimated site use as a function of environmental (i.e. habitat and anthropogenic) variables using occupancy models within a Bayesian framework. We observed a steady decline in leopard site use with downgrading protected area status from the national park to the Wildlife Management Area and village lands. Our findings suggest that human-related activities such as increased livestock presence and proximity to human households exerted stronger influence than prey availability on leopard site use, and were the major limiting factors of leopard distribution across the gradient of human pressure, especially in the village lands outside Ruaha National Park. Overall, our study provides valuable information about the determinants of spatial distribution of leopards in human-dominated landscapes that can help inform conservation strategies in the borderlands adjacent to protected areas.</t>
  </si>
  <si>
    <t>[Abade, Leandro; Strampelli, Paolo; Dickman, Amy J.; Macdonald, David W.; Montgomery, Robert A.] Recanati Kaplan Ctr, Wildlife Conservat Res Unit, Dept Zool, Abingdon, Oxon, England; [Abade, Leandro; Moll, Remington J.; Montgomery, Robert A.] Michigan State Univ, Res Ecol Carnivores &amp; Their Prey Lab, Dept Fisheries &amp; Wildlife, E Lansing, MI 48824 USA; [Cusack, Jeremy] Univ Stirling, Stirling, Scotland</t>
  </si>
  <si>
    <t>Michigan State University; University of Stirling</t>
  </si>
  <si>
    <t>Abade, L (corresponding author), Recanati Kaplan Ctr, Wildlife Conservat Res Unit, Dept Zool, Abingdon, Oxon, England.;Abade, L (corresponding author), Michigan State Univ, Res Ecol Carnivores &amp; Their Prey Lab, Dept Fisheries &amp; Wildlife, E Lansing, MI 48824 USA.</t>
  </si>
  <si>
    <t>leandrosabade@gmail.com</t>
  </si>
  <si>
    <t>Montgomery, Robert A/C-5541-2019</t>
  </si>
  <si>
    <t>Montgomery, Robert A/0000-0001-5894-0589; Abade, Leano/0000-0002-4681-9412</t>
  </si>
  <si>
    <t>CNPq-Brasil [215981/2013-8]; Rufford Foundation; Cleveland Metroparks Zoo/ Cleveland Zoological Society; IdeaWild; Lady Margaret Hall; WildCRU; Ruaha Carnivore Project; UK Natural Environment Research Council; National Science Foundation</t>
  </si>
  <si>
    <t>CNPq-Brasil(Conselho Nacional de Desenvolvimento Cientifico e Tecnologico (CNPQ)); Rufford Foundation; Cleveland Metroparks Zoo/ Cleveland Zoological Society; IdeaWild; Lady Margaret Hall; WildCRU; Ruaha Carnivore Project; UK Natural Environment Research Council(UK Research &amp; Innovation (UKRI)Natural Environment Research Council (NERC)); National Science Foundation(National Science Foundation (NSF))</t>
  </si>
  <si>
    <t>L.A. was supported by a CNPq-Brasil scholarship (215981/2013-8), and grants by the Rufford Foundation (Rufford Small Grants), Cleveland Metroparks Zoo/ Cleveland Zoological Society, IdeaWild, Lady Margaret Hall, WildCRU, and Ruaha Carnivore Project. J.C. was supported by the UK Natural Environment Research Council, R.J.M. was supported by an National Science Foundation Graduate Research Fellowship. The funders had no role in study design, data collection and analysis, decision to publish, or preparation of the manuscript.</t>
  </si>
  <si>
    <t>OCT 10</t>
  </si>
  <si>
    <t>e0204370</t>
  </si>
  <si>
    <t>10.1371/journal.pone.0204370</t>
  </si>
  <si>
    <t>GW4VA</t>
  </si>
  <si>
    <t>WOS:000446921100046</t>
  </si>
  <si>
    <t>Snyder, BA; Callaham, MA; Hendrix, PF</t>
  </si>
  <si>
    <t>Snyder, Bruce A.; Callaham, Mac A., Jr.; Hendrix, Paul F.</t>
  </si>
  <si>
    <t>Earthworm; Amynthas; Invasive species; Millipede; Soil aggregation</t>
  </si>
  <si>
    <t>MICROBIAL BIOMASS; ORGANIC-MATTER; FOREST; RESISTANCE</t>
  </si>
  <si>
    <t>European and Asian earthworm invasions are widespread in North America. European earthworms especially are well-known to cause dramatic changes in ecosystems in northern, formerly glaciated portions of the continent, but less is known about the impacts of earthworm invasions in unglaciated areas inhabited by indigenous earthworms. We monitored fluctuations in the spatial extent of an Amynthas agrestis (Megascolecidae) population in the Great Smoky Mountains National Park in eastern Tennessee, USA. Two years of monthly growing-season observations revealed that the distribution of the earthworm population was dynamic, but overall distribution was closely linked to temperature and moisture with dramatic reductions of earthworm numbers associated with very dry conditions. In plots where A. agrestis were more often detected, we measured increased A-horizon soil aggregation and decreased thickness of the Oe/Oa-horizon. However, A. agrestis was not related to A-horizon microbial biomass, A-horizon C:N, Oi-horizon (litter) thickness, or mass of forest floor (O-horizon). Reductions in millipede species richness and density were associated with frequency of A. agrestis presence, possibly due to direct competition for food resources (Oe/Oa material). This evidence for potentially negative interactions between millipedes and A. agrestis suggests that expansion of the non-native earthworm into new habitats in the Park may alter soil physical properties and could pose a threat to native millipede diversity.</t>
  </si>
  <si>
    <t>[Snyder, Bruce A.; Hendrix, Paul F.] Univ Georgia, Odum Sch Ecol, Athens, GA 30602 USA; [Snyder, Bruce A.] Kansas State Univ, Div Biol, Manhattan, KS 66506 USA; [Callaham, Mac A., Jr.] US Forest Serv, Ctr Forest Disturbance Sci, So Res Stn, USDA, Athens, GA 30602 USA; [Hendrix, Paul F.] Univ Georgia, Dept Crop &amp; Soil Sci, Athens, GA 30602 USA</t>
  </si>
  <si>
    <t>University System of Georgia; University of Georgia; Kansas State University; United States Department of Agriculture (USDA); United States Forest Service; University System of Georgia; University of Georgia</t>
  </si>
  <si>
    <t>Snyder, BA (corresponding author), Univ Georgia, Odum Sch Ecol, Athens, GA 30602 USA.</t>
  </si>
  <si>
    <t>bruceasnyder@gmail.com</t>
  </si>
  <si>
    <t>Callaham, Mac/0000-0001-7915-427X; Snyder, Bruce A/0000-0003-4116-4362</t>
  </si>
  <si>
    <t>National Science Foundation [0236276]; Direct For Biological Sciences; Division Of Environmental Biology [0236276] Funding Source: National Science Foundation</t>
  </si>
  <si>
    <t>National Science Foundation(National Science Foundation (NSF)); Direct For Biological Sciences; Division Of Environmental Biology(National Science Foundation (NSF)NSF - Directorate for Biological Sciences (BIO))</t>
  </si>
  <si>
    <t>Amynthas invasions in GSMNP were first reported to us by K. Langdon and B. Nichols (National Park Service Inventory &amp; Monitoring) to whom we are grateful for logistical and intellectual support throughout this study. We also acknowledge: NPS volunteer B. Lochbaum for GPS location of our plot arrays; C. Lawson (Western Carolina University, WCU) for surveying plot elevations; J. Craft and S. Ferrell (WCU) for vegetation surveys; T. Maddox and the Odum School of Ecology Analytical Lab for chemical analysis; and the staff of the Great Smoky Mountains National Park and Great Smoky Mountains Institute at Tremont for their enthusiastic assistance. J. Blackmon, W. Duncan, K. Jacobsen, and two anonymous reviewers provided helpful comments on the manuscript. Field collecting would not have been possible without the help of many, many field assistants, who could not all be named here. This research was permitted under study number GRSM-00337 and supported by National Science Foundation grant number 0236276 to the University of Georgia Research Foundation, Inc.</t>
  </si>
  <si>
    <t>10.1007/s10530-010-9826-4</t>
  </si>
  <si>
    <t>703RJ</t>
  </si>
  <si>
    <t>WOS:000285998700010</t>
  </si>
  <si>
    <t>Scolozzi, R; Geneletti, D</t>
  </si>
  <si>
    <t>Scolozzi, Rocco; Geneletti, Davide</t>
  </si>
  <si>
    <t>Spatial Rule-Based Assessment of Habitat Potential to Predict Impact of Land Use Changes on Biodiversity at Municipal Scale</t>
  </si>
  <si>
    <t>ENVIRONMENTAL MANAGEMENT</t>
  </si>
  <si>
    <t>Habitat suitability; Urban planning; Alpine valley; Land-use change; Ecological impact assessment; GIS</t>
  </si>
  <si>
    <t>NUTHATCH SITTA-EUROPAEA; ERINACEUS-EUROPAEUS; SUITABILITY MODELS; LANIUS-COLLURIO; ABUNDANCE; PATTERNS; ECOLOGY; LANDSCAPES; INTENSITY; DISPERSAL</t>
  </si>
  <si>
    <t>In human dominated landscapes, ecosystems are under increasing pressures caused by urbanization and infrastructure development. In Alpine valleys remnant natural areas are increasingly affected by habitat fragmentation and loss. In these contexts, there is a growing risk of local extinction for wildlife populations; hence assessing the consequences on biodiversity of proposed land use changes is extremely important. The article presents a methodology to assess the impacts of land use changes on target species at a local scale. The approach relies on the application of ecological profiles of target species for habitat potential (HP) assessment, using high resolution GIS-data within a multiple level framework. The HP, in this framework, is based on a species-specific assessment of the suitability of a site, as well of surrounding areas. This assessment is performed through spatial rules, structured as sets of queries on landscape objects. We show that by considering spatial dependencies in habitat assessment it is possible to perform better quantification of impacts of local-level land use changes on habitats.</t>
  </si>
  <si>
    <t>[Scolozzi, Rocco] Fdn Edmund Mach, Dept Agroecosyst Sustainabil &amp; Bioresources, IASMA Res &amp; Innovat Ctr, I-38060 Trento, Italy; [Geneletti, Davide] Univ Trento, Dept Civil &amp; Environm Engn, Trento, Italy; [Geneletti, Davide] Harvard Univ, Ctr Int Dev, Cambridge, MA 02138 USA</t>
  </si>
  <si>
    <t>Fondazione Edmund Mach; University of Trento; Harvard University</t>
  </si>
  <si>
    <t>Scolozzi, R (corresponding author), Fdn Edmund Mach, Dept Agroecosyst Sustainabil &amp; Bioresources, IASMA Res &amp; Innovat Ctr, Via E Mach,1 S Michele Adige, I-38060 Trento, Italy.</t>
  </si>
  <si>
    <t>rocco.scolozzi@iasma.it</t>
  </si>
  <si>
    <t>Scolozzi, Rocco/L-1201-2019; Geneletti, Davide/D-5266-2014</t>
  </si>
  <si>
    <t>Scolozzi, Rocco/0000-0001-6368-5113; Geneletti, Davide/0000-0002-5528-3365</t>
  </si>
  <si>
    <t>0364-152X</t>
  </si>
  <si>
    <t>1432-1009</t>
  </si>
  <si>
    <t>ENVIRON MANAGE</t>
  </si>
  <si>
    <t>Environ. Manage.</t>
  </si>
  <si>
    <t>10.1007/s00267-011-9613-8</t>
  </si>
  <si>
    <t>733IT</t>
  </si>
  <si>
    <t>WOS:000288257100005</t>
  </si>
  <si>
    <t>Kantola, T; Tracy, JL; Baum, KA; Quinn, MA; Coulson, RN</t>
  </si>
  <si>
    <t>Kantola, Tuula; Tracy, James L.; Baum, Kristen A.; Quinn, Michael A.; Coulson, Robert N.</t>
  </si>
  <si>
    <t>Danaus plexippus; Migratory threats; MaxEnt roadkill niche models; Insect roadkill hotspots</t>
  </si>
  <si>
    <t>PLEXIPPUS LEPIDOPTERA; FALL MIGRATION; WILDLIFE; POPULATION; DANAIDAE; MODELS; IDENTIFICATION; RESTORATION; LOCATIONS; DYNAMICS</t>
  </si>
  <si>
    <t>Road mortality may contribute to the population decline of eastern monarch butterflies (Danaus plexippus L.). We estimated autumn monarch roadkill rates within the primary Oklahoma to Mexico southern migration corridor (i.e., Central Funnel). Dead monarchs were surveyed along Texas roadsides during four weeks of autumn migration in 2016 and 2017. Roadkill averaged 3.4 monarchs per 100 m transect, reaching 66 per 100 m in a roadkill hotspot in southwestern Texas. Extrapolations of Central Funnel roadkill based on survey data and road types were 3.6 and 1.1 million in 2016 and 2017, respectively. Spatial distribution of roadkill across the Central Funnel was projected from Texas survey data using 30 m resolution MaxEnt niche models. Highest roadkill probability was linked to arid climate and low human population density. The latter variables may not be directly related to roadkill, but instead represent indirect correlates of increased densities of monarchs where the migration corridor narrows southwards. The higher roadkill projected in southwest Texas and Mexico by MaxEnt models agrees with previously reported monarch roadkill hotspots. MaxEnt-based 2016-2017 projections for annual roadkill rates throughout the Central Funnel averaged 2.1 million. This figure is similar to the result by simple extrapolation, and represents about 3% of the overwintering monarch population for these years. Mitigation at roadkill hotspots in the Central Funnel could reduce monarch roadkill mortality during migration and contribute towards conservation efforts for the monarch butterfly.</t>
  </si>
  <si>
    <t>[Kantola, Tuula] Univ Helsinki, Dept Forest Sci, POB 27, FI-00014 Helsinki, Finland; [Tracy, James L.; Quinn, Michael A.; Coulson, Robert N.] Texas A&amp;M Univ, Dept Entomol, Knowledge Engn Lab, College Stn, TX 77843 USA; [Baum, Kristen A.] Oklahoma State Univ, Dept Integrat Biol, 501 Life Sci West, Stillwater, OK 74078 USA</t>
  </si>
  <si>
    <t>University of Helsinki; Texas A&amp;M University System; Texas A&amp;M University College Station; Oklahoma State University System; Oklahoma State University - Stillwater</t>
  </si>
  <si>
    <t>Kantola, T (corresponding author), Univ Helsinki, Dept Forest Sci, POB 27, FI-00014 Helsinki, Finland.</t>
  </si>
  <si>
    <t>tuula.kantola@helsinki.fi</t>
  </si>
  <si>
    <t>; Tracy, James/KLY-3062-2024</t>
  </si>
  <si>
    <t>Baum, Kristen/0000-0002-7570-6097; Kantola, Tuula/0000-0002-1683-016X</t>
  </si>
  <si>
    <t>Texas Comptroller of Public Accounts, Economic Growth and Endangered Species Management Division [16-5979]</t>
  </si>
  <si>
    <t>Texas Comptroller of Public Accounts, Economic Growth and Endangered Species Management Division</t>
  </si>
  <si>
    <t>This work was supported by the Texas Comptroller of Public Accounts, Economic Growth and Endangered Species Management Division, Interagency Contract [grant number 16-5979].</t>
  </si>
  <si>
    <t>10.1016/j.biocon.2019.01.008</t>
  </si>
  <si>
    <t>HM3EX</t>
  </si>
  <si>
    <t>WOS:000459357500017</t>
  </si>
  <si>
    <t>B</t>
  </si>
  <si>
    <t>Chen, YH</t>
  </si>
  <si>
    <t>Chen, Y</t>
  </si>
  <si>
    <t>Chen, Youhua</t>
  </si>
  <si>
    <t>Spatial Risk Assessment of Alien Plants in China Using Biodiversity Resistance Theory</t>
  </si>
  <si>
    <t>BIODIVERSITY AND BIOGEOGRAPHIC PATTERNS IN ASIA-PACIFIC REGION I: STATISTICAL METHODS AND CASE STUDIES</t>
  </si>
  <si>
    <t>Article; Book Chapter</t>
  </si>
  <si>
    <t>Alien plants versus native plants; dynamics of invasiveness; ecological assemblages; habitat heterogeneity; invasion biology; invasive plants; plant distribution; risk assessment; spatial ecology; spatial regression analysis; spatial statistics; species distribution and diversity patterns; water availability</t>
  </si>
  <si>
    <t>INVASIVE PLANTS; HOTSPOTS; PATTERNS; RESERVE</t>
  </si>
  <si>
    <t>In the present chapter, the potential occurrence risk of invasive plants across different provinces of China is studied using disease risk mapping techniques (empirical Bayes smoothing and Poisson-Gamma model). The biodiversity resistance theory which predicts that high-biodiversity areas will have reduced risk of species invasion serves as the base for performing spatial risk assessment of plant invasion across provinces. The results show that, both risk mapping methods identified that north-eastern part of China have the highest relative risk of plant invasion. In contrast, south-western and southeastern parts of China, which have high woody plant richness, are predicted to possess low relative risks of plant invasion. For the future, it is interesting to compare the spatial risk patterns across different functional groups of these alien plants. The results of this chapter has been published in an open-access journal [1].</t>
  </si>
  <si>
    <t>[Chen, Youhua] Univ Alberta, Dept Renewable Resources, Edmonton, AB T6G 2H1, Canada</t>
  </si>
  <si>
    <t>University of Alberta</t>
  </si>
  <si>
    <t>Chen, YH (corresponding author), Univ Alberta, Dept Renewable Resources, Edmonton, AB T6G 2H1, Canada.</t>
  </si>
  <si>
    <t>BENTHAM SCIENCE PUBL</t>
  </si>
  <si>
    <t>SHARJAH</t>
  </si>
  <si>
    <t>EXECUTIVE STE Y-2, P.O. BOX 7917, SAIF ZONE, SHARJAH, 1400 AG, U ARAB EMIRATES</t>
  </si>
  <si>
    <t>978-1-68108-015-4; 978-1-68108-016-1</t>
  </si>
  <si>
    <t>10.2174/97816810801541150101</t>
  </si>
  <si>
    <t>Biodiversity Conservation; Mathematical &amp; Computational Biology</t>
  </si>
  <si>
    <t>Book Citation Index – Science (BKCI-S)</t>
  </si>
  <si>
    <t>Biodiversity &amp; Conservation; Mathematical &amp; Computational Biology</t>
  </si>
  <si>
    <t>BM9MO</t>
  </si>
  <si>
    <t>WOS:000471137600019</t>
  </si>
  <si>
    <t>Mellin, C; Matthews, S; Anthony, KRN; Brown, SC; Caley, MJ; Johns, KA; Osborne, K; Puotinen, M; Thompson, A; Wolff, NH; Fordham, DA; MacNeil, MA</t>
  </si>
  <si>
    <t>Mellin, Camille; Matthews, Samuel; Anthony, Kenneth R. N.; Brown, Stuart C.; Caley, M. Julian; Johns, Kerryn A.; Osborne, Kate; Puotinen, Marjetta; Thompson, Angus; Wolff, Nicholas H.; Fordham, Damien A.; MacNeil, M. Aaron</t>
  </si>
  <si>
    <t>Acanthaster; bleaching; coral reefs; crown-of-thorns; cyclones; water quality</t>
  </si>
  <si>
    <t>CORAL-REEFS; SPECIES RICHNESS; CLIMATE-CHANGE; WATER-QUALITY; LIFE-HISTORY; OUTBREAKS; PATTERNS; SHIFTS; SCALE; RISK</t>
  </si>
  <si>
    <t>In the face of increasing cumulative effects from human and natural disturbances, sustaining coral reefs will require a deeper understanding of the drivers of coral resilience in space and time. Here we develop a high-resolution, spatially explicit model of coral dynamics on Australia's Great Barrier Reef (GBR). Our model accounts for biological, ecological and environmental processes, as well as spatial variation in water quality and the cumulative effects of coral diseases, bleaching, outbreaks of crown-of-thorns starfish (Acanthaster cf. solaris), and tropical cyclones. Our projections reconstruct coral cover trajectories between 1996 and 2017 over a total reef area of 14,780 km(2), predicting a mean annual coral loss of -0.67%/year mostly due to the impact of cyclones, followed by starfish outbreaks and coral bleaching. Coral growth rate was the highest for outer shelf coral communities characterized by digitate and tabulate Acropora spp. and exposed to low seasonal variations in salinity and sea surface temperature, and the lowest for inner-shelf communities exposed to reduced water quality. We show that coral resilience (defined as the net effect of resistance and recovery following disturbance) was negatively related to the frequency of river plume conditions, and to reef accessibility to a lesser extent. Surprisingly, reef resilience was substantially lower within no-take marine protected areas, however this difference was mostly driven by the effect of water quality. Our model provides a new validated, spatially explicit platform for identifying the reefs that face the greatest risk of biodiversity loss, and those that have the highest chances to persist under increasing disturbance regimes.</t>
  </si>
  <si>
    <t>[Mellin, Camille; Matthews, Samuel; Anthony, Kenneth R. N.; Johns, Kerryn A.; Osborne, Kate; Thompson, Angus; MacNeil, M. Aaron] Australian Inst Marine Sci, Townsville, Qld, Australia; [Mellin, Camille; Brown, Stuart C.; Fordham, Damien A.] Univ Adelaide, Inst Environm, Adelaide, SA, Australia; [Mellin, Camille; Brown, Stuart C.; Fordham, Damien A.] Univ Adelaide, Sch Biol Sci, Adelaide, SA, Australia; [Matthews, Samuel] James Cook Univ, Australian Res Council Ctr Excellence Coral Reef, Townsville, Qld, Australia; [Anthony, Kenneth R. N.] Univ Queensland, Sch Biol Sci, St Lucia, Qld, Australia; [Caley, M. Julian] Queensland Univ Technol, Sch Math Sci, Brisbane, Qld, Australia; [Caley, M. Julian] Australian Res Council Ctr Excellence Math &amp; Stat, Brisbane, Qld, Australia; [Puotinen, Marjetta] Univ Western Australia, Australian Inst Marine Sci, Indian Ocean Marine Res Ctr, Crawley, WA, Australia; [Wolff, Nicholas H.] Nature Conservancy, Global Sci, Brunswick, ME USA; [Wolff, Nicholas H.] Univ Queensland, Sch Biol Sci, Marine Spatial Ecol Lab, St Lucia, Qld, Australia; [Fordham, Damien A.] Univ Copenhagen, Nat Hist Museum Denmark, Ctr Macroecol Evolut &amp; Climate, Copenhagen, Denmark; [MacNeil, M. Aaron] Dalhousie Univ, Dept Biol, Halifax, NS, Canada</t>
  </si>
  <si>
    <t>Australian Institute of Marine Science; Adelaide University; University of Adelaide; Adelaide University; University of Adelaide; James Cook University; University of Queensland; Queensland University of Technology (QUT); Australian Institute of Marine Science; University of Western Australia; Nature Conservancy; University of Queensland; University of Copenhagen; Dalhousie University</t>
  </si>
  <si>
    <t>Mellin, C (corresponding author), Univ Adelaide, Inst Environm, Adelaide, SA, Australia.;Mellin, C (corresponding author), Univ Adelaide, Sch Biol Sci, Adelaide, SA, Australia.</t>
  </si>
  <si>
    <t>camille.mellin@adelaide.edu.au</t>
  </si>
  <si>
    <t>; Fordham, Damien/E-9255-2013; MacNeil, M Aaron/E-8196-2017; Puotinen, Marji/A-3214-2008; Anthony, Kenneth/G-4299-2011; Caley, Julian/A-4042-2008; Mellin, Camille/X-9161-2019; Brown, Stuart/AAC-7472-2020</t>
  </si>
  <si>
    <t>Wolff, Nicholas/0000-0003-1162-3556; Fordham, Damien/0000-0003-2137-5592; MacNeil, M Aaron/0000-0001-8406-325X; Puotinen, Marji/0000-0002-1383-697X; Mellin, Camille/0000-0002-7369-2349; Brown, Stuart/0000-0002-0669-1418; Matthews, Samuel/0000-0003-1936-1220</t>
  </si>
  <si>
    <t>Australian Research Council [DE140100701]; Australian Research Council [DE140100701] Funding Source: Australian Research Council</t>
  </si>
  <si>
    <t>Australian Research Council(Australian Research Council); Australian Research Council(Australian Research Council)</t>
  </si>
  <si>
    <t>Australian Research Council, Grant/Award Number: DE140100701</t>
  </si>
  <si>
    <t>10.1111/gcb.14625</t>
  </si>
  <si>
    <t>IL1UH</t>
  </si>
  <si>
    <t>WOS:000477087100020</t>
  </si>
  <si>
    <t>Katsis, L; Cunneyworth, PMK; Turner, KME; Presotto, A</t>
  </si>
  <si>
    <t>Katsis, Lydia; Cunneyworth, Pamela M. K.; Turner, Katy M. E.; Presotto, Andrea</t>
  </si>
  <si>
    <t>Electrocution; GIS; Hotspots; Power lines; Spatial analysis</t>
  </si>
  <si>
    <t>UTILITY STRUCTURES; CONSERVATION; EXTINCTION; MORTALITY; COLLISION; INJURIES; MACAQUES; WILDLIFE; HOTSPOTS; VETULUS</t>
  </si>
  <si>
    <t>Electrocution from power infrastructure threatens many primate species, yet knowledge of effective evidence-based mitigation strategies is limited. Mitigation planning requires an understanding of the spatial distribution of electrocutions to prioritize high-risk areas. In Diani, a coastal Kenyan town, electrocution is an important cause of death for five primate species. In this study we aim to describe the spatial patterns of electrocutions and electric shock incidents (collectively referred to as electrocutions hereafter) and identify electrocution hotspots to guide an effective primate conservation approach in Diani. Colobus Conservation, a not-for-profit organization, has recorded electrocutions and annual primate census data since 1998. We georeferenced 329 electrocution data points and analyzed them using QGIS. We identified and compared hotspots across species, seasons, and time using kernel density estimation and Getis-Ord-Gi*. We employed spatial regression models to test whether primate population density and power line density predicted the location of electrocution hotspots. Electrocutions occurred in hotspots that showed little variation in location between species and seasons. The limited variation in hotspot location over time likely occurred as a result of new building development in Diani and variability in primate detection rates by community members. Primate density and power line density were significant predictors of electrocution density for Angolan black-and-white colobus (Colobus angolensis palliatus) and Sykes monkeys (Cercopithecus mitis albogularis), but the relationship was weak, suggesting the presence of additional risk factors. This study provides a framework for systematic spatial prioritization of power lines that can be used to reduce primate electrocutions in Diani, and can be adopted in other areas of the world where primates are at risk from electrocution.</t>
  </si>
  <si>
    <t>[Katsis, Lydia; Turner, Katy M. E.] Univ Bristol, Fac Hlth Sci, Bristol BS8 1TH, Avon, England; [Cunneyworth, Pamela M. K.] Colobus Conservat, Diani 80401, Kenya; [Presotto, Andrea] Salisbury Univ, Dept Geog &amp; Geosci, Salisbury, MD 21801 USA</t>
  </si>
  <si>
    <t>University of Bristol; University System of Maryland; Salisbury University</t>
  </si>
  <si>
    <t>Turner, KME (corresponding author), Univ Bristol, Fac Hlth Sci, Bristol BS8 1TH, Avon, England.;Cunneyworth, PMK (corresponding author), Colobus Conservat, Diani 80401, Kenya.</t>
  </si>
  <si>
    <t>pam@colobusconservation.org; Katy.Turner@bristol.ac.uk</t>
  </si>
  <si>
    <t>Presotto, Andrea/AHD-1425-2022; Turner, Katy/R-3853-2019</t>
  </si>
  <si>
    <t>Turner, Katy/0000-0002-8152-6017; Katsis, Lydia/0000-0001-9962-8380</t>
  </si>
  <si>
    <t>10.1007/s10764-018-0046-6</t>
  </si>
  <si>
    <t>GV8IJ</t>
  </si>
  <si>
    <t>WOS:000446382800001</t>
  </si>
  <si>
    <t>Parnell, PE; Dayton, PK; Fisher, RA; Loarie, CC; Darrow, RD</t>
  </si>
  <si>
    <t>Parnell, P. Ed; Dayton, Paul K.; Fisher, Rachelle A.; Loarie, Cina C.; Darrow, Ryan D.</t>
  </si>
  <si>
    <t>Spatial patterns of fishing effort off San Diego: implications for zonal management and ecosystem function</t>
  </si>
  <si>
    <t>ecosystem based management; edge fishing; fishing effort; habitat; lobster; marine protected areas; marine spatial planning; recreational fishing; sea urchins; zonal management</t>
  </si>
  <si>
    <t>MARINE PROTECTED AREAS; SOUTHERN CALIFORNIA; SEA-URCHINS; RESERVES; FISHERIES; POPULATIONS; COMMUNITY; SUSTAINABILITY; DIVERSITY; SPILLOVER</t>
  </si>
  <si>
    <t>The essence of ecosystem-based management is managing human practices to conserve the ecosystem. Ecologists focus on understanding the ecosystem, but there are fundamental information gaps including patterns of human exploitation. In particular, the spatial distribution of fishing effort must be known at the scales needed for ecologically relevant management. Fishing is a primary impact on coastal ecosystems, yet catch distribution at scales relevant to habitats and processes are not well known for many fisheries. Here we utilized photographic time series, logbook records, and angler surveys to estimate the intensity and spatial pattern of commercial and recreational fishing. Effort was clearly aggregated for most types of fishing, the motivating factors for effort distribution varied among areas, and effort was coupled or uncoupled to habitat depending on the area and type of fishing. We estimated that similar to 60% and similar to 74% of private recreational and recreational charter vessel fishing effort, respectively, were concentrated into two small areas that also included similar to 78% of commercial sea urchin effort. Exploitation and effort were considerably greater in one kelp forest, which has important implications for patterns of kelp persistence, productivity, and ecosystem function. Areas subject to the greatest recreational fishing pressure appeared to have lower diversity. Our results indicate that fine-scale patterns of fishing effort and exploitation have profound consequences for ecosystem functioning and biodiversity. Ecosystem-based management of nearshore ecosystems depends on an understanding of the fine-scale patterns of exploitation.</t>
  </si>
  <si>
    <t>[Parnell, P. Ed; Dayton, Paul K.; Darrow, Ryan D.] Univ Calif San Diego, Scripps Inst Oceanog, Integrat Oceanog Div, La Jolla, CA 92093 USA</t>
  </si>
  <si>
    <t>University of California System; University of California San Diego; Scripps Institution of Oceanography</t>
  </si>
  <si>
    <t>Parnell, PE (corresponding author), Univ Calif San Diego, Scripps Inst Oceanog, Integrat Oceanog Div, Mail Code 0227,9500 Gilman Dr, La Jolla, CA 92093 USA.</t>
  </si>
  <si>
    <t>edparnell@ucsd.edu</t>
  </si>
  <si>
    <t>California Sea Grant; SIO</t>
  </si>
  <si>
    <t>We thank the National Park Service, the United States Navy, Nigella Hilgarth, the Birch Aquarium at Scripps, and supporters of this project who facilitated camera placement and would like to remain anonymous. We also thank California Sea Grant, the IGERT program at SIO, and anonymous donors for their financial support. Russ Chapman and Jeremy Jackson provided support through the CMBC MAS program at SIO. Jim Stafford, Kailey Banks, Calvin Lee, and Caitlin Allen assisted with photographic analyses and/or logistical support. Comments by two anonymous reviewers helped to greatly improve the manuscript.</t>
  </si>
  <si>
    <t>10.1890/09-1543.1</t>
  </si>
  <si>
    <t>690IM</t>
  </si>
  <si>
    <t>WOS:000284996600012</t>
  </si>
  <si>
    <t>Padalia, H; Bahuguna, U</t>
  </si>
  <si>
    <t>Padalia, Hitendra; Bahuguna, Utsav</t>
  </si>
  <si>
    <t>Exotic plants; Landscape; Phytorichness; Potential invasion; Priority setting</t>
  </si>
  <si>
    <t>IMPACTS; RICHNESS; COMMUNITIES; ECOSYSTEMS; PLANTS; ALIEN; DOMINANCE; DIVERSITY; PATTERNS</t>
  </si>
  <si>
    <t>The tropical forest ecosystems across the globe are under major threats from spread of exotic invasive plant species. Identification of biodiversity rich areas prone to large-scale plant invasion and their prioritisation is vital for targeting prevention and control programmes. Recent availability of field inventoried forest native and forest invasive species (FIS) data from a nation-wide biodiversity project in India, has served as a valuable source of information for conservation prioritization. Our approach considers prioritisation of phytogeographic areas based on congruence of spatial pattern of phytorichness distribution and spatial pattern of potential spread of hotspots of multiple FIS. We modelled native phytorichness at landscape scale following a three-tier methodology of mapping of habitat types, field sampling of vascular plants and spatial modelling with landscape matrices for central Indian landscape in India. The hotspots of multiple FIS were modelled with occurrences of 98 species, and optimally chosen environmental covariates using MaxEnt. We then integrated phytorichness and FIS invasion hotspots information to identify priority zones (high, medium and low) for informed policy decisions for conservation actions. Study emphasises that potential hotspots of invasive species should be considered for conservation priority setting. (C) 2017 Elsevier GmbH. All rights reserved.</t>
  </si>
  <si>
    <t>[Padalia, Hitendra; Bahuguna, Utsav] Indian Inst Remote Sensing ISRO, Forestry &amp; Ecol Dept, 4 Kalidas Rd, Dehra Dun 248001, Uttarakhand, India</t>
  </si>
  <si>
    <t>Department of Space (DoS), Government of India; Indian Space Research Organisation (ISRO); Indian Institute of Remote Sensing (IIRS)</t>
  </si>
  <si>
    <t>Padalia, H (corresponding author), Indian Inst Remote Sensing ISRO, Forestry &amp; Ecol Dept, 4 Kalidas Rd, Dehra Dun 248001, Uttarakhand, India.</t>
  </si>
  <si>
    <t>hitendra@iirs.gov.in; utsavbahugunaofficial@gmail.com</t>
  </si>
  <si>
    <t>Padalia, Hitena/0000-0001-9716-5968</t>
  </si>
  <si>
    <t>10.1016/j.jnc.2017.02.001</t>
  </si>
  <si>
    <t>ET8ZG</t>
  </si>
  <si>
    <t>WOS:000400593400005</t>
  </si>
  <si>
    <t>Farfán, MA; Aliaga-Samanez, A; Olivero, J; Williams, D; Dupain, J; Guian, Z; Fa, JE</t>
  </si>
  <si>
    <t>Angel Farfan, Migue; Aliaga-Samanez, Alisa; Olivero, Jesus; Williams, David; Dupain, Jef; Guian, Zokoe; Fa, Julia E.</t>
  </si>
  <si>
    <t>Elephants; Great apes; Spatial modelling; Protected areas; SMART; Threats</t>
  </si>
  <si>
    <t>PROTECTED AREAS; ILLEGAL ACTIVITIES; LAW-ENFORCEMENT; LUANGWA VALLEY; EFFICACY; DECLINE; PARKS</t>
  </si>
  <si>
    <t>Protected areas (PAs) are currently the cornerstones for biodiversity conservation in many regions of the world. Within Africa's moist forest areas, however, numerous PAs are under significant threats from anthropogenic activities. Adequate technical and human resources are required to manage the wildlife within PAs satisfactorily. SMART (Spatial Monitoring And Reporting Tool) software has been developed to aid in fluidly displaying, managing, and reporting on ranger patrol data. These data can be analysed using spatial modelling to inform decision-making. Here we use Favourability Function modelling to generate risk maps from the data gathered on threats (fire, poaching and deforestation) and the presence of Western gorilla (Gorilla gorilla gorilla), chimpanzee (Pan troglodytes) and African forest elephant (Loxodonta cyclotis) in the Dja Forest Reserve (DFR), southern Cameroon. We show that the more favourable areas for the three study species are found within the core of the DFR, particularly for elephant. Favourable areas for fires and deforestation are mostly along the periphery of the reserve, but highly favourable areas for poaching are concentrated in the middle of the reserve, tracking the favourable areas for wildlife. Models such as the ones we use here can provide valuable insights to managers to highlight vulnerable areas within protected areas and guide actions on the ground.</t>
  </si>
  <si>
    <t>[Angel Farfan, Migue; Aliaga-Samanez, Alisa; Olivero, Jesus] Univ Malaga, Grp Biogeog Divers &amp; Conservac, Dept Biol Anim, Malaga, Spain; [Williams, David; Dupain, Jef; Guian, Zokoe] African Wildlife Fdn, Ngong Rd,POB 310, Nairobi 00502, Kenya; [Fa, Julia E.] Manchester Metropolitan Univ, Div Biol &amp; Conservat Ecol, Manchester M15 6BH, Lancs, England; [Fa, Julia E.] Ctr Int Forestry Res CIFOR, Jalan Cifor Rawajaha, Kota Bogor 16115, Jawa Barat, Indonesia</t>
  </si>
  <si>
    <t>Universidad de Malaga; Manchester Metropolitan University; CGIAR; Center for International Forestry Research (CIFOR)</t>
  </si>
  <si>
    <t>Fa, JE (corresponding author), Manchester Metropolitan Univ, Div Biol &amp; Conservat Ecol, Manchester M15 6BH, Lancs, England.;Fa, JE (corresponding author), Ctr Int Forestry Res CIFOR, Jalan Cifor Rawajaha, Kota Bogor 16115, Jawa Barat, Indonesia.</t>
  </si>
  <si>
    <t>jfa949@gmail.com</t>
  </si>
  <si>
    <t>Aliaga Samanez, Alisa/J-2700-2018; Farfán Aguilar, Miguel Ángel/K-8783-2014; Olivero, Jesús/K-8727-2014</t>
  </si>
  <si>
    <t>Aliaga Samanez, Alisa/0000-0002-8721-6896; Farfán Aguilar, Miguel Ángel/0000-0002-4617-6517; Olivero, Jesús/0000-0003-1714-0360; FA, Julia Elizabeth/0000-0002-1572-9828</t>
  </si>
  <si>
    <t>African Wildlife Foundation; Ministere des Forets et de la Faune du Cameroun</t>
  </si>
  <si>
    <t>This project was funded by the African Wildlife Foundation. The authors would like to thank the Ministere des Forets et de la Faune du Cameroun for support in the field. Anthony Dancer commented on a draft of the paper.</t>
  </si>
  <si>
    <t>10.1016/j.biocon.2018.12.015</t>
  </si>
  <si>
    <t>HZ2UH</t>
  </si>
  <si>
    <t>WOS:000468703700014</t>
  </si>
  <si>
    <t>Prosser, DJ; Hungerford, LL; Erwin, RM; Ottinger, MA; Takekawa, JY; Newman, SH; Xiao, XM; Ellis, EC</t>
  </si>
  <si>
    <t>Prosser, Diann J.; Hungerford, Laura L.; Erwin, R. Michael; Ottinger, Mary Ann; Takekawa, John Y.; Newman, Scott H.; Xiao, Xiangming; Ellis, Erle C.</t>
  </si>
  <si>
    <t>Spatial Modeling of Wild Bird Risk Factors for Highly Pathogenic A(H5N1) Avian Influenza Virus Transmission</t>
  </si>
  <si>
    <t>AVIAN DISEASES</t>
  </si>
  <si>
    <t>9th International Symposium on Avian Influenza</t>
  </si>
  <si>
    <t>APR 12-15, 2015</t>
  </si>
  <si>
    <t>Univ Georgia, Ctr Continuing Educ, Athens, GA</t>
  </si>
  <si>
    <t>Merial,Merck Anim Hlth,CEVA,Amer Assoc Avian Pathologists,Ctr Dis Control &amp; Prevent,Boehringer Ingelheim Anim Hlth,US Dept Agr, Anim &amp; Plant Hlth Inspect Serv Wildlife Serv,US Dept Agr, Agr Res Serv,US Dept Interior, US Geol Surv,Zoetis Anim Hlth,OIE FAO Anim Influenza Network,United Nations Food &amp; Agr Org,World Org Anim Hlth</t>
  </si>
  <si>
    <t>Univ Georgia, Ctr Continuing Educ</t>
  </si>
  <si>
    <t>H5N1; highly pathogenic avian influenza virus; spatial modeling; waterfowl; GIS</t>
  </si>
  <si>
    <t>H5N1; DUCKS; GEESE; CHINA</t>
  </si>
  <si>
    <t>One of the longest-persisting avian influenza viruses in history, highly pathogenic avian influenza virus (HPAIV) A (H5N1), continues to evolve after 18 yr, advancing the threat of a global pandemic. Wild waterfowl (family Anatidae) are reported as secondary transmitters of HPAIV and primary reservoirs for low-pathogenic avian influenza viruses, yet spatial inputs for disease risk modeling for this group have been lacking. Using geographic information software and Monte Carlo simulations, we developed geospatial indices of waterfowl abundance at 1 and 30 km resolutions and for the breeding and wintering seasons for China, the epicenter of H5N1. Two spatial layers were developed: cumulative waterfowl abundance (W-AB), a measure of predicted abundance across species, and cumulative abundance weighted by H5N1 prevalence (W-PR), whereby abundance for each species was adjusted based on prevalence values and then totaled across species. Spatial patterns of the model output differed between seasons, with higher W-AB and W-PR in the northern and western regions of China for the breeding season and in the southeast for the wintering season. Uncertainty measures indicated highest error in southeastern China for both W-AB and W-PR. We also explored the effect of resampling waterfowl layers from 1 to 30 km resolution for multiscale risk modeling. Results indicated low average difference (less than 0.16 and 0.01 standard deviations for W-AB and W-PR, respectively), with greatest differences in the north for the breeding season and southeast for the wintering season. This work provides the first geospatial models of waterfowl abundance available for China. The indices provide important inputs for modeling disease transmission risk at the interface of poultry and wild birds. These models are easily adaptable, have broad utility to both disease and conservation needs, and will be available to the scientific community for advanced modeling applications.</t>
  </si>
  <si>
    <t>[Prosser, Diann J.] US Geol Survey, Patuxent Wildlife Res Ctr, Beltsville, MD 20705 USA; [Hungerford, Laura L.] Univ Maryland, Sch Med, Baltimore, MD 21201 USA; [Erwin, R. Michael] US Geol Survey, Patuxent Wildlife Res Ctr, Charlottesville, VA 22904 USA; [Ottinger, Mary Ann] Univ Houston, Dept Biol &amp; Biochem, Houston, TX 77204 USA; [Takekawa, John Y.] US Geol Survey, Western Ecol Res Ctr, Vallejo, CA 94592 USA; [Takekawa, John Y.] Natl Audubon Soc, Div Sci, San Francisco, CA 94104 USA; [Newman, Scott H.] UN, FAO, Emergency Ctr Transboundary Anim Dis, Hanoi, Vietnam; [Xiao, Xiangming] Univ Oklahoma, Dept Microbiol &amp; Plant Biol, Ctr Spatial Anal, Norman, OK 73019 USA; [Ellis, Erle C.] Univ Maryland Baltimore Cty, Dept Geog &amp; Environm Syst, Baltimore, MD 21250 USA</t>
  </si>
  <si>
    <t>United States Department of the Interior; United States Geological Survey; University System of Maryland; University of Maryland Baltimore; United States Department of the Interior; United States Geological Survey; University of Houston System; University of Houston; United States Department of the Interior; United States Geological Survey; Food &amp; Agriculture Organization of the United Nations (FAO); University of Oklahoma System; University of Oklahoma - Norman; University System of Maryland; University of Maryland Baltimore County</t>
  </si>
  <si>
    <t>Prosser, DJ (corresponding author), US Geol Survey, Patuxent Wildlife Res Ctr, Beltsville, MD 20705 USA.</t>
  </si>
  <si>
    <t>dprosser@usgs.gov</t>
  </si>
  <si>
    <t>Xiao, Xiangming/ABS-9360-2022; Ellis, Erle/B-8264-2008; Newman, Scott/B-4843-2012</t>
  </si>
  <si>
    <t>Xiao, Xiangming/0000-0003-0956-7428; Ellis, Erle/0000-0002-2006-3362;</t>
  </si>
  <si>
    <t>AMER ASSOC AVIAN PATHOLOGISTS</t>
  </si>
  <si>
    <t>ATHENS</t>
  </si>
  <si>
    <t>953 COLLEGE STATION RD, ATHENS, GA 30602-4875 USA</t>
  </si>
  <si>
    <t>0005-2086</t>
  </si>
  <si>
    <t>1938-4351</t>
  </si>
  <si>
    <t>AVIAN DIS</t>
  </si>
  <si>
    <t>Avian Dis.</t>
  </si>
  <si>
    <t>S</t>
  </si>
  <si>
    <t>Veterinary Sciences</t>
  </si>
  <si>
    <t>DO9EA</t>
  </si>
  <si>
    <t>WOS:000378085900033</t>
  </si>
  <si>
    <t>Barthelmess, EL</t>
  </si>
  <si>
    <t>Barthelmess, Erika L.</t>
  </si>
  <si>
    <t>Mammals; Habitat fragmentation; Road ecology; New York State; Mammal-vehicle collisions; Network-K; Hotspot; Road kill</t>
  </si>
  <si>
    <t>MOOSE-VEHICLE COLLISIONS; WHITE-TAILED DEER; NEW-SOUTH-WALES; BEHAVIORAL-RESPONSES; GENETIC DIVERSITY; LANDSCAPE; WILDLIFE; POPULATIONS; MOVEMENT; PATTERNS</t>
  </si>
  <si>
    <t>One of the most obvious impacts of roads on wildlife is vehicle-induced mortality. The aims of this study were to examine the spatial pattern of mammal-vehicle collisions (MVCs), identify and examine factors that contribute to MVCs, and determine whether the factors that increase the odds of MVCs are similar between species. On 103 road surveys that covered 7,094 total km I recorded the location of each MVC along the survey route. I measured landscape and roadway features associated with each MVC and used kernel density and network analysis tools to identify road mortality hotspots and measure spatial clustering of MVCs. I used logistic regression to model the likelihood of MVCs for all mammal data and separately for Porcupine (Erethizon dorsatum), Raccoon (Procyon lotor), Skunk (Mephitis mephitis), Muskrat (Ondatra zibethicus) and Cottontail (Sylvilagus floridanus) data sets. I identified 51 MVC hotspots and found spatial clustering of MVCs for Porcupines, Raccoons and Skunks. Two landscape variables, distance to cover and the presence of an ecotone, as well as one road variable, road width, appeared as broadly important predictors of mammalian road mortality, though there was also species-specific variation in factors that increased the risk of MVCs. Field-measured variables were more important than remotely-measured variables in predicting the odds of MVCs. Conservation implications are that mitigation of landscape features associated with higher risk of vehicle-collisions may reduce the number of MVCs in general, but species-specific research is required to more carefully tailor mitigation efforts for particular species.</t>
  </si>
  <si>
    <t>St Lawrence Univ, Dept Biol, Canton, NY 13617 USA</t>
  </si>
  <si>
    <t>Saint Lawrence University</t>
  </si>
  <si>
    <t>Barthelmess, EL (corresponding author), St Lawrence Univ, Dept Biol, 23 Romoda Dr, Canton, NY 13617 USA.</t>
  </si>
  <si>
    <t>barthelmess@stlawu.edu</t>
  </si>
  <si>
    <t>Barthelmess, Erika/A-3692-2014</t>
  </si>
  <si>
    <t>St. Lawrence University</t>
  </si>
  <si>
    <t>Funding was provided by St. Lawrence University. Particular thanks go to M. Brooks for coordinating and to M. Brooks, T. Lofredo, C. Neill, J. Dodge, J. Hallas, D. Willette, C. Panshin, T. and T. Barthelmess and B. Edgar for assistance conducting road surveys. I thank N. Panshin for logistical support, assistance with data collection at random points, and speed zone mapping. I thank M. Schuckers for statistical advice. The St. Lawrence County and New York State DOT provided GIS data and granted permission to conduct road surveys. I also thank K. Gunson, N. Panshin, E. Siracusa and two anonymous reviewers for helpful feedback on the manuscript.</t>
  </si>
  <si>
    <t>10.1007/s10531-014-0734-2</t>
  </si>
  <si>
    <t>AM5YO</t>
  </si>
  <si>
    <t>WOS:000339937300006</t>
  </si>
  <si>
    <t>McFadden-Hiller, JE; Beyer, DE ; Belant, JL</t>
  </si>
  <si>
    <t>McFadden-Hiller, Jamie E.; Beyer, Dean E., Jr.; Belant, Jerrold L.</t>
  </si>
  <si>
    <t>Spatial Distribution of Black Bear Incident Reports in Michigan</t>
  </si>
  <si>
    <t>CARNIVORE CONSERVATION; CONFLICTS; SELECTION; BEHAVIOR; ROADS; MANAGEMENT; PATTERNS; PROGRAMS; SPACE</t>
  </si>
  <si>
    <t>Interactions between humans and carnivores have existed for centuries due to competition for food and space. American black bears are increasing in abundance and populations are expanding geographically in many portions of its range, including areas that are also increasing in human density, often resulting in associated increases in human-bear conflict (hereafter, bear incidents). We used public reports of bear incidents in Michigan, USA, from 2003-2011 to assess the relative contributions of ecological and anthropogenic variables in explaining the spatial distribution of bear incidents and estimated the potential risk of bear incidents. We used weighted Normalized Difference Vegetation Index mean as an index of primary productivity, region (i.e., Upper Peninsula or Lower Peninsula), primary and secondary road densities, and percentage land cover type within 6.5-km(2) circular buffers around bear incidents and random points. We developed 22 a priori models and used generalized linear models and Akaike's Information Criterion (AIC) to rank models. The global model was the best compromise between model complexity and model fit (w = 0.99), with a Delta AIC 8.99 units from the second best performing model. We found that as deciduous forest cover increased, the probability of bear incident occurrence increased. Among the measured anthropogenic variables, cultivated crops and primary roads were the most important in our AIC-best model and were both positively related to the probability of bear incident occurrence. The spatial distribution of relative bear incident risk varied markedly throughout Michigan. Forest cover fragmented with agriculture and other anthropogenic activities presents an environment that likely facilitates bear incidents. Our map can help wildlife managers identify areas of bear incident occurrence, which in turn can be used to help develop strategies aimed at reducing incidents. Researchers and wildlife managers can use similar mapping techniques to assess locations of specific conflict types or to address human impacts on endangered species.</t>
  </si>
  <si>
    <t>[McFadden-Hiller, Jamie E.; Belant, Jerrold L.] Mississippi State Univ, Forest &amp; Wildlife Res Ctr, Carnivore Ecol Lab, Starkville, MS USA; [Beyer, Dean E., Jr.] Michigan Dept Nat Resources, Wildlife Div, Marquette, MI USA</t>
  </si>
  <si>
    <t>Mississippi State University</t>
  </si>
  <si>
    <t>McFadden-Hiller, JE; Belant, JL (corresponding author), Mississippi State Univ, Forest &amp; Wildlife Res Ctr, Carnivore Ecol Lab, Starkville, MS USA.</t>
  </si>
  <si>
    <t>jem739@msstate.edu; j.belant@msstate.edu</t>
  </si>
  <si>
    <t>Belant, Jerrold/HDM-7749-2022; Beyer, Dean/HTM-6783-2023</t>
  </si>
  <si>
    <t>Beyer, Dean/0009-0000-1708-4958</t>
  </si>
  <si>
    <t>Mississippi State University; Michigan Department of Natural Resources</t>
  </si>
  <si>
    <t>This study was supported by Mississippi State University and Michigan Department of Natural Resources. The funders had no role in study design, data collection and analysis, decision to publish, or preparation of the manuscript.</t>
  </si>
  <si>
    <t>APR 27</t>
  </si>
  <si>
    <t>e0154474</t>
  </si>
  <si>
    <t>10.1371/journal.pone.0154474</t>
  </si>
  <si>
    <t>DK5QZ</t>
  </si>
  <si>
    <t>WOS:000374976200081</t>
  </si>
  <si>
    <t>Soh, YH; Carrasco, LR; Miquelle, DG; Jiang, JS; Yang, J; Stokes, EJ; Tang, JR; Kang, AL; Liu, PQ; Rao, M</t>
  </si>
  <si>
    <t>Soh, Yi Hui; Carrasco, Luis Roman; Miquelle, Dale G.; Jiang, Jinsong; Yang, Jun; Stokes, Emma J.; Tang, Jirong; Kang, Aili; Liu, Peiqi; Rao, Madhu</t>
  </si>
  <si>
    <t>Conflict mapping; Conservation ecology; Depredation compensation; Panthera tigris; Spatial modelling</t>
  </si>
  <si>
    <t>HUMAN-CARNIVORE CONFLICT; HUMAN-WILDLIFE CONFLICT; SOURCE-SINK SYSTEMS; PANTHERA-TIGRIS; NATURE-RESERVE; CERVUS-ELAPHUS; NATIONAL-PARK; JILIN; DEER; POPULATION</t>
  </si>
  <si>
    <t>Livestock depredation by highly endangered Amur tigers is a major source of human-tiger conflict in Northeast China. We model livestock depredation risk to understand factors shaping the spatial distribution of depredation conflicts using Hunchun, China as a case study. Ungulate occupancy survey data, presence of ungulate snares and other landscape covariates (such as elevation, slope and tree cover) were first used to model ungulate prey densities using generalised least squares. Predicted densities were then incorporated together with landscape covariates as predictors for actual livestock depredation incidents in a zero-inflated negative binomial model for depredation risk. Lower overall prey densities were associated with proximity to snares, and other anthropogenic-related covariates like distances to villages and roads were also important predictors of prey densities. Depredation conflicts were associated with closer proximity to snares and rivers, greater distances from roads, greater tree cover, and deciduous forest habitats. High-risk areas were found to be concentrated in community-management zones in Hunchun National Nature Reserve (HNR). The results suggest that compensation payments for depredations within HNR provide an unwanted incentive for local people to continue to use the protected area (especially in community co-managed zones) as grazing lands, leading to increased conflict. Eliminating cattle and snaring from HNR and other tiger recovery zones within Northeast China may be essential to reduce conflicts and minimise detrimental impacts on tiger populations. (C) 2013 Elsevier Ltd. All rights reserved.</t>
  </si>
  <si>
    <t>[Soh, Yi Hui; Carrasco, Luis Roman; Rao, Madhu] Natl Univ Singapore, Dept Biol Sci, Singapore 117543, Singapore; [Miquelle, Dale G.; Stokes, Emma J.] Wildlife Conservat Soc, Bronx, NY 10460 USA; [Jiang, Jinsong] Forestry Bur Jilin Prov, Changchun 130022, Jilin Province, Peoples R China; [Yang, Jun] Hunchun Municipal Forestry Bur, Hunchun 133300, Jilin Province, Peoples R China; [Tang, Jirong; Kang, Aili; Liu, Peiqi] Wildlife Conservat Soc China Program, Beijing, Peoples R China; [Rao, Madhu] Wildlife Conservat Soc Singapore, Singapore 247671, Singapore</t>
  </si>
  <si>
    <t>National University of Singapore; Wildlife Conservation Society</t>
  </si>
  <si>
    <t>Carrasco, LR (corresponding author), Natl Univ Singapore, Dept Biol Sci, 14 Sci Dr 4, Singapore 117543, Singapore.</t>
  </si>
  <si>
    <t>dbsctlr@nus.edu.sg; mrao@wcs.org</t>
  </si>
  <si>
    <t>Carrasco, Luis Roman/H-8017-2012; Liu, Peiqi/KDO-4692-2024</t>
  </si>
  <si>
    <t>Carrasco, Luis Roman/0000-0002-2894-1473; Rao, Madhu/0000-0002-5360-4073;</t>
  </si>
  <si>
    <t>Ministry of Education of Singapore [R154000574112]</t>
  </si>
  <si>
    <t>Ministry of Education of Singapore(Ministry of Education, Singapore)</t>
  </si>
  <si>
    <t>Y.H.S. and L.R.C. thank funding from the Ministry of Education of Singapore Tier 2 Project R154000574112. Thanks are given to Hunchun National Nature Reserve, Hunchun Municipal Forestry Bureau and Jilin Provincial Forestry Bureau for providing ground support in data collection on tiger conflict, Li Yin, previous staff of Wildlife Conservation Society, China who helped to organize and revise the data, and Zhu Zhiwen, staff of Wildlife Conservation Society, China for providing assistance and data for the project.</t>
  </si>
  <si>
    <t>10.1016/j.biocon.2013.10.011</t>
  </si>
  <si>
    <t>AD9GX</t>
  </si>
  <si>
    <t>WOS:000333574400014</t>
  </si>
  <si>
    <t>Ramírez, F; Coll, M; Navarro, J; Bustamante, J; Green, AJ</t>
  </si>
  <si>
    <t>Ramirez, Francisco; Coll, Marta; Navarro, Joan; Bustamante, Javier; Green, Andy J.</t>
  </si>
  <si>
    <t>SCIENTIFIC REPORTS</t>
  </si>
  <si>
    <t>SAFE OPERATING SPACE; SMALL PELAGIC FISH; ADRIATIC SEA; MARINE ECOSYSTEMS; EUTROPHICATION; TRACKING; WATER; RISK</t>
  </si>
  <si>
    <t>Climate impacts on marine ecosystems may be exacerbated by other, more local stressors interacting synergistically, such as pollution and overexploitation of marine resources. The reduction of these human stressors has been proposed as an achievable way of retaining ecosystems within a safe operating space (SOS), where they remain resilient to ongoing climate change. However, the operability of an SOS requires a thorough understanding of the spatial distribution of these climate and human impacts. Using the Mediterranean Sea as a case study, we illustrate the spatial congruence between climate and human stressors impacting this iconic miniature ocean synergistically. We use long-term, spatially-explicit information on the distribution of multiple stressors to identify those highly impacted marine areas where human stressors should be prioritized for management if the resilience to climate impacts is to be maintained. Based on our spatial analysis, we exemplify how the management of an essential supporting service (seafood provision) and the conservation of a highly impacted Mediterranean sub-region (the Adriatic Sea) may benefit from the SOS framework.</t>
  </si>
  <si>
    <t>[Ramirez, Francisco] Univ Barcelona, Dept Biol Evolut Ecol &amp; Ciencies Ambientals, Av Diagonal 643, E-08028 Barcelona, Spain; [Ramirez, Francisco; Bustamante, Javier; Green, Andy J.] CSIC, Dept Wetland Ecol, Estn Biolog Donana, C Amer Vespucio 26, Seville 41092, Spain; [Coll, Marta; Navarro, Joan] CSIC, ICM, Passeig Maritim Barceloneta 37-49, Barcelona 08003, Spain; [Bustamante, Javier] CSIC, Remote Sensing &amp; GIS Lab LAST EBD, Estn Biol Donana, C Amer Vespucio 26, Seville 41092, Spain</t>
  </si>
  <si>
    <t>University of Barcelona; Consejo Superior de Investigaciones Cientificas (CSIC); Consejo Superior de Investigaciones Cientificas (CSIC); CSIC - Centro Mediterraneo de Investigaciones Marinas y Ambientales (CMIMA); CSIC - Instituto de Ciencias del Mar (ICM); Consejo Superior de Investigaciones Cientificas (CSIC); CSIC - Estacion Biologica de Donana (EBD)</t>
  </si>
  <si>
    <t>Ramírez, F (corresponding author), Univ Barcelona, Dept Biol Evolut Ecol &amp; Ciencies Ambientals, Av Diagonal 643, E-08028 Barcelona, Spain.;Ramírez, F (corresponding author), CSIC, Dept Wetland Ecol, Estn Biolog Donana, C Amer Vespucio 26, Seville 41092, Spain.</t>
  </si>
  <si>
    <t>ramirez@ub.edu</t>
  </si>
  <si>
    <t>Ramírez, Francisco/I-3553-2014; Navarro, Joan/C-2119-2009; Coll, Marta/A-9488-2012; Bustamante, Javier/C-2735-2008; Bustamante, Javier/AAA-7273-2019; Green, Andy/A-5189-2008; Navarro, Joan/C-2119-2009</t>
  </si>
  <si>
    <t>Ramírez, Francisco/0000-0001-9670-486X; Navarro, Joan/0000-0002-5756-9543; Coll, Marta/0000-0001-6235-5868; Bustamante, Javier/0000-0001-7515-0677; Navarro, Joan/0000-0002-5756-9543</t>
  </si>
  <si>
    <t>ECOPOTENTIAL (European Union -EU-Horizon 2020) [641762]; Subprograma Juan de la Cierva-Incorporacion; Ministerio de Economia, Industria y Competitividad [IJCI-2015-24531]; SafeNET (EU Horizon 2020) [EU-DGMARE MARE/2014/41]; MERCES (EU Horizon 2020) [689518]; PELWEB (Spanish Government) [CTM2017-88939-R]; Programa Ramon y Cajal; Ministerio de Economia, Industria y Competitividad [RYC-2015-1780]</t>
  </si>
  <si>
    <t>ECOPOTENTIAL (European Union -EU-Horizon 2020)(European Union (EU)); Subprograma Juan de la Cierva-Incorporacion; Ministerio de Economia, Industria y Competitividad; SafeNET (EU Horizon 2020); MERCES (EU Horizon 2020); PELWEB (Spanish Government); Programa Ramon y Cajal; Ministerio de Economia, Industria y Competitividad</t>
  </si>
  <si>
    <t>F. Ramirez was partially funded by ECOPOTENTIAL (grant agreement No. 641762, European Union -EU-Horizon 2020) and Subprograma Juan de la Cierva-Incorporacion; Ministerio de Economia, Industria y Competitividad (IJCI-2015-24531). M. Coll acknowledges partial financial support by SafeNET (EU-DGMARE MARE/2014/41, EU Horizon 2020), MERCES (grant agreement No. 689518, EU Horizon 2020) and PELWEB (CTM2017-88939-R, Spanish Government). J Navarro was funded by Programa Ramon y Cajal; Ministerio de Economia, Industria y Competitividad (RYC-2015-1780). Photos are courtesy of Javier Diaz and figures were edited by Isabel Afan, Remote Sensing and GIS Lab of the Estacion Biologica de Donana (CSIC) (LAST-EBD).</t>
  </si>
  <si>
    <t>NATURE PORTFOLIO</t>
  </si>
  <si>
    <t>BERLIN</t>
  </si>
  <si>
    <t>HEIDELBERGER PLATZ 3, BERLIN, 14197, GERMANY</t>
  </si>
  <si>
    <t>2045-2322</t>
  </si>
  <si>
    <t>SCI REP-UK</t>
  </si>
  <si>
    <t>Sci Rep</t>
  </si>
  <si>
    <t>OCT 5</t>
  </si>
  <si>
    <t>10.1038/s41598-018-33237-w</t>
  </si>
  <si>
    <t>GV9ST</t>
  </si>
  <si>
    <t>WOS:000446501400021</t>
  </si>
  <si>
    <t>Wanghe, KY; Guo, XL; Hu, FX; Ahmad, S; Jin, XW; Khan, TU; Xiao, YQ; Luan, XF</t>
  </si>
  <si>
    <t>Wanghe, Kunyuan; Guo, Xinle; Hu, Faxiang; Ahmad, Shahid; Jin, Xiaowen; Khan, Tauheed Ullah; Xiao, Yanqing; Luan, Xiaofeng</t>
  </si>
  <si>
    <t>Ailuropoda melanoleuca; Biodiversity hotspots; Conservation planning and policy; Human activities; Spatial overlap; Wildlife conservation</t>
  </si>
  <si>
    <t>WOLONG NATURE-RESERVE; AILUROPODA-MELANOLEUCA; MINSHAN MOUNTAINS; WILDLIFE HABITAT; LAND-COVER; BIODIVERSITY; ECOSYSTEM; POLICY; DISTURBANCE; CHEMISTRY</t>
  </si>
  <si>
    <t>Mining activities provide the increasing basic human needs of materials, and the pressures of mining operations on biodiversity have been widely recognized. The spatial coincidence between mining surfaces and protected areas (or biodiversity hotspots) were identified by many studies at the global, national, and landscape scales, but few studies have focused on the spatial overlap between mining activities and the protected areas of giant panda (Ailuropoda melanoleuca), which is a world-renowned vulnerable flagship species, whose habitat has been decreased and fragmented since the last century. In this paper, using the official data of mining operation areas, we applied spatial analyses to detect the correlation among mining surfaces, panda populations (77.4% of all wild individuals), as well as their habitat (61.8% of the whole territory) and protected areas. We proposed a biodiversity factor index (BDF) to empirically test the potential influences of mining activities on wildlife habitat or protected areas. The results showed that: 1) from 2010 to 2019, a total of 197 mining concessions were detected in the habitat and protected areas of pandas, covering an area of 354.60 km(2); 2) the most important types of protected areas for conservation (e.g. strict nature reserve and national park) suffered the most impacts caused by mining activities; 3) the panda populations preferred better habitat and avoided the mining sites, but mining operations introduced threats to the high suitability habitat most; 4) the high mining density areas were concentrated in seven zones. Finally, we discussed the reasons why mining operations were extendedly overlapped with the protected areas of panda habitat. Based on the spatial and temporal distribution of mining activities on panda habitat, some priority areas for habitat restorations were presented, which would attenuate the immediate conflict between stakeholders' interests and conservation at the beginning of restoration and increase the habitat quality in the long term.</t>
  </si>
  <si>
    <t>[Wanghe, Kunyuan; Guo, Xinle; Hu, Faxiang; Ahmad, Shahid; Khan, Tauheed Ullah; Luan, Xiaofeng] Beijing Forestry Univ, Sch Ecol &amp; Nat Conservat, 35 Qinghua East Rd, Beijing 100083, Peoples R China; [Jin, Xiaowen] Nanjing Forestry Univ, Coll Art &amp; Design, 159 Longpan Rd, Nanjing 210000, Jiangsu, Peoples R China; [Xiao, Yanqing] China Forest Int Engn Consulting Co Ltd, 32 Che Gong Zhuang West Rd, Beijing 100013, Peoples R China</t>
  </si>
  <si>
    <t>Beijing Forestry University; Nanjing Forestry University</t>
  </si>
  <si>
    <t>Luan, XF (corresponding author), Beijing Forestry Univ, Sch Ecol &amp; Nat Conservat, 35 Qinghua East Rd, Beijing 100083, Peoples R China.</t>
  </si>
  <si>
    <t>luanxiaofeng@bjfu.edu.cn</t>
  </si>
  <si>
    <t>; Wanghe, Kunyuan/KDN-8680-2024; Hu, FaXiang/IAM-9391-2023; ahmad, shahid/AAE-3976-2022</t>
  </si>
  <si>
    <t>Ahmad, shahid/0000-0002-8015-7037;</t>
  </si>
  <si>
    <t>National Park Monitoring Management and Capacity Improvement [2018HXFWBHQ-LXF-01]; Ministry of Science and Technology of the People's Republic of China: Research and application of key techniques on endangered species conservation planning in response to climate change [2013BAC09B00]</t>
  </si>
  <si>
    <t>National Park Monitoring Management and Capacity Improvement; Ministry of Science and Technology of the People's Republic of China: Research and application of key techniques on endangered species conservation planning in response to climate change</t>
  </si>
  <si>
    <t>This work was supported by the National Park Monitoring Management and Capacity Improvement [grant number 2018HXFWBHQ-LXF-01] and Ministry of Science and Technology of the People's Republic of China: Research and application of key techniques on endangered species conservation planning in response to climate change [grant number 2013BAC09B00].</t>
  </si>
  <si>
    <t>10.1016/j.biocon.2020.108600</t>
  </si>
  <si>
    <t>LY0XS</t>
  </si>
  <si>
    <t>WOS:000540247600015</t>
  </si>
  <si>
    <t>Sharma, R; Rimal, B; Stork, N; Baral, H; Dhakal, M</t>
  </si>
  <si>
    <t>Sharma, Roshan; Rimal, Bhagawat; Stork, Nigel; Baral, Himlal; Dhakal, Maheshwar</t>
  </si>
  <si>
    <t>Spatial Assessment of the Potential Impact of Infrastructure Development on Biodiversity Conservation in Lowland Nepal</t>
  </si>
  <si>
    <t>ISPRS INTERNATIONAL JOURNAL OF GEO-INFORMATION</t>
  </si>
  <si>
    <t>remote sensing; spatial modelling; infrastructure threats; habitat quality; biodiversity conservation</t>
  </si>
  <si>
    <t>HABITAT QUALITY; ROADS; TERRESTRIAL; LANDSCAPE; SCENARIOS; SERVICES; FUTURE; AREAS; RISK; GIS</t>
  </si>
  <si>
    <t>Biodiversity is declining at an unprecedented rate with infrastructure development being one of the leading causes. New infrastructure, such as roads, provides new access and results in increased land clearing and wildlife hunting. A number of large infrastructure projects, including new roads and rail, are being planned in Nepal. We show the application of readily available remotely sensed data and geospatial tools to assess the potential impact of these future developments on habitat quality under three protection-level scenarios. Our findings reveal that there is currently large spatial heterogeneity in habitat quality across the landscape as a result of current anthropogenic threats, and that three areas in particular could have up to 40% reduction in habitat quality as a result of the planned infrastructure. Further research is required to determine more precisely the impact on key species. Strengthening protected areas and buffer zones will contribute to mitigating degradation to some degree, however, large areas of biologically significant areas outside protected areas will be affected without new controls. Our geographic information systems (GIS) based methodology could be used to conduct studies in data poor developing countries, where rapid infrastructure development across ecological sites are ongoing, in order to make society, policy makers, and development planners aware.</t>
  </si>
  <si>
    <t>[Sharma, Roshan; Baral, Himlal] Ctr Int Forestry Res CIFOR, Jalan CIFOR, Bogor 16115, Barat, Indonesia; [Rimal, Bhagawat] Tribhuvan Univ, Coll Appl Sci CAS Nepal, Kathmandu 44613, Nepal; [Stork, Nigel] Griffith Univ, Environm Futures Res Inst, 170 Kessels Rd, Nathan, Qld 4111, Australia; [Stork, Nigel] Griffith Univ, Griffith Sch Environm, 170 Kessels Rd, Nathan, Qld 4111, Australia; [Dhakal, Maheshwar] Minist Forests &amp; Environm, Climate Change Management Div, Kathmandu 44600, Nepal</t>
  </si>
  <si>
    <t>CGIAR; Center for International Forestry Research (CIFOR); Tribhuvan University; Griffith University; Griffith University</t>
  </si>
  <si>
    <t>Sharma, R (corresponding author), Ctr Int Forestry Res CIFOR, Jalan CIFOR, Bogor 16115, Barat, Indonesia.</t>
  </si>
  <si>
    <t>roseanstore@hotmail.com; bhagawatrimal@gmail.com; nigel.stork@griffith.edu.au; h.baral@cgiar.org; maheshwar.dhakal@gmail.com</t>
  </si>
  <si>
    <t>; Sharma, Roshan/AAE-4454-2020; Stork, Nigel/LUZ-3359-2024</t>
  </si>
  <si>
    <t>Baral, Himlal/0000-0002-5107-3117; Rimal, Bhagawat/0000-0001-7480-4165; Stork, Nigel/0000-0001-7812-2452</t>
  </si>
  <si>
    <t>CGIAR Research Program on Forests, Trees and Agroforestry</t>
  </si>
  <si>
    <t>CGIAR Research Program on Forests, Trees and Agroforestry(CGIAR)</t>
  </si>
  <si>
    <t>The Center for International Forestry Research (CIFOR) provided an internship for Roshan Sharma during the data analysis and writing. We acknowledge the CGIAR Research Program on Forests, Trees and Agroforestry for making this article available to all by sponsoring CIFOR's payment of the journals Article Processing Fee. We appreciate the constructive suggestions made by 4 anonymous reviewers to improve the paper.</t>
  </si>
  <si>
    <t>2220-9964</t>
  </si>
  <si>
    <t>ISPRS INT J GEO-INF</t>
  </si>
  <si>
    <t>ISPRS Int. J. Geo-Inf.</t>
  </si>
  <si>
    <t>10.3390/ijgi7090365</t>
  </si>
  <si>
    <t>Computer Science, Information Systems; Geography, Physical; Remote Sensing</t>
  </si>
  <si>
    <t>Computer Science; Physical Geography; Remote Sensing</t>
  </si>
  <si>
    <t>GV0QR</t>
  </si>
  <si>
    <t>WOS:000445767900033</t>
  </si>
  <si>
    <t>Purroy, A; Requena, S; Gili, JM; Canepa, A; Sardá, R</t>
  </si>
  <si>
    <t>Purroy, Ariadna; Requena, Susana; Gili, Josep-Maria; Canepa, Antonio; Sarda, Rafael</t>
  </si>
  <si>
    <t>SCIENTIA MARINA</t>
  </si>
  <si>
    <t>benthic communities; fishery management; Mediterranean; marine protected area; GIS; metier</t>
  </si>
  <si>
    <t>SMALL-SCALE FISHERIES; MANAGEMENT; DISTURBANCE; HABITAT; GULF; CONSERVATION; COMMUNITIES; INDICATORS</t>
  </si>
  <si>
    <t>The northwestern Mediterranean region faces two contrasting realities: intensive fishing activity and a rising awareness among citizens of the need to protect ecologically important areas. In NE Spain, a large portion of the Cap de Creus area will be declared a Natura 2000 offshore site, establishing a large Marine Protected Area. This study examines the spatial distribution of artisanal fisheries and their potential impact on key vulnerable ecosystem components (KVECs) in the region. Data collection is based on a questionnaire-based survey in the absence of better records. An integrative map showing potential cumulative impact values for the Cap de Creus region was developed, including fishing gear pressure on selected KVECs. The most potentially impacted areas were found along the coast and on canyon margins. Results showed that different types of fishing gears converge, implying a higher impact on certain benthic communities and KVECs, with the greatest spatial coverage in coralligenous areas, Posidonia beds and maerl beds. When fishing log book and vessel monitoring system data are not available, the use of fishermen surveys linked to geographical information system tools can provide fundamental information for further implementation of effective measures for ecosystem-based management aimed at improving conservation of marine benthic ecosystems.</t>
  </si>
  <si>
    <t>[Purroy, Ariadna; Requena, Susana; Gili, Josep-Maria; Canepa, Antonio] CSIC, CMIMA, Inst Marine Sci, Dept Marine Biol, E-08003 Barcelona, Spain; [Sarda, Rafael] CSIC, Ctr Estudis Avancats Blanes, Blanes 17300, Girona, Spain</t>
  </si>
  <si>
    <t>Consejo Superior de Investigaciones Cientificas (CSIC); CSIC - Centro Mediterraneo de Investigaciones Marinas y Ambientales (CMIMA); CSIC - Instituto de Ciencias del Mar (ICM); Consejo Superior de Investigaciones Cientificas (CSIC); CSIC - Centre d'Estudis Avancats de Blanes (CEAB)</t>
  </si>
  <si>
    <t>Purroy, A (corresponding author), CSIC, CMIMA, Inst Marine Sci, Dept Marine Biol, Passeig Maritim Barceloneta 37-49, E-08003 Barcelona, Spain.</t>
  </si>
  <si>
    <t>apurroy@icm.csic.es; srequena@icm.csic.es; gili@icm.csic.es; canepa@icm.csic.es; sarda@ceab.csic.es</t>
  </si>
  <si>
    <t>Requena Moreno, Susana/ORK-1214-2025; Canepa Oneto, Antonio Jesús/R-5260-2018; Sardá, Rafael/J-9118-2012</t>
  </si>
  <si>
    <t>Requena Moreno, Susana/0000-0002-4424-7385; Purroy, Ariadna/0000-0002-1929-1990; Canepa Oneto, Antonio Jesús/0000-0002-0608-2743; Sardá, Rafael/0000-0003-2059-9017</t>
  </si>
  <si>
    <t>LIFE+INDEMARES Project [LIFE07/NAT/E/000732]</t>
  </si>
  <si>
    <t>LIFE+INDEMARES Project</t>
  </si>
  <si>
    <t>This work was funded by the LIFE+INDEMARES Project (LIFE07/NAT/E/000732). We would like to thank our colleagues at the benthic ecology lab at the ICM-CSIC for their assistance and the anonymous referees for their constructive comments.</t>
  </si>
  <si>
    <t>CONSEJO SUPERIOR INVESTIGACIONES CIENTIFICAS-CSIC</t>
  </si>
  <si>
    <t>MADRID</t>
  </si>
  <si>
    <t>VITRUVIO 8, 28006 MADRID, SPAIN</t>
  </si>
  <si>
    <t>0214-8358</t>
  </si>
  <si>
    <t>1886-8134</t>
  </si>
  <si>
    <t>SCI MAR</t>
  </si>
  <si>
    <t>Sci. Mar.</t>
  </si>
  <si>
    <t>10.3989/scimar.04000.21A</t>
  </si>
  <si>
    <t>AW2YS</t>
  </si>
  <si>
    <t>WOS:000346153200001</t>
  </si>
  <si>
    <t>Tarrant, J; Cilliers, D; du Preez, LH; Weldon, C</t>
  </si>
  <si>
    <t>Tarrant, Jeanne; Cilliers, Dirk; du Preez, Louis H.; Weldon, Che</t>
  </si>
  <si>
    <t>PREDICTING SPECIES DISTRIBUTIONS; SURVEY PROTOCOL; CHYTRIDIOMYCOSIS; PATHOGEN; DISEASE; DECLINES; CONSERVATION; TEMPERATURE; PREVALENCE; MORTALITY</t>
  </si>
  <si>
    <t>Chytridiomycosis has been identified as a major cause of global amphibian declines. Despite widespread evidence of Batrachochytrium dendrobatidis infection in South African frogs, sampling for this disease has not focused on threatened species, or whether this pathogen poses a disease risk to these species. This study assessed the occurrence of Bd-infection in South African Red List species. In addition, all known records of infection from South Africa were used to model the ecological niche of Bd to provide a better understanding of spatial patterns and associated disease risk. Presence and prevalence of Bd was determined through quantitative real-time PCR of 360 skin swab samples from 17 threatened species from 38 sites across the country. Average prevalence was 14.8% for threatened species, with pathogen load varying considerably between species. MaxEnt was used to model the predicted distribution of Bd based on 683 positive records for South Africa. The resultant probability threshold map indicated that Bd is largely restricted to the wet eastern and coastal regions of South Africa. A lack of observed adverse impacts on wild threatened populations supports the endemic pathogen hypothesis for southern Africa. However, all threatened species occur within the limits of the predicted distribution for Bd, exposing them to potential Bd-associated risk factors. Predicting pathogen distribution patterns and potential impact is increasingly important for prioritising research and guiding management decisions.</t>
  </si>
  <si>
    <t>[Tarrant, Jeanne; Cilliers, Dirk; du Preez, Louis H.; Weldon, Che] North West Univ, Unit Environm Sci &amp; Management, Potchefstroom, North West Prov, South Africa</t>
  </si>
  <si>
    <t>North West University - South Africa</t>
  </si>
  <si>
    <t>Tarrant, J (corresponding author), North West Univ, Unit Environm Sci &amp; Management, Potchefstroom, North West Prov, South Africa.</t>
  </si>
  <si>
    <t>jeannetarrant@ymail.com</t>
  </si>
  <si>
    <t>; Weldon, Ché/ISA-6512-2023; Tarrant, Jeanne/LQK-9174-2024</t>
  </si>
  <si>
    <t>Cilliers, Dirk/0000-0001-9777-0463; Weldon, Ché/0000-0001-6716-0787;</t>
  </si>
  <si>
    <t>Green Trust - Project [GT 1489]; National Research Foundation, South Africa</t>
  </si>
  <si>
    <t>Green Trust - Project; National Research Foundation, South Africa(National Research Foundation - South AfricaSouth African Medical Research Council)</t>
  </si>
  <si>
    <t>This research (part of JT's PhD) was funded by The Green Trust - Project number GT 1489. Bursary funding was also provided by the National Research Foundation, South Africa. The funders had no role in study design, data collection and analysis, decision to publish, or preparation of the manuscript.</t>
  </si>
  <si>
    <t>JUL 22</t>
  </si>
  <si>
    <t>e69591</t>
  </si>
  <si>
    <t>10.1371/journal.pone.0069591</t>
  </si>
  <si>
    <t>187PW</t>
  </si>
  <si>
    <t>WOS:000322132100070</t>
  </si>
  <si>
    <t>Stephenson, F; Polunin, NVC; Mill, AC; Scott, C; Lightfoot, P; Fitzsimmons, C</t>
  </si>
  <si>
    <t>Stephenson, Fabrice; Polunin, Nicholas V. C.; Mill, Aileen C.; Scott, Catherine; Lightfoot, Paula; Fitzsimmons, Clare</t>
  </si>
  <si>
    <t>ICES JOURNAL OF MARINE SCIENCE</t>
  </si>
  <si>
    <t>baited traps; ecosystem-based approach to fisheries management; fisheries-habitat interactions; fishing effort distribution; potting spatiotemporal analysis</t>
  </si>
  <si>
    <t>HOMARUS-AMERICANUS; HOME-RANGES; LOBSTER; FISHERIES; MANAGEMENT; PATTERNS; IMPACTS; SCALE; TRAP; SEA</t>
  </si>
  <si>
    <t>Habitat and fisheries usage data are key components for ecosystem-based approach to fisheries management (EBFM). Significant gaps in knowledge remain for fisheries-habitat interactions, particularly in inshore fisheries where vessels are &lt;12 m in length. Here, we show changes in inshore fishing effort distribution (&lt;12 m) and habitat use over the decade 2004-2013. Sightings data of fishing vessel activity recorded by the Northumberland Inshore Fishery and Conservation Authority (NIFCA) were combined with landings data to estimate and map potfishing activity between 2004 and 2013. Spatial temporal changes were investigated using Monte Carlo simulation of randomly sampled fishing effort maps. High resolution (1 m) broadscale (EUNIS level 3) predictive habitat maps of the Coquet to St Marys' Marine Conservation Zone (CQSM MCZ) were used to investigate spatial temporal changes in fishers' habitat selection using compositional analysis. Fishing effort in Northumberland increased between 2004 and 2013 (233 642-354 193 pots year(-1)). Fishing effort distribution differed between individual years, decreasing over large areas between 2004 and 2007, followed by increases, especially inshore, between 2008 and 2013. Fishers in the CQSM MCZ showed a preference for rocky habitats over sediment habitats. Habitat preference did not vary between years although all habitats experienced increasing fishing pressure. Spatial temporal changes in fishing effort and habitat use were discussed in relation to EBFM.</t>
  </si>
  <si>
    <t>[Stephenson, Fabrice; Polunin, Nicholas V. C.; Lightfoot, Paula; Fitzsimmons, Clare] Newcastle Univ, Sch Marine Sci &amp; Technol, Armstrong Bldg, Newcastle Upon Tyne NE1 7RU, Tyne &amp; Wear, England; [Mill, Aileen C.] Newcastle Univ, Sch Biol, Ridley Bldg, Newcastle Upon Tyne NE1 7RU, Tyne &amp; Wear, England; [Scott, Catherine] Nat England, Lancaster House, Newcastle Upon Tyne NE4 7YH, Tyne &amp; Wear, England</t>
  </si>
  <si>
    <t>Newcastle University - UK; Newcastle University - UK</t>
  </si>
  <si>
    <t>Stephenson, F (corresponding author), Newcastle Univ, Sch Marine Sci &amp; Technol, Armstrong Bldg, Newcastle Upon Tyne NE1 7RU, Tyne &amp; Wear, England.</t>
  </si>
  <si>
    <t>f.stephenson@newcastle.ac.uk</t>
  </si>
  <si>
    <t>Stephenson, Fabrice/0000-0002-9500-5204</t>
  </si>
  <si>
    <t>Natural England</t>
  </si>
  <si>
    <t>This project was funded by Natural England.</t>
  </si>
  <si>
    <t>1054-3139</t>
  </si>
  <si>
    <t>1095-9289</t>
  </si>
  <si>
    <t>ICES J MAR SCI</t>
  </si>
  <si>
    <t>ICES J. Mar. Sci.</t>
  </si>
  <si>
    <t>SEP-OCT</t>
  </si>
  <si>
    <t>10.1093/icesjms/fsx051</t>
  </si>
  <si>
    <t>Fisheries; Marine &amp; Freshwater Biology; Oceanography</t>
  </si>
  <si>
    <t>FJ4KR</t>
  </si>
  <si>
    <t>WOS:000412707000014</t>
  </si>
  <si>
    <t>Halpern, BS; Frazier, M; Potapenko, J; Casey, KS; Koenig, K; Longo, C; Lowndes, JS; Rockwood, RC; Selig, ER; Selkoe, KA; Walbridge, S</t>
  </si>
  <si>
    <t>Halpern, Benjamin S.; Frazier, Melanie; Potapenko, John; Casey, Kenneth S.; Koenig, Kellee; Longo, Catherine; Lowndes, Julia Stewart; Rockwood, R. Cotton; Selig, Elizabeth R.; Selkoe, Kimberly A.; Walbridge, Shaun</t>
  </si>
  <si>
    <t>NATURE COMMUNICATIONS</t>
  </si>
  <si>
    <t>ECOSYSTEM-BASED MANAGEMENT; MARINE; SUSTAINABILITY; BIODIVERSITY; STRESSORS; AREAS; MAP</t>
  </si>
  <si>
    <t>Human pressures on the ocean are thought to be increasing globally, yet we know little about their patterns of cumulative change, which pressures are most responsible for change, and which places are experiencing the greatest increases. Managers and policymakers require such information to make strategic decisions and monitor progress towards management objectives. Here we calculate and map recent change over 5 years in cumulative impacts to marine ecosystems globally from fishing, climate change, and ocean- and land-based stressors. Nearly 66% of the ocean and 77% of national jurisdictions show increased human impact, driven mostly by climate change pressures. Five percent of the ocean is heavily impacted with increasing pressures, requiring management attention. Ten percent has very low impact with decreasing pressures. Our results provide large-scale guidance about where to prioritize management efforts and affirm the importance of addressing climate change to maintain and improve the condition of marine ecosystems.</t>
  </si>
  <si>
    <t>[Halpern, Benjamin S.] Univ Calif Santa Barbara, Bren Sch Environm Sci &amp; Management, Santa Barbara, CA 93106 USA; [Halpern, Benjamin S.] Univ London Imperial Coll Sci Technol &amp; Med, Ascot SL5 7PY, Berks, England; [Halpern, Benjamin S.; Frazier, Melanie; Longo, Catherine; Lowndes, Julia Stewart; Selkoe, Kimberly A.] Natl Ctr Ecol Anal &amp; Synth, Santa Barbara, CA 93101 USA; [Potapenko, John] Univ Calif Santa Barbara, Dept Geog, Santa Barbara, CA 93106 USA; [Casey, Kenneth S.] NOAA, Natl Ctrs Environm Informat, Silver Spring, MD 20910 USA; [Koenig, Kellee; Selig, Elizabeth R.] Conservat Int, Betty &amp; Gordon Moore Ctr Sci &amp; Oceans, Arlington, VA 22202 USA; [Rockwood, R. Cotton] Univ Calif San Diego, Scripps Inst Oceanog, La Jolla, CA 92093 USA; [Selkoe, Kimberly A.] Univ Hawaii, Hawaii Inst Marine Biol, Kaneohe, HI 96744 USA; [Walbridge, Shaun] Boston Off, ESRI, Middleton, MA 01949 USA</t>
  </si>
  <si>
    <t>University of California System; University of California Santa Barbara; Imperial College London; University of California System; University of California Santa Barbara; University of California System; University of California Santa Barbara; National Oceanic Atmospheric Admin (NOAA) - USA; Conservation International; University of California System; University of California San Diego; Scripps Institution of Oceanography; University of Hawaii System</t>
  </si>
  <si>
    <t>Halpern, BS (corresponding author), Univ Calif Santa Barbara, Bren Sch Environm Sci &amp; Management, Santa Barbara, CA 93106 USA.</t>
  </si>
  <si>
    <t>halpern@bren.ucsb.edu</t>
  </si>
  <si>
    <t>; Halpern, Benjamin/J-6141-2014; Casey, Kenneth/D-4065-2013; Frazier, Melanie/A-2367-2012</t>
  </si>
  <si>
    <t>Lowndes, Julia/0000-0003-1682-3872; Rockwood, R Cotton/0000-0002-1231-4221; Halpern, Benjamin/0000-0001-8844-2302; Casey, Kenneth/0000-0002-6052-7117; Koenig, Kellee/0000-0002-2505-860X</t>
  </si>
  <si>
    <t>Arctic Options: Holistic Integration for Arctic Coastal Marine Sustainability; National Science Foundation, Division of Polar Programs [PLR-1263819]; Office of Polar Programs (OPP); Directorate For Geosciences [1263819] Funding Source: National Science Foundation</t>
  </si>
  <si>
    <t>Arctic Options: Holistic Integration for Arctic Coastal Marine Sustainability; National Science Foundation, Division of Polar Programs(National Science Foundation (NSF)); Office of Polar Programs (OPP); Directorate For Geosciences(National Science Foundation (NSF)NSF - Directorate for Geosciences (GEO))</t>
  </si>
  <si>
    <t>All data are described in the Supplementary Information and are freely available at doi:10.5063/F19Z92TW. This paper is a contribution to Imperial College's Grand Challenges in Ecosystems and the Environment initiative. This manuscript has been prepared with support from Arctic Options: Holistic Integration for Arctic Coastal Marine Sustainability, with funding from the National Science Foundation, Division of Polar Programs (Grant No. PLR-1263819).</t>
  </si>
  <si>
    <t>NATURE PUBLISHING GROUP</t>
  </si>
  <si>
    <t>MACMILLAN BUILDING, 4 CRINAN ST, LONDON N1 9XW, ENGLAND</t>
  </si>
  <si>
    <t>2041-1723</t>
  </si>
  <si>
    <t>NAT COMMUN</t>
  </si>
  <si>
    <t>Nat. Commun.</t>
  </si>
  <si>
    <t>10.1038/ncomms8615</t>
  </si>
  <si>
    <t>CO0QM</t>
  </si>
  <si>
    <t>WOS:000358857000008</t>
  </si>
  <si>
    <t>González-Suárez, M; Ferreira, FZ; Grilo, C</t>
  </si>
  <si>
    <t>Gonzalez-Suarez, Manuela; Ferreira, Flavio Zanchetta; Grilo, Clara</t>
  </si>
  <si>
    <t>bird; Brazil; life history; machine-learning models; mammal; random forest; road-associated mortality; species traits</t>
  </si>
  <si>
    <t>VULNERABILITY; POPULATIONS; IMPUTATION; RESPONSES; MAMMALS; BIRDS; DIET</t>
  </si>
  <si>
    <t>Aim Collisions between wildlife and vehicles are recognized as one of the major causes of mortality for many species. Empirical estimates of road mortality show that some species are more likely to be killed than others, but to what extent this variation can be explained and predicted using intrinsic species characteristics remains poorly understood. This study aims to identify general macroecological patterns associated with road mortality and generate spatial and species-level predictions of risks. LocationTime periodBrazil. 2001-2014. Major taxaMethodsBirds and mammals. We fitted trait-based random forest regression models (controlling for survey characteristics) to explain 783 empirical road mortality rates from Brazil, representing 170 bird and 73 mammalian species. Fitted models were then used to make spatial and species-level predictions of road mortality risk in Brazil, considering 1,775 birds and 623 mammals that occur within the continental boundaries of the country. ResultsConclusionSurvey frequency and geographical location were key predictors of observed rates, but mortality was also explained by the body size, reproductive speed and ecological specialization of the species. Spatial predictions revealed a high potential standardized (per kilometre of road) mortality risk in Amazonia for birds and mammals and, additionally, a high risk in Southern Brazil for mammals. Given the existing road network, these predictions mean that &gt;8 million birds and &gt;2 million mammals could be killed per year on Brazilian roads. Furthermore, predicted rates for all Brazilian endotherms uncovered potential vulnerability to road mortality of several understudied species that are currently listed as threatened by the International Union for Conservation of Nature. With a rapidly expanding global road network, there is an urgent need to develop improved approaches to assess and predict road-related impacts. This study illustrates the potential of trait-based models as assessment tools to gain a better understanding of the correlates of vulnerability to road mortality across species, and as predictive tools for difficult-to-sample or understudied species and areas.</t>
  </si>
  <si>
    <t>[Gonzalez-Suarez, Manuela] Univ Reading, Sch Biol Sci, Ecol &amp; Evolutionary Biol, Reading RG6 6AS, Berks, England; [Ferreira, Flavio Zanchetta; Grilo, Clara] Univ Fed Lavras, Dept Biol, Setor Ecol, Lavras, Brazil</t>
  </si>
  <si>
    <t>University of Reading; Universidade Federal de Lavras</t>
  </si>
  <si>
    <t>González-Suárez, M (corresponding author), Univ Reading, Sch Biol Sci, Ecol &amp; Evolutionary Biol, Reading RG6 6AS, Berks, England.</t>
  </si>
  <si>
    <t>manuela.gonzalez@reading.ac.uk</t>
  </si>
  <si>
    <t>Gonzalez Suarez, Manuela/B-9740-2008; Grilo, Clara/H-2002-2012</t>
  </si>
  <si>
    <t>Gonzalez Suarez, Manuela/0000-0001-5069-8900; Grilo, Clara/0000-0001-9870-3115</t>
  </si>
  <si>
    <t>Conselho Nacional de Desenvolvimento Cientifico e Tecnologico [300021/2015-1, 401171/2014-0]; Coordenacao de Aperfeicoamento de Pessoal de Nivel Superior [32004010017P3]</t>
  </si>
  <si>
    <t>Conselho Nacional de Desenvolvimento Cientifico e Tecnologico(Conselho Nacional de Desenvolvimento Cientifico e Tecnologico (CNPQ)); Coordenacao de Aperfeicoamento de Pessoal de Nivel Superior(Coordenacao de Aperfeicoamento de Pessoal de Nivel Superior (CAPES))</t>
  </si>
  <si>
    <t>Conselho Nacional de Desenvolvimento Cientifico e Tecnologico, Grant/Award Number: 300021/2015-1, 401171/2014-0; Coordenacao de Aperfeicoamento de Pessoal de Nivel Superior, Grant/Award Number: 32004010017P3.</t>
  </si>
  <si>
    <t>10.1111/geb.12769</t>
  </si>
  <si>
    <t>GY5TZ</t>
  </si>
  <si>
    <t>WOS:000448647200008</t>
  </si>
  <si>
    <t>Baskaran, N; Ramkumaran, K; Karthikeyan, G</t>
  </si>
  <si>
    <t>Baskaran, Nagarajan; Ramkumaran, Kamaraj; Karthikeyan, Ganesan</t>
  </si>
  <si>
    <t>MAMMALIAN BIOLOGY</t>
  </si>
  <si>
    <t>Blackbuck; Competition; Dietary and spatial overlap; Feral horse; Population density; India</t>
  </si>
  <si>
    <t>DEER; CONSEQUENCES; DIVERSITY; CATTLE; ELK</t>
  </si>
  <si>
    <t>Overgrazing by livestock is a serious threat to the biodiversity in the tropical forests of Asia. Feral horse, an introduced species at Point Calimere Wildlife Sanctuary, is a grazer and overlaps extensively in space and food resources with blackbuck, a native species, and thus could be a potential competitor. We have assessed, between December 2012 and June 2013, if the ecological conditions in the study site favour competition between these two species by assessing their spatial distribution pattern, population density, and dietary overlap. Spatial distribution pattern on direct sighting of both the species across habitats revealed that feral horses ranged mostly in the southern and southeastern parts of the sanctuary, in areas mostly with open grasslands, overlapping extensively in space with blackbuck, a grassland habitat specialist of the sanctuary. Population density estimated using line-transect distance sampling method showed 50 (95% CI 41.6-60.6) blacicbucks and 21 (15.2-30.0) feral horses per km(2) of the sanctuary. Dietary overlap assessed through site examination of feeding trails revealed that out of 14 plant species identified from blackbuck diet during the study period, 12 (86%) were also consumed by feral horses. Similarly, food plants such as Cloris parpata, a grass species, and herb Desmodiam dryflorae, the principal food of blackbuck, were also the major food plants of feral horses. Further, estimation of food consumption rate showed that feral horse consumed significantly more food per unit time (2.8 +/- 0.08 g/min) than black buck (1.7 +/- 0.07 g/min). Dietary overlap estimated using Schoener's Index showed a significant overlap between the two species (overall 89% and habitat-wise 85-90%). An analysis of food preference using Jacob's Preference Index revealed that all the preferred food plants of the blackbuck were equally preferred by feral horses indicating significant overlap in the diet species composition. Although the density estimate revealed a lesser number of feral horses per capita than blackbuck, the higher food consumption rate of the former coupled with larger body mass, could outweigh the higher density of blackbuck and the same is discussed as an effective ecological competitor. Based on the findings appropriate recommendations are made for the management of blackbuck in the sanctuary. (C) 2016 Deutsche Gesellschaft fur Saugetierkunde. Published by Elsevier GmbH. All rights reserved.</t>
  </si>
  <si>
    <t>[Baskaran, Nagarajan; Ramkumaran, Kamaraj; Karthikeyan, Ganesan] AVC Coll Autonomous, Dept Zool &amp; Wildlife Biol, Mannampandal 609305, Mayiladuthurai, India</t>
  </si>
  <si>
    <t>Baskaran, N (corresponding author), AVC Coll Autonomous, Dept Zool &amp; Wildlife Biol, Mannampandal 609305, Mayiladuthurai, India.</t>
  </si>
  <si>
    <t>nagarajan.baskaran@gmail.com</t>
  </si>
  <si>
    <t>Baskaran, Nagarajan/T-9880-2018</t>
  </si>
  <si>
    <t>Baskaran, Nagarajan/0000-0003-3590-4854</t>
  </si>
  <si>
    <t>1616-5047</t>
  </si>
  <si>
    <t>1618-1476</t>
  </si>
  <si>
    <t>MAMM BIOL</t>
  </si>
  <si>
    <t>Mamm. Biol.</t>
  </si>
  <si>
    <t>10.1016/j.mambio.2016.02.004</t>
  </si>
  <si>
    <t>DN1CV</t>
  </si>
  <si>
    <t>WOS:000376804800009</t>
  </si>
  <si>
    <t>Keith, DA; McDougall, KL; Simpson, CC; Walsh, JL</t>
  </si>
  <si>
    <t>Keith, David A.; McDougall, Keith L.; Simpson, Christopher C.; Walsh, Jillian L.</t>
  </si>
  <si>
    <t>PROCEEDINGS OF THE LINNEAN SOCIETY OF NEW SOUTH WALES</t>
  </si>
  <si>
    <t>disease susceptibility; conservation planning; risk assessment; risk mapping; Royal National Park; species distribution model</t>
  </si>
  <si>
    <t>Phytophthora cinnamomi, a soil-borne pathogen that infects the roots of plants, is listed as a Key Threatening Process under Commonwealth and NSW state biodiversity legislation due to its deleterious effects on native flora. In warm temperate eastern Australia, the disease may cause insidious declines in plant species that have slow rates of population turnover, and thereby threaten their long term persistence. Phytophthora cinnamomi has been known to occur in Royal National Park since the 1970s and systematic surveys for the pathogen were carried out a decade ago. Development of effective management strategies to mitigate the impacts of the disease requires information on the spatial distribution of risks posed by the disease. In this study, we use limited disease survey data to identify areas that are most at risk. We propose and apply a simple risk model in which risks of disease impact are proportional to the product of habitat suitability for the pathogen and abundance of susceptible biota. We modelled habitat suitability of the pathogen from available survey data and found that soil landscapes and topographic variables were the strongest predictors. Susceptible flora were concentrated on sandstone plateaus. Disease risks were greatest on the sandstone plateaus and lowest in the shale gullies with intermediate levels of risk on shale ridges and the coastal sand plain. The outcomes of this spatially explicit risk assessment will help inform the development of management strategies and priorities for the disease in the Park. Our approach lends itself to broader application to conservation planning in other landscapes and to other threats to biodiversity.</t>
  </si>
  <si>
    <t>[Keith, David A.; McDougall, Keith L.; Simpson, Christopher C.; Walsh, Jillian L.] NSW Off Environm &amp; Heritage, Hurstville, NSW 2220, Australia; [Keith, David A.] Univ New S Wales, Australian Wetlands &amp; Rivers Ctr, Sydney, NSW 2052, Australia; [McDougall, Keith L.] La Trobe Univ, Dept Environm Management &amp; Ecol, Wodonga, Vic 3689, Australia</t>
  </si>
  <si>
    <t>Office of Environment &amp; Heritage - New South Wales; University of New South Wales Sydney; La Trobe University</t>
  </si>
  <si>
    <t>Keith, DA (corresponding author), NSW Off Environm &amp; Heritage, POB 1967, Hurstville, NSW 2220, Australia.</t>
  </si>
  <si>
    <t>LINNEAN SOC NEW SOUTH WALES</t>
  </si>
  <si>
    <t>NEW SOUTH WALES</t>
  </si>
  <si>
    <t>PO BOX 137, MATRAVILLE, NEW SOUTH WALES, 2036, AUSTRALIA</t>
  </si>
  <si>
    <t>0370-047X</t>
  </si>
  <si>
    <t>P LINN SOC N S W</t>
  </si>
  <si>
    <t>Proc. Linn. Soc. N. S. W.</t>
  </si>
  <si>
    <t>B147</t>
  </si>
  <si>
    <t>B179</t>
  </si>
  <si>
    <t>V30XO</t>
  </si>
  <si>
    <t>WOS:000208848900020</t>
  </si>
  <si>
    <t>Ambastha, KR; Hussain, SA; Badola, R; Roy, PS</t>
  </si>
  <si>
    <t>Ambastha, K. R.; Hussain, S. A.; Badola, R.; Roy, P. S.</t>
  </si>
  <si>
    <t>JOURNAL OF THE INDIAN SOCIETY OF REMOTE SENSING</t>
  </si>
  <si>
    <t>Mangrove Forests; Anthropogenic Disturbance; Remote Sensing; Geographic Information Systems (GIS); Resource Use; Total Use Value</t>
  </si>
  <si>
    <t>REMOTE-SENSING DATA; LANDSCAPE ECOLOGY; BIODIVERSITY CHARACTERIZATION; LAND-COVER; MANAGEMENT; GIS; LEVEL; MODEL; FRAGMENTATION; ECOSYSTEMS</t>
  </si>
  <si>
    <t>The dependence of coastal communities on mangrove forests for direct consumptive use due to the scarcity of alternate resources makes them one of the highly disturbed landscapes. This paper examines the spatial characteristics and extent of anthropogenic disturbances affecting the mangrove forests of Bhitarkanika Conservation Area situated along the east coast of India by using remotely sensed data and GIS, supplemented with socioeconomic surveys. The study reveals that resource extractions from these forests were considerable despite the protected status. Around 14% of the total fuel wood consumed annually in each of the household came from the mangrove forests of the Park. The patterns of consumption were spatially heterogeneous, controlled by the availability of alternatives, ease of accessibility, presence of markets, human density, and forest composition. The disturbance surface showed 30% of the major forest classes to be under high to very high levels of disturbance especially at easy access points. Besides, the distribution of economically useful species also determined the degree of disturbance. Resource use surfaces clearly identified the biotic pressure zones with respect to specific mangrove use and could be combined with the disturbance regime map to prioritize areas for mangrove restoration.</t>
  </si>
  <si>
    <t>[Ambastha, K. R.; Hussain, S. A.; Badola, R.] Wildlife Inst India, Dehra Dun 248003, Uttarakhand, India; [Roy, P. S.] Natl Remote Sensing Ctr, Hyderabad 500625, Andhra Pradesh, India</t>
  </si>
  <si>
    <t>Wildlife Institute of India; Department of Space (DoS), Government of India; Indian Space Research Organisation (ISRO); National Remote Sensing Centre (NRSC)</t>
  </si>
  <si>
    <t>Hussain, SA (corresponding author), Wildlife Inst India, Post Box 18, Dehra Dun 248003, Uttarakhand, India.</t>
  </si>
  <si>
    <t>hussain@wii.gov.in</t>
  </si>
  <si>
    <t>Roy, Parth/O-8586-2019</t>
  </si>
  <si>
    <t>IGIDR, Mumbai</t>
  </si>
  <si>
    <t>Funding for this research was provided under the Indian Environment Management Capacity Building (EMCaB) Project of IGIDR, Mumbai. We thank the Chief Wildlife Warden, Orissa and Anup Nayak, Divisional Forest Officer, Mangrove Forest Division, Rajanagar for extending necessary permission and support for carrying out the field research. We would like to thank the Director and the Dean, Wildlife Institute of India for extending their support for this project.</t>
  </si>
  <si>
    <t>0255-660X</t>
  </si>
  <si>
    <t>0974-3006</t>
  </si>
  <si>
    <t>J INDIAN SOC REMOTE</t>
  </si>
  <si>
    <t>J. Indian Soc. Remote Sens.</t>
  </si>
  <si>
    <t>10.1007/s12524-010-0013-y</t>
  </si>
  <si>
    <t>Environmental Sciences; Remote Sensing</t>
  </si>
  <si>
    <t>Environmental Sciences &amp; Ecology; Remote Sensing</t>
  </si>
  <si>
    <t>644QB</t>
  </si>
  <si>
    <t>WOS:000281393500007</t>
  </si>
  <si>
    <t>Durango-Cordero, J; Saqalli, M; Laplanche, C; Locquet, M; Elger, A</t>
  </si>
  <si>
    <t>Durango-Cordero, Juan; Saqalli, Mehdi; Laplanche, Christophe; Locquet, Marine; Elger, Arnaud</t>
  </si>
  <si>
    <t>Spatial Analysis of Accidental Oil Spills Using Heterogeneous Data: A Case Study from the North-Eastern Ecuadorian Amazon</t>
  </si>
  <si>
    <t>spatial prediction; hydrocarbons; spill estimates; the Amazon; pollution hotspot</t>
  </si>
  <si>
    <t>AERIAL SURVEILLANCE; RISK; VULNERABILITY; HEALTH; ENVIRONMENT; DISCHARGES; FACILITIES; EMISSIONS; POLLUTION; TRENDS</t>
  </si>
  <si>
    <t>Accidental oil spills were assessed in the north-eastern Ecuadorian Amazon, a rich biodiversity and cultural heritage area. Institutional reports were used to estimate oil spill volumes over the period 2001-2011. However, we had to make with heterogeneous and incomplete data. After statistically discriminating well- and poorly-documented oil blocks, some spill factors were derived from the former to spatially allocate oil spills where fragmentary data were available. Spatial prediction accuracy was assessed using similarity metrics in a cross-validation approach. Results showed 464 spill events (42.2/year), accounting for 10,000.2 t of crude oil, equivalent to annual discharges of 909.1 (+/- SD = 1219.5) t. Total spill volumes increased by 54.8% when spill factors were used to perform allocation to poorly-documented blocks. Resulting maps displayed pollution hotspots' in Dayuma and Joya de Los Sachas, with the highest inputs averaging 13.8 t km(-2) year(-1). The accuracy of spatial prediction ranged from 32 to 97%, depending on the metric and the weight given to double-zeros. Simulated situations showed that estimation accuracy depends on variabilities in incident occurrences and in spill volumes per incident. Our method is suitable for mapping hazards and risks in sensitive ecosystems, particularly in areas where incomplete data hinder this process.</t>
  </si>
  <si>
    <t>[Durango-Cordero, Juan; Laplanche, Christophe; Locquet, Marine; Elger, Arnaud] Univ Toulouse, ECOLAB, CNRS, INPT,UPS, F-31400 Toulouse, France; [Durango-Cordero, Juan; Saqalli, Mehdi] Univ Toulouse, GEODE, CNRS, UT2J, F-31058 Toulouse, France</t>
  </si>
  <si>
    <t>Universite de Toulouse; Universite Federale Toulouse Midi-Pyrenees (ComUE); Universite Toulouse III - Paul Sabatier; Institut National Polytechnique de Toulouse; Centre National de la Recherche Scientifique (CNRS); Universite de Toulouse; Universite de Toulouse - Jean Jaures; Centre National de la Recherche Scientifique (CNRS)</t>
  </si>
  <si>
    <t>Durango-Cordero, J (corresponding author), Univ Toulouse, ECOLAB, CNRS, INPT,UPS, F-31400 Toulouse, France.;Durango-Cordero, J (corresponding author), Univ Toulouse, GEODE, CNRS, UT2J, F-31058 Toulouse, France.</t>
  </si>
  <si>
    <t>juandurango@ensat.fr; mehdi.saqalli@univ-tlse2.fr; christophe.laplanche@ensat.fr; marinelocquet31@gmail.com; arnaud.elger@univ-tlse3.fr</t>
  </si>
  <si>
    <t>Durango, J/AAD-4420-2020</t>
  </si>
  <si>
    <t>Saqalli, Mehdi/0000-0001-5405-466X</t>
  </si>
  <si>
    <t>Ecuadorian National Secretary of Higher Education, Science and Technology (SENESCYT); ANR-MONOIL Project [ANR-13-SENV-0003-01]; Agence Nationale de la Recherche (ANR) [ANR-13-SENV-0003] Funding Source: Agence Nationale de la Recherche (ANR)</t>
  </si>
  <si>
    <t>Ecuadorian National Secretary of Higher Education, Science and Technology (SENESCYT); ANR-MONOIL Project; Agence Nationale de la Recherche (ANR)(Agence Nationale de la Recherche (ANR))</t>
  </si>
  <si>
    <t>This research was funded by the Ecuadorian National Secretary of Higher Education, Science and Technology (SENESCYT) for the financial support provided and the ANR-MONOIL Project N ANR-13-SENV-0003-01.</t>
  </si>
  <si>
    <t>10.3390/su10124719</t>
  </si>
  <si>
    <t>HG9OL</t>
  </si>
  <si>
    <t>WOS:000455338100385</t>
  </si>
  <si>
    <t>Gallagher, FJ; Pechmann, I; Bogden, JD; Grabosky, J; Weis, P</t>
  </si>
  <si>
    <t>Gallagher, Frank J.; Pechmann, Ildiko; Bogden, John D.; Grabosky, Jason; Weis, Peddrick</t>
  </si>
  <si>
    <t>translocation assemblage structure; metal accumulation; brownfield; railyard; historic fill</t>
  </si>
  <si>
    <t>SALT-MARSH MACROPHYTES; HIGHLY SKEWED DATA; PHRAGMITES-AUSTRALIS; COPPER; ZN; ACCUMULATION; ABSORPTION; LEAD; AVAILABILITY; TOXICITY</t>
  </si>
  <si>
    <t>Anthropogenic Sources of toxic elements have had serious ecological and human health impacts. Analysis of the soil samples from a brownfield within Liberty State Park, Jersey City, NJ, USA, showed that arsenic, chromium, lead, zinc and vanadium exist at concentrations above those considered ambient for the area. Accumulation and translocation features were characterized for the dominant plant species of four vegetative assemblages. The trees Betula populifolia and Populus deltoides were found to be accumulating Zn in leaf tissue at extremely high levels. B. populifolia, P. deltoides and Rhus copallinum accumulated Cr primarily in the root tissue. A comparison of soil metal maps and vegetative assemblage maps indicates that areas of increasing total soil metal load were dominated by successional northern hardwoods while semi-emergent marshes consisting mostly of endemic species were restricted primarily to areas of low soil metal load. (C) 2007 Elsevier Ltd. All rights reserved.</t>
  </si>
  <si>
    <t>[Gallagher, Frank J.; Grabosky, Jason] Rutgers State Univ, Dept Ecol Evolut &amp; Nat Resources, Urban Forestry Program, New Brunswick, NJ 08901 USA; [Pechmann, Ildiko; Weis, Peddrick] Univ Med &amp; Dent New Jersey, New Jersey Med Sch, Dept Radiol, Newark, NJ 07101 USA; [Bogden, John D.] Univ Med &amp; Dent New Jersey, New Jersey Med Sch, Dept Prevent Med &amp; Community Hlth, Newark, NJ 07101 USA</t>
  </si>
  <si>
    <t>Rutgers University System; Rutgers University New Brunswick; Rutgers University System; Rutgers University New Brunswick; Rutgers University Biomedical &amp; Health Sciences; Rutgers University System; Rutgers University New Brunswick; Rutgers University Biomedical &amp; Health Sciences</t>
  </si>
  <si>
    <t>Gallagher, FJ (corresponding author), Rutgers State Univ, Dept Ecol Evolut &amp; Nat Resources, Urban Forestry Program, 14 Coll Farm Rd, New Brunswick, NJ 08901 USA.</t>
  </si>
  <si>
    <t>fgallagh@earthlink.net</t>
  </si>
  <si>
    <t>; BOGDEN, JOHN/ABG-6718-2020</t>
  </si>
  <si>
    <t>Grabosky, Jason/0000-0003-4226-2888;</t>
  </si>
  <si>
    <t>10.1016/j.envpol.2007.08.011</t>
  </si>
  <si>
    <t>301XY</t>
  </si>
  <si>
    <t>WOS:000255931000012</t>
  </si>
  <si>
    <t>Nieman, WA; Leslie, AJ; Wilkinson, A; Wossler, TC</t>
  </si>
  <si>
    <t>Nieman, Willem A.; Leslie, Alison J.; Wilkinson, Anita; Wossler, Theresa C.</t>
  </si>
  <si>
    <t>Agriculture; Buffer zones; Bushmeat; Community conservation; Questionnaires; Illegal hunting</t>
  </si>
  <si>
    <t>SERENGETI-NATIONAL-PARK; ILLEGAL BUSHMEAT TRADE; WESTERN SERENGETI; LAW-ENFORCEMENT; PROTECTED AREAS; WILDLIFE; TANZANIA; DRIVERS; IMPACTS; FORESTS</t>
  </si>
  <si>
    <t>Bushmeat harvesting, fuelled by wire-snare poaching, is recognized as a severe threat to biodiversity throughout East and Central Africa, and has been directly linked to severe reductions or extirpations of target species, high rates of non-target off-take of threatened species, and the loss of functional ecosystem processes. Studies dedicated to assessing the extent and underlying dynamics of wire-snare poaching in South Africa are lacking, and no formal research has been conducted in the Boland Region, despite growing evidence of wire-snare incidence. Through structured interviews with farm owners, managers and labourers on private agricultural properties bordering protected areas (PAs), this study quantified the influence of several socioeconomic and biophysical determinants on the incidence of wire-snare poaching across the study area. Wire-snare poaching incidence and behaviour was strongly influenced by economic factors relating to poverty, a perceived lack of governing regulations and punitive measures, interpersonal development, and abiotic factors such as proximity to major residential areas, roadways and PAs. Respondents reported that small antelope and porcupine were most affected by wire-snare poaching. Several activity hotspots across the region were identified. This study provided the first demonstration of the multifaceted and complex nature of wire-snare poaching in the Boland Region. In doing so, a dialogue was opened between rural communities and conservation agencies to broaden our understanding of the heterogeneity in local-scale socioecological dynamics, to apply policies for effective management and eradication, and to provide grounds for future research in the area and elsewhere.</t>
  </si>
  <si>
    <t>[Nieman, Willem A.; Leslie, Alison J.] Univ Stellenbosch, Dept Conservat Ecol &amp; Entomol, ZA-7602 Matieland, Western Cape, South Africa; [Wilkinson, Anita] Cape Leopard Trust, POB 31139, ZA-7966 Cape Town, South Africa; [Wossler, Theresa C.] Univ Stellenbosch, Dept Bot &amp; Zool, ZA-7602 Matieland, Western Cape, South Africa</t>
  </si>
  <si>
    <t>Stellenbosch University; Stellenbosch University</t>
  </si>
  <si>
    <t>Nieman, WA (corresponding author), Univ Stellenbosch, Dept Conservat Ecol &amp; Entomol, ZA-7602 Matieland, Western Cape, South Africa.</t>
  </si>
  <si>
    <t>17688132@sun.ac.za</t>
  </si>
  <si>
    <t>; Nieman, Willem/JKI-1281-2023</t>
  </si>
  <si>
    <t>Nieman, Willem Aiaan/0000-0001-9669-8797; Wilkinson, Anita/0000-0001-7003-9371</t>
  </si>
  <si>
    <t>Wilderness Foundation Africa; Hans Hoheisen Charitable Trust</t>
  </si>
  <si>
    <t>Research partially funded through grants to the Cape Leopard Trust by Wilderness Foundation Africa and the Hans Hoheisen Charitable Trust. We thank Brittany Schultz for field assistance, Rhoda Malgas for providing input on the construction of the questionnaires, and every participating farmer and labourer for their accounts. Ethical clearance was obtained from the Human Research Council at Stellenbosch University (Reference: SU-HSD-004696).</t>
  </si>
  <si>
    <t>10.1016/j.jnc.2019.125738</t>
  </si>
  <si>
    <t>WOS:000497781700004</t>
  </si>
  <si>
    <t>Abreo, NAS; Thompson, KF; Arabejo, GFP; Superio, MDA</t>
  </si>
  <si>
    <t>Abreo, Neil Angelo S.; Thompson, Kirsten F.; Arabejo, Glio Florgiley P.; Superio, Michael Dann A.</t>
  </si>
  <si>
    <t>Plastic; Marine debris; Social media; Citizen science; Pollution; Philippines</t>
  </si>
  <si>
    <t>PLASTIC DEBRIS; CHELONIA-MYDAS; BEAKED-WHALE; INGESTION; TURTLES; POLLUTION; HOTSPOTS</t>
  </si>
  <si>
    <t>Marine litter is a global threat to marine biodiversity. However, there is a key knowledge gap on the impacts of marine litter in the Philippines - a country of high marine biodiversity and large exclusive economic zone. This gap is addressed here by using information shared on the interne by citizen scientists and conservation groups to assess the impacts of marine litter on megafauna. Facebook, presently the largest social media platform, was scanned for posts concerning the interaction between litter and marine species in the Philippines. Results showed thirty-two individuals from 17 species were affected by marine litter in the country. Furthermore, ingestion (61%) was the most frequent interaction reported. Mindanao was also identified as a hotspot for marine litter interactions. The study highlights the utility of social media in providing data to create an inventory of marine species adversely affected by litter and the spatial distribution of these interactions.</t>
  </si>
  <si>
    <t>[Abreo, Neil Angelo S.] Malayan Coll Mindanao, Senior High Sch Dept, Davao, Philippines; [Abreo, Neil Angelo S.; Arabejo, Glio Florgiley P.] Davao Oriental State Coll Sci &amp; Technol, Reg Integrated Coastal Resource Management Ctr RI, Mati City, Davao Oriental, Philippines; [Abreo, Neil Angelo S.] Davao Norte State Coll, Inst Aquat &amp; Appl Sci, Panabo City, Philippines; [Thompson, Kirsten F.] Univ Exeter, Coll Life &amp; Environm Sci, Exeter, Devon, England; [Superio, Michael Dann A.] Univ Southeastern Philippines, Grad Sch, Dept Nat Sci, Coll Arts &amp; Sci, Davao, Philippines</t>
  </si>
  <si>
    <t>University of Exeter; University of Southeastern Philippines</t>
  </si>
  <si>
    <t>Abreo, NAS (corresponding author), Malayan Coll Mindanao, Senior High Sch Dept, Davao, Philippines.</t>
  </si>
  <si>
    <t>nas.abreo@gmail.com</t>
  </si>
  <si>
    <t>Abreo, Neil Angelo/HOC-8500-2023; Superio, Michael Dann A./OHR-4417-2025</t>
  </si>
  <si>
    <t>Abreo, Neil Angelo/0000-0003-3562-0309;</t>
  </si>
  <si>
    <t>10.1016/j.marpolbul.2019.01.030</t>
  </si>
  <si>
    <t>HP1CF</t>
  </si>
  <si>
    <t>WOS:000461402300007</t>
  </si>
  <si>
    <t>Chun, J; Kim, CK; Kim, GS; Jeong, J; Lee, WK</t>
  </si>
  <si>
    <t>Chun, Joungyoon; Kim, Choong-Ki; Kim, Gang Sun; Jeong, JuYoung; Lee, Woo-Kyun</t>
  </si>
  <si>
    <t>TOURISM MANAGEMENT</t>
  </si>
  <si>
    <t>Nature-based tourism; Tourism pressure; Protected area; Social big data; Management policy</t>
  </si>
  <si>
    <t>PUBLIC-PARTICIPATION GIS; HOME-RANGE; BIODIVERSITY; VALUES; MEDIA; VISITATION; LANDSCAPE; AREAS; LAND</t>
  </si>
  <si>
    <t>Nature-based tourism in protected areas is an easily experienced ecosystem service that humans enjoy, but it acts as tourism pressures on ecosystem. Some park managers, however, lack an understanding of the spatial distribution and ecological impact of these pressures. We analyzed the size and spatial distribution of these pressures in Korean national parks, using visitor statistics and social big data. In addition, by overlay it with endangered species distribution data, we analyzed areas where tourism pressures and ecologically significant areas could be conflicted. The tourism pressure differed according to the individual protected areas' characteristics. Due to the unevenness of the magnitude and spatial distribution of pressures, the ecological impacts could be spatially differentiated. This study suggests that tourism pressure may be a decisive factor affecting protected areas' ecosystems with increased visitors. Using social big data, managers can establish spatially explicit management policies that consider tourism pressures on individual protected areas.</t>
  </si>
  <si>
    <t>[Chun, Joungyoon; Kim, Choong-Ki; Kim, Gang Sun] Korea Environm Inst, 8 11F,Bldg B,370 Sicheong Daero, Sejong 30147, South Korea; [Jeong, JuYoung] Korea Natl Pk Serv, Natl Pk Res Inst, Int Bldg B 2F,1 Bakramhoe Gil, Yeosu Si, Jeollanam Do, South Korea; [Lee, Woo-Kyun] Korea Univ, Dept Environm Sci &amp; Ecol Engn, 145 Anam Ro, Seoul 02841, South Korea</t>
  </si>
  <si>
    <t>Korea Environment Institute (KEI); Korea University</t>
  </si>
  <si>
    <t>Kim, CK (corresponding author), Korea Environm Inst, 8-11F,Bldg B,370 Sicheong Daero, Sejong Si 30147, South Korea.</t>
  </si>
  <si>
    <t>jychun@kei.re.kr; ckkim@kei.re.kr; gskim@kei.re.kr; aqua02@knps.or.kr; leewk@korea.ac.kr</t>
  </si>
  <si>
    <t>project titled 'Marine Oil Spill Risk Assessment and Development of Response Support System through Big Data Analysis,' of the Korea Institute of Marine Science &amp; Technology promotion - Korea Coast Guard [20190439]; project titled 'Marine ecosystem-based analysis and decision-making support system development for marine spatial planning,' of the Korea Institute of Marine Science &amp; Technology promotion - Ministry of Oceans and Fisheries [20170325]; Korea National Park Service</t>
  </si>
  <si>
    <t>project titled 'Marine Oil Spill Risk Assessment and Development of Response Support System through Big Data Analysis,' of the Korea Institute of Marine Science &amp; Technology promotion - Korea Coast Guard(Korean Coast Guard); project titled 'Marine ecosystem-based analysis and decision-making support system development for marine spatial planning,' of the Korea Institute of Marine Science &amp; Technology promotion - Ministry of Oceans and Fisheries; Korea National Park Service</t>
  </si>
  <si>
    <t>This research was supported by the project titled 'Marine Oil Spill Risk Assessment and Development of Response Support System through Big Data Analysis,' of the Korea Institute of Marine Science &amp; Technology promotion, funded by the Korea Coast Guard, grant number 20190439.This research was also supported by the project titled 'Marine ecosystem-based analysis and decision-making support system development for marine spatial planning,' of the Korea Institute of Marine Science &amp; Technology promotion, funded by the Ministry of Oceans and Fisheries, grant number20170325.This research was conducted by the Korea Environment Institute and supported by the Korea National Park Service.</t>
  </si>
  <si>
    <t>0261-5177</t>
  </si>
  <si>
    <t>1879-3193</t>
  </si>
  <si>
    <t>TOURISM MANAGE</t>
  </si>
  <si>
    <t>Tourism Manage.</t>
  </si>
  <si>
    <t>10.1016/j.tourman.2020.104136</t>
  </si>
  <si>
    <t>Environmental Studies; Hospitality, Leisure, Sport &amp; Tourism; Management</t>
  </si>
  <si>
    <t>Environmental Sciences &amp; Ecology; Social Sciences - Other Topics; Business &amp; Economics</t>
  </si>
  <si>
    <t>MM4UO</t>
  </si>
  <si>
    <t>WOS:000550153800007</t>
  </si>
  <si>
    <t>Humber, F; Godley, BJ; Broderick, AC</t>
  </si>
  <si>
    <t>Humber, Frances; Godley, Brendan J.; Broderick, Annette C.</t>
  </si>
  <si>
    <t>marine turtle; Direct take; traditional fisheries; global; legal fisheries; legislation</t>
  </si>
  <si>
    <t>BAJA-CALIFORNIA-SUR; SEA-TURTLES; CONSERVATION; MORTALITY; BYCATCH; RECOVERY; STATE</t>
  </si>
  <si>
    <t>Aim We provide a global assessment of the current legal direct take of marine turtles, including the scale and species breakdown at country level, and investigate the significance of legal take to marine turtle populations within the wider context of global threats. Location World-wide. Methods We undertook a comprehensive review of the literature (&gt;500 publications) and contacted over 150 in-country experts to collate data for countries that permit the legal take of marine turtles (as of 1 January 2013). Current annual take for each country and species was estimated, and estimates were generated for the 1980s, 1990s and 2000s. Results Currently, 42 countries and territories permit direct take of turtles and collectively take in excess of 42,000turtles per year, the majority of which (&gt;80%) are green turtles Chelonia mydas (Linnaeus 1758). Ten countries account for more than 90% of legal take each year with Papua New Guinea (36.1%) and Nicaragua (22.3%) accounting for more than half of the total global take. Since 1980, we estimate that more than 2million turtles have been legally taken in these countries, with current levels Main conclusions Our results provide the most comprehensive global synthesis of the legal take of turtles in recent years and suggest that legal take has the potential to be a driver of marine turtle population dynamics, comparable to mortality estimates through recorded bycatch. However, it is likely that illegal take, along with bycatch, is significantly under-recorded and far greater than the total level of directed legal take. This hampers the ability to assess the relative impacts of these threats to marine turtles.</t>
  </si>
  <si>
    <t>[Humber, Frances] Blue Ventures Conservat, Omnibus Business Ctr, London N7 9DP, England; [Humber, Frances; Godley, Brendan J.; Broderick, Annette C.] Univ Exeter, Coll Life &amp; Environm Sci, Marine Turtle Res Grp, Penryn TR10 9EZ, Cornwall, England</t>
  </si>
  <si>
    <t>Broderick, AC (corresponding author), Univ Exeter, Coll Life &amp; Environm Sci, Marine Turtle Res Grp, Cornwall Campus, Penryn TR10 9EZ, Cornwall, England.</t>
  </si>
  <si>
    <t>a.c.broderick@exeter.ac.uk</t>
  </si>
  <si>
    <t>Broderick, Annette/A-4062-2013; godley, brendan/A-6139-2009</t>
  </si>
  <si>
    <t>Broderick, Annette/0000-0003-1444-1782; godley, brendan/0000-0003-3845-0034</t>
  </si>
  <si>
    <t>Blue Ventures Conservation</t>
  </si>
  <si>
    <t>The authors would like to those who provided data, assistance and comments on direct turtle take including Semese Alefaio, Mohamud Hassan Ali, Diego Amorocho, Marcio Aronne, Althea Arthurton, Jorge Azocar, Laurence Bachet, George Balazs, Patrice Bartholomew, Lui Bell, Karin Bilo, Carl-JOrgen Bindslev, Janice Blumenthal, Liza Boura, Nathalie Breheret, Michael Brooke, Donald Buden, Charles Caillouet, Carlos Cantu, Michelle Cazabon, Claudia Ceballos, Didiher Chacon, Rodolfo Chang, Michele Christian, Mykl Clovis-Fuller, Nathaniel Cornuet, Eduardo Cuevas, Sam Davies, Carlos Delgado, Monte Depaune, Kiki Dethmers, Hussein Yussuf Dualeh, Stephen Dunbar, Karen Eckert, Lucine Edwards, Abdalla Nassir Elawad, Rudy van der Elst, Environmental Protection Agency Guyana, Richard Farman, Marina Fastigi, Marie-Louise Felix, Lara Ferreira, Rogerio Ferreira, Angela Formia, Jack Frazier, Katy Garland, Alexandre Girard, Shannon Gore, James Gumbs, Mark Hamann, Hideo Hatase, Francis Hickey, Tetha Hitipeuw, Julia Horrocks, Crafton Isaac, Asuka Ishizaki, David Jaen, Emma Kabua, Michelle Kalamandeen, Vince Kerr, Jeff Kinch, Tarik Kupusovic, Donna Kwan, Cythnia Lagueux, Thomas Le Berre, Carl Lloyd, Tricia Lovell, Isaias Majil, Agnese Mancini, Rosalie Masu, Mike McCoy, Carolina Montalvan, Dae Yeon Moon, Bruno Mugneret, Elizabeth Munro, Maggie Muurmans, Poasi Fale Ngaluafe, Wallace J. Nicholls, Steven Palik, Nancy Papathanasopoulou, Emile Pemberton, Ray Pierce, Nicolas J. Pilcher, Alwyn Ponteen, Peter Pritchard, Meli Raicebe, Christian Ramofafia, Caroline Reddy, Alan Rees, Adib Saad, Lidia Salinas, Linda Searle, Tom Stringell, Hiroyuki Suganuma, Lise Suveinakama, James Tafatu, Nenenteiti Teariki-Ruatu, Tara Teel, Dawit Tesfamichael, Yannick Tessier, Turang Teuea-Favae, Tokyo Metropolitan Government, Jorge Torrens, Feleti Tulafono, Bishnu Tulsie, Falasese Tupau, Neomai Turaganivalu-Ravitu, Nancy VanderVelde, Hilde Vanleeuwe, Colette Wabnitz, Juney Ward, Michael White, Jean Wiener, I.B. Windia Adnyana and Sarita Williams-Peter. ACB and BJG would like to thank the UK Darwin Initiative for the Survival of Species. FH would like thank Blue Ventures Conservation for their support. We acknowledge the help of Samir Gandhi in the production of Figs 3 &amp; 4, Figure S2 &amp; S3. The authors also acknowledge the input of the Editor and the three referees that helped improve the manuscript.</t>
  </si>
  <si>
    <t>10.1111/ddi.12183</t>
  </si>
  <si>
    <t>AE4CF</t>
  </si>
  <si>
    <t>WOS:000333926300009</t>
  </si>
  <si>
    <t>["Review"]</t>
  </si>
  <si>
    <t>Sini, M; Vatikiotis, K; Thanopoulou, Z; Katsoupis, C; Maina, I; Kavadas, S; Karachle, PK; Katsanevakis, S</t>
  </si>
  <si>
    <t>Sini, Maria; Vatikiotis, Konstantinos; Thanopoulou, Zoi; Katsoupis, Christos; Maina, Irida; Kavadas, Stefanos; Karachle, Paraskevi K.; Katsanevakis, Stelios</t>
  </si>
  <si>
    <t>Small-Scale Coastal Fishing Shapes the Structure of Shallow Rocky Reef Fish in the Aegean Sea</t>
  </si>
  <si>
    <t>fish communities; small-scale fisheries; underwater visual surveys; marine conservation; Mediterranean Sea</t>
  </si>
  <si>
    <t>FISHERIES RESTRICTED AREAS; ECOSYSTEM SERVICES; MEDITERRANEAN SEA; TROPHIC CASCADES; SIGANUS-LURIDUS; PROTECTED-AREA; MARINE; COMMUNITIES; IMPACTS; DEPTH</t>
  </si>
  <si>
    <t>Shallow rocky reef fish assemblages were studied in sites of low versus high fishing pressure (FP) across the Aegean Sea, in order to assess community structure at a large scale and investigate spatial variability in relation to FP, depth, and geographic location. A total of 15 pairs of high and low FP sites were selected (18 sites in North Aegean, 12 in South Aegean). The level of FP was defined based on a fishing pressure index specifically developed for coastal small-scale fisheries in the region. In each site, fish communities were investigated at two depth zones (5 and 15 m). Number of species, fish size (Total Length; TL) and abundance were recorded along strip transects through underwater visual surveys. Abundance and TL were used to estimate biomass, and fish species were assigned to distinct trophic and commercial status groups. An 8-fold range in fish density and a 14-fold range in fish biomass were detected, while community structure was affected by all variables considered (FR depth, geographic location). The N Aegean sites scored higher in number of species and biomass of carnivorous fish, whereas the S Aegean had a higher biomass of several allochthonous and thermophilous species. Abundance and biomass estimates were higher in low FP sites, and primarily at the 15 m depth zone, where low FP sites had the double abundance and 2.8 times higher biomass. Biomass of carnivores was generally very low, except at deep sites of low FR Given that sites of lower FP represent areas of lower conflicting interests for fisheries whilst providing enhanced biomass levels, they should be included in future marine conservation planning schemes, as they could contribute to the replenishment of fisheries and the boosting of conservation benefits provided by MPAs, once properly managed.</t>
  </si>
  <si>
    <t>[Sini, Maria; Vatikiotis, Konstantinos; Katsoupis, Christos; Katsanevakis, Stelios] Univ Aegean, Dept Marine Sci, Mitilini, Greece; [Thanopoulou, Zoi] Univ Aegean, Dept Environm, Mitilini, Greece; [Thanopoulou, Zoi] Univ Miami, Dept Biol, Miami, FL USA; [Maina, Irida; Kavadas, Stefanos; Karachle, Paraskevi K.] Hellen Ctr Marine Res, Inst Marine Biol Resources &amp; Inland Waters, Attica, Greece</t>
  </si>
  <si>
    <t>University of Aegean; University of Aegean; University of Miami; Hellenic Centre for Marine Research</t>
  </si>
  <si>
    <t>Sini, M (corresponding author), Univ Aegean, Dept Marine Sci, Mitilini, Greece.</t>
  </si>
  <si>
    <t>mariasini@marine.aegean.gr; imaina@hcmr.gr; stefanos@hcmr.gr; pkarachle@hcmr.gr; katsanevakis@marine.aegean.gr</t>
  </si>
  <si>
    <t>Katsanevakis, Stelios/AGR-7012-2022; Karachle, Paraskevi/AAA-1558-2020</t>
  </si>
  <si>
    <t>Katsanevakis, Stelios/0000-0002-5137-7540; Karachle, Paraskevi/0000-0002-6934-1773; Kavadas, Stefanos/0000-0003-3473-9084; SINI, MARIA/0000-0002-9608-3503</t>
  </si>
  <si>
    <t>DG for Marine Affairs and Fisheries of the European Commission [SI2.721917]</t>
  </si>
  <si>
    <t>DG for Marine Affairs and Fisheries of the European Commission</t>
  </si>
  <si>
    <t>This work is a contribution to the Research Project PROTOMEDEA - Toward the Establishment of Marine Protected Area Networks in the Eastern Mediterranean (https://www.protomedea.eu), funded by DG for Marine Affairs and Fisheries of the European Commission, under Grant Agreement SI2.721917. Any opinions, findings, and conclusion or recommendations expressed in this material are those of the authors and do not necessarily reflect those of the European Commission or the authors' affiliated institutions.</t>
  </si>
  <si>
    <t>10.3389/fmars.2019.00599</t>
  </si>
  <si>
    <t>JD7IG</t>
  </si>
  <si>
    <t>WOS:000490153800001</t>
  </si>
  <si>
    <t>Jacoby, DMP; Ferretti, F; Freeman, R; Carlisle, AB; Chapple, TK; Curnick, DJ; Dale, JJ; Schallert, RJ; Tickler, D; Block, BA</t>
  </si>
  <si>
    <t>Jacoby, David M. P.; Ferretti, Francesco; Freeman, Robin; Carlisle, Aaron B.; Chapple, Taylor K.; Curnick, David J.; Dale, Jonathan J.; Schallert, Robert J.; Tickler, David; Block, Barbara A.</t>
  </si>
  <si>
    <t>elasmobranch; illegal fishing; marine protected area; mobility patterns; network analysis; patrolling; reef shark; telemetry</t>
  </si>
  <si>
    <t>INDIAN-OCEAN; CONSERVATION; CAPTURE</t>
  </si>
  <si>
    <t>Large, remote marine protected areas (MPAs) containing both reef and pelagic habitats, have been shown to offer considerable refuge to populations of reef-associated sharks. Many large MPAs are, however, impacted by illegal fishing activity conducted by unlicensed vessels. While enforcement of these reserves is often expensive, it would likely benefit from the integration of ecological data on the mobile animals they are designed to protect. Consequently, shark populations in some protected areas continue to decline, as they remain a prime target for illegal fishers. To understand shark movements and their vulnerability to illegal fishing, 3 years of acoustic tracking data, from 101 reef-associated sharks, were analysed as movement networks to explore the predictability of movement patterns and identify key movement corridors within the British Indian Ocean Territory (BIOT) MPA. We examined how space use and connectivity overlap with spatially explicit risk of illegal fishing, through data obtained from the management consultancy enforcing the MPA. Using individual-based models, the movement networks of two sympatric shark species were efficiently predicted with distance-decay functions (&gt;95% movements accurately predicted). Model outliers were used to highlight the locations with unexpectedly high movement rates where MPA enforcement patrols might most efficiently mitigate predator removal. Activity space estimates and network metrics illustrate that silvertip sharks were more dynamic, less resident and link larger components of the MPA than grey reef sharks. However, we show that this behaviour potentially enhances their exposure to illegal fishing activity. Synthesis and applications. Marine protected area (MPA) enforcement strategies are often limited by resources. The British Indian Ocean Territory MPA, one of the world's largest 'no take' MPAs, has a single patrol vessel to enforce 640,000 km(2)of open ocean, atoll and reef ecosystems. We argue that to optimize the patrol vessel search strategy and thus enhance their protective capacity, ecological data on the space use and movements of desirable species, such as large-bodied reef predators, must be incorporated into management plans. Here, we use electronic tracking data to evaluate how shark movement dynamics influence species mortality trajectories in exploited reef ecosystems. In doing so we discuss how network analyses of such data might be applied for protected area enforcement.</t>
  </si>
  <si>
    <t>[Jacoby, David M. P.; Freeman, Robin; Curnick, David J.] Zool Soc London, Inst Zool, London, England; [Ferretti, Francesco] Virginia Tech, Dept Fish &amp; Wildlife Conservat, Blacksburg, VA USA; [Ferretti, Francesco; Carlisle, Aaron B.; Chapple, Taylor K.; Dale, Jonathan J.; Schallert, Robert J.; Tickler, David; Block, Barbara A.] Stanford Univ, Hopkins Marine Stn, Pacific Grove, CA USA; [Carlisle, Aaron B.] Univ Delaware, Sch Marine Sci &amp; Policy, Lewes, DE 19958 USA; [Chapple, Taylor K.] Oregon State Univ, Hatfield Marine Sci Ctr, Dept Fisheries &amp; Wildlife, Coastal Oregon Marine Expt Stn, Newport, OR USA; [Tickler, David] Univ Western Australia, UWA Oceans Inst, Crawley, WA, Australia</t>
  </si>
  <si>
    <t>Zoological Society of London; Virginia Polytechnic Institute &amp; State University; Stanford University; University of Delaware; Oregon State University; University of Western Australia</t>
  </si>
  <si>
    <t>Jacoby, DMP (corresponding author), Zool Soc London, Inst Zool, London, England.</t>
  </si>
  <si>
    <t>david.jacoby@ioz.ac.uk</t>
  </si>
  <si>
    <t>Tickler, David/KIC-7386-2024; Ferretti, Francesco/AAR-2545-2020; Freeman, Robin/JOZ-4393-2023</t>
  </si>
  <si>
    <t>Carlisle, Aaron/0000-0003-0796-6564; Curnick, David/0000-0002-3093-1282; Ferretti, Francesco/0000-0001-9510-3552; Freeman, Robin/0000-0002-0560-8942; Schallert, Robert/0000-0002-3584-2668; Jacoby, David/0000-0003-2729-3811</t>
  </si>
  <si>
    <t>Fondation Bertarelli; Stanford University</t>
  </si>
  <si>
    <t>Fondation Bertarelli; Stanford University(Stanford University)</t>
  </si>
  <si>
    <t>10.1111/1365-2664.13654</t>
  </si>
  <si>
    <t>PS9JD</t>
  </si>
  <si>
    <t>WOS:000539474400001</t>
  </si>
  <si>
    <t>Birkmanis, CA; Partridge, JC; Simmons, LW; Heupel, MR; Sequeira, AMM</t>
  </si>
  <si>
    <t>Birkmanis, Charlotte A.; Partridge, Julian C.; Simmons, Leigh W.; Heupel, Michelle R.; Sequeira, Ana M. M.</t>
  </si>
  <si>
    <t>Marine protected areas; Species distribution models; Australia; Lamnidae; Carcharhinidae; Alopiidae; Pelagic</t>
  </si>
  <si>
    <t>PELAGIC SHARKS; CHLOROPHYLL MAXIMUM; ECOLOGICAL ROLE; SHORTFIN MAKO; MOVEMENTS; SOUTH; ELASMOBRANCHS; AUSTRALIA; TRACKING; RISK</t>
  </si>
  <si>
    <t>Many of the world's shark populations are in decline, indicating the need for improved conservation and management. Well managed and appropriately located marine parks and marine protected areas (MPAs) have potential to enhance shark conservation by restricting fisheries and protecting suitable habitat for threatened shark populations. Here, we used shark occurrence records collected by commercial fisheries to determine suitable habitat for pelagic sharks within the Australian continental Exclusive Economic Zone (EEZ), and to quantify the amount of suitable habitat contained within existing MPAs. We developed generalised linear models using proportional occurrences of pelagic sharks for three families: Alopiidae (thresher), Carcharhinidae (requiem), and Lamnidae (mackerel) sharks. We also considered aggregated species from the Lamnidae and Carcharhinidae families ('combined sharks' in the models). Using a set of environmental predictors known to affect shark occurrence, including chlorophyll-a concentration, salinity, sea surface temperature, and turbidity, as well as geomorphological, geophysical, and sedimentary parameters, we found that models including sea surface temperature and turbidity were ranked highest in their ability to predict shark distributions. We used these results to predict geographic regions where habitat was most suitable for pelagic sharks within the Australian EEZ, and our results revealed that suitable habitat was limited in no-take zones within MPAs. For all shark groupings, suitable habitats were found mostly at locations exposed to fishing pressure, potentially increasing the vulnerability of the pelagic shark species considered. Our predictive models provide a foundation for future spatial planning and shark management, suggesting that strong fisheries management in addition to MPAs is necessary for pelagic shark conservation. (C) 2019 The Authors. Published by Elsevier B.V.</t>
  </si>
  <si>
    <t>[Birkmanis, Charlotte A.; Sequeira, Ana M. M.] Univ Western Australia, UWA Oceans Inst, M092,35 Stirling Highway, Crawley, WA 6009, Australia; [Birkmanis, Charlotte A.; Sequeira, Ana M. M.] Univ Western Australia, Sch Biol Sci, M092,35 Stirling Highway, Crawley, WA 6009, Australia; [Partridge, Julian C.] Univ Western Australia, UWA Oceans Inst, M470,35 Stirling Highway, Crawley, WA 6009, Australia; [Simmons, Leigh W.] Univ Western Australia, Ctr Evolutionary Biol, Sch Biol Sci, M092,35 Stirling Highway, Crawley, WA 6009, Australia; [Heupel, Michelle R.] Australian Inst Marine Sci, PMB 3, Townsville, Qld 4810, Australia; [Heupel, Michelle R.] James Cook Univ, Ctr Sustainable Trop Fisheries &amp; Aquaculture, Townsville, Qld 4811, Australia; [Heupel, Michelle R.] James Cook Univ, Coll Sci &amp; Engn, Townsville, Qld 4811, Australia</t>
  </si>
  <si>
    <t>University of Western Australia; University of Western Australia; University of Western Australia; University of Western Australia; Australian Institute of Marine Science; James Cook University; James Cook University</t>
  </si>
  <si>
    <t>Birkmanis, CA (corresponding author), Univ Western Australia, UWA Oceans Inst, M092,35 Stirling Highway, Crawley, WA 6009, Australia.;Birkmanis, CA (corresponding author), Univ Western Australia, Sch Biol Sci, M092,35 Stirling Highway, Crawley, WA 6009, Australia.</t>
  </si>
  <si>
    <t>charlotte.birkmanis@research.uwa.edu.au</t>
  </si>
  <si>
    <t>Birkmanis, Charlotte/AAC-4832-2021; Sequeira, Ana/AAE-9741-2021; Partridge, Julian/F-2097-2014; Simmons, Leigh/B-1815-2011</t>
  </si>
  <si>
    <t>Birkmanis, Charlotte/0000-0003-0016-8885; Sequeira, Ana/0000-0001-6906-799X; Partridge, Julian/0000-0003-3788-2900;</t>
  </si>
  <si>
    <t>Australian Postgraduate Award/Research Training Scheme scholarship; UWA top-up scholarship, relocation allowance; Jock Clough Marine Foundation; ARC [DE170100841]; Australian Institute of Marine Science (AIMS); Australian Research Council [DE170100841] Funding Source: Australian Research Council</t>
  </si>
  <si>
    <t>Australian Postgraduate Award/Research Training Scheme scholarship; UWA top-up scholarship, relocation allowance; Jock Clough Marine Foundation; ARC(Australian Research Council); Australian Institute of Marine Science (AIMS); Australian Research Council(Australian Research Council)</t>
  </si>
  <si>
    <t>C.A.B. was supported by an Australian Postgraduate Award/Research Training Scheme scholarship, UWA top-up scholarship, relocation allowance and a Robson and Robertson Award from the Jock Clough Marine Foundation. A.M.M.S. was supported by an ARC grant DE170100841 and research funds from Australian Institute of Marine Science (AIMS). We thank R. Summerson for assistance with accessing the fisheries data and acknowledge Australian Bureau of Agricultural and Resource Economics and Sciences (ABARES) as the source of the fisheries data, originally supplied by Australian Fisheries Management Authority (AFMA) and state fisheries management agencies. We thank R. Pitcher for earlier discussions and access to environmental data and C. Donohue for statistical discussions.</t>
  </si>
  <si>
    <t>e00862</t>
  </si>
  <si>
    <t>10.1016/j.gecco.2019.e00862</t>
  </si>
  <si>
    <t>KR7RT</t>
  </si>
  <si>
    <t>WOS:000517814100065</t>
  </si>
  <si>
    <t>Mucientes, GR; Queiroz, N; Sousa, LL; Tarroso, P; Sims, DW</t>
  </si>
  <si>
    <t>Mucientes, Gonzalo R.; Queiroz, Nuno; Sousa, Lara L.; Tarroso, Pedro; Sims, David W.</t>
  </si>
  <si>
    <t>BIOLOGY LETTERS</t>
  </si>
  <si>
    <t>distribution; behaviour; sex ratio; sexual harassment; overfishing; conservation</t>
  </si>
  <si>
    <t>WESTERN NORTH-ATLANTIC; BASKING SHARKS; BEHAVIOR; CONSERVATION; FISH</t>
  </si>
  <si>
    <t>Large pelagic sharks are declining in abundance in many oceans owing to fisheries exploitation. What is not known however is whether within-species geographical segregation of the sexes exacerbates this as a consequence of differential exploitation by spatially focused fisheries. Here we show striking sexual segregation in the fastest swimming shark, the shortfin mako Isurus oxyrinchus, across the South Pacific Ocean. The novel finding of a sexual 'line in the sea' spans a historical longline-fishing intensity gradient, suggesting that differential exploitation of the sexes is possible, a phenomenon which may underlie changes in the shark populations observed elsewhere.</t>
  </si>
  <si>
    <t>[Queiroz, Nuno; Sims, David W.] Marine Biol Assoc UK, The Lab, Plymouth PL1 2PB, Devon, England; [Sims, David W.] Univ Plymouth, Sch Biol Sci, Plymouth PL4 8AA, Devon, England; [Mucientes, Gonzalo R.] CSIC, Inst Invest Marinas, Vigo 36208, Spain; [Queiroz, Nuno; Sousa, Lara L.; Tarroso, Pedro] Univ Porto, CIBIO, P-4485668 Vairao, Portugal</t>
  </si>
  <si>
    <t>Marine Biological Association United Kingdom; University of Plymouth; Consejo Superior de Investigaciones Cientificas (CSIC); CSIC - Instituto de Investigaciones Marinas (IIM); Universidade do Porto</t>
  </si>
  <si>
    <t>Sims, DW (corresponding author), Marine Biol Assoc UK, The Lab, Citadel Hill, Plymouth PL1 2PB, Devon, England.</t>
  </si>
  <si>
    <t>dws@mba.ac.uk</t>
  </si>
  <si>
    <t>Sims, David/MVU-4533-2025; Sandoval, Gonzalo/A-1057-2009; Mucientes Sandoval, Gonzalo/A-1057-2009; Tarroso, Peo/I-3023-2012; L Sousa, Lara/L-7774-2013; Queiroz, Nuno/G-3850-2010</t>
  </si>
  <si>
    <t>Mucientes Sandoval, Gonzalo/0000-0001-6650-3020; Tarroso, Peo/0000-0002-2694-1170; L Sousa, Lara/0000-0002-4392-3572; Queiroz, Nuno/0000-0002-3860-7356; Si, David/0000-0002-0916-7363</t>
  </si>
  <si>
    <t>Fundacao para a Ciencia e a Tecnologia (FCT) [SFRH/BD/21354/2005]; UK Natural Environment Research Council (NERC); NERC [mba010004] Funding Source: UKRI; Natural Environment Research Council [mba010004] Funding Source: researchfish; Fundação para a Ciência e a Tecnologia [SFRH/BD/21354/2005] Funding Source: FCT</t>
  </si>
  <si>
    <t>Fundacao para a Ciencia e a Tecnologia (FCT)(Fundacao para a Ciencia e a Tecnologia (FCT)); UK Natural Environment Research Council (NERC)(UK Research &amp; Innovation (UKRI)Natural Environment Research Council (NERC)); NERC(UK Research &amp; Innovation (UKRI)Natural Environment Research Council (NERC)); Natural Environment Research Council(UK Research &amp; Innovation (UKRI)Natural Environment Research Council (NERC)); Fundação para a Ciência e a Tecnologia</t>
  </si>
  <si>
    <t>The authors thank the captain and crew for scientific access to commercially caught sharks and V. Wearmouth for manuscript comments. N. Q. was supported by Fundacao para a Ciencia e a Tecnologia (FCT) grant SFRH/BD/21354/2005 and D. W. S. by the UK Natural Environment Research Council (NERC) Oceans 2025 Strategic Research Programme.</t>
  </si>
  <si>
    <t>ROYAL SOC</t>
  </si>
  <si>
    <t>6-9 CARLTON HOUSE TERRACE, LONDON SW1Y 5AG, ENGLAND</t>
  </si>
  <si>
    <t>1744-9561</t>
  </si>
  <si>
    <t>1744-957X</t>
  </si>
  <si>
    <t>BIOL LETTERS</t>
  </si>
  <si>
    <t>Biol. Lett.</t>
  </si>
  <si>
    <t>APR 23</t>
  </si>
  <si>
    <t>10.1098/rsbl.2008.0761</t>
  </si>
  <si>
    <t>Biology; Ecology; Evolutionary Biology</t>
  </si>
  <si>
    <t>Life Sciences &amp; Biomedicine - Other Topics; Environmental Sciences &amp; Ecology; Evolutionary Biology</t>
  </si>
  <si>
    <t>421PX</t>
  </si>
  <si>
    <t>WOS:000264371900004</t>
  </si>
  <si>
    <t>Dorcas, ME; Willson, JD; Reed, RN; Snow, RW; Rochford, MR; Miller, MA; Meshaka, WE; Andreadis, PT; Mazzotti, FJ; Romagosa, CM; Hart, KM</t>
  </si>
  <si>
    <t>Dorcas, Michael E.; Willson, John D.; Reed, Robert N.; Snow, Ray W.; Rochford, Michael R.; Miller, Melissa A.; Meshaka, Walter E., Jr.; Andreadis, Paul T.; Mazzotti, Frank J.; Romagosa, Christina M.; Hart, Kristen M.</t>
  </si>
  <si>
    <t>invasion biology; population declines; top-down regulation; reptiles</t>
  </si>
  <si>
    <t>UNITED-STATES; MOLURUS-BIVITTATUS; FLORIDA; MORTALITY; POPULATIONS; EXTINCTIONS; IMPACTS; BIOLOGY; SNAKE</t>
  </si>
  <si>
    <t>Invasive species represent a significant threat to global biodiversity and a substantial economic burden. Burmese pythons, giant constricting snakes native to Asia, now are found throughout much of southern Florida, including all of Everglades National Park (ENP). Pythons have increased dramatically in both abundance and geographic range since 2000 and consume a wide variety of mammals and birds. Here we report severe apparent declines in mammal populations that coincide temporally and spatially with the proliferation of pythons in ENP. Before 2000, mammals were encountered frequently during nocturnal road surveys within ENP. In contrast, road surveys totaling 56,971 km from 2003-2011 documented a 99.3% decrease in the frequency of raccoon observations, decreases of 98.9% and 87.5% for opossum and bobcat observations, respectively, and failed to detect rabbits. Road surveys also revealed that these species are more common in areas where pythons have been discovered only recently and are most abundant outside the python's current introduced range. These findings suggest that predation by pythons has resulted in dramatic declines in mammals within ENP and that introduced apex predators, such as giant constrictors, can exert significant top-down pressure on prey populations. Severe declines in easily observed and/or common mammals, such as raccoons and bobcats, bode poorly for species of conservation concern, which often are more difficult to sample and occur at lower densities.</t>
  </si>
  <si>
    <t>[Dorcas, Michael E.] Davidson Coll, Dept Biol, Davidson, NC 28035 USA; [Willson, John D.] Virginia Polytech Inst &amp; State Univ, Dept Fish &amp; Wildlife Conservat, Blacksburg, VA 24061 USA; [Reed, Robert N.] US Geol Survey, Ft Collins Sci Ctr, Ft Collins, CO 80526 USA; [Snow, Ray W.] Natl Pk Serv, Everglades Natl Pk, Homestead, FL 33034 USA; [Rochford, Michael R.; Mazzotti, Frank J.] Univ Florida, Ft Lauderdale Res &amp; Educ Ctr, Davie, FL 33314 USA; [Miller, Melissa A.] Auburn Univ, Dept Biol Sci, Auburn, AL 36849 USA; [Meshaka, Walter E., Jr.] State Museum Penn, Harrisburg, PA 17120 USA; [Andreadis, Paul T.] Denison Univ, Dept Biol, Granville, OH 43023 USA; [Romagosa, Christina M.] Auburn Univ, Ctr Forest Sustainabil, Auburn, AL 36849 USA; [Hart, Kristen M.] US Geol Survey, SE Ecol Sci Ctr, Davie, FL 33314 USA</t>
  </si>
  <si>
    <t>Davidson College; Virginia Polytechnic Institute &amp; State University; United States Department of the Interior; United States Geological Survey; United States Department of the Interior; US National Park Service; State University System of Florida; University of Florida; Auburn University System; Auburn University; University System of Ohio; Denison University; Auburn University System; Auburn University; United States Department of the Interior; United States Geological Survey</t>
  </si>
  <si>
    <t>Dorcas, ME (corresponding author), Davidson Coll, Dept Biol, Davidson, NC 28035 USA.</t>
  </si>
  <si>
    <t>midorcas@davidson.edu</t>
  </si>
  <si>
    <t>Romagosa, Christina/KIH-9094-2024; Willson, John/C-9544-2011</t>
  </si>
  <si>
    <t>Romagosa, Christina/0000-0003-1900-5648; Miller, Melissa/0000-0002-6743-6808;</t>
  </si>
  <si>
    <t>Davidson College; Duke Energy; J. E. and Majorie B. Pittman Foundation, Inc.; Center for Forest Sustainability at Auburn University; US Geological Survey; National Park Service</t>
  </si>
  <si>
    <t>Davidson College; Duke Energy; J. E. and Majorie B. Pittman Foundation, Inc.; Center for Forest Sustainability at Auburn University; US Geological Survey(United States Geological Survey); National Park Service</t>
  </si>
  <si>
    <t>We thank J. Holbrook, C. Gillette, S. Goetz, S. Pfaff, R. Rozar, and D. Smith for providing data and information used in this study. S. Price and G. H. Rodda provided comments that improved the manuscript. Support was provided by Davidson College, Duke Energy, the J. E. and Majorie B. Pittman Foundation, Inc., the Center for Forest Sustainability at Auburn University, US Geological Survey Ecosystems Program, US Geological Survey Priority Ecosystem Science Program, and the National Park Service.</t>
  </si>
  <si>
    <t>FEB 14</t>
  </si>
  <si>
    <t>10.1073/pnas.1115226109</t>
  </si>
  <si>
    <t>895IH</t>
  </si>
  <si>
    <t>WOS:000300489200054</t>
  </si>
  <si>
    <t>Zacharias, MA; Gregr, EJ</t>
  </si>
  <si>
    <t>Sensitivity and vulnerability in marine environments: an approach to identifying vulnerable marine areas</t>
  </si>
  <si>
    <t>acoustic pollution; acoustic stress; cetaceans; marine protected areas; sensitive areas</t>
  </si>
  <si>
    <t>BRITISH-COLUMBIA; CLASSIFICATION; IMPACTS; SEA</t>
  </si>
  <si>
    <t>Marine environments have suffered from a lack of quantitative methods for delineating areas that are sensitive or vulnerable to particular stresses, natural and anthropogenic. We define sensitivity as the degree to which marine features respond to stresses, which are deviations of environmental conditions beyond the expected range. Vulnerability can then be defined as the probability that a feature will be exposed to a stress to which it is sensitive. Using these definitions, we provide a quantitative methodology for identifying vulnerable marine areas based on valued ecological features, defined as biological or physical features, processes, or structures deemed by humans to have environmental, social, cultural, or economic significance. The vulnerability of the valued ecological features is a function of their sensitivity to particular stresses and their vulnerability to those stresses. We used the methodology to demonstrate how vulnerable marine areas for two groups of endangered whale species (inshore and offshore) could be identified with a predictive habitat model and acoustic stress surfaces. Acoustic stress surfaces were produced for ferry traffic, commercial shipping traffic, potential offshore oil production, and small-boat traffic. The vulnerabilities of the two whale groups to the four stressors considered in this example were relatively similar; however, inshore species were more sensitive to on-shelf, coastal activities such as offshore hydrocarbon production, ferry traffic, and small-boat traffic. Our approach demonstrates how valued features can be associated with stresses and the likelihood of encountering these stresses (vulnerability) in order to identify geographic areas for management and conservation purposes. The method can be applied to any combination of valued ecological features and stressors.</t>
  </si>
  <si>
    <t>Calif State Univ Channel Isl, Environm Sci &amp; Resource Management Program, Camarillo, CA 93012 USA; SciTech Consulting, Vancouver, BC V5N 1G8, Canada</t>
  </si>
  <si>
    <t>California State University System; California State University Channel Islands</t>
  </si>
  <si>
    <t>Zacharias, MA (corresponding author), Calif State Univ Channel Isl, Environm Sci &amp; Resource Management Program, 1 Univ Dr, Camarillo, CA 93012 USA.</t>
  </si>
  <si>
    <t>mark.zacharias@csuci.edu</t>
  </si>
  <si>
    <t>BLACKWELL PUBLISHING INC</t>
  </si>
  <si>
    <t>MALDEN</t>
  </si>
  <si>
    <t>350 MAIN ST, MALDEN, MA 02148 USA</t>
  </si>
  <si>
    <t>10.1111/j.1523-1739.2005.00148.x</t>
  </si>
  <si>
    <t>889JF</t>
  </si>
  <si>
    <t>WOS:000226438600015</t>
  </si>
  <si>
    <t>Carrasco, J; Price, V; Tulloch, V; Mills, M</t>
  </si>
  <si>
    <t>Carrasco, Jesus; Price, Victoria; Tulloch, Vivitskaia; Mills, Morena</t>
  </si>
  <si>
    <t>Systematic conservation planning; Madagascar endemic Trees; Marxan; MaxEnt; Species distribution modelling; GBIF; Marxan with probabilities</t>
  </si>
  <si>
    <t>DISTRIBUTION MODELS; CLIMATE-CHANGE; FOREST; DISTRIBUTIONS; DEFORESTATION; COSTS; PLAN; RESTORATION; INFORMATION; PREDICTION</t>
  </si>
  <si>
    <t>Madagascar is one of the most biodiverse countries in Africa, due to its level of endemism and species diversity. However, the pressure of human activities threatens the last patches of natural vegetation in the country and conservation decisions are undertaken with limited data availability. In this study, we use free online datasets to generate distribution models of 1539 endemic trees and prioritise for conservation and restoration considering threat, alongside conservation value and cost. Threats considered include illegal logging, forest degradation and agriculture or slash and burns activities. We found that the areas with the highest potential concentration of species are along the north and south-east of the country where more than 400 tree species can be found. Most scenarios identify a common conservation and restoration priority area along the north east of the country. Our findings guide managers, conservation organizations or governments in decisions about where to invest their limited conservation resources.</t>
  </si>
  <si>
    <t>[Carrasco, Jesus] Ecoacsa, Reserva Biodiveridad, Fundadores St 25 Flat 3 Door C, Madrid 28028, Spain; [Price, Victoria] Vis Wild Ltd., Cambridge, England; [Tulloch, Vivitskaia] British Columbia Univ, Vancouver, BC, Canada; [Mills, Morena] Imperial Coll London, London, England</t>
  </si>
  <si>
    <t>Imperial College London</t>
  </si>
  <si>
    <t>Carrasco, J (corresponding author), Ecoacsa, Reserva Biodiveridad, Fundadores St 25 Flat 3 Door C, Madrid 28028, Spain.</t>
  </si>
  <si>
    <t>jesus.carrasco.naranjo@gmail.com</t>
  </si>
  <si>
    <t>Tulloch, Vivitskaia/GNH-4554-2022</t>
  </si>
  <si>
    <t>Carrasco, Jesus/0000-0001-8377-6442</t>
  </si>
  <si>
    <t>Life Science Department Imperial College London</t>
  </si>
  <si>
    <t>The Global Trees Campaign team at Madagasikara Voakajy and Fauna &amp; Flora International provided the original idea of this study. Botanic Gardens Conservation International and Missouri Botanical Gardens researchers provided advice and knowledge about Madagascar and its endemic trees. This study has been completed under direction and support of the Life Science Department Imperial College London. Finally, thanks to Malin Rivers and Chris Birkinshaw for their insights on Madagascar.</t>
  </si>
  <si>
    <t>10.1007/s10531-020-01947-1</t>
  </si>
  <si>
    <t>FEB 2020</t>
  </si>
  <si>
    <t>KY6BG</t>
  </si>
  <si>
    <t>WOS:000516060900001</t>
  </si>
  <si>
    <t>Poos, M; Dextrase, AJ; Schwalb, AN; Ackerman, JD</t>
  </si>
  <si>
    <t>Poos, Mark; Dextrase, Alan J.; Schwalb, Astrid N.; Ackerman, Josef D.</t>
  </si>
  <si>
    <t>Secondary invasion of the round goby into high diversity Great Lakes tributaries and species at risk hotspots: potential new concerns for endangered freshwater species</t>
  </si>
  <si>
    <t>Endangered species; Neogobius melanostomus; Round goby; Secondary invasion; Great Lakes; Ecological impact; Species at risk; Invasive species</t>
  </si>
  <si>
    <t>GOBIES NEOGOBIUS-MELANOSTOMUS; EASTERN SAND DARTER; MOTTLED SCULPIN; ZEBRA MUSSELS; CALUMET HARBOR; PREDATION; UNIONIDAE; FISHES; COMMUNITIES; BIVALVIA</t>
  </si>
  <si>
    <t>The round goby (Neogobius melanostomus) first invaded North America in 1990 when it was discovered in the St. Clair River. Despite more than 15 years of potential invasion, many Great Lakes' lotic systems remained uninvaded. Recently, we captured the round goby from several Great Lakes tributaries known as species-at-risk hotspots. With a combination of field sampling of round gobies and literature review of the impact of round gobies on native taxa, we assess the potential impacts of the secondary invasion to native species using three mechanisms: competition; predation; and indirect impacts from the loss of obligate mussel hosts. We estimate that 89% (17/19) of benthic fishes and 17% (6/36) of mussels that occur in these systems are either known or suspected to be impacted by the secondary invasion of round goby. In particular, we note that the distribution of potential impacts of round goby invasion was largely associated with species with a conservation designation, including seven endangered species (1 fish, 6 mussels). As these recent captures of round goby represent novel occurrences in high diversity watersheds, understanding the potential impacts of secondary invasion to native biota is fundamental to prevent species declines and to allow early mitigation.</t>
  </si>
  <si>
    <t>[Poos, Mark] Univ Toronto, Dept Ecol &amp; Evolutionary Biol, Toronto, ON M5S 3G5, Canada; [Dextrase, Alan J.] Ontario Minist Nat Resources, Species Risk Sect, Peterborough, ON K9J 8M5, Canada; [Schwalb, Astrid N.; Ackerman, Josef D.] Univ Guelph, Dept Integrat Biol, Guelph, ON N1G 2W1, Canada</t>
  </si>
  <si>
    <t>University of Toronto; Ministry of Natural Resources &amp; Forestry; University of Guelph</t>
  </si>
  <si>
    <t>Poos, M (corresponding author), Univ Toronto, Dept Ecol &amp; Evolutionary Biol, 25 Harbord St, Toronto, ON M5S 3G5, Canada.</t>
  </si>
  <si>
    <t>mark.poos@utoronto.ca</t>
  </si>
  <si>
    <t>Dextrase, Alan/H-7355-2019; Poesch, Mark/G-1013-2011</t>
  </si>
  <si>
    <t>Ackerman, Josef/0000-0003-4550-490X; Schwalb, Astrid/0000-0001-8567-5012; Poesch, Mark/0000-0001-7452-8180</t>
  </si>
  <si>
    <t>NSERC; OGS; ESRF; SARCEP; Ministry of Natural Resources; University of Guelph; University of Toronto; World Wildlife Fund Canada's Endangered Species Recovery Fund; Fisheries and Oceans Canada; Ontario Ministry of Natural Resources; Trent University</t>
  </si>
  <si>
    <t>NSERC(Natural Sciences and Engineering Research Council of Canada (NSERC)); OGS(Ontario Graduate Scholarship); ESRF; SARCEP; Ministry of Natural Resources; University of Guelph; University of Toronto(University of Toronto); World Wildlife Fund Canada's Endangered Species Recovery Fund; Fisheries and Oceans Canada; Ontario Ministry of Natural Resources; Trent University</t>
  </si>
  <si>
    <t>Funding was provided by NSERC and OGS Scholarships to M. S. P., ESRF, SARCEP, and NSERC Discovery Grants to J. D. A, Ontario Ministry of Natural Resources, University of Guelph and the University of Toronto. Field work of A. J. D. was supported by World Wildlife Fund Canada's Endangered Species Recovery Fund, Fisheries and Oceans Canada, Ontario Ministry of Natural Resources, and Trent University. We thank K. McNichols (University of Guelph), N. E. Mandrak (Fisheries and Oceans Canada), D. DePasquale, Rob McLaughlin (University of Guelph), Scott Reid (Ontario Ministry of Natural Resources), M. Veliz (Ausable Bayfield Conservation Authority), and John Zoltak (Ontario Federation of Anglers and Hunters) for providing additional data for this study. Also we thank D. A. R. Rubington, D. A. Jackson, and A. Strecker for helpful suggestions and discussions on this paper. We thank D. Lodge and an anonymous reviewer for their helpful comments on earlier versions of this paper.</t>
  </si>
  <si>
    <t>10.1007/s10530-009-9545-x</t>
  </si>
  <si>
    <t>581GK</t>
  </si>
  <si>
    <t>WOS:000276509400028</t>
  </si>
  <si>
    <t>Hayes, MA; Cryan, PM; Wunder, MB</t>
  </si>
  <si>
    <t>Hayes, Mark A.; Cryan, Paul M.; Wunder, Michael B.</t>
  </si>
  <si>
    <t>HOARY BAT; LASIURUS-CINEREUS; ROOST SELECTION; FATALITIES; THERMOREGULATION; CONSERVATION; POPULATIONS; PREDICTION; SOLITARY; BEHAVIOR</t>
  </si>
  <si>
    <t>Understanding seasonal distribution and movement patterns of animals that migrate long distances is an essential part of monitoring and conserving their populations. Compared to migratory birds and other more conspicuous migrants, we know very little about the movement patterns of many migratory bats. Hoary bats (Lasiurus cinereus), a cryptic, wide-ranging, long-distance migrant, comprise a substantial proportion of the tens to hundreds of thousands of bat fatalities estimated to occur each year at wind turbines in North America. We created seasonally-dynamic species distribution models (SDMs) from 2,753 museum occurrence records collected over five decades in North America to better understand the seasonal geographic distributions of hoary bats. We used 5 SDM approaches: logistic regression, multivariate adaptive regression splines, boosted regression trees, random forest, and maximum entropy and consolidated outputs to generate ensemble maps. These maps represent the first formal hypotheses for sex-and season-specific hoary bat distributions. Our results suggest that North American hoary bats winter in regions with relatively long growing seasons where temperatures are moderated by proximity to oceans, and then move to the continental interior for the summer. SDMs suggested that hoary bats are most broadly distributed in autumn-the season when they are most susceptible to mortality from wind turbines; this season contains the greatest overlap between potentially suitable habitat and wind energy facilities. Comparing wind-turbine fatality data to model outputs could test many predictions, such as 'risk from turbines is highest in habitats between hoary bat summering and wintering grounds'. Although future field studies are needed to validate the SDMs, this study generated well-justified and testable hypotheses of hoary bat migration patterns and seasonal distribution.</t>
  </si>
  <si>
    <t>[Hayes, Mark A.; Wunder, Michael B.] Univ Colorado, Dept Integrat Biol, Denver, CO 80204 USA; [Hayes, Mark A.; Cryan, Paul M.] US Geol Survey, Ft Collins Sci Ctr, Ft Collins, CO 80526 USA</t>
  </si>
  <si>
    <t>University of Colorado System; University of Colorado Denver; United States Department of the Interior; United States Geological Survey</t>
  </si>
  <si>
    <t>Hayes, MA (corresponding author), Univ Colorado, Dept Integrat Biol, Denver, CO 80204 USA.</t>
  </si>
  <si>
    <t>hayesm@usgs.gov</t>
  </si>
  <si>
    <t>Cryan, Paul/0000-0002-2915-8894</t>
  </si>
  <si>
    <t>U.S. Geological Survey; University of Colorado Denver</t>
  </si>
  <si>
    <t>U.S. Geological Survey(United States Geological Survey); University of Colorado Denver</t>
  </si>
  <si>
    <t>This study was supported by U.S. Geological Survey and University of Colorado Denver. The funders had no role in study design, data collection and analysis, decision to publish, or preparation of the manuscript.</t>
  </si>
  <si>
    <t>JUL 24</t>
  </si>
  <si>
    <t>e0132599</t>
  </si>
  <si>
    <t>10.1371/journal.pone.0132599</t>
  </si>
  <si>
    <t>CN7NT</t>
  </si>
  <si>
    <t>WOS:000358622000034</t>
  </si>
  <si>
    <t>Wong, SNP; Gjerdrum, C; Gilchrit, HG; Mallory, ML</t>
  </si>
  <si>
    <t>Wong, Sarah N. P.; Gjerdrum, Carina; Gilchrit, H. Grant; Mallory, Mark L.</t>
  </si>
  <si>
    <t>Seabirds; Arctic; Marine distribution; Vessel activity; Anthropogenic risk</t>
  </si>
  <si>
    <t>MARINE BIRD POPULATIONS; MURRE URIA-LOMVIA; OIL POLLUTION; AERIAL SURVEILLANCE; FULMARUS-GLACIALIS; OFFSHORE OIL; WIND FARMS; VULNERABILITY; TRACKING; DISCHARGES</t>
  </si>
  <si>
    <t>Millions of seabirds use the waters off Baffin Island. Considering current and future vessel activity in this region, it is important to understand where vulnerability to anthropogenic threats is highest to enable sound wildlife management and regulatory decisions. Using kernel density analysis on at-sea survey data spanning 1970 to 1983 and 2007 to 2016, we identified marine areas of high density for five of the most abundant species sighted: Dovekie Alle alle, Thick-billed Murre Uria lomvia, Black-legged Kittiwake Rissa tridactyla, Northern Fulmar Fulmarus glacialis and Black Guillemot Cepphus grylle, in summer (June-August) and fall (September-November). We quantified the level of vessel activity from vessel traffic data spanning 2011 to 2015. Overlapping these data layers, we identified regions where high vessel activity posed the highest risk to these species. Navy Board Inlet, Eclipse Sound, Frobisher Bay, Hudson Strait and the northern Labrador Shelf were consistently identified as areas of highest risk to multiple species of seabirds in summer and autumn. These waters not only encompass important summer foraging areas near colonies and post-breeding/migratory habitat but are also frequently navigated by vessels servicing busy communities. The level of vessel activity we found for the study area is relatively low compared to waters where many Arctic species overwinter (e.g., Thick-billed Murres off Newfoundland and Labrador). However, identifying current high-risk areas in Arctic waters is important for the conservation and management of Arctic seabirds as industrial and commercial development in this region expands and leads to higher levels of vessel activity.</t>
  </si>
  <si>
    <t>[Wong, Sarah N. P.; Mallory, Mark L.] Acadia Univ, Dept Biol, Wolfville, NS B4P 2R6, Canada; [Gjerdrum, Carina] Environm &amp; Climate Change Canada, Canadian Wildlife Serv, 45 Alderney Dr, Dartmouth, NS B2Y 2N6, Canada; [Gilchrit, H. Grant] Carleton Univ, Wildlife Res Div, Environm &amp; Climate Change Canada, Raven Rd, Ottawa, ON K1S 5B6, Canada; [Mallory, Mark L.] Univ Washington, Canada Fulbright Chair Arctic Studies, Box 353650, Seattle, WA 98195 USA</t>
  </si>
  <si>
    <t>Acadia University; Environment &amp; Climate Change Canada; Canadian Wildlife Service; Carleton University; Environment &amp; Climate Change Canada; Canadian Wildlife Service; Wildlife Research Division - Environment Canada; University of Washington; University of Washington Seattle</t>
  </si>
  <si>
    <t>Wong, SNP (corresponding author), Acadia Univ, Dept Biol, Wolfville, NS B4P 2R6, Canada.</t>
  </si>
  <si>
    <t>writesarahwong@yahoo.com</t>
  </si>
  <si>
    <t>Mallory, Mark/A-1952-2017</t>
  </si>
  <si>
    <t>Mallory, Mark/0000-0003-2744-3437</t>
  </si>
  <si>
    <t>Mitacs; W. Garfield Weston Foundation; Baffinland Iron Mines Coorporation</t>
  </si>
  <si>
    <t>Thanks to the Canadian Coast Guard and H. Sherwood for providing access to and extracting the vessel data, and P. O'Hara for analytical advice. Seabird data were provided by the Canadian Wildlife Service at Environment and Climate Change Canada. Thanks to the many seabird observers that collected data over the years, particularly D. Brown. Funding and support were provided by Mitacs, W. Garfield Weston Foundation and Baffinland Iron Mines Coorporation. Many thanks to three anonymous reviewers, whose thoughtful comments and suggestions improved the manuscript.</t>
  </si>
  <si>
    <t>SEP 1</t>
  </si>
  <si>
    <t>10.1016/j.ocecoaman.2018.07.004</t>
  </si>
  <si>
    <t>GT8NG</t>
  </si>
  <si>
    <t>WOS:000444793600032</t>
  </si>
  <si>
    <t>Campana, I; Angeletti, D; Crosti, R; Di Miccoli, V; Arcangeli, A</t>
  </si>
  <si>
    <t>Campana, Ilaria; Angeletti, Dario; Crosti, Roberto; Di Miccoli, Valentina; Arcangeli, Antonella</t>
  </si>
  <si>
    <t>RENDICONTI LINCEI-SCIENZE FISICHE E NATURALI</t>
  </si>
  <si>
    <t>Floating macro-litter; Plastics; Pollution; Monitoring; Cetaceans; Risk exposure; Western Mediterranean</t>
  </si>
  <si>
    <t>MARINE DEBRIS; PLASTIC DEBRIS; SPATIAL-DISTRIBUTION; COASTAL WATERS; RESIN PELLETS; ENVIRONMENT; TRANSPORT; ACCUMULATION; POLLUTION; FLOOR</t>
  </si>
  <si>
    <t>Marine litter is a major form of pollution in the Mediterranean, but despite legislative requirements, additional information is still needed to evaluate basin-scale amounts, trends, and potential threats for the biota, especially for Habitats Directive listed species, such as cetaceans. Through repeated sampling of floating macro-litter along a fixed transect between Spain and Italy, this study provided detailed data within four marine sectors of the Western Mediterranean Sea, characterized by seasonal variability in oceanographic/ecological conditions and anthropogenic pressure. Moreover, we identified the areas of major overlap between high density of plastic and cetacean sightings. Litter was composed of plastic for more than 65%, with more diverse compositions occurring in the Balearic and Sardinian Sea compared to the semi-enclosed Bonifacio and Tyrrhenian sectors. The average amount of macro-litter ranged between 1.9 and 2.8 items km(-2) and reached the highest values in spring/summer in all basins, suggesting a relationship with the increasing of touristic and maritime activities, both in coastal and offshore waters. The Balearic and Bonifacio sectors showed higher amounts and larger accumulation areas for plastic, likely due to a combination of multiple sources and oceanographic processes influencing the distributional patterns. Cetacean sightings were recorded in all sectors with fin whale (Balaenoptera physalus) and striped dolphin (Stenella coeruleoalba) as the most frequent species. The presence of cetaceans in areas with high densities of plastic emerged mostly during spring/summer in the Balearic and Bonifacio sectors, but other specific areas of potential exposure were identified, indicating the need for a dynamic definition of this threat.</t>
  </si>
  <si>
    <t>[Campana, Ilaria; Angeletti, Dario; Di Miccoli, Valentina] Tuscia Univ, Ichthyogen Expt Marine Ctr CISMAR, Dept Ecol &amp; Biol Sci, I-01016 Tarquinia, VT, Italy; [Campana, Ilaria; Di Miccoli, Valentina] Acad Leviatano, Vle Astron 19, I-00144 Rome, Italy; [Angeletti, Dario] Ctr Interuniv Ric Cetacei CIRCE, Vle Benedetto XV 5, I-16132 Genoa, Italy; [Crosti, Roberto; Arcangeli, Antonella] ISPRA, BIO Dept, Via Brancati 60, I-00144 Rome, Italy</t>
  </si>
  <si>
    <t>Italian Institute for Environmental Protection &amp; Research (ISPRA)</t>
  </si>
  <si>
    <t>Angeletti, D (corresponding author), Tuscia Univ, Ichthyogen Expt Marine Ctr CISMAR, Dept Ecol &amp; Biol Sci, I-01016 Tarquinia, VT, Italy.;Angeletti, D (corresponding author), Ctr Interuniv Ric Cetacei CIRCE, Vle Benedetto XV 5, I-16132 Genoa, Italy.</t>
  </si>
  <si>
    <t>darioangeletti@unitus.it</t>
  </si>
  <si>
    <t>Arcangeli, Antonella/I-1209-2019; Angeletti, Dario/AAC-9208-2020; Crosti, Roberto/AAY-8381-2020</t>
  </si>
  <si>
    <t>Arcangeli, Antonella/0000-0003-2156-9987; CAMPANA, ILARIA/0000-0003-0801-0927;</t>
  </si>
  <si>
    <t>SPRINGER-VERLAG ITALIA SRL</t>
  </si>
  <si>
    <t>MILAN</t>
  </si>
  <si>
    <t>VIA DECEMBRIO, 28, MILAN, 20137, ITALY</t>
  </si>
  <si>
    <t>2037-4631</t>
  </si>
  <si>
    <t>1720-0776</t>
  </si>
  <si>
    <t>REND LINCEI-SCI FIS</t>
  </si>
  <si>
    <t>Rend. Lincei.-Sci. Fis. Nat.</t>
  </si>
  <si>
    <t>10.1007/s12210-018-0680-0</t>
  </si>
  <si>
    <t>GI7ZU</t>
  </si>
  <si>
    <t>WOS:000434728500021</t>
  </si>
  <si>
    <t>Jones, EL; Hastie, GD; Smout, S; Onoufriou, J; Merchant, ND; Brookes, KL; Thompson, D</t>
  </si>
  <si>
    <t>Jones, E. L.; Hastie, G. D.; Smout, S.; Onoufriou, J.; Merchant, N. D.; Brookes, K. L.; Thompson, D.</t>
  </si>
  <si>
    <t>Merchant, Nathan/B-7007-2015; Brookes, Kate/O-5154-2014</t>
  </si>
  <si>
    <t>10.1111/1365-2664.13302</t>
  </si>
  <si>
    <t>HN1IT</t>
  </si>
  <si>
    <t>WOS:000459941400028</t>
  </si>
  <si>
    <t>Jones, Esther L.; Hastie, Gordon D.; Smout, Sophie; Onoufriou, Joseph; Merchant, Nathan D.; Brookes, Kate L.; Thompson, David</t>
  </si>
  <si>
    <t>acoustic propagation; AIS; Halichoerus grypus; marine stressor; MSFD; noise pollution; Phoca vitulina; spatial overlap; telemetry; uncertainty</t>
  </si>
  <si>
    <t>MARINE MAMMALS; HARBOR SEALS; WHALES; WATERS; SOUND</t>
  </si>
  <si>
    <t>1. Vessels can have acute and chronic impacts on marine species. The rate of increase in commercial shipping is accelerating, and there is a need to quantify and potentially manage the risk of these impacts. 2. Usage maps characterising densities of grey and harbour seals and ships around the British Isles were used to produce risk maps of seal co-occurrence with shipping traffic. Acoustic exposure to individual harbour seals was modelled in a study area using contemporaneous movement data from 28 animals fitted with UHF global positioning satellite telemetry tags and automatic identification system data from all ships during 2014 and 2015. Data from four acoustic recorders were used to validate sound exposure predictions. 3. Across the British Isles, rates of co-occurrence were highest within 50km of the coast, close to seal haul-outs. Areas identified with high risk of exposure included 11 Special Areas of Conservation (SAC; from a possible 25). Risk to harbour seal populations was highest, affecting half of all SACs associated with the species. 4. Predicted cumulative sound exposure level, cSELs(M-pw), over all seals was 176.8dB re 1 mu Pa-2 s (95% CI 163.3- 190.4), ranging from 170.2dB re 1 mu Pa-2 s (95% CI 168.4-171.9) to 189.3dB re 1 mu Pa-2 s (95% CI 172.6-206.0) for individuals. This represented an increase in 28.3dB re 1 mu Pa-2 s over measured ambient noise. For 20 of 28 animals in the study, 95% CI for cSELs(M-pw) had upper bounds above levels known to induce temporary threshold shift. Predictions of broadband received sound pressure levels were underestimated on average by 0.7dB re 1 mu Pa (+/- 3.3). 5. Synthesis and applications. We present a framework to allow shipping noise, an important marine anthropogenic stressor, to be explicitly incorporated into spatial planning. Potentially sensitive areas are identified through quantifying risk to marine species of exposure to shipping traffic, and individual noise exposure is predicted with associated uncertainty in an area with varying rates of co-occurrence. The detailed approach taken here facilitates spatial planning with regard to underwater noise within areas protected through the Habitats Directive, and could be used to provide evidence for further designations. This framework may have utility in assessing whether underwater noise levels are at Good Environmental Status under the Marine Strategy Framework Directive.</t>
  </si>
  <si>
    <t>[Jones, Esther L.; Smout, Sophie] Univ St Andrews, Buchanan Gardens, Ctr Res Ecol &amp; Environm Modelling, The Observ, St Andrews KY16 9LZ, Fife, Scotland; [Jones, Esther L.; Hastie, Gordon D.; Smout, Sophie; Onoufriou, Joseph; Thompson, David] Univ Andrews, Scottish Oceans Inst, Sea Mammal Res Unit, St Andrews KY16 8LB, Fife, Scotland; [Merchant, Nathan D.] Ctr Environm Fisheries &amp; Aquaculture Sci, Lowestoft NR33 0HT, Suffolk, England; [Brookes, Kate L.] Marine Scotland Sci, 375 Victoria Rd, Aberdeen AB11 9DB, Scotland</t>
  </si>
  <si>
    <t>University of St Andrews; University of St Andrews; Centre for Environment Fisheries &amp; Aquaculture Science; Marine Scotland Science (MSS)</t>
  </si>
  <si>
    <t>Jones, EL (corresponding author), Univ St Andrews, Buchanan Gardens, Ctr Res Ecol &amp; Environm Modelling, The Observ, St Andrews KY16 9LZ, Fife, Scotland.;Jones, EL (corresponding author), Univ Andrews, Scottish Oceans Inst, Sea Mammal Res Unit, St Andrews KY16 8LB, Fife, Scotland.</t>
  </si>
  <si>
    <t>el298@st-andrews.ac.uk</t>
  </si>
  <si>
    <t>; Merchant, Nathan/B-7007-2015; Brookes, Kate/O-5154-2014; Hastie, Gordon/D-8860-2011</t>
  </si>
  <si>
    <t>Thompson, David/0000-0003-1546-2876; Jones, Esther/0000-0002-4409-5860; Smout, Sophie/0000-0002-5125-9827; Merchant, Nathan/0000-0002-1090-0016; Hastie, Gordon/0000-0002-9773-2755</t>
  </si>
  <si>
    <t>Scottish Government [MMSS/001/11, CR/2014/04]; NERC [SMRU1001]; CREEM; Natural Environment Research Council [smru10001, NE/J004251/1] Funding Source: researchfish; NERC [NE/J004251/1] Funding Source: UKRI</t>
  </si>
  <si>
    <t>Scottish Government; NERC(UK Research &amp; Innovation (UKRI)Natural Environment Research Council (NERC)); CREEM; Natural Environment Research Council(UK Research &amp; Innovation (UKRI)Natural Environment Research Council (NERC)); NERC(UK Research &amp; Innovation (UKRI)Natural Environment Research Council (NERC))</t>
  </si>
  <si>
    <t>The work was funded under Scottish Government grant MMSS/001/11 and contract CR/2014/04, and supported by National Capability funding from NERC to SMRU (grant no. SMRU1001). This manuscript partially fulfils the PhD submission of E.L.J., part-funded by CREEM. Thank you to Prof. J Harwood for providing feedback on an earlier version of the manuscript. Contributing institutions and their support are gratefully acknowledged.</t>
  </si>
  <si>
    <t>10.1111/1365-2664.12911</t>
  </si>
  <si>
    <t>FM6TX</t>
  </si>
  <si>
    <t>WOS:000415194000033</t>
  </si>
  <si>
    <t>Price, MHH; Proboszcz, SL; Routledge, RD; Gottesfeld, AS; Orr, C; Reynolds, JD</t>
  </si>
  <si>
    <t>Price, Michael H. H.; Proboszcz, Stan L.; Routledge, Rick D.; Gottesfeld, Allen S.; Orr, Craig; Reynolds, John D.</t>
  </si>
  <si>
    <t>Sea Louse Infection of Juvenile Sockeye Salmon in Relation to Marine Salmon Farms on Canada's West Coast</t>
  </si>
  <si>
    <t>LICE LEPEOPHTHEIRUS-SALMONIS; BRITISH-COLUMBIA; BROUGHTON ARCHIPELAGO; ONCORHYNCHUS-GORBUSCHA; DEVELOPMENTAL-STAGES; ATLANTIC SALMON; FRASER-RIVER; INFESTATION; SURVIVAL; DISEASE</t>
  </si>
  <si>
    <t>Background: Pathogens are growing threats to wildlife. The rapid growth of marine salmon farms over the past two decades has increased host abundance for pathogenic sea lice in coastal waters, and wild juvenile salmon swimming past farms are frequently infected with lice. Here we report the first investigation of the potential role of salmon farms in transmitting sea lice to juvenile sockeye salmon (Oncorhynchus nerka). Methodology/Principal Findings: We used genetic analyses to determine the origin of sockeye from Canada's two most important salmon rivers, the Fraser and Skeena; Fraser sockeye migrate through a region with salmon farms, and Skeena sockeye do not. We compared lice levels between Fraser and Skeena juvenile sockeye, and within the salmon farm region we compared lice levels on wild fish either before or after migration past farms. We matched the latter data on wild juveniles with sea lice data concurrently gathered on farms. Fraser River sockeye migrating through a region with salmon farms hosted an order of magnitude more sea lice than Skeena River populations, where there are no farms. Lice abundances on juvenile sockeye in the salmon farm region were substantially higher downstream of farms than upstream of farms for the two common species of lice: Caligus clemensi and Lepeophtheirus salmonis, and changes in their proportions between two years matched changes on the fish farms. Mixed-effects models show that position relative to salmon farms best explained C. clemensi abundance on sockeye, while migration year combined with position relative to salmon farms and temperature was one of two top models to explain L. salmonis abundance. Conclusions/Significance: This is the first study to demonstrate a potential role of salmon farms in sea lice transmission to juvenile sockeye salmon during their critical early marine migration. Moreover, it demonstrates a major migration corridor past farms for sockeye that originated in the Fraser River, a complex of populations that are the subject of conservation concern.</t>
  </si>
  <si>
    <t>[Price, Michael H. H.] Univ Victoria, Dept Biol, Victoria, BC V8W 2Y2, Canada; [Price, Michael H. H.] Raincoast Conservat Fdn, Sidney, BC, Canada; [Proboszcz, Stan L.; Orr, Craig] Watershed Watch Salmon Soc, Coquitlam, BC, Canada; [Routledge, Rick D.] Simon Fraser Univ, Dept Stat &amp; Actuarial Sci, Burnaby, BC V5A 1S6, Canada; [Gottesfeld, Allen S.] Skeena Fisheries Commiss, Hazelton, BC, Canada; [Reynolds, John D.] Simon Fraser Univ, Dept Biol, Earth Ocean Res Grp, Burnaby, BC V5A 1S6, Canada</t>
  </si>
  <si>
    <t>University of Victoria; Simon Fraser University; Simon Fraser University</t>
  </si>
  <si>
    <t>Price, MHH (corresponding author), Univ Victoria, Dept Biol, POB 1700, Victoria, BC V8W 2Y2, Canada.</t>
  </si>
  <si>
    <t>pricem@uvic.ca</t>
  </si>
  <si>
    <t>Reynolds, John/L-6345-2015</t>
  </si>
  <si>
    <t>Coastal Alliance for Aquaculture Reform; David and Lucile Packard Foundation; Gordon and Betty Moore Foundation; Patrick Hodgson Family Foundation; Ritchie Foundation; Sandler Family Foundation; SOS Marine Conservation Foundation; Tom Buell Endowment Fund; Natural Sciences and Engineering Research Council of Canada (NSERC)</t>
  </si>
  <si>
    <t>Coastal Alliance for Aquaculture Reform; David and Lucile Packard Foundation(The David &amp; Lucile Packard Foundation); Gordon and Betty Moore Foundation(Gordon &amp; Betty Moore Foundation); Patrick Hodgson Family Foundation; Ritchie Foundation; Sandler Family Foundation; SOS Marine Conservation Foundation; Tom Buell Endowment Fund; Natural Sciences and Engineering Research Council of Canada (NSERC)(Natural Sciences and Engineering Research Council of Canada (NSERC))</t>
  </si>
  <si>
    <t>The work was funded by: The Coastal Alliance for Aquaculture Reform (www.farmedanddangerous.org), David and Lucile Packard Foundation (www.packard.org), Gordon and Betty Moore Foundation (www.moore.org), Patrick Hodgson Family Foundation, Ritchie Foundation, Sandler Family Foundation, SOS Marine Conservation Foundation (www.saveoursalmon.ca), Tom Buell Endowment Fund, a Natural Sciences and Engineering Research Council of Canada (NSERC) Discovery Grants to RD Routledge and JD Reynolds (www.nserc-crsng.gc.ca), and an NSERC Industrial Postgraduate Scholarship to MHH Price. The funders had no role in study design, data collection and analysis, decision to publish, or preparation of the manuscript.</t>
  </si>
  <si>
    <t>FEB 9</t>
  </si>
  <si>
    <t>e16851</t>
  </si>
  <si>
    <t>10.1371/journal.pone.0016851</t>
  </si>
  <si>
    <t>721NN</t>
  </si>
  <si>
    <t>WOS:000287361700045</t>
  </si>
  <si>
    <t>Morton, A; Routledge, R; McConnell, A; Krkosek, M</t>
  </si>
  <si>
    <t>Morton, Alexandra; Routledge, Rick; McConnell, Amy; Krkosek, Martin</t>
  </si>
  <si>
    <t>aquaculture; conservation; salmon; sea lice</t>
  </si>
  <si>
    <t>LEPEOPHTHEIRUS-SALMONIS; ATLANTIC SALMON; BRITISH-COLUMBIA; PACIFIC SALMON; ONCORHYNCHUS-GORBUSCHA; JUVENILE PINK; MARINE-ENVIRONMENT; LOUSE INFESTATION; WILD SALMON; CHUM SALMON</t>
  </si>
  <si>
    <t>The risk of salmon lice (Lepeophtheirus salmonis) transmission to wild juvenile Pacific salmon has spurred management change to reduce lice on salmon farms. We studied the abundance of planktonic lice preceding the juvenile salmon outmigration as well as the abundance of lice on juvenile pink (Oncorhynchus gorbuscha) and chum (Oncorhynchus keta) salmon in two distinct migration routes, one containing only fallow farms and the other active farms that applied a parasiticide. Results indicate that fallowing reduces the abundance and flattens the spatial distribution of lice relative to that expected in areas without farms. Active farms remained the primary source of lice, but transmission was reduced 100-fold relative to previous epizootics in the study area. On the migration route containing active farms, similar to 50% of the juvenile salmon showed evidence of louse damage to surface tissues and the estimated direct louse-induced mortality was &lt;10%, not including indirect effects of infection on predation risk or competition. The survival of the pink salmon cohort was not statistically different from a reference region without salmon farms. Although repeated use of a single parasiticide can lead to resistance, reducing louse transmission from farmed salmon may help conserve some wild Pacific salmon populations.</t>
  </si>
  <si>
    <t>[Morton, Alexandra; Krkosek, Martin] Salmon Coast Field Stn, Simoom Sound, BC, Canada; [Routledge, Rick] Simon Fraser Univ, Dept Stat &amp; Actuarial Sci, Burnaby, BC V5A 1S6, Canada; [McConnell, Amy] Simon Fraser Univ, Dept Biol, Burnaby, BC V5A 1S6, Canada; [Krkosek, Martin] Univ Washington, Sch Aquat &amp; Fishery Sci, Seattle, WA 98195 USA</t>
  </si>
  <si>
    <t>Simon Fraser University; Simon Fraser University; University of Washington; University of Washington Seattle</t>
  </si>
  <si>
    <t>Krkosek, M (corresponding author), Univ Otago, Dept Zool, Dunedin, Otago, New Zealand.</t>
  </si>
  <si>
    <t>mkrkosek@u.washington.edu</t>
  </si>
  <si>
    <t>Krkosek, Martin/A-4003-2012</t>
  </si>
  <si>
    <t>Natural Science and Engineering Research Council of Canada; National Geographic Society; Canadian National Centre of Excellence Mathematics of Information Technology and Complex Systems (MITACS); David Suzuki Foundation; Watershed Watch Salmon Society; Canadian Sablefish Association; Finest at Sea; BC Wilderness Tourism Association; Pacific Salmon Forum; MITACS Accelerate Fellowship</t>
  </si>
  <si>
    <t>Natural Science and Engineering Research Council of Canada(Natural Sciences and Engineering Research Council of Canada (NSERC)); National Geographic Society(National Geographic Society); Canadian National Centre of Excellence Mathematics of Information Technology and Complex Systems (MITACS); David Suzuki Foundation; Watershed Watch Salmon Society; Canadian Sablefish Association; Finest at Sea; BC Wilderness Tourism Association; Pacific Salmon Forum; MITACS Accelerate Fellowship</t>
  </si>
  <si>
    <t>We thank Eric Nelson, Scott Rogers, Dane Stabel, Caitlin Currey, Jaime Ashander, and Helen Ford for assistance in collecting and preparing the data. We also thank Pieter van Will and Julian Sturnham at Fisheries and Oceans Canada for providing escapement data. Funding was provided by the Natural Science and Engineering Research Council of Canada, the National Geographic Society, the Canadian National Centre of Excellence Mathematics of Information Technology and Complex Systems (MITACS) program (with non-academic participants: the David Suzuki Foundation, the National Geographic Society, Watershed Watch Salmon Society, the Canadian Sablefish Association, Finest at Sea, BC Wilderness Tourism Association, and the Pacific Salmon Forum), and a MITACS Accelerate Fellowship.</t>
  </si>
  <si>
    <t>10.1093/icesjms/fsq146</t>
  </si>
  <si>
    <t>692ZH</t>
  </si>
  <si>
    <t>WOS:000285193900016</t>
  </si>
  <si>
    <t>Reece, JS; Noss, RF</t>
  </si>
  <si>
    <t>Reece, J. S.; Noss, R. F.</t>
  </si>
  <si>
    <t>INTEGRATIVE AND COMPARATIVE BIOLOGY</t>
  </si>
  <si>
    <t>Annual Meeting of the Society-for-Integrative-and-Comparative-Biology (SICB)</t>
  </si>
  <si>
    <t>JAN 03-07, 2015</t>
  </si>
  <si>
    <t>West Palm Beach, FL</t>
  </si>
  <si>
    <t>Soc Integrat &amp; Comparat Biol</t>
  </si>
  <si>
    <t>Valdosta State Univ, Valdosta, GA USA; Univ Cent Florida, Orlando, FL 32816 USA</t>
  </si>
  <si>
    <t>University System of Georgia; Valdosta State University; State University System of Florida; University of Central Florida</t>
  </si>
  <si>
    <t>jreece@valdosta.edu</t>
  </si>
  <si>
    <t>1540-7063</t>
  </si>
  <si>
    <t>1557-7023</t>
  </si>
  <si>
    <t>INTEGR COMP BIOL</t>
  </si>
  <si>
    <t>Integr. Comp. Biol.</t>
  </si>
  <si>
    <t>E149</t>
  </si>
  <si>
    <t>CF6HS</t>
  </si>
  <si>
    <t>WOS:000352658400597</t>
  </si>
  <si>
    <t>Reece, JS; Passeri, D; Ehrhart, L; Hagen, SC; Hays, A; Long, C; Noss, RF; Bilskie, M; Sanchez, C; Schwoerer, MV; Von Holle, B; Weishampel, J; Wolf, S</t>
  </si>
  <si>
    <t>Reece, Joshua S.; Passeri, Davina; Ehrhart, Llewellyn; Hagen, Scott C.; Hays, Allison; Long, Christopher; Noss, Reed F.; Bilskie, Matthew; Sanchez, Cheryl; Schwoerer, Monette V.; Von Holle, Betsy; Weishampel, John; Wolf, Shaye</t>
  </si>
  <si>
    <t>Caretta; Climate change; Sea level rise; Beach erosion; Sea turtle; Coastal development; Bruun Rule</t>
  </si>
  <si>
    <t>CARETTA-CARETTA; ENVELOPE MODELS; MARINE TURTLES; IMPACTS; CONSERVATION; VULNERABILITY; NOURISHMENT; RATIOS; FUTURE; COAST</t>
  </si>
  <si>
    <t>Anthropogenic climate change adds to the existing suite of threats to species, such as habitat degradation, by increasing extinction risk and compromising the ability of species to respond adaptively to these stressors. Because threats from anthropogenic climate change often interact synergistically with other threats, integrated assessments of the factors and processes that affect species persistence and distribution are required. We assessed the influence of coastal land use and climate change (specifically sea level rise) on the spatial distribution of nests within the largest loggerhead Caretta caretta marine turtle rookery in the Atlantic Ocean, at Melbourne Beach, Florida, from 1986 to 2006. We generated a multiple regression model based on climate change, sea-level rise and land use that describes 47% of the spatial variation in loggerhead nesting. Nests have shifted northward (likely in response to warming temperatures), away from intensive coastal development, and, surprisingly, toward areas of increased erosion. Using the Bruun Rule (an approximation of the response of the shoreline profile to sea level rise), we modeled the impacts of sea level rise of 0.25 and 0.5 m in conjunction with extrapolations of coastal development and a continued northward shift in nest distribution. We project up to a 43% decrease in beach area from 1986 to a future with 0.5 m of sea level rise and predict that loggerhead nesting will shift northward and become increasingly crowded on narrowing beaches. An implication of this study is that areas currently protected for large rookeries may not overlap with their future distributions.</t>
  </si>
  <si>
    <t>[Reece, Joshua S.] Valdosta State Univ, Dept Biol, Valdosta, GA 31698 USA; [Passeri, Davina; Hagen, Scott C.; Bilskie, Matthew] Univ Cent Florida, Dept Civil &amp; Environm Engn, Orlando, FL 32816 USA; [Ehrhart, Llewellyn; Hays, Allison; Long, Christopher; Noss, Reed F.; Sanchez, Cheryl; Schwoerer, Monette V.; Von Holle, Betsy; Weishampel, John] Univ Cent Florida, Dept Biol, Orlando, FL 32816 USA; [Wolf, Shaye] Ctr Biol Divers, San Francisco, CA 94104 USA</t>
  </si>
  <si>
    <t>University System of Georgia; Valdosta State University; State University System of Florida; University of Central Florida; State University System of Florida; University of Central Florida</t>
  </si>
  <si>
    <t>Reece, JS (corresponding author), Valdosta State Univ, Dept Biol, 1500 North Patterson St, Valdosta, GA 31698 USA.</t>
  </si>
  <si>
    <t>Von Holle, Betsy/GZG-5112-2022; Bilskie, Matthew/B-4428-2014; Weishampel, John/ISU-6122-2023</t>
  </si>
  <si>
    <t>Von Holle, Betsy/0000-0002-3116-3027; Bilskie, Matthew/0000-0002-7697-7403;</t>
  </si>
  <si>
    <t>Kresge Foundation; Florida Fish and Wildlife Conservation Commission [NA10NOS-4780146]; NOAA Center for Sponsored Coastal Ocean Research; US Fish and Wildlife Service [F11AC00460]</t>
  </si>
  <si>
    <t>Kresge Foundation; Florida Fish and Wildlife Conservation Commission; NOAA Center for Sponsored Coastal Ocean Research(National Oceanic Atmospheric Admin (NOAA) - USA); US Fish and Wildlife Service(US Fish &amp; Wildlife Service)</t>
  </si>
  <si>
    <t>This work was funded through grants to R.F.N. by the Kresge Foundation and the Florida Fish and Wildlife Conservation Commission, award No. NA10NOS-4780146 to S.H. from the NOAA Center for Sponsored Coastal Ocean Research, and funding to B. V. H. from the US Fish and Wildlife Service (F11AC00460) to advance the Conservation Blueprint of the South Atlantic Landscape Conservation Cooperative, which also supported participation by M.V.S. The statements and conclusions are those of the authors and do not necessarily reflect the views of funding agencies or their affiliates. We thank C. Bradley for GIS assistance and the past and present members of the UCF Marine Turtle Research Group for their collection of marine turtle nesting data. J. Fauth and P. Quintana-Ascencio provided valuable input on the analyses executed in the manuscript.</t>
  </si>
  <si>
    <t>+</t>
  </si>
  <si>
    <t>10.3354/meps10531</t>
  </si>
  <si>
    <t>254VX</t>
  </si>
  <si>
    <t>WOS:000327197700023</t>
  </si>
  <si>
    <t>Loerzel, JL; Goedeke, TL; Dillard, MK; Brown, G</t>
  </si>
  <si>
    <t>Loerzel, Jarrod L.; Goedeke, Theresa L.; Dillard, Maria K.; Brown, Greg</t>
  </si>
  <si>
    <t>MARINE POLICY</t>
  </si>
  <si>
    <t>Coral reefs; Participatory mapping; Coral reef management; US Virgin Islands; SCUBA; Local ecological knowledge</t>
  </si>
  <si>
    <t>LOCAL KNOWLEDGE; GIS PPGIS; CITIZENS</t>
  </si>
  <si>
    <t>Coral reefs provide important ecological services such as biodiversity, climate regulation, and cultural benefits through recreation and tourism. However, many of the world's reefs are declining, with Caribbean reefs suffering a significant decline in living corals over the past half century. This situation emphasizes the need to assess and monitor reef conditions using a variety of methods. In this study, a new method for assessing reef conditions to inform management using participatory mapping by coral reef experts in the U.S. Virgin Islands (USVI) is described. Occupational SCUBA divers were recruited (n=87) to map coral reef conditions, uses, and threats (stressors) using an internet-based mapping website. The data reveal an uneven geographic distribution of reef conditions in the USVI with the most frequently mapped perceived healthy reef characteristics being: large amount of physical reef structure (n=872 markers); endangered or threatened species present (n=721); and large amount of live coral cover (n=615). The greatest perceived threats were: invasive species (n=606); water pollution (n=234); and unsustainable fishing (n=200). Areas of important reef characteristics, perceived threats to reefs, and perceived recovery potential were plotted to identify areas requiring critical management attention. The authors found that perceptions of healthy reef conditions outnumbered perceptions of reef threats for nine of the ten most familiar coral reefs; the most frequent activity type within the coral reefs was tourism diving; and for the most familiar coral reefs, the divers perceived a high recovery potential. Given the novelty of participatory mapping methods to assess coral reefs, the strengths and weaknesses of the method is evaluated. The authors further propose a management typology for categorizing reef areas to inform their future management. In the absence of primary data, or, as a supplement to underwater surveys and remotely-sensed data on reef condition, participatory mapping can provide a cost-effective means for assessing coral reef conditions while identifying place-specific reef locations requiring management attention.</t>
  </si>
  <si>
    <t>[Loerzel, Jarrod L.; Dillard, Maria K.] Natl Ocean Serv, Natl Ctr Coastal Ocean Sci, NOAA, Hollings Marine Lab, 331 Ft Johnson Rd, Charleston, SC 29412 USA; [Goedeke, Theresa L.] Natl Ocean Serv, Natl Ctr Coastal Ocean Sci, NOAA, Ctr Coastal Monitoring &amp; Assessment, Bldg SSMC4,Room 9326,1305 East West Highway, Silver Spring, MD 20910 USA; [Brown, Greg] Univ Queensland, Sch Geog Planning &amp; Environm Management, Brisbane, Qld 4072, Australia; [Dillard, Maria K.] NIST, Engn Lab, Community Resilience Grp, 100 Bur Dr, Gaithersburg, MD 20899 USA; [Brown, Greg] Calif Polytech State Univ San Luis Obispo, Dept Nat Resources Management &amp; Environm Sci, San Luis Obispo, CA 93407 USA</t>
  </si>
  <si>
    <t>National Oceanic Atmospheric Admin (NOAA) - USA; National Ocean Service, NOAA; National Centers for Coastal Ocean Science (NOOCS); National Oceanic Atmospheric Admin (NOAA) - USA; National Ocean Service, NOAA; National Centers for Coastal Ocean Science (NOOCS); University of Queensland; National Institute of Standards &amp; Technology (NIST) - USA; California State University System; California Polytechnic State University San Luis Obispo</t>
  </si>
  <si>
    <t>Goedeke, TL (corresponding author), Natl Ocean Serv, Natl Ctr Coastal Ocean Sci, NOAA, Ctr Coastal Monitoring &amp; Assessment, Bldg SSMC4,Room 9326,1305 East West Highway, Silver Spring, MD 20910 USA.</t>
  </si>
  <si>
    <t>jarrod.loerzel@noaa.gov; theresa.goedeke@noaa.gov; maria.dillard@nist.gov; ggbrown@calpoly.edu</t>
  </si>
  <si>
    <t>Brown, Gregory/AAA-6138-2019</t>
  </si>
  <si>
    <t>Brown, Gregory/0000-0003-3283-4619; Dillard, Maria/0000-0003-1772-8914</t>
  </si>
  <si>
    <t>NOAA Coral Reef Conservation Program</t>
  </si>
  <si>
    <t>NOAA Coral Reef Conservation Program(National Oceanic Atmospheric Admin (NOAA) - USA)</t>
  </si>
  <si>
    <t>The time and expertise contributed by respondents who participated in this project are acknowledged. Without their generosity, this research would not have been possible. The authors would like to acknowledge contributions of technical expertise and logistical assistance from Simon J. Pittman, Chris Jeffrey, Laura 'Cracker, Matt Poti, Jen Lechuga and Angela Orthmeyer. This research was supported by the NOAA Coral Reef Conservation Program.</t>
  </si>
  <si>
    <t>0308-597X</t>
  </si>
  <si>
    <t>1872-9460</t>
  </si>
  <si>
    <t>MAR POLICY</t>
  </si>
  <si>
    <t>Mar. Pol.</t>
  </si>
  <si>
    <t>10.1016/j.marpol.2016.11.003</t>
  </si>
  <si>
    <t>Environmental Studies; International Relations</t>
  </si>
  <si>
    <t>Environmental Sciences &amp; Ecology; International Relations</t>
  </si>
  <si>
    <t>EJ2AN</t>
  </si>
  <si>
    <t>WOS:000393012200010</t>
  </si>
  <si>
    <t>Marega-Imamura, M; Michalski, F; Silva, K; Schiavetti, A; Le Pendu, Y; Oliveira, LD</t>
  </si>
  <si>
    <t>Marega-Imamura, Marcela; Michalski, Fernanda; Silva, Katia; Schiavetti, Alexandre; Le Pendu, Yvonnick; Oliveira, Leonardo de Carvalho</t>
  </si>
  <si>
    <t>Human impact; Marine mammals; Cetacean conservation; Research collaboration; Bibliometry; Brazilian coast</t>
  </si>
  <si>
    <t>INIA-GEOFFRENSIS; MARINE MAMMALS; MEGAPTERA-NOVAEANGLIAE; SOTALIA-FLUVIATILIS; DOLPHINS; CONSERVATION; FISHERIES; IMPACTS; COAST; BIODIVERSITY</t>
  </si>
  <si>
    <t>To better understand the threats posed by human activities on cetaceans, we compiled published studies and determined where, how, and by whom the research on this subject has been conducted in Brazil. We also determined which cetacean species were mostly investigated in these studies. We gathered the available scientific literature published from 1986 to 2016 that contained search terms in English that depicted major cetacean threats. Then, we developed a collaboration network among the authors' institutions and generated a distribution map of the investigated threats and study areas. From the 1047 compiled publications, we selected 103 studies that precisely addressed cetacean threats. The selected studies were carried out by 82 institutions from 12 countries. Most of these institutions were universities (n = 55), followed by non-governmental organizations (n =15) and research institutes (n = 12). Among the two cetacean suborders, odontocetes were the most representative, with Sotalla guiartertsis and Pontoporin blainvillei present in 50 and 38 publications, respectively. For mysticetes, publications on Megaptera novaeangliae (n = 6) and Eubalaena australis (n = 5) were the most common. Among the addressed threats, more than half (54.4%) of the publications focused on pollution, followed by bycatch (19.4%) and vessel traffic (10.7%). Most of the study areas took place in the states of Rio de Janeiro (22.4%), Sao Paulo (19.7%), and Rio Grande do Sul (12.9%). Six institutions were the most prevalent in the collaboration networks, and their location corresponded to hotspots of cetacean diversity. Our findings may contribute to identifying research priorities and guide the conservation of cetacean species in Brazil.</t>
  </si>
  <si>
    <t>[Marega-Imamura, Marcela; Oliveira, Leonardo de Carvalho] Univ Estadual Santa Cruz, Dept Ciencias Biol, Programa Posgrad Ecol &amp; Conservacao Biodiversidad, Rodovia Jorge Amado Km 16, BR-45662900 Ilheus, BA, Brazil; [Michalski, Fernanda] Univ Fed Amapa, Lab Ecol &amp; Consenracho Vertebrados, Rodovia Juscelino Kubitschek Km 02, BR-68903419 Macapa, Amapa, Brazil; [Michalski, Fernanda] Univ Fed Amapa, Programa Posgrad Biodiversidade Trop, Rodovia Juscelino Kubitschek Km 02, BR-68903419 Macapa, Amapa, Brazil; [Michalski, Fernanda] Inst Prow Carnivoros, Inst Procarnivoros, Ave Horacio Neto 1030,Parque Edmundo Zanoni, BR-12945010 Atibaia, SP, Brazil; [Silva, Katia] Univ Acores, Dept Oceanog &amp; Pescas, Rua Prof Dr Frederico Machado 4, PT-9901862 Faial, Acores, Portugal; [Schiavetti, Alexandre] Univ Estadual Santa Cruz, Dept Ciencias Agr &amp; Ambientais, Lab Etnoconservacao &amp; Areas Protegidas, Rodovia Jorge Amado Km 16, BR-45662900 Ilheus, BA, Brazil; [Schiavetti, Alexandre] CENPAT, CESIMAR, Chubut, Argentina; [Le Pendu, Yvonnick] Univ Estadual Santa Cruz, Dept Ciencias Biol, Rodovia Jorge Amado Km 16, BR-45662900 Ilheus, BA, Brazil; [Oliveira, Leonardo de Carvalho] Univ Estado Rio de Janeiro, Fac Formacao &amp; Prof, Dept Ciencias, Rua Francisco Portela 1470, BR-24435005 Rio De Janeiro, Brazil; [Oliveira, Leonardo de Carvalho] Bicho Mato Inst Pesquisa, Ave Consul Antonio Cadar 600, BR-30360060 Belo Horizonte, MG, Brazil</t>
  </si>
  <si>
    <t>Universidade Estadual de Santa Cruz; Fundacao Universidade Federal do Amapa; Fundacao Universidade Federal do Amapa; Universidade dos Acores; Universidade Estadual de Santa Cruz; Centro Nacional Patagonico (CENPAT); Universidade Estadual de Santa Cruz; Universidade do Estado do Rio de Janeiro</t>
  </si>
  <si>
    <t>Marega-Imamura, M (corresponding author), Univ Estadual Santa Cruz, Dept Ciencias Biol, Programa Posgrad Ecol &amp; Conservacao Biodiversidad, Rodovia Jorge Amado Km 16, BR-45662900 Ilheus, BA, Brazil.</t>
  </si>
  <si>
    <t>mmimamura@uesc.br; fmichalski@gmail.com; katiabiomar@gmail.com; aleschi@uesc.br; yvonnick@uesc.br; leonardoco@gmail.com</t>
  </si>
  <si>
    <t>Le Pendu, Yvonnick/B-3463-2008; Schiavetti, Alexane/AAJ-9809-2020; Oliveira, Leonardo/G-1290-2012; Michalski, Fernanda/J-4691-2012</t>
  </si>
  <si>
    <t>Le Pendu, Yvonnick/0000-0003-4234-2204; Schiavetti, Alexane/0000-0001-8429-7646; Oliveira, Leonardo/0000-0002-1774-0713; Michalski, Fernanda/0000-0002-8074-9964</t>
  </si>
  <si>
    <t>CNPq [403679/2016-8, 302806/2018-0, 302069/2016-0]; Coordenacao de Aperfeicoamento de Pessoal de Nivel Superior -Brasil (CAPES) [001]</t>
  </si>
  <si>
    <t>CNPq(Conselho Nacional de Desenvolvimento Cientifico e Tecnologico (CNPQ)); Coordenacao de Aperfeicoamento de Pessoal de Nivel Superior -Brasil (CAPES)(Coordenacao de Aperfeicoamento de Pessoal de Nivel Superior (CAPES))</t>
  </si>
  <si>
    <t>The authors would like to thank to David Janiger from Natural History Museum of Los Angeles County (curatorship/Mammals) to share the bibliographic database; to Elysama Kaysa Santos Silva for helping on data organization; to Pos-graduacao em Ecologia e Conservacao da Biodiversidade program (PPGEBC) of State University of Santa Cruz (Universidade Estadual de Santa Cruz - UESC); A.S. has a productivity scholarship from CNPq (Grant 302069/2016-0), F.M. has a productivity scholarship from CNPq (Grant 302806/2018-0) and a CNPq grant (403679/2016-8) for supporting this work. This study was financed in part by the Coordenacao de Aperfeicoamento de Pessoal de Nivel Superior -Brasil (CAPES) through a PhD scholarship to M.M.I. (Finance Code -001).</t>
  </si>
  <si>
    <t>10.1016/j.marpol.2019.103738</t>
  </si>
  <si>
    <t>KO0AI</t>
  </si>
  <si>
    <t>WOS:000515208000001</t>
  </si>
  <si>
    <t>Hegland, SJ; Hamre, LN</t>
  </si>
  <si>
    <t>Hegland, Stein Joar; Hamre, Liv Norunn</t>
  </si>
  <si>
    <t>LANDSCAPE AND URBAN PLANNING</t>
  </si>
  <si>
    <t>Collision risk; Configuration; Composition; Landscape planning; Road management; Wildlife</t>
  </si>
  <si>
    <t>HABITAT SELECTION; TRAFFIC VOLUME; LOCATIONS; MOVEMENTS; UNGULATE; PATTERNS</t>
  </si>
  <si>
    <t>Deer-vehicle collisions (DVCs) cause animal suffering, traffic safety problems and socioeconomic costs and must be assessed in landscape planning and road management. We investigated whether landscape composition and configuration across spatial scales could predict DVCs and be used for mitigation actions and planning processes. We used data on DVCs between vehicles and red deer (Cervus &amp;Thus) in Western Norway. We mapped DVCs and quantified open land cover within 10, 100 and 1000 m buffers as we expected scale-dependent effects on DVCs. A linear mixed effect model showed that DVCs was lower with higher proportion of open land on road verge scale (10 m-buffer) and ca. 50% lower DVC frequency when proportion of open land was increased from 60 to 100%. DVCs was generally lower in landscapes (100- and 1000 m buffers) composed of land that is more open. DVCs was 77% higher in areas with spatial configuration of forest uphill and farmland downhill (FUFD). Landscape composition had the largest effect at fine spatial scale, whereas configuration mattered most at coarser scales, indicating scale-dependency. A case study of clearance along a 600 m road section verified the road verge effect compared to a control site, this saved four deer each year, and the payback time was less than one year providing a clear incentive to manage vegetation in road verges. In conclusion, new roads should preferably be planned in open landscapes or areas without FUFD configuration and road verge clearance is an effective mitigation measure to reduce DVCs.</t>
  </si>
  <si>
    <t>[Hegland, Stein Joar; Hamre, Liv Norunn] Western Norway Univ Appl Sci, Fac Sci &amp; Engn, Bergen, Norway</t>
  </si>
  <si>
    <t>Western Norway University of Applied Sciences</t>
  </si>
  <si>
    <t>Hegland, SJ (corresponding author), HVL, Royrgata 6, N-6851 Sogndal, Norway.</t>
  </si>
  <si>
    <t>stein.joar.hegland@hvl.no; liv.hamre@hvl.no</t>
  </si>
  <si>
    <t>Hegland, Stein/C-3337-2009</t>
  </si>
  <si>
    <t>0169-2046</t>
  </si>
  <si>
    <t>1872-6062</t>
  </si>
  <si>
    <t>LANDSCAPE URBAN PLAN</t>
  </si>
  <si>
    <t>Landsc. Urban Plan.</t>
  </si>
  <si>
    <t>10.1016/j.landurbplan.2017.09.009</t>
  </si>
  <si>
    <t>Ecology; Environmental Studies; Geography; Geography, Physical; Regional &amp; Urban Planning; Urban Studies</t>
  </si>
  <si>
    <t>Environmental Sciences &amp; Ecology; Geography; Physical Geography; Public Administration; Urban Studies</t>
  </si>
  <si>
    <t>FM3CQ</t>
  </si>
  <si>
    <t>WOS:000414882300016</t>
  </si>
  <si>
    <t>Bartolino, V; Ciannelli, L; Spencer, P; Wilderbuer, TK; Chan, KS</t>
  </si>
  <si>
    <t>Bartolino, Valerio; Ciannelli, Lorenzo; Spencer, Paul; Wilderbuer, Thomas K.; Chan, Kung-Sik</t>
  </si>
  <si>
    <t>Spatial distribution; Local exploitation; Regional exploitation; Scale; Yellowfin sole; Bering Sea</t>
  </si>
  <si>
    <t>PLEURONECTES ASPER; YELLOWFIN SOLE; EXTINCTION; DISTRIBUTIONS; CONSEQUENCES; VARIABILITY; DEPLETION; RECOVERY; FLATFISH</t>
  </si>
  <si>
    <t>Certain ecological processes dominate others at particular scales, and the response of populations to exogenous and endogenous forces are typically scale dependent. In spite of this central role played by scale, the temporal and spatial scales of human impacts on ecosystems and populations remain almost unknown. We applied a multiscale regression analysis to investigate the spatiotemporal scales which characterize the fisheries exploitation of yellowfin sole Limanda aspera in the Bering Sea. We found that harvesting affects the abundance of this species simultaneously at local and regional scales. At the local scale harvesting produced a negative effect on local fish densities, particularly in those areas and seasons of high fish aggregation, when both the vulnerability of the fish and the fishing effort increase. At the regional scale harvesting was characterized by a widespread negative effect on the whole fish population. Our findings demonstrate that (1) detection of the fisheries exploitation effects on natural populations is sensitive to the scale of investigation, (2) fisheries harvesting can simultaneously affect multiple ecological scales which are not linearly correlated with each other. We developed analytical techniques for the detection of scale-dependent processes, which can be readily applied to other systems. Our results provide insights on the risks of extrapolating the effects of harvesting on natural populations across scales, making the issues of scale and space central to the management and conservation of natural populations.</t>
  </si>
  <si>
    <t>[Bartolino, Valerio] Swedish Univ Agr Sci, Dept Aquat Resources, Inst Marine Res, S-45321 Lysekil, Sweden; [Bartolino, Valerio] Univ Gothenburg, Dept Earth Sci, Reg Climate Grp, S-40530 Gothenburg, Sweden; [Ciannelli, Lorenzo] Oregon State Univ, Coll Ocean &amp; Atmospher Sci, Corvallis, OR 97331 USA; [Spencer, Paul; Wilderbuer, Thomas K.] NOAA, Alaska Fisheries Sci Ctr, Seattle, WA 98115 USA; [Chan, Kung-Sik] Univ Iowa, Dept Stat &amp; Actuarial Sci, Iowa City, IA 52242 USA</t>
  </si>
  <si>
    <t>Swedish University of Agricultural Sciences; University of Gothenburg; Oregon State University; National Oceanic Atmospheric Admin (NOAA) - USA; University of Iowa</t>
  </si>
  <si>
    <t>Bartolino, V (corresponding author), Swedish Univ Agr Sci, Dept Aquat Resources, Inst Marine Res, S-45321 Lysekil, Sweden.</t>
  </si>
  <si>
    <t>valerio.bartolino@slu.se</t>
  </si>
  <si>
    <t>Bartolino, Valerio/0000-0002-4506-4329</t>
  </si>
  <si>
    <t>North Pacific Research Board [709]; US National Science Foundation [NSF-0934617]</t>
  </si>
  <si>
    <t>North Pacific Research Board; US National Science Foundation(National Science Foundation (NSF))</t>
  </si>
  <si>
    <t>This work is funded by the North Pacific Research Board as part of project 709. We are grateful for partial support from the US National Science Foundation (NSF-0934617) for L.C. and K.S.C. We also thank L.C. Stige, E. Edeline, N. Bacheler, S. Kotwicki, S. Barbeaux, A. Belgrano and 3 anonymous reviewers for comments on the manuscript, and the scientists of the Alaska Fisheries Science Center (RACE division) who collected data in the eastern Bering Sea groundfish survey.</t>
  </si>
  <si>
    <t>U272</t>
  </si>
  <si>
    <t>10.3354/meps09434</t>
  </si>
  <si>
    <t>874PP</t>
  </si>
  <si>
    <t>WOS:000298970900018</t>
  </si>
  <si>
    <t>Clare, J; McKinney, ST; Simons-Legaard, EM; DePue, JE; Loftin, CS</t>
  </si>
  <si>
    <t>Clare, John; McKinney, Shawn T.; Simons-Legaard, Erin M.; DePue, John E.; Loftin, Cynthia S.</t>
  </si>
  <si>
    <t>Land-use change; Spatial capture-recapture; American marten; Remote sensing; Monitoring; Species distribution model</t>
  </si>
  <si>
    <t>SPECIES-DISTRIBUTION MODELS; LANDSCAPE PATTERN; HABITAT SELECTION; DISTANCE; LYNX; BIODIVERSITY; ABUNDANCE; COMMON; RISK; SIZE</t>
  </si>
  <si>
    <t>Limited monitoring resources often constrain rigorous monitoring practices to species or populations of conservation concern. Insufficient monitoring can induce a tautology as lack of monitoring resources makes it difficult to determine whether a species or population deserves additional monitoring resources. When in-situ monitoring resources are limited, remote habitat monitoring could be a useful supplementary tool, as linking parameterized species distribution models to spatially explicit time-series of environmental correlates allows iterative prediction of population change. Yet the performance of predictive forecasts or hindcasts has been difficult to evaluate. We paired contemporary field data, historic population estimates, and a remotely-sensed archive of landscape change to evaluate predictions of American marten (Martes americana) population decline owing to habitat loss in Maine, USA. We estimated contemporary spatial patterns in marten density relative to landscape disturbance with spatial capture-recapture models. We compared current density estimates to historical density calculations to evaluate population decline, and compared historical calculations to habitat-based model predictions to evaluate the efficacy of habitat monitoring as a proxy for direct monitoring. Marten density was negatively associated with the proportion of surrounding regenerating forest, and point estimates within focal townships were 50-80% lower than historical calculations. Habitat-based hindcasts of marten density across our entire focal area interest suggested a smaller population decline (roughly 50%) within our focal area. Thus, although habitat-based predictions underpredicted marten decline, they provided correct directional inference. Habitat monitoring and predictions from species distribution models may provide useful inference about population changes given trends in habitat at limited expense when in-situ information is lacking.</t>
  </si>
  <si>
    <t>[Clare, John] Univ Maine, Dept Wildlife Fisheries &amp; Conservat Biol, Orono, ME 04469 USA; [McKinney, Shawn T.; Loftin, Cynthia S.] US Geol Survey, Maine Cooperat Fish &amp; Wildlife Res Unit, Orono, ME 04469 USA; [Simons-Legaard, Erin M.] Univ Maine, Sch Forest Resources, Orono, ME 04469 USA; [DePue, John E.] Maine Dept Inland Fisheries &amp; Wildlife, Bangor, ME 04402 USA; [DePue, John E.] Michigan Dept Nat Resources, Baraga, MI 49908 USA</t>
  </si>
  <si>
    <t>University of Maine System; University of Maine Orono; United States Department of the Interior; United States Geological Survey; University of Maine System; University of Maine Orono; University of Maine System; University of Maine Orono</t>
  </si>
  <si>
    <t>Clare, J (corresponding author), Univ Maine, Dept Wildlife Fisheries &amp; Conservat Biol, Orono, ME 04469 USA.</t>
  </si>
  <si>
    <t>jclare2@wisc.edu</t>
  </si>
  <si>
    <t>Simons-Legaard, Erin/IQT-1021-2023</t>
  </si>
  <si>
    <t>Maine Department of Inland Fisheries and Wildlife (MDIFW) through the Federal Aid in Wildlife Restoration Act [3013311]; University of Maine; MDIFW; U.S. Geological Survey, Maine Cooperative Fish and Wildlife Research Unit; NASA Ecological Forecasting [NNX14AC36G]; NESSF [NNX16AO61H]; NASA [NNX14AC36G, 686418] Funding Source: Federal RePORTER</t>
  </si>
  <si>
    <t>Maine Department of Inland Fisheries and Wildlife (MDIFW) through the Federal Aid in Wildlife Restoration Act; University of Maine; MDIFW; U.S. Geological Survey, Maine Cooperative Fish and Wildlife Research Unit(United States Geological Survey); NASA Ecological Forecasting; NESSF; NASA(National Aeronautics &amp; Space Administration (NASA))</t>
  </si>
  <si>
    <t>Funding was provided by the Maine Department of Inland Fisheries and Wildlife (MDIFW) through the Federal Aid in Wildlife Restoration Act (award #3013311). Additional support was provided by the University of Maine and MDIFW through the Cooperative Agreement with the U.S. Geological Survey, Maine Cooperative Fish and Wildlife Research Unit. We thank K. Legaard for providing the interpreted Landsat time-series, A. Siren and J. Fryxell for previous feedback, D. Linden for suggestions that improved computational speed, and J. Eddy, R. Kanarr, B. Peterson, and L. Skora for field assistance. Comments provided by A. Siren and three anonymous reviewers improved the manuscript. This research was conducted with approval of the University of Maine Institutional Animal and Care Use Committee for protocol number A2014-01-03. JC was supported by NASA Ecological Forecasting #NNX14AC36G and NESSF #NNX16AO61H during manuscript development. Mention of trade names and commercial products does not constitute endorsement or recommendation for use by the U.S. Government.</t>
  </si>
  <si>
    <t>10.1016/j.biocon.2019.02.020</t>
  </si>
  <si>
    <t>HX6KW</t>
  </si>
  <si>
    <t>WOS:000467513500038</t>
  </si>
  <si>
    <t>Duncan, C; Owen, HJF; Thompson, JR; Koldewey, HJ; Primavera, JH; Pettorelli, N</t>
  </si>
  <si>
    <t>Duncan, Clare; Owen, Harry J. F.; Thompson, Julian R.; Koldewey, Heather J.; Primavera, Jurgenne H.; Pettorelli, Nathalie</t>
  </si>
  <si>
    <t>METHODS IN ECOLOGY AND EVOLUTION</t>
  </si>
  <si>
    <t>applied ecology; climate change; ecosystems; mangroves; monitoring; prioritisation; remote sensing; sea level rise; spatial or time series; statistics; vulnerability</t>
  </si>
  <si>
    <t>L-BAND SAR; CLIMATE-CHANGE; SOUTHEAST-ASIA; ECOSYSTEMS; SUNDARBANS; VULNERABILITY; CONSERVATION; INFORMATION; SERVICES; RETREAT</t>
  </si>
  <si>
    <t>1. Coastal ecosystems, such as mangroves, provide key ecosystem services for climate change mitigation and adaptation. However, combined anthropogenic activities and climatic change-driven sea level rise (SLR) pose a severe threat to their global persistence, and to the continued delivery of these services. Mangrove vulnerability to SLR depends upon capacity for both resilience (landward migration) and resistance (maintained functioning with the existing distribution), which are in turn hindered by extractive activities and coastal infrastructure development. Limited landscape-scale data availability means existing SLR vulnerability assessment frameworks lack rigorous quantification of these discrete processes. 2. Here we develop and implement a novel multi-product (multispectral, microwave, derived-product) open-access satellite remote sensing approach to assess both coastal ecosystem SLR resilience and resistance capacity in multiple mangrove sites across the world, and landscape-level and anthropogenic factors driving these capacities. Our approach allows comparative ranking of resilience and resistance capacities across sites, based on relative observed ecosystem change (biomass, distribution) and in constraints to these two components of SLR vulnerability. 3. We observe mostly low SLR resilience and resistance across our case study sites. Furthermore, we find that site-specific resilience and resistance capacities and constraints can be highly incongruent, highlighting the importance of comprehensive SLR vulnerability monitoring for effective management. High within-site variation was also detected in resilience and resistance capacities and their constraints. This underlines the importance of spatially explicit monitoring at extensive spatial scales to inform decision making. 4. The methodology developed and repeat-pass imagery employed adds to the remote monitoring and assessment toolkit for adaptive coastal ecosystem management under SLR, providing a new approach to inform conservation and management priority assessments in data-deficient regions.</t>
  </si>
  <si>
    <t>[Duncan, Clare] Deakin Univ, Sch Life &amp; Environm Sci, Ctr Integrat Ecol, Burwood, Vic, Australia; [Duncan, Clare; Owen, Harry J. F.; Pettorelli, Nathalie] Zool Soc London, Inst Zool, London, England; [Thompson, Julian R.] UCL, Dept Geog, London, England; [Koldewey, Heather J.; Primavera, Jurgenne H.] Zool Soc London, Conservat Programmes, London, England; [Koldewey, Heather J.] Univ Exeter, Ctr Ecol &amp; Conservat, Penryn, Cornwall, England; [Primavera, Jurgenne H.] Zool Soc London Philippines, Iloilo, Philippines</t>
  </si>
  <si>
    <t>Deakin University; Zoological Society of London; University of London; University College London; Zoological Society of London; University of Exeter</t>
  </si>
  <si>
    <t>Duncan, C (corresponding author), Deakin Univ, Sch Life &amp; Environm Sci, Ctr Integrat Ecol, Burwood, Vic, Australia.;Duncan, C (corresponding author), Zool Soc London, Inst Zool, London, England.</t>
  </si>
  <si>
    <t>clare.duncan@deakin.edu.au</t>
  </si>
  <si>
    <t>Duncan, Clare/V-6005-2019; Thompson, Julian/A-4781-2010; Pettorelli, Nathalie/AAW-8438-2021</t>
  </si>
  <si>
    <t>Duncan, Clare/0000-0001-5315-2997; Thompson, Julian/0000-0002-8927-6462; Pettorelli, Nathalie/0000-0002-1594-6208</t>
  </si>
  <si>
    <t>European Space Agency; UCL BEAMS Impact; Darwin Initiative</t>
  </si>
  <si>
    <t>European Space Agency(European Space Agency); UCL BEAMS Impact; Darwin Initiative</t>
  </si>
  <si>
    <t>2041-210X</t>
  </si>
  <si>
    <t>2041-2096</t>
  </si>
  <si>
    <t>METHODS ECOL EVOL</t>
  </si>
  <si>
    <t>Methods Ecol. Evol.</t>
  </si>
  <si>
    <t>10.1111/2041-210X.12923</t>
  </si>
  <si>
    <t>GP4OI</t>
  </si>
  <si>
    <t>WOS:000440846600006</t>
  </si>
  <si>
    <t>Gallagher, RV; Allen, S; Wright, IJ</t>
  </si>
  <si>
    <t>Gallagher, Rachael V.; Allen, Stuart; Wright, Ian J.</t>
  </si>
  <si>
    <t>SPECIES VULNERABILITY; THERMAL TOLERANCE; NICHE; ADAPTATION; FOREST; RANGE; CONSERVATION; VARIABILITY; POPULATIONS; ECOSYSTEMS</t>
  </si>
  <si>
    <t>Vegetation is composed of many individual species whose climatic tolerances can be integrated into spatial analyses of climate change risk. Here, we quantify climate change risk to vegetation at a continental scale by calculating the safety margins for warming and drying (i.e., tolerance to projected change in temperature and precipitation respectively) across plants sharing 100 km x 100 km grid cells (locations). These safety margins measure how much warmer, or drier, a location could become before its 'typical' species exceeds its observed climatic limit. We also analyse the potential adaptive capacity of vegetation to temperature and precipitation change (i.e., likelihood of in situ persistence) using median precipitation and temperature breadth across all species in each location. 47% of vegetation across Australia is potentially at risk from increases in mean annual temperature (MAT) by 2070, with tropical regions most vulnerable. Vegetation at high risk from climate change often also exhibited low adaptive capacity. By contrast, 2% of the continent is at risk from reductions in annual precipitation by 2070. Risk from precipitation change was isolated to the southwest ofWestern Australia where both the safety margin for drier conditions in the typical species is low, and substantial reductions in MAP are projected.</t>
  </si>
  <si>
    <t>[Gallagher, Rachael V.; Allen, Stuart; Wright, Ian J.] Macquarie Univ, Dept Biol Sci, N Ryde, NSW 2109, Australia</t>
  </si>
  <si>
    <t>Macquarie University</t>
  </si>
  <si>
    <t>Gallagher, RV (corresponding author), Macquarie Univ, Dept Biol Sci, N Ryde, NSW 2109, Australia.</t>
  </si>
  <si>
    <t>rachael.gallagher@mq.edu.au</t>
  </si>
  <si>
    <t>Wright, Ian/G-4979-2012; Gallagher, Rachael/JLM-3743-2023</t>
  </si>
  <si>
    <t>Wright, Ian/0000-0001-8338-9143; Gallagher, Rachael/0000-0002-4680-8115</t>
  </si>
  <si>
    <t>Australian Research Council Discovery Early Career Researcher Award [DE170100208]</t>
  </si>
  <si>
    <t>Australian Research Council Discovery Early Career Researcher Award(Australian Research Council)</t>
  </si>
  <si>
    <t>RVG was supported by an Australian Research Council Discovery Early Career Researcher Award (DE170100208).</t>
  </si>
  <si>
    <t>JUN 3</t>
  </si>
  <si>
    <t>10.1038/s41598-019-44483-x</t>
  </si>
  <si>
    <t>IA9YJ</t>
  </si>
  <si>
    <t>WOS:000469913200021</t>
  </si>
  <si>
    <t>Zhai, DL; Cannon, CH; Slik, JWF; Zhang, CP; Dai, ZC</t>
  </si>
  <si>
    <t>Zhai, De-Li; Cannon, Charles H.; Slik, J. W. Ferry; Zhang, Cui-Ping; Dai, Zhi-Cong</t>
  </si>
  <si>
    <t>JOURNAL OF ENVIRONMENTAL MANAGEMENT</t>
  </si>
  <si>
    <t>Lowland deforestation; Eucalyptus; Hevea; Industrial forest; Protected area; Government policy</t>
  </si>
  <si>
    <t>LAND-COVER CHANGE; RAIN-FOREST; DISTRIBUTION PATTERNS; BIODIVERSITY; DEFORESTATION; CHINA; OIL; XISHUANGBANNA; CONSERVATION; ISLAND</t>
  </si>
  <si>
    <t>Hainan, the largest tropical island in China, belongs to the Indo-Burma biodiversity hotspot and harbors large areas of tropical forests, particularly in the uplands. The Changhua watershed is the cradle of Hainan's main river and a center of endemism for plants and birds. The watershed contains great habitat diversity and is an important conservation area. We analyzed the impact of rubber and pulp plantations on the distribution and area of tropical forest in the watershed, using remote sensing analysis of Landsat images from 1988, 1995 and 2005. From 1988 to 1995, natural forest increased in area (979-1040 sq km) but decreased rapidly (763 sq km) over the next decade. Rubber plantations increased steadily through the study period while pulp plantations appeared after 1995 but occupied 152 sq km by 2005. Rubber and pulp plantations displace different types of natural forest and do not replace one another. Because pulp is not as profitable as rubber and existing pulp processing capacity greatly exceeds local supply, considerable pressure exists on remaining upland forests. We recommend for future management that these plantation forests be reclassified as 'industrial', making a clear policy distinction between natural and industrial forestry. Additionally, the local government should work to enforce existing laws preventing forest conversion on marginal and protected areas. (C) 2011 Elsevier Ltd. All rights reserved.</t>
  </si>
  <si>
    <t>[Zhai, De-Li; Cannon, Charles H.; Slik, J. W. Ferry] Chinese Acad Sci, Key Lab Trop Forest Ecol, Xishuangbanna Trop Bot Garden, Menglun 666303, Yunnan, Peoples R China; [Zhai, De-Li] Chinese Acad Sci, Grad Univ, Beijing, Peoples R China; [Cannon, Charles H.] Texas Tech Univ, Dept Biol Sci, Lubbock, TX 79409 USA; [Zhang, Cui-Ping] Environm Sci Inst Hainan, Haikou, Peoples R China; [Dai, Zhi-Cong] Jiangsu Univ, Sch Environm, Zhenjiang 212013, Peoples R China</t>
  </si>
  <si>
    <t>Chinese Academy of Sciences; Xishuangbanna Tropical Botanical Garden, CAS; Chinese Academy of Sciences; University of Chinese Academy of Sciences, CAS; Texas Tech University System; Texas Tech University; Jiangsu University</t>
  </si>
  <si>
    <t>Cannon, CH (corresponding author), Chinese Acad Sci, Key Lab Trop Forest Ecol, Xishuangbanna Trop Bot Garden, Menglun 666303, Yunnan, Peoples R China.</t>
  </si>
  <si>
    <t>deli@xtbg.org.cn; chuck@xtbg.ac.cn; ferryslik@hotmail.com; ping_zc@163.com; daizhicong@163.com</t>
  </si>
  <si>
    <t>; Cannon, Charles/AAE-7715-2019; Cannon, Charles/D-7186-2012</t>
  </si>
  <si>
    <t>Dai, Zhi-Cong/0000-0002-0748-8059; Cannon, Charles/0000-0003-1901-0420</t>
  </si>
  <si>
    <t>Department of the Environment and Resources of Hainan Province; Chinese Academy of Science</t>
  </si>
  <si>
    <t>Department of the Environment and Resources of Hainan Province; Chinese Academy of Science(Chinese Academy of Sciences)</t>
  </si>
  <si>
    <t>This work was funded by the interior uplands projects of the Department of the Environment and Resources of Hainan Province and by grants from the Chinese Academy of Science's Frontiers in Innovative Research to CHC. We thank D.F. Jia for his assistance with early data collection and fieldwork. The authors are very grateful to A.R. Ives and M.T. Lerdau for providing constructive comments and suggestions that improved this manuscript. We would like to thank G.P. Ren from Kunming Institute of Zoology for his helpful comments on the manuscript.</t>
  </si>
  <si>
    <t>0301-4797</t>
  </si>
  <si>
    <t>1095-8630</t>
  </si>
  <si>
    <t>J ENVIRON MANAGE</t>
  </si>
  <si>
    <t>J. Environ. Manage.</t>
  </si>
  <si>
    <t>10.1016/j.jenvman.2011.10.011</t>
  </si>
  <si>
    <t>898OQ</t>
  </si>
  <si>
    <t>WOS:000300752100008</t>
  </si>
  <si>
    <t>Hassan, MM; Smith, AC; Walker, K; Rahman, MK; Southworth, J</t>
  </si>
  <si>
    <t>Hassan, Mohammad Mehedy; Smith, Audrey Culver; Walker, Katherine; Rahman, Munshi Khaledur; Southworth, Jane</t>
  </si>
  <si>
    <t>Rohingya Refugee Crisis and Forest Cover Change in Teknaf, Bangladesh</t>
  </si>
  <si>
    <t>Sentinel-2A and-2B; random forest (RF); anthropogenic activities; deforestation; ecological impacts; carbon storage; climate change</t>
  </si>
  <si>
    <t>NET PRIMARY PRODUCTION; PROTECTED AREAS; IDP CAMP; SATELLITE; CONSERVATION; RESOURCES; IMAGERY; IMPACT</t>
  </si>
  <si>
    <t>Following a targeted campaign of violence by Myanmar military, police, and local militias, more than half a million Rohingya refugees have fled to neighboring Bangladesh since August 2017, joining thousands of others living in overcrowded settlement camps in Teknaf. To accommodate this mass influx of refugees, forestland is razed to build spontaneous settlements, resulting in an enormous threat to wildlife habitats, biodiversity, and entire ecosystems in the region. Although reports indicate that this rapid and vast expansion of refugee camps in Teknaf is causing large scale environmental destruction and degradation of forestlands, no study to date has quantified the camp expansion extent or forest cover loss. Using remotely sensed Sentinel-2A and -2B imagery and a random forest (RF) machine learning algorithm with ground observation data, we quantified the territorial expansion of refugee settlements and resulting degradation of the ecological resources surrounding the three largest concentrations of refugee campsKutupalong-Balukhali, Nayapara-Leda and Unchiprangthat developed between pre- and post-August of 2017. Employing RF as an image classification approach for this study with a cross-validation technique, we obtained a high overall classification accuracy of 94.53% and 95.14% for 2016 and 2017 land cover maps, respectively, with overall Kappa statistics of 0.93 and 0.94. The producer and user accuracy for forest cover ranged between 92.98-98.21% and 96.49-92.98%, respectively. Results derived from the thematic maps indicate a substantial expansion of refugee settlements in the three refugee camp study sites, with an increase of 175 to 1530 hectares between 2016 and 2017, and a net growth rate of 774%. The greatest camp expansion is observed in the Kutupalong-Balukhali site, growing from 146 ha to 1365 ha with a net increase of 1219 ha (total growth rate of 835%) in the same time period. While the refugee camps' occupancy expanded at a rapid rate, this gain mostly occurred by replacing the forested land, degrading the forest cover surrounding the three camps by 2283 ha. Such rapid degradation of forested land has already triggered ecological problems and disturbed wildlife habitats in the area since many of these makeshift resettlement camps were set up in or near corridors for wild elephants, causing the death of several Rohingyas by elephant trampling. Hence, the findings of this study may motivate the Bangladesh government and international humanitarian organizations to develop better plans to protect the ecologically sensitive forested land and wildlife habitats surrounding the refugee camps, enable more informed management of the settlements, and assist in more sustainable resource mobilization for the Rohingya refugees.</t>
  </si>
  <si>
    <t>[Hassan, Mohammad Mehedy; Smith, Audrey Culver; Walker, Katherine; Southworth, Jane] Univ Florida, Dept Geog, 3141 Turlington Hall,POB 117315, Gainesville, FL 32611 USA; [Rahman, Munshi Khaledur] Virginia Tech, Dept Geog, 115 Major Williams Hall,220 Stanger St, Blacksburg, VA 24061 USA</t>
  </si>
  <si>
    <t>State University System of Florida; University of Florida; Virginia Polytechnic Institute &amp; State University</t>
  </si>
  <si>
    <t>Hassan, MM (corresponding author), Univ Florida, Dept Geog, 3141 Turlington Hall,POB 117315, Gainesville, FL 32611 USA.</t>
  </si>
  <si>
    <t>mehedy@ufl.edu; audreyculver@ufl.edu; kqwalker@ufl.edu; mkrahman@vt.edu; jsouthwo@ufl.edu</t>
  </si>
  <si>
    <t>Smith, Auey/HSF-8578-2023; Hassan, Mohammad Mehedy/J-3297-2019; Rahman, Munshi/AAU-5993-2020</t>
  </si>
  <si>
    <t>Smith, Auey/0000-0003-1278-8889; Walker, Katherine/0000-0002-4600-4184; Hassan, Mohammad Mehedy/0000-0001-9519-7579; Southworth, Jane/0000-0002-7246-7879; Rahman, Munshi/0000-0002-4769-0876</t>
  </si>
  <si>
    <t>University of Florida Open Access Publishing Fund</t>
  </si>
  <si>
    <t>Publication of this article was funded in part by the University of Florida Open Access Publishing Fund.</t>
  </si>
  <si>
    <t>10.3390/rs10050689</t>
  </si>
  <si>
    <t>GJ3MA</t>
  </si>
  <si>
    <t>WOS:000435198400031</t>
  </si>
  <si>
    <t>García-Carrasco, JM; Tapia, W; Muñoz, AR</t>
  </si>
  <si>
    <t>Garcia-Carrasco, Jose-Maria; Tapia, Washington; Munoz, Antonio-Roman</t>
  </si>
  <si>
    <t>AVIAN CONSERVATION AND ECOLOGY</t>
  </si>
  <si>
    <t>conservation; endemic species; human-wildlife conflicts; island biodiversity; threats</t>
  </si>
  <si>
    <t>ANI CROTOPHAGA-ANI; ABUNDANCE; ROADS; POPULATION; MORTALITY; TRIALS</t>
  </si>
  <si>
    <t>A major step in the development of conservation measures would be to study and understand the sources of non-natural mortality in wild fauna. The implementation of such measures should be a priority in oceanic islands because biodiversity hotspots are concentrated in these locations. Furthermore, anthropogenic changes have a greater impact on island species than on their mainland relatives. This situation is of particular relevance in the Galapagos Archipelago, owing to its rapid population growth and the striking increase in the number of vehicles. The latter aspect is due to attempts by the tourist industry to stimulate the economy in this area. Thus, the environment and biota are under new pressures. There are few studies on the effects of wildlife roadkill in the Galapagos. We surveyed two stretches of a 13.8-km road in two different vegetation zones on the island of Santa Cruz. This island has the highest population and the greatest number of tourists in the archipelago. We determined the spatial patterns of bird roadkill using counts, which were conducted via bicycle rides. We recorded 168 carcasses comprising seven species (six native and one invasive). Roadkill did not occur at the same rate over the two stretches: it was significantly higher over Stretch 1, which had a greater volume of traffic. Neither were species equally distributed over the stretches. We identified a high-mortality black spot within Stretch 1 in an area in which high-speed traffic may have contributed strongly to roadkill. We also estimated the carcass disappearance rate to better determine the roadkill rate. Data on the disappearance rate could be of help in the design and implementation of future studies. This study presents the first data on the road mortality rate in the Galapagos Islands, finding that it is much higher than in other natural areas. This represents a first step toward minimizing the growing threat to Galapagos birds, and provides a basis for future research on conservation management plans in the Galapagos Islands.</t>
  </si>
  <si>
    <t>[Garcia-Carrasco, Jose-Maria; Munoz, Antonio-Roman] Univ Malaga, Malaga, Spain; [Tapia, Washington] Galapagos Conservancy, Fairfax, VA USA</t>
  </si>
  <si>
    <t>Universidad de Malaga</t>
  </si>
  <si>
    <t>García-Carrasco, JM (corresponding author), Univ Malaga, Dept Anim Biol, Fac Sci, E-29071 Malaga, Spain.</t>
  </si>
  <si>
    <t>jmgc@uma.es</t>
  </si>
  <si>
    <t>García-Carrasco, José-María/W-1044-2018; Tapia, Washington/NIU-2202-2025; Muñoz, Antonio-Román/K-8259-2014</t>
  </si>
  <si>
    <t>García-Carrasco, José-María/0000-0002-2754-9162; Tapia, Washington/0000-0002-5222-1804; Muñoz, Antonio-Román/0000-0002-0253-7632</t>
  </si>
  <si>
    <t>European Social Fund [UMA18-FEDERJA-276]</t>
  </si>
  <si>
    <t>European Social Fund(European Social Fund (ESF))</t>
  </si>
  <si>
    <t>We thank the University of Malaga, the Agencia Andaluza de Cooperacion Internacional (Junta de Andalucia), and Galapagos Conservancy for giving us the opportunity to do this study in the Galapagos Islands and facilitate the necessary permits. We would also like to thank Charles Darwin Foundation, especially Gustavo Jimenez-Uzcategui, David Anchundia, and Birgit Fessl, for their support. This research did not receive any specific grant from funding agencies in the public, commercial, or not-for-profit sectors. ARM was partially supported by the project UMA18-FEDERJA-276, partially financed by the European Social Fund.</t>
  </si>
  <si>
    <t>RESILIENCE ALLIANCE</t>
  </si>
  <si>
    <t>WOLFVILLE</t>
  </si>
  <si>
    <t>ACADIA UNIV, BIOLOGY DEPT, WOLFVILLE, NS B0P 1X0, CANADA</t>
  </si>
  <si>
    <t>1712-6568</t>
  </si>
  <si>
    <t>AVIAN CONSERV ECOL</t>
  </si>
  <si>
    <t>Avian Conserv. Ecol.</t>
  </si>
  <si>
    <t>10.5751/ACE-01596-150119</t>
  </si>
  <si>
    <t>Biodiversity Conservation; Ecology; Ornithology</t>
  </si>
  <si>
    <t>Biodiversity &amp; Conservation; Environmental Sciences &amp; Ecology; Zoology</t>
  </si>
  <si>
    <t>MM7XK</t>
  </si>
  <si>
    <t>WOS:000550365900019</t>
  </si>
  <si>
    <t>Roger, E; Laffan, SW; Ramp, D</t>
  </si>
  <si>
    <t>Roger, Erin; Laffan, Shawn W.; Ramp, Daniel</t>
  </si>
  <si>
    <t>POPULATION ECOLOGY</t>
  </si>
  <si>
    <t>Common wombat; Habitat use; Landscape connectivity; PVA; RAMAS GIS; Road-kill</t>
  </si>
  <si>
    <t>WOMBAT VOMBATUS-URSINUS; COMMON WOMBAT; VIABILITY ANALYSIS; SARCOPTES-SCABIEI; HABITAT-QUALITY; METAPOPULATION; CONSERVATION; MODELS; FAUNA; EXTINCTION</t>
  </si>
  <si>
    <t>The conservation of wildlife populations living adjacent to roads is gaining international recognition as a worldwide concern. Populations living in road-impacted environments are influenced by spatial parameters including the amount and arrangement of suitable habitat. Similarly, heterogeneity in threatening processes can act at a variety of spatial scales and be crucial in affecting population persistence. Common wombats (Vombatus ursinus) are considered both widespread and abundant throughout their eastern Australian continental distribution. They nevertheless face many threats, primarily human induced. As well as impacts from disease and predation by introduced species, high roadside fatality rates on many rural roads are frequently reported. We parameterized a model for common wombat population viability analysis within a 750-km(2) area of the northwestern corner of Kosciuszko National Park in New South Wales, Australia, and tested its sensitivity to changes in the values of basic parameters. We then assessed the relative efficiency of various mitigation measures by examining the combined impact from roads, disease and predation on wombat subpopulation persistence in the area. We constructed a stage-structured and spatially explicit model incorporating estimates of survival and fecundity parameters for each of the identified subpopulations using RAMAS GIS. Estimates of current threatening processes suggest mitigating road-kill is the most effective management solution. Results highlight the importance of recognizing the interplay between various threats and how their combination has the capacity to drive local depletion events.</t>
  </si>
  <si>
    <t>[Roger, Erin; Laffan, Shawn W.; Ramp, Daniel] Univ New S Wales, Sch Biol Earth &amp; Environm Sci, Sydney, NSW 2052, Australia</t>
  </si>
  <si>
    <t>University of New South Wales Sydney</t>
  </si>
  <si>
    <t>Roger, E (corresponding author), Univ New S Wales, Sch Biol Earth &amp; Environm Sci, Sydney, NSW 2052, Australia.</t>
  </si>
  <si>
    <t>e.roger@unsw.edu.au</t>
  </si>
  <si>
    <t>Ramp, Daniel/C-3692-2008; Laffan, Shawn/A-3761-2008</t>
  </si>
  <si>
    <t>Ramp, Daniel/0000-0003-3202-9898; Roger, Erin/0000-0002-9671-132X; Laffan, Shawn/0000-0002-5996-0570</t>
  </si>
  <si>
    <t>University of New South Wales</t>
  </si>
  <si>
    <t>This work was made possible by the Scientific License (S11604) issued to David Croft by the DECC for work in Kosciuszko National Park. We thank Jo Caldwell (DECC), who initiated data collection. This project was funded by a University of New South Wales Faculty Research Grant awarded to SWL and DR.</t>
  </si>
  <si>
    <t>1438-3896</t>
  </si>
  <si>
    <t>1438-390X</t>
  </si>
  <si>
    <t>POPUL ECOL</t>
  </si>
  <si>
    <t>Popul. Ecol.</t>
  </si>
  <si>
    <t>10.1007/s10144-010-0209-6</t>
  </si>
  <si>
    <t>695JG</t>
  </si>
  <si>
    <t>WOS:000285365800021</t>
  </si>
  <si>
    <t>Mohammadi, A; Almasieh, K; Clevenger, AP; Fatemizadeh, F; Rezaei, A; Jowkar, H; Kaboli, M</t>
  </si>
  <si>
    <t>Mohammadi, Alireza; Almasieh, Kamran; Clevenger, Anthony P.; Fatemizadeh, Faezeh; Rezaei, Ali; Jowkar, Houman; Kaboli, Mohammad</t>
  </si>
  <si>
    <t>Asiatic cheetah; Distance method; Kernel density estimation; Wildlife vehicle collisions</t>
  </si>
  <si>
    <t>WILDLIFE CROSSING STRUCTURES; ACINONYX-JUBATUS-VENATICUS; HOME-RANGE SIZE; VEHICLE COLLISIONS; SPECIES DISTRIBUTIONS; HABITAT FRAGMENTATION; FLORIDA PANTHERS; STRIPED HYAENAS; HIGHWAY; POPULATION</t>
  </si>
  <si>
    <t>Anthropogenic activities, including road expansion, are one of the main drivers of biodiversity loss in Iran. Central and northeastern Iran have been among the most vulnerable areas where expanding anthropogenic activities (in particular construction of road networks) have come into conflict with conservation and management of the endangered Asiatic cheetah (Acinonyx jubatus venaticus), along with other large mammals. The present study aimed to determine hotspot locations along an extremely high-risk road for mammals in northeast Iran (Touran Biosphere Reserve [TBR]) and propose mitigation measures for mammals such as the Asiatic cheetah. Using a spatially-explicit algorithm to estimate collision incidences, we adopted the kernel density estimation (KDE) and the distance method with respect to EDGE (evolutionarily distinct and globally endangered) and home range values for all locations. Also, a habitat suitability map was prepared to create habitat patches and applied to corridor modeling for the Asiatic cheetah. We investigated locations of 73 wildlife-vehicle collisions (WVCs) and crossing data from 2005-2016, that included Persian gazelles (Gazella subgutturosa), Asiatic cheetahs, striped hyenas (Hyaena hyaena), golden jackals (Canis auerus), red fox (Vulpes vulpes), European hare (Lepus europaeus), caracal (Caracal caracal), and grey wolves (Canis lupus). Our results showed that, based on the two methods, hotspot locations and the Asiatic cheetah corridor coincided. The corridor between TBR and Miandasht Wildlife Refuge was illustrated. This corridor is about 55 km length and 656 km(2) area, which connects two population patches within these protected areas. Asiatic cheetah vehicle collisions mostly occurred where a road crossed this corridor at the border of the TBR. The mitigation strategies proposed in this study for large mammals, particularly the Asiatic cheetah, are as follows: retrofit and installation of culverts in hotspots; installation of fences for crossing carnivores; and, roadside vegetation clearance in critical seasons for the Persian gazelles along the Semnan-Mashhad road.</t>
  </si>
  <si>
    <t>[Mohammadi, Alireza; Fatemizadeh, Faezeh; Rezaei, Ali; Kaboli, Mohammad] Univ Tehran, Fac Nat Resources, Dept Environm Sci, Karaj, Iran; [Almasieh, Kamran] Ramin Agr &amp; Nat Resources Univ Khuzestan, Dept Nat Engn, Mollasani, Iran; [Clevenger, Anthony P.] Montana State Univ, Western Transportat Inst, Bozeman, MT 59717 USA; [Jowkar, Houman] CACP, Tehran, Iran</t>
  </si>
  <si>
    <t>University of Tehran; Montana State University System; Montana State University Bozeman</t>
  </si>
  <si>
    <t>Kaboli, M (corresponding author), Univ Tehran, Fac Nat Resources, Dept Environm Sci, Karaj, Iran.</t>
  </si>
  <si>
    <t>mkaboli@ut.ac.ir</t>
  </si>
  <si>
    <t>Mohammadi, Alireza/AAB-9913-2022; Almasieh, Kamran/ABG-9430-2021</t>
  </si>
  <si>
    <t>Almasieh, Kamran/0000-0001-8735-8459; Clevenger, Anthony P/0000-0003-0380-6272</t>
  </si>
  <si>
    <t>Conservation of the Asiatic Cheetah Project (CACP); Iranian Department of the Environment (DoE); Yazd and Semnan Provincial Office of DoE</t>
  </si>
  <si>
    <t>We would like to thank the Conservation of the Asiatic Cheetah Project (CACP), Iranian Department of the Environment (DoE), Yazd and Semnan Provincial Office of DoE particularly Rajabali Karegar and Javad Najafi who provided generous support for field surveys and data collections. We thank two anonymous reviewers for their helpful comments on improving the clarity and content of our manuscript.</t>
  </si>
  <si>
    <t>10.1016/j.jnc.2018.02.011</t>
  </si>
  <si>
    <t>GK8JF</t>
  </si>
  <si>
    <t>WOS:000436467400002</t>
  </si>
  <si>
    <t>Williams, VL; Cunningham, AB; Kemp, AC; Bruyns, RK</t>
  </si>
  <si>
    <t>Williams, Vivienne L.; Cunningham, Anthony B.; Kemp, Alan C.; Bruyns, Robin K.</t>
  </si>
  <si>
    <t>Risks to Birds Traded for African Traditional Medicine: A Quantitative Assessment</t>
  </si>
  <si>
    <t>MACKINDERS EAGLE-OWLS; COLLOCALIA-FUCIPHAGA; WILD ANIMALS; CONSERVATION; FARMLANDS; ECOLOGY</t>
  </si>
  <si>
    <t>Few regional or continent-wide assessments of bird use for traditional medicine have been attempted anywhere in the world. Africa has the highest known diversity of bird species used for this purpose. This study assesses the vulnerability of 354 bird species used for traditional medicine in 25 African countries, from 205 genera, 70 families, and 25 orders. The orders most represented were Passeriformes (107 species), Falconiformes (45 species), and Coraciiformes (24 species), and the families Accipitridae (37 species), Ardeidae (15 species), and Bucerotidae (12 species). The Barn owl (Tyto alba) was the most widely sold species (seven countries). The similarity of avifaunal orders traded is high (analogous to morphospecies'', and using Sorensen's index), which suggests opportunities for a common understanding of cultural factors driving demand. The highest similarity was between bird orders sold in markets of Benin vs. Burkina Faso (90%), but even bird orders sold in two geographically separated countries (Benin vs. South Africa and Nigeria vs. South Africa) were 87% and 81% similar, respectively. Rabinowitz's 7 forms of rarity'' model, used to group species according to commonness or rarity, indicated that 24% of traded bird species are very common, locally abundant in several habitats, and occur over a large geographical area, but 10% are rare, occur in low numbers in specific habitats, and over a small geographical area. The order with the highest proportion of rare species was the Musophagiformes. An analysis of species mass (as a proxy for size) indicated that large and/or conspicuous species tend to be targeted by harvesters for the traditional medicine trade. Furthermore, based on cluster analyses for species groups of similar risk, vultures, hornbills, and other large avifauna, such as bustards, are most threatened by selective harvesting and should be prioritised for conservation action.</t>
  </si>
  <si>
    <t>[Williams, Vivienne L.; Bruyns, Robin K.] Univ Witwatersrand, Sch Anim Plant &amp; Environm Sci, ZA-2050 Johannesburg, South Africa; [Cunningham, Anthony B.] Univ Stellenbosch, Sch Publ Leadership, ZA-7600 Stellenbosch, South Africa; [Kemp, Alan C.] Ditsong Museum Nat Hist, Pretoria, South Africa</t>
  </si>
  <si>
    <t>University of Witwatersrand; Stellenbosch University</t>
  </si>
  <si>
    <t>Williams, VL (corresponding author), Univ Witwatersrand, Sch Anim Plant &amp; Environm Sci, ZA-2050 Johannesburg, South Africa.</t>
  </si>
  <si>
    <t>vivwill@netdial.co.za</t>
  </si>
  <si>
    <t>Willia, Vivienne/M-1453-2019</t>
  </si>
  <si>
    <t>Willia, Vivienne/0000-0003-0698-6512</t>
  </si>
  <si>
    <t>University of the Witwatersrand SPARC Prestigious Fellowship; URC Postdoctoral Fellowship; National Research Foundation</t>
  </si>
  <si>
    <t>VLW was funded by the University of the Witwatersrand SPARC Prestigious and URC Postdoctoral Fellowships. RKB acknowledges funding from the National Research Foundation. The funders had no role in study design, data collection and analysis, decision to publish, or preparation of the manuscript.</t>
  </si>
  <si>
    <t>AUG 27</t>
  </si>
  <si>
    <t>e105397</t>
  </si>
  <si>
    <t>10.1371/journal.pone.0105397</t>
  </si>
  <si>
    <t>AN8UR</t>
  </si>
  <si>
    <t>WOS:000340880900034</t>
  </si>
  <si>
    <t>Kim, H; Kang, H; Zhang, CI; Seo, YI</t>
  </si>
  <si>
    <t>Kim, Hyuna; Kang, Heejoong; Zhang, Chang-Ik; Seo, Young-Il</t>
  </si>
  <si>
    <t>Fisheries assessment; Spatio-temporal; Risk-based approach; Reference point; Indicator</t>
  </si>
  <si>
    <t>MANAGEMENT</t>
  </si>
  <si>
    <t>The existing EBFA (ecosystem-based fisheries assessment) approach assesses impacts of fisheries on sustainability, biodiversity, habitat, and socio-economic benefit, however, it does not account for spatial variations. In the current study, a spatial component was incorporated into the EBFA to better assess the following risk indices: risk score, objectives risk index, species risk index, fisheries risk index, and ecosystem risk index. To demonstrate, this extended approach was applied to the ecosystems of the East Sea and East China Sea. Since the existing EBFA produced a mean value of the overall ecosystem components, it was difficult to use the results as baseline data for spatial management. The extended EBFA the approach using data for each index and sea block enables an ecological risk assessment for each sea block. This approach is useful for setting intensive yet practical management measures that focus on indices and/or sea blocks with high risks, making good use of the results obtained from each sea block. The approach is particularly useful for introducing fishing ground closure, fishery resource area protection, marine area protection, and other management measures rooted in spatial management.</t>
  </si>
  <si>
    <t>[Kim, Hyuna; Zhang, Chang-Ik] Pukyong Natl Univ, Dept Marine Prod Syst Management, Busan 48513, South Korea; [Kang, Heejoong; Seo, Young-Il] Natl Inst Fisheries Sci, Coastal Water Fisheries Resource Div, Busan 46083, South Korea</t>
  </si>
  <si>
    <t>Pukyong National University; National Institute of Fisheries Science</t>
  </si>
  <si>
    <t>Kang, H (corresponding author), Natl Inst Fisheries Sci, Coastal Water Fisheries Resource Div, Busan 46083, South Korea.</t>
  </si>
  <si>
    <t>kimha@pukyong.ac.kr; kanghj87@korea.kr; cizhang@pknu.ac.kr; seoyi@korea.kr</t>
  </si>
  <si>
    <t>Kang, Heejoong/KGL-2880-2024</t>
  </si>
  <si>
    <t>Kang, Heejoong/0000-0002-6210-605X</t>
  </si>
  <si>
    <t>National Institute of Fisheries Science [R2020022]</t>
  </si>
  <si>
    <t>National Institute of Fisheries Science</t>
  </si>
  <si>
    <t>This work was supported by a grant from the National Institute of Fisheries Science (R2020022).</t>
  </si>
  <si>
    <t>10.1016/j.ocecoaman.2020.105209</t>
  </si>
  <si>
    <t>LP4CU</t>
  </si>
  <si>
    <t>WOS:000534266700010</t>
  </si>
  <si>
    <t>Li, XP; Liu, X; Kraus, F; Tingley, R; Li, YM</t>
  </si>
  <si>
    <t>Li, Xianping; Liu, Xuan; Kraus, Fred; Tingley, Reid; Li, Yiming</t>
  </si>
  <si>
    <t>FRONTIERS IN ECOLOGY AND THE ENVIRONMENT</t>
  </si>
  <si>
    <t>ESTABLISHMENT; DISTRIBUTIONS; DIVERSITY; REPTILES; IMPACTS; CLIMATE</t>
  </si>
  <si>
    <t>Understanding the locations of potential invasion hotspots and the extent to which they overlap with biodiversity hotspots is crucial for prioritizing efforts to reduce the impacts of alien species on global biodiversity. Using ensembles of species distribution models based on climate, anthropogenic predictors, vegetation, and water resources, we predict global potential invasion hotspots for alien herpetofauna (reptiles and amphibians). On average, when subjected to current and future climate scenarios, potential richness of alien herpetofauna per grid cell (the minimum unit of our spatial variables for modeling and projecting) in biodiversity hotspots is nearly 1.4 times higher than in other regions. Furthermore, potential invasion hotspots are projected to occupy a large proportion of the total area within biodiversity hotspots. These results suggest that biodiversity hotspots are at greater risk from alien herpetofaunal invasions than are other regions. Our results provide key information for globally targeting early detection and rapid-response programs to help prevent or mitigate future impacts of alien herpetofauna on biodiversity.</t>
  </si>
  <si>
    <t>[Li, Xianping; Liu, Xuan; Li, Yiming] Chinese Acad Sci, Inst Zool, Key Lab Anim Ecol &amp; Conservat Biol, Beijing, Peoples R China; [Li, Xianping] Univ Chinese Acad Sci, Beijing, Peoples R China; [Kraus, Fred] Dept Ecol &amp; Evolutionary Biol, Ann Arbor, MI USA; [Tingley, Reid] Univ Melbourne, Sch Biosci, Melbourne, Vic, Australia</t>
  </si>
  <si>
    <t>Chinese Academy of Sciences; Institute of Zoology, CAS; Chinese Academy of Sciences; University of Chinese Academy of Sciences, CAS; University of Melbourne</t>
  </si>
  <si>
    <t>Li, YM (corresponding author), Chinese Acad Sci, Inst Zool, Key Lab Anim Ecol &amp; Conservat Biol, Beijing, Peoples R China.</t>
  </si>
  <si>
    <t>liym@ioz.ac.cn</t>
  </si>
  <si>
    <t>; Tingley, Reid/D-7388-2011; Liu, Xuan/AAF-3703-2020</t>
  </si>
  <si>
    <t>Li, Xianping/0000-0003-4892-5953; Tingley, Reid/0000-0002-7630-7434;</t>
  </si>
  <si>
    <t>National Science Foundation of China [31530088]; Ministry of Science and Technology of China [2013FY110300]; Australian Research Council (ARC) Linkage Grant [LP140100731]; ARC Centre of Excellence for Environmental Decisions; Australian Research Council [LP140100731] Funding Source: Australian Research Council</t>
  </si>
  <si>
    <t>National Science Foundation of China(National Natural Science Foundation of China (NSFC)); Ministry of Science and Technology of China(Ministry of Science and Technology, China); Australian Research Council (ARC) Linkage Grant(Australian Research Council); ARC Centre of Excellence for Environmental Decisions(Australian Research Council); Australian Research Council(Australian Research Council)</t>
  </si>
  <si>
    <t>We thank Z Liu, S Yan, and S Wang for assisting with data collection, as well as C Bellard for suggestions on SDMs. YL, X Li, and X Liu were supported by a grant from the National Science Foundation of China (code: 31530088) and a grant from the Ministry of Science and Technology of China (code: 2013FY110300). RT was funded by an Australian Research Council (ARC) Linkage Grant (LP140100731) and by the ARC Centre of Excellence for Environmental Decisions.</t>
  </si>
  <si>
    <t>1540-9295</t>
  </si>
  <si>
    <t>1540-9309</t>
  </si>
  <si>
    <t>FRONT ECOL ENVIRON</t>
  </si>
  <si>
    <t>Front. Ecol. Environ.</t>
  </si>
  <si>
    <t>10.1002/fee.1321</t>
  </si>
  <si>
    <t>DZ8MD</t>
  </si>
  <si>
    <t>WOS:000386123600011</t>
  </si>
  <si>
    <t>Márquez, C; Vargas, JM; Villafuerte, R; Fa, JE</t>
  </si>
  <si>
    <t>Marquez, Carolina; Mario Vargas, J.; Villafuerte, Rafael; Fa, John E.</t>
  </si>
  <si>
    <t>Andalusia; birds of prey; carnivores; hunting yields; poisoning events; predator species richness; predictive models</t>
  </si>
  <si>
    <t>VIRAL HEMORRHAGIC-DISEASE; VULTURE AEGYPIUS-MONACHUS; EAGLE AQUILA-ADALBERTI; FALSE DISCOVERY RATE; ORYCTOLAGUS-CUNICULUS; NONNATURAL MORTALITY; CARNIVORE DIVERSITY; EUROPEAN RABBITS; SMALL-GAME; RED KITES</t>
  </si>
  <si>
    <t>Wild predators are targeted if they are perceived to affect game species or domestic animals. Over the last century, the direct persecution of birds of prey and mammalian carnivores has led to their widespread decline, even local extirpations. Many such cases involved the illegal use of poisoned bait. We used 1,305 detected poisoning events and 59 biophysical variables to construct a distribution model of illegal poisoning throughout Andalusia, southern Spain. We chose this region because the largest number of poisoning events recorded in Spain were detected in Andalusia during the period 19902005. Our results showed greater incidence of poisoning was correlated with areas of high predator richness and high wild rabbit hunting yields. Thus, we hypothesize that wildlife managers should be able to estimate current and potential poisoning areas using frequency of poisoning events data. Managers can then focus control within those areas identified as conflict zones and establish surveillance schemes that prevent the loss of wildlife within the targeted areas. Our results have potential application in strategic planning for conservation of vulnerable high-profile species such as birds of prey and mammalian carnivores in southern Spain and other regions. (c) 2012 The Wildlife Society.</t>
  </si>
  <si>
    <t>[Marquez, Carolina; Mario Vargas, J.] Univ Malaga, Fac Ciencias, Dept Biol Anim, E-29071 Malaga, Spain; [Mario Vargas, J.; Fa, John E.] Durrell Wildlife Conservat Trust, Trinity JE3 5BP, Jersey, England; [Villafuerte, Rafael] IREC CSIC UCLM JCCM, Inst Invest Recursos Cineget, Ciudad Real 13071, Spain; [Fa, John E.] Univ London Imperial Coll Sci Technol &amp; Med, ICCS, Div Biol, Ascot SL5 7PY, Berks, England</t>
  </si>
  <si>
    <t>Universidad de Malaga; Consejo Superior de Investigaciones Cientificas (CSIC); CSIC - Instituto de Investigacion en Recursos Cinegeticos (IREC); Universidad de Castilla-La Mancha; Imperial College London</t>
  </si>
  <si>
    <t>Márquez, C (corresponding author), Univ Malaga, Fac Ciencias, Dept Biol Anim, Campus Teatinos S-N, E-29071 Malaga, Spain.</t>
  </si>
  <si>
    <t>jfa@durrell.org</t>
  </si>
  <si>
    <t>Villafuerte, Rafael/P-9155-2019</t>
  </si>
  <si>
    <t>Villafuerte, Rafael/0000-0001-7582-4299; FA, Julia Elizabeth/0000-0002-1572-9828; Vargas Yáñez, Juan Mario/0000-0002-2841-5481</t>
  </si>
  <si>
    <t>Spanish Ministry of Education [AP2006-00403]; Ministerio de Educacion, Spain</t>
  </si>
  <si>
    <t>Spanish Ministry of Education(Spanish Government); Ministerio de Educacion, Spain(Spanish Government)</t>
  </si>
  <si>
    <t>C. Marquez was funded by a doctoral grant from the Spanish Ministry of Education (grant ref. AP2006-00403) during which period her daughter, Africa, was born-a wonderful addition to our team. We thank F. Ortega and A. Ruiz (Consejeria de Medio Ambiente, Junta de Andalucia) for their support. We are also most grateful to the scientific research group: Biogeography, Diversity and Conservation from Malaga University (Spain). Special thanks are due to P. Acevedo and R. Real for helpful comments on the statistical analysis and for valuable comments on the manuscript. We are most grateful to Carlos Cano and WWF-Spain for allowing us the use of the poisoning events database for Andalusia. J. M. Vargas was supported by the Programa Nacional de Movilidad de Recursos Humanos del Plan Nacional I + D + i 2008-2011 of the Ministerio de Educacion, Spain.</t>
  </si>
  <si>
    <t>10.1002/jwmg.424</t>
  </si>
  <si>
    <t>065AJ</t>
  </si>
  <si>
    <t>WOS:000313118400011</t>
  </si>
  <si>
    <t>Foxcroft, LC; Rouget, M; Richardson, DM</t>
  </si>
  <si>
    <t>Foxcroft, Llewellyn C.; Rouget, Mathieu; Richardson, David M.</t>
  </si>
  <si>
    <t>biological invasions; Kruger National Park; landscape ecology; propagule pressure; risk analysis; spatial analysis; species-distribution modeling</t>
  </si>
  <si>
    <t>SOUTH-AFRICA; NATIONAL-PARK; ALIEN PLANTS</t>
  </si>
  <si>
    <t>Protected areas are becoming increasingly isolated. River corridors represent crucial links to the surrounding landscape but are also major conduits for invasion of alien species. We developed a framework to assess the risk that alien plants in watersheds adjacent to a protected area will invade the protected area along rivers. The framework combines species- and landscape-level approaches and has five key components: (l) definition of the geographical area of interest, (2) delineation of the domain into ecologically meaningful zones, (3) identification of the appropriate landscape units, (4) categorization of alien species and mapping of their distribution and abundance, and (5) definition of management options. The framework guides the determination of species distribution and abundance through successive, easily followed steps, providing the means for the assessment of areas of concern. We applied the framework to Kruger National Park (KAP) in South Africa. We recorded 231 invasive alien plant species (of which 79 were major invaders) in the domain. The KNP is facing increasing pressure from alien species in the upper regions of the drainage areas of neighboring watersheds. On the basis of the climatic modeling, we showed that most major riparian invaders have the ability to spread across the KNP should they be transported down the rivers, With this information, KNP managers can identify areas for proactive intervention, monitoring, and resource allocation. Even for a very large protected area such as the KNP, sustainable management of biodiversity will depend heavily on the response of land managers upstream managing alien plants. We suggest that this framework is applicable to plants and other passively dispersed species that invade protected areas situated at the end of a drainage basin.</t>
  </si>
  <si>
    <t>Univ Cape Town, Dept Bot, Inst Plant Conservat, ZA-7701 Rondebosch, South Africa; Univ Stellenbosch, Ctr Invas Biol, Dept Bot &amp; Zool, ZA-7602 Matieland, South Africa; S African Natl Pk, Savanna Ecosyst Res Unit, ZA-1350 Skukuza, South Africa; S African Natl Biodivers Inst, Biodivers Planning Unit, ZA-0001 Pretoria, South Africa</t>
  </si>
  <si>
    <t>University of Cape Town; Stellenbosch University; South African National Biodiversity Institute</t>
  </si>
  <si>
    <t>Foxcroft, LC (corresponding author), Univ Cape Town, Dept Bot, Inst Plant Conservat, ZA-7701 Rondebosch, South Africa.</t>
  </si>
  <si>
    <t>llewellynf@sanparks.org</t>
  </si>
  <si>
    <t>Foxcroft, Llewellyn/B-1236-2009; Rouget, Mathieu/B-7249-2008; Richardson, David/A-1495-2008</t>
  </si>
  <si>
    <t>Foxcroft, Llewellyn/0000-0002-7071-6739; Rouget, Mathieu/0000-0002-6172-3152; Richardson, David/0000-0001-9574-8297</t>
  </si>
  <si>
    <t>10.1111/j.1523-1739.2007.00673.x</t>
  </si>
  <si>
    <t>153LY</t>
  </si>
  <si>
    <t>WOS:000245438200017</t>
  </si>
  <si>
    <t>Compa, M; Alomar, C; Wilcox, C; van Sebille, E; Lebreton, L; Hardesty, BD; Deudero, S</t>
  </si>
  <si>
    <t>Compa, Montserrat; Alomar, Carme; Wilcox, Chris; van Sebille, Erik; Lebreton, Laurent; Hardesty, Britta Denise; Deudero, Salud</t>
  </si>
  <si>
    <t>Risk framework; Plastic ingestion; Marine debris; Ecological assessment; Marine species; Biodiversity</t>
  </si>
  <si>
    <t>CARETTA-CARETTA; DEBRIS; BIODIVERSITY; INGESTION; LITTER; TURTLES; THREAT</t>
  </si>
  <si>
    <t>Plastic marine pollution is an increasing threat to global marine diversity. Quantifying this threat is particularly difficult and complex, especially when evaluating multiple species with different ecological requirements. Here, we examine the semi-enclosed basin of the Mediterranean Sea where the inputs of plastic pollution and its impact on marine diversity are still widely unknown. Eighty-four species from six taxonomic classes were evaluated to assess the risk of ingesting plastic marine debris, integrating inter-specific factors such as plastic exposure rates and life history traits (e.g., motility, habitat, and body size). Species were modelled within a spatial context to identify and estimate their exposure to plastic ingestion across the Mediterranean Sea using literature data, species distribution maps and plastic dispersion models. Our approach identified hotspots for the risk of plastic ingestion across multiple taxa in the Mediterranean Sea, highlighting that coastal species are at higher risk of ingesting plastic in the marine environment than open-sea species. The plastic exposure analysis indicated that species with larger home ranges were more at risk of exposure with increased distances while local species were more likely to be exposed to plastic closer to the centre of their home range location. The approach used in this study can be applied to support management and mitigation efforts throughout the Mediterranean Sea and in other geographic regions to minimize the impact of plastic pollution on marine diversity. (C) 2019 Elsevier B.V. All rights reserved.</t>
  </si>
  <si>
    <t>[Compa, Montserrat; Alomar, Carme; Deudero, Salud] Inst Espanol Oceanografia, Ctr Oceanograf Baleares, Palma De Mallorca 07015, Spain; [Wilcox, Chris; Hardesty, Britta Denise] Commonwealth Sci &amp; Ind Res Org, Oceans &amp; Atmosphere Business Unit, Hobart, Tas 7000, Australia; [van Sebille, Erik] Imperial Coll London, Grantham Inst, London SW7 2AZ, England; [van Sebille, Erik] Univ Utrecht, Inst Marine &amp; Atmospher Res, Utrecht, Netherlands; [Lebreton, Laurent] Ocean Cleanup Fdn, NL-2014 Rotterdam, Netherlands</t>
  </si>
  <si>
    <t>Spanish Institute of Oceanography; Commonwealth Scientific &amp; Industrial Research Organisation (CSIRO); Imperial College London; Utrecht University</t>
  </si>
  <si>
    <t>Compa, M (corresponding author), Inst Espanol Oceanografia, Ctr Oceanograf Baleares, Palma De Mallorca 07015, Spain.</t>
  </si>
  <si>
    <t>montse.compa@ieo.es</t>
  </si>
  <si>
    <t>Compa, Montserrat/GOP-2853-2022; Lebreton, Laurent/LFV-1720-2024; Hardesty, Britta/A-3189-2011; Deudero Company, Salud/I-1883-2015; Alomar, Carme/MCY-3470-2025; van Sebille, Erik/F-6781-2010; Wilcox, Chris/A-3585-2010</t>
  </si>
  <si>
    <t>Compa, Montserrat/0000-0002-0661-8712; Deudero Company, Salud/0000-0001-5584-2801; Alomar, Carme/0000-0002-3228-2706;</t>
  </si>
  <si>
    <t>Conselleria d'Innovacio, Recerca i Turisme of the regional Government of the Balearic Islands - European Social Fund as part of the FSE 2014-2020 operational program; Ajuts per dur a terme Accions Especials de Recerca i Desenvolupament 2015-2016 del Govern de les Illes Balears [17/2015]; la Caixa Banking Foundation; CSIRO's Oceans and Atmosphere Business Unit; European Commission DG Environment project: Support Mediterranean Member States towards coherent and Coordinated Implementation of the second phase of the MSFD MEDCIS [11.0661/2016/748067/SUB/ENV.C2]; European Regional Development Fund [4MED17_3.2_M123_027]</t>
  </si>
  <si>
    <t>Conselleria d'Innovacio, Recerca i Turisme of the regional Government of the Balearic Islands - European Social Fund as part of the FSE 2014-2020 operational program; Ajuts per dur a terme Accions Especials de Recerca i Desenvolupament 2015-2016 del Govern de les Illes Balears; la Caixa Banking Foundation(La Caixa Foundation); CSIRO's Oceans and Atmosphere Business Unit(Commonwealth Scientific &amp; Industrial Research Organisation (CSIRO)); European Commission DG Environment project: Support Mediterranean Member States towards coherent and Coordinated Implementation of the second phase of the MSFD MEDCIS; European Regional Development Fund(European Union (EU))</t>
  </si>
  <si>
    <t>M.C. is the recipient of a pre-doctoral FPI Fellowship from the Conselleria d'Innovacio, Recerca i Turisme of the regional Government of the Balearic Islands co-financed by the European Social Fund as part of the FSE 2014-2020 operational program. In addition, this study was partially funded by Ajuts per dur a terme Accions Especials de Recerca i Desenvolupament 2015-2016 del Govern de les Illes Balears, Ref: 17/2015. The research leading to these results has received funding from la Caixa Banking Foundation. BDH and CWwere supported by CSIRO's Oceans and Atmosphere Business Unit. In addition, this study was partially funded by the European Commission DG Environment project: Support Mediterranean Member States towards coherent and Coordinated Implementation of the second phase of the MSFD MEDCIS under grant no. 11.0661/2016/748067/SUB/ENV.C2. Finally, acknoweldgements to the INTERREG project: Plastic BustersMPAs: preserving biodiversity from plastics in Mediterranean Marine Protected Areas, co-financed by the European Regional Development Fund (grant agreement No 4MED17_3.2_M123_027).</t>
  </si>
  <si>
    <t>AUG 15</t>
  </si>
  <si>
    <t>10.1016/j.scitotenv.2019.04.355</t>
  </si>
  <si>
    <t>HZ1PK</t>
  </si>
  <si>
    <t>WOS:000468618900020</t>
  </si>
  <si>
    <t>Nogueira, C; Buckup, PA; Menezes, NA; Oyakawa, OT; Kasecker, TP; Neto, MBR; da Silva, JMC</t>
  </si>
  <si>
    <t>Nogueira, Cristiano; Buckup, Paulo A.; Menezes, Naercio A.; Oyakawa, Osvaldo T.; Kasecker, Thais P.; Ramos Neto, Mario B.; da Silva, Jose Maria C.</t>
  </si>
  <si>
    <t>Restricted-Range Fishes and the Conservation of Brazilian Freshwaters</t>
  </si>
  <si>
    <t>PROTECTED AREAS; BIODIVERSITY; STRATEGIES; PRIORITIES; PATTERNS; THREATS; AMAZON; RIVER; UNITS; DAMS</t>
  </si>
  <si>
    <t>Background: Freshwaters are the most threatened ecosystems on earth. Although recent assessments provide data on global priority regions for freshwater conservation, local scale priorities remain unknown. Refining the scale of global biodiversity assessments (both at terrestrial and freshwater realms) and translating these into conservation priorities on the ground remains a major challenge to biodiversity science, and depends directly on species occurrence data of high taxonomic and geographic resolution. Brazil harbors the richest freshwater ichthyofauna in the world, but knowledge on endemic areas and conservation in Brazilian rivers is still scarce. Methodology/Principal Findings: Using data on environmental threats and revised species distribution data we detect and delineate 540 small watershed areas harboring 819 restricted-range fishes in Brazil. Many of these areas are already highly threatened, as 159 (29%) watersheds have lost more than 70% of their original vegetation cover, and only 141 (26%) show significant overlap with formally protected areas or indigenous lands. We detected 220 (40%) critical watersheds overlapping hydroelectric dams or showing both poor formal protection and widespread habitat loss; these sites harbor 344 endemic fish species that may face extinction if no conservation action is in place in the near future. Conclusions/Significance: We provide the first analysis of site-scale conservation priorities in the richest freshwater ecosystems of the globe. Our results corroborate the hypothesis that freshwater biodiversity has been neglected in former conservation assessments. The study provides a simple and straightforward method for detecting freshwater priority areas based on endemism and threat, and represents a starting point for integrating freshwater and terrestrial conservation in representative and biogeographically consistent site-scale conservation strategies, that may be scaled-up following naturally linked drainage systems. Proper management (e. g. forestry code enforcement, landscape planning) and conservation (e. g. formal protection) of the 540 watersheds detected herein will be decisive in avoiding species extinction in the richest aquatic ecosystems on the planet.</t>
  </si>
  <si>
    <t>[Nogueira, Cristiano; Ramos Neto, Mario B.] Conservacao Int Brasil, Programa Cerrado Pantanal, Brasilia, DF, Brazil; [Buckup, Paulo A.] Univ Fed Rio de Janeiro, Museu Nacl, Dept Vertebrados, Rio De Janeiro, Brazil; [Menezes, Naercio A.; Oyakawa, Osvaldo T.] Univ Sao Paulo, Museu Zool, Secao Ictiol, Sao Paulo, Brazil; [Kasecker, Thais P.; da Silva, Jose Maria C.] Conservacao Int Brasil, Programa Amazonia, Belem, Para, Brazil</t>
  </si>
  <si>
    <t>Universidade Federal do Rio de Janeiro; Universidade de Sao Paulo</t>
  </si>
  <si>
    <t>Nogueira, C (corresponding author), Univ Brasilia, Dept Zool, Brasilia, DF, Brazil.</t>
  </si>
  <si>
    <t>cnogueira@unb.br</t>
  </si>
  <si>
    <t>Menezes, Naercio/K-8763-2013; de Campos Nogueira, Cristiano/I-5100-2012; Buckup, Paulo Aneas/H-6729-2013; da Silva, José/K-3479-2016</t>
  </si>
  <si>
    <t>Menezes, Naercio/0000-0002-9634-6051; de Campos Nogueira, Cristiano/0000-0003-1835-6761; Buckup, Paulo Aneas/0000-0002-1156-3226;</t>
  </si>
  <si>
    <t>Conselho Nacional de Desenvolvimento Cientifico e Tecnologico (CNPq); Coordenacao de Aperfeicoamento de Pessoal de Nivel Superior (CAPES); Gordon and Betty Moore Foundation</t>
  </si>
  <si>
    <t>Conselho Nacional de Desenvolvimento Cientifico e Tecnologico (CNPq)(Conselho Nacional de Desenvolvimento Cientifico e Tecnologico (CNPQ)); Coordenacao de Aperfeicoamento de Pessoal de Nivel Superior (CAPES)(Coordenacao de Aperfeicoamento de Pessoal de Nivel Superior (CAPES)); Gordon and Betty Moore Foundation(Gordon &amp; Betty Moore Foundation)</t>
  </si>
  <si>
    <t>Conselho Nacional de Desenvolvimento Cientifico e Tecnologico (CNPq) and Coordenacao de Aperfeicoamento de Pessoal de Nivel Superior (CAPES) provided research grants and fellowships. The Gordon and Betty Moore Foundation provided research funds. The funders had no role in study design, data collection and analysis, decision to publish, or preparation of the manuscript.</t>
  </si>
  <si>
    <t>JUN 30</t>
  </si>
  <si>
    <t>e11390</t>
  </si>
  <si>
    <t>10.1371/journal.pone.0011390</t>
  </si>
  <si>
    <t>618QE</t>
  </si>
  <si>
    <t>WOS:000279370000019</t>
  </si>
  <si>
    <t>Amano, T; Székely, T; Wauchope, HS; Sandel, B; Nagy, S; Mundkur, T; Langendoen, T; Blanco, D; Michel, NL; Sutherland, WJ</t>
  </si>
  <si>
    <t>Amano, Tatsuya; Szekely, Tamas; Wauchope, Hannah S.; Sandel, Brody; Nagy, Szabolcs; Mundkur, Taej; Langendoen, Tom; Blanco, Daniel; Michel, Nicole L.; Sutherland, William J.</t>
  </si>
  <si>
    <t>NATURE CLIMATE CHANGE</t>
  </si>
  <si>
    <t>SPECIES TRAITS; RANGE SHIFTS; SENSITIVITY; DIVERSITY; ABUNDANCE; CONSERVATION; PATTERNS; IMPACTS; ECOLOGY</t>
  </si>
  <si>
    <t>Gaps in geographic coverage of species abundance data, especially in the tropics, make determining species' responses to climate change difficult. Modelling a dataset on global waterbird abundance shows abundance declines in the tropics and increases at higher latitudes when temperatures increase. Most research on climate change impacts on global biodiversity lacks the resolution to detect changes in species abundance and is limited to temperate ecosystems. This limits our understanding of global responses in species abundance-a determinant of extinction risk and ecosystem function and services-to climate change, including in the highly biodiverse tropics. We address this knowledge gap by quantifying the abundance response of waterbirds, an indicator taxon of wetland biodiversity, to climate change at 6,822 sites between 55 degrees S and 64 degrees N. Using 1,303,651 count records of 390 species, we show that with temperature increase, the abundance of species and populations decreased at lower latitudes, particularly in the tropics, but increased at higher latitudes. These contrasting latitudinal responses indicate potential global-scale poleward shifts of species abundance under climate change. The negative responses to temperature increase in tropical species are of conservation concern, as they are often also threatened by other anthropogenic factors.</t>
  </si>
  <si>
    <t>[Amano, Tatsuya] Univ Queensland, Sch Biol Sci, Brisbane, Qld, Australia; [Amano, Tatsuya] Univ Queensland, Ctr Biodivers &amp; Conservat Sci, Brisbane, Qld, Australia; [Amano, Tatsuya; Wauchope, Hannah S.; Sutherland, William J.] Univ Cambridge, Dept Zool, Conservat Sci Grp, Cambridge, England; [Amano, Tatsuya] Univ Cambridge, Ctr Study Existential Risk, Cambridge, England; [Szekely, Tamas] Univ Bath, Milner Ctr Evolut, Dept Biol &amp; Biochem, Bath, Avon, England; [Szekely, Tamas] Univ Debrecen, Dept Evolutionary Zool, Debrecen, Hungary; [Sandel, Brody] Santa Clara Univ, Dept Biol, Santa Clara, CA 95053 USA; [Nagy, Szabolcs; Mundkur, Taej; Langendoen, Tom] Wetlands Int Global Off, Ede, Netherlands; [Blanco, Daniel] Wetlands Int Argentina, Buenos Aires, DF, Argentina; [Michel, Nicole L.] Natl Audubon Soc, New York, NY USA; [Sutherland, William J.] St Catharines Coll, BioRISC, Cambridge, England</t>
  </si>
  <si>
    <t>University of Queensland; University of Queensland; University of Cambridge; University of Cambridge; University of Bath; University of Debrecen; Santa Clara University; University of Cambridge</t>
  </si>
  <si>
    <t>Amano, T (corresponding author), Univ Queensland, Sch Biol Sci, Brisbane, Qld, Australia.;Amano, T (corresponding author), Univ Queensland, Ctr Biodivers &amp; Conservat Sci, Brisbane, Qld, Australia.;Amano, T (corresponding author), Univ Cambridge, Dept Zool, Conservat Sci Grp, Cambridge, England.;Amano, T (corresponding author), Univ Cambridge, Ctr Study Existential Risk, Cambridge, England.</t>
  </si>
  <si>
    <t>t.amano@uq.edu.au</t>
  </si>
  <si>
    <t>; Nagy, Szabolcs/JZE-3966-2024; Szekely, Tamas/I-7089-2016; Amano, Tatsuya/E-7367-2010; Sutherland, William/B-1291-2013</t>
  </si>
  <si>
    <t>Michel, Nicole/0000-0001-7817-2687; Mundkur, Taej/0000-0002-4567-4274; Szekely, Tamas/0000-0003-2093-0056; Amano, Tatsuya/0000-0001-6576-3410; Sutherland, William/0000-0002-6498-0437; Wauchope, Hannah/0000-0001-5370-4616</t>
  </si>
  <si>
    <t>Grantham Foundation for the Protection of the Environment; Kenneth Miller Trust; Australian Research Council Future Fellowship [FT180100354]; University of Queensland strategic funding; Royal Society [WM170050, APEX APX/R1/191045]; Leverhulme Trust [RF/2/RFG/2005/0279, ID200660763]; National Research, Development and Innovation Office of Hungary [ELVONAL KKP-126949, K-116310]; Cambridge Trust Cambridge-Australia Poynton Scholarship; Cambridge Department of Zoology JS Gardiner Fellowship; Arcadia; David and Claudia Harding Foundation; EU Horizon 2020 BACI project [640176]; Ministry of the Environment of Japan; Environment Canada; AEWA Secretariat; EU LIFE+ NGO Operational Grant; MAVA Foundation; Swiss Federal Office for Environment and Nature; French Ministry of Environment and Sustainable Development; UK Department of Food and Rural Affairs; Norwegian Nature Directorate; Dutch Ministry of Economics, Agriculture and Innovation</t>
  </si>
  <si>
    <t>Grantham Foundation for the Protection of the Environment; Kenneth Miller Trust; Australian Research Council Future Fellowship(Australian Research Council); University of Queensland strategic funding; Royal Society(Royal Society UK); Leverhulme Trust(Leverhulme Trust); National Research, Development and Innovation Office of Hungary(National Research, Development &amp; Innovation Office (NRDIO) - Hungary); Cambridge Trust Cambridge-Australia Poynton Scholarship; Cambridge Department of Zoology JS Gardiner Fellowship; Arcadia; David and Claudia Harding Foundation; EU Horizon 2020 BACI project; Ministry of the Environment of Japan(Ministry of the Environment, Japan); Environment Canada(CGIAR); AEWA Secretariat; EU LIFE+ NGO Operational Grant; MAVA Foundation(ACEV Foundation); Swiss Federal Office for Environment and Nature; French Ministry of Environment and Sustainable Development; UK Department of Food and Rural Affairs; Norwegian Nature Directorate; Dutch Ministry of Economics, Agriculture and Innovation</t>
  </si>
  <si>
    <t>We thank the coordinators, thousands of volunteer counters and funders of the International Waterbird Census and Christmas Bird Count. T.A. was supported by the Grantham Foundation for the Protection of the Environment, the Kenneth Miller Trust, the Australian Research Council Future Fellowship (FT180100354) and the University of Queensland strategic funding. T.S. was funded by the Royal Society (Wolfson Merit Award WM170050, APEX APX/R1/191045), the Leverhulme Trust (RF/2/RFG/2005/0279, ID200660763) and the National Research, Development and Innovation Office of Hungary (ELVONAL KKP-126949, K-116310). H.S.W. was supported by the Cambridge Trust Cambridge-Australia Poynton Scholarship and the Cambridge Department of Zoology JS Gardiner Fellowship. W.J.S. is supported by Arcadia and The David and Claudia Harding Foundation. This work is also funded by EU Horizon 2020 BACI project (Grant Agreement 640176), Ministry of the Environment of Japan, Environment Canada, AEWA Secretariat, EU LIFE+ NGO Operational Grant, MAVA Foundation, Swiss Federal Office for Environment and Nature, French Ministry of Environment and Sustainable Development, UK Department of Food and Rural Affairs, Norwegian Nature Directorate, Dutch Ministry of Economics, Agriculture and Innovation, DOB Ecology and Wetlands International members. Thanks to M. Amano for all the support.</t>
  </si>
  <si>
    <t>1758-678X</t>
  </si>
  <si>
    <t>1758-6798</t>
  </si>
  <si>
    <t>NAT CLIM CHANGE</t>
  </si>
  <si>
    <t>Nat. Clim. Chang.</t>
  </si>
  <si>
    <t>10.1038/s41558-020-0872-3</t>
  </si>
  <si>
    <t>Environmental Sciences; Environmental Studies; Meteorology &amp; Atmospheric Sciences</t>
  </si>
  <si>
    <t>Environmental Sciences &amp; Ecology; Meteorology &amp; Atmospheric Sciences</t>
  </si>
  <si>
    <t>NW0BA</t>
  </si>
  <si>
    <t>WOS:000562371300001</t>
  </si>
  <si>
    <t>Quadroni, S; Crosa, G; Gentili, G; Espa, P</t>
  </si>
  <si>
    <t>Quadroni, Silvia; Crosa, Giuseppe; Gentili, Gaetano; Espa, Paolo</t>
  </si>
  <si>
    <t>Alpine catchment; Biomonitoring; Environmental flow; Minimum flow; Water management; Water Framework Directive</t>
  </si>
  <si>
    <t>NATURAL FLOW REGIMES; ENVIRONMENTAL FLOW; EXPERIMENTAL FLOODS; RUNNING WATERS; ITALIAN ALPS; SEDIMENT; RIVER; FRAMEWORK; RESERVOIR; SCALE</t>
  </si>
  <si>
    <t>The present work focuses on evaluating the ecological effects of hydropower-induced streamflow alteration within four catchments in the central Italian Alps. Downstream from the water diversions, minimum flows are released as an environmental protection measure, ranging approximately from 5 to 10% of the mean annual natural flow estimated at the intake section. Benthic macroinvertebrates as well as daily averaged streamflow were monitored for five years at twenty regulated stream reaches, and possible relationships between benthos-based stream quality metrics and environmental variables were investigated. Despite the non-negligible inter-site differences in basic streamflow metrics, benthic macroinvertebrate communities were generally dominated by few highly resilient taxa. The highest level of diversity was detected at sites where upstream minimum flow exceedance is higher and further anthropogenic pressures (other than hydropower) are lower. However, according to the current Italian normative index, the ecological quality was good/high on average at all of the investigated reaches, thus complying the Water Framework Directive standards. (C) 2017 Elsevier B.V. All rights reserved.</t>
  </si>
  <si>
    <t>[Quadroni, Silvia; Crosa, Giuseppe] Univ Insubria, Dept Theoret &amp; Appl Sci, Via JH Dunant 3, I-21100 Varese, Italy; [Gentili, Gaetano] Graia Srl, Via Repubbl 1, I-21020 Varano Borghi, VA, Italy; [Espa, Paolo] Univ Insubria, Dept Sci &amp; High Technol, Via GB Vico 46, I-21100 Varese, Italy</t>
  </si>
  <si>
    <t>University of Insubria; University of Insubria</t>
  </si>
  <si>
    <t>Quadroni, S (corresponding author), Univ Insubria, Dept Theoret &amp; Appl Sci, Via JH Dunant 3, I-21100 Varese, Italy.</t>
  </si>
  <si>
    <t>silvia.quadroni@uninsubria.it</t>
  </si>
  <si>
    <t>Quaoni, Silvia/T-1972-2019</t>
  </si>
  <si>
    <t>Quaoni, Silvia/0000-0003-1295-2108</t>
  </si>
  <si>
    <t>DEC 31</t>
  </si>
  <si>
    <t>10.1016/j.scitotenv.2017.07.099</t>
  </si>
  <si>
    <t>FG5JZ</t>
  </si>
  <si>
    <t>WOS:000410352900053</t>
  </si>
  <si>
    <t>Maseko, MST; Ramesh, T; Kalle, R; Downs, CT</t>
  </si>
  <si>
    <t>Maseko, Mfundo S. T.; Ramesh, Tharmalingam; Kalle, Riddhika; Downs, Colleen T.</t>
  </si>
  <si>
    <t>Camera traps; Avian forest specialist; Habitat conversion; Natural forests; Plantations</t>
  </si>
  <si>
    <t>SPURFOWL PTERNISTIS-AFER; PRESENCE-ABSENCE DATA; MPUMALANGA PROVINCE; RELATIVE IMPORTANCE; BIRD CONSERVATION; PREDATION RISK; SITE OCCUPANCY; HABITAT; LANDSCAPE; ABUNDANCE</t>
  </si>
  <si>
    <t>Globally anthropogenic pressures on natural environments have caused species decline. Ground dwelling bird species declined in numbers because of loss of habitat and nesting sites. Protected areas (PAs) are generally perceived as areas with little disturbance; however, many have/are also subjected to anthropogenic land use change, such as agroforestry. Consequently, we investigated the presence and habitat use of a terrestrial avian species, the Crested Guinea-fowl (Guttera edouardi), in iSimangaliso Wetland Park, South Africa, a PA with varying land use change. We used single-season camera trap data from 99 trap stations across 24 days, and single season occupancy models to quantify the influence of habitat conversion and habitat characteristics on occupancy and detection probability of Crested Guinea-fowl. The average site occupancy (+/- standard error) and detection probability (+/- standard error) under the variable influence was 0.40 +/- 0.07 and 0.43 +/- 0.06 respectively from the top models. The most influential variables were natural forests, shrub cover, leaf litter, weed dominance, distance to water and narrow path. The natural forests, weed dominance and shrub cover positively influenced the occupancy of Crested Guinea-fowl. Leaf litter and distance to water had a positive influence on detection probability while narrow path had a negative influence. Our findings highlight the importance of natural forests to the survival of Crested Guinea-fowl in landscapes modified for agroforestry. Management initiatives are mandatory to ensure protection of adequate natural habitat for the conservation of forest specialists.</t>
  </si>
  <si>
    <t>[Maseko, Mfundo S. T.; Ramesh, Tharmalingam; Kalle, Riddhika; Downs, Colleen T.] Univ KwaZulu Natal, Sch Life Sci, Private Bag X01, ZA-3209 Pietermaritzburg, Kwazulu Natal, South Africa</t>
  </si>
  <si>
    <t>University of Kwazulu Natal</t>
  </si>
  <si>
    <t>Downs, CT (corresponding author), Univ KwaZulu Natal, Sch Life Sci, Private Bag X01, ZA-3209 Pietermaritzburg, Kwazulu Natal, South Africa.</t>
  </si>
  <si>
    <t>downs@ukzn.ac.za</t>
  </si>
  <si>
    <t>Maseko, Mfundo/LJL-8604-2024; Downs, Colleen/A-7770-2010</t>
  </si>
  <si>
    <t>Maseko, Mfundo/0000-0001-8425-9826; Downs, Colleen/0000-0001-8334-1510</t>
  </si>
  <si>
    <t>University of KwaZulu-Natal; Hans Hoheisen Charitable Trust</t>
  </si>
  <si>
    <t>University of KwaZulu-Natal(University of Kwazulu Natal); Hans Hoheisen Charitable Trust</t>
  </si>
  <si>
    <t>We would like to thank the University of KwaZulu-Natal and the Hans Hoheisen Charitable Trust for funding the project. We are grateful to iSimangaliso Wetland Park Authority and Ezemvelo KZN Wildlife for permission to conduct research in the park. We would like to thank E. Kheswa for her assistance during the project work.</t>
  </si>
  <si>
    <t>0021-8375</t>
  </si>
  <si>
    <t>1439-0361</t>
  </si>
  <si>
    <t>10.1007/s10336-016-1406-7</t>
  </si>
  <si>
    <t>ER1XT</t>
  </si>
  <si>
    <t>WOS:000398589200012</t>
  </si>
  <si>
    <t>Mosbahi, N; Serbaji, MM; Pezy, JP; Neifar, L; Dauvin, JC</t>
  </si>
  <si>
    <t>Mosbahi, Nawfel; Serbaji, Mohamed Moncef; Pezy, Jean-Philippe; Neifar, Lassad; Dauvin, Jean-Claude</t>
  </si>
  <si>
    <t>Soft-bottom communities; Benthic indicators; Anthropogenic pressures; AMBI; BO2A</t>
  </si>
  <si>
    <t>MARINE BIOTIC INDEX; GABES GULF; SEASONAL VARIABILITY; SPATIAL-DISTRIBUTION; QUALITY ASSESSMENT; SEDIMENTS; POLLUTION; AREA; CONTAMINATION; INDICATORS</t>
  </si>
  <si>
    <t>Anthropogenic activities including coastal industries, urbanization, extensive agriculture and aquaculture as well as their cumulative impacts represent major sources of perturbation of marine coastal systems. Macrobenthic communities are useful ecological indicators for monitoring the health status of marine environments (or polluted environments). The present study reports, for the first time, the response of benthic macrofauna sampled during two years survey (2015-2016) to multiple anthropogenic pressures on the coastal zone south of Sfax (Tunisia). A total of 12 stations were monitored seasonally at locations downstream from the main potential sources of disturbance. 106 macrobenthos taxa, belonging to six animal phyla and 70 families, were identified with a dominance of polychaetes (42%), crustaceans (35%) and molluscs (18%). We used an ANOVA test and cluster analysis to identify spatial gradient linked to environmental and anthropogenic factors, including depth, sedimentary texture and anthropogenic activities (i.e. phosphogypsum discharges).The macrofauna present lowest species number and abundance on stations undergoing anthropogenic inputs, which are extremely polluted by heavy metals (Cd, Cu, F and N) and excess of organic matter. Univariate parameters reveal a general trend of increasing species diversity with increasing distance from the pollution source. The polluted stations are strongly dominated by carnivores, and selective deposit feeders, and more closely linked to the availability of trophic resources than to anthropogenic constraints. The seasonal changes in macrobenthic abundance, diversity indices and community structure are mainly linked to the biological cycle (e.g. recruitment events) of the dominant species. Biotic indices (AMBI and BO2A) classified the coastal zone south of Sfax as moderate and good ecological status. This study suggests that initiating a long-term monitoring programme would improve our understanding of the temporal changes of macrobenthic communities of this ecosystem, contributing to the assessment of effective management and conservation measures in this disturbed area. (C) 2019 Published by Elsevier Ltd.</t>
  </si>
  <si>
    <t>[Mosbahi, Nawfel; Neifar, Lassad] Univ Sfax, Fac Sci Sfax, Lab Biodiversite Marine &amp; Environm, BP 1171, Sfax 3038, Tunisia; [Serbaji, Mohamed Moncef] Univ Sfax, Natl Sch Engineers Sfax, Water Energy &amp; Environm Lab L3E, BP 1173, Sfax 3038, Tunisia; [Pezy, Jean-Philippe; Dauvin, Jean-Claude] Normandie Univ, UNICAEN, CNRS, UMR 6143,M2C,Lab Morphodynam Continentale &amp; Cotie, 2-4 Rue Tilleuls, F-14000 Caen, France</t>
  </si>
  <si>
    <t>Universite de Sfax; Faculty of Sciences Sfax; Universite de Sfax; Ecole Nationale dIngenieurs de Sfax (ENIS); Universite de Caen Normandie; Centre National de la Recherche Scientifique (CNRS); CNRS - National Institute for Earth Sciences &amp; Astronomy (INSU)</t>
  </si>
  <si>
    <t>Mosbahi, N (corresponding author), Univ Sfax, Fac Sci Sfax, Lab Biodiversite Marine &amp; Environm, BP 1171, Sfax 3038, Tunisia.</t>
  </si>
  <si>
    <t>nawfelmosbahi@hotmail.fr</t>
  </si>
  <si>
    <t>SERBAJI, Mohamed Moncef/AER-5314-2022; SERBAJI, Mohamed/AER-5314-2022; Pezy, Jean-philippe/B-3730-2018; Pezy, Jean-Philippe/B-3730-2018</t>
  </si>
  <si>
    <t>SERBAJI, Mohamed Moncef/0000-0002-8953-5874; Pezy, Jean-philippe/0000-0002-8293-5090;</t>
  </si>
  <si>
    <t>10.1016/j.envpol.2019.06.080</t>
  </si>
  <si>
    <t>IU2JQ</t>
  </si>
  <si>
    <t>WOS:000483406700050</t>
  </si>
  <si>
    <t>Thongmanivong, S; Fujita, Y; Fox, J</t>
  </si>
  <si>
    <t>Resource use dynamics and land-cover change in Ang Nhai village and Phou Phanang National Reserve forest, Lao PDR</t>
  </si>
  <si>
    <t>land-use/land-cover change; forest degradation; deforestation; regeneration; environmental history; Laos</t>
  </si>
  <si>
    <t>SHIFTING CULTIVATION; STATE POLICIES; CONSERVATION; THAILAND; YUNNAN; CHINA</t>
  </si>
  <si>
    <t>This study integrated aerial photographs from 1952, 1981, and 1998, and a satellite image from 2000 with oral histories and socioeconomic surveys to assess changes in forest and land cover in Ang Nhai village, Laos. The study documents the history of resource use and changes in household access to resources in the village.Three distinctive trends were observed in terms of forest and land cover-forest degradation, deforestation, and regeneration. Project results suggest:that land and forest cover change dynamically under different circumstances. The case study also points out that integration into the market economy can induce intensification of unused lowland areas, while removing pressures from upland areas previously used for supplementing agricultural production. In addition, the creation of a national reserve forest to restrict local access and forest use was an ineffective tool for regulating encroachment and logging activities.</t>
  </si>
  <si>
    <t>EW Ctr, Honolulu, HI USA; Natl Univ Laos, Fac Forestry, Viangchan, Laos</t>
  </si>
  <si>
    <t>Fox, J (corresponding author), EW Ctr, Honolulu, HI USA.</t>
  </si>
  <si>
    <t>foxj@eastwestcenter.org</t>
  </si>
  <si>
    <t>Fox, Jefferson/0000-0002-0508-654X</t>
  </si>
  <si>
    <t>10.1007/s00267-003-0291-z</t>
  </si>
  <si>
    <t>965OC</t>
  </si>
  <si>
    <t>WOS:000231959000004</t>
  </si>
  <si>
    <t>Bebbington, AJ; Bebbington, DH; Sauls, LA; Rogan, J; Agrawal, S; Gamboa, C; Imhof, A; Johnson, K; Rosa, H; Royo, A; Toumbourou, T; Verdum, R</t>
  </si>
  <si>
    <t>Bebbington, Anthony J.; Bebbington, Denise Humphreys; Sauls, Laura Aileen; Rogan, John; Agrawal, Sumali; Gamboa, Cesar; Imhof, Aviva; Johnson, Kimberly; Rosa, Herman; Royo, Antoinette; Toumbourou, Tessa; Verdum, Ricardo</t>
  </si>
  <si>
    <t>extractive industry; infrastructure; deforestation; rights; climate</t>
  </si>
  <si>
    <t>LAND-USE; PROTECTED AREAS; AMAZON; SUSTAINABILITY; DEFORESTATION; EMISSIONS; REGION; RISKS; ROADS</t>
  </si>
  <si>
    <t>Mineral and hydrocarbon extraction and infrastructure are increasingly significant drivers of forest loss, greenhouse gas emissions, and threats to the rights of forest communities in forested areas of Amazonia, Indonesia, and Mesoamerica. Projected investments in these sectors suggest that future threats to forests and rights are substantial, particularly because resource extraction and infrastructure reinforce each other and enable population movements and agricultural expansion further into the forest. In each region, governments have made framework policy commitments to national and cross-border infrastructure integration, increased energy production, and growth strategies based on further exploitation of natural resources. This reflects political settlements among national elites that endorse resource extraction as a pathway toward development. Regulations that protect forests, indigenous and rural peoples' lands, and conservation areas are being rolled back or are under threat. Small-scale gold mining has intensified in specific locations and also has become a driver of deforestation and degradation. Forest dwellers' perceptions of insecurity have increased, as have documented homicides of environmental activists. To explain the relationships among extraction, infrastructure, and forests, this paper combines a geospatial analysis of forest loss overlapped with areas of potential resource extraction, interviews with key informants, and feedback from stakeholder workshops. The increasing significance of resource extraction and associated infrastructure as drivers of forest loss and rights violations merits greater attention in the empirical analyses and conceptual frameworks of Sustainability Science.</t>
  </si>
  <si>
    <t>[Bebbington, Anthony J.] Univ Melbourne, Sch Geog, Parkville, Vic 3010, Australia; [Bebbington, Anthony J.; Sauls, Laura Aileen; Rogan, John; Johnson, Kimberly] Clark Univ, Grad Sch Geog, Worcester, MA 01610 USA; [Bebbington, Anthony J.] Univ Manchester, Global Dev Inst, Manchester M13 9PL, Lancs, England; [Bebbington, Denise Humphreys] Clark Univ, Dept Int Dev Community &amp; Environm, Worcester, MA 01610 USA; [Agrawal, Sumali] Yayasan Tambuhak Sinta, Kalimantan Tengah 74874, Indonesia; [Gamboa, Cesar] Derecho Ambiente &amp; Recursos Nat, Lima 11, Peru; [Imhof, Aviva] European Climate Fdn, NL-2513 AM The Hague, Netherlands; [Rosa, Herman] Programa Reg Invest Desarrollo &amp; Medio Ambiente, San Salvador, El Salvador; [Royo, Antoinette] Samdhana Inst, Bogor 16153, Indonesia; [Toumbourou, Tessa] Univ Melbourne, Sch Geog, Parkville, Vic 3010, Australia; [Verdum, Ricardo] Univ Fed Rio de Janeiro, Museo Nacl, BR-21941901 Rio De Janeiro, RJ, Brazil</t>
  </si>
  <si>
    <t>University of Melbourne; Clark University; University of Manchester; Clark University; University of Melbourne; Universidade Federal do Rio de Janeiro</t>
  </si>
  <si>
    <t>Bebbington, AJ (corresponding author), Univ Melbourne, Sch Geog, Parkville, Vic 3010, Australia.;Bebbington, AJ (corresponding author), Clark Univ, Grad Sch Geog, Worcester, MA 01610 USA.;Bebbington, AJ (corresponding author), Univ Manchester, Global Dev Inst, Manchester M13 9PL, Lancs, England.</t>
  </si>
  <si>
    <t>Bebbington.a@unimelb.edu.au</t>
  </si>
  <si>
    <t>; Gamboa, Cesar/AAZ-6971-2021</t>
  </si>
  <si>
    <t>Bebbington, Anthony/0000-0003-3342-7898; Sauls, Laura/0000-0001-8868-7465; Gamboa Balbín, César Leonidas/0000-0002-0706-765X; Humphreys Bebbington, Denise/0009-0005-9794-7835; Toumbourou, Tessa Dunphy/0000-0003-0986-4262</t>
  </si>
  <si>
    <t>Climate and Land Use Alliance Contract [1607-55271]; Australian Research Council Australia [FL160100072]; Ford Foundation's Vice-Presidency for Democracy, Rights and Justice; Clark University general funds; Australian Research Council [FL160100072] Funding Source: Australian Research Council</t>
  </si>
  <si>
    <t>Climate and Land Use Alliance Contract; Australian Research Council Australia(Australian Research Council); Ford Foundation's Vice-Presidency for Democracy, Rights and Justice; Clark University general funds; Australian Research Council(Australian Research Council)</t>
  </si>
  <si>
    <t>We thank Kevin Currey, Penny Davies, David Kaimowitz, Billie Turner, Arun Agrawal, Rod Keenan, Paula Satizabal, Wolfram Dressler, the Political Ecology Reading Group at the University of Melbourne, and our reviewers for comments, and all the people interviewed for this work and who participated in workshops discussing results in Brasilia, Jakarta, Lima, Mexico City, Oslo, and San Salvador for their input. Many Clark University students contributed to geographic information system and remote sensing analysis, in particular Caitlin Cassisi, Ali Filopovic, Anam Khan, and Luisa Young. Chandra Jayasuriya assisted with cartography. Research and writing were supported by Climate and Land Use Alliance Contract 1607-55271; Australian Research Council Australia Laureate Fellowship Grant FL160100072; the Ford Foundation's Vice-Presidency for Democracy, Rights and Justice; and Clark University general funds.</t>
  </si>
  <si>
    <t>DEC 26</t>
  </si>
  <si>
    <t>10.1073/pnas.1812505115</t>
  </si>
  <si>
    <t>HF5VQ</t>
  </si>
  <si>
    <t>WOS:000454302600050</t>
  </si>
  <si>
    <t>Mondal, PP; Zhang, YL</t>
  </si>
  <si>
    <t>Mondal, Partho Protim; Zhang, Yili</t>
  </si>
  <si>
    <t>Research Progress on Changes in Land Use and Land Cover in the Western Himalayas (India) and Effects on Ecosystem Services</t>
  </si>
  <si>
    <t>ecosystem services (ESS); land use; land cover; impact of LULC change on ESS; Western Himalaya</t>
  </si>
  <si>
    <t>CLIMATE-CHANGE; BIODIVERSITY CONSERVATION; POVERTY ALLEVIATION; IGBP DISCOVER; FOREST COVER; IMPACT; AGROFORESTRY; UTTARAKHAND; CULTIVATION; MANAGEMENT</t>
  </si>
  <si>
    <t>Western Himalaya is an important region in terms of its enriched biodiversity and immense ecosystem services (ESS). However, its biodiversity and ESS are under tremendous pressure from rapid population growth, developmental activities, unplanned urbanization, agricultural expansion, climate change, and the associated changes in land use and land cover (LULC). This study provides a systematic review of the composition and pattern of LULC (from existing literature) and the effects of LULC change on various ESS provided by the western Himalayan ecosystems. Despite being such a significant area, data and studies concerning the impacts of LULC change on the spatial distribution of ESS, focused particularly on the western Himalayan region are inadequately reported. Most existing studies indicate a general decrease in forest cover and an increase in forest fragmentation along with generally increasing trends in built-up areas, croplands, and barren lands. These results imply ecosystem degradation and a reduction in the potential for the sustainable flow of ESS from this region. In this respect, this study suggests that quantification and spatial mapping of ESS in the western Himalayan region is conducted.</t>
  </si>
  <si>
    <t>[Mondal, Partho Protim; Zhang, Yili] Chinese Acad Sci, Inst Geog Sci &amp; Nat Resources Res, Key Lab Land Surface Pattern &amp; Simulat, Beijing 100101, Peoples R China; [Mondal, Partho Protim; Zhang, Yili] Univ Chinese Acad Sci, Beijing 100049, Peoples R China; [Zhang, Yili] CAS Ctr Excellence Tibetan Plateau Earth Sci, Beijing 100101, Peoples R China</t>
  </si>
  <si>
    <t>Chinese Academy of Sciences; Institute of Geographic Sciences &amp; Natural Resources Research, CAS; Chinese Academy of Sciences; University of Chinese Academy of Sciences, CAS; Chinese Academy of Sciences; Institute of Tibetan Plateau Research, CAS; Center for Excellence in Tibetan Plateau Earth Sciences (CETES), CAS</t>
  </si>
  <si>
    <t>Zhang, YL (corresponding author), Chinese Acad Sci, Inst Geog Sci &amp; Nat Resources Res, Key Lab Land Surface Pattern &amp; Simulat, Beijing 100101, Peoples R China.;Zhang, YL (corresponding author), Univ Chinese Acad Sci, Beijing 100049, Peoples R China.;Zhang, YL (corresponding author), CAS Ctr Excellence Tibetan Plateau Earth Sci, Beijing 100101, Peoples R China.</t>
  </si>
  <si>
    <t>mondal@igsnrr.ac.cn; zhangyl@igsnrr.ac.cn</t>
  </si>
  <si>
    <t>MONDAL, PARTHO PROTIM/0000-0002-2655-3450; zhang, yili/0000-0002-9474-1664</t>
  </si>
  <si>
    <t>Strategic Priority Research Program of the Chinese Academy of Sciences [XDA20000000]; National Natural Science Foundation of China [41761144081]; International Partnership Program of Chinese Academy of Sciences [131C11KYSB20160061]; Chinese Academy of Sciences-The World Academy of Sciences (CAS-TWAS) President's Fellowship Program for international Ph.D. students</t>
  </si>
  <si>
    <t>Strategic Priority Research Program of the Chinese Academy of Sciences(Chinese Academy of Sciences); National Natural Science Foundation of China(National Natural Science Foundation of China (NSFC)); International Partnership Program of Chinese Academy of Sciences; Chinese Academy of Sciences-The World Academy of Sciences (CAS-TWAS) President's Fellowship Program for international Ph.D. students</t>
  </si>
  <si>
    <t>This work is supported by a Strategic Priority Research Program of the Chinese Academy of Sciences (XDA20000000), National Natural Science Foundation of China (41761144081), International Partnership Program of Chinese Academy of Sciences (131C11KYSB20160061) and Chinese Academy of Sciences-The World Academy of Sciences (CAS-TWAS) President's Fellowship Program for international Ph.D. students.</t>
  </si>
  <si>
    <t>10.3390/su10124504</t>
  </si>
  <si>
    <t>WOS:000455338100170</t>
  </si>
  <si>
    <t>Wiemeyer, GM; Pérez, MA; Bianchini, LT; Sampietro, L; Bravo, GF; Jácome, NL; Astore, V; Lambertucci, SA</t>
  </si>
  <si>
    <t>Wiemeyer, Guillermo M.; Perez, Miguel A.; Bianchini, Laura Torres; Sampietro, Luciano; Bravo, Guillermo F.; Jacome, N. Luis; Astore, Vanesa; Lambertucci, Sergio A.</t>
  </si>
  <si>
    <t>Lead; Condor; Hunting; Ammunition; South America</t>
  </si>
  <si>
    <t>ENVIRONMENTAL EXPOSURE; EGGSHELL THICKNESS; AMMUNITION; FEATHERS; MINERALIZATION; POPULATION; DECREASE; METALS; STRESS; BIRDS</t>
  </si>
  <si>
    <t>Wildlife lead exposure is an increasing conservation threat that is being widely investigated. However, for some areas of the world (e.g., South America) and certain species, research on this subject is still scarce or only local information is available. We analyzed the extent and intensity of lead exposure for a widely distributed threatened species, the Andean Condor (Vultur gryphus). We conducted the study at two different scales: 1) sampling of birds received for rehabilitation or necropsy in Argentina, and 2) bibliographic review and extensive survey considering exposure event for the species' distribution in South America. Wild condors from Argentina (n = 76) presented high lead levels consistent with both recent and previous exposure (up to 104 mu g/dL blood level, mean 15.47 +/- 21.21 mu g/dL and up to 148.20 ppm bone level, mean 23.08 +/- 31.39 ppm). In contrast, captive bred individuals-not exposed to lead contamination- had much lower lead levels (mean blood level 5.63 +/- 3.08 mu g/dL, and mean bone level 2.76 +/- 3.06 ppm). Condors were exposed to lead throughout their entire range in continental Argentina, which represents almost sixty percent (&gt;4000 km) of their geographical distribution. We also present evidence of lead exposure events in Chile, Ecuador, and Peru. Lead poisoning is a widespread major conservation threat for the Andean Condor, and probably other sympatric carnivores from South America. The high number and wide range of Andean Condors with lead values complement the results for the California Condor and other scavengers in North America suggesting lead poisoning is a continental threat. Urgent actions are needed to reduce this poison in the wild. (C) 2016 Elsevier Ltd. All rights reserved.</t>
  </si>
  <si>
    <t>[Wiemeyer, Guillermo M.; Perez, Miguel A.; Bianchini, Laura Torres; Sampietro, Luciano; Bravo, Guillermo F.; Astore, Vanesa] Jardin Zool Ciudad Buenos Aires, Republ India 3000, RA-1425 Buenos Aires, DF, Argentina; [Wiemeyer, Guillermo M.; Bianchini, Laura Torres; Sampietro, Luciano] Univ Buenos Aires, Fac Ciencias Vet, Av Chorroarin 280, RA-1427 Buenos Aires, DF, Argentina; [Wiemeyer, Guillermo M.] Peregrine Fund, 5668 W Flying Hawk Lane, Boise, ID 83709 USA; [Wiemeyer, Guillermo M.] Fdn Cabure I, Sucre 2842 9 A, RA-1428 Buenos Aires, DF, Argentina; [Jacome, N. Luis; Astore, Vanesa] Fdn Bioandina Argentina, Republ India 3000, RA-1425 Buenos Aires, DF, Argentina; [Lambertucci, Sergio A.] Univ Nacl Comahue, CONICET, INIBIOMA, Grp Biol Conservac,Lab Ecotono, Quintral 1250, RA-8400 San Carlos De Bariloche, Rio Negro, Argentina</t>
  </si>
  <si>
    <t>University of Buenos Aires; Consejo Nacional de Investigaciones Cientificas y Tecnicas (CONICET); Universidad Nacional del Comahue</t>
  </si>
  <si>
    <t>Wiemeyer, GM (corresponding author), Jardin Zool Ciudad Buenos Aires, Republ India 3000, RA-1425 Buenos Aires, DF, Argentina.</t>
  </si>
  <si>
    <t>gwiemeyer@fvet.uba.ar</t>
  </si>
  <si>
    <t>; Bravo Morante, Guillermo/AAD-5842-2022</t>
  </si>
  <si>
    <t>LAMBERTUCCI, SERGIO/0000-0002-2624-2185;</t>
  </si>
  <si>
    <t>Buenos Aires Zoo; Peregrine Fund; Fundacion Bioandina Argentina; [PICT-0725]</t>
  </si>
  <si>
    <t>Buenos Aires Zoo; Peregrine Fund; Fundacion Bioandina Argentina;</t>
  </si>
  <si>
    <t>Financial support for this investigation was provided by Buenos Aires Zoo, The Peregrine Fund, Fundacion Bioandina Argentina, and PICT-0725 (2014). See Supplementary Information for full acknowledgments on specific Andean Condor program sponsors.</t>
  </si>
  <si>
    <t>10.1016/j.envpol.2016.10.025</t>
  </si>
  <si>
    <t>EG0QG</t>
  </si>
  <si>
    <t>WOS:000390736700073</t>
  </si>
  <si>
    <t>Gairola, S; Proches, S; Gebreslasie, MT; Rocchini, D</t>
  </si>
  <si>
    <t>Gairola, Sanjay; Proches, Serban; Gebreslasie, Michael T.; Rocchini, Duccio</t>
  </si>
  <si>
    <t>SOUTH AFRICAN JOURNAL OF GEOMATICS</t>
  </si>
  <si>
    <t>TREE INVASIONS; RESOLUTION; CLASSIFICATION; IDENTIFICATION; PATTERNS</t>
  </si>
  <si>
    <t>Invasive alien plants are considered one of the major threats to biodiversity conservation worldwide. Hence, understanding their distribution and abundance is important in order to assess the impact on native ecosystems. It is particularly important to be able to track the spread of invasive species across landscapes; a task best achieved using remotely sensed imagery. The availability of high resolution data, combined with efficient classification methods, can potentially improve early detection of invasive alien species thereby enhancing their management. This study aims to classifywoody species with a focus on Melia azedarach (Meliaceae) trees in a moderately invaded coastal belt valley on the east coast of South Africa using WorldView-2 (WV-2) satellite imagery, and to compare the commonly used pixel-based classification with object-oriented approaches. The results show that object-oriented approaches are more suitable for classifying woody species, as well as other land cover classes when using high-resolution WV-2 imagery. The overall accuracy was 90% by object oriented classification, while the pixel-based classification gave an overall accuracy of 78%. For Melia, a producer accuracy of 92% and user accuracy of 91% was obtained by object-oriented classification and a producer accuracy of 85% and user accuracy of 83% was obtained by pixel-based classification. Hence the combined use of new generation sensor imagery and the employment of object-oriented image classification techniques provided more accurate information on Melia invasion in the study area. This is an encouraging result given the high degree of intermingling of Melia with other plants at the study site. In particular, the vegetation maps produced from this study would aid in gathering accurate knowledge about the distribution and spreading status of Melia, a major invasive species over large areas of South Africa and elsewhere in the world.</t>
  </si>
  <si>
    <t>[Gairola, Sanjay; Proches, Serban; Gebreslasie, Michael T.] Univ KwaZulu Natal, Sch Agr Earth &amp; Environm Sci, Westville Campus, Durban 4000, South Africa; [Rocchini, Duccio] Fdn Edmund Mach, Res &amp; Innovat Ctr, Dept Biodivers &amp; Mol Ecol, GIS &amp; Remote Sensing Unit, San Michele All Adige 38010, TN, Italy</t>
  </si>
  <si>
    <t>University of Kwazulu Natal; Fondazione Edmund Mach</t>
  </si>
  <si>
    <t>Gairola, S (corresponding author), Univ KwaZulu Natal, Sch Agr Earth &amp; Environm Sci, Westville Campus, Durban 4000, South Africa.</t>
  </si>
  <si>
    <t>drsanjaygairola@gmail.com</t>
  </si>
  <si>
    <t>Gebreslasie, Michael/AAI-2387-2021; Procheş, Şerban/A-2044-2008; Rocchini, Duccio/B-6742-2011</t>
  </si>
  <si>
    <t>Gebreslasie, Michael/0000-0002-4784-576X; Procheş, Şerban/0000-0002-3415-6930;</t>
  </si>
  <si>
    <t>UKZN postdoctoral fellowship; National Research Foundation's (South Africa); EU BON (Building the European Biodiversity Observation Network) project; European Union [308454]; DIARS FP7 - European Union</t>
  </si>
  <si>
    <t>UKZN postdoctoral fellowship(University of Kwazulu Natal); National Research Foundation's (South Africa); EU BON (Building the European Biodiversity Observation Network) project; European Union(European Union (EU)); DIARS FP7 - European Union</t>
  </si>
  <si>
    <t>The authors acknowledge Yadalayan Govinder (Parks, Recreation and Culture Unit, eThekwini Municipality) and Arvind Bhatt for their assistance with collecting field data. SG was supported by a UKZN postdoctoral fellowship, and SP's research is funded by National Research Foundation's (South Africa) incentive funding initiative for rated researchers. DR is supported by the EU BON (Building the European Biodiversity Observation Network) project, funded by the European Union under the 7th Framework programme, Contract No. 308454 and by the DIARS FP7 project funded by the European Union.</t>
  </si>
  <si>
    <t>CONSAS CONFERENCE</t>
  </si>
  <si>
    <t>MOWBRAY</t>
  </si>
  <si>
    <t>VAN DER STERR BLDG, RHODES DR, MOWBRAY, 7785, SOUTH AFRICA</t>
  </si>
  <si>
    <t>2225-8531</t>
  </si>
  <si>
    <t>S AFR J GEOMAT</t>
  </si>
  <si>
    <t>S. Afr. J. Geomat.</t>
  </si>
  <si>
    <t>10.4314/sajg.v5i3.2</t>
  </si>
  <si>
    <t>EM4WQ</t>
  </si>
  <si>
    <t>WOS:000395314100002</t>
  </si>
  <si>
    <t>Ghulam, A; Ghulam, O; Maimaitijiang, M; Freeman, K; Porton, I; Maimaitiyiming, M</t>
  </si>
  <si>
    <t>Ghulam, Abduwasit; Ghulam, Oghlan; Maimaitijiang, Maitiniyazi; Freeman, Karen; Porton, Ingrid; Maimaitiyiming, Matthew</t>
  </si>
  <si>
    <t>LAND-COVER; MADAGASCAR; DEFORESTATION; BIODIVERSITY; CONSERVATION; DEGRADATION; DISTURBANCE; DRIVERS; CLIMATE; REGION</t>
  </si>
  <si>
    <t>In this paper, grid cell based spatial statistics were used to quantify the drivers of land-cover and land-use change (LCLUC) and habitat degradation in a tropical rainforest in Madagascar. First, a spectral database of various land-cover and land-use information was compiled using multi-year field campaign data and photointerpretation of satellite images. Next, residential areas were extracted from IKONOS-2 and GeoEye-1 images using object oriented feature extraction (OBIA). Then, Landsat Thematic Mapper (TM) and Enhanced Thematic Mapper Plus (ETM+) data were used to generate land-cover and land-use maps from 1990 to 2011, and LCLUC maps were developed with decadal intervals and converted to 100 m vector grid cells. Finally, the causal associations between LCLUC were quantified using ordinary least square regression analysis and Moran's I, and a forest disturbance index derived from the time series Landsat data were used to further confirm LCLUC drivers. The results showed that (1) local spatial statistical approaches were most effective at quantifying the drivers of LCLUC, and (2) the combined threats of habitat degradation in and around the reserve and increasing encroachment of invasive plant species lead to the expansion of shrubland and mixed forest within the former primary forest, which was echoed by the forest disturbance index derived from the Landsat data.</t>
  </si>
  <si>
    <t>[Ghulam, Abduwasit; Maimaitijiang, Maitiniyazi; Maimaitiyiming, Matthew] St Louis Univ, Ctr Sustainabil, St Louis, MO 63108 USA; [Ghulam, Oghlan] Chongqing Univ, Coll Resources &amp; Environm Sci, Chongqing 400044, Peoples R China; [Maimaitijiang, Maitiniyazi] Xinjiang Agr Univ, Coll Management, Urumqi 830052, Peoples R China; [Freeman, Karen] Madagascar Fauna &amp; Flora Grp, Kalinka FK19 8NZ, Lochearnhead, Madagascar; [Porton, Ingrid] Madagascar Fauna &amp; Flora Grp, St Louis, MO 63110 USA</t>
  </si>
  <si>
    <t>Saint Louis University; Chongqing University; Xinjiang Agricultural University</t>
  </si>
  <si>
    <t>Ghulam, A (corresponding author), St Louis Univ, Ctr Sustainabil, St Louis, MO 63108 USA.</t>
  </si>
  <si>
    <t>awulamu@slu.edu; erkoghlan@gmail.com; mamatjan1982@163.com; karenlmfreeman@hotmail.com; ingrid.porton@gmail.com; maimaitiyiming@slu.edu</t>
  </si>
  <si>
    <t>Maimaitiyiming, Matthew/Q-6950-2019</t>
  </si>
  <si>
    <t>Maimaitiyiming, Matthew/0000-0002-4241-6181</t>
  </si>
  <si>
    <t>Saint Louis Zoo's Wildcare Institute; Margot Marsh Biodiversity Foundation; EAZA (European Association of Zoos and Aquariums)</t>
  </si>
  <si>
    <t>This work was supported by multiple grants from Saint Louis Zoo's Wildcare Institute, Margot Marsh Biodiversity Foundation and EAZA (European Association of Zoos and Aquariums).</t>
  </si>
  <si>
    <t>10.3390/rs70506257</t>
  </si>
  <si>
    <t>CM3QC</t>
  </si>
  <si>
    <t>WOS:000357596900022</t>
  </si>
  <si>
    <t>Andersen, JH; Al-Hamdani, Z; Harvey, ET; Kallenbach, E; Murray, C; Stock, A</t>
  </si>
  <si>
    <t>Andersen, Jesper H.; Al-Hamdani, Zyad; Harvey, E. Therese; Kallenbach, Emilie; Murray, Ciaran; Stock, Andy</t>
  </si>
  <si>
    <t>Stressors; Ecosystems; Cumulative impacts; Pressure gradients; Ecosystem-based management; Marine spatial planning</t>
  </si>
  <si>
    <t>CUMULATIVE HUMAN IMPACTS; MARINE MANAGEMENT; RISK; VULNERABILITY; OPPORTUNITIES; CHALLENGES; QUALITY; MAP</t>
  </si>
  <si>
    <t>The objectives of this study are 1) to map the potential cumulative impacts of multiple human activities and stressors on the ecosystems in the transition zone between the North Sea and Baltic Sea, for Danish waters 2) to analyse differences in stressor contribution between the European Union's Marine Strategy Framework Directive (MSFD, off-shore waters) and Water Framework Directive (WFD, coastal waters), and 3) to assess the local relative importance of stressors for 14 areas along a land-sea gradient, from inner fjords or coastal areas to offshore waters. The mapping of cumulative impacts is anchored in 35 datasets describing a broad range of human stressors and 47 ecosystem components ranging from phytoplankton over benthic communities to fish, seabirds and marine mammals, which we combined by means of a widely used spatial human impact model. Ranking of the stressor impacts for the entire study area revealed that the top five stressors are: 'Nutrients', 'Climate anomalies', Non-indigenous species', `Noise' and 'Contaminants'. The gradient studies showed that some stressors (e.g. 'Nutrients', 'Shipping' and 'Physical modification') have a relatively higher impact within the fjord/estuarine systems whilst others (e.g. 'Fisheries', 'Contaminants' and 'Noise') have relatively higher impact in the open waters. Beyond mapping of cumulative human impacts, we discuss how the maps can be used as an analytical tool to inform ecosystem-based management and marine spatial planning, using the MSFD and WFD as examples. (C) 2019 The Author(s). Published by Elsevier B.V.</t>
  </si>
  <si>
    <t>[Andersen, Jesper H.; Harvey, E. Therese; Kallenbach, Emilie; Murray, Ciaran] NIVA Denmark Water Res, Copenhagen, Denmark; [Al-Hamdani, Zyad] Geol Survey Denmark &amp; Greenland GEUS, Aarhus, Denmark; [Stock, Andy] Columbia Univ, Lamont Doherty Earth Observ, Earth Inst, New York, NY USA</t>
  </si>
  <si>
    <t>Geological Survey Of Denmark &amp; Greenland; Columbia University</t>
  </si>
  <si>
    <t>Andersen, JH (corresponding author), NIVA Denmark Water Res, Copenhagen, Denmark.</t>
  </si>
  <si>
    <t>jha@niva-dk.dk</t>
  </si>
  <si>
    <t>; Murray, Ciarán/MDS-9458-2025; Andersen, Jesper/AAE-7159-2020; Kallenbach, Emilie/G-9757-2018; Alhamdani, Z-K-/AAW-9316-2020</t>
  </si>
  <si>
    <t>Stock, Andy/0000-0003-2848-1961; Murray, Ciarán/0000-0003-0260-2008; Andersen, Jesper/0000-0002-9885-894X; Harvey, E Therese/0000-0001-6777-2740; Kallenbach, Emilie/0000-0001-8834-223X;</t>
  </si>
  <si>
    <t>Danish Environmental Protection Agency via the MST MSFD CIA project [17255]; Danish Agriculture &amp; Food Council (L&amp;F) via the RALAHA project [7128-2017]; Earth Institute Postdoctoral Fellowship</t>
  </si>
  <si>
    <t>Danish Environmental Protection Agency via the MST MSFD CIA project; Danish Agriculture &amp; Food Council (L&amp;F) via the RALAHA project; Earth Institute Postdoctoral Fellowship</t>
  </si>
  <si>
    <t>The study is supported by the Danish Environmental Protection Agency via the MST MSFD CIA project (17255) and the Danish Agriculture &amp; Food Council (L&amp;F) via the RALAHA project (7128-2017). AS was supported by an Earth Institute Postdoctoral Fellowship. We would like to thank the persons contributing to the setting of sensitivity weights as well as Marie Ostergaard and Samuli Korpinen for helpful discussions.</t>
  </si>
  <si>
    <t>FEB 20</t>
  </si>
  <si>
    <t>10.1016/j.scitotenv.2019.135316</t>
  </si>
  <si>
    <t>JY8QK</t>
  </si>
  <si>
    <t>WOS:000504672800120</t>
  </si>
  <si>
    <t>Santos, SM; Lourenço, R; Mira, A; Beja, P</t>
  </si>
  <si>
    <t>Santos, Sara M.; Lourenco, Rui; Mira, Antonio; Beja, Pedro</t>
  </si>
  <si>
    <t>Relative Effects of Road Risk, Habitat Suitability, and Connectivity on Wildlife Roadkills: The Case of Tawny Owls (Strix aluco)</t>
  </si>
  <si>
    <t>SPECIES DISTRIBUTIONS; CONSERVATION BIOLOGY; VEHICLE COLLISIONS; LOCATIONS; PATTERNS; ECOLOGY; PERFORMANCE; REGRESSION; MOVEMENT; HIGHWAY</t>
  </si>
  <si>
    <t>Background: Despite its importance for reducing wildlife-vehicle collisions, there is still incomplete understanding of factors responsible for high road mortality. In particular, few empirical studies examined the idea that spatial variation in roadkills is influenced by a complex interplay between road-related factors, and species-specific habitat quality and landscape connectivity. Methodology/Principal Findings: In this study we addressed this issue, using a 7-year dataset of tawny owl (Strix aluco) roadkills recorded along 37 km of road in southern Portugal. We used a multi-species roadkill index as a surrogate of intrinsic road risk, and we used a Maxent distribution model to estimate habitat suitability. Landscape connectivity was estimated from least-cost paths between tawny owl territories, using habitat suitability as a resistance surface. We defined 10 alternative scenarios to compute connectivity, based on variation in potential movement patterns according to territory quality and dispersal distance thresholds. Hierarchical partitioning of a regression model indicated that independent variation in tawny owl roadkills was explained primarily by the roadkill index (70.5%) and, to a much lesser extent, by landscape connectivity (26.2%), while habitat suitability had minor effects (3.3%). Analysis of connectivity scenarios suggested that owl roadkills were primarily related to short range movements (&lt;5 km) between high quality territories. Tawny owl roadkills were spatially autocorrelated, but the introduction of spatial filters in the regression model did not change the type and relative contribution of environmental variables. Conclusions: Overall, results suggest that road-related factors may have a dominant influence on roadkill patterns, particularly in areas like ours where habitat quality and landscape connectivity are globally high for the study species. Nevertheless, the study supported the view that functional connectivity should be incorporated whenever possible in roadkill models, as it may greatly increase their power to predict the location of roadkill hotspots.</t>
  </si>
  <si>
    <t>[Santos, Sara M.; Mira, Antonio] Univ Evora, CIBIO Res Ctr Biodivers &amp; Genet Resources, Evora, Portugal; [Lourenco, Rui] Univ Evora, Inst Ciencias Agr &amp; Ambientais Mediterran, LabOr Lab Ornithol, Evora, Portugal; [Beja, Pedro] Univ Porto, CIBIO Res Ctr Biodivers &amp; Genet Resources, EDP Biodivers Chair, Vairao, Portugal</t>
  </si>
  <si>
    <t>University of Evora; University of Evora; Universidade do Porto</t>
  </si>
  <si>
    <t>Santos, SM (corresponding author), Univ Evora, CIBIO Res Ctr Biodivers &amp; Genet Resources, Evora, Portugal.</t>
  </si>
  <si>
    <t>saramlsantos@yahoo.com</t>
  </si>
  <si>
    <t>Mira, António/E-5715-2010; Beja, Peo/A-7851-2008; Lourenço, Rui/AAB-6030-2020; Santos, Sara/AAU-4738-2020</t>
  </si>
  <si>
    <t>Mira, António/0000-0001-6152-0454; Beja, Peo/0000-0001-8164-0760; Lourenço, Rui/0000-0001-7694-0478; Santos, Sara/0000-0003-4931-1080</t>
  </si>
  <si>
    <t>Fundacao para a Ciencia e Tecnologia (FCT) [SFRH/BPD/70124/2010, SFRH/BPD/78241/2011]; integrated program CIBIO-UE: Biodiversity and Climate change [ALENT-07-0224-FEDER-001755]; Fundação para a Ciência e a Tecnologia [SFRH/BPD/70124/2010, SFRH/BPD/78241/2011] Funding Source: FCT</t>
  </si>
  <si>
    <t>Fundacao para a Ciencia e Tecnologia (FCT)(Fundacao para a Ciencia e a Tecnologia (FCT)); integrated program CIBIO-UE: Biodiversity and Climate change; Fundação para a Ciência e a Tecnologia(Fundacao para a Ciencia e a Tecnologia (FCT))</t>
  </si>
  <si>
    <t>S.M. Santos and R. Lourenco were supported by Post-doctoral grants of Fundacao para a Ciencia e Tecnologia (FCT; SFRH/BPD/70124/2010 and SFRH/BPD/78241/2011, respectively). The creation of the vertebrate mortality database was partially funded by the integrated program CIBIO-UE: Biodiversity and Climate change founded by INALENTEJO with the ref. ALENT-07-0224-FEDER-001755. The funders had no role in study design, data collection and analysis, decision to publish, or preparation of the manuscript.</t>
  </si>
  <si>
    <t>NOV 21</t>
  </si>
  <si>
    <t>e79967</t>
  </si>
  <si>
    <t>10.1371/journal.pone.0079967</t>
  </si>
  <si>
    <t>259PW</t>
  </si>
  <si>
    <t>WOS:000327539800040</t>
  </si>
  <si>
    <t>Topp-Jorgensen, E; Nielsen, MR; Marshall, AR; Pedersen, U</t>
  </si>
  <si>
    <t>Topp-Jorgensen, Elmer; Nielsen, Martin Reinhardt; Marshall, Andrew R.; Pedersen, Ulrik</t>
  </si>
  <si>
    <t>TROPICAL CONSERVATION SCIENCE</t>
  </si>
  <si>
    <t>PARTICIPATORY FOREST MANAGEMENT; WILDLIFE POPULATIONS; TRANSECT METHODS; PRIMATES; MONKEY; CONSERVATION; EXTINCTION; ABUNDANCE; ECOLOGY; AFRICA</t>
  </si>
  <si>
    <t>Bushmeat hunting constitutes the most immediate threat to wildlife populations in the Udzungwa Mountains of the Eastern Afromontane biodiversity hotspot. This study assesses the impact of hunting by comparing densities of mammalian species between the little hunted West Kilombero Scarp Forest Reserve (WKSFR), the medium-hunted Udzungwa Scarp Forest Reserve (USFR) and the intensively hunted New Dabaga Ulongambi Forest Reserve (NDUFR). Of the 22 species recorded, 20 were present in WKSFR, 17 in USFR and 12 in NDUFR. Most large species (&gt;40 kg.) were absent from hunted areas, while medium-sized species were reduced more than smaller species. Few traces of Abbott's duiker were observed in hunted areas and bush pig was reduced by more than 85% in hunted areas. Hunting appears to have little effect on relative abundance of primates, blue duiker, Harvey's duiker, aardvark, eastern tree hyrax, and giant pouched rat in USFR, at least for those areas surveyed. In NDUFR relative abundance of most mammals are reduced compared to the less hunted reserves. The exception is red colobus which were no less abundant than USFR. However in NDUFR, transects were placed in the best quality habitat for these habitat-sensitive monkeys, thus emphasising the additional role of habitat degradation. The effect of hunting appears to be proportional to the size of the species and the intensity of hunting, although effects of life history strategy, forest fragment size, isolation, and previous logging cannot be excluded. Reduction of hunting levels are paramount to the survival of large bodied species in USFR and for the continued presence of most species in NDUFR. This study furthermore constitutes an important baseline for monitoring the effect of current efforts to implement joint forest management in the Udzungwa Mountains.</t>
  </si>
  <si>
    <t>[Nielsen, Martin Reinhardt] Univ Copenhagen, Ctr Forest Landscape &amp; Planning, Fac Life Sci, DK-1958 Frederiksberg C, Denmark; [Topp-Jorgensen, Elmer; Pedersen, Ulrik] Danish Zool Soc, DK-2100 Copenhagen O, Denmark; [Marshall, Andrew R.] Univ York, Dept Environm, York YO10 5DD, N Yorkshire, England; [Marshall, Andrew R.] Flamingo Land Ltd, Malton YO17 6UX, N Yorkshire, England</t>
  </si>
  <si>
    <t>University of Copenhagen; University of York - UK</t>
  </si>
  <si>
    <t>Nielsen, MR (corresponding author), Univ Copenhagen, Ctr Forest Landscape &amp; Planning, Fac Life Sci, Rolighedsvej 23, DK-1958 Frederiksberg C, Denmark.</t>
  </si>
  <si>
    <t>nielsenmr@gmail.com</t>
  </si>
  <si>
    <t>Topp-Jørgensen, Elmer/N-6198-2019; Nielsen, Martin Reinhardt/E-1173-2015</t>
  </si>
  <si>
    <t>Topp-Jørgensen, Elmer/0000-0002-5050-9273; Nielsen, Martin Reinhardt/0000-0002-8941-6031</t>
  </si>
  <si>
    <t>Age W. Jensen Foundation; Danish Government through DANIDA</t>
  </si>
  <si>
    <t>We are indebted to the Age W. Jensen Foundation for funding surveys in WKSFR and USFR. In addition to data compiled by the authors for WKSFR and USFR, this publication uses material collected in NDUFR during the Udzungwa Mountains Biodiversity Surveys; a collaborative venture between the Society for Environmental Exploration and the University of Dar es Salaam (through the Frontier Tanzania Forest Research Program), and the Udzungwa Mountains Forest Management and Biodiversity Conservation Component, MEMA, supported by the Danish Government through DANIDA. We also wish to thank Prof. J. Fjeldsa, H. Baagoe, T. Butynski, C. Ehardt, T. T. Struhsaker and L. Dinesen for valuable comments to earlier drafts. Special thanks should also go to Dr. J. Lovett, K. Mikkelsen and C. Frimodt-Moller for assisting with botanical problems and sharing their data.</t>
  </si>
  <si>
    <t>SAGE PUBLICATIONS INC</t>
  </si>
  <si>
    <t>THOUSAND OAKS</t>
  </si>
  <si>
    <t>2455 TELLER RD, THOUSAND OAKS, CA 91320 USA</t>
  </si>
  <si>
    <t>1940-0829</t>
  </si>
  <si>
    <t>TROP CONSERV SCI</t>
  </si>
  <si>
    <t>Trop. Conserv. Sci.</t>
  </si>
  <si>
    <t>10.1177/194008290900200108</t>
  </si>
  <si>
    <t>V21XY</t>
  </si>
  <si>
    <t>WOS:000208241500007</t>
  </si>
  <si>
    <t>Velado-Alonso, E; Morales-Castilla, I; Rebollo, S; Gómez-Sal, A</t>
  </si>
  <si>
    <t>Velado-Alonso, Elena; Morales-Castilla, Ignacio; Rebollo, Salvador; Gomez-Sal, Antonio</t>
  </si>
  <si>
    <t>agrobiodiversity; biodiversity conservation; cattle; geographical distributions; local livestock breeds; sheep; Spain; terrestrial vertebrates</t>
  </si>
  <si>
    <t>VERTEBRATE SPECIES RICHNESS; BIODIVERSITY CONSERVATION; CLIMATE-CHANGE; TERRESTRIAL VERTEBRATES; RELATIVE INFLUENCE; HUMAN-POPULATION; HABITAT; IMPACTS; ECOLOGY; AREAS</t>
  </si>
  <si>
    <t>Aim Wild biodiversity and agrobiodiversity are affected by challenges such as agricultural intensification. However, it is unknown whether or not both components of biodiversity respond similarly to environmental factors and to these challenges. Here, we examine the spatial relationships between the distributions of wild biodiversity and agrobiodiversity, to quantify how and where they covary across the geography. Location Mainland Spain, a European region that harbours high values of both wild and agro- biodiversity. Methods We used geographically weighted regression models to analyse the spatial variation in the relationships between the distribution of wild vertebrates and environmental and agrobiodiversity variables. We modelled the spatial gradients in species richness of native terrestrial vertebrates-that is, specific groups of amphibians, reptiles, birds and mammals-as a function of local livestock breed richness-that is, bovine, ovine, caprine, asinine, equine and porcine-climate variables and human footprint. Results We found significant covariation between the distribution of native vertebrate species richness and climate, human footprint and livestock diversity. Overall, the association between species richness of the four wild terrestrial vertebrate groups and local livestock breed richness is positive across most of the studied area. However, local breed richness of cattle and sheep breed displays contrasting patterns, where cattle breeds associate positively to most wildlife vertebrates and sheep breeds show negative associations. Main conclusion Wildlife diversity distributions are significantly associated with livestock agrobiodiversity. These spatial relationships are mediated by large-scale environmental gradients. Since both, wildlife and livestock agrobiodiversity, tend to co-occur spatially, future strategies for conservation in agricultural landscapes could benefit from integrated approaches.</t>
  </si>
  <si>
    <t>[Velado-Alonso, Elena; Rebollo, Salvador; Gomez-Sal, Antonio] Univ Alcala, Dept Life Sci, FORECO Forest Ecol &amp; Restorat Grp, Ctra Madrid Barcelona Km 33,600, Madrid 28805, Spain; [Velado-Alonso, Elena; Morales-Castilla, Ignacio; Gomez-Sal, Antonio] Univ Alcala, Dept Life Sci, GloCEE Global Change Ecol &amp; Evolut Grp, Madrid, Spain; [Morales-Castilla, Ignacio] George Mason Univ, Dept Environm Sci &amp; Policy, Fairfax, VA 22030 USA</t>
  </si>
  <si>
    <t>Universidad de Alcala; Universidad de Alcala; George Mason University</t>
  </si>
  <si>
    <t>Velado-Alonso, E (corresponding author), Univ Alcala, Dept Life Sci, FORECO Forest Ecol &amp; Restorat Grp, Ctra Madrid Barcelona Km 33,600, Madrid 28805, Spain.</t>
  </si>
  <si>
    <t>elena.velado@uah.es</t>
  </si>
  <si>
    <t>Velado-Alonso, Elena/AAP-4345-2021; Rebollo, Salvador/L-6451-2014; Morales-Castilla, Ignacio/AAB-2649-2019</t>
  </si>
  <si>
    <t>Velado-Alonso, Elena/0000-0003-4805-2929; Rebollo, Salvador/0000-0001-8797-1122; Morales-Castilla, Ignacio/0000-0002-8570-9312</t>
  </si>
  <si>
    <t>Fundacion Tatiana Perez de Guzman el Bueno; Spanish Ministry of Science and Innovation [CGL2017-86926-P]</t>
  </si>
  <si>
    <t>Fundacion Tatiana Perez de Guzman el Bueno; Spanish Ministry of Science and Innovation(Spanish GovernmentMinistry of Science &amp; Innovation, Spain (MICINN))</t>
  </si>
  <si>
    <t>Fundacion Tatiana Perez de Guzman el Bueno; Spanish Ministry of Science and Innovation (Grant CGL2017-86926-P)</t>
  </si>
  <si>
    <t>10.1111/ddi.13133</t>
  </si>
  <si>
    <t>JUL 2020</t>
  </si>
  <si>
    <t>NK6MK</t>
  </si>
  <si>
    <t>WOS:000552697200001</t>
  </si>
  <si>
    <t>Linke, J; McDermid, GJ; Fortin, MJ; Stenhouse, GB</t>
  </si>
  <si>
    <t>Linke, Julia; McDermid, Gregory J.; Fortin, Marie-Josee; Stenhouse, Gordon B.</t>
  </si>
  <si>
    <t>Forestry; Grizzly bears; Human footprint; Multi-temporal remote sensing; Oil and gas wells; Roads</t>
  </si>
  <si>
    <t>WEST-CENTRAL ALBERTA; BROWN BEARS; MODEL SELECTION; HABITAT; ABUNDANCE; IMPACT; FRAGMENTATION; CONSERVATION; POPULATION; REGRESSION</t>
  </si>
  <si>
    <t>Grizzly bear (Ursus arctos) populations across their range are being threatened by anthropogenic development and associated increases in human-caused mortality. However, details surrounding the impact of cumulative human effects are not yet fully understood, as prior research has focused primarily on habitat selection of individual disturbance features, rather than the spatio-temporal dynamics of aggregated disturbance processes. We used grizzly bear relative-abundance information from a DNA population inventory alongside a GIS database of human footprint dynamics to gain insight into the relationships between human disturbance features and the spatial distribution of grizzly bears in west-central Alberta, Canada: a landscape experiencing heavy resource development. We used candidate model-selection techniques and zero-inflated Poisson regression models to test competing hypotheses about disturbance processes, neighborhood effect and landscape characteristics. The best model explained about 57% of the overall variation in relative grizzly bear abundance. Areas with lower 'disturbance exposure' (i.e. high mean distance to new disturbances over time), lower 'neighborhood disturbance' (i.e. disturbance density around those areas), and higher 'availability of regenerating forest', were associated with higher bear abundance. In addition, areas located further away from an adjacent protected area exhibited a higher probability of 'excess absences', accounting indirectly for the cumulative effects of disturbance and the history of human-caused mortality. Our results suggest that managing the spatio-temporal exposure of grizzly bears to new disturbance features may be an important consideration for conserving this species in rapidly changing landscapes. (C) 2013 Elsevier Ltd. All rights reserved.</t>
  </si>
  <si>
    <t>[Linke, Julia; McDermid, Gregory J.] Univ Calgary, Dept Geog, Calgary, AB T2N 1N4, Canada; [Fortin, Marie-Josee] Univ Toronto, Dept Ecol &amp; Evolutionary Biol, Toronto, ON M5S 3G5, Canada; [Stenhouse, Gordon B.] Foothills Res Inst Grizzly Bear Res Program, Hinton, AB T7V 1X7, Canada</t>
  </si>
  <si>
    <t>University of Calgary; University of Toronto</t>
  </si>
  <si>
    <t>Linke, J (corresponding author), Univ Toronto, Dept Ecol &amp; Evolutionary Biol, 25 Harbord St, Toronto, ON M5S 3G5, Canada.</t>
  </si>
  <si>
    <t>julia.linke@utoronto.ca; mcdermid@ucalgary.ca; mariejosee.fortin@utoronto.ca; gstenhouse@foothillsri.ca</t>
  </si>
  <si>
    <t>McDermid, Greg/A-2342-2012</t>
  </si>
  <si>
    <t>McDermid, Greg/0000-0001-8079-3730</t>
  </si>
  <si>
    <t>Natural Science and Engineering Research Council of Canada; Alberta Ingenuity Award; NSERC postdoctoral fellowship; Foothills Research Institute Grizzly Bear Research Program</t>
  </si>
  <si>
    <t>Natural Science and Engineering Research Council of Canada(Natural Sciences and Engineering Research Council of Canada (NSERC)); Alberta Ingenuity Award; NSERC postdoctoral fellowship(Natural Sciences and Engineering Research Council of Canada (NSERC)); Foothills Research Institute Grizzly Bear Research Program</t>
  </si>
  <si>
    <t>This work has been funded in part through the Natural Science and Engineering Research Council of Canada. Julia Linke was directly supported by an Alberta Ingenuity Award during the analysis phase of this research, and by an NSERC postdoctoral fellowship during the writing phase. We gratefully acknowledge the support of Foothills Research Institute Grizzly Bear Research Program and its many partners in government, academics, and industry. Many thanks are extended to Drs. Guillermo Castilla, John Boulanger, Troy Hegel, Stephanie Melles, Scott Nielsen, Achim Zeileis and three anonymous reviewers for constructive communications on this research.</t>
  </si>
  <si>
    <t>10.1016/j.biocon.2013.06.012</t>
  </si>
  <si>
    <t>273GS</t>
  </si>
  <si>
    <t>WOS:000328523900006</t>
  </si>
  <si>
    <t>Esetlili, MT; Ozen, F; Kurucu, Y; Bolca, M</t>
  </si>
  <si>
    <t>Esetlili, M. T.; Ozen, F.; Kurucu, Y.; Bolca, M.</t>
  </si>
  <si>
    <t>RELATIONSHIP BETWEEN HIGHWAY CONSTRUCTIONS AND NATURAL HABITAT. A CASE STUDY OF IZMIR HIGHWAY</t>
  </si>
  <si>
    <t>JOURNAL OF ENVIRONMENTAL PROTECTION AND ECOLOGY</t>
  </si>
  <si>
    <t>habitat fragmentation; highway; Izmir; remote sensing; GIS</t>
  </si>
  <si>
    <t>ROAD MORTALITY; IMPACTS; SYSTEM</t>
  </si>
  <si>
    <t>Natural habitats and ecological systems provide living space for one or more living beings, and they are the source of biodiversity on Earth. Integrity of ecosystems impetuously collapse due to unplanned urbanisation, misuse of lands and excessive consumption of natural resources by human beings. Additionally, monitoring studies are not sufficient to plan preventions. The main aim of this study is to set a precedent by monitoring the damage, the pressure and time-dependent changes, which are caused by highway projects planned without analysing ecosystem flexibility, on natural habitats through the use of remote sensing technique and GIS. The effects of highway projects on habitats are investigated with respect to two different points of view. The first one is that highway projects directly invade and divide habitats. The other one is that highways become centre of attractions for residential and industrial zones, and demand for settlements increases around highways. The research area of this study is the most seriously affected natural area in Aegean region where Izmir-Aydin highway passes through. The changes in the research area in terms of land usage from 1984 to 2014 were analysed by satellite images. The size of industrial and residential zones in the research area was 138 ha in 1984. The size of industrial and residential zone has increased by 1.225% and reached to 1.690 ha as industrial and residential zones became denser throughout the highway. As a result of this study, it was determined that Izmir-Aydin highway has irreversibly split and destroyed substantial part of the natural habitat.</t>
  </si>
  <si>
    <t>[Esetlili, M. T.; Ozen, F.; Kurucu, Y.; Bolca, M.] Ege Univ, Dept Soil Sci &amp; Plant Nutr, Fac Agr, Izmir, Turkey</t>
  </si>
  <si>
    <t>Ege University</t>
  </si>
  <si>
    <t>Esetlili, MT (corresponding author), Ege Univ, Dept Soil Sci &amp; Plant Nutr, Fac Agr, Izmir, Turkey.</t>
  </si>
  <si>
    <t>tolga.esetlili@ege.edu.tr</t>
  </si>
  <si>
    <t>Esetlili, Tolga/E-8459-2010; ÖZEN, FULSEN/AAG-6733-2020; Kurucu, Yusuf/AAG-8427-2019</t>
  </si>
  <si>
    <t>Esetlili, Tolga/0000-0002-8095-4247;</t>
  </si>
  <si>
    <t>SCIBULCOM LTD</t>
  </si>
  <si>
    <t>PO BOX 249, 1113 SOFIA, BULGARIA</t>
  </si>
  <si>
    <t>1311-5065</t>
  </si>
  <si>
    <t>J ENVIRON PROT ECOL</t>
  </si>
  <si>
    <t>J. Environ. Prot. Ecol.</t>
  </si>
  <si>
    <t>AZ5II</t>
  </si>
  <si>
    <t>WOS:000348254600040</t>
  </si>
  <si>
    <t>Roscioni, F; Russo, D; Di Febbraro, M; Frate, L; Carranza, ML; Loy, A</t>
  </si>
  <si>
    <t>Roscioni, F.; Russo, D.; Di Febbraro, M.; Frate, L.; Carranza, M. L.; Loy, A.</t>
  </si>
  <si>
    <t>Chiroptera; Energy; Habitat alteration; Maxent; Risk assessment; Species distribution models</t>
  </si>
  <si>
    <t>SPECIES DISTRIBUTIONS; PIPISTRELLUS-PIPISTRELLUS; LANDSCAPE STRUCTURE; IMPROVE PREDICTION; CONSERVATION; FOREST; CHIROPTERA; VESPERTILIONIDAE; ECHOLOCATION; VALIDATION</t>
  </si>
  <si>
    <t>Wind farms are steadily growing across Europe, with potentially detrimental effects on wildlife. Indeed, cumulative impacts in addition to local effects should be considered when planning wind farm development at a regional scale, and mapping the potential risk to bats at this scale would help in the large-scale planning of wind turbines and focus field surveys on vulnerable areas. Although modelling offers a powerful approach to tackle this goal, its application has been thus far neglected. We developed a simple regional-scale analysis in an area of central Italy (Molise region) that is undergoing considerable wind farm development. We implemented species distribution models (SDMs) for two bat species vulnerable to wind farm impact, Nyctalus leisleri and Pipistrellus pipistrellus. We developed risk maps by overlaying SDMs for the two species with turbine locations, assessed the alteration of the landscape patterns of foraging habitat patches determined by the wind turbines, and identified highly vulnerable areas where wind farm construction would be particularly risky. SDMs were statistically robust (AUC a parts per thousand yen0.8 for both species) and revealed that 41 % of the region offers suitable foraging habitat for both species. These areas host over 50 % of the existing or planned wind farms, with 21 % of the turbines located within 150 m of forest edges, suggesting an increase in fatality risk. The alterations in suitable foraging patches consisted of a 7.7 % increase in the number of patches, a 10.7 % increase in the shape index, and a 8.1 % decrease in the mean patch area. The region's western portion, which is most suitable to both species, requires careful consideration with regard to future wind farm planning.</t>
  </si>
  <si>
    <t>[Roscioni, F.; Di Febbraro, M.; Frate, L.; Carranza, M. L.; Loy, A.] Univ Molise, EnvixLab, Dipartimento Biosci &amp; Terr, I-86090 Pesche, Italy; [Russo, D.] Univ Naples Federico II, Lab Ecol Applicata, Dipartimento Agr, Naples, Italy; [Russo, D.] Univ Bristol, Sch Biol Sci, Bristol BS8 1UG, Avon, England</t>
  </si>
  <si>
    <t>University of Molise; University of Naples Federico II; University of Bristol</t>
  </si>
  <si>
    <t>Russo, D (corresponding author), Univ Naples Federico II, Lab Ecol Applicata, Dipartimento Agr, Naples, Italy.</t>
  </si>
  <si>
    <t>danrusso@unina.it</t>
  </si>
  <si>
    <t>Frate, Ludovico/N-2737-2013; Di Febbraro, Mirko/GQA-4462-2022; Carranza, Maria Laura/E-7698-2012; Roscioni, Federica/AAD-8675-2022</t>
  </si>
  <si>
    <t>Frate, Ludovico/0000-0001-6663-6843; Di Febbraro, Mirko/0000-0001-8898-7046; Carranza, Maria Laura/0000-0001-5753-890X; Russo, Danilo/0000-0002-1934-7130; LOY, Anna/0000-0002-8934-6694;</t>
  </si>
  <si>
    <t>Inergia SpA</t>
  </si>
  <si>
    <t>We thank the Molise regional administration for providing the maps of wind turbine locations and Inergia SpA which in 2010 partly funded FR. Thanks also go to Damiano Preatoni and an anonymous reviewer for their valuable comments on a previous ms version.</t>
  </si>
  <si>
    <t>10.1007/s10531-013-0515-3</t>
  </si>
  <si>
    <t>180WD</t>
  </si>
  <si>
    <t>WOS:000321628800016</t>
  </si>
  <si>
    <t>Chevaldonné, P; Lejeusne, C</t>
  </si>
  <si>
    <t>Regional warming-induced species shift in north-west Mediterranean marine caves</t>
  </si>
  <si>
    <t>ECOLOGY LETTERS</t>
  </si>
  <si>
    <t>Hemimysis; marine caves; Mysidacea; NW Mediterranean; regional warming; species shift; thermotolerance</t>
  </si>
  <si>
    <t>MASS-MORTALITY; CURRENT VARIABILITY; SEA; TEMPERATURE; DISPERSAL; MYSIDACEA; ZOOPLANKTON; ORGANISMS; CRUSTACEA; HABITAT</t>
  </si>
  <si>
    <t>The north-western Mediterranean Sea's high biodiversity originates from a mixture of temperate and subtropical species. Large-scale warming has been detected through northward range shifts of 'warm-water' species, and mass-mortality events for 'cold-water' invertebrates. Marine caves are affected in a more subtle way. By monitoring endemic species of cave mysids (Crustacea) and comparing our results with data in the literature, we observed a strong decline in one species, coupled with the success of another. Near Marseille (France), this phenomenon began while two major thermal anomalies were reported. Different tolerances to temperature were demonstrated by both the species distribution ranges and laboratory experimentation. We provide a possible physiological explanation for populations of cold stenothermal species of endemic cave mysids being replaced by congeners of warmer affinities, with a high risk of extinction. We also found strong support for the view that Mediterranean marine biodiversity is already under the threat of global warming.</t>
  </si>
  <si>
    <t>Ctr Oceanol Marseille, Marine Endoume Stn, CNRS, UMR 6540 DIMAR, F-13007 Marseille, France</t>
  </si>
  <si>
    <t>Centre National de la Recherche Scientifique (CNRS)</t>
  </si>
  <si>
    <t>chevaldonne@com.univ-mrs.fr</t>
  </si>
  <si>
    <t>Lejeusne, Christophe/B-4470-2009</t>
  </si>
  <si>
    <t>Lejeusne, Christophe/0000-0002-8821-3849</t>
  </si>
  <si>
    <t>1461-023X</t>
  </si>
  <si>
    <t>1461-0248</t>
  </si>
  <si>
    <t>ECOL LETT</t>
  </si>
  <si>
    <t>Ecol. Lett.</t>
  </si>
  <si>
    <t>10.1046/j.1461-0248.2003.00439.x</t>
  </si>
  <si>
    <t>656VZ</t>
  </si>
  <si>
    <t>WOS:000181632600015</t>
  </si>
  <si>
    <t>Vaz, ED; Walczynska, A; Nijkamp, P</t>
  </si>
  <si>
    <t>Vaz, Eric de Noronha; Walczynska, Agnieszka; Nijkamp, Peter</t>
  </si>
  <si>
    <t>Regional challenges in tourist wetland systems: an integrated approach to the Ria Formosa in the Algarve, Portugal</t>
  </si>
  <si>
    <t>REGIONAL ENVIRONMENTAL CHANGE</t>
  </si>
  <si>
    <t>Land-use change; Markov chains; Wetlands; Algarve; Urban growth; Coastal erosion</t>
  </si>
  <si>
    <t>COASTAL; MANAGEMENT; EROSION</t>
  </si>
  <si>
    <t>Coastal change and coastal erosion have been a long-existing source of environmental changes. Traditionally, regional changes in wetland systems and their relations to agriculture, industry and urbanization are a major cause for concern. Nowadays, coastal distress has reached even global proportions: the problems of coastal change are strongly linked to the loss of fragile ecosystems, eutrophication and loss of biodiversity. Given that over 70 % of all human activity is in coastal areas, it is clear that many environmental and socio-economic changes occur at a local level and manifest themselves in a spatial context. The physical effect on the geographic morphology is evident in the related consequences for land use. A deep understanding of the changes in land use, and simultaneously in coastal erosion, calls for the integrated monitoring of the most relevant effects in fragile regions. The Ria Formosa wetland system is a unique and very special wetland system in the Algarve (Portugal) and has been integrated in the NATURA 2000 network. The strong symbiosis between nature, agriculture and fisheries, as well as tourism, in the Algarve has led to spatial-ecological synergy. By using coastal recession analysis techniques by means of remote-sensed imagery from 1987, 1989, 2000 and 2007 and by combining this information with available data sets on surface erodibility, a cost surface on multitemporal transitions of land-use classes from the CORINE Land Cover data allows us to assess and integrate a decision-making framework by means of GIS. The novelty of this combined approach to land-use management is the blend of spatial analysis and remote-sensing techniques that share important information on ecosystems at risk. Our findings suggest a growing concern to the area brought by anthropogenic activity. This is studied to a spatial accounting of the distribution of land changes and transitions, where (1) a significant loss of coastal area is witnessed along the Ria Formosa, leading in particular to loss of agricultural land. (2) This loss is underpinned by an increase in leisure facilities to respond to the tourism demand of the region of the Algarve, while landscape metrics suggest that these areas are more volatile for coastal erosion. (3) Simulation through Markov chains on the land use and effects of urban, agricultural, forest and wetland dynamics suggests that by 2026, it is expected to continue to have an increase in urban land, leading to an augmented vulnerability of coastal erosion processes brought by the loss of forest areas which protect from erosion given the root system that directly protects from the existing wave energy and helps sedimentation processes. The above methodology and the availability of data that are freely available render such a combined approach interesting for many other regions of the world, where tourism, coastal change and regional balance are of the utmost importance for sustainable development. The advanced research tools presented here are of critical importance for coastal zone degradation management.</t>
  </si>
  <si>
    <t>[Vaz, Eric de Noronha] Heidelberg Univ, Inst Geog, Chair GISci, Heidelberg, Germany; [Vaz, Eric de Noronha; Walczynska, Agnieszka] Univ Algarve, CIEO, Faro, Portugal; [Nijkamp, Peter] Vrije Univ Amsterdam, Fac Econ &amp; Business Adm, Amsterdam, Netherlands</t>
  </si>
  <si>
    <t>Ruprecht Karls University Heidelberg; Universidade do Algarve; Vrije Universiteit Amsterdam</t>
  </si>
  <si>
    <t>Vaz, ED (corresponding author), Heidelberg Univ, Inst Geog, Chair GISci, Heidelberg, Germany.</t>
  </si>
  <si>
    <t>eric.noronha@geog.uni-heidelberg.de</t>
  </si>
  <si>
    <t>; Walczynska, Alexandra/W-6810-2019</t>
  </si>
  <si>
    <t>Nijkamp, Peter/0000-0002-4068-8132; Vaz, Eric/0000-0003-1738-2677;</t>
  </si>
  <si>
    <t>1436-3798</t>
  </si>
  <si>
    <t>1436-378X</t>
  </si>
  <si>
    <t>REG ENVIRON CHANGE</t>
  </si>
  <si>
    <t>Reg. Envir. Chang.</t>
  </si>
  <si>
    <t>10.1007/s10113-012-0310-9</t>
  </si>
  <si>
    <t>Environmental Sciences; Environmental Studies</t>
  </si>
  <si>
    <t>081EU</t>
  </si>
  <si>
    <t>WOS:000314300800004</t>
  </si>
  <si>
    <t>Heard, GW; Thomas, CD; Hodgson, JA; Scroggie, MP; Ramsey, DSL; Clemann, N</t>
  </si>
  <si>
    <t>Heard, Geoffrey W.; Thomas, Chris D.; Hodgson, Jenny A.; Scroggie, Michael P.; Ramsey, David S. L.; Clemann, Nick</t>
  </si>
  <si>
    <t>Amphibian; chytrid; colonisation; conservation; extinction; Litoria raniformis; microclimate; pathogen; reservoir host</t>
  </si>
  <si>
    <t>INFECTIOUS-DISEASE; BATRACHOCHYTRIUM-DENDROBATIDIS; DYNAMICS; CHYTRIDIOMYCOSIS; POPULATION; FRAGMENTATION; EXTINCTION; ECOLOGY; PERSISTENCE; PATHOGEN</t>
  </si>
  <si>
    <t>Metapopulation persistence in fragmented landscapes depends on habitat patches that can support resilient local populations and sufficient connectivity between patches. Yet epidemiological theory for metapopulations has largely overlooked the capacity of particular patches to act as refuges from disease, and has suggested that connectivity can undermine persistence. Here, we show that relatively warm and saline wetlands are environmental refuges from chytridiomycosis for an endangered Australian frog, and act jointly with connectivity to sustain frog metapopulations. We coupled models of microclimate and infection probability to map chytrid prevalence, and demonstrate a strong negative relationship between chytrid prevalence and the persistence of frog populations. Simulations confirm that frog metapopulations are likely to go extinct when they lack environmental refuges from disease and lose connectivity between patches. This study demonstrates that environmental heterogeneity can mediate host-pathogen interactions in fragmented landscapes, and provides evidence that connectivity principally supports host metapopulations afflicted by facultative pathogens.</t>
  </si>
  <si>
    <t>[Heard, Geoffrey W.] Univ Melbourne, Sch Biosci, Parkville, Vic 3010, Australia; [Heard, Geoffrey W.; Thomas, Chris D.] Univ York, Dept Biol, York YO10 5DD, N Yorkshire, England; [Hodgson, Jenny A.] Univ Liverpool, Dept Evolut Ecol &amp; Behav, Liverpool L69 7ZB, Merseyside, England; [Scroggie, Michael P.; Ramsey, David S. L.; Clemann, Nick] Arthur Rylah Inst Environm Res, Dept Environm Land Water &amp; Planning, Heidelberg, Vic 3084, Australia</t>
  </si>
  <si>
    <t>University of Melbourne; University of York - UK; University of Liverpool; Arthur Rylah Institute for Environmental Research (ARI)</t>
  </si>
  <si>
    <t>Heard, GW (corresponding author), Univ Melbourne, Sch Biosci, Parkville, Vic 3010, Australia.</t>
  </si>
  <si>
    <t>heardg@unimelb.edu.au</t>
  </si>
  <si>
    <t>Scroggie, Michael/B-7507-2011; Hodgson, Jenny/C-9997-2009; Thomas, Chris/A-1460-2014</t>
  </si>
  <si>
    <t>Scroggie, Michael/0000-0001-9441-6565; Hodgson, Jenny/0000-0003-2297-3631; Thomas, Chris/0000-0003-2822-1334</t>
  </si>
  <si>
    <t>Australian Research Council (ARC Centre of Excellence for Environmental Decisions); Australian Research Council [LP0990161]; Australian National Environmental Research Program; Australian Research Centre for Urban Ecology; Victorian Department of Environment, Land, Water and Planning; Growling Grass Frog Trust Fund; Museums Victoria; Melbourne Water; Parks Victoria; Victorian Department of State Development, Business and Innovation; Australian Research Council [LP0990161] Funding Source: Australian Research Council</t>
  </si>
  <si>
    <t>Australian Research Council (ARC Centre of Excellence for Environmental Decisions)(Australian Research Council); Australian Research Council(Australian Research Council); Australian National Environmental Research Program; Australian Research Centre for Urban Ecology(Commonwealth Scientific &amp; Industrial Research Organisation (CSIRO)); Victorian Department of Environment, Land, Water and Planning; Growling Grass Frog Trust Fund; Museums Victoria; Melbourne Water; Parks Victoria; Victorian Department of State Development, Business and Innovation; Australian Research Council(Australian Research Council)</t>
  </si>
  <si>
    <t>Funding was provided by the Australian Research Council (ARC Centre of Excellence for Environmental Decisions and LP0990161), Australian National Environmental Research Program, Australian Research Centre for Urban Ecology, Victorian Department of Environment, Land, Water and Planning, Growling Grass Frog Trust Fund, Museums Victoria, Melbourne Water and Parks Victoria. GWH was supported by a Victorian Postdoctoral Research Fellowship from the Victorian Department of State Development, Business and Innovation. D. DeAngelis, A. Hamer, C. Keely, P. Robertson, D. Stokeld and R. Valentic are thanked for their contribution to surveys, along with numerous other colleagues and volunteers. P. Byrne, S. Canessa, A. Canzano, B. Casey, L. Conole, C. Crane, D. DeAngelis, K. Ficken, D. Gilmore, P. Grenfell, C. Griffith, A. Hamer, P. Homan, S. Koehler, B. Lane, A. Organ, E. Poole, M. Perry, D. Quinn, C. Renowden, P. Robertson, J. Urlus, M. Venosta and L. Williams provided access to additional survey data. M. McCarthy and K. Parris provided statistical advice and guidance. C. Todd and three anonymous reviewers provided valuable comments on an earlier draft.</t>
  </si>
  <si>
    <t>10.1111/ele.12463</t>
  </si>
  <si>
    <t>CM8NO</t>
  </si>
  <si>
    <t>WOS:000357958900013</t>
  </si>
  <si>
    <t>Daly, R; Smale, MJ; Singh, S; Anders, D; Shivji, M; Daly, CAK; Lea, JSE; Sousa, LL; Wetherbee, BM; Fitzpatrick, R; Clarke, CR; Sheaves, M; Barnett, A</t>
  </si>
  <si>
    <t>Daly, Ryan; Smale, Malcolm J.; Singh, Sarika; Anders, Darrell; Shivji, Mahmood; Daly, Clare A. K.; Lea, James S. E.; Sousa, Lara L.; Wetherbee, Bradley M.; Fitzpatrick, Richard; Clarke, Christopher R.; Sheaves, Marcus; Barnett, Adam</t>
  </si>
  <si>
    <t>conservation; marine protected area; satellite telemetry; sharks; top predators</t>
  </si>
  <si>
    <t>MARINE PROTECTED AREAS; SHARK GALEOCERDO-CUVIER; ECOLOGICAL CONSEQUENCES; PARTIAL MIGRATION; ALIWAL SHOAL; CONSERVATION; TELEMETRY; PATTERNS; TRACKING; COASTAL</t>
  </si>
  <si>
    <t>Aim: Concurrently, assessing the effectiveness of marine protected areas and evaluating the degree of risk from humans to key species provide valuable information that can be integrated into conservation management planning. Tiger sharks (Galeocerdo cuvier) are a wide-ranging ecologically important species subject to various threats. The aim of this study was to identify hotspots of tiger shark habitat use in relation to protected areas and potential risks from fishing. Location: Southwest Indian Ocean, east coast of South Africa and Mozambique. Methods: Satellite tags were fitted to 26 tiger sharks. A subset of 19 sharks with an average period at liberty of 197 (SD = 110) days were analysed using hotspot analysis to identify areas of core habitat use. The spatial and temporal overlap of significant hotspots with current and planned marine protected areas as well as risks from fishing and culling was then calculated. Results: There was a 5.97% spatial overlap between tiger shark hotspots and marine protected areas, which would increase significantly (p &lt; .05) to 24.36% with the expansion of planned protected areas in South Africa and could be as high as 41.43% if Mozambique similarly expanded neighbouring protected area boundaries. Tiger sharks remained largely coastal, but only showed a spatial overlap of 5.12% with shark culling nets in South Africa. Only three sharks undertook open ocean migrations during which they were more likely to interact with longline fisheries in the region. Main conclusions: This study demonstrates how spatial information can be used to assess the overlap between marine protected areas and the core habitats of top marine predators and highlights how congruent transnational conservation management can improve the effectiveness of protected areas. Core habitat use of marine apex predators may also be indicative of productive habitats, and therefore, predators such as tiger sharks could act as surrogate species for identifying key habitats to prioritize for conservation planning.</t>
  </si>
  <si>
    <t>[Daly, Ryan; Daly, Clare A. K.] SOSF, DRC, Geneva, Switzerland; [Daly, Ryan; Smale, Malcolm J.] Port Elizabeth Museum Bayworld, Port Elizabeth, South Africa; [Smale, Malcolm J.] Nelson Mandela Metropolitan Univ, Dept Zool, Port Elizabeth, South Africa; [Smale, Malcolm J.] Nelson Mandela Metropolitan Univ, Inst Coastal &amp; Marine Res, Port Elizabeth, South Africa; [Singh, Sarika; Anders, Darrell] Govt South Africa, Dept Environm Affairs, Cape Town, South Africa; [Shivji, Mahmood; Wetherbee, Bradley M.] Nova Southeastern Univ, Guy Harvey Res Inst, Dept Biol Sci, Dania, FL USA; [Sousa, Lara L.] Univ Oxford, Recanati Kaplan Ctr, Dept Zool, Wildlife Conservat Res Unit, Tubney, England; [Lea, James S. E.; Clarke, Christopher R.] Marine Res Facil, Jeddah, Saudi Arabia; [Wetherbee, Bradley M.] Univ Rhode Isl, Dept Biol Sci, Kingston, RI 02881 USA; [Fitzpatrick, Richard; Sheaves, Marcus; Barnett, Adam] James Cook Univ, Coll Sci &amp; Engn, Cairns, Qld, Australia</t>
  </si>
  <si>
    <t>Nelson Mandela University; Nelson Mandela University; Department of Environment, Forestry &amp; Fisheries; Nova Southeastern University; University of Oxford; University of Rhode Island; James Cook University</t>
  </si>
  <si>
    <t>Daly, R (corresponding author), DArros Res Ctr, Republic Of Seychelles, France.</t>
  </si>
  <si>
    <t>ryandaly.mail@gmail.com</t>
  </si>
  <si>
    <t>; Sheaves, Marcus/G-4283-2012; L Sousa, Lara/L-7774-2013; Shivji, Mahmood/G-4080-2013</t>
  </si>
  <si>
    <t>Clarke, Christopher/0000-0002-9401-4491; Keating, Clare/0009-0001-6952-3948; Sheaves, Marcus/0000-0003-0662-3439; L Sousa, Lara/0000-0002-4392-3572; Smale, Malcolm/0000-0002-1135-8687; Barnett, Adam/0000-0001-7430-8428</t>
  </si>
  <si>
    <t>South African Department of Environmental Affairs; Winifred Violet Scott Trust; OCEARCH; Save Our Seas Foundation; Guy Harvey Ocean Foundation</t>
  </si>
  <si>
    <t>10.1111/ddi.12758</t>
  </si>
  <si>
    <t>GR8PT</t>
  </si>
  <si>
    <t>WOS:000442987800003</t>
  </si>
  <si>
    <t>Vasilakis, DP; Whitfield, DP; Schindler, S; Poirazidis, KS; Kati, V</t>
  </si>
  <si>
    <t>Vasilakis, Dimitris P.; Whitfield, D. Philip; Schindler, Stefan; Poirazidis, Kostantinos S.; Kati, Vassiliki</t>
  </si>
  <si>
    <t>Collision risk model; Core area; Home range; Mortality rate; Sensitivity map; Spatial model</t>
  </si>
  <si>
    <t>EURASIAN BLACK VULTURE; DADIA NATIONAL-PARK; GOLDEN EAGLES; POPULATION; MORTALITY; RISK; ESTIMATORS; RAPTORS; THRACE; AREAS</t>
  </si>
  <si>
    <t>Harnessing wind energy is seen as an environmentally friendly strategy to combat climate change. However, adverse environmental impacts have come to light for species that are prone to collision with wind turbine blades, such as vultures, leading to a conflict between wind energy industry and conservation. Our study area epitomized such a conflict, containing the only population of cinereous vultures in south-eastern Europe while also being the location for substantial existing and planned wind farms. We used long-term remote telemetry data to produce a species-specific sensitivity map for guiding wind energy development and to estimate vulture collision mortality due to currently operating wind farms. Most operational wind farms were in the population core area and in the highest priority areas for vulture conservation. Collision mortality due to the thirteen operating wind farms was estimated by combining global position system (GPS) telemetry data on vulture space use with a collision risk model (CRM). Estimated mortality varied greatly according to the CRM's 'avoidance rate'. Under the most likely avoidance rates annual predicted collision mortality was 5-11% of the population, creating risk of population decline. Collision mortality was expected almost exclusively in the population core area, rendering further future development plans there severely problematic for vulture population persistence. Our sensitivity map, as a conservation prioritization system, offered a spatially explicit solution to the conflict between wind energy development and vulture conservation. Combining spatial use models derived from telemetry data with collision mortality models offers a novel conservation tool for evaluating large scale wind energy development proposals. (C) 2016 Elsevier Ltd. All rights reserved.</t>
  </si>
  <si>
    <t>[Vasilakis, Dimitris P.; Kati, Vassiliki] Univ Patras, Dept Environm &amp; Nat Resources Management, Seferi 2, Agrinion 30100, Greece; [Vasilakis, Dimitris P.] Decentralized Adm Macedonia Thrace, Forestry Serv Soufli, Hellen Republ, Soufli 68400, Greece; [Whitfield, D. Philip] Nat Res Ltd, Brathens Business Pk,Hill Brathens Glassel, Banchory AB31 4BY, Aberdeen, Scotland; [Schindler, Stefan] Univ Vienna, Dept Conservat Biol Vegetat &amp; Landscape Ecol, Rennweg 14, A-1030 Vienna, Austria; [Schindler, Stefan] Environm Agcy Austria, Spittelauer Lande 5, A-1090 Vienna, Austria; [Poirazidis, Kostantinos S.] Technol Educ Inst Ionian Islands, Dept Ecol &amp; Environm, 2 Calvou Sq, Zakynthos 29100, Greece</t>
  </si>
  <si>
    <t>University of Patras; University of Vienna</t>
  </si>
  <si>
    <t>Kati, V (corresponding author), Univ Patras, Dept Environm &amp; Nat Resources Management, Seferi 2, Agrinion 30100, Greece.</t>
  </si>
  <si>
    <t>vkati@upatras.gr</t>
  </si>
  <si>
    <t>Vasilakis, Dimitris/AAC-1404-2021; Kati, Vassiliki/AAB-9418-2020; Poirazidis, Kostas/M-7229-2017; Schindler, Stefan/A-1695-2011</t>
  </si>
  <si>
    <t>Kati, Vassiliki/0000-0003-3357-4556; Poirazidis, Kostas/0000-0003-4239-2041; Schindler, Stefan/0000-0002-1755-4304</t>
  </si>
  <si>
    <t>WWF Greece; Recreation and Development Union in Bulgaria; Decentralized Administration of Macedonia and Thrace</t>
  </si>
  <si>
    <t>We are grateful to T. Skartsi, P. Babakas, J. Elorriaga, B. Carcamo, S. Stoychev and S. Avramov for their great contribution to fieldwork and general support in all stages of the present research, as well as to the numerous European Voluntary Service (WWF) volunteers taking part in fieldwork. Fieldwork was conducted also by Bulgarian Society for the Protection of Birds and Green Balkans. Fieldwork and equipment were funded primarily by WWF Greece and also by the Recreation and Development Union in Bulgaria (Life and Phare projects). The work of D.P.V. is partially supported by the Decentralized Administration of Macedonia and Thrace. The funders had no involvement in any stage of the present work and views or opinions presented in this paper are solely those of the authors. Natural Research Ltd. supports dissemination of results.</t>
  </si>
  <si>
    <t>10.1016/j.biocon.2016.01.014</t>
  </si>
  <si>
    <t>DL1AW</t>
  </si>
  <si>
    <t>WOS:000375365300002</t>
  </si>
  <si>
    <t>Allan, JR; Venter, O; Maxwell, S; Bertzky, B; Jones, K; Shi, YC; Watson, JEM</t>
  </si>
  <si>
    <t>Allan, James R.; Venter, Oscar; Maxwell, Sean; Bertzky, Bastian; Jones, Kendall; Shi, Yichuan; Watson, James E. M.</t>
  </si>
  <si>
    <t>World Heritage; Habitat loss; Habitat fragmentation; Human Footprint; Forest loss; Monitoring; Cumulative threat mapping; Biodiversity conservation</t>
  </si>
  <si>
    <t>RESOLUTION GLOBAL-MAPS; SAFE OPERATING SPACE; PROTECTED AREAS; HUMAN FOOTPRINT; BUFFER ZONES; BIODIVERSITY; CONSERVATION; TERRESTRIAL; DEFORESTATION; LAND</t>
  </si>
  <si>
    <t>Natural World Heritage Sites (NWHS), via their formal designation through the United Nations, are globally recognized as containing some of the Earth's most valuable natural assets. Understanding changes in their ecological condition is essential for their ongoing preservation. Here we use two newly available globally consistent data sets that assess changes in human pressure (Human Footprint) and forest loss (Global Forest Watch) over time across the global network of terrestrial NWHS. We show that human pressure has increased in 63% of NWHS since 1993 and across all continents except Europe. The largest increases in pressure occurred in Asian NWHS, many of which were substantially damaged such as Manas Wildlife Sanctuary. Forest loss occurred in 91% of NWHS that contain forests, with a global mean loss of 1.5% per site since 2000, with the largest areas of forest lost occurring in the Americas. For example Wood Buffalo National Park and Rio Platano Biosphere Reserve lost 2581 km(2) (11.7%) and 365 km2 (8.5%) of their forest respectively. We found that on average human pressure increased faster and more forest loss occurred in areas surrounding NWHS, suggesting they are becoming increasingly isolated and are under threat from processes occurring outside their borders. While some NWHS such as the Sinharaja Forest Reserve and Mana Pools National Park showed minimal change in forest loss or human pressure, they are in the minority and our results also suggest many NWHS are rapidly deteriorating and are more threatened than previously thought. (C) 2016 Elsevier Ltd. All rights reserved.</t>
  </si>
  <si>
    <t>[Allan, James R.; Maxwell, Sean; Jones, Kendall] Univ Queensland, Sch Biol Sci, Ctr Excellence Environm Decis, St Lucia, Qld 4072, Australia; [Allan, James R.; Maxwell, Sean; Jones, Kendall; Watson, James E. M.] Univ Queensland, Sch Geog Planning &amp; Environm Management, St Lucia, Qld 4072, Australia; [Venter, Oscar] Univ Northern British Columbia, Ecosyst Sci &amp; Management Program, Prince George, BC V2N 4Z9, Canada; [Bertzky, Bastian; Shi, Yichuan] IUCN, Rue Mauverney 28, CH-1196 Gland, Switzerland; [Bertzky, Bastian] European Commiss, Joint Res Ctr, Via Enrico Fermi 2749, I-21027 Ispra, VA, Italy; [Shi, Yichuan] UNEP WCMC, Cambridge, England; [Watson, James E. M.] Wildlife Conservat Soc, Global Conservat Program, Bronx, NY 10460 USA</t>
  </si>
  <si>
    <t>University of Queensland; University of Queensland; University of Northern British Columbia; European Commission Joint Research Centre; EC JRC ISPRA Site; United Nations Environment Programme; Wildlife Conservation Society</t>
  </si>
  <si>
    <t>Allan, JR (corresponding author), 1-201 Gladstone Rd, Highgate Hill, Qld, Australia.</t>
  </si>
  <si>
    <t>James.allan@uqconnect.edu.au</t>
  </si>
  <si>
    <t>Jones, Kendall/N-2464-2015; Venter, Oscar/ABE-1477-2021; Watson, James/D-8779-2013; Allan, James/C-6680-2017; Watson, James/D-8779-2013; Bertzky, Bastian/I-6909-2013</t>
  </si>
  <si>
    <t>Jones, Kendall/0000-0003-2221-9938; Watson, James/0000-0003-4942-1984; Allan, James/0000-0001-6322-0172; Bertzky, Bastian/0000-0001-7025-4733; Watson, James/0000-0003-4942-1984; Venter, Oscar/0000-0003-1719-8474;</t>
  </si>
  <si>
    <t>10.1016/j.biocon.2016.12.011</t>
  </si>
  <si>
    <t>EK6WE</t>
  </si>
  <si>
    <t>WOS:000394065900008</t>
  </si>
  <si>
    <t>Tovar, C; Duivenvoorden, JF; Sánchez-Vega, I; Seijmonsbergen, AC</t>
  </si>
  <si>
    <t>Tovar, Carolina; Duivenvoorden, Joost F.; Sanchez-Vega, Isidoro; Seijmonsbergen, Arie C.</t>
  </si>
  <si>
    <t>BIOTROPICA</t>
  </si>
  <si>
    <t>Cajamarca; fragmentation; land use change; paramo; Peru; plant species diversity; tropical Andes</t>
  </si>
  <si>
    <t>OBJECT-BASED CLASSIFICATION; RAIN-FOREST FRAGMENTATION; REMOTE-SENSING DATA; HABITAT FRAGMENTATION; SPECIES RICHNESS; LAND-USE; LANDSCAPE STRUCTURE; DYNAMICS; CLIMATE; PATTERNS</t>
  </si>
  <si>
    <t>Habitat loss and fragmentation are considered major threats to biodiversity, especially in tropical mountain ecosystems. Most studies focus on the relationships between biodiversity and patch characteristics such as patch size, connectivity or degree of contrast with the surrounding matrix, but leave the rate of change within these variables little explored. We analyzed the importance of changes in patch characteristics over time on species diversity and species composition in the paramo of northern Peru, a tropical grassland ecosystem, locally known as jalca. We obtained land use/cover maps for 1987 and 2007 spanning an area of 6300 km(2), and quantified land use change, jalca patch characteristics and their proportional changes over 20 yr. In 2009, 371 vascular plant species were recorded in 92 plots, each plot representative of single patches. Between 1987 and 2007, jalca cover decreased from 47 to 35 percent due to encroaching agriculture. This activity showed an upward shift probably favored by climate change. The number of jalca patches increased, mean patch size decreased, and the patches showed a higher contrast with the surrounding matrix. Multiple linear regression failed to show that species diversity relates to changes in patch characteristics. Canonical correspondence analysis indicated that species composition relates to the degree of contrast between the patch and its surrounding matrix and its changes through time. We concluded that changes in patch characteristics are important only for species composition. This study highlights the importance of considering matrix management with a long term perspective for conservation efforts.</t>
  </si>
  <si>
    <t>[Tovar, Carolina] La Molina Natl Agrarian Univ, Conservat Data Ctr, Lima 12, Peru; [Duivenvoorden, Joost F.; Seijmonsbergen, Arie C.] Univ Amsterdam, Inst Biodivers &amp; Ecosyst Dynam, NL-1098 HX Amsterdam, Netherlands; [Sanchez-Vega, Isidoro] Natl Univ Cajamarca, Herbarium, Cajamarca, Peru</t>
  </si>
  <si>
    <t>Universidad Nacional Agraria La Molina; University of Amsterdam; Universidad Nacional de Cajamarca</t>
  </si>
  <si>
    <t>Tovar, C (corresponding author), La Molina Natl Agrarian Univ, Conservat Data Ctr, Apartado 12-056, Lima 12, Peru.</t>
  </si>
  <si>
    <t>ctovar@lamolina.edu.pe</t>
  </si>
  <si>
    <t>Tovar, Carolina/AAT-7070-2020; Seijmonsbergen, Arie Christoffel/I-3852-2019</t>
  </si>
  <si>
    <t>Tovar, Carolina/0000-0002-8256-9174; Seijmonsbergen, Arie Christoffel/0000-0002-7454-7637</t>
  </si>
  <si>
    <t>Proyecto Paramo Andino; Universiteit van Amsterdam</t>
  </si>
  <si>
    <t>We thank Fresia Chunga (CIPDER), the Instituto de Montana, Mirella Gallardo (GTZ-Rural Cajamarca), Alicia Quispe (Proyecto Zonificacion Ecologica Economica de la region Cajamarca-Gobierno Regional de Cajamarca), Cesar Regalado (Agencia Agraria de Bambamarca), Eleuterio Mejia and Esteban Campos (Municipalidad Provincial Hualgayoc-Cajamarca) and Pedro Vasquez (CDC-UNALM) for the logistical support. We are also grateful to Edwin Cabrera, Segundo Sanchez, German Alcantara, Alindor Ordonez, Wilson Salazar, Carlos Aguilar, Dagoberto Calvo, Ronal Regalado, Antero Zavaleta, Victor Briones, Laura Lucio, Manuel Peralvo, Juan Cusquisivan, Mara Deza and Nilton Deza for fieldwork assistance. David Rosario and Enrique Crisologo kindly provided GIS information. Juan Montoya and Victor Campos assisted in species identification. This study received financial support of Proyecto Paramo Andino implemented by CONDESAN and the Universiteit van Amsterdam. Species were identified at the Herbarium of the Universidad Nacional de Cajamarca (Isidoro Sanchez-Vega), the Herbarium of Universidad Nacional Mayor de San Marcos (Oscar Tovar, Hamilton Beltran, Raquel Gonzales), the Herbarium MOL of the Universidad Agraria La Molina (Mercedes Flores, Arturo Granda) and the Smithsonian Institute (Harold Robinson). We thank all of them for their invaluable help. Finally we thank Wouter Buytaert for his help in the statistical analysis using R.</t>
  </si>
  <si>
    <t>0006-3606</t>
  </si>
  <si>
    <t>1744-7429</t>
  </si>
  <si>
    <t>10.1111/j.1744-7429.2011.00820.x</t>
  </si>
  <si>
    <t>935CM</t>
  </si>
  <si>
    <t>WOS:000303496500007</t>
  </si>
  <si>
    <t>Richards, DR; Friess, DA</t>
  </si>
  <si>
    <t>Richards, Daniel R.; Friess, Daniel A.</t>
  </si>
  <si>
    <t>forest loss; aquaculture; oil palm; Myanmar; Indonesia</t>
  </si>
  <si>
    <t>COMMERCIAL AQUACULTURE; LAND; POLICY; FORESTS; DYNAMICS; CONSERVATION; AREA; DELTA</t>
  </si>
  <si>
    <t>The mangrove forests of Southeast Asia are highly biodiverse and provide multiple ecosystem services upon which millions of people depend. Mangroves enhance fisheries and coastal protection, and store among the highest densities of carbon of any ecosystem globally. Mangrove forests have experienced extensive deforestation owing to global demand for commodities, and previous studies have identified the expansion of aquaculture as largely responsible. The proportional conversion of mangroves to different land use types has not been systematically quantified across Southeast Asia, however, particularly in recent years. In this study we apply a combined geographic information system and remote sensing method to quantify the key proximate drivers (i.e., replacement land uses) of mangrove deforestation in Southeast Asia between 2000 and 2012. Mangrove forests were lost at an average rate of 0.18% per year, which is lower than previously published estimates. In total, more than 100,000 ha of mangroves were removed during the study period, with aquaculture accounting for 30% of this total forest change. The rapid expansion of rice agriculture in Myanmar, and the sustained conversion of mangroves to oil palm plantations in Malaysia and Indonesia, are identified as additional increasing and under-recognized threats to mangrove ecosystems. Our study highlights frontiers of mangrove deforestation in the border states of Myanmar, on Borneo, and in Indonesian Papua. To implement policies that conserve mangrove forests across Southeast Asia, it is essential to consider the national and subnational variation in the land uses that follow deforestation.</t>
  </si>
  <si>
    <t>[Richards, Daniel R.; Friess, Daniel A.] Natl Univ Singapore, Dept Geog, Singapore 117570, Singapore; [Richards, Daniel R.] Univ Sheffield, Dept Anim &amp; Plant Sci, Sheffield S10 2AS, S Yorkshire, England</t>
  </si>
  <si>
    <t>National University of Singapore; University of Sheffield</t>
  </si>
  <si>
    <t>Richards, DR (corresponding author), Natl Univ Singapore, Dept Geog, Singapore 117570, Singapore.</t>
  </si>
  <si>
    <t>d.r.richards@nus.edu.sg</t>
  </si>
  <si>
    <t>; Friess, Daniel/G-2056-2011</t>
  </si>
  <si>
    <t>Richards, Daniel/0000-0002-8196-8421; Friess, Daniel/0000-0002-3087-5233</t>
  </si>
  <si>
    <t>Ministry of Education, Government of Singapore [R-109-000-147-112]</t>
  </si>
  <si>
    <t>Ministry of Education, Government of Singapore(Ministry of Education, Singapore)</t>
  </si>
  <si>
    <t>We thank M. Hansen (University of Maryland), C. Giri (US Geological Survey), and their colleagues for their freely available and well-documented datasets. Deforestation data are available from Global Forest Change (earthenginepartners.appspot.com/science-2013-global-forest), and the 2001 mangrove layer is hosted by the United Nations World Conservation Monitoring Centre (www.unep-wcmc.org/resources-and-data). We also thank J. Bramante (Woods Hole Institute) for his comments on this study. This study was supported by the Ministry of Education, Government of Singapore (Grant R-109-000-147-112).</t>
  </si>
  <si>
    <t>JAN 12</t>
  </si>
  <si>
    <t>10.1073/pnas.1510272113</t>
  </si>
  <si>
    <t>DA5ZO</t>
  </si>
  <si>
    <t>Green Published, Bronze</t>
  </si>
  <si>
    <t>WOS:000367881500043</t>
  </si>
  <si>
    <t>de Thoisy, B; Richard-Hansen, C; Goguillon, B; Joubert, P; Obstancias, J; Winterton, P; Brosse, S</t>
  </si>
  <si>
    <t>de Thoisy, Benoit; Richard-Hansen, Cecile; Goguillon, Bertrand; Joubert, Pierre; Obstancias, Jean; Winterton, Peter; Brosse, Sebastien</t>
  </si>
  <si>
    <t>Rapid evaluation of threats to biodiversity: human footprint score and large vertebrate species responses in French Guiana</t>
  </si>
  <si>
    <t>Vertebrates; Threats; Management; Footprint; Self organizing maps; Ecological processes</t>
  </si>
  <si>
    <t>INDICATOR GROUPS; TROPICAL FORESTS; NEURAL-NETWORKS; CONSERVATION; COMMUNITY; RICHNESS; PATTERNS; MOUNTAINS; ABUNDANCE; SELECTION</t>
  </si>
  <si>
    <t>Although there is an extensive literature demonstrating the impact of human activities on both species extinction risk and local ecological processes, the methodological tools that allow for the visualization and quantification of the intensity of the observed and forthcoming impacts are lacking. Here we propose a Footprint index for French Guiana, (northern Atlantic coast of South America) which sums up the expected and proven disturbances on biodiversity. The index was developed by superimposing geographical and human data, including human population densities, land use, settlements and camps, mining and forest activities, tracks, roads and rivers. The relevance of the index as a general measure of anthropic impact on large terrestrial fauna was estimated by investigating the structure of the large terrestrial vertebrate assemblages, including primates, large frugivorous birds, rodents and ungulates, in relation to the extent of disturbances. The abundance of large terrestrial fauna was assessed using the line-transect sampling method in 34 forest sites facing different disturbance levels, including hunting, logging and fragmentation, and consequently different footprint scores. A Self Organizing Map was used to combine species abundances and disturbance scores. It allowed us to rank species in accordance to their sensitivity towards disturbances, identifying the response of fauna to different concomitant threats. The index provided correct identification of sites with similar threats which proves it is a relevant estimator of human disturbance. In addition, the richness of animal communities and abundances of several seed dispersers and predators were negatively correlated to the index (e.g. large monkeys and frugivorous birds, r (2) = 0.49, P &lt; 0.0001 and r (2) = 0.48, P &lt; 0.0001, respectively), indicating its reliability in identifying areas where animal communities are disturbed. The index could, therefore, constitute a useful tool to identify areas where ecological processes supported by those species are expected to be disrupted, and where they are already disrupted. Furthermore, the footprint index can deal with lack of field data or with only partially valid information, and so may directly help land managers forecast and, hopefully, mitigate forthcoming impacts resulting from the development of human activities.</t>
  </si>
  <si>
    <t>[de Thoisy, Benoit] Assoc Kwata Study &amp; Conservat French Guianan Wild, Cayenne 97335, French Guiana; [Richard-Hansen, Cecile] Off Natl Chasse &amp; Faune Sauvage, F-97379 Kourou, France; [Goguillon, Bertrand] WWF France, Bur Guyane, Cayenne 97330, French Guiana; [Joubert, Pierre; Obstancias, Jean] Off Natl Forets, Cayenne, French Guiana; [Winterton, Peter] Univ Toulouse 3, UFR LV, F-31062 Toulouse 4, France; [Brosse, Sebastien] Univ Toulouse 3, ECOLAB, CNRS, UMR 5172, F-31062 Toulouse 4, France</t>
  </si>
  <si>
    <t>Universite de Toulouse; Universite Toulouse III - Paul Sabatier; Universite de Toulouse; Universite Federale Toulouse Midi-Pyrenees (ComUE); Universite Toulouse III - Paul Sabatier; Institut National Polytechnique de Toulouse; Centre National de la Recherche Scientifique (CNRS)</t>
  </si>
  <si>
    <t>de Thoisy, B (corresponding author), Assoc Kwata Study &amp; Conservat French Guianan Wild, BP 672, Cayenne 97335, French Guiana.</t>
  </si>
  <si>
    <t>thoisy@nplus.gf</t>
  </si>
  <si>
    <t>; Brosse, Sebastien/AAC-4689-2019</t>
  </si>
  <si>
    <t>Winterton, Peter/0000-0002-4647-5648; Brosse, Sebastien/0000-0002-3659-8177; Richard-Hansen, Cecile/0000-0002-9353-791X</t>
  </si>
  <si>
    <t>Office National des Forets, Office National de la Chasse et de la Faune Sauvage, Direction Regionale de l'Environnement de la Guyane; La Valle e des Singes'', France; Doue la Fontaine'', France; Nature reserve of La Trinite</t>
  </si>
  <si>
    <t>Field surveys (BT, CRH) were funded by the Office National des Forets, Office National de la Chasse et de la Faune Sauvage, Direction Regionale de l'Environnement de la Guyane, zoological parks of La Valle e des Singes'', France, Doue la Fontaine'', France, Nature reserve of La Trinite. CRH also acknowledges all those people who provided field help during her surveys.</t>
  </si>
  <si>
    <t>10.1007/s10531-010-9787-z</t>
  </si>
  <si>
    <t>592HH</t>
  </si>
  <si>
    <t>WOS:000277368600004</t>
  </si>
  <si>
    <t>Harris, JBC; Putra, DD; Gregory, SD; Brook, BW; Prawiradilaga, DM; Sodhi, NS; Wei, D; Fordham, DA</t>
  </si>
  <si>
    <t>Harris, J. Berton C.; Putra, Dadang Dwi; Gregory, Stephen D.; Brook, Barry W.; Prawiradilaga, Dewi M.; Sodhi, Navjot S.; Wei, Dan; Fordham, Damien A.</t>
  </si>
  <si>
    <t>Climate change; endemism; habitat loss; Indonesia; Myza sarasinorum; Pachycephala sulfuriventer; Phylloscopus sarasinorum; protected area; Southeast Asia; tropics</t>
  </si>
  <si>
    <t>RANGE SHIFTS; LAND-USE; CENTRAL SULAWESI; POPULATION-SIZE; EXTINCTION RISK; FOREST BIRDS; R-PACKAGE; BIODIVERSITY; CONSERVATION; VULNERABILITY</t>
  </si>
  <si>
    <t>Aim Deforestation and climate change are two of the most serious threats to tropical birds. Here, we combine fine-scale climatic and dynamic land cover models to forecast species vulnerability in rain forest habitats. Location Sulawesi, Indonesia. Methods We sampled bird communities on four mountains across three seasons in Lore Lindu National Park, Sulawesi, Indonesia (a globally important hotspot of avian endemism), to characterize relationships between elevation and abundance. Deforestation from 2000 to 2010 was quantified, and predictors of deforestation were identified. Future forest area was projected under two land use change scenarios - one assuming current deforestation rates and another assuming a 50% reduction in deforestation. A digital elevation model and an adiabatic lapse rate were used to create a fine-scale map of temperature in the national park. Then, the effects of climate change were projected by fitting statistical models of species abundance as a function of current temperature and forecasting future abundance based on warming from low-and high-emissions climate change. Results The national park lost 11.8% of its forest from 2000 to 2010. Model-based projections indicate that high-elevation species (white-eared myza Myza sarasinorum and Sulawesi leaf-warbler Phylloscopus sarasinorum) might be buffered from deforestation because their ranges are isolated from human settlement, but these species may face steep population declines from climate change (by as much as 61%). The middle-elevation sulphur-bellied whistler Pachycephala sulfuriventer is predicted to undergo minor declines from climate change (8-11% reduction), while deforestation is predicted to cause larger declines of 13-19%. Main conclusions The biological richness and rapid deforestation now occurring inside the national park emphasize the need for increased enforcement, while our modelling suggests that climate change is most threatening to high-elevation endemics. These findings are likely applicable to other highland tropical sites where deforestation is encroaching from below and climate change is stressing high-elevation species from above.</t>
  </si>
  <si>
    <t>[Harris, J. Berton C.; Gregory, Stephen D.; Brook, Barry W.; Fordham, Damien A.] Univ Adelaide, Inst Environm, Adelaide, SA 5005, Australia; [Harris, J. Berton C.; Gregory, Stephen D.; Brook, Barry W.; Fordham, Damien A.] Univ Adelaide, Sch Earth &amp; Environm Sci, Adelaide, SA 5005, Australia; [Harris, J. Berton C.] Princeton Univ, Woodrow Wilson Sch Publ &amp; Int Affairs, Princeton, NJ 08542 USA; [Putra, Dadang Dwi] Celebes Bird Club, Palu, Central Sulawes, Indonesia; [Gregory, Stephen D.] Game &amp; Wildlife Conservat Trust, Salmon &amp; Trout Res Ctr, Wareham BH20 6BB, Dorset, England; [Prawiradilaga, Dewi M.] Res Ctr Biol LIPI, Div Zool, Cibinong Bogor 16911, Indonesia; [Sodhi, Navjot S.] Natl Univ Singapore, Dept Biol Sci, Singapore 117543, Singapore; [Wei, Dan] Stawell Secondary Coll, Stawell, Vic 3380, Australia</t>
  </si>
  <si>
    <t>Adelaide University; University of Adelaide; Adelaide University; University of Adelaide; Princeton University; National Research &amp; Innovation Agency of Indonesia (BRIN); National University of Singapore</t>
  </si>
  <si>
    <t>Harris, JBC (corresponding author), Princeton Univ, Woodrow Wilson Sch Publ &amp; Int Affairs, Robertson Hall 406, Princeton, NJ 08544 USA.</t>
  </si>
  <si>
    <t>johnbh@princeton.edu</t>
  </si>
  <si>
    <t>Gregory, Stephen/A-1471-2010; Brook, Barry/G-2686-2011; Fordham, Damien/E-9255-2013</t>
  </si>
  <si>
    <t>Gregory, Stephen/0000-0002-8230-0191; Brook, Barry/0000-0002-2491-1517; Fordham, Damien/0000-0003-2137-5592</t>
  </si>
  <si>
    <t>Loke Wan Tho Memorial Foundation; EIPR scholarship at the University of Adelaide</t>
  </si>
  <si>
    <t>Abdul Rahman gave dedicated assistance in the field over several months. We are grateful to Morgan Tingley for statistical advice. The following individuals also gave valuable assistance in the field: Leo Nar, Raimon, Obi, Pinto and Rolex. Yann Clough, Anty Ilfianti, Iris Motzke, Thomas Wanger and Arno Wielgoss gave vital logistical assistance. We are grateful to Mathew Brown, Xingli Giam, Jonathan Green and members of the Global Ecology Lab at the University of Adelaide for technical assistance. Leighton Reid, Brett Scheffers, David Wilcove and three anonymous referees gave valuable comments on the manuscript. Funding came from the Loke Wan Tho Memorial Foundation and an EIPR scholarship at the University of Adelaide. The Ministry of RISTEK of the Republic of Indonesia and the Lore Lindu National Park office kindly issued permits for this research.</t>
  </si>
  <si>
    <t>10.1111/ddi.12180</t>
  </si>
  <si>
    <t>AJ3UK</t>
  </si>
  <si>
    <t>WOS:000337593000004</t>
  </si>
  <si>
    <t>Grech, A; Marsh, H</t>
  </si>
  <si>
    <t>Grech, A.; Marsh, H.</t>
  </si>
  <si>
    <t>Dugong dugon; Delphi technique; fishing effects; Great Barrier Reef World Heritage Area; habitat conservation value; marine protected area; rapid risk assessment; spatial risk assessment</t>
  </si>
  <si>
    <t>GREAT-BARRIER-REEF; EXPERT KNOWLEDGE; DUGONGS; MORTALITY; CONSERVATION; MANAGEMENT; AUSTRALIA; ABUNDANCE</t>
  </si>
  <si>
    <t>Ecosystem-scale networks of marine protected areas (MPAs) are important conservation tools, but their effectiveness is difficult to quantify in a time frame appropriate to species conservation because of uncertainties in the data available. The dugong (Dugong dugon) is a mobile marine species that occurs in shallow inshore waters of an ecosystem-scale network of MPAs (the Great Barrier Reef World Heritage Area [GBRWHA]). We developed a rapid approach to assess risk to dugongs in the region and evaluate options to ameliorate that risk. We used expert opinion and a Delphi technique to identify and rank 5 human factors with the potential to adversely affect dugongs and their sea grass habitats: netting, indigenous hunting, trawling, vessel traffic, and poor-quality terrestrial runoff. We then quantified and compared the distribution of these factors with a spatially explicit model of dugong distribution. We estimated that approximately 96% of habitat of high conservation value for dugongs in the GBRWHA is at low risk from human activities. Using a sensitivity analysis, we found that to decrease risk, commercial netting or indigenous bunting bad to be reduced in remote areas and the effects of vessel traffic, terrestrial runoff and commercial netting had to be reduced in urban areas. Ibis approach enabled us to compare and rank risks so as to identify the most severe risks and locate specific sites that require further management attention.</t>
  </si>
  <si>
    <t>[Grech, A.; Marsh, H.] James Cook Univ, Sch Earth &amp; Environm Sci, Townsville, Qld 4811, Australia; [Grech, A.; Marsh, H.] Marine &amp; Trop Sci Res Facil, Townsville, Qld 4811, Australia</t>
  </si>
  <si>
    <t>James Cook University</t>
  </si>
  <si>
    <t>Grech, A (corresponding author), James Cook Univ, Sch Earth &amp; Environm Sci, Townsville, Qld 4811, Australia.</t>
  </si>
  <si>
    <t>alana.grech@jcu.edu.au</t>
  </si>
  <si>
    <t>; Grech, Alana/U-7776-2019</t>
  </si>
  <si>
    <t>Marsh, Helene/0000-0003-3492-4992; Grech, Alana/0000-0003-4117-3779</t>
  </si>
  <si>
    <t>10.1111/j.1523-1739.2008.00923.x</t>
  </si>
  <si>
    <t>311PT</t>
  </si>
  <si>
    <t>WOS:000256612800028</t>
  </si>
  <si>
    <t>Ruiz-Orejón, LF; Mourre, B; Sardá, R; Tintoré, J; Ramis-Pujol, J</t>
  </si>
  <si>
    <t>Ruiz-Orejon, Luis F.; Mourre, Baptiste; Sarda, Rafael; Tintore, Joaquin; Ramis-Pujol, Juan</t>
  </si>
  <si>
    <t>Microplastics; Floating plastic debris; Distribution model; Menorca channel; Mediterranean Sea; MPA</t>
  </si>
  <si>
    <t>MEDITERRANEAN SEA; MESOSCALE VARIABILITY; BALEARIC-ISLANDS; CIRCULATION; MICROPLASTICS; ABUNDANCE; LITTER; ZOOPLANKTON; TRANSPORT; POLLUTION</t>
  </si>
  <si>
    <t>Plastic pollution is widespread in all the oceans and seas, representing a significant threat to most of their ecosystems even in marine protected areas (MPAs). This study determines the floating plastic distribution in four different periods between 2014 and 2015 in the recently approved Menorca Channel MPA (Balearic Islands). Plastic debris were persistent during all sampling periods on the surface of the Channel, composed mainly by the microplastic sizes. Average particle abundances ranged from 138,293 items.km(-2) in autumn to 347,793 items.km(-2) during the spring, while weight densities varied from 458.15 g(DW).km(-2) in winter to 2016.67 g(DW).km(-2) in summer. Rigid plastics were the most frequent particles in all the periods analysed (from 89.40%-winter to 94.54%-spring). The high-resolution and particle distribution models corroborated that the oceanographic variability shapes different patterns of presence of plastics, and in particular the existence of areas with almost no plastics. (C) 2019 Elsevier Ltd. All rights reserved.</t>
  </si>
  <si>
    <t>[Ruiz-Orejon, Luis F.; Sarda, Rafael] CSIC, CEAB, Carretera Acces Cala St Francesc 14, Blanes 17300, Girona, Spain; [Mourre, Baptiste; Tintore, Joaquin] SOCIB, Balearic Isl Coastal Observing &amp; Forecasting Syst, Parc Bit,Bloc A 2,Pta 3, Palma Illes Balears 07121, Spain; [Sarda, Rafael; Ramis-Pujol, Juan] Univ Ramon Llull, ESADE Business Sch, Edifici 1,Av Pedralbes 60-62, Barcelona 08034, Spain; [Tintore, Joaquin] CSIC, UIB, IMEDEA, Inst Mediterrani Estudis Avancats, C Miquel Marques 21, Esporles Iles Balears 07190, Spain</t>
  </si>
  <si>
    <t>Consejo Superior de Investigaciones Cientificas (CSIC); CSIC - Centre d'Estudis Avancats de Blanes (CEAB); Universitat Ramon Llull; Escuela Superior de Administracion y Direccion de Empresas (ESADE); Consejo Superior de Investigaciones Cientificas (CSIC)</t>
  </si>
  <si>
    <t>Ruiz-Orejón, LF (corresponding author), CSIC, CEAB, Carretera Acces Cala St Francesc 14, Blanes 17300, Girona, Spain.</t>
  </si>
  <si>
    <t>luisf.ruizorejon@gmail.com; bmourre@socib.es; sarda@ceab.csic; jtintore@socib.es; juan.ramis@esade.edu</t>
  </si>
  <si>
    <t>Ruiz Orejon Sanchez, Luis Francisco/X-8103-2019; Sardá, Rafael/J-9118-2012; Mourre, Baptiste/AAP-2421-2021</t>
  </si>
  <si>
    <t>Ruiz-Orejón Sánchez-Pastor, Luis Francisco/0000-0001-8529-2927; Mourre, Baptiste/0000-0002-5056-0423; Tintoré, Joaquín/0000-0002-6311-0093</t>
  </si>
  <si>
    <t>Fundacion Innovacion, Accion y Conocimiento (FIAyC); PLAYA+ project of the National Research Plan of Spain in R + D + i [CGL2013-49061]; KnowSeas+ project [201530E018]; 'La Caixa' Foundation</t>
  </si>
  <si>
    <t>Fundacion Innovacion, Accion y Conocimiento (FIAyC); PLAYA+ project of the National Research Plan of Spain in R + D + i; KnowSeas+ project; 'La Caixa' Foundation(La Caixa Foundation)</t>
  </si>
  <si>
    <t>This work was carried out within the framework of the NIXE III project (http://www.nixe3.com/) financed directly by 'Fundacion Innovacion, Accion y Conocimiento (FIAyC)', the PLAYA+ project of the National Research Plan of Spain in R + D + i (CGL2013-49061), and the KnowSeas+ project (201530E018). The authors gratefully acknowledge the MEDCLIC project, funded by 'La Caixa' Foundation, contributing to the development, improvement and analysis of WMOP hydrodynamic model predictions. We also thank the crew of the R/V Wizard and the R/V Pola for its help during the campaigns.</t>
  </si>
  <si>
    <t>10.1016/j.envpol.2019.06.063</t>
  </si>
  <si>
    <t>IU2JF</t>
  </si>
  <si>
    <t>WOS:000483405400085</t>
  </si>
  <si>
    <t>Stelzenmüller, V; Fock, HO; Gimpel, A; Rambo, H; Diekmann, R; Probst, WN; Callies, U; Bockelmann, F; Neumann, H; Kröncke, I</t>
  </si>
  <si>
    <t>Stelzenmueller, V.; Fock, H. O.; Gimpel, A.; Rambo, H.; Diekmann, R.; Probst, W. N.; Callies, U.; Bockelmann, F.; Neumann, H.; Kroencke, I.</t>
  </si>
  <si>
    <t>Bayesian belief network; fishing frequency; GIS; marine spatial planning; review</t>
  </si>
  <si>
    <t>BAYESIAN BELIEF NETWORKS; ECONOMIC ZONE EEZ; CUMULATIVE IMPACTS; TRAWL DISTURBANCE; SEABED HABITATS; BOW-TIE; COASTAL; CONSERVATION; UNCERTAINTY; ECOSYSTEMS</t>
  </si>
  <si>
    <t>Marine spatial planning (MSP) requires spatially explicit environmental risk assessment (ERA) frameworks with quantitative or probabilistic measures of risk, enabling an evaluation of spatial management scenarios. ERAs comprise the steps of risk identification, risk analysis, and risk evaluation. A review of ERAs in in the context of spatial management revealed a synonymous use of the concepts of risk, vulnerability and impact, a need to account for uncertainty and a lack of a clear link between risk analysis and risk evaluation. In a case study, we addressed some of the identified gaps and predicted the risk of changing the current state of benthic disturbance by bottom trawling due to future MSP measures in the German EEZ of the North Sea. We used a quantitative, dynamic, and spatially explicit approach where we combined a Bayesian belief network with GIS to showcase the steps of risk characterization, risk analysis, and risk evaluation. We distinguished 10 benthic communities and 6 international fishing fleets. The risk analysis produced spatially explicit estimates of benthic disturbance, which was computed as a ratio between relative local mortality by benthic trawling and the recovery potential after a trawl event. Results showed great differences in spatial patterns of benthic disturbance when accounting for different environmental impacts of the respective fleets. To illustrate a risk evaluation process, we simulated a spatial shift of the international effort of two beam trawl fleets, which are affected the most by future offshore wind development. The Bayesian belief network (BN) model was able to predict the proportion of the area where benthic disturbance likely increases. In conclusion, MSP processes should embed ERA frameworks which allow for the integration of multiple risk assessments and the quantification of related risks as well as uncertainties at a common spatial scale.</t>
  </si>
  <si>
    <t>[Stelzenmueller, V.; Fock, H. O.; Gimpel, A.; Rambo, H.; Probst, W. N.] Thunen Inst Sea Fisheries, D-22767 Hamburg, Germany; [Diekmann, R.] Thunen Inst Fisheries Ecol, D-22767 Hamburg, Germany; [Neumann, H.; Kroencke, I.] Helmholtz Zentrum Geesthacht, Ctr Mat &amp; Coastal Res, D-21502 Geesthacht, Germany; [Callies, U.; Bockelmann, F.] Senckenberg Meer, D-26382 Wilhelmshaven, Germany</t>
  </si>
  <si>
    <t>Johann Heinrich von Thunen Institute; Johann Heinrich von Thunen Institute; Helmholtz Association; Helmholtz-Zentrum Hereon; Leibniz Association; Senckenberg Gesellschaft fur Naturforschung (SGN)</t>
  </si>
  <si>
    <t>Stelzenmüller, V (corresponding author), Thunen Inst Sea Fisheries, Palmaille 9, D-22767 Hamburg, Germany.</t>
  </si>
  <si>
    <t>vanessa.stelzenmueller@ti.bund.de</t>
  </si>
  <si>
    <t>Stelzenmüller, Vanessa/0000-0002-6419-8357; Bockelmann, Frank-Detlef/0000-0003-4900-6780</t>
  </si>
  <si>
    <t>German Federal Ministry of Education and Research [03F0669A]; Deutsche Bundesstiftung Umwelt</t>
  </si>
  <si>
    <t>German Federal Ministry of Education and Research(Federal Ministry of Education &amp; Research (BMBF)); Deutsche Bundesstiftung Umwelt</t>
  </si>
  <si>
    <t>Contributions of RD and HN were funded by the German Federal Ministry of Education and Research under project NOAH (03F0669A, North Sea-Observation and Assessment of Habitats). HR was funded by a grant of the Deutsche Bundesstiftung Umwelt. The effort data used in the BN model were collated during the plaice evaluation project (PBOX funded by DG Mare), and for these data for the Danish and Dutch fleets were kindly provided by Josefine Egekvist (DTU Aqua), and Niels Hintzen (IMARES). Further many thanks to Torsten Schulze for processing the original VMS and logbook data.</t>
  </si>
  <si>
    <t>MAR-APR</t>
  </si>
  <si>
    <t>10.1093/icesjms/fsu206</t>
  </si>
  <si>
    <t>CE4YW</t>
  </si>
  <si>
    <t>WOS:000351837500025</t>
  </si>
  <si>
    <t>Asharfi, A; Erfanifard, Y; Amiraslani, F; Boloorani, AD; Mousivand, A</t>
  </si>
  <si>
    <t>Asharfi, Ali; Erfanifard, Yousef; Amiraslani, Farshad; Boloorani, Ali Darvishi; Mousivand, AliJafar</t>
  </si>
  <si>
    <t>EUROPEAN JOURNAL OF ENVIRONMENTAL SCIENCES</t>
  </si>
  <si>
    <t>BPNN parameter retrival; drought analysis; Hyrcanian forest; industrial dust; leaf area index (LAI); sentinel-2</t>
  </si>
  <si>
    <t>LEAF-AREA INDEX; BIOPHYSICAL VARIABLES; AIR-POLLUTION; GREEN LAI; VEGETATION; INFORMATION; DROUGHT; IMPACT; CROPS; DUST</t>
  </si>
  <si>
    <t>Anthropogenic industrial dust decreases productivity and slows down the growth of plants. Quantifying the effects of industrial dust on vegetation and determining the distance over which factories scatter dust are of paramount importance for biodiversity conservation and sustaining ecosystem services. This study aims at quantifying the effect of dust emitted by the Neka cement plant (NCP), Mazandaran province, northern Iran, on the surrounding Hyrcanian forests based on an analysis of the Leaf Area Index (LAI) retrieved from Sentinel-2 imagery. An Inductively Coupled Plasma Mass Spectrometer (ICP-MS) was used to quantify the concentrations of cadmium (Cd), chromium (Cr), copper (Cu), lead (Pb), calcium (Ca), magnesium (Mg), sodium (Na), silicon (Si) and zinc (Zn) in leaves of the dominant Chestnut-leaved Oak (Quercus castaneifolia). A feed-forward neural network algorithm and field measurements were used to retrieve the leaf area index (LAI) from Sentinel-2 data with a RMSE of 0.42 (m(2)/m(2)). MODIS-NDVI and EVI time series spanning 17 years (2000 to 2017) were analysed to ensure the independence of the variation in the condition of the vegetation from drought or other environmental factors. The results indicate that Sentinel-2 data can be used to map degradation due to pollution from the cement plant and quantify the effect of the dust spatially. Dust from the cement plant (dust source) was carried approximately 4700 meters in the direction of the prevailing wind. A significant correlation of 0.849 was recorded between LAI and distance from the NCP. It is concluded that dust from the NCP had adverse ecological effects on the neighbouring forest ecosystems recently designated a UNESCO World Heritage Site.</t>
  </si>
  <si>
    <t>[Asharfi, Ali; Erfanifard, Yousef; Amiraslani, Farshad; Boloorani, Ali Darvishi] Univ Tehran, Fac Geog, Dept Remote Sensing &amp; GIS, Tehran, Iran; [Mousivand, AliJafar] Tarbiat Modares Univ, Dept Remote Sensing &amp; GIS, Tehran, Iran</t>
  </si>
  <si>
    <t>University of Tehran; Tarbiat Modares University</t>
  </si>
  <si>
    <t>Erfanifard, Y (corresponding author), Univ Tehran, Fac Geog, Dept Remote Sensing &amp; GIS, Tehran, Iran.</t>
  </si>
  <si>
    <t>erfanifard@ut.ac.ir</t>
  </si>
  <si>
    <t>Erfanifard, Yousef/AAY-3612-2021; Amiraslani, Farshad/KQU-0024-2024</t>
  </si>
  <si>
    <t>Erfanifard, Yousef/0000-0002-1996-4526; Ashrsfi, Ali/0000-0002-7282-4776</t>
  </si>
  <si>
    <t>CHARLES UNIV, FAC MATHEMATICS &amp; PHYSICS</t>
  </si>
  <si>
    <t>PRAHA 8</t>
  </si>
  <si>
    <t>SOKOLOVSKA 83, PRAHA 8, 18675, CZECH REPUBLIC</t>
  </si>
  <si>
    <t>1805-0174</t>
  </si>
  <si>
    <t>2336-1964</t>
  </si>
  <si>
    <t>EUR J ENVIRON SCI</t>
  </si>
  <si>
    <t>Eur. J. Environ. Sci.</t>
  </si>
  <si>
    <t>10.14712/23361964.2020.4</t>
  </si>
  <si>
    <t>MA4WS</t>
  </si>
  <si>
    <t>WOS:000541916100004</t>
  </si>
  <si>
    <t>Dang, YC; He, HS; Zhao, DD; Sunde, M; Du, HB</t>
  </si>
  <si>
    <t>Dang, Yongcai; He, Hongshi; Zhao, Dandan; Sunde, Michael; Du, Haibo</t>
  </si>
  <si>
    <t>climate change; human activities; wetland; relative importance</t>
  </si>
  <si>
    <t>DIFFERENCE WATER INDEX; SANJIANG PLAIN; DRIVING FORCES; NORTHEAST CHINA; HUMAN FOOTPRINT; CHANGE IMPACTS; MARSHES; FOREST; FRAGMENTATION; CONSERVATION</t>
  </si>
  <si>
    <t>Climate change and human activities are important factors driving changes in wetland ecosystems. It is therefore crucial to quantitatively characterize the relative importance of these stressors in wetlands. Previous such analyses have generally not distinguished between wetland types, or have focused on individual wetland types. In this study, three representative wetland areas of the upper, middle and lower reaches of the Heilongjiang River Basin (HRB) were selected as the study area. An object-based classification was used with Landsat TM data to extract the spatial distribution of wetland in 1990, 2000 and 2010. We then quantified the relative importance of climate change and human activities on the wetlands by using the R package relaimpo package. The results indicated that: (1) the effects of human activities on wetland changes were greater (contribution rate of 63.57%) than climate change in the HRB. Specifically, there were differences in the relative importance of climate change and human activities for wetlands in different regions. Wetlands of the upper reaches were more affected by climate change, while wetlands in the middle and lower reaches were more affected by human activities; (2) climate change had a greater impact (contribution rate of 65.72%) on low intensity wetland loss, while human activities had a greater impact on moderate and severe intensity wetland loss, with respective contribution rates of 57.22% and 70.35%; (3) climate change had a larger effect on the shrub and forested wetland changes, with respective contribution rates of 58.33% and 52.58%. However, human activities had a larger effect on herbaceous wetland changes, with a contribution rate of 72.28%. Our study provides a useful framework for wetland assessment and management, and could be a useful tool for developing wetland utilization and protection approaches, particularly in sensitive environments in mid- and high-latitude areas.</t>
  </si>
  <si>
    <t>[Dang, Yongcai; He, Hongshi; Du, Haibo] Northeast Normal Univ, Sch Geog Sci, Key Lab Geog Proc &amp; Ecol Secur Changbai Mt, Minist Educ, Changchun 130024, Peoples R China; [He, Hongshi; Sunde, Michael] Univ Missouri, Sch Nat Resources, Columbia, MO 65211 USA; [Zhao, Dandan] Jilin Normal Univ, Sch Tourism &amp; Geog Sci, Siping 136000, Peoples R China</t>
  </si>
  <si>
    <t>Northeast Normal University - China; University of Missouri System; University of Missouri Columbia; Jilin Normal University</t>
  </si>
  <si>
    <t>He, HS (corresponding author), Northeast Normal Univ, Sch Geog Sci, Key Lab Geog Proc &amp; Ecol Secur Changbai Mt, Minist Educ, Changchun 130024, Peoples R China.;He, HS (corresponding author), Univ Missouri, Sch Nat Resources, Columbia, MO 65211 USA.</t>
  </si>
  <si>
    <t>dangyc818@nenu.edu.cn; hehs100@nenu.edu.cn; zhaodd982@nenu.edu.cn; sundem@missouri.edu; duhb655@nenu.edu.cn</t>
  </si>
  <si>
    <t>; Dang, Yongcai/AAO-7812-2021</t>
  </si>
  <si>
    <t>He, Hong S/0000-0002-3983-2512; Dang, Yongcai/0000-0003-4322-9166</t>
  </si>
  <si>
    <t>National Key Research and Development Program of China [2016YFA0602301, 2017YFA0604403]; Joint Fund of National Natural Science Foundation of China [U19A2023]</t>
  </si>
  <si>
    <t>National Key Research and Development Program of China(National Key Research &amp; Development Program of China); Joint Fund of National Natural Science Foundation of China(National Natural Science Foundation of China (NSFC))</t>
  </si>
  <si>
    <t>This research was jointly supported by the National Key Research and Development Program of China (No. 2016YFA0602301 and No. 2017YFA0604403), the Joint Fund of National Natural Science Foundation of China (No. U19A2023).</t>
  </si>
  <si>
    <t>10.3390/su12030912</t>
  </si>
  <si>
    <t>KT6PA</t>
  </si>
  <si>
    <t>WOS:000519135103015</t>
  </si>
  <si>
    <t>Zhao, Y; Chen, YP; Zheng, YJ; Ma, QY; Jiang, Y</t>
  </si>
  <si>
    <t>Zhao, Yan; Chen, Yi-ping; Zheng, Yingjuan; Ma, Qingyi; Jiang, Yao</t>
  </si>
  <si>
    <t>Heavy metal; Risk assessment; Source apportionment; Sichuan giant panda; Conservation policy</t>
  </si>
  <si>
    <t>SOURCE APPORTIONMENT; POLLUTION; SOIL; CHINA; CONTAMINATION; TOXICITY; FOLIAR; PLANTS; RIVER; PARK</t>
  </si>
  <si>
    <t>Heavy metals (HM) are ubiquitous in environments, and HM pollution has become a severe global crisis. Previous studies have identified HM levels in Qinling panda habitats but their levels and the associated risks in Sichuan panda habitats are still unknown. Risk-based conservation management is in urgent need and should rely upon identifying risk distributions, quantified risk-source apportionment and collaborative governance. We carried out research in Sichuan panda (Ailuropoda melanoleuca melanoleuca) habitats taking soil, bamboo, and water samples from three different areas (nature reserves, potential habitats, and surrounding regions) of five mountains. The concentrations of HM in the soil were higher than those in bamboo, but both exceeded the background or national standards to varying degrees, suggesting long-term pollution and multi-element contamination. Regional and geographical distribution differences revealed a positive correlation between intensity of human activities and HM pollution. HM contaminants observed in the Sichuan panda habitats, based on their sources, were categorized into coal combustion (34%), industry (44%), and traffic (22%). In particular, our results showed the northern and southern parts of habitat were of highest concern, as they had environmental conditions that could be harmful to the health of giant pandas. Coupling models applying positive matrix factorization model/risk were used to quantify source contributions to various risk types, which was based on real-time monitoring and served as a positive role in multi-step process for developing countermeasures, with the goal of collaboratively reframing the vision and governance of panda conservation in order to incorporate regional disparities. (C) 2020 Elsevier B.V. All rights reserved.</t>
  </si>
  <si>
    <t>[Zhao, Yan; Chen, Yi-ping; Zheng, Yingjuan] Chinese Acad Sci, Inst Earth Environm, SKLLQG, Xian 710075, Peoples R China; [Zhao, Yan] Univ Chinese Acad Sci, Beijing 10049, Peoples R China; [Chen, Yi-ping; Jiang, Yao] Xian Inst Innovat Earth Environm Res, Xian 710061, Peoples R China; [Zheng, Yingjuan] Chinese Res Inst Environm Sci, Beijing 100012, Peoples R China; [Ma, Qingyi] Shaanxi Wild Anim Res Ctr, Xian 710402, Peoples R China</t>
  </si>
  <si>
    <t>Chinese Academy of Sciences; Institute of Earth Environment, CAS; Chinese Academy of Sciences; University of Chinese Academy of Sciences, CAS; Chinese Research Academy of Environmental Sciences</t>
  </si>
  <si>
    <t>Chen, YP (corresponding author), Chinese Acad Sci, Inst Earth Environm, SKLLQG, Xian 710075, Peoples R China.</t>
  </si>
  <si>
    <t>chenyp@ieecas.cn</t>
  </si>
  <si>
    <t>Zhao, Yan/AAR-3774-2021; ma, qingyi/C-9672-2013</t>
  </si>
  <si>
    <t>State Key Laboratory of Loess and Quaternary Geology Open Fund (China) [SKLLQG1943]; High-level Talents Special Support Program of Shaanxi Province (China)</t>
  </si>
  <si>
    <t>State Key Laboratory of Loess and Quaternary Geology Open Fund (China); High-level Talents Special Support Program of Shaanxi Province (China)</t>
  </si>
  <si>
    <t>This work was supported by the State Key Laboratory of Loess and Quaternary Geology Open Fund (China No. SKLLQG1943) and the High-level Talents Special Support Program of Shaanxi Province (China). The authors would like to thank the anonymous reviewers for their valuable comments on the manuscript.</t>
  </si>
  <si>
    <t>NOV 25</t>
  </si>
  <si>
    <t>10.1016/j.scitotenv.2020.140941</t>
  </si>
  <si>
    <t>OC7VL</t>
  </si>
  <si>
    <t>WOS:000579365600105</t>
  </si>
  <si>
    <t>Hao, L; Pan, C; Fang, D; Zhang, XY; Zhou, DC; Liu, PL; Liu, YQ; Sun, G</t>
  </si>
  <si>
    <t>Hao, Lu; Pan, Cen; Fang, Di; Zhang, Xiaoyu; Zhou, Decheng; Liu, Peilong; Liu, Yongqiang; Sun, Ge</t>
  </si>
  <si>
    <t>Vegetation dynamics; Leaf area index; Grazing pressure; Climate change detection; Mountainous watershed management</t>
  </si>
  <si>
    <t>LEAF-AREA INDEX; INNER-MONGOLIA; GRASSLAND ECOSYSTEM; HEIHE RIVER; TYPICAL STEPPE; SOIL; COVER; SERVICES; MODEL; EVAPOTRANSPIRATION</t>
  </si>
  <si>
    <t>Grazing is a major ecosystem disturbance in arid regions that are increasingly threatened by climate change. Understanding the long-term impacts of grazing on rangeland vegetation dynamics in a complex terrain in mountainous regions is important for quantifying dry land ecosystem services for integrated watershed management and climate change adaptation. However, data on the detailed long-term spatial distribution of grazing activities are rare, which prevents trend detection and environmental impact assessments of grazing. This study quantified the impacts of grazing on vegetation dynamics for the period of 1983-2010 in the Upper Heihe River basin, a complex multiple-use watershed in northwestern China. We also examined the relative contributions of grazing and climate to vegetation change using a dynamic grazing pressure method. Spatial grazing patterns and temporal dynamics were mapped at a 1 km x 1 km pixel scale using satellite-derived leaf area index (LAI) data. We found that overgrazing was a dominant driver for LAI reduction in alpine grasslands and shrubs, especially for the periods of 1985-1991 and 1997-2004. Although the recent decade-long active grazing management contributed to the improvement of LAI and partially offset the negative effects of increased livestock, overgrazing has posed significant challenges to shrub-grassland ecosystem recovery in the eastern part of the study basin. We conclude that the positive effects of a warming and wetting climate on vegetation could be underestimated if the negative long-term grazing effects are not considered. Findings from the present case study show that assessing long-term climate change impacts on watersheds must include the influences of human activities. Our study provides important guidance for ecological restoration efforts in locating vulnerable areas and designing effective management practices in the study watershed. Such information is essential for natural management that aims at meeting multiple demands of watershed ecosystem services in arid and semiarid rangelands. (C) 2018 Elsevier B.V. All rights reserved.</t>
  </si>
  <si>
    <t>[Hao, Lu; Pan, Cen; Fang, Di; Zhou, Decheng; Liu, Peilong] Nanjing Univ Informat Sci &amp; Technol, Joint Int Res Lab Climate &amp; Environm Change ILCEC, Collaborat Innovat Ctr Forecast &amp; Evaluat Meteoro, Jiangsu Key Lab Agr Meteorol,Minist Educ KLME, Nanjing 210044, Jiangsu, Peoples R China; [Zhang, Xiaoyu] CMA, Key Lab Meteorol Disaster Monitoring &amp; Early Warn, Yinchuan 750002, Peoples R China; [Liu, Yongqiang] US Forest Serv, Ctr Forest Disturbance Sci, Southern Res Stn, USDA, Athens, GA 30602 USA; [Sun, Ge] US Forest Serv, Eastern Forest Environm Threat Assessment Ctr, Southern Res Stn, USDA, Raleigh, NC 27606 USA</t>
  </si>
  <si>
    <t>Nanjing University of Information Science &amp; Technology; China Meteorological Administration; United States Department of Agriculture (USDA); United States Forest Service; United States Department of Agriculture (USDA); United States Forest Service</t>
  </si>
  <si>
    <t>Hao, L (corresponding author), Nanjing Univ Informat Sci &amp; Technol, Joint Int Res Lab Climate &amp; Environm Change ILCEC, Collaborat Innovat Ctr Forecast &amp; Evaluat Meteoro, Jiangsu Key Lab Agr Meteorol,Minist Educ KLME, Nanjing 210044, Jiangsu, Peoples R China.</t>
  </si>
  <si>
    <t>haolu@nuist.edu.cn</t>
  </si>
  <si>
    <t>Zhou, Decheng/H-5583-2019; Sun, Ge/ABF-6673-2020; Zhang, xiaoyu/GXA-3206-2022; Lu, Hao/OYE-4974-2025; Liu, Yongqiang/J-2027-2012</t>
  </si>
  <si>
    <t>Zhou, Decheng/0000-0003-0947-0853; Sun, Ge/0000-0002-0159-1370;</t>
  </si>
  <si>
    <t>Natural Science Foundation of China [91425301, 41571026]; Chinese Special Fund for Meteorological-Scientific Research in the Public Interest [GYHY201506001-23]; Southern Research Station, United States Department of Agriculture Forest Service</t>
  </si>
  <si>
    <t>Natural Science Foundation of China(National Natural Science Foundation of China (NSFC)); Chinese Special Fund for Meteorological-Scientific Research in the Public Interest; Southern Research Station, United States Department of Agriculture Forest Service</t>
  </si>
  <si>
    <t>This work was supported by the Natural Science Foundation of China (grant numbers 91425301, 41571026) and the Chinese Special Fund for Meteorological-Scientific Research in the Public Interest (grant number GYHY201506001-23). We thank the two anonymous reviewers and editors for their constructive comments and suggestions. We acknowledge the China Meteorological Data Service Center (http://data.cma.cn/en) for providing weather observation data, Beijing Normal University (http://www.bnu-datacenter.coml) for the LAI datasets, and the Cold and Arid Regions Science Data Center (http://westdc.westgis.ac.cn/) for sharing the climate and vegetation data. Partial support was also received from the Southern Research Station, United States Department of Agriculture Forest Service.</t>
  </si>
  <si>
    <t>10.1016/j.scitotenv.2018.05.224</t>
  </si>
  <si>
    <t>GL0UG</t>
  </si>
  <si>
    <t>WOS:000436806200134</t>
  </si>
  <si>
    <t>Al-Chokhachy, R; Muhlfeld, CC; Boyer, MC; Jones, LA; Steed, A; Kershner, JL</t>
  </si>
  <si>
    <t>Al-Chokhachy, Robert; Muhlfeld, Clint C.; Boyer, Matthew C.; Jones, Leslie A.; Steed, Amber; Kershner, Jeffrey L.</t>
  </si>
  <si>
    <t>NORTH AMERICAN JOURNAL OF FISHERIES MANAGEMENT</t>
  </si>
  <si>
    <t>Editorial Material</t>
  </si>
  <si>
    <t>WESTSLOPE CUTTHROAT TROUT; ONCORHYNCHUS-CLARKII-LEWISI; INTRODUCED RAINBOW-TROUT; INTROGRESSIVE HYBRIDIZATION; RESOURCE-MANAGEMENT; PROPAGULE PRESSURE; HABITAT; POPULATIONS; DYNAMICS; HYBRIDS</t>
  </si>
  <si>
    <t>Quantifying the effectiveness of management actions to mitigate the effects of changing climatic conditions (i.e., climate adaptation) can be difficult, yet critical for conservation. We used population genetic data from 1984 to 2011 to assess the degree to which ambient climatic conditions and targeted suppression of sources of nonnative Rainbow Trout Oncorhynchus mykiss have influenced the spread of introgressive hybridization in native populations of Westslope Cutthroat Trout O. clarkii lewisi. We found rapid expansion in the spatial distribution and proportion of nonnative genetic admixture in hybridized populations from 1984 to 2004, but minimal change since 2004. The spread of hybridization was negatively correlated with the number of streamflow events in May that exceeded the 75th percentile of historic flows (r = -0.98) and positively correlated with August stream temperatures (r = 0.89). Concomitantly, suppression data showed a 60% decline in catch per unit effort for fish with a high proportion of Rainbow Trout admixture, rendering some uncertainty as to the relative strength of factors controlling the spread of hybridization. Our results illustrate the importance of initiating management actions to mitigate the potential effects of climate change, even where data describing the effectiveness of such actions are initially limited but the risks are severe.</t>
  </si>
  <si>
    <t>[Al-Chokhachy, Robert; Jones, Leslie A.; Kershner, Jeffrey L.] US Geol Survey, Northern Rocky Mt Sci Ctr, Bozeman, MT 59715 USA; [Muhlfeld, Clint C.] US Geol Survey, Northern Rocky Mt Sci Ctr, Glacier Field Stn, West Glacier, MT 59936 USA; [Muhlfeld, Clint C.] Univ Montana, Flathead Lake Biol Stn, Polson, MT 59860 USA; [Boyer, Matthew C.; Steed, Amber] Montana Fish Wildlife &amp; Pk, Kalispell, MT 59901 USA; [Jones, Leslie A.] Univ Montana, Div Biol Sci, Missoula, MT 59812 USA</t>
  </si>
  <si>
    <t>United States Department of the Interior; United States Geological Survey; United States Department of the Interior; United States Geological Survey; University of Montana System; University of Montana; University of Montana System; University of Montana</t>
  </si>
  <si>
    <t>Al-Chokhachy, R (corresponding author), US Geol Survey, Northern Rocky Mt Sci Ctr, 2327 Univ Way,Suite 2, Bozeman, MT 59715 USA.</t>
  </si>
  <si>
    <t>ral-chokhachy@usgs.gov</t>
  </si>
  <si>
    <t>Al-Chokhachy, Robert/F-2894-2010</t>
  </si>
  <si>
    <t>0275-5947</t>
  </si>
  <si>
    <t>1548-8675</t>
  </si>
  <si>
    <t>N AM J FISH MANAGE</t>
  </si>
  <si>
    <t>North Am. J. Fish Manage.</t>
  </si>
  <si>
    <t>10.1080/02755947.2014.901259</t>
  </si>
  <si>
    <t>AM8HH</t>
  </si>
  <si>
    <t>WOS:000340113000011</t>
  </si>
  <si>
    <t>Meijaard, E; Buchori, D; Hadiprakarsa, Y; Utami-Atmoko, SS; Nurcahyo, A; Tjiu, A; Prasetyo, D; Nardiyono; Christie, L; Ancrenaz, M; Abadi, F; Antoni, ING; Armayadi, D; Dinato, A; Ella; Gumelar, P; Indrawan, TP; Kussaritano; Munajat, C; Priyono, CWP; Purwanto, Y; Puspitasari, D; Putra, MSW; Rahmat, A; Ramadani, H; Sammy, J; Siswanto, D; Syamsuri, M; Andayani, N; Wu, HH; Wells, JA; Mengersen, K</t>
  </si>
  <si>
    <t>Meijaard, Erik; Buchori, Damayanti; Hadiprakarsa, Yokyok; Utami-Atmoko, Sri Suci; Nurcahyo, Anton; Tjiu, Albertus; Prasetyo, Didik; Nardiyono; Christie, Lenny; Ancrenaz, Marc; Abadi, Firman; Antoni, I. Nyoman Gede; Armayadi, Dedy; Dinato, Adi; Ella; Gumelar, Pajar; Indrawan, Tito P.; Kussaritano; Munajat, Cecep; Priyono, C. Wawan Puji; Purwanto, Yadi; Puspitasari, Dewi; Putra, M. Syukur Wahyu; Rahmat, Abdi; Ramadani, Harri; Sammy, Jim; Siswanto, Dedi; Syamsuri, Muhammad; Andayani, Noviar; Wu, Huanhuan; Wells, Jessie Anne; Mengersen, Kerrie</t>
  </si>
  <si>
    <t>Quantifying Killing of Orangutans and Human-Orangutan Conflict in Kalimantan, Indonesia</t>
  </si>
  <si>
    <t>PONGO-ABELII; CONSERVATION; ATTITUDES; PRIMATES; SUMATRA</t>
  </si>
  <si>
    <t>Human-orangutan conflict and hunting are thought to pose a serious threat to orangutan existence in Kalimantan, the Indonesian part of Borneo. No data existed prior to the present study to substantiate these threats. We investigated the rates, spatial distribution and causes of conflict and hunting through an interview-based survey in the orangutan's range in Kalimantan, Indonesia. Between April 2008 and September 2009, we interviewed 6983 respondents in 687 villages to obtain socio-economic information, assess knowledge of local wildlife in general and orangutan encounters specifically, and to query respondents about their knowledge on orangutan conflicts and killing, and relevant laws. This survey revealed estimated killing rates of between 750 and 1800 animals killed in the last year, and between 1950 and 3100 animals killed per year on average within the lifetime of the survey respondents. These killing rates are higher than previously thought and are high enough to pose a serious threat to the continued existence of orangutans in Kalimantan. Importantly, the study contributes to our understanding of the spatial variation in threats, and the underlying causes of those threats, which can be used to facilitate the development of targeted conservation management.</t>
  </si>
  <si>
    <t>[Meijaard, Erik] People &amp; Nat Consulting Int, Jakarta, Indonesia; [Meijaard, Erik; Wells, Jessie Anne] Univ Queensland, Sch Biol Sci, Brisbane, Qld, Australia; [Meijaard, Erik] Australian Natl Univ, Sch Archaeol &amp; Anthropol, Canberra, ACT, Australia; [Buchori, Damayanti; Hadiprakarsa, Yokyok; Nardiyono] Nat Conservancy Indonesia Forest Program, Jakarta, Indonesia; [Buchori, Damayanti; Hadiprakarsa, Yokyok; Nardiyono] Nat Conservancy Indonesia Forest Program, Bogor, Indonesia; [Buchori, Damayanti] Inst Pertanian Bogor, Dept Plant Protect, Fac Agr, Bogor, Indonesia; [Hadiprakarsa, Yokyok; Utami-Atmoko, Sri Suci; Tjiu, Albertus; Prasetyo, Didik; Nardiyono; Christie, Lenny; Andayani, Noviar] Indonesian Assoc Primatologists PERHAPPI, Bogor, Indonesia; [Utami-Atmoko, Sri Suci] Univ Nas, Fac Biol, Jakarta, Indonesia; [Nurcahyo, Anton; Ella] Borneo Orangutan Survival Fdn, Orangutan Reintroduct Program Cent Kalimantan, Palangkaraya, Indonesia; [Tjiu, Albertus; Puspitasari, Dewi] World Wide Fund Nat Indonesia, Pontianak, Indonesia; [Ancrenaz, Marc] Kinabatangan Orang Utan Conservat Project, Sandakan, Sabah, Malaysia; [Abadi, Firman] Borneo Ecol &amp; Biodivers Conservat Inst BEBSiC, Samarinda, Indonesia; [Antoni, I. Nyoman Gede] Friends Natl Pk Fdn FNFP, Kumai, Indonesia; [Armayadi, Dedy] People Resources &amp; Conservat Fdn PRCF, Pontianak, Indonesia; [Dinato, Adi] SuaR Inst, Nanga Pinoh, Indonesia; [Gumelar, Pajar] BIOMA Fdn, Samarinda, Indonesia; [Indrawan, Tito P.] Gunung Palung Orangutan Conservat Program, Ketapang, Indonesia; [Kussaritano] Mitra Lingkungan Hidup KalTeng, Palangkaraya, Indonesia; [Munajat, Cecep] Orangutan Fdn Int, Pangkalanbun, Indonesia; [Priyono, C. Wawan Puji] Yayasan Dian Tama, Pontianak, Indonesia; [Purwanto, Yadi] Simpur Hutan, Pontianak, Indonesia; [Putra, M. Syukur Wahyu] Yayasan Titian, Pontianak, Indonesia; [Rahmat, Abdi] Yayasan Perhimpunan TeROPONG, Palangkaraya, Indonesia; [Ramadani, Harri] Sylva Indonesia PC UNTAN, Pontianak, Indonesia; [Sammy, Jim] Yayasan Riak Bumi, Pontianak, Indonesia; [Siswanto, Dedi] Yayasan Cakrawala Indonesia, Palangkaraya, Indonesia; [Syamsuri, Muhammad] Forum Komunikasi Kader Konservasi Indonesia FK3I, Pontianak, Indonesia; [Andayani, Noviar] Wildlife Conservat Soc, Bogor, Indonesia; [Wu, Huanhuan; Mengersen, Kerrie] Queensland Univ Technol, Sch Math Sci, Brisbane, Qld 4001, Australia</t>
  </si>
  <si>
    <t>People &amp; Nature Consulting International; University of Queensland; Australian National University; Bogor Agricultural University; Universitas Nasional Pionir Perubahan; Wildlife Conservation Society - Indonesia; Queensland University of Technology (QUT)</t>
  </si>
  <si>
    <t>Meijaard, E (corresponding author), People &amp; Nat Consulting Int, Jakarta, Indonesia.</t>
  </si>
  <si>
    <t>emeijaard@gmail.com</t>
  </si>
  <si>
    <t>Buchori, Damayanti/L-5878-2017; Puspitasari, Dewi/MCJ-5717-2025; HADIPRAKARSA, YOKI/OEN-2138-2025; Wells, Jessie/F-7318-2010; Mengersen, Kerrie/AHC-4096-2022; Meijaard, Erik/A-2687-2016</t>
  </si>
  <si>
    <t>Buchori, Damayanti/0000-0002-2843-0737; Wells, Jessie/0000-0002-3555-5108; Andayani, Noviar/0000-0002-1888-193X; Prasetyo, Didik/0000-0001-5486-2624; Mengersen, Kerrie/0000-0001-8625-9168; Hadiprakarsa, Yokyok/0000-0001-5186-6742; utami, sri/0000-0002-5138-242X; Meijaard, Erik/0000-0001-8685-3685</t>
  </si>
  <si>
    <t>Adopt-an-Acre program; United States Agency for International Development (USAID); Directorate of Forest Protection and Nature Conservation of the Indonesian Ministry of Forestry</t>
  </si>
  <si>
    <t>Adopt-an-Acre program; United States Agency for International Development (USAID)(United States Agency for International Development (USAID)CGIARNorwegian Agency for Development Cooperation - NORAD); Directorate of Forest Protection and Nature Conservation of the Indonesian Ministry of Forestry</t>
  </si>
  <si>
    <t>The Adopt-an-Acre program and the United States Agency for International Development (USAID) provided funding and technical support. The funders had no role in study design, data collection and analysis, decision to publish, or preparation of the manuscript.We thank Peter Kareiva and Robert Lalasz for their help in writing and structuring this manuscript, three anonymous reviewers for providing detailed and constructive input for improving our manuscript, the Directorate of Forest Protection and Nature Conservation of the Indonesian Ministry of Forestry for supporting our study, and the Association of Indonesian Primatologists (PERHAPPI) for coordinating the studies. We are most grateful to our many respondents for taking the time to discuss with us their views on conservation in Kalimantan.</t>
  </si>
  <si>
    <t>NOV 11</t>
  </si>
  <si>
    <t>e27491</t>
  </si>
  <si>
    <t>10.1371/journal.pone.0027491</t>
  </si>
  <si>
    <t>855HG</t>
  </si>
  <si>
    <t>WOS:000297553900052</t>
  </si>
  <si>
    <t>Walker, BL; Neubaum, MA; Goforth, SR; Flenner, MM</t>
  </si>
  <si>
    <t>Walker, Brett L.; Neubaum, Melissa A.; Goforth, Suzanne R.; Flenner, Michelle M.</t>
  </si>
  <si>
    <t>Energy development; Land cover change; Pipeline; Reclamation; Sagebrush; Well pad</t>
  </si>
  <si>
    <t>SHALE-GAS DEVELOPMENT; FOREST FRAGMENTATION; WIND ENERGY; ECOSYSTEM SERVICES; RESOURCE SELECTION; CONVENTIONAL OIL; COVER CHANGES; NATURAL-GAS; LAND-USE; IMPACTS</t>
  </si>
  <si>
    <t>New technologies and increasing energy demand have contributed to rapid expansion of unconventional oil and gas development in the U.S. in the past two decades. Quantifying the effects of energy infrastructure on land cover and wildlife habitat is essential for informing land-use policy, developing wildlife conservation strategies, and projecting impacts of future development. The greater sage-grouse (Centrocercus urophasianus; GrSG) is a species of concern in sagebrush ecosystems of the western U.S. and Canada and the focus of widespread conservation and management efforts. Increasing energy development within GrSG range has prompted the need to quantify and predict impacts of energy infrastructure on their habitat and populations. We mapped the annual distribution, surface type, and activity level of energy and non-energy infrastructure in the Parachute-Piceance-Roan (PPR), a small, peripheral greater sage-grouse population in Colorado with expanding oil and gas development, from 2005 to 2015. During that time, the footprint of energy infrastructure more than doubled to 3,275 ha (+108.6%), including 195 new well pads, 930 ha of new pipelines, and 230 km of new roads. In contrast, non-energy infrastructure decreased to 532 ha (-8.3%). The majority of energy infrastructure present each year (77-84%) was supporting infrastructure (i.e. facilities, roads, pipelines) rather than well pads, with an average of 2.24 +/- 0.52 SE ha of supporting infrastructure per ha of well pad. Pipelines comprised 74-80% of reclaimed surface and roads comprised 54-69% of disturbed surface across years. By 2015, anthropogenic infrastructure covered 2.70% of occupied range and 2.93% of GrSG habitat, and energy Infrastructure covered 2.50% and 10.79% of two priority habitat management area zones in the PPR. Three land cover classes most affected by energy infrastructure were also those strongly selected by GrSG. Topographic constraints appear to concentrate energy infrastructure in areas with gentler topography that also have the highest GrSG use. Together, these patterns suggest that future energy development will cause substantial additional loss and modification of GrSG habitat in the PPR. Our findings are valuable for assessing surface disturbance caps for land-use management and projections of energy infrastructure effects on wildlife habitat in this and other expanding oil and gas fields.</t>
  </si>
  <si>
    <t>[Walker, Brett L.; Neubaum, Melissa A.; Goforth, Suzanne R.] Colorado Pk &amp; Wildlife, 711 Independent Ave, Grand Junction, CO 81505 USA; [Flenner, Michelle M.] Colorado Pk &amp; Wildlife, 317 West Prospect Ave, Ft Collins, CO 80526 USA</t>
  </si>
  <si>
    <t>Walker, BL (corresponding author), Colorado Pk &amp; Wildlife, 711 Independent Ave, Grand Junction, CO 81505 USA.</t>
  </si>
  <si>
    <t>brett.walker@state.co.us</t>
  </si>
  <si>
    <t>Walker, Brett/0000-0003-1183-3449</t>
  </si>
  <si>
    <t>Colorado Parks and Wildlife; ConocoPhillips; Encana; Marathon Oil; Petroleum Development Corporation (PDC Energy); Shell USA; Williams Production and Exploration (WPX Energy)</t>
  </si>
  <si>
    <t>We thank R. D. Velarde, W. J. DeVergie, J. T. Romatzke, J. C. Rivale, and K. J. Kaal for project support, and L. L. Gepfert for conducting aerial surveys of unidentified infrastructure. Comments from J. H. Gammonley, M. W. Alldredge, D. W. Tripp, J. G. Maphayane, and two anonymous reviewers improved the manuscript. This work was funded by Colorado Parks and Wildlife, ConocoPhillips, Encana, Marathon Oil, Petroleum Development Corporation (PDC Energy), Shell USA, and Williams Production and Exploration (WPX Energy).</t>
  </si>
  <si>
    <t>10.1016/j.jenvman.2019.109819</t>
  </si>
  <si>
    <t>KT0OA</t>
  </si>
  <si>
    <t>WOS:000518708700010</t>
  </si>
  <si>
    <t>Polaina, E; Revilla, E; González-Suárez, M</t>
  </si>
  <si>
    <t>Polaina, Ester; Revilla, Eloy; Gonzalez-Suarez, Manuela</t>
  </si>
  <si>
    <t>anthromes; extinction risk; IUCN red list; life-history traits; terrestrial mammals; zonation</t>
  </si>
  <si>
    <t>COMPOSITIONAL DATA-ANALYSIS; LIFE-HISTORY TRAITS; EXTINCTION RISK; THREAT MANAGEMENT; LAND-USE; BIODIVERSITY; RESERVES; DATABASE; SIZE</t>
  </si>
  <si>
    <t>Aim To propose a general approach to spatially synthesize known predictors of vulnerability at the species level in order to identify areas directly associated with specific conservation problems. Under this problem-detection framework, the coincidence or divergence of main strengths and weaknesses can be used to propose tailor-made conservation strategies. This approach is illustrated for terrestrial mammal species evaluating two of their main components of vulnerability: life-history traits and land-use pressure. Location Global. Methods We determine, at the species level, the relationships between extinction risk and two well-known predictors of vulnerability: life-history traits (intrinsic) and land use (extrinsic). Transferring these findings into the spatial domain, we identify the areas of the world where one of these two facets is predominant and those areas where both coincide. Results The proposed approach allows us to recognize four types of areas: (1) double-susceptibility areas: where both the characteristics of the species and the existing human activities pose a threat, therefore the simultaneous management of both species/habitats and human activities are needed; (2) intrinsic-susceptibility areas: where species are naturally fragile and human presence is scarce, thus species-specific management plans would be particularly efficient; (3) extrinsic-susceptibility areas: where human pressure is high but species are not intrinsically vulnerable; which requires special attention to human activities; and (4) low-susceptibility areas: where there are not remarkable threats for existing terrestrial mammals, which additionally are not particularly fragile. Main conclusions Our approach can spatially synthesize known predictors of vulnerability identifying areas where different factors predispose species to become extinct. This method builds on conservation planning approaches by targeting actions based on known strengths and weaknesses of a given area, and offering a new implementation of comparative studies of extinction risk. This approach may be applied to different species and to particular regions, focusing on different drivers, and complemented by incorporating social and economic trade-offs.</t>
  </si>
  <si>
    <t>[Polaina, Ester; Revilla, Eloy; Gonzalez-Suarez, Manuela] CSIC, Estn Biol Donana, Dept Conservat Biol, Calle Americo Vespucio S-N, Seville 41092, Spain; [Gonzalez-Suarez, Manuela] Univ Reading, Sch Biol Sci, Reading RG6 6AS, Berks, England</t>
  </si>
  <si>
    <t>Consejo Superior de Investigaciones Cientificas (CSIC); CSIC - Estacion Biologica de Donana (EBD); University of Reading</t>
  </si>
  <si>
    <t>Polaina, E (corresponding author), CSIC, Estn Biol Donana, Dept Conservat Biol, Calle Americo Vespucio S-N, Seville 41092, Spain.</t>
  </si>
  <si>
    <t>e.polaina@ebd.csic.es</t>
  </si>
  <si>
    <t>Revilla, Eloy/B-5100-2008; Gonzalez Suarez, Manuela/B-9740-2008; Polaina, Ester/J-8175-2016</t>
  </si>
  <si>
    <t>Revilla, Eloy/0000-0001-5534-5581; Gonzalez Suarez, Manuela/0000-0001-5069-8900; Polaina, Ester/0000-0002-5064-5881</t>
  </si>
  <si>
    <t>Junta para la Ampliacion de Estudios [JAEPre022.BOE-A-2011-10745]; European Social Fund; European Community [235897, 308454]; Spanish Ministry of Science and Innovation - FEDER [CGL2009-07301/BOS, CGL2012-35931/BOS, JCI-2011-09158]</t>
  </si>
  <si>
    <t>Junta para la Ampliacion de Estudios; European Social Fund(European Social Fund (ESF)); European Community; Spanish Ministry of Science and Innovation - FEDER(European Union (EU)Spanish GovernmentMinistry of Science &amp; Innovation, Spain (MICINN))</t>
  </si>
  <si>
    <t>We thank the IUCN Red List team for making and maintaining its database freely available online. We also acknowledge the Laboratory for Anthropogenic Landscape Ecology, directed by Dr. Erle C. Ellis, for publicly sharing their Anthromes' datasets. We are very grateful to two anonymous reviewers who provided helpful comments on previous versions of this manuscript. This work was funded by the program 'Junta para la Ampliacion de Estudios' (JAEPre022.BOE-A-2011-10745, co-funded by the European Social Fund), the European Community's Seventh Framework Programme (FP7/grant no 235897 and EU BON project no 308454) and the Spanish Ministry of Science and Innovation co-funded by FEDER (CGL2009-07301/BOS, CGL2012-35931/BOS and JCI-2011-09158).</t>
  </si>
  <si>
    <t>10.1111/ddi.12452</t>
  </si>
  <si>
    <t>DR0RY</t>
  </si>
  <si>
    <t>WOS:000379615800005</t>
  </si>
  <si>
    <t>to Bühne, HS; Wegmann, M; Durant, SM; Ransom, C; de Ornellas, P; Grange, S; Beatty, H; Pettorelli, N</t>
  </si>
  <si>
    <t>to Buehne, Henrike Schulte; Wegmann, Martin; Durant, Sarah M.; Ransom, Chris; de Ornellas, Paul; Grange, Sophie; Beatty, Hope; Pettorelli, Nathalie</t>
  </si>
  <si>
    <t>REMOTE SENSING IN ECOLOGY AND CONSERVATION</t>
  </si>
  <si>
    <t>Land conversion; land cover classification; protection status; transboundary protected areas; vegetation loss; WAP</t>
  </si>
  <si>
    <t>COVER-CHANGE; SURFACE REFLECTANCE; ECOLOGICAL INTEGRITY; ECOSYSTEM SERVICES; CLIMATE-CHANGE; BURKINA-FASO; CONSERVATION; BIODIVERSITY; PERFORMANCE; DYNAMICS</t>
  </si>
  <si>
    <t>Transboundary cooperation is being promoted as an effective way to conserve biodiversity that straddles national borders. However, monitoring the ecological outcomes of these large-scale endeavours is challenging, and as a result, the factors and processes likely to shape their effectiveness remain poorly identified and understood. To address this knowledge gap, we tested three hypotheses pertaining to natural vegetation loss across the W-Arly-Pendjari protected area complex, a key biodiversity hotspot in West Africa. Using a new methodology to compare land cover change across large remote areas where independent validation data is unevenly distributed across time, we demonstrate widespread agricultural expansion outside protected areas over the past 13years. Protected areas with high protection status appear considerably more effective at preventing land conversion than other protected areas. We moreover report marked differences in cropland expansion rates between countries, which we suggest may be linked to differences in rural population growth. Altogether, our results suggest that there can be considerable spatial heterogeneity in anthropogenic pressure across transboundary protected area complexes and call for more comprehensive assessments that capitalize on the current availability of remote sensing information.</t>
  </si>
  <si>
    <t>[to Buehne, Henrike Schulte; Durant, Sarah M.; Beatty, Hope; Pettorelli, Nathalie] Zool Soc London, Inst Zool, Regents Pk, London NW1 4RY, England; [Wegmann, Martin] Univ Wurzburg, Dept Remote Sensing, D-97074 Wurzburg, Germany; [Ransom, Chris; de Ornellas, Paul; Grange, Sophie] Zool Soc London, Conservat Programmes, Regents Pk, London NW1 4RY, England</t>
  </si>
  <si>
    <t>Zoological Society of London; University of Wurzburg; Zoological Society of London</t>
  </si>
  <si>
    <t>Pettorelli, N (corresponding author), Zool Soc London, Inst Zool, Regents Pk, London NW1 4RY, England.</t>
  </si>
  <si>
    <t>Nathalie.Pettorelli@ioz.ac.uk</t>
  </si>
  <si>
    <t>Pettorelli, Nathalie/AAW-8438-2021; Durant, Sarah/AAB-9659-2019</t>
  </si>
  <si>
    <t>Pettorelli, Nathalie/0000-0002-1594-6208; Durant, Sarah/0000-0003-0724-0878</t>
  </si>
  <si>
    <t>111 RIVER ST, HOBOKEN, NJ 07030 USA</t>
  </si>
  <si>
    <t>2056-3485</t>
  </si>
  <si>
    <t>REMOTE SENS ECOL CON</t>
  </si>
  <si>
    <t>Remote Sens. Ecol. Conserv.</t>
  </si>
  <si>
    <t>10.1002/rse2.47</t>
  </si>
  <si>
    <t>Ecology; Remote Sensing</t>
  </si>
  <si>
    <t>FO9XS</t>
  </si>
  <si>
    <t>WOS:000417252400002</t>
  </si>
  <si>
    <t>Gallardo, B; Aldridge, DC; González-Moreno, P; Pergl, J; Pizarro, M; Pysek, P; Thuiller, W; Yesson, C; Vilà, M</t>
  </si>
  <si>
    <t>Gallardo, Belinda; Aldridge, David C.; Gonzalez-Moreno, Pablo; Pergl, Jan; Pizarro, Manuel; Pysek, Petr; Thuiller, Wilfried; Yesson, Christopher; Vila, Montserrat</t>
  </si>
  <si>
    <t>climate suitability; human accessibility; national parks; Natura 2000; nature reserves; non-native species; protected species; species distribution models</t>
  </si>
  <si>
    <t>EXTINCTION RISK; BIODIVERSITY; IMPACTS; FUTURE; SHIFTS; SEA; PATTERNS; MODELS</t>
  </si>
  <si>
    <t>Protected areas (PAs) are intended to provide native biodiversity and habitats with a refuge against the impacts of global change, particularly acting as natural filters against biological invasions. In practice, however, it is unknown how effective PAs will be in shielding native species from invasions under projected climate change. Here, we investigate the current and future potential distributions of 100 of the most invasive terrestrial, freshwater, and marine species in Europe. We use this information to evaluate the combined threat posed by climate change and invasions to existing PAs and the most susceptible species they shelter. We found that only a quarter of Europe's marine and terrestrial areas protected over the last 100years have been colonized by any of the invaders investigated, despite offering climatically suitable conditions for invasion. In addition, hotspots of invasive species and the most susceptible native species to their establishment do not match at large continental scales. Furthermore, the predicted richness of invaders is 11%-18% significantly lower inside PAs than outside them. Invasive species are rare in long-established national parks and nature reserves, which are actively protected and often located in remote and pristine regions with very low human density. In contrast, the richness of invasive species is high in the more recently designated Natura 2000 sites, which are subject to high human accessibility. This situation may change in the future, since our models anticipate important shifts in species ranges toward the north and east of Europe at unprecedented rates of 14-55km/decade, depending on taxonomic group and scenario. This may seriously compromise the conservation of biodiversity and ecosystem services. This study is the first comprehensive assessment of the resistance that PAs provide against biological invasions and climate change on a continental scale and illustrates their strategic value in safeguarding native biodiversity.</t>
  </si>
  <si>
    <t>[Gallardo, Belinda; Pizarro, Manuel] Pyrenean Inst Ecol IPE CSIC, Dept Biodivers &amp; Restorat, Zaragoza, Spain; [Aldridge, David C.] Univ Cambridge, Dept Zool, Cambridge, England; [Gonzalez-Moreno, Pablo; Vila, Montserrat] Donana Biol Stn EBD CSIC, Seville, Spain; [Pergl, Jan; Pysek, Petr] Czech Acad Sci, Dept Invas Ecol, Inst Bot, Trebon, Czech Republic; [Pysek, Petr] Charles Univ Prague, Fac Sci, Dept Ecol, Prague, Czech Republic; [Pysek, Petr] Stellenbosch Univ, Ctr Invas Biol, Dept Bot &amp; Zool, Matieland, South Africa; [Thuiller, Wilfried] Univ Grenoble Alpes, CNRS, Lab Ecol Alpine LECA, Grenoble, France; [Yesson, Christopher] London Zool Soc, Inst Zool, London, England</t>
  </si>
  <si>
    <t>Consejo Superior de Investigaciones Cientificas (CSIC); University of Cambridge; Consejo Superior de Investigaciones Cientificas (CSIC); CSIC - Estacion Biologica de Donana (EBD); Czech Academy of Sciences; Institute of Botany of the Czech Academy of Sciences; Charles University Prague; Stellenbosch University; Communaute Universite Grenoble Alpes; Universite Grenoble Alpes (UGA); Centre National de la Recherche Scientifique (CNRS); Universite Savoie Mont Blanc</t>
  </si>
  <si>
    <t>Gallardo, B (corresponding author), Pyrenean Inst Ecol IPE CSIC, Dept Biodivers &amp; Restorat, Zaragoza, Spain.</t>
  </si>
  <si>
    <t>belinda@ipe.csic.es</t>
  </si>
  <si>
    <t>Yesson, Chris/Q-1196-2017; Pergl, Jan/H-1071-2011; Vila, Montserrat/D-9339-2013; González-Moreno, Pablo/C-8422-2015; Pysek, Petr/B-1957-2012; Thuiller, Wilfried/G-3283-2010; Pizarro Gavilán, Manuel/AAC-5597-2021; Gallardo, Belinda/H-9038-2013</t>
  </si>
  <si>
    <t>Yesson, Chris/0000-0002-6731-4229; Pergl, Jan/0000-0002-0045-1974; González-Moreno, Pablo/0000-0001-9764-8927; Pizarro Gavilán, Manuel/0000-0002-6981-0154; Gallardo, Belinda/0000-0002-1552-8233</t>
  </si>
  <si>
    <t>Grantova Agentura Ceske Republiky [14-36079G]; Akademie Ved Ceske Republiky [RVO 67985939]; Secretaria de Estado de Investigacion, Desarrollo e Innovacion [CGL2009-7515, CGL2014-55145-R, CGL2015-65346R, JCI2012-11908, SEV-2012-0262]; Iberdrola Foundation; Seventh Framework Programme</t>
  </si>
  <si>
    <t>Grantova Agentura Ceske Republiky(Grant Agency of the Czech Republic); Akademie Ved Ceske Republiky; Secretaria de Estado de Investigacion, Desarrollo e Innovacion; Iberdrola Foundation; Seventh Framework Programme(European Union (EU))</t>
  </si>
  <si>
    <t>Grantova Agentura Ceske Republiky, Grant/Award Number: 14-36079G; Akademie Ved Ceske Republiky, Grant/Award Number: RVO 67985939; Secretaria de Estado de Investigacion, Desarrollo e Innovacion, Grant/Award Number: CGL2009-7515, CGL2014-55145-R, CGL2015-65346R, JCI2012-11908, SEV-2012-0262; Iberdrola Foundation; Seventh Framework Programme</t>
  </si>
  <si>
    <t>10.1111/gcb.13798</t>
  </si>
  <si>
    <t>FM4FN</t>
  </si>
  <si>
    <t>WOS:000414969000032</t>
  </si>
  <si>
    <t>de Moraes, MCP; de Mello, K; Toppa, RH</t>
  </si>
  <si>
    <t>Prado de Moraes, Mayra Cristina; de Mello, Kaline; Toppa, Rogerio Hartung</t>
  </si>
  <si>
    <t>Buffer zone; Sugar cane; Land use and land cover; Landscape pattern</t>
  </si>
  <si>
    <t>SAO-PAULO STATE; ATLANTIC FOREST; LAND-USE; HABITAT AVAILABILITY; LANDSCAPE STRUCTURE; FRAGMENTATION; CONNECTIVITY; SUGARCANE; SCENARIOS; PATCHES</t>
  </si>
  <si>
    <t>The conversion of natural ecosystems to agricultural land and urban areas plays a threat to the protected areas and the natural ecosystems conservation. The aim of this paper is to provide an analysis of the agricultural expansion and its impact on the landscape spatial and temporal patterns in a buffer zone of a protected area located in the transition zone between the Atlantic Forest and Cerrado, in the State of Sao Paulo, Brazil. The land use and land cover were mapped between 1971 and 2008 and landscape metrics were calculated to provide a spatiotemporal analysis of the forest structure and the expansion of the croplands. The results showed that the landscape patterns were affected by the economic cycles. The predominant crop surrounding the protected area is sugar cane, which increased by 39% during this period, followed by citrus. This landscape change is connected to the Brazilian oil crisis in 1973. The rapid expansion of sugar cane was largely driven by Brazil's biofuel program, the Proalcool (pro-alcohol), a project in 1975 that mixed ethanol with gas for automotive fuel. The forest loss occurred mainly between 1971 and 1988, decreasing the forest cover from 17% in 1971 to 12.7% in 2008. Most of the forest patches are smaller than 50 ha and has low connectivity. Throughout the years, the fragments in the buffer zone have become smaller and with an elongated shape, and the park has become isolated. This forest fragmentation process and the predominance of monoculture lands in the buffer zone threaten the protected areas, and can represent a barrier for these areas to provide the effective biodiversity conservation. The measures proposed are necessary to ensure the capability of this ecosystem to sustain its original biodiversity. (C) 2016 Elsevier Ltd. All rights reserved.</t>
  </si>
  <si>
    <t>[Prado de Moraes, Mayra Cristina] Univ Fed Sao Carlos, Sao Carlos, SP, Brazil; [de Mello, Kaline] Univ Sao Paulo ESALQ USP, Luiz de Queiroz Coll Agr, Sao Paulo, Brazil; [Toppa, Rogerio Hartung] Univ Fed Sao Carlos, Sorocaba UFSCar Sorocaba, Dept Environm Sci, Sao Carlos, SP, Brazil</t>
  </si>
  <si>
    <t>Universidade Federal de Sao Carlos; Universidade de Sao Paulo; Universidade Federal de Sao Carlos</t>
  </si>
  <si>
    <t>Toppa, RH (corresponding author), Univ Fed Sao Carlos, Sorocaba UFSCar Sorocaba, Dept Environm Sci, Sao Carlos, SP, Brazil.</t>
  </si>
  <si>
    <t>mayracpmoraes@gmail.com; kaline.mello@gmail.com; toppa@ufscar.br</t>
  </si>
  <si>
    <t>Mello, Kaline/N-2883-2017; Hartung Toppa, Rogério/JAC-8333-2023</t>
  </si>
  <si>
    <t>Mello, Kaline/0000-0001-7873-3042; Hartung Toppa, Rogério/0000-0002-1637-2840</t>
  </si>
  <si>
    <t>MAR 1</t>
  </si>
  <si>
    <t>10.1016/j.jenvman.2016.11.075</t>
  </si>
  <si>
    <t>EJ5LZ</t>
  </si>
  <si>
    <t>WOS:000393260900010</t>
  </si>
  <si>
    <t>Bennett, SN; Olson, JR; Kershner, JL; Corbett, P</t>
  </si>
  <si>
    <t>Bennett, Stephen N.; Olson, John R.; Kershner, Jeffrey L.; Corbett, Peter</t>
  </si>
  <si>
    <t>Propagule pressure and stream characteristics influence introgression: cutthroat and rainbow trout in British Columbia</t>
  </si>
  <si>
    <t>hybridization; introduced species; introgression; Kootenay River, Canada; Oncorhynchus clarki ssp.; Oncorhynchus mykiss; propagule pressure; rainbow trout; westslope cutthroat trout</t>
  </si>
  <si>
    <t>ONCORHYNCHUS-CLARKI-LEWISI; GEOGRAPHIC PATTERNS; FISH POPULATIONS; RIVER DRAINAGE; BROWN TROUT; O-MYKISS; HYBRIDIZATION; INVASION; MARKERS; SALMONIDS</t>
  </si>
  <si>
    <t>Hybridization and introgression between introduced and native salmonids threaten the continued persistence of many inland cutthroat trout species. Environmental models have been developed to predict the spread of introgression, but few Studies have assessed the role of propagule pressure. We used an extensive set of fish stocking records and geographic information system (GIS) data to produce a spatially explicit index of potential propagule pressure exerted by introduced rainbow trout in the Upper Kootenay River, British Columbia, Canada. We then used logistic regression and the information-theoretic approach to test the ability of a set of environmental and spatial variables to predict the level of introgression between native westslope cutthroat trout and introduced rainbow trout. Introgression was assessed using between four and seven co-dominant, diagnostic nuclear markers at 45 sites in 31 different streams. The best model for predicting introgression included Our GIs propagule pressure index and an environmental Variable that accounted for the biogeoclimatic zone of the site (r(2) =0.62). This model,vas 1.4 times more likely to explain introgression than the next-best model, which consisted Of Only the propagule pressure index variable. We created a composite model based oil the model-averaged results of the seven top models that included environmental, spatial, and propagule pressure variables. The propagule pressure index had the highest importance weight (0.995) of all variables tested and was negatively related to sites with no introgression. This Study used an index Of propagule pressure and demonstrated that propagule Pressure had the greatest influence oil the level of introgression between a native and introduced trout in a human-induced hybrid zone.</t>
  </si>
  <si>
    <t>[Bennett, Stephen N.; Olson, John R.] Utah State Univ, Dept Watershed Sci, Logan, UT 84322 USA; [Kershner, Jeffrey L.] USGS No Rocky Mt Sci Ctr, Bozeman, MT 59717 USA; [Corbett, Peter] Mirkwood Ecol Consultants, Winlaw, BC V0G 2J0, Canada</t>
  </si>
  <si>
    <t>Utah System of Higher Education; Utah State University; United States Department of the Interior; United States Geological Survey</t>
  </si>
  <si>
    <t>Bennett, SN (corresponding author), Utah State Univ, Dept Watershed Sci, 5210 Old Main Hill, Logan, UT 84322 USA.</t>
  </si>
  <si>
    <t>Bennett.ecological@gmail.com</t>
  </si>
  <si>
    <t>Olson, John/B-3710-2009</t>
  </si>
  <si>
    <t>Global Forest Science [GF-18-2002-136]; USDA Forest Service, Fish and Aquatic Ecology Unit in Logan, Utah., USA</t>
  </si>
  <si>
    <t>Global Forest Science; USDA Forest Service, Fish and Aquatic Ecology Unit in Logan, Utah., USA(United States Department of Agriculture (USDA)United States Forest Service)</t>
  </si>
  <si>
    <t>Funding for this project was is provided by Global Forest Science (GF-18-2002-136) and the USDA Forest Service, Fish and Aquatic Ecology Unit in Logan, Utah., USA.</t>
  </si>
  <si>
    <t>10.1890/08-0441.1</t>
  </si>
  <si>
    <t>566GM</t>
  </si>
  <si>
    <t>WOS:000275358100021</t>
  </si>
  <si>
    <t>Di Marco, M; Harwood, TD; Hoskins, AJ; Ware, C; Hill, SLL; Ferrier, S</t>
  </si>
  <si>
    <t>Di Marco, Moreno; Harwood, Tom D.; Hoskins, Andrew J.; Ware, Chris; Hill, Samantha L. L.; Ferrier, Simon</t>
  </si>
  <si>
    <t>beta diversity; climate change; extinction risk; land; use change; plant biodiversity; representative concentration pathways; shared socio-economic pathways</t>
  </si>
  <si>
    <t>HABITAT LOSS; DIVERSITY; RESPONSES; LOSSES</t>
  </si>
  <si>
    <t>Nations have committed to ambitious conservation targets in response to -accelerating rates of global biodiversity loss. Anticipating future impacts is essential to inform policy decisions for achieving these targets, but predictions need to be of sufficiently high spatial resolution to forecast the local effects of global change. As part of the intercomparison of biodiversity and ecosystem services models of the Intergovernmental Science-Policy Platform on Biodiversity and Ecosystem Services, we present a fine-resolution assessment of trends in the persistence of global plant biodiversity. We coupled generalized dissimilarity models, fitted to &gt;52 million records of &gt;254 thousand plant species, with the species-area relationship, to estimate the effect of land-use and climate change on global biodiversity persistence. We estimated that the number of plant species committed to extinction over the long term has increased by 60% globally between 1900 and 2015 (from similar to 10,000 to similar to 16,000). This number is projected to decrease slightly by 2050 under the most optimistic scenario of land-use change and to substantially increase (to similar to 18,000) under the most pessimistic scenario. This means that, in the absence of climate change, scenarios of sustainable socio-economic development can potentially bring extinction risk back to pre-2000 levels. Alarmingly, under all scenarios, the additional impact from climate change might largely surpass that of land- use change. In this case, the estimated number of species committed to extinction increases by 3.7-4.5 times compared to landuse-only projections. African regions (especially central and southern) are expected to suffer some of the highest impacts into the future, while biodiversity decline in Southeast Asia (which has previously been among the highest globally) is projected to slow down. Our results suggest that environmentally sustainable land-use planning alone might not be sufficient to prevent potentially dramatic biodiversity loss, unless a stabilization of climate to pre-industrial times is observed.</t>
  </si>
  <si>
    <t>[Di Marco, Moreno] CSIRO Land &amp; Water, Ecosci Precinct, Brisbane, Qld, Australia; [Di Marco, Moreno] Sapienza Univ Rome, Dept Biol &amp; Biotechnol, Viale Univ 32, I-00185 Rome, Italy; [Harwood, Tom D.; Ware, Chris; Ferrier, Simon] CSIRO Land &amp; Water, Black Mt Labs, Canberra, ACT, Australia; [Hoskins, Andrew J.] James Cook Univ, CSIRO Hlth &amp; Biosecur, Townsville, Qld, Australia; [Hill, Samantha L. L.] Nat Hist Museum, Dept Life Sci, London, England; [Hill, Samantha L. L.] World Conservat Monitoring Ctr UNEP WCMC, UN Environm, Cambridge, England</t>
  </si>
  <si>
    <t>Commonwealth Scientific &amp; Industrial Research Organisation (CSIRO); CSIRO Land &amp; Water; Sapienza University Rome; Commonwealth Scientific &amp; Industrial Research Organisation (CSIRO); CSIRO Land &amp; Water; Commonwealth Scientific &amp; Industrial Research Organisation (CSIRO); CSIRO Health &amp; Biosecurity; James Cook University; Natural History Museum London; United Nations Environment Programme</t>
  </si>
  <si>
    <t>Di Marco, M (corresponding author), Sapienza Univ Rome, Dept Biol &amp; Biotechnol, Viale Univ 32, I-00185 Rome, Italy.</t>
  </si>
  <si>
    <t>moreno.dimarco@gmail.com</t>
  </si>
  <si>
    <t>Di Marco, Moreno/J-4285-2012; Ferrier, Simon/C-1490-2009; Hoskins, Andrew/T-2694-2019; Harwood, Tom/C-7271-2009; Ware, Chris/N-4465-2016</t>
  </si>
  <si>
    <t>Di Marco, Moreno/0000-0002-8902-4193;</t>
  </si>
  <si>
    <t>EU H2020 programme [H2020-MSCA-IF-2017-793212]</t>
  </si>
  <si>
    <t>EU H2020 programme(Horizon 2020)</t>
  </si>
  <si>
    <t>We thank the PREDICTS team (Natural History Museum and UNEP-WCMC) for providing land-use conversion coefficients used in our analysis. We thank Will Woodgate for useful suggestions on an earlier version of the manuscript. We thank three anonymous reviewers for their insightful comments. M.D.M. acknowledges support from the EU H2020 programme (H2020-MSCA-IF-2017-793212).</t>
  </si>
  <si>
    <t>10.1111/gcb.14663</t>
  </si>
  <si>
    <t>JO3TF</t>
  </si>
  <si>
    <t>WOS:000497502700021</t>
  </si>
  <si>
    <t>Foveau, A; Vaz, S; Desroy, N; Kostylev, VE</t>
  </si>
  <si>
    <t>Foveau, Aurelie; Vaz, Sandrine; Desroy, Nicolas; Kostylev, Vladimir E.</t>
  </si>
  <si>
    <t>ENGLISH-CHANNEL; NORTH-SEA; BENTHIC COMMUNITIES; TAXONOMIC SUFFICIENCY; FISHING DISTURBANCE; SCOTIAN SHELF; IMPACT; BAY; BIODIVERSITY; MACROFAUNA</t>
  </si>
  <si>
    <t>The increase of anthropogenic pressures on the marine environment together with the necessity of a sustainable management of marine living resources have underlined the need to map and model coastal environments, particularly for the purposes of spatial planning and for the implementation of integrated ecosystem-based management approach. The present study compares outputs of a process-driven benthic habitat sensitivity (PDS) model to the structure, composition and distribution of benthic invertebrates in the Eastern English Channel and southern part of the North Sea. Trawl disturbance indicators (TDI) computed from species biological traits and benthic community composition were produced from samples collected with a bottom trawl. The TDI was found to be highly correlated to the PDS further validating the latter's purpose to identify natural process-driven pattern of sensitivity. PDS was found to reflect an environmental potential that may no longer be fully observable in the field and difference with in situ biological observations could be partially explained by the spatial distribution of fishery pressure on the seafloor. The management implication of these findings are discussed and we suggest that, used in conjunction with TDI approaches, PDS may help monitor management effort by evaluating the difference between the current state and the presumed optimal environmental status of marine benthic habitats.</t>
  </si>
  <si>
    <t>[Foveau, Aurelie; Desroy, Nicolas] IFREMER, Lab Environm &amp; Ressources Bretagne Nord, Dinard, France; [Vaz, Sandrine] IFREMER, UMR MARBEC, Sete, France; [Kostylev, Vladimir E.] Nat Resources Canada, Geol Survey Canada Atlantic, Dartmouth, NS, Canada</t>
  </si>
  <si>
    <t>Ifremer; Universite de Montpellier; Ifremer; Natural Resources Canada; Lands &amp; Minerals Sector - Natural Resources Canada; Geological Survey of Canada</t>
  </si>
  <si>
    <t>Foveau, A (corresponding author), IFREMER, Lab Environm &amp; Ressources Bretagne Nord, Dinard, France.</t>
  </si>
  <si>
    <t>aurelie.foveau@ifremer.fr</t>
  </si>
  <si>
    <t>Foveau, Aurélie/0000-0001-6283-2214; Vaz, Sanine/0000-0002-7365-8335; Desroy, Nicolas/0000-0002-9047-5637</t>
  </si>
  <si>
    <t>INTERREG IV A project CHARM III (CHannel integrated Approach for marine Resource Management); French research agency (ANR), through project COMANCHE (Ecosystem interactions and anthropogenic impacts on great scallop populations in the English Channel) [ANR-2010-STRA-010]; European Union under INTERREG IVA CHARM III project (Channel integrated Approach for marine Resource Management)</t>
  </si>
  <si>
    <t>INTERREG IV A project CHARM III (CHannel integrated Approach for marine Resource Management); French research agency (ANR), through project COMANCHE (Ecosystem interactions and anthropogenic impacts on great scallop populations in the English Channel)(Agence Nationale de la Recherche (ANR)); European Union under INTERREG IVA CHARM III project (Channel integrated Approach for marine Resource Management)(Interreg Europe)</t>
  </si>
  <si>
    <t>This study was partly supported by the INTERREG IV A project CHARM III (CHannel integrated Approach for marine Resource Management), the French research agency (ANR), through the project COMANCHE (Ecosystem interactions and anthropogenic impacts on great scallop populations in the English Channel) - ANR-2010-STRA-010.The authors are grateful to all the scientists who brought help for the research of environmental layers, the projects leaders of CGFS, IBTS and CAMANOC scientific surveys, the scientific staff and vessel crews who participated to these surveys. They also acknowledge anonymous reviewers that provide great help in improving the manuscript. This study was partly supported by the European Union under INTERREG IVA CHARM III project (Channel integrated Approach for marine Resource Management) and the French research agency (ANR), through the project COMANCHE (Ecosystem interactions and anthropogenic impacts on great scallop populations in the English Channel)-ANR-2010-STRA-010.</t>
  </si>
  <si>
    <t>e0184486</t>
  </si>
  <si>
    <t>10.1371/journal.pone.0184486</t>
  </si>
  <si>
    <t>FI9WM</t>
  </si>
  <si>
    <t>WOS:000412360300012</t>
  </si>
  <si>
    <t>Smith, KT; Kirol, CP; Beck, JL; Blomquist, FC</t>
  </si>
  <si>
    <t>Smith, Kurt T.; Kirol, Christopher P.; Beck, Jeffrey L.; Blomquist, Frank C.</t>
  </si>
  <si>
    <t>Centrocercus urophasianus; Colorado; energy disturbance; greater sage-grouse; linking occurrence and fitness; multi-scale resource selection; survival risk; winter habitat; Wyoming</t>
  </si>
  <si>
    <t>IDENTIFYING HABITAT; SURVIVAL ANALYSIS; SELECTION; MOVEMENTS; POPULATIONS; MODEL; SCALE; PREDATION; AVOIDANCE; BEHAVIOR</t>
  </si>
  <si>
    <t>Prioritizing habitats that provide the best options for the persistence of sensitive species in human-modified landscapes is a critical concern for conservation. Linking occurrence and fitness parameters across multiple spatial scales provides an approach to address habitat prioritization for species of concern in disturbed habitats. To demonstrate the usefulness of this approach, we generated resource selection and survival risk models as a framework to quantify habitat value for wintering female greater sage-grouse (Centrocercus urophasianus) inhabiting a 6,093-km(2) study area in northwest Colorado and south-central Wyoming, USA, being developed for oil and natural gas reserves. Our approach allowed us to evaluate the relative influence of anthropogenic development and environmental attributes characterizing a large landscape on habitat selection and habitat-specific survival in winter for female sage-grouse. When combined, these models provided a spatial representation of habitat quality to inform management and conservation of critical wintering habitats. We used 537 locations from 105 radio-marked female grouse obtained from 18 fixed-wing flights across winters 2007-2008, 2008-2009, and 2009-2010. Wintering sage-grouse selected areas with higher wetness potential (0.75-km(2) scale), intermediate (quadratic form) total shrub cover (18.83-km(2) scale), higher variability in shrub height (18.83-km(2) scale), and less heterogeneity in Wyoming big sagebrush (Artemisia tridentata wyomingensis; 4.71-km(2) scale) cover and total shrub cover (18.83-km(2) scale). Anthropogenic surface disturbance (0.75-km(2) scale) was negatively associated with occurrence. Winter survival for female grouse was positively correlated with heterogeneity in big sagebrush cover at the 0.75-km(2) scale, but negatively correlated with heterogeneity in total shrub cover at the 18.83-km(2) scale. We did not detect an association between anthropogenic variables and female winter survival. However, displacement of sage-grouse in the energy extraction area may have masked our ability to identify anthropogenic variables potentially influencing survival. Our winter habitat quality map indicated highly effective winter habitat (high occurrence-low survival risk) was limited, only representing 17.1% of our study area. Consequently, displacement from these limited, high-quality winter habitats could have profound consequences to population persistence.</t>
  </si>
  <si>
    <t>[Smith, Kurt T.; Kirol, Christopher P.; Beck, Jeffrey L.] Univ Wyoming, Dept Ecosyst Sci &amp; Management, Laramie, WY 82071 USA; [Blomquist, Frank C.] Rawlins Field Off, Bur Land Management, Rawlins, WY 82301 USA</t>
  </si>
  <si>
    <t>University of Wyoming</t>
  </si>
  <si>
    <t>Smith, KT (corresponding author), Univ Wyoming, Dept Ecosyst Sci &amp; Management, Laramie, WY 82071 USA.</t>
  </si>
  <si>
    <t>ksmith94@uwyo.edu</t>
  </si>
  <si>
    <t>Bureau of Land Management; University of Wyoming; Wyoming Reclamation and Restoration Center</t>
  </si>
  <si>
    <t>We thank J. E. Hess, M. E. Deutsch, and J. P. Ongstad for assistance with spatial analyses. D. France, of France Flying Service, Rawlins, Wyoming, conducted fixed wing flights. S. L. Garman, USGS Land Change Science Program, and Geosciences and Environmental Change Science Center (GECSC), provided spatial disturbance data. Bureau of Land Management provided funding to conduct aerial flights in winter and to support our analysis. B. L. Walker and an anonymous reviewer provided helpful comments to improve our manuscript. Anadarko Petroleum Corporation, Bureau of Land Management, South Central Local Sage-Grouse Working Group, and the School of Energy Resources at the University of Wyoming provided support to capture, mark, and monitor sage-grouse in summer that were in turn monitored in winter. This material is based upon work supported by the University of Wyoming, Wyoming Reclamation and Restoration Center through its Graduate Assistantship program.</t>
  </si>
  <si>
    <t>10.1890/ES13-00238</t>
  </si>
  <si>
    <t>AB4UV</t>
  </si>
  <si>
    <t>WOS:000331786300004</t>
  </si>
  <si>
    <t>van Andel, TR; Croft, S; van Loon, EE; Quiroz, D; Towns, AM; Raes, N</t>
  </si>
  <si>
    <t>van Andel, T. R.; Croft, S.; van Loon, E. E.; Quiroz, D.; Towns, A. M.; Raes, N.</t>
  </si>
  <si>
    <t>Commercial extraction; Ecosystem services; Herbal medicine; Non-timber forest products; Trade</t>
  </si>
  <si>
    <t>ECOLOGICAL EXPLANATION; BENIN; PREDICTION; BARK; COMMERCIALIZATION; PERFORMANCE; DISTURBANCE; VEGETATION; IMPACT; VOLUME</t>
  </si>
  <si>
    <t>Sub-Saharan African human populations rely heavily on wild-harvested medicinal plants for their health. The trade in herbal medicine provides an income for many West African people, but little is known about the effects of commercial extraction on wild plant populations. Detailed distribution maps are lacking for even the most commonly traded species. Here we combine quantitative market surveys in Ghana and Benin with species distribution models (SDMs) to assess potential species' vulnerability to overharvesting and to prioritize areas for sustainable extraction studies. We provide the first detailed distribution maps for 12 commercially extracted medicinal plants in West Africa. We suggest an IUCN threat status for four forest species that were not previously assessed (Sphenocentrum jollyanum, Okoubaka aubrevillei, Entada gigas and Piper guineense), which have narrow distributions in West Africa and are extensively commercialized. As SDMs estimate the extent of suitable abiotic habitat conditions rather than population size per se, their output is of limited use to assess vulnerability for overharvesting of widely distributed species. Examples of such species are Khaya senegalensis and Securidaca longipedunculata, two trees that were reported by market vendors as becoming increasingly scarce in the wild. Field surveys should start in predicted suitable habitats closest to urban areas and main roads, as commercial extraction likely occurs at the shortest cost distance to the markets. Our study provides an example of applying SDMs to conservation assessments aiming to safeguard provisioning ecosystems. (C) 2014 Elsevier Ltd. All rights reserved.</t>
  </si>
  <si>
    <t>[van Andel, T. R.; Quiroz, D.; Towns, A. M.; Raes, N.] Nat Biodivers Ctr, NL-2300 RA Leiden, Netherlands; [Croft, S.; van Loon, E. E.] Univ Amsterdam, Inst Biodivers &amp; Ecosyst Dynam, NL-1090 GE Amsterdam, Netherlands; [Quiroz, D.] Wageningen Univ, Biosystemat Grp, NL-6700 AP Wageningen, Netherlands</t>
  </si>
  <si>
    <t>Naturalis Biodiversity Center; University of Amsterdam; Wageningen University &amp; Research</t>
  </si>
  <si>
    <t>van Andel, TR (corresponding author), Nat Biodivers Ctr, POB 9517, NL-2300 RA Leiden, Netherlands.</t>
  </si>
  <si>
    <t>van Andel, Tinde/A-7614-2011; Raes, Niels/A-9645-2011; van Loon, E Emiel/T-3858-2019</t>
  </si>
  <si>
    <t>Raes, Niels/0000-0002-4329-4892; Towns, Alexana/0000-0002-1886-9447; van Loon, E Emiel/0000-0002-8895-0427</t>
  </si>
  <si>
    <t>Netherlands Organization for Scientific Research (ALW-Vidi) [864.09.007]; NWO-ALW [819.01.014]</t>
  </si>
  <si>
    <t>Netherlands Organization for Scientific Research (ALW-Vidi)(Netherlands Organization for Scientific Research (NWO)); NWO-ALW(Netherlands Organization for Scientific Research (NWO))</t>
  </si>
  <si>
    <t>Financial support for this research was provided by the Netherlands Organization for Scientific Research (ALW-Vidi Grant Nr. 864.09.007) for TvA. NR was supported by NWO-ALW Grant 819.01.014.</t>
  </si>
  <si>
    <t>10.1016/j.biocon.2014.11.015</t>
  </si>
  <si>
    <t>CA2OK</t>
  </si>
  <si>
    <t>WOS:000348747300019</t>
  </si>
  <si>
    <t>Yumnam, B; Jhala, YV; Qureshi, Q; Maldonado, JE; Gopal, R; Saini, S; Srinivas, Y; Fleischer, RC</t>
  </si>
  <si>
    <t>Yumnam, Bibek; Jhala, Yadvendradev V.; Qureshi, Qamar; Maldonado, Jesus E.; Gopal, Rajesh; Saini, Swati; Srinivas, Y.; Fleischer, Robert C.</t>
  </si>
  <si>
    <t>Prioritizing Tiger Conservation through Landscape Genetics and Habitat Linkages</t>
  </si>
  <si>
    <t>EFFECTIVE POPULATION-SIZE; PANTHERA-TIGRIS; COMPUTER-PROGRAM; PATERNITY INFERENCE; RECENT MIGRATION; CIRCUIT-THEORY; F-STATISTICS; SOFTWARE; ECOLOGY; FLOW</t>
  </si>
  <si>
    <t>Even with global support for tiger (Panthera tigris) conservation their survival is threatened by poaching, habitat loss and isolation. Currently about 3,000 wild tigers persist in small fragmented populations within seven percent of their historic range. Identifying and securing habitat linkages that connect source populations for maintaining landscape-level gene flow is an important long-term conservation strategy for endangered carnivores. However, habitat corridors that link regional tiger populations are often lost to development projects due to lack of objective evidence on their importance. Here, we use individual based genetic analysis in combination with landscape permeability models to identify and prioritize movement corridors across seven tiger populations within the Central Indian Landscape. By using a panel of 11 microsatellites we identified 169 individual tigers from 587 scat and 17 tissue samples. We detected four genetic clusters within Central India with limited gene flow among three of them. Bayesian and likelihood analyses identified 17 tigers as having recent immigrant ancestry. Spatially explicit tiger occupancy obtained from extensive landscape-scale surveys across 76,913 km(2) of forest habitat was found to be only 21,290 km(2). After accounting for detection bias, the covariates that best explained tiger occupancy were large, remote, dense forest patches; large ungulate abundance, and low human footprint. We used tiger occupancy probability to parameterize habitat permeability for modeling habitat linkages using least-cost and circuit theory pathway analyses. Pairwise genetic differences (F-ST) between populations were better explained by modeled linkage costs (r&gt;0.5, p&lt;0.05) compared to Euclidean distances, which was in consonance with observed habitat fragmentation. The results of our study highlight that many corridors may still be functional as there is evidence of contemporary migration. Conservation efforts should provide legal status to corridors, use smart green infrastructure to mitigate development impacts, and restore habitats where connectivity has been lost.</t>
  </si>
  <si>
    <t>[Yumnam, Bibek; Jhala, Yadvendradev V.; Qureshi, Qamar; Saini, Swati; Srinivas, Y.] Wildlife Inst India, Dehra Dun 248001, Uttar Pradesh, India; [Maldonado, Jesus E.; Fleischer, Robert C.] Smithsonian Conservat Biol Inst, Natl Zool Pk, Washington, DC USA; [Maldonado, Jesus E.] Natl Museum Nat Hist, Smithsonian Inst, Dept Vertebrate Zool, Washington, DC 20560 USA; [Gopal, Rajesh] Natl Tiger Conservat Author, New Delhi 110011, India</t>
  </si>
  <si>
    <t>Wildlife Institute of India; Smithsonian Institution; Smithsonian National Zoological Park &amp; Conservation Biology Institute; Smithsonian Institution; Smithsonian National Museum of Natural History; National Tiger Conservation Authority, Government of India</t>
  </si>
  <si>
    <t>Jhala, YV (corresponding author), Wildlife Inst India, Dehra Dun 248001, Uttar Pradesh, India.</t>
  </si>
  <si>
    <t>jhalay@wii.gov.in</t>
  </si>
  <si>
    <t>; Maldonado, Jesus/AIE-8664-2022; Jhala, Yadvendradev/AAL-9711-2020</t>
  </si>
  <si>
    <t>Yellapu, Srinivas/0000-0002-5412-4717; Maldonado, Jesus/0000-0002-4282-1072; Yumnam, Bibek/0000-0002-5772-6617;</t>
  </si>
  <si>
    <t>National Tiger Conservation Authority; Fulbright Fellowship; Wildlife Institute of India</t>
  </si>
  <si>
    <t>National Tiger Conservation Authority(Ministry of Environment, Forest and Climate Change (MoEFCC), Government of IndiaNational Tiger Conservation Authority, Government of India); Fulbright Fellowship; Wildlife Institute of India</t>
  </si>
  <si>
    <t>Funding provided by the National Tiger Conservation Authority: YVJ QQ, Fulbright Fellowship: BY, Wildlife Institute of India: YVJ BY. The funders had no role in study design, data collection and analysis, decision to publish, or preparation of the manuscript.</t>
  </si>
  <si>
    <t>NOV 13</t>
  </si>
  <si>
    <t>e111207</t>
  </si>
  <si>
    <t>10.1371/journal.pone.0111207</t>
  </si>
  <si>
    <t>AY6YT</t>
  </si>
  <si>
    <t>WOS:000347709300012</t>
  </si>
  <si>
    <t>Yang, JX; Gong, J; Tang, WW</t>
  </si>
  <si>
    <t>Yang, Jianxin; Gong, Jian; Tang, Wenwu</t>
  </si>
  <si>
    <t>spatial prioritization; threats; biodiversity benefits; land use; spatial clustering</t>
  </si>
  <si>
    <t>LAND-USE; ECOSYSTEM SERVICES; HABITAT QUALITY; PROTECTED AREAS; CONSERVATION ACTIONS; MAXIMIZING RETURN; BIODIVERSITY; INVESTMENT; RESTORATION; MANAGEMENT</t>
  </si>
  <si>
    <t>Anthropogenic activities often lead to the degradation of valuable natural habitats. Many efforts have been taken to counteract this degradation process, including the mitigation of human-induced stressors. However, knowing-doing gaps exist in stakeholder's decision-making of prioritizing sites to allocate limited resources in these mitigation activities in both spatially aggregated and cost-effective manner. In this study, we present a spatially explicit prioritization framework that integrates basic cost effectiveness analysis (CEA) and spatial clustering statistics. The advantages of the proposed framework lie in its straightforward logic and ease of implementation to assist stakeholders in the identification of threat mitigation actions that are both spatially clumped and cost-effective using innovative prioritization indicators. We compared the utility of three local autocorrelation-based clustering statistics, including local Moran's I, Getis-Ord Gi*, and AMOEBA, in quantifying the spatial aggregation of identified sites under given budgets. It is our finding that the CEA method produced threat mitigation sites that are more cost-effective but are dispersed in space. Spatial clustering statistics could help identify spatially aggregated management sites with only minor loss in cost effectiveness. We concluded that integrating basic CEA with spatial clustering statistics provides stakeholders with straightforward and reliable information in prioritizing spatially clustered cost-effective actions for habitat threat mitigation.</t>
  </si>
  <si>
    <t>[Yang, Jianxin; Gong, Jian] China Univ Geosci Wuhan, Sch Publ Adm, Dept Land Resource Management, 388 Lumo Rd, Wuhan 430074, Hubei, Peoples R China; [Yang, Jianxin; Tang, Wenwu] Univ N Carolina, Ctr Appl Geog Informat Sci, Charlotte, NC 28223 USA; [Yang, Jianxin; Tang, Wenwu] Univ N Carolina, Dept Geog &amp; Earth Sci, Charlotte, NC 28223 USA; [Gong, Jian] Minist Land &amp; Resources China, Key Labs Law Evaluat, 388 Lumo Rd, Wuhan 430074, Hubei, Peoples R China</t>
  </si>
  <si>
    <t>China University of Geosciences; University of North Carolina; University of North Carolina Charlotte; University of North Carolina; University of North Carolina Charlotte; Ministry of Natural Resources of the People's Republic of China</t>
  </si>
  <si>
    <t>Yang, JX; Gong, J (corresponding author), China Univ Geosci Wuhan, Sch Publ Adm, Dept Land Resource Management, 388 Lumo Rd, Wuhan 430074, Hubei, Peoples R China.;Yang, JX (corresponding author), Univ N Carolina, Ctr Appl Geog Informat Sci, Charlotte, NC 28223 USA.;Yang, JX (corresponding author), Univ N Carolina, Dept Geog &amp; Earth Sci, Charlotte, NC 28223 USA.;Gong, J (corresponding author), Minist Land &amp; Resources China, Key Labs Law Evaluat, 388 Lumo Rd, Wuhan 430074, Hubei, Peoples R China.</t>
  </si>
  <si>
    <t>yangjianxinjian@163.com; gongjian@cug.edu.cn; wtang4@uncc.edu</t>
  </si>
  <si>
    <t>Yang, Jianxin/GWN-2014-2022; Tang, Wenwu/A-4143-2013</t>
  </si>
  <si>
    <t>Yang, Jianxin/0000-0002-5621-3596; Tang, Wenwu/0000-0001-7870-177X</t>
  </si>
  <si>
    <t>national social sciences founding project [14BJY057]; project of Cropland Quality Evaluation in Qinghai Province</t>
  </si>
  <si>
    <t>national social sciences founding project; project of Cropland Quality Evaluation in Qinghai Province</t>
  </si>
  <si>
    <t>This study was supported by the national social sciences founding project (14BJY057) and the project of Cropland Quality Evaluation in Qinghai Province.</t>
  </si>
  <si>
    <t>10.3390/su11051346</t>
  </si>
  <si>
    <t>HQ8GA</t>
  </si>
  <si>
    <t>WOS:000462661000130</t>
  </si>
  <si>
    <t>Russo, LF; Barrientos, R; Fabrizio, M; Di Febbraro, M; Loy, A</t>
  </si>
  <si>
    <t>Russo, Luca F.; Barrientos, Rafael; Fabrizio, Mauro; Di Febbraro, Mirko; Loy, Anna</t>
  </si>
  <si>
    <t>citizen science; Italy; Mustela putorius; prioritization; Road Ecology; road-kill; species distribution model</t>
  </si>
  <si>
    <t>POLECAT MUSTELA-PUTORIUS; EUROPEAN POLECAT; HABITAT USE; LOW-DENSITY; MORTALITY; MOVEMENT; CONSERVATION; PATTERNS; FEATURES; ECOLOGY</t>
  </si>
  <si>
    <t>Aim Roads impact wildlife in different ways, among which road mortality has been the most studied. Budgets in conservation biology are usually small, and macroecological approaches have been employed in recent years as the first steps towards guiding management. Carnivores are particularly vulnerable to mortality on roads due to their elevated ecological needs (low population density, often low fecundity and relatively large home ranges). Our aim was to develop a ranking methodology to prioritize specific areas for road-kill mitigation. Location Continental Italy. Methods We studied 271 occurrences of live polecats (Mustela putorius) and 212 polecat road-kill sites. We used the former to generate a species distribution model and the latter to identify the variables that determined the road-kill risk. Habitat suitability was derived from a spatial distribution model that combined the polecat occurrence data with a set of environmental variables. Prey availability was derived from the combination of suitability maps of 26 prey species. We used generalized linear modelling to identify the set of variables that best explained the occurrence of road-kills. The variables included in the best performing model were combined to produce the road risk map and to identify the areas with the highest densities of road sections with highest risk. Results Road-kills were positively associated with the road sections with higher broad-leaved forest coverage. The number of casualties was found to be higher than expected on the national and provincial roads and lower than expected on the local roads. Main conclusions This approach allowed us to identify the 10 x 10 km cells where mitigation actions to prevent road-kills should be prioritized. As mitigation actions (wildlife passage construction, fencing) are expensive, measures should be prioritized on the specific high-risk road sections inside these selected cells, avoiding generalized mitigation plans.</t>
  </si>
  <si>
    <t>[Russo, Luca F.; Fabrizio, Mauro; Di Febbraro, Mirko; Loy, Anna] Univ Molise, Dept Biosci &amp; Terr, Pesche, Italy; [Russo, Luca F.] Kayla Nat Srls, Naples, Italy; [Barrientos, Rafael] Univ Complutense Madrid, Dept Biodivers Ecol &amp; Evolut, Rd Ecol Lab, E-28040 Madrid, Spain; [Barrientos, Rafael] Univ Alcala, Dept Life Sci, Alcala De Henares, Spain</t>
  </si>
  <si>
    <t>University of Molise; Complutense University of Madrid; Universidad de Alcala</t>
  </si>
  <si>
    <t>Barrientos, R (corresponding author), Univ Complutense Madrid, Dept Biodivers Ecol &amp; Evolut, Rd Ecol Lab, E-28040 Madrid, Spain.</t>
  </si>
  <si>
    <t>rbarrientos@ucm.es</t>
  </si>
  <si>
    <t>; Di Febbraro, Mirko/GQA-4462-2022; Barrientos, Rafael/I-2102-2015; Russo, Luca Francesco/GZG-2316-2022</t>
  </si>
  <si>
    <t>Fabrizio, Mauro/0000-0002-7008-1315; Di Febbraro, Mirko/0000-0001-8898-7046; Barrientos, Rafael/0000-0002-1677-3214; LOY, Anna/0000-0002-8934-6694; Russo, Luca Francesco/0000-0003-4379-6160</t>
  </si>
  <si>
    <t>National Park of Cilento, Vallo di Diano and Alburni; Universidad de Alcala; Comunidad de Madrid [2018T1/AMB10374]</t>
  </si>
  <si>
    <t>National Park of Cilento, Vallo di Diano and Alburni; Universidad de Alcala; Comunidad de Madrid(Comunidad de Madrid)</t>
  </si>
  <si>
    <t>National Park of Cilento, Vallo di Diano and Alburni; Universidad de Alcala; Comunidad de Madrid, Grant/Award Number: 2018T1/AMB10374</t>
  </si>
  <si>
    <t>10.1111/ddi.13064</t>
  </si>
  <si>
    <t>MZ2GA</t>
  </si>
  <si>
    <t>Green Accepted, gold</t>
  </si>
  <si>
    <t>WOS:000543217700001</t>
  </si>
  <si>
    <t>Rogers, HM; Glew, L; Honzák, M; Hudson, MD</t>
  </si>
  <si>
    <t>Rogers, Heather M.; Glew, Louise; Honzak, Miroslav; Hudson, Malcolm D.</t>
  </si>
  <si>
    <t>Conservation planning; Aquatic ecosystem services; Geographic information systems; Key biodiversity areas; Madagascar; Protected areas; Socioeconomic factors</t>
  </si>
  <si>
    <t>CONSERVING BIODIVERSITY; PROTECTED AREAS; CONSERVATION; DEFORESTATION; LAND; EXTINCTION; DIVERSITY; HOTSPOTS; PARKS</t>
  </si>
  <si>
    <t>Establishment of protected area networks to protect species and habitats has been one of the most effective conservation tools used around the world. On this premise Madagascar is planning to triple its protected areas by 2012. Recent studies have addressed the design of this new network in order to optimize biodiversity conservation. However, given the limited time, available resources and looming imminent threats both to biodiversity and to ecosystem services, we argue that we need to prioritize this process by including human related factors. We developed a framework and three composite indices, incorporating human related threats, ecosystem services and biological measures, which we used to identify priorities within the developing protected area network of Madagascar. In particular, we examined data on human population, roads, agricultural suitability and fire prevalence, alongside measures of hydrological and biological importance. Sixteen key biodiversity sites, which were not formally gazetted in the first round of designation, emerged as especially important for both biodiversity and ecosystem services. Two of these unprotected sites contain endemic frog species under imminent threat of extinction. Six of the sites we highlighted were subject to high-human pressure, while we detected limited human activity in the other ten. Our framework is computationally straight-forward and applicable to other regions of the world, and could be applied alongside community and stakeholder consultation. (C) 2010 Elsevier B.V. All rights reserved.</t>
  </si>
  <si>
    <t>[Rogers, Heather M.; Glew, Louise; Hudson, Malcolm D.] Univ Southampton, Sch Civil Engn &amp; Environm, Southampton SO17 1BJ, Hants, England; [Honzak, Miroslav] Conservat Int, CABS, Arlington, VA 22202 USA</t>
  </si>
  <si>
    <t>University of Southampton; Conservation International</t>
  </si>
  <si>
    <t>Hudson, MD (corresponding author), Univ Southampton, Sch Civil Engn &amp; Environm, Southampton SO17 1BJ, Hants, England.</t>
  </si>
  <si>
    <t>mdh@soton.ac.uk</t>
  </si>
  <si>
    <t>MAY 15</t>
  </si>
  <si>
    <t>10.1016/j.landurbplan.2010.02.002</t>
  </si>
  <si>
    <t>598CA</t>
  </si>
  <si>
    <t>WOS:000277808700005</t>
  </si>
  <si>
    <t>Petrossian, GA</t>
  </si>
  <si>
    <t>Petrossian, Gohar A.</t>
  </si>
  <si>
    <t>IUU fishing; Marine conservation; Situational crime prevention; Rational choice theory; Geographically weighted regression</t>
  </si>
  <si>
    <t>MORTALITY; PARROTS; TESTS</t>
  </si>
  <si>
    <t>Illegal, unreported and unregulated (IUU) fishing is a significant problem that affects the marine ecosystem and those who depend on it for survival. Research and theory in criminology can shed light on the problem and suggest policy instruments to reduce IUU fishing. Informed by rational choice theory and situational crime prevention framework, this study examines the relationship between local situational factors and illegal fishing in 53 countries. Results suggest that a country's risk of illegal fishing is positively related to the number of commercially significant species found within its territorial waters and its proximity to known ports of convenience. Countries that exercise effective fisheries management and have strong patrol surveillance capacity experience less illegal fishing activity within their territorial waters. The presence of legally fishing vessels does not deter illegal fishing activity. These findings demonstrate the utility of thinking about illegal fishing through the lens of criminology, which is equipped with practical tools to address the problem. Findings suggest a dialogue between criminologists and conservationists to work together to address similar problems affecting the environment. (C) 2014 Elsevier Ltd. All rights reserved.</t>
  </si>
  <si>
    <t>CUNY John Jay Coll Criminal Justice, Dept Criminal Justice, New York, NY 10019 USA</t>
  </si>
  <si>
    <t>City University of New York (CUNY) System; John Jay College of Criminal Justice (CUNY)</t>
  </si>
  <si>
    <t>Petrossian, GA (corresponding author), CUNY John Jay Coll Criminal Justice, Dept Criminal Justice, North Hall 2114,524 West 59th St, New York, NY 10019 USA.</t>
  </si>
  <si>
    <t>gpetrossian@jjay.cuny.edu</t>
  </si>
  <si>
    <t>10.1016/j.biocon.2014.09.005</t>
  </si>
  <si>
    <t>CO2FR</t>
  </si>
  <si>
    <t>WOS:000358972100006</t>
  </si>
  <si>
    <t>Schinegger, R; Trautwein, C; Schmutz, S</t>
  </si>
  <si>
    <t>Schinegger, Rafaela; Trautwein, Clemens; Schmutz, Stefan</t>
  </si>
  <si>
    <t>LIMNOLOGICA</t>
  </si>
  <si>
    <t>Fish metrics; Water Framework Directive; Multiple pressures; River types</t>
  </si>
  <si>
    <t>SPATIALLY BASED METHODS; BIOTIC INTEGRITY; ECOLOGICAL STATUS; RIVER HEALTH; INDEX; COMMUNITIES; INDICATORS; SCALE; PERTURBATION; ECOSYSTEMS</t>
  </si>
  <si>
    <t>We classified homogenous river types across Europe and searched for fish metrics qualified to show responsds to specific pressures (hydromorphological pressures or water quality pressures) vs. multiple pressures in these river types. We analysed fish taxa lists from 3105 sites in 16 ecoregions and 14 countries. Sites were pre-classified for 15 selected pressures to separate unimpacted from impacted sites. Hierarchical cluster analysis was used to split unimpacted sites into four homogenous river types based on species composition and geographical location. Classification trees were employed to predict associated river types for impacted sites with four environmental variables. We defined a set of 129 candidate fish metrics to select the best reacting metrics for each river type. The candidate metrics represented tolerances/intolerances of species associated with six metric types: habitat, migration, water quality sensitivity, reproduction, trophic level and biodiversity. The results showed that 17 uncorrelated metrics reacted to pressures in the four river types. Metrics responded specifically to water quality pressures and hydromorphological pressures in three river types and to multiple pressures in all river types. Four metrics associated with water quality sensitivity showed a significant reaction in up to three river types, whereas 13 metrics were specific to individual river types. Our results contribute to the better understanding of fish assemblage response to human pressures at a pan-European scale. The results are especially important for European river management and restoration, as it is necessary to uncover underlying processes and effects of human pressures on aquatic communities. (C) 2013 Elsevier GmbH. All rights reserved.</t>
  </si>
  <si>
    <t>[Schinegger, Rafaela; Trautwein, Clemens; Schmutz, Stefan] Univ Nat Resources &amp; Life Sci, BOKU, Inst Hydrobiol &amp; Aquat Ecosyst Management, Dept Water Atmosphere &amp; Environm, Vienna, Austria</t>
  </si>
  <si>
    <t>BOKU University</t>
  </si>
  <si>
    <t>Schinegger, R (corresponding author), Max Emanuel Str 17, A-1180 Vienna, Austria.</t>
  </si>
  <si>
    <t>rafaela.schinegger@boku.ac.at</t>
  </si>
  <si>
    <t>Schinegger, Rafaela/I-3556-2014</t>
  </si>
  <si>
    <t>Schinegger, Rafaela/0000-0001-9374-5551; Schmutz, Stefan/0000-0002-3013-0450; Trautwein, Clemens/0000-0002-9483-1723</t>
  </si>
  <si>
    <t>Austrian Science Fund (FWF, research project LANPREF) [P 21735-B16]; EFI+ project [044096]; Austrian Science Fund (FWF) [P 21735] Funding Source: researchfish</t>
  </si>
  <si>
    <t>Austrian Science Fund (FWF, research project LANPREF)(Austrian Science Fund (FWF)); EFI+ project; Austrian Science Fund (FWF)(Austrian Science Fund (FWF))</t>
  </si>
  <si>
    <t>This work was funded by the Austrian Science Fund (FWF, research project LANPREF, contract number P 21735-B16) and partly by the EFI+ project (Contract number 044096, 6th Framework programme). Special thanks are due to all partners and contributing institutions in Europe that provided data for the EFI+ project. Sincere thanks are also given to Elizabeth Ashley Steel and Andreas Melcher for their helpful comments on the analyses and the manuscript. In addition, Erwin Lautsch and Friedrich Leisch provided helpful statistical advice and two anonymous reviewers valuable comments.</t>
  </si>
  <si>
    <t>0075-9511</t>
  </si>
  <si>
    <t>1873-5851</t>
  </si>
  <si>
    <t>10.1016/j.limno.2013.05.008</t>
  </si>
  <si>
    <t>Limnology</t>
  </si>
  <si>
    <t>199SQ</t>
  </si>
  <si>
    <t>WOS:000323016200005</t>
  </si>
  <si>
    <t>Ferrarini, A; Celada, C; Gustin, M</t>
  </si>
  <si>
    <t>Ferrarini, Alessandro; Celada, Claudio; Gustin, Marco</t>
  </si>
  <si>
    <t>Avifauna; Climate change; Human impact; Sea level rise; Stopover sites; Water shortage</t>
  </si>
  <si>
    <t>WATERBIRD; EVAPOTRANSPIRATION; RESTORATION; COMMUNITY; TOURISM</t>
  </si>
  <si>
    <t>Wetlands provide a wide range of ecosystem services, including supplying the food and shelter for a rich assemblage ofwaterbirds and providing the stopover sites that allowbirds tomakemigratory journeys. Human impact and the ongoing climate change are however reducing the ability of wetlands to provide such important services. Through field surveys, GIS analyses and climate projections, we assessed the status of, and threats to, 38 largest wetlands belonging to the Mediterranean bird flyways in Sardinia and Sicily (Italy). We then combined ten decision criteria about avifaunal diversity and human/climate threats in order to prioritize the studied wetlands from most to least worthy of urgent interventions. Results showed that the main wetlands of these two regions have distinct demands with regard to the kind of actions required, going fromthe mitigation of tourismpressure to the prevention of climate-inducedwater shortage in summer. Furthermore, clear priorities for interventions emerged in both regions. Our study has direct implications for managers and researchers attempting to assess wetland conditions and set conservation priorities, thus offering a tool for deciding urgent interventions on themain stopover sites along the Mediterranean bird flyways. (C) 2020 Elsevier B.V. All rights reserved.</t>
  </si>
  <si>
    <t>[Ferrarini, Alessandro; Celada, Claudio; Gustin, Marco] Lipu Birdlife Italy, Via Udine 3-a, I-43122 Parma, Italy</t>
  </si>
  <si>
    <t>Ferrarini, A (corresponding author), Lipu Birdlife Italy, Via Udine 3-a, I-43122 Parma, Italy.</t>
  </si>
  <si>
    <t>sgtpm@libero.it</t>
  </si>
  <si>
    <t>Ferrarini, Alessano/0000-0001-6290-1988</t>
  </si>
  <si>
    <t>MAVA Foundation</t>
  </si>
  <si>
    <t>MAVA Foundation(ACEV Foundation)</t>
  </si>
  <si>
    <t>This study was supported by the Mediterranean Mosaics II project funded by the MAVA Foundation for the period 2016-2019. We are grateful to all the people involved in the field surveys: Andrea Corso (Sicily), Sergio Nissardi, Carla Zucca, Fabio Cherchi, Davide De Rosa, Ilaria Fozzi, Walter Piras, Jessica Atzori, Lara Bassu (Sardinia). We also acknowledge the helpful comments and suggestions provided by two anonymous reviewers.</t>
  </si>
  <si>
    <t>JAN 10</t>
  </si>
  <si>
    <t>10.1016/j.scitotenv.2020.141556</t>
  </si>
  <si>
    <t>OO3RT</t>
  </si>
  <si>
    <t>WOS:000587300800017</t>
  </si>
  <si>
    <t>Garcês, A; Pires, I; Pacheco, FAL; Fernandes, LFS; Soeiro, V; Lóio, S; Prada, J; Cortes, R; Queiroga, FL</t>
  </si>
  <si>
    <t>Garces, Andreia; Pires, Isabel; Pacheco, Fernando A. L.; Sanches Fernandes, Luis F.; Soeiro, Vanessa; Loio, Sara; Prada, Justina; Cortes, Rui; Queiroga, Felisbina L.</t>
  </si>
  <si>
    <t>Anthropogenic pressures; Mortality; North of Portugal; Partial least squares-path modelling; Wild birds</t>
  </si>
  <si>
    <t>RAPTORIAL BIRDS; MORTALITY; MORBIDITY; WATERSHEDS; COLLISIONS; SEM</t>
  </si>
  <si>
    <t>In this study we aim to obtain a holistic view over the consequences of human-induced threats to the wild bird populations in the study area, based on data collected from a Wildlife Rehabilitation Centre (WRC) through the method of Partial Least Squares-Path Modelling (PLS-PM). The study area comprised 76 rural and urban municipalities located in northern Portugal. Within PLS-PM the threats (anthropogenic pressures) are termed exogenous latent variables, while the final environmental consequence (wild bird mortality) is termed endogenous latent variable. Latent variables are concepts assessed by numerical parameters. The PLS-PM results identified as most significant pressures, the number of small and medium companies in the municipalities, both in traumatic and non-traumatic deaths. Although the pattern of weights is similar regardless of the general cause of death, traumatic causes seem to play a more prominent role given the larger weights in the relevant specific causes (number of companies). The high coefficients of determination (R-2 &gt; 0,8) reveal that the variance of wild bird mortality is largely explained by the variance of the pressures, which indicates a cause-effect relationship between the independent (pressures) and dependent (mortality) variables. The ample coverage of northern Portugal with a huge dataset suggests that this cause-effect relationship is typical from this region. The use of a sophisticated statistical method PLS-PM and its incorporation into a Geographic Information System(GIS) revealed to be an important tool for analysing wildlife impacts of environmental and human factors. The results obtained with this model indicate that there is a substantial negative impact of human activity on wild bird mortality. (C) 2018 Elsevier B.V. All rights reserved.</t>
  </si>
  <si>
    <t>[Garces, Andreia; Sanches Fernandes, Luis F.; Cortes, Rui; Queiroga, Felisbina L.] Univ Tras Os Montes &amp; Alto Douro, Ctr Res &amp; Technol Agroenvironm &amp; Biol Sci, Vila Real, Portugal; [Pires, Isabel; Prada, Justina; Queiroga, Felisbina L.] Univ Tras Os Montes &amp; Alto Douro, Dept Vet Sci, Vila Real, Portugal; [Pires, Isabel; Prada, Justina] Univ Tras Os Montes &amp; Alto Douro, CECAV, Vila Real, Portugal; [Pacheco, Fernando A. L.] Univ Tras Os Montes &amp; Alto Douro, Chem Res Ctr, Vila Real, Portugal; [Soeiro, Vanessa; Loio, Sara] Wildlife Rehabil Ctr, Parque Biol Gaia, R Cunha, Avintes, Portugal</t>
  </si>
  <si>
    <t>University of Tras-os-Montes &amp; Alto Douro; University of Tras-os-Montes &amp; Alto Douro; University of Tras-os-Montes &amp; Alto Douro; University of Tras-os-Montes &amp; Alto Douro</t>
  </si>
  <si>
    <t>Queiroga, FL (corresponding author), Univ Tras Os Montes &amp; Alto Douro, CITAB, Vila Real, Portugal.</t>
  </si>
  <si>
    <t>fqueirog@utad.pt</t>
  </si>
  <si>
    <t>Prada, Justina/Q-5200-2019; Garcês, Aneia/AAR-2058-2020; Cortes, Rui/K-1896-2013; Pacheco, Fernando/H-6400-2013; Sanches Fernandes, Luís Filipe/J-7441-2013; Queiroga, Felisbina/L-5169-2013; Pires, Isabel/K-6513-2014</t>
  </si>
  <si>
    <t>Prada, Justina/0000-0002-3902-5374; Garcês, Aneia/0000-0001-7940-3141; Pacheco, Fernando/0000-0002-2399-5261; Sanches Fernandes, Luís Filipe/0000-0002-9486-7160; Queiroga, Felisbina/0000-0001-6130-8381; Pires, Isabel/0000-0001-6330-4560; Soeiro, Vanessa/0000-0002-7502-1346</t>
  </si>
  <si>
    <t>INTERACT project - Integrated Research in Environment, Agro-Chain and Technology [NORTE-01-0145-FEDER-000017]; European Regional Development Fund (ERDF) through NORTE 2020 (North Regional Operational Program 2014/2020) [NORTE-01-0145-FEDER-000017]; Portuguese Foundation for Science and Technology (FCT) [UID/AGR/04033/2013]</t>
  </si>
  <si>
    <t>INTERACT project - Integrated Research in Environment, Agro-Chain and Technology; European Regional Development Fund (ERDF) through NORTE 2020 (North Regional Operational Program 2014/2020)(European Union (EU)Marie Curie Actions); Portuguese Foundation for Science and Technology (FCT)(Fundacao para a Ciencia e a Tecnologia (FCT))</t>
  </si>
  <si>
    <t>This research was funded by the INTERACT project -Integrated Research in Environment, Agro-Chain and Technology, no. NORTE-01-0145-FEDER-000017, in its line of research entitled BEST -Bioeconomy and Sustainability, co-financed by the European Regional Development Fund (ERDF) (NORTE-01-0145-FEDER-000017) through NORTE 2020 (North Regional Operational Program 2014/2020). Moreover, this study was also supported by the Research Project UID/AGR/04033/2013 financed by the Portuguese Foundation for Science and Technology (FCT).</t>
  </si>
  <si>
    <t>FEB 10</t>
  </si>
  <si>
    <t>10.1016/j.scitotenv.2018.10.022</t>
  </si>
  <si>
    <t>GX6LB</t>
  </si>
  <si>
    <t>WOS:000447871400127</t>
  </si>
  <si>
    <t>Gonzalez-Quevedo, C; Davies, RG; Richardson, DS</t>
  </si>
  <si>
    <t>Gonzalez-Quevedo, Catalina; Davies, Richard G.; Richardson, David S.</t>
  </si>
  <si>
    <t>Predictors of malaria infection in a wild bird population: landscape-level analyses reveal climatic and anthropogenic factors</t>
  </si>
  <si>
    <t>Avian malaria; Berthelot's pipit; environmental predictors; generalized linear models; model selection</t>
  </si>
  <si>
    <t>AVIAN BLOOD PARASITES; EVOLUTIONARY RELATIONSHIPS; GENETIC-CHARACTERIZATION; MODEL SELECTION; PLASMODIUM; ECOLOGY; RISK; TRANSMISSION; PREVALENCE; TOPOGRAPHY</t>
  </si>
  <si>
    <t>1. How the environment influences the transmission and prevalence of disease in a population of hosts is a key aspect of disease ecology. The role that environmental factors play in host-pathogen systems has been well studied at large scales, that is, differences in pathogen pressures among separate populations of hosts or across land masses. However, despite considerable understanding of how environmental conditions vary at fine spatial scales, the effect of these parameters on host-pathogen dynamics at such scales has been largely overlooked. 2. Here, we used a combination of molecular screening and GIS-based analysis to investigate how environmental factors determine the distribution of malaria across the landscape in a population of Berthelot's pipit (Anthus berthelotii, Bolle 1862) on the island of Tenerife (Canary Islands, Spain) using spatially explicit models that account for spatial autocorrelation. 3. Minimum temperature of the coldest month was found to be the most important predictor of malaria infection at the landscape scale across this population. Additionally, anthropogenic factors such as distance to artificial water reservoirs and distance to poultry farms were important predictors of malaria. A model including these factors, and the interaction between distance to artificial water reservoirs and minimum temperature, best explained the distribution of malaria infection in this system. 4. These results suggest that levels of malaria infection in this endemic species may be artificially elevated by the impact of humans. 5. Studies such as the one described here improve our understanding of how environmental factors, and their heterogeneity, affect the distribution of pathogens within wild populations. The results demonstrate the importance of measuring fine-scale variation - and not just regional effects - to understand how environmental variation can influence wildlife diseases. Such understanding is important for predicting the future spread and impact of disease and may help inform disease management programmes as well as the conservation of specific host species.</t>
  </si>
  <si>
    <t>[Gonzalez-Quevedo, Catalina; Davies, Richard G.; Richardson, David S.] Univ E Anglia, Sch Biol Sci, Norwich NR4 7TJ, Norfolk, England</t>
  </si>
  <si>
    <t>University of East Anglia</t>
  </si>
  <si>
    <t>Gonzalez-Quevedo, C (corresponding author), Univ E Anglia, Sch Biol Sci, Norwich Res Pk, Norwich NR4 7TJ, Norfolk, England.</t>
  </si>
  <si>
    <t>c.gonzalez-quevedo@uea.ac.uk</t>
  </si>
  <si>
    <t>Richardson, David/A-5082-2010; Davies, Richard/H-7447-2019</t>
  </si>
  <si>
    <t>Richardson, David/0000-0001-7226-9074; Davies, Richard/0000-0002-0145-0818</t>
  </si>
  <si>
    <t>Colciencias; School of Biological Sciences of the University of East Anglia; John and Pamela Salter Trust</t>
  </si>
  <si>
    <t>Colciencias(Departamento Administrativo de Ciencia, Tecnologia e Innovacion Colciencias); School of Biological Sciences of the University of East Anglia; John and Pamela Salter Trust</t>
  </si>
  <si>
    <t>The research was funded by a PhD grant to CGQ from Colciencias and by the School of Biological Sciences of the University of East Anglia. Fieldwork was partly funded by the John and Pamela Salter Trust. We would like to thank the Spanish government for providing the permits to work in Tenerife; H. Bellman, J.C. Illera, D. Padilla, L. Spurgin and K. Phillips for field assistance and J.C. Illera, I. Melo, J.M. Ochoa and L. Spurgin and two anonymous reviewers for comments on the manuscript. None of the co-authors have declared a conflict of interest.</t>
  </si>
  <si>
    <t>10.1111/1365-2656.12214</t>
  </si>
  <si>
    <t>AN8TP</t>
  </si>
  <si>
    <t>WOS:000340877700010</t>
  </si>
  <si>
    <t>Garrote, G; Fernández-López, J; López, G; Ruiz, G; Simón, MA</t>
  </si>
  <si>
    <t>Garrote, G.; Fernandez-Lopez, J.; Lopez, G.; Ruiz, G.; Simon, M. A.</t>
  </si>
  <si>
    <t>ANIMAL BIODIVERSITY AND CONSERVATION</t>
  </si>
  <si>
    <t>Road mortality; Iberian lynx; MaxEnt; Linear data</t>
  </si>
  <si>
    <t>DISTRIBUTION MODELS; CONSERVATION; VEHICLE; PERFORMANCE; PATTERNS; FAUNA</t>
  </si>
  <si>
    <t>Prediction of Iberian lynx road-mortality in southern Spain: a new approach using the MaxEnt algorithm. In recent years, the Iberian lynx (Lynx pardinus) has experienced a significant increase in the size of its population and in its distribution. The species currently occupies areas in which it had been extinct for decades and new road mortality black spots have been identified. Its conservation requires an intensive risk assessment of road-deaths in potential future distribution areas. Using the MaxEnt algorithm we aimed to identify the roads where there is a greater risk of road collision for the Iberian lynx. More than 1,150 stretches of road were evaluated in Andalusia (southern Spain). Both road-related and habitat variables were included in the model. A total of 1,395 km of the 7,384 km evaluated (18.9 %) were classified as high risk road. Our results could help plan future conservation strategies. To our knowledge, this is the first time that the MaxEnt algorithm has been used to provide spatially-explicit predictions about wildlife road mortality.</t>
  </si>
  <si>
    <t>[Garrote, G.; Lopez, G.; Ruiz, G.] Agencia Medio Ambiente &amp; Agua Andalucia, C Johan Gutenberg S-N, Seville 41092, Spain; [Fernandez-Lopez, J.] CSIC, Real Jardin Bot Madrid, Plaza Murillo 2, E-28014 Madrid, Spain; [Fernandez-Lopez, J.] Univ Complutense Madrid, Dept Zool &amp; Antropol Fis, Fac Ciencias Biol, E-28040 Madrid, Spain; [Simon, M. A.] Consejeria Medio Ambiente Junta Andalucia, C Doctor Eduardo Garcia Trivino Lopez 15, Jaen 23009, Spain</t>
  </si>
  <si>
    <t>Consejo Superior de Investigaciones Cientificas (CSIC); CSIC - Real Jardin Botanico de Madrid; Complutense University of Madrid</t>
  </si>
  <si>
    <t>Garrote, G (corresponding author), Agencia Medio Ambiente &amp; Agua Andalucia, C Johan Gutenberg S-N, Seville 41092, Spain.</t>
  </si>
  <si>
    <t>gergarrote@gmail.com</t>
  </si>
  <si>
    <t>Fernández-López, Javier/AAU-7282-2020</t>
  </si>
  <si>
    <t>Fernández-López, Javier/0000-0003-4352-0252</t>
  </si>
  <si>
    <t>LIFE Porject 'Recovery of the historical distribution of the Iberian lynx (Lynx pardinus) in Spain and Portugal' [10NAT/ES/570]</t>
  </si>
  <si>
    <t>LIFE Porject 'Recovery of the historical distribution of the Iberian lynx (Lynx pardinus) in Spain and Portugal'</t>
  </si>
  <si>
    <t>The study was supported by the LIFE Project 10NAT/ES/570 'Recovery of the historical distribution of the Iberian lynx (Lynx pardinus) in Spain and Portugal'. We thank all the staff of the LIFE projects involved in collecting road-kill data and the two anonymous reviewers for their constructive comments.</t>
  </si>
  <si>
    <t>MUSEU DE CIENCIES NATURALS-ZOOLOGIA</t>
  </si>
  <si>
    <t>BARCELONA</t>
  </si>
  <si>
    <t>PASSEIG PICASSO S-N, PARC CIUTADELLA, BARCELONA, E-08003, SPAIN</t>
  </si>
  <si>
    <t>1578-665X</t>
  </si>
  <si>
    <t>2014-928X</t>
  </si>
  <si>
    <t>ANIM BIODIV CONSERV</t>
  </si>
  <si>
    <t>Anim. Biodivers. Conserv.</t>
  </si>
  <si>
    <t>10.32800/abc.2018.41.0217</t>
  </si>
  <si>
    <t>FV8VP</t>
  </si>
  <si>
    <t>WOS:000424865600003</t>
  </si>
  <si>
    <t>Iacona, G; Price, FD; Armsworth, PR</t>
  </si>
  <si>
    <t>Iacona, Gwenllian; Price, Franklin D.; Armsworth, Paul R.</t>
  </si>
  <si>
    <t>Conservation costs; Imperata cylindrica; Schinus terebinthtfolius; Ludwigia peruviana; Lygodium microphyllum; Urena lobata</t>
  </si>
  <si>
    <t>LAND-USE; ALIEN; RICHNESS; HABITAT; ECOSYSTEMS; COGONGRASS; DISTANCE; CLIMATE; COSTS</t>
  </si>
  <si>
    <t>Invasive species are a management concern on protected areas worldwide. Conservation managers need to predict infestations of invasive plants they aim to treat if they want to plan for long term management. Many studies predict the presence of invasive species, but predictions of cover are more relevant for management. Here we examined how predictors of invasive plant presence and cover differ across species that vary in their management priority. To do so, we used data on management effort and cover of invasive plant species on central Florida protected areas. Using a zero-inflated multiple regression framework, we showed that protected area features can predict the presence and cover of the focal species but the same features rarely explain both. There were several predictors of either presence or cover that were important across multiple species. Protected areas with three days of frost per year or fewer were more likely to have occurrences of four of the six focal species. When invasive plants were present, their proportional cover was greater on small preserves for all species, and varied with surrounding household density for three species. None of the predictive features were clearly related to whether species were prioritized for management or not. Our results suggest that predictors of cover and presence can differ both within and across species but do not covary with management priority. We conclude that conservation managers need to select predictors of invasion with care as species identity can determine the relationship between predictors of presence and the more management relevant predictors of cover. (c) 2015 Elsevier Ltd. All rights reserved.</t>
  </si>
  <si>
    <t>[Iacona, Gwenllian; Armsworth, Paul R.] Univ Tennessee, Ecol &amp; Evolutionary Biol, Knoxville, TN 37996 USA; [Price, Franklin D.] Florida Nat Areas Inventory, Tallahassee, FL 32303 USA</t>
  </si>
  <si>
    <t>University of Tennessee System; University of Tennessee Knoxville; State University System of Florida; Florida State University</t>
  </si>
  <si>
    <t>Iacona, G (corresponding author), Univ Queensland, Ctr Excellence Environm Decis, Room 523,Goddard Bldg 8, St Lucia, Qld 4072, Australia.</t>
  </si>
  <si>
    <t>gdiacona@gmail.com; fprice@admin.fsu.edu; p.armsworth@utk.edu</t>
  </si>
  <si>
    <t>; Iacona, Gwenllian/G-6567-2016</t>
  </si>
  <si>
    <t>Price, Frank/0000-0002-9006-9014; Arworth, Paul/0000-0003-0918-0573; Iacona, Gwenllian/0000-0002-7408-3895</t>
  </si>
  <si>
    <t>National Institute for Mathematical and Biological Synthesis - National Science Foundation; U.S. Department of Homeland Security; U.S. Department of Agriculture through NSF [EF-0832858]; UTK department of Ecology and Evolutionary Biology; ARC Centre of Excellence for Environmental Decisions; Div Of Biological Infrastructure; Direct For Biological Sciences [1300426] Funding Source: National Science Foundation</t>
  </si>
  <si>
    <t>National Institute for Mathematical and Biological Synthesis - National Science Foundation(National Science Foundation (NSF)); U.S. Department of Homeland Security(United States Department of Homeland Security (DHS)); U.S. Department of Agriculture through NSF(National Science Foundation (NSF)); UTK department of Ecology and Evolutionary Biology; ARC Centre of Excellence for Environmental Decisions(Australian Research Council); Div Of Biological Infrastructure; Direct For Biological Sciences(National Science Foundation (NSF)NSF - Directorate for Biological Sciences (BIO))</t>
  </si>
  <si>
    <t>We would like to thank R. Cleary at FWC for data, and T. Martin at CSIRO for statistical assistance. GI was supported by the National Institute for Mathematical and Biological Synthesis, an institute sponsored by the National Science Foundation, the U.S. Department of Homeland Security, and the U.S. Department of Agriculture through NSF Award #EF-0832858, with additional support from UTK department of Ecology and Evolutionary Biology and the ARC Centre of Excellence for Environmental Decisions. We are also grateful to members of the Armsworth lab, S. Wiggers, S. Kuebbing, D. Simberloff, L. Gross, D. Hodges, and several anonymous reviewers for helpful comments on earlier versions of this manuscript.</t>
  </si>
  <si>
    <t>JAN 15</t>
  </si>
  <si>
    <t>10.1016/j.jenvman.2015.10.052</t>
  </si>
  <si>
    <t>DA4GD</t>
  </si>
  <si>
    <t>WOS:000367757200056</t>
  </si>
  <si>
    <t>Moraes, AM; Vancine, MH; Moraes, AM; Cordeiro, CLD; Pinto, MP; Lima, AA; Culot, L; Silva, TSF; Collevatti, RG; Ribeiro, MC; Sobral-Souza, T</t>
  </si>
  <si>
    <t>Moraes, Andreia Magro; Vancine, Mauricio Humberto; Moraes, Andreza Magro; de Oliveira Cordeiro, Carlos Leandro; Pinto, Miriam Plaza; Lima, Adriana Almeida; Culot, Laurence; Freire Silva, Thiago Sanna; Collevatti, Rosane Garcia; Ribeiro, Milton Cezar; Sobral-Souza, Thadeu</t>
  </si>
  <si>
    <t>Biological invasion; Habitat suitability; Hybridization risk; Primate conservation; Species distribution model</t>
  </si>
  <si>
    <t>GOLDEN LION TAMARINS; CALLITHRIX-PENICILLATA; ATLANTIC FOREST; LEONTOPITHECUS-ROSALIA; CALLITRICHIDAE; CONSERVATION; PRIMATES; DISTRIBUTIONS; STATE; POPULATIONS</t>
  </si>
  <si>
    <t>The human-induced introductions of marmoset species (Callithrix genus) threaten the native species persistence within Brazilian biodiversity hotspots. Invasive marmosets can hybridize with native congeners reducing the genetic integrity on native populations. However, no study quantified the spatial extent of these invasions and which species can be impacted by a hybridization process. Here, we predicted the range expansion and hence the potential geographic overlap between Callithrix species, particularly in Atlantic Forest and Cerrado, to discuss management strategies. We hypothesized that marmosets endemic to the Atlantic Forest are more threatened by invasive congeners than other marmosets. We generated species distribution models for six Callithrix species using four algorithms, six environmental layers and 445 georeferenced localities extracted from literature published since 2000. Suitability maps for each species were binarized using a 20-percentile threshold and overlapped to predict invasion and quantify hybridization potential risks. All Callithrix species had potential to expand their range within the Atlantic Forest although suitable habitats for C. flaviceps and C. kuhlii were more limited. C. jacchus and C. penicillata have already expanded their range to different biomes and our model shows that they can spread even further. The potential hybridization zones were identified within the distribution range of all species, and more markedly within Atlantic Forest species ranges. For assuring the ecosystem equilibriums, we urge to prevent the biological invasions and to control the human-induced Callithrix introductions and expansions within Neotropical hotspots. (c) 2019 The Authors. Published by Elsevier B.V. This is an open access article under the CC BY-NC-ND license (http://creativecommons.org/licenses/by-nc-nd/4.0/).</t>
  </si>
  <si>
    <t>[Moraes, Andreia Magro; Ribeiro, Milton Cezar] Univ Estadual Paulista UNESP, Inst Biociencias, Dept Ecol, Lab Ecol Espacial &amp; Conservacao, BR-13506900 Rio Claro, SP, Brazil; [Vancine, Mauricio Humberto] Univ Estadual Paulista UNESP, Inst Biociencias, Dept Ecol, Lab Anal &amp; Sintese Biodiversidade, BR-13506900 Rio Claro, SP, Brazil; [Moraes, Andreza Magro] Univ Fed Juiz de Fora, Inst Ciencias Biol, Programa Pos Grad Ecol, BR-36036900 Juiz de Fora, MG, Brazil; [de Oliveira Cordeiro, Carlos Leandro] Inst Int Sustentabilidade, BR-22460320 Rio De Janeiro, RJ, Brazil; [de Oliveira Cordeiro, Carlos Leandro; Freire Silva, Thiago Sanna] Univ Estadual Paulista UNESP, Inst Geociencias &amp; Ciencias Exatas, Ecosyst Dynam Observ, Campus Rio Claro, BR-13506900 Rio Claro, SP, Brazil; [Pinto, Miriam Plaza; Lima, Adriana Almeida] Univ Fed Rio Grande do Norte UFRN, Ctr Biociencias, Dept Ecol, Programa Posgrad Ecol, BR-59072970 Natal, RN, Brazil; [Culot, Laurence] Univ Estadual Paulista UNESP, Inst Biociencias, Lab Primatol, BR-13506900 Rio Claro, SP, Brazil; [Collevatti, Rosane Garcia] Univ Fed Goias, Lab Genet &amp; Biodiversidade, ICB, BR-74001970 Goiania, Go, Brazil; [Sobral-Souza, Thadeu] Univ Fed Mato Grosso, Dept Bot &amp; Ecol, BR-78060900 Cuiaba, MT, Brazil</t>
  </si>
  <si>
    <t>Universidade Estadual Paulista; Universidade Estadual Paulista; Universidade Federal de Juiz de Fora; Universidade Estadual Paulista; Universidade Federal do Rio Grande do Norte; Universidade Estadual Paulista; Universidade Federal de Goias; Universidade Federal de Mato Grosso</t>
  </si>
  <si>
    <t>Moraes, AM (corresponding author), Univ Estadual Paulista UNESP, Inst Biociencias, Dept Ecol, Lab Ecol Espacial &amp; Conservacao, BR-13506900 Rio Claro, SP, Brazil.;Sobral-Souza, T (corresponding author), Univ Fed Mato Grosso, Dept Bot &amp; Ecol, BR-78060900 Cuiaba, MT, Brazil.</t>
  </si>
  <si>
    <t>andreia_magro@hotmail.com; thadeusobral@gmail.com</t>
  </si>
  <si>
    <t>Collevatti, Rosane/D-8673-2013; Silva, Thiago/A-2444-2009; Pinto, Miriam/B-8000-2013; Culot, Laurence/H-9120-2012; Vancine, Maurício Humberto/F-7305-2016; Sobral-Souza, Thadeu/O-1068-2017</t>
  </si>
  <si>
    <t>Collevatti, Rosane/0000-0002-3733-7059; Silva, Thiago/0000-0001-8174-0489; Pinto, Miriam/0000-0002-4030-5015; Culot, Laurence/0000-0002-3353-0134; Vancine, Maurício Humberto/0000-0001-9650-7575;</t>
  </si>
  <si>
    <t>Coordenacao de Aperfeicoamento de Pessoal de Nivel Superior (CAPES); Sao Paulo Research Foundation (FAPESP) [2017/09676-8, 2016/08685-0, 2012/50260-6, 2014/14739-0, 2013/50421-2]; Procad-CAPES project [88881.068425/2014-0]; CNPq [310144/2015-9]; Conselho Nacional de Desenvolvimento Cientifico e Tecnologico (CNPq) [312045/2013-1, 312292/2016-3]</t>
  </si>
  <si>
    <t>Coordenacao de Aperfeicoamento de Pessoal de Nivel Superior (CAPES)(Coordenacao de Aperfeicoamento de Pessoal de Nivel Superior (CAPES)); Sao Paulo Research Foundation (FAPESP)(Fundacao de Amparo a Pesquisa do Estado de Sao Paulo (FAPESP)); Procad-CAPES project; CNPq(Conselho Nacional de Desenvolvimento Cientifico e Tecnologico (CNPQ)); Conselho Nacional de Desenvolvimento Cientifico e Tecnologico (CNPq)(Conselho Nacional de Desenvolvimento Cientifico e Tecnologico (CNPQ))</t>
  </si>
  <si>
    <t>MHV acknowledges a graduate fellowship grant from the Coordenacao de Aperfeicoamento de Pessoal de Nivel Superior (CAPES), and grant #2017/09676-8, Sao Paulo Research Foundation (FAPESP). AMM, RGC, TSS and MCR were supported by Procad-CAPES project #88881.068425/2014-0. CLC was supported by postdoctoral grant #2016/08685-0, Sao Paulo Research Foundation (FAPESP), as part of thematic grant #2012/50260-6, Sao Paulo Research Foundation (FAPESP). TSFS acknowledges CNPq productivity grant #310144/2015-9, and LC acknowledges young researcher grant #2014/14739-0, Sao Paulo Research Foundation (FAPESP). MCR are continuously funded by grant #2013/50421-2, Sao Paulo Research Foundation (FAPESP), and Conselho Nacional de Desenvolvimento Cientifico e Tecnologico (CNPq) research grant (processes #312045/2013-1; #312292/2016-3). We thank PM Sobrinho for the invaluable assistance in the data organization. The authors thank also the anonymous reviewers for suggestions and comments, which improved the manuscript.</t>
  </si>
  <si>
    <t>e00706</t>
  </si>
  <si>
    <t>10.1016/j.gecco.2019.e00706</t>
  </si>
  <si>
    <t>JP4HB</t>
  </si>
  <si>
    <t>Green Published, Green Submitted, gold</t>
  </si>
  <si>
    <t>WOS:000498226800018</t>
  </si>
  <si>
    <t>Iacona, GD; Price, FD; Armsworth, PR</t>
  </si>
  <si>
    <t>Iacona, Gwenllian D.; Price, Franklin D.; Armsworth, Paul R.</t>
  </si>
  <si>
    <t>Conservation costs; Florida; invasion; invasive plants; management costs; protected areas</t>
  </si>
  <si>
    <t>PLANT-SPECIES RICHNESS; NATURE-RESERVES; BIOLOGICAL INVASIONS; PROPAGULE PRESSURE; MANAGEMENT COSTS; UNITED-STATES; ALIEN PLANTS; SOUTH-AFRICA; LAND-USE; HABITAT</t>
  </si>
  <si>
    <t>AimInvasive species management is an expensive priority on many protected areas but the magnitude of invasion can vary drastically from site to site. Conservation planners must consider this variability when they plan for treatment across multiple protected areas. We examine the scope for predicting site invadedness and management costs from common protected area characteristics, a method that could be used to estimate the future management needs of a protected area network. LocationThree hundred and sixty-five protected areas across the state of Florida, USA. MethodsWe use data on invasive plant cover and protected area features to predict invadedness and invasive species management funding allocation in a multiple regression framework. We then examine the relationship between invadedness and funding on a subset of 46 of the protected areas. ResultsInvadedness (relative proportion of a protected area that is covered by invasive plants) was related to the size of a protected area and the number of surrounding households. However, the explained variation (9-50%) depended on the type of species occurrence data used; with models using approximated data on the area infested able to explain more of the variation than those that included data with GIS-calculated area infested. Cumulative funding investment at a protected area was also predicted by the number of surrounding households and protected area size. Yet, funding and invadedness were not correlated with one another. Main conclusionsReadily available data on protected area features were statistically related to variation in the invadedness of a protected area and were also associated with past management expenditures. This does not translate into a clear relationship between current invadedness and past expenditures, however. Our results suggest that basing predictions of future costs on current funding may not accurately represent budgetary needs.</t>
  </si>
  <si>
    <t>[Iacona, Gwenllian D.; Armsworth, Paul R.] Univ Tennessee, Dept Ecol &amp; Evolutionary Biol, Knoxville, TN 37996 USA; [Price, Franklin D.] Florida Nat Areas Inventory, Tallahassee, FL 32303 USA</t>
  </si>
  <si>
    <t>Iacona, GD (corresponding author), Univ Tennessee, Dept Ecol &amp; Evolutionary Biol, 569 Dabney Hall, Knoxville, TN 37996 USA.</t>
  </si>
  <si>
    <t>giacona@utk.edu</t>
  </si>
  <si>
    <t>Arworth, Paul/0000-0003-0918-0573; Iacona, Gwenllian/0000-0002-7408-3895; Price, Frank/0000-0002-9006-9014</t>
  </si>
  <si>
    <t>Department of Ecology and Evolutionary Biology at the University of Tennessee</t>
  </si>
  <si>
    <t>This research was supported by the Department of Ecology and Evolutionary Biology at the University of Tennessee. Data were provided by the Florida Fish and Wildlife Conservation Commission and Florida Natural Areas Inventory. Thanks to members of the Armsworth laboratory, S. Kuebbing, E. Larson, N. Sanders, R. Cleary, D. Simberloff, L. Gross and several anonymous referees for providing comments that greatly improved this document.</t>
  </si>
  <si>
    <t>WILEY-BLACKWELL</t>
  </si>
  <si>
    <t>10.1111/ddi.12171</t>
  </si>
  <si>
    <t>AC3UE</t>
  </si>
  <si>
    <t>WOS:000332445900006</t>
  </si>
  <si>
    <t>Critchell, K; Hamann, M; Wildermann, N; Grech, A</t>
  </si>
  <si>
    <t>Critchell, Kay; Hamann, Mark; Wildermann, Natalie; Grech, Alana</t>
  </si>
  <si>
    <t>Dispersal modelling; Macroplastics; Microplastics; Coral reefs; Marine turtles; Mangroves</t>
  </si>
  <si>
    <t>MARINE DEBRIS; FISHING GEAR; ANTHROPOGENIC DEBRIS; FLOATING DEBRIS; TURTLES; MICROPLASTICS; INGESTION; IMPACT; THREAT; ACCUMULATION</t>
  </si>
  <si>
    <t>Plastic pollution in the marine environment is a pervasive and increasing threat to global biodiversity. Prioritising management actions that target marine plastic pollution require spatial information on the dispersal and settlement of plastics from both local and external sources. However, there is a mismatch between the scale of most plastic dispersal studies (regional, national and global) and the scale relevant to management action (local). We use a fine-resolution hydrodynamic model to predict the potential exposure of coastal habitats and species (mangroves, coral reefs and marine turtles) to plastic pollution at the local scale of a management region (the 1,700 km(2) Whitsunday Islands, Queensland, Australia). We assessed the potential exposure of mangroves, coral reefs and marine turtles to plastics during the two dominant wind conditions of the region; the trade wind and monsoon wind seasons. We found that in the trade wind season (April to September) all habitats and species had lower exposure than during the monsoon wind season (October to March). In both wind seasons we found a small proportion of coral reef habitat and large area of turtle habitat were in high potential exposure categories. Unlike coral reefs or marine turtles, mangroves had consistent hotspots of high exposure across wind seasons. Local scale management requires data at fine resolution to capture the variability that occurs at this scale. The outputs of our study can inform the development of conservation resources and local scale management action. (C) 2019 Elsevier Ltd. All rights reserved.</t>
  </si>
  <si>
    <t>[Critchell, Kay; Hamann, Mark; Wildermann, Natalie] James Cook Univ, Coll Sci &amp; Engn &amp; TropWATER, Townsville, Qld, Australia; [Critchell, Kay] Univ Queensland, Marine Spatial Ecol Lab, Brisbane, Qld, Australia; [Grech, Alana] James Cook Univ, Australian Res Council Ctr Excellence Coral Reef, Townsville, Qld, Australia</t>
  </si>
  <si>
    <t>James Cook University; University of Queensland; James Cook University</t>
  </si>
  <si>
    <t>Critchell, K (corresponding author), James Cook Univ, Sci Pl, Townsville, Qld 4811, Australia.</t>
  </si>
  <si>
    <t>kay.critchell@my.jcu.edu.au</t>
  </si>
  <si>
    <t>Critchell, Kay/M-8859-2019; Wildermann, Natalie/M-6754-2016; Hamann, Mark/ABG-5857-2020; Grech, Alana/U-7776-2019</t>
  </si>
  <si>
    <t>Critchell, Kay/0000-0003-0599-2355; Wildermann, Natalie/0000-0002-0317-6832; Hamann, Mark/0000-0003-4588-7955; Grech, Alana/0000-0003-4117-3779</t>
  </si>
  <si>
    <t>Mackay &amp; District Turtle Watch Association; WWF-Australia; Queensland Department of Environment and Science; Gladstone Ports Corporation's Ecosystem Research and Monitoring Program</t>
  </si>
  <si>
    <t>We would like to acknowledge the expertise of Dr Jonathan Lambrechts, (of the Universite Catholique de Louvain, Belgium) for the mesh used for the models and technical support for the model runs. The authors also wish to thank the effort of the three anonymous reviewers, their input vastly improved this manuscript. The turtle tracking was initially funded by the Mackay &amp; District Turtle Watch Association, WWF-Australia, Queensland Department of Environment and Science, and Gladstone Ports Corporation's Ecosystem Research and Monitoring Program. This research did not receive any specific grant from funding agencies in the public, commercial, or not-for-profit sectors.</t>
  </si>
  <si>
    <t>10.1016/j.envpol.2019.06.031</t>
  </si>
  <si>
    <t>WOS:000483405400006</t>
  </si>
  <si>
    <t>Bose, A; Dürr, T; Klenke, RA; Henle, K</t>
  </si>
  <si>
    <t>Bose, Anushika; Duerr, Tobias; Klenke, Reinhard A.; Henle, Klaus</t>
  </si>
  <si>
    <t>Klenke, Reinhard/J-4686-2013</t>
  </si>
  <si>
    <t>AUG 26</t>
  </si>
  <si>
    <t>e0238269</t>
  </si>
  <si>
    <t>10.1371/journal.pone.0238269</t>
  </si>
  <si>
    <t>NJ7ED</t>
  </si>
  <si>
    <t>WOS:000566205500050</t>
  </si>
  <si>
    <t>BUTEO-BUTEO; HABITAT SELECTION; BREEDING DENSITY; NEST-SITE; RED KITE; FARMS; MORTALITY; IMPACTS; LEVEL; POINT</t>
  </si>
  <si>
    <t>With the increase in wind turbines, bird collisions have developed as a potential hazard. In the federal state of Brandenburg, Germany, despite the on-going mitigation efforts of increasing the distances of wind turbines from the breeding areas of the more severely affected populations of red kites (Milvus milvus), the additional detrimental influences on the buzzard populations (Buteo buteo) have added to the challenges for wind power expansion. Using data on the regional distribution of the buzzards, along with their carcass detections around the wind turbines (WTs), we aimed to better understand their collision distribution patterns in relation to their habitat use patterns to predict their exposure to collision risk using boosted regression trees (BRTs). Additionally, we integrated the developed collision potential map with the regional density map of buzzards to identify areas of increased strike susceptibility in turbine installations. Our study showed that the buzzard collisions were primarily concentrated at the turbines situated at sensitive distances from the edges of watercourses (&gt; 1000 metres), as well as those along the edges of grasslands (&gt; 750 metres), in the green open areas around/areas with minimal settlements (750 metres-1750 metres), and along the edges of bushlands (&gt; 1500 metres), together explaining 58% of the variance in their collision distribution. Conclusively, our study is applicable to conservation because it demonstrates the identification of potential collision areas along with the causes of the collisions, in addition to demonstrating the benefits of incorporating a species collision dataset as a proxy for species presence into species distribution models to make informed management decisions to eventually combat biodiversity loss.</t>
  </si>
  <si>
    <t>[Bose, Anushika; Klenke, Reinhard A.; Henle, Klaus] UFZ Helmholtz Ctr Environm Res, Dept Conservat Biol, Permoserstr, Leipzig, Germany; [Duerr, Tobias] Brandenburg State Bird Conservat Ctr, Brandenburg State Agcy Environm, Nennhausen, Germany</t>
  </si>
  <si>
    <t>Helmholtz Association; Helmholtz Center for Environmental Research (UFZ)</t>
  </si>
  <si>
    <t>Bose, A (corresponding author), UFZ Helmholtz Ctr Environm Res, Dept Conservat Biol, Permoserstr, Leipzig, Germany.</t>
  </si>
  <si>
    <t>anushika.bose@ufz.de</t>
  </si>
  <si>
    <t>; Klenke, Reinhard/J-4686-2013; Henle, Klaus/I-6837-2013</t>
  </si>
  <si>
    <t>Bose, Anushika/0000-0003-0486-7974;</t>
  </si>
  <si>
    <t>Deutscher Akademischer Austauschdienst [91540899]; project SCALES - Securing the Conservation of biodiversity across Administrative Levels and spatial, temporal, and Ecological Scales of the EU 7th Framework Program [226852]; Naturschutzfachliches Monitoring des Ausbaus der Erneuerbaren Energien im Strombereich und Entwicklung von Instrumenten zur Verminderung der Beeintrachtigung von Natur und Landschaft of the Federal Ministry for the Environment, Nature Conservation and Nucl [3515822700]</t>
  </si>
  <si>
    <t>Deutscher Akademischer Austauschdienst(Deutscher Akademischer Austausch Dienst (DAAD)); project SCALES - Securing the Conservation of biodiversity across Administrative Levels and spatial, temporal, and Ecological Scales of the EU 7th Framework Program; Naturschutzfachliches Monitoring des Ausbaus der Erneuerbaren Energien im Strombereich und Entwicklung von Instrumenten zur Verminderung der Beeintrachtigung von Natur und Landschaft of the Federal Ministry for the Environment, Nature Conservation and Nucl</t>
  </si>
  <si>
    <t>Anushika Bose was funded by Deutscher Akademischer Austauschdienst with a PhD Scholarship (ID 91540899). Reinhard A. Klenke was supported by the project SCALES - Securing the Conservation of biodiversity across Administrative Levels and spatial, temporal, and Ecological Scales of the EU 7th Framework Program (Grant Agreement 226852) and Naturschutzfachliches Monitoring des Ausbaus der Erneuerbaren Energien im Strombereich und Entwicklung von Instrumenten zur Verminderung der Beeintrachtigung von Natur und Landschaft of the Federal Ministry for the Environment, Nature Conservation and Nuclear Safety (Grant No. 3515822700).</t>
  </si>
  <si>
    <t>JAN 24</t>
  </si>
  <si>
    <t>e0227698</t>
  </si>
  <si>
    <t>10.1371/journal.pone.0227698</t>
  </si>
  <si>
    <t>LP8WY</t>
  </si>
  <si>
    <t>WOS:000534599100052</t>
  </si>
  <si>
    <t>Thiault, L; Weekers, D; Curnock, M; Marshall, N; Pert, PL; Beeden, R; Dyer, M; Claudet, J</t>
  </si>
  <si>
    <t>Thiault, Lauric; Weekers, Damian; Curnock, Matt; Marshall, Nadine; Pert, Petina L.; Beeden, Roger; Dyer, Michelle; Claudet, Joachim</t>
  </si>
  <si>
    <t>Compliance; Enforcement; Marine reserves; Opportunity structure; Recreational fishing; Risky facilities; Wildlife crime</t>
  </si>
  <si>
    <t>ILLEGAL ACTIVITIES; ENFORCEMENT; PERFORMANCE; MANAGEMENT; FISHERIES; PATTERNS; RESERVES; TRENDS; REEFS; PARK</t>
  </si>
  <si>
    <t>Marine Protected Areas (MPAs) are effective resource management and conservation measures, but their success is often hindered by non-compliant activities such as poaching. Understanding the risk factors and spatial patterns of poaching is therefore crucial for efficient law enforcement. Here, we conducted explanatory and predictive modelling of poaching from recreational fishers within no-take zones of Australia's Great Barrier Reef Marine Park (GBRMP) using Boosted Regression Trees (BRT). Combining patrol effort data, observed distribution of reported incidents, and spatially-explicit environmental and human risk factors, we modeled the occurrence probability of poaching incidents and mapped poaching risk at fine-scale. Our results: (i) show that fishing attractiveness, accessibility and fishing capacity play a major role in shaping the spatial patterns of poaching; (ii) revealed key interactions among these factors as well as tipping points beyond which poaching risk increased or decreased markedly; and (iii) highlight gaps in patrol effort that could be filled for improved resource allocation. The approach developed through this study provide a novel way to quantify the relative influence of multiple interacting factors in shaping poaching risk, and hold promises for replication across a broad range of marine or terrestrial settings.</t>
  </si>
  <si>
    <t>[Thiault, Lauric; Claudet, Joachim] PSL Univ Paris, CNRS, Natl Ctr Sci Res, CRIOBE,EPHE,UPVD,USR 3278,Maison Oceans, 195 Rue St Jacques, F-75005 Paris, France; [Thiault, Lauric; Claudet, Joachim] Lab Excellence CORAIL, Moorea, French Polynesi, France; [Weekers, Damian] Univ Queensland, Sch Social Sci, Michie Bldg, St Lucia, Qld 4072, Australia; [Weekers, Damian; Beeden, Roger; Dyer, Michelle] Great Barrier Reef Marine Pk Author, Townsville, Qld 4810, Australia; [Curnock, Matt; Marshall, Nadine; Pert, Petina L.] James Cook Univ, CSIRO Land &amp; Water, Townsville, Qld 4811, Australia</t>
  </si>
  <si>
    <t>Centre National de la Recherche Scientifique (CNRS); CNRS - Institute of Ecology &amp; Environment (INEE); Universite PSL; Ecole Pratique des Hautes Etudes (EPHE); University of Queensland; Commonwealth Scientific &amp; Industrial Research Organisation (CSIRO); CSIRO Land &amp; Water; James Cook University</t>
  </si>
  <si>
    <t>Thiault, L (corresponding author), PSL Univ Paris, CNRS, Natl Ctr Sci Res, CRIOBE,EPHE,UPVD,USR 3278,Maison Oceans, 195 Rue St Jacques, F-75005 Paris, France.</t>
  </si>
  <si>
    <t>lauric.thiault@gmail.com</t>
  </si>
  <si>
    <t>Claudet, Joachim/C-6335-2008; Marshall, Nadine/D-9339-2011; Pert, Petina/F-5211-2010; Thiault, Lauric/J-2060-2019; Curnock, Matthew/I-2578-2013</t>
  </si>
  <si>
    <t>Claudet, Joachim/0000-0001-6295-1061; Thiault, Lauric/0000-0002-5572-7632; Curnock, Matthew/0000-0002-2365-810X</t>
  </si>
  <si>
    <t>Great Barrier Reef Marine Park Authority (GBRMPA), Australia; Agence Nationale de la Recherche [ANR-14-CE03- 0001-01]; Agence Nationale de la Recherche (ANR) [ANR-14-CE03-0001] Funding Source: Agence Nationale de la Recherche (ANR)</t>
  </si>
  <si>
    <t>Great Barrier Reef Marine Park Authority (GBRMPA), Australia; Agence Nationale de la Recherche(Agence Nationale de la Recherche (ANR)); Agence Nationale de la Recherche (ANR)(Agence Nationale de la Recherche (ANR))</t>
  </si>
  <si>
    <t>This work was funded by the Great Barrier Reef Marine Park Authority (GBRMPA), Australia and Agence Nationale de la Recherche (ANR-14-CE03- 0001-01), France.</t>
  </si>
  <si>
    <t>10.1016/j.jenvman.2019.109808</t>
  </si>
  <si>
    <t>JZ0EN</t>
  </si>
  <si>
    <t>WOS:000504777700036</t>
  </si>
  <si>
    <t>Eguchi, T; Benson, SR; Foley, DG; Forney, KA</t>
  </si>
  <si>
    <t>Eguchi, Tomoharu; Benson, Scott R.; Foley, David G.; Forney, Karin A.</t>
  </si>
  <si>
    <t>FISHERIES OCEANOGRAPHY</t>
  </si>
  <si>
    <t>bycatch; endangered species; fishery closure; fishery interactions; habitat modeling; swordfish; thresher sharks; US west coast</t>
  </si>
  <si>
    <t>DYNAMIC OCEAN MANAGEMENT; SEA-TURTLES; DERMOCHELYS-CORIACEA; VARIABLE IMPORTANCE; SPECIES DISTRIBUTIONS; DISTRIBUTION MODELS; BYCATCH REDUCTION; FISHERIES BYCATCH; ACOUSTIC PINGERS; CARETTA-CARETTA</t>
  </si>
  <si>
    <t>Concern over bycatch of protected species has become a key factor in shaping fisheries management decisions. In 2001, the National Marine Fisheries Service established an annual closure of a large mesh drift gillnet fishery targeting swordfish from central Oregon to central California between August 15 and November 15 because of concerns of bycatch of endangered leatherback turtles (the Pacific Leatherback Conservation Area, PLCA). The spatio-temporal constraints of the PLCA were developed to encompass nearly all previously observed leatherback turtle bycatch events in the fishery. The PLCA has been effective at reducing bycatch of leatherback turtles but has reduced fishing opportunities. In this study, we examined whether the timing of the current PLCA closure is optimal for leatherback turtle conservation, by developing statistical models of leatherback turtle presence inside the PLCA based on environmental variables. We also examined finer-scale spatiotemporal patterns of potential overlap between the fishery and leatherback turtle foraging habitat using Maxent and Random Forests applied to logbook data and leatherback turtle telemetry data. Our results suggest that the temporal extent of the current static closure period is the shortest and most effective for protecting the turtles while allowing fishing during low bycatch-risk periods. We also found that it is possible to predict foraging habitat of leatherback turtles and fishing effort using environmental variables. Identification of spatial and temporal hot-spots of potential overlap between fishing effort and leatherback turtle distribution can form a basis for dynamic management approaches.</t>
  </si>
  <si>
    <t>[Eguchi, Tomoharu; Foley, David G.] Natl Marine Fisheries Serv, Southwest Fisheries Sci Ctr, NOAA, 8901 La Jolla Shores Dr, La Jolla, CA 92037 USA; [Benson, Scott R.] Natl Marine Fisheries Serv, Southwest Fisheries Sci Ctr, NOAA, 7544 Sandholdt Rd, Moss Landing, CA 95039 USA; [Foley, David G.] Univ Calif Santa Cruz, Inst Marine Sci, 100 Shaffer Rd, Santa Cruz, CA 95060 USA; [Forney, Karin A.] Natl Marine Fisheries Serv, Southwest Fisheries Sci Ctr, NOAA, 110 Shaffer Rd, Santa Cruz, CA 95060 USA</t>
  </si>
  <si>
    <t>National Oceanic Atmospheric Admin (NOAA) - USA; National Oceanic Atmospheric Admin (NOAA) - USA; University of California System; University of California Santa Cruz; National Oceanic Atmospheric Admin (NOAA) - USA</t>
  </si>
  <si>
    <t>Eguchi, T (corresponding author), Natl Marine Fisheries Serv, Southwest Fisheries Sci Ctr, NOAA, 8901 La Jolla Shores Dr, La Jolla, CA 92037 USA.</t>
  </si>
  <si>
    <t>tomo.eguchi@noaa.gov</t>
  </si>
  <si>
    <t>1054-6006</t>
  </si>
  <si>
    <t>1365-2419</t>
  </si>
  <si>
    <t>FISH OCEANOGR</t>
  </si>
  <si>
    <t>Fish Oceanogr.</t>
  </si>
  <si>
    <t>10.1111/fog.12181</t>
  </si>
  <si>
    <t>Fisheries; Oceanography</t>
  </si>
  <si>
    <t>EE1GP</t>
  </si>
  <si>
    <t>WOS:000389329300002</t>
  </si>
  <si>
    <t>Seiler, A</t>
  </si>
  <si>
    <t>accidents; Alces alces; fences; mitigation; road casualties; roads; traffic safety</t>
  </si>
  <si>
    <t>WHITE-TAILED DEER; ALCES-ALCES POPULATION; HUNTER OBSERVATIONS; SPATIAL-PATTERNS; ROAD MORTALITY; ACCIDENTS; UNDERPASSES; MANAGEMENT; TRENDS; WINTER</t>
  </si>
  <si>
    <t>1. Animal-vehicle collisions are a serious problem for road planners and biologists concerned with traffic safety, species conservation and animal welfare. In Sweden, vehicle collisions with moose (MVC) are an important safety issue. Police records average approximately 4500 incidents year(-1), including 10-15 human fatalities. New mitigation policies require improved knowledge of the factors influencing the spatial distribution of MVC. 2. Three logistic regression models were developed to predict MVC risks on public roads for use in strategic and project-related impact assessment. The models were based on remotely sensed landscape data, road and traffic statistics and estimations of moose density, quantified at 2000 accident and 2000 non-accident control sites in south-central Sweden. Model predictions were validated on 2600 1-km road sections in the county of Orebro, which were classified as either accident or non-accident roads. Model performances were compared using Akaike's information criterion. 3. Traffic volume, vehicle speed and the occurrence of fences were dominant factors determining MVC risks, identifying 72.7% of all accident sites. Within a given road category, however, the amount of and distance to forest cover, density of intersections between forest edges, private roads and the main accident road, and moose abundance indexed by harvest statistics, significantly distinguished between accident and control sites. In combination, road-traffic and landscape parameters produced an overall concordance in 83.6% of the predicted sites and identified 76.1% of all test road sections correctly. 4. Synthesis and applications. The risk of moose-vehicle collisions in Sweden can be predicted from remotely sensed landscape data in combination with road traffic data. Prediction models suggest that reduced vehicle speed in combination with road fencing and increased roadside clearance may provide effective tools for road planners in counteracting MVC. However, effective mitigation will depend on integrated management of the surrounding landscape and moose population, as well as increased responsibility of individual drivers. Remedying animal-vehicle collisions must involve road authorities as much as landowners and the public.</t>
  </si>
  <si>
    <t>Swedish Univ Agr Sci, Dept Conservat Biol, Grimso Wildlife Res Stn, S-73091 Riddarhyttan, Sweden</t>
  </si>
  <si>
    <t>Swedish University of Agricultural Sciences</t>
  </si>
  <si>
    <t>Seiler, A (corresponding author), Swedish Univ Agr Sci, Dept Conservat Biol, Grimso Wildlife Res Stn, S-73091 Riddarhyttan, Sweden.</t>
  </si>
  <si>
    <t>andreas.seiler@nvb.slu.se</t>
  </si>
  <si>
    <t>Seiler, Aneas/0000-0002-1205-6146</t>
  </si>
  <si>
    <t>10.1111/j.1365-2664.2005.01013.x</t>
  </si>
  <si>
    <t>916PC</t>
  </si>
  <si>
    <t>WOS:000228396600019</t>
  </si>
  <si>
    <t>Deith, MCM; Brodie, JF</t>
  </si>
  <si>
    <t>Deith, Mairin C. M.; Brodie, Jedediah F.</t>
  </si>
  <si>
    <t>Predicting defaunation: accurately mapping bushmeat hunting pressure over large areas</t>
  </si>
  <si>
    <t>PROCEEDINGS OF THE ROYAL SOCIETY B-BIOLOGICAL SCIENCES</t>
  </si>
  <si>
    <t>hunting; wild meat; exploitation; dispersal modelling; circuit theory</t>
  </si>
  <si>
    <t>CIRCUIT-THEORY; CONNECTIVITY; DISPERSAL; MODELS</t>
  </si>
  <si>
    <t>Unsustainable hunting is emptying forests of large animals around the world, but current understanding of how human foraging spreads across landscapes has been stymied by data deficiencies and cryptic hunter behaviour. Unlike other global threats to biodiversity like deforestation, climate change and overfishing, maps of wild meat hunters' movements-often based on forest accessibility-typically cover small scales and are rarely validated with real-world observations. Using camera trapping data from rainforests across Malaysian Borneo, we show that while hunter movements are strongly correlated with the accessibility of different parts of the landscape, accessibility measures are most informative when they integrate fine-scale habitat features like topography and land cover. Measures of accessibility naive to fine-scale habitat complexity, like distance to the nearest road or settlement, generate poor approximations of hunters' movements. In comparison, accessibility as measured by high-resolution movement models based on circuit theory provides vastly better reflections of real-world foraging movements. Our results highlight that simple models incorporating fine-scale landscape heterogeneity can be powerful tools for understanding and predicting widespread threats to biodiversity.</t>
  </si>
  <si>
    <t>[Deith, Mairin C. M.] Univ British Columbia, Dept Zool, 4200-6270 Univ Blvd 15, Vancouver, BC V6T 1Z4, Canada; [Brodie, Jedediah F.] Univ Montana, Div Biol Sci, Missoula, MT 59812 USA; [Brodie, Jedediah F.] Univ Montana, Wildlife Biol Program, Missoula, MT 59812 USA</t>
  </si>
  <si>
    <t>University of British Columbia; University of Montana System; University of Montana; University of Montana System; University of Montana</t>
  </si>
  <si>
    <t>Deith, MCM (corresponding author), Univ British Columbia, Dept Zool, 4200-6270 Univ Blvd 15, Vancouver, BC V6T 1Z4, Canada.</t>
  </si>
  <si>
    <t>mairin.deith@gmail.com</t>
  </si>
  <si>
    <t>Deith, Mairin/AAU-4001-2020</t>
  </si>
  <si>
    <t>Deith, Mairin/0000-0002-8843-617X; Brodie, Jedediah/0000-0002-8298-9021</t>
  </si>
  <si>
    <t>Natural Science and Engineering Research Council of Canada; Canada Foundation for Innovation; Panthera; Denver Zoo; University of British Columbia; University of Montana</t>
  </si>
  <si>
    <t>Natural Science and Engineering Research Council of Canada(Natural Sciences and Engineering Research Council of Canada (NSERC)); Canada Foundation for Innovation(Canada Foundation for InnovationCGIAR); Panthera; Denver Zoo; University of British Columbia; University of Montana</t>
  </si>
  <si>
    <t>Financial support was provided by the Natural Science and Engineering Research Council of Canada, the Canada Foundation for Innovation, Panthera, the Denver Zoo and the Universities of British Columbia and Montana.</t>
  </si>
  <si>
    <t>0962-8452</t>
  </si>
  <si>
    <t>1471-2954</t>
  </si>
  <si>
    <t>P ROY SOC B-BIOL SCI</t>
  </si>
  <si>
    <t>Proc. R. Soc. B-Biol. Sci.</t>
  </si>
  <si>
    <t>MAR 11</t>
  </si>
  <si>
    <t>10.1098/rspb.2019.2677</t>
  </si>
  <si>
    <t>NE2JV</t>
  </si>
  <si>
    <t>WOS:000562424400013</t>
  </si>
  <si>
    <t>Yee, SH; Barron, MG</t>
  </si>
  <si>
    <t>Yee, Susan Harrell; Barron, Mace G.</t>
  </si>
  <si>
    <t>Coral bleaching; Sea surface temperature; Solar radiation; Logistic regression; Model selection; Remote sensing</t>
  </si>
  <si>
    <t>CLIMATE-CHANGE; REEF CORALS; RADIATION; SUSCEPTIBILITY; CONSERVATION; RESILIENCE; PATTERNS; ECOLOGY; EVENTS; OCEAN</t>
  </si>
  <si>
    <t>Coral reefs have experienced extensive mortality over the past few decades as a result of temperature-induced mass bleaching events. There is an increasing realization that other environmental factors, including water mixing, solar radiation, water depth, and water clarity, interact with temperature to either exacerbate bleaching or protect coral from mass bleaching. The relative contribution of these factors to variability in mass bleaching at a global scale has not been quantified, but can provide insights when making large-scale predictions of mass bleaching events. Using data from 708 bleaching surveys across the globe, a framework was developed to predict the probability of moderate or severe bleaching as a function of key environmental variables derived from global-scale remote-sensing data. The ability of models to explain spatial and temporal variability in mass bleaching events was quantified. Results indicated approximately 20% improved accuracy of predictions of bleaching when solar radiation and water mixing, in addition to elevated temperature, were incorporated into models, but predictive accuracy was variable among regions. Results provide insights into the effects of environmental parameters on bleaching at a global scale.</t>
  </si>
  <si>
    <t>[Yee, Susan Harrell; Barron, Mace G.] US EPA, Gulf Ecol Div, Natl Hlth &amp; Environm Effects Res Lab, Gulf Breeze, FL 32561 USA</t>
  </si>
  <si>
    <t>Yee, SH (corresponding author), US EPA, Gulf Ecol Div, Natl Hlth &amp; Environm Effects Res Lab, 1 Sabine Isl Dr, Gulf Breeze, FL 32561 USA.</t>
  </si>
  <si>
    <t>yee.susan@epa.gov</t>
  </si>
  <si>
    <t>Yee, Susan/0000-0002-5628-3033</t>
  </si>
  <si>
    <t>US Environmental Protection Agency; Gulf Ecology Division [1288]</t>
  </si>
  <si>
    <t>US Environmental Protection Agency(United States Environmental Protection Agency); Gulf Ecology Division</t>
  </si>
  <si>
    <t>We thank D. Santavy for coral expertise, J. Kern for help with statistical analyses, and several reviewers for comments on earlier versions of this manuscript. We are grateful to ReefBase and contributors, particularly the contributions of Atlantic and Gulf Rapid Reef Assessment (AGRRA), for access to data. World map provided by http://alabamamaps.ua.edu. This research has been funded by the US Environmental Protection Agency. It has been subjected to agency review and approved for publication. This is contribution number 1288 from the Gulf Ecology Division.</t>
  </si>
  <si>
    <t>1-4</t>
  </si>
  <si>
    <t>10.1007/s10661-009-0758-3</t>
  </si>
  <si>
    <t>541FI</t>
  </si>
  <si>
    <t>WOS:000273399900035</t>
  </si>
  <si>
    <t>Roe, JH; Morreale, SJ; Paladino, FV; Shillinger, GL; Benson, SR; Eckert, SA; Bailey, H; Tomillo, PS; Bograd, SJ; Eguchi, T; Dutton, PH; Seminoff, JA; Block, BA; Spotila, JR</t>
  </si>
  <si>
    <t>Roe, John H.; Morreale, Stephen J.; Paladino, Frank V.; Shillinger, George L.; Benson, Scott R.; Eckert, Scott A.; Bailey, Helen; Santidrian Tomillo, Pilar; Bograd, Steven J.; Eguchi, Tomoharu; Dutton, Peter H.; Seminoff, Jeffrey A.; Block, Barbara A.; Spotila, James R.</t>
  </si>
  <si>
    <t>critically endangered species; fisheries bycatch; marine conservation; marine turtles; migratory pelagic vertebrate; satellite tracking</t>
  </si>
  <si>
    <t>SEA-TURTLE; FISHERIES; TELEMETRY; MOVEMENT; PATTERNS; CATCH; RISK; POPULATIONS; LOGGERHEAD; MANAGEMENT</t>
  </si>
  <si>
    <t>Fisheries bycatch is a critical source of mortality for rapidly declining populations of leatherback turtles, Dermochelys coriacea. We integrated use-intensity distributions for 135 satellite-tracked adult turtles with longline fishing effort to estimate predicted bycatch risk over space and time in the Pacific Ocean. Areas of predicted bycatch risk did not overlap for eastern and western Pacific nesting populations, warranting their consideration as distinct management units with respect to fisheries bycatch. For western Pacific nesting populations, we identified several areas of high risk in the north and central Pacific, but greatest risk was adjacent to primary nesting beaches in tropical seas of Indo-Pacific islands, largely confined to several exclusive economic zones under the jurisdiction of national authorities. For eastern Pacific nesting populations, we identified moderate risk associated with migrations to nesting beaches, but the greatest risk was in the South Pacific Gyre, a broad pelagic zone outside national waters where management is currently lacking and may prove difficult to implement. Efforts should focus on these predicted hotspots to develop more targeted management approaches to alleviate leatherback bycatch.</t>
  </si>
  <si>
    <t>[Roe, John H.] Univ N Carolina, Dept Biol, Pembroke, NC 28372 USA; [Roe, John H.; Paladino, Frank V.] Indiana Purdue Univ, Dept Biol, Ft Wayne, IN 46805 USA; [Morreale, Stephen J.] Cornell Univ, Dept Nat Resources, Ithaca, NY 14853 USA; [Shillinger, George L.; Block, Barbara A.] Stanford Univ, Hopkins Marine Stn, Pacific Grove, CA 93950 USA; [Benson, Scott R.] NOAA, NMFS, SWFSC, Protected Resources Div, Moss Landing, CA 95039 USA; [Eckert, Scott A.] Duke Univ, Marine Lab, Wider Caribbean Sea Turtle Conservat Network, Beaufort, NC 28516 USA; [Bailey, Helen] Univ Maryland, Ctr Environm Sci, Chesapeake Biol Lab, Solomons, MD 20688 USA; [Santidrian Tomillo, Pilar; Spotila, James R.] Drexel Univ, Dept Biodivers Earth &amp; Environm Sci, Philadelphia, PA 19104 USA; [Santidrian Tomillo, Pilar] Leatherback Trust, Goldring Gund Marine Biol Stn, Playa Grande, Costa Rica; [Bograd, Steven J.] NOAA, NMFS, SWFSC, Div Environm Res, Pacific Grove, CA 93950 USA; [Eguchi, Tomoharu; Dutton, Peter H.; Seminoff, Jeffrey A.] NOAA, NMFS, SWFSC, Protected Resources Div, La Jolla, CA 92037 USA</t>
  </si>
  <si>
    <t>University of North Carolina; University of North Carolina at Pembroke; Purdue University System; Indiana University Purdue University Fort Wayne; Cornell University; Stanford University; National Oceanic Atmospheric Admin (NOAA) - USA; Duke University; University System of Maryland; University of Maryland Center for Environmental Science; Drexel University; National Oceanic Atmospheric Admin (NOAA) - USA; National Oceanic Atmospheric Admin (NOAA) - USA</t>
  </si>
  <si>
    <t>Roe, JH (corresponding author), Univ N Carolina, Dept Biol, Pembroke, NC 28372 USA.</t>
  </si>
  <si>
    <t>john.roe@uncp.edu</t>
  </si>
  <si>
    <t>; Bograd, Steven/AAA-4824-2021; Bailey, Helen/E-6813-2012; Santiián Tomillo, Pilar/N-5406-2014</t>
  </si>
  <si>
    <t>Dutton, Peter H/0000-0002-6628-8962; Santiián Tomillo, Pilar/0000-0002-6895-7218</t>
  </si>
  <si>
    <t>Lenfest Oceans Programme; Tagging of Pacific Pelagics Programme; Betz Chair endowment of Drexel University; Schrey Endowment of Indiana-Purdue University at Fort Wayne</t>
  </si>
  <si>
    <t>Major funding for this research was provided by the Lenfest Oceans Programme, the Tagging of Pacific Pelagics Programme, the Betz Chair endowment of Drexel University and the Schrey Endowment of Indiana-Purdue University at Fort Wayne.</t>
  </si>
  <si>
    <t>10.1098/rspb.2013.2559</t>
  </si>
  <si>
    <t>AC2YK</t>
  </si>
  <si>
    <t>WOS:000332382000013</t>
  </si>
  <si>
    <t>Szabo, JK; Davy, PJ; Hooper, MJ; Astheimer, LB</t>
  </si>
  <si>
    <t>Szabo, Judit K.; Davy, Pamela J.; Hooper, Michael J.; Astheimer, Lee B.</t>
  </si>
  <si>
    <t>Australia; Australian plague locust; avian species occurrence; Chortoicetes terminifera; ecotoxicology; fipronil; generalized linear models; locust control pesticides; locust outbreaks; organophosphates; predictive models; risk of exposure to pesticides</t>
  </si>
  <si>
    <t>ATLAS DATA; MODELS; HABITAT; BIRDS; FIPRONIL; FIELD</t>
  </si>
  <si>
    <t>Locusts and grasshoppers cause considerable economic damage to agriculture worldwide. The Australian Plague Locust Commission uses multiple pesticides to control locusts in eastern Australia. Avian exposure to agricultural pesticides is of conservation concern, especially in the case of rare and threatened species. The aim of this study was to evaluate the probability of pesticide exposure of native avian species during operational locust control based on knowledge of species occurrence in areas and times of application. Using presence-absence data provided by the Birds Australia Atlas for 1998 to 2002, we developed a series of generalized linear models to predict avian occurrences on a monthly basis in 0.5 degrees grid cells for 280 species over 2 million km(2) in eastern Australia. We constructed species-specific models relating occupancy patterns to survey date and location, rainfall, and derived habitat preference. Model complexity depended on the number of observations available. Model output was the probability of occurrence for each species at times and locations of past locust control operations within the 5-year study period. Given the high spatiotemporal variability of locust control events, the variability in predicted bird species presence was high, with 108 of the total 280 species being included at least once in the top 20 predicted species for individual space-time events. The models were evaluated using field surveys collected between 2000 and 2005, at sites with and without locust outbreaks. Model strength varied among species. Some species were under- or over-predicted as times and locations of interest typically did not correspond to those in the prediction data set and certain species were likely attracted to locusts as a food source. Field surveys demonstrated the utility of the spatially explicit species lists derived from the models but also identified the presence of a number of previously unanticipated species. These results also emphasize the need for special consideration of rare and threatened species that are poorly predicted by presence-absence models. This modeling exercise was a useful a priori approach in species risk assessments to identify species present at times and locations of locust control applications, and to discover gaps in our knowledge and need for further focused data collection.</t>
  </si>
  <si>
    <t>[Szabo, Judit K.; Hooper, Michael J.] Texas Tech Univ, Inst Environm &amp; Human Hlth, Lubbock, TX 79416 USA; [Szabo, Judit K.; Astheimer, Lee B.] Univ Wollongong, Inst Conservat Biol &amp; Law, Wollongong, NSW 2522, Australia; [Davy, Pamela J.] Univ Wollongong, Sch Math &amp; Appl Stat, Wollongong, NSW 2522, Australia</t>
  </si>
  <si>
    <t>Texas Tech University System; Texas Tech University; University of Wollongong; University of Wollongong</t>
  </si>
  <si>
    <t>Szabo, JK (corresponding author), Univ Queensland, Sch Integrat Biol, St Lucia, Qld 4072, Australia.</t>
  </si>
  <si>
    <t>j.szabo@uq.edu.au</t>
  </si>
  <si>
    <t>, Michael J Hooper/KHD-4769-2024; Szabo, Judit/C-1247-2012</t>
  </si>
  <si>
    <t>, Michael J Hooper/0000-0002-4161-8961; Szabo, Judit/0000-0002-8786-1887</t>
  </si>
  <si>
    <t>10.1890/08-0264.1</t>
  </si>
  <si>
    <t>520UI</t>
  </si>
  <si>
    <t>WOS:000271874300006</t>
  </si>
  <si>
    <t>Floyd, ML; Hanna, D; Romme, WH; Crews, TE</t>
  </si>
  <si>
    <t>Floyd, M. Lisa; Hanna, David; Romme, William H.; Crews, Timothy E.</t>
  </si>
  <si>
    <t>INTERNATIONAL JOURNAL OF WILDLAND FIRE</t>
  </si>
  <si>
    <t>functional groups; invasive plants; native grasses; nutrient availability; pinon-juniper woodlands; soils</t>
  </si>
  <si>
    <t>PINYON-JUNIPER WOODLANDS; PLANT DIVERSITY; BIOLOGICAL INVASIONS; FIRE; BIODIVERSITY; IMPACTS; ECOSYSTEMS; COMMUNITY; STABILITY; HERBIVORY</t>
  </si>
  <si>
    <t>Six large wildfires have burned in Mesa Verde National Park during the last 15 years, and extensive portions of burns were invaded by non-native plant species. The most threatening weed species include Carduus nutans, Cirsium arvense, and Bromus tectorum, and if untreated, they persist at least 13 years. We investigated patterns of weed distribution to identify plant communities most vulnerable to post-fire weed invasion and created a spatially explicit model to predict the most vulnerable sites. At the scale of the entire park, mature pinon-juniper woodlands growing on two soil series were most vulnerable to post-fire weed invasion; mountain shrublands were the least vulnerable. At a finer scale, greater richness of native species was correlated with greater numbers of non-native species, indicating that habitats with high native biodiversity are at the greatest risk of weed invasion. In unburned areas, weed density increased with greater soil nitrogen and phosphorus, and lower salinity. In burned areas weed density correlated with soil nitrogen status and textural class. We also evaluated the effectiveness of a variety of weed. mitigation methods; aerial seeding of targeted high-risk areas with native grasses was the most effective treatment tested. We recommend a conservative mitigation plan using natives grass seed on only the most invasible sites.</t>
  </si>
  <si>
    <t>Prescot Coll, Environm Studies Program, Prescott, AZ 86301 USA; Colorado State Univ, Dept Forest Rangeland &amp; Watershed Stewardship, Ft Collins, CO 80523 USA</t>
  </si>
  <si>
    <t>Colorado State University System; Colorado State University Fort Collins</t>
  </si>
  <si>
    <t>Floyd, ML (corresponding author), Prescot Coll, Environm Studies Program, 220 Grove Ave, Prescott, AZ 86301 USA.</t>
  </si>
  <si>
    <t>lfloyd-hanna@prescott.edu</t>
  </si>
  <si>
    <t>; Romme, William/C-7317-2016</t>
  </si>
  <si>
    <t>Crews, Timothy/0000-0003-4764-341X;</t>
  </si>
  <si>
    <t>CSIRO PUBLISHING</t>
  </si>
  <si>
    <t>CLAYTON</t>
  </si>
  <si>
    <t>UNIPARK, BLDG 1, LEVEL 1, 195 WELLINGTON RD, LOCKED BAG 10, CLAYTON, VIC 3168, AUSTRALIA</t>
  </si>
  <si>
    <t>1049-8001</t>
  </si>
  <si>
    <t>1448-5516</t>
  </si>
  <si>
    <t>INT J WILDLAND FIRE</t>
  </si>
  <si>
    <t>Int. J. Wildland Fire</t>
  </si>
  <si>
    <t>10.1071/WF05066</t>
  </si>
  <si>
    <t>059VL</t>
  </si>
  <si>
    <t>WOS:000238760200011</t>
  </si>
  <si>
    <t>Helldin, JO</t>
  </si>
  <si>
    <t>Helldin, Jan Olof</t>
  </si>
  <si>
    <t>Effect zone; Natura 2000; railway; road; Sweden</t>
  </si>
  <si>
    <t>NATURA 2000 NETWORK; BIODIVERSITY; SITES; POPULATIONS; RICHNESS; BEETLES; EUROPE</t>
  </si>
  <si>
    <t>The ecological impacts of roads and railways extend into the surrounding landscape, leading to habitat degradation and reduced wildlife densities within an area that is considerably larger than the actual road or railway corridor. For birds, an extensive meta-analysis has identified an average of 20% density reduction within 1 km from the infrastructure. I investigated to what extent this density reduction can be expected to compromise the habitat quality and conservation value of Swedish Natura 2000 areas designated for the protection of birds (Special Protection Areas; SPAs). The majority (63%) of Swedish SPAs are, to some extent, found within this 1 km road/railway effect zone (REZ). The total overlap between SPA and REZ is approximately 126,000 ha or 4.2% of the country's SPA area. There are, however, large differences amongst bio-geographical regions. In the southern (continental) and coastal regions combined, 25.8% of the total SPA area fall within REZ, representing an estimated 4-7% reduction in bird abundance within SPAs. The probability of overlap with REZ is higher for larger SPAs. However, the proportion of overlap is higher for smaller SPAs and, accordingly, smaller sites can be assumed to experience a greater impact from transport infrastructure and traffic. The impacts on Natura 2000 sites are particularly concerning as this network of protected areas is a cornerstone for maintenance and restoration of biodiversity within the EU. I recommend placing a stronger emphasis in the management of Natura 2000 sites on the threats to wildlife conservation caused by transport infrastructure and traffic. Special attention should be paid to sites with a large overlap with the REZ and sites hosting particularly vulnerable taxa or habitats. Infrastructure owners and managers should make their best efforts to minimise and compensate for the negative impacts of roads and railways and associated traffic in SPAs and other protected areas.</t>
  </si>
  <si>
    <t>[Helldin, Jan Olof] SLU, Swedish Biodiren Ctr, POB 7016, Uppsala, Sweden; [Helldin, Jan Olof] Calluna AB, Linkoping, Sweden</t>
  </si>
  <si>
    <t>Helldin, JO (corresponding author), SLU, Swedish Biodiren Ctr, POB 7016, Uppsala, Sweden.;Helldin, JO (corresponding author), Calluna AB, Linkoping, Sweden.</t>
  </si>
  <si>
    <t>j-o.helldin@slu.se</t>
  </si>
  <si>
    <t>Swedish Transport Administration</t>
  </si>
  <si>
    <t>I am grateful to Vadym Sokol for assisting in GIS data retrieval and GIS analyses, and to Victor Johansson for assisting in the statistical analyses. I am also grateful to Lars Nilsson, Marten Karlson, Jochen Jaeger and an anonymous reviewer for providing helpful comments on earlier drafts of this paper. I thank Ana Benitez-Lopez and her co-workers for kind permission to reproduce their published figure. The study was financed by the Swedish Transport Administration as part of the research programme TRIEKOL (http://triekol.se/home-eng/).</t>
  </si>
  <si>
    <t>JUL 2</t>
  </si>
  <si>
    <t>10.3897/natureconservation.36.31826</t>
  </si>
  <si>
    <t>IG3RG</t>
  </si>
  <si>
    <t>WOS:000473722300001</t>
  </si>
  <si>
    <t>Gomez, C; Lawson, J; Kouwenberg, AL; Moors-Murphy, H; Buren, A; Fuentes-Yaco, C; Marotte, E; Wiersma, YF; Wimmer, T</t>
  </si>
  <si>
    <t>Gomez, Catalina; Lawson, Jack; Kouwenberg, Amy-Lee; Moors-Murphy, Hilary; Buren, Alejandro; Fuentes-Yaco, Cesar; Marotte, Emma; Wiersma, Yolanda F.; Wimmer, Tonya</t>
  </si>
  <si>
    <t>Predicted distribution of whales at risk: identifying priority areas to enhance cetacean monitoring in the Northwest Atlantic Ocean</t>
  </si>
  <si>
    <t>Species distribution model; Cetacean; Blue whale; Northern bottlenose whale; Canada; Spatial planning; MaxEnt</t>
  </si>
  <si>
    <t>BOTTLE-NOSED WHALES; MARINE SEISMIC SURVEYS; SCOTIAN SHELF; HYPEROODON-AMPULLATUS; BEAKED-WHALES; BLUE WHALE; SPECIES DISTRIBUTIONS; EUBALAENA-GLACIALIS; HABITAT SUITABILITY; SUBMARINE-CANYON</t>
  </si>
  <si>
    <t>Using long-term data from government, non-government, academic, and industry sources, we developed species distribution models (SDMs) to predict priority areas in which to target and enhance blue whale Balaenoptera musculus and northern bottlenose whale Hyperoodon ampullatus monitoring efforts in eastern Canada. Priority areas for blue whales were located primarily on the Scotian Shelf and along the south shelf break in waters off Newfoundland. Priority areas for northern bottlenose whales were identified primarily in areas along the edges of the eastern Scotian Shelf and the Newfoundland and Labrador Shelves, in submarine canyons, and deep basins. The SDM results and the tools presented in this study indicate that there are few conservation areas in eastern Canada that currently protect whales at risk, and that priority areas for blue and northern bottlenose whales overlap with regions where noise-producing activities (shipping and seismic exploration) occur. This study also highlighted large gaps in the cetacean data related to human activities (e.g. seismic survey lines are outdated and recent information from the past 5 to 10 yr is not available). The SDM approach developed in this study can be used as an iterative, adaptive process by including updated data as it becomes available, further refining and validating the SDM results and thereby improve our understanding of the distribution of cetaceans and noise-producing activities in eastern Canada.</t>
  </si>
  <si>
    <t>[Gomez, Catalina; Lawson, Jack; Kouwenberg, Amy-Lee; Buren, Alejandro] Northwest Atlantic Fisheries Ctr, Dept Fisheries &amp; Oceans, Marine Mammal Sect, St John, NF A1C 5X1, Canada; [Gomez, Catalina; Moors-Murphy, Hilary; Fuentes-Yaco, Cesar; Marotte, Emma] Bedford Inst Oceanog, Dept Fisheries &amp; Oceans, Ocean &amp; Ecosyst Sci Div, Dartmouth, NS B2Y 4A2, Canada; [Wiersma, Yolanda F.] Mem Univ Newfoundland, Dept Biol, St John, NF A1B 3X9, Canada; [Wimmer, Tonya] Dalhousie Univ, Dept Biol, Halifax, NS A1B 3X9, Canada</t>
  </si>
  <si>
    <t>Fisheries &amp; Oceans Canada; Bedford Institute of Oceanography; Fisheries &amp; Oceans Canada; Memorial University Newfoundland; Dalhousie University</t>
  </si>
  <si>
    <t>Gomez, C (corresponding author), Northwest Atlantic Fisheries Ctr, Dept Fisheries &amp; Oceans, Marine Mammal Sect, St John, NF A1C 5X1, Canada.;Gomez, C (corresponding author), Bedford Inst Oceanog, Dept Fisheries &amp; Oceans, Ocean &amp; Ecosyst Sci Div, Dartmouth, NS B2Y 4A2, Canada.</t>
  </si>
  <si>
    <t>catalina.gomez@dfo-mpo.gc.ca</t>
  </si>
  <si>
    <t>Buren, Alejano/J-1170-2014; gomez, catalina/KLZ-5034-2024</t>
  </si>
  <si>
    <t>Buren, Alejano/0000-0003-4561-2978;</t>
  </si>
  <si>
    <t>Natural Sciences and Engineering Research Council - Strategic Program for Ecosystem-Based Research and Advice (SPERA) at the Department of Fisheries and Oceans Canada; International Fund for Animal Welfare c/o MCR International; NOAA Northeast Fisheries Science Center (NEFSC); Right Whale Aerial Survey; World Wildlife Fund Canada</t>
  </si>
  <si>
    <t>C.G. was supported by a Natural Sciences and Engineering Research Council post-doctoral Visiting Fellowship funded by the Strategic Program for Ecosystem-Based Research and Advice (SPERA) at the Department of Fisheries and Oceans Canada. We thank Paul Regular for helping in the analysis of data. We thank Yvan Simard and Nathalie Roy for providing data and advice on ship traffic density. We also thank the following institutions for providing sightings of cetaceans: Fisheries and Oceans Canada Maritimes and Newfoundland and Labrador regions, the Canadian Wildlife Service of Environment and Climate Change Canada, the North Atlantic Right Whale Consortium, the University of Rhode Island's Bureau of Land Management for air and opportunistic sightings from the Cetacean and Turtle Assessment Program (CETAP), Lamont-Doheorty Earth Observatory, LGL Ltd. Environmental Research Associates, the National Science Foundation marine seismic surveys, sightings from R/V 'Song of the Whale' 1993 to 2013 (International Fund for Animal Welfare c/o MCR International (http://seamap.env.duke.edu/dataset/1158), and the NOAA Northeast Fisheries Science Center (NEFSC) for sightings from the Aerial Survey - Summer 1998 and the Right Whale Aerial Survey. We thank World Wildlife Fund Canada for supporting the preparation of the cetacean sightings data in DFO Newfoundland and Labrador region. We thank the Remote Sensing Unit at the Bedford Institute of Oceanography, and NASA/Ocean Biology Processing Group for providing the satellite images and facilities for the data processing. We thank Marty King, Derek Fenton, Derek Tittensor, and Gary Stenson for support, suggestions and ideas. We also thank the anonymous reviewers for their comments and suggestions to improve the quality of the manuscript.</t>
  </si>
  <si>
    <t>10.3354/esr00823</t>
  </si>
  <si>
    <t>EW3CY</t>
  </si>
  <si>
    <t>WOS:000402373500003</t>
  </si>
  <si>
    <t>Smith, JA; Brown, MB; Harrison, JO; Powell, LA</t>
  </si>
  <si>
    <t>Smith, J. A.; Brown, M. B.; Harrison, J. O.; Powell, L. A.</t>
  </si>
  <si>
    <t>Predation risk: a potential mechanism for effects of a wind energy facility on Greater Prairie-Chicken survival</t>
  </si>
  <si>
    <t>demography; Greater Prairie-Chicken; Nebraska; occupancy; prairie grouse; predator; renewable energy; Sandhills; Tympanuchus; Tympanuchus cupido pinnatus; wind farm</t>
  </si>
  <si>
    <t>SAGE-GROUSE; UNIFIED APPROACH; HOME-RANGE; LANDSCAPE; MOVEMENTS; GRADIENT; BEHAVIOR; TURBINES; RAPTORS; COYOTES</t>
  </si>
  <si>
    <t>Recent expansion of the wind energy industry has raised concerns about the potential effects of wind energy facilities on prairie grouse. For example, efforts have been made to evaluate indirect effects on prairie grouse survival, but it is also critical to investigate the underlying mechanisms to direct conservation strategies. The objective of this study was to investigate the indirect effects of a wind energy facility on the survival of female Greater Prairie-Chickens (Tympanuchus cupido pinnatus) and on the occupancy of avian and mammalian predators. Between March and July of 2013 and 2014, we investigated spatial variation in predation risk by sampling occupancy of mammalian and avian predators within 10 km of a wind energy facility constructed in 2005 in Brown County, Nebraska, USA. During the same period, we assessed spatial variation in daily survival of radio-marked females within the same area. We found little evidence that probability of site occupancy (Psi) of avian predators was lower near the wind energy facility (within 2 km: Psi = 0.70, 95% CI = 0.22-0.95; beyond 2 km: Psi = 0.93, 95% CI = 0.02-1.00), suggesting that avian predators did not display local-scale avoidance behavior around wind turbines. Mammalian predators were documented at all of our sample locations, but the capture index for all mammals was lower at sample sites near the wind turbines (P = 0.004). Occupancy of coyotes (Canis latrans), the likely main mammalian predator of adult prairie-chickens in the area, did not vary significantly throughout our study site (within 0.5 km of wind energy facility: Psi = 0.65, 95% CI = 0.07-0.98; beyond 0.5 km: Psi = 0.96, 95% CI = 0.04-1.00), although trends were in the direction expected if coyotes were avoiding the wind energy facility. Distance to wind turbine had no effect on daily survival (S-D) of female prairie-chickens (S-D = 0.9948, S-E = 0.0015). The potential for predators to avoid wind energy facilities, and thus affect predation risk, underscores the complexity of planning to address potential impacts of wind energy as variation in predation risk may have consequences for the population viability of a wide range of species at risk from wind energy development.</t>
  </si>
  <si>
    <t>[Smith, J. A.; Brown, M. B.; Harrison, J. O.; Powell, L. A.] Univ Nebraska Lincoln, Sch Nat Resources, Lincoln, NE 68583 USA; [Smith, J. A.] Virginia Polytech Inst &amp; State Univ, Dept Biol Sci, Blacksburg, VA 24061 USA</t>
  </si>
  <si>
    <t>University of Nebraska System; University of Nebraska Lincoln; Virginia Polytechnic Institute &amp; State University</t>
  </si>
  <si>
    <t>Smith, JA (corresponding author), Univ Nebraska Lincoln, Sch Nat Resources, Lincoln, NE 68583 USA.;Smith, JA (corresponding author), Virginia Polytech Inst &amp; State Univ, Dept Biol Sci, Blacksburg, VA 24061 USA.</t>
  </si>
  <si>
    <t>drjensmith1@gmail.com</t>
  </si>
  <si>
    <t>U.S. Fish and Wildlife Service Wildlife Restoration - Hatch Act funds through University of Nebraska Agricultural Research Division, Lincoln, Nebraska.; Nebraska Environmental Trust; Nebraska Game and Parks Commission; Graduate Research Fellowship Program from the National Science Foundation</t>
  </si>
  <si>
    <t>This project was funded with U.S. Fish and Wildlife Service Wildlife Restoration dollars administered by the Nebraska Game and Parks Commission. Larkin A. Powell was supported by Hatch Act funds through the University of Nebraska Agricultural Research Division, Lincoln, Nebraska. Mary Bomberger Brown was supported by the Nebraska Environmental Trust and the Nebraska Game and Parks Commission. Jocelyn O. Harrison was supported by a Graduate Research Fellowship Program from the National Science Foundation. All authors conceived the idea and design of the study and wrote the manuscript, Jocelyn O. Harrison and Jennifer A. Smith collected the data, and Larkin A. Powell and Jennifer A. Smith analyzed the data. Animal capture and handing protocols were approved by the University of Nebraska-Lincoln Institutional Animal Care Use and Committee (Protocol no. 650). We thank the Nebraska Department of Roads and Scott Hyngstrom (University of Nebraska- Lincoln) who provided trail cameras. For assistance, we thank Nate Bieber, Candice Doyle, Michelle Dvoracek, Matthew Gonnerman, Emily Kermath, Jeff Lusk, Rocky Plettner, Jackie Mather, Lindsey Sanders, Elsie Shogren, Tyler Trump, Nate Turner, Bill Vodehnal, Chris Walnofer, and Cara Whalen. We thank numerous private land owners and the Nebraska Public Power District who allowed us access to their property. We thank Lance McNew, Virginia Winder, and an anonymous reviewer for insightful comments that helped improve this manuscript.</t>
  </si>
  <si>
    <t>e01835</t>
  </si>
  <si>
    <t>10.1002/ecs2.1835</t>
  </si>
  <si>
    <t>FA7KX</t>
  </si>
  <si>
    <t>WOS:000405626700017</t>
  </si>
  <si>
    <t>Sainsbury, AW; Deaville, R; Lawson, B; Cooley, WA; Farelly, SSJ; Stack, MJ; Duff, P; McInnes, CJ; Gurnell, J; Russell, PH; Rushton, SP; Pfeiffer, DU; Nettleton, P; Lurz, PWW</t>
  </si>
  <si>
    <t>Sainsbury, Anthony W.; Deaville, Robert; Lawson, Becki; Cooley, William A.; Farelly, Stephan S. J.; Stack, Michael J.; Duff, Paul; McInnes, Colin J.; Gurnell, John; Russell, Peter H.; Rushton, Stephen P.; Pfeiffer, Dirk U.; Nettleton, Peter; Lurz, Peter W. W.</t>
  </si>
  <si>
    <t>Poxviral Disease in Red Squirrels Sciurus vulgaris in the UK: Spatial and Temporal Trends of an Emerging Threat</t>
  </si>
  <si>
    <t>ECOHEALTH</t>
  </si>
  <si>
    <t>invasive species; apparent competition; Sciuridae; conservation</t>
  </si>
  <si>
    <t>GREY SQUIRRELS; PARAPOXVIRUS INFECTION; CAROLINENSIS; DECLINE; BRITAIN; HEALTH</t>
  </si>
  <si>
    <t>The squirrel poxvirus (SQPV) is the probable mediator of apparent competition between the introduced invading gray squirrel (Sciurus carolinensis) and the red squirrel (Sciurus vulgaris) in the UK, and modeling studies have shown that this viral disease has had a significant impact on the decline of the red squirrel in the UK. However, given our limited understanding of the epidemiology of the disease, and more generally the effects of invasive species on parasite ecology, there is a need to investigate the transmission dynamics and the relative pathogenicity of the virus between species. We aimed to increase our knowledge of these processes through an empirical study in which we: (i) used pathological signs and transmission electron microscopy (TEM) to diagnose SQPV disease in red squirrels found dead during scanning surveillance between 1993 and 2005; (ii) detected antibody to SQPV using an enzyme-linked immunosorbent assay (ELISA) in the same animals; and (iii) mapped cases of the disease, and the gray squirrel distribution, using a geographical information system. We analyzed the distribution of cases of SQPV disease according to woodland type, a measure of squirrel density. SQPV disease occurred only in areas of England also inhabited by seropositive gray squirrels, and as the geographical range of gray squirrels expanded, SQPV disease occurred in these new gray squirrel habitats, supporting a role for the gray squirrel as a reservoir host of the virus. There was a delay between the establishment of invading gray squirrels and cases of the disease in red squirrels which implies gray squirrels must reach a threshold number or density before the virus is transmitted to red squirrels. The spatial and temporal trend in SQPV disease outbreaks suggested that SQPV disease will have a significant effect on Scottish populations of red squirrels within 25 years. The even spread of cases of disease across months suggested a direct rather than vector-borne transmission route is more likely. Eight juvenile and sub-adult free-living red squirrels apparently survived exposure to SQPV by mounting an immune response, the first evidence of immunity to SQPV in free-living red squirrels, which possibly suggests a changing host-parasite relationship and that the use of a vaccine may be an effective management tool to protect remnant red squirrel populations.</t>
  </si>
  <si>
    <t>[Sainsbury, Anthony W.; Deaville, Robert; Lawson, Becki] Zool Soc London, Inst Zool, London NW1 4RY, England; [Cooley, William A.; Farelly, Stephan S. J.; Stack, Michael J.] Vet Labs Agcy, Addlestone KT15 3NB, Surrey, England; [McInnes, Colin J.; Nettleton, Peter] Moredun Res Inst, Edinburgh EH26 OPZ, Midlothian, Scotland; [Gurnell, John] Univ London, London E1 4NS, England; [Russell, Peter H.] Univ London Royal Vet Coll, London NW1 0TU, England; [Rushton, Stephen P.; Lurz, Peter W. W.] Newcastle Univ, Sch Biol, IRES, Newcastle Upon Tyne NE1 7RU, Tyne &amp; Wear, England; [Pfeiffer, Dirk U.] Royal Vet Coll, Hatfield AL9 7TA, Herts, England</t>
  </si>
  <si>
    <t>Zoological Society of London; Veterinary Laboratories Agency; Moredun Research Institute; University of London; University of London; University of London Royal Veterinary College; Newcastle University - UK; University of London; University of London Royal Veterinary College</t>
  </si>
  <si>
    <t>Sainsbury, AW (corresponding author), Zool Soc London, Inst Zool, Regents Pk, London NW1 4RY, England.</t>
  </si>
  <si>
    <t>tony.sainsbury@ioz.ac.uk</t>
  </si>
  <si>
    <t>; Pfeiffer, Dirk/C-5002-2009; Stack, Michael/C-7590-2011; Lurz, Peter/O-5108-2019; Carter, Stephen/KCK-3192-2024</t>
  </si>
  <si>
    <t>lawson, becki/0000-0003-1706-7140; Pfeiffer, Dirk/0000-0001-7000-0530; McInnes, Colin/0000-0002-1465-9901;</t>
  </si>
  <si>
    <t>1612-9202</t>
  </si>
  <si>
    <t>1612-9210</t>
  </si>
  <si>
    <t>10.1007/s10393-008-0191-z</t>
  </si>
  <si>
    <t>397XU</t>
  </si>
  <si>
    <t>WOS:000262696500010</t>
  </si>
  <si>
    <t>Dwyer, JF; Harness, RE; Gerber, BD; Landon, MA; Petersen, P; Austin, DD; Woodbridge, B; Williams, GE; Eccleston, D</t>
  </si>
  <si>
    <t>Dwyer, James F.; Harness, Rick E.; Gerber, Brian D.; Landon, Melissa A.; Petersen, Paul; Austin, Daryl D.; Woodbridge, Brian; Williams, Gary E.; Eccleston, Duncan</t>
  </si>
  <si>
    <t>Aquila chrysaetos; Colorado; electric utility; golden eagle; model; random forest; raptor electrocution; Wyoming</t>
  </si>
  <si>
    <t>GREATER SAGE-GROUSE; RAPTOR ELECTROCUTION; POPULATION; PREDATION; HABITAT; UTILITY</t>
  </si>
  <si>
    <t>Raptor and corvid electrocutions cause continental conservation concerns for breeding, migrating, and wintering birds. Although concerns are widespread, mitigation is implemented primarily at local scales of individual electric utilities. By not considering landscape-scale patterns, conservation strategies may fail to focus mitigation where efforts are needed most. To enable resource managers to consider electrocution risk at larger scales, we developed a regional model of distribution power pole (pole) density in a grid of 1-km(2) cells throughout Colorado and Wyoming. To do so, we obtained data on pole locations from a sample of electric utilities covering 31% of Colorado and Wyoming, and developed a predictive model of poles throughout the remainder of the 2 states. Pole density was influenced by road lengths, number of oil and gas wells, slope, development, and land cover. Poles were densest in areas with high road lengths, high numbers of wells, and relatively flat terrain, and in areas developed for agriculture or human residences. When model predictions are viewed together with species-specific habitat maps, locations where high pole densities overlap habitat suggest areas where mitigating electrocution risk could be prioritized. Communication between resource managers and local utilities could then clarify the poles that caused the highest risk to raptors from electrocution. Thus, the model provides a framework for systematic spatial prioritization in support of regional conservation planning to minimize electrocution of raptors and corvids. (c) 2016 The Wildlife Society.</t>
  </si>
  <si>
    <t>[Dwyer, James F.; Harness, Rick E.; Landon, Melissa A.; Petersen, Paul; Austin, Daryl D.; Eccleston, Duncan] EDM Int, Ft Collins, CO 80525 USA; [Gerber, Brian D.] Colorado State Univ, Dept Fish Wildlife &amp; Conservat Biol, Colorado Cooperat Fish &amp; Wildlife Res Unit, Ft Collins, CO 80523 USA; [Woodbridge, Brian] US Fish &amp; Wildlife Serv, Div Migratory Birds, Reg 6, Yreka, CA 96097 USA; [Williams, Gary E.] US Fish &amp; Wildlife Serv, Div Migratory Birds, Reg 6, Cheyenne, WY 82009 USA</t>
  </si>
  <si>
    <t>Colorado State University System; Colorado State University Fort Collins; United States Department of the Interior; US Fish &amp; Wildlife Service; United States Department of the Interior; US Fish &amp; Wildlife Service</t>
  </si>
  <si>
    <t>Dwyer, JF (corresponding author), EDM Int, Ft Collins, CO 80525 USA.</t>
  </si>
  <si>
    <t>jdwyer@edmlink.com</t>
  </si>
  <si>
    <t>United States Fish and Wildlife Service; EDM International</t>
  </si>
  <si>
    <t>United States Fish and Wildlife Service(US Fish &amp; Wildlife Service); EDM International</t>
  </si>
  <si>
    <t>We are extraordinarily grateful to our friends in the electric industry who made this work possible, particularly S. Ligouri who provided a review that greatly improved the clarity of this report. We also thank A. Hernandez-Matias and an anonymous reviewer for comments improving this description of our work. We thank H. L. Bates for assistance with GIS, L. A. Nielsen for coordinating with utilities, and C. A. Riebe for editorial support. This project was funded by the United States Fish and Wildlife Service and EDM International with guidance from G. C. Hazard, T. M. Lickfett, V. A. Steen, and J. D. Tack, whose comments also vastly improved this report.</t>
  </si>
  <si>
    <t>10.1002/jwmg.1048</t>
  </si>
  <si>
    <t>DJ8TT</t>
  </si>
  <si>
    <t>WOS:000374486800005</t>
  </si>
  <si>
    <t>Kuemmerle, T; Baskin, L; Leitao, PJ; Prishchepov, AV; Thonicke, K; Radeloff, VC</t>
  </si>
  <si>
    <t>Kuemmerle, Tobias; Baskin, Leonid; Leitao, Pedro J.; Prishchepov, Alexander V.; Thonicke, Kirsten; Radeloff, Volker C.</t>
  </si>
  <si>
    <t>Arctic; calving grounds; climate change; land use change; oil and gas exploitation; parturition; Russia; seasonal habitat; species distribution modelling</t>
  </si>
  <si>
    <t>SPECIES DISTRIBUTION MODELS; POPULATION-DYNAMICS; FEMALE CARIBOU; FIDELITY; WILD; INFRASTRUCTURE; CONSERVATION; VARIABILITY; VEGETATION; RESPONSES</t>
  </si>
  <si>
    <t>AimDrivers of biodiversity loss are increasingly broad in scale, requiring conservation planning to move towards range-wide assessments. This is especially challenging for migratory species, such as reindeer or caribou (Rangifer tarandus), which use only a small portion of their range at a given point in time, and for which some parts of their range, such as calving grounds, may be much more important than others. Our aim was to identify potential calving ground habitat of wild tundra reindeer populations throughout Russia, where scarce knowledge about seasonal reindeer habitat is an obstacle for conservation planning, and to assess possible impacts from oil and gas development and climate change. LocationNorthern Eurasia. MethodWe used occurrence data from known reindeer calving grounds using species distribution models to first assess calving grounds characteristics and second predict their distribution across the Russian Arctic. We then compared our calving ground map with maps of oil and gas development, and a range of climate change indicators. ResultsWe found areas throughout the Russian Arctic that are suitable for calving, including for some wild reindeer populations where calving ground locations are unknown. Variables relating to resource availability in spring and predator avoidance were the strongest predictors in our model. Oil and gas development affects calving grounds especially in the Barents Sea region and in south-western Siberia, whereas climate change affects calving grounds on Taymyr, Chukotka, and Kamchatka. Main conclusionsWe conducted the first assessment of calving grounds of Russia's wild reindeer populations, highlighting the spatial heterogeneity of the threats that they may face. Given the potentially strong impact of oil and gas development and climate change, conservation planning should aim for designing resilient conservation networks that would allow Arctic biodiversity to freely move in time and space and thus to adapt to changing environments.</t>
  </si>
  <si>
    <t>[Kuemmerle, Tobias; Leitao, Pedro J.] Humboldt Univ, Dept Geog, D-10099 Berlin, Germany; [Kuemmerle, Tobias; Thonicke, Kirsten] Potsdam Inst Climate Impact Res PIK, Potsdam, Germany; [Baskin, Leonid] Russian Acad Sci, AN Severtsov Inst Ecol &amp; Evolut, Moscow, Russia; [Prishchepov, Alexander V.] Leibniz Inst Agr Dev Cent &amp; Eastern Europe IAMO, Halle, Saale, Germany; [Radeloff, Volker C.] Univ Wisconsin, Dept Forest &amp; Wildlife Ecol, Madison, WI USA</t>
  </si>
  <si>
    <t>Humboldt University of Berlin; Potsdam Institut fur Klimafolgenforschung; Russian Academy of Sciences; Saratov Scientific Center of the Russian Academy of Sciences; Severtsov Institute of Ecology &amp; Evolution; Leibniz Association; Leibniz Institut fur Agrarentwicklung in Transformationsokonomien (IAMO); University of Wisconsin System; University of Wisconsin Madison</t>
  </si>
  <si>
    <t>Kuemmerle, T (corresponding author), Humboldt Univ, Dept Geog, Unter Linden 6, D-10099 Berlin, Germany.</t>
  </si>
  <si>
    <t>tobias.kuemmerle@geo.hu-berlin.de</t>
  </si>
  <si>
    <t>Radeloff, Volker/B-6124-2016; Leitão, Peo J/B-7422-2009; Prishchepov, Alexander/H-6708-2012; Kuemmerle, Tobias/B-4340-2008</t>
  </si>
  <si>
    <t>Radeloff, Volker/0000-0001-9004-221X; Leitão, Peo J/0000-0003-3038-9531; Prishchepov, Alexander/0000-0003-2375-1651; Kuemmerle, Tobias/0000-0002-9775-142X</t>
  </si>
  <si>
    <t>European Commission (VOLANTE) [FP7-ENV-2010-265104]; NASA Land-Cover and Land-Use Change Program; Einstein Foundation Berlin</t>
  </si>
  <si>
    <t>European Commission (VOLANTE); NASA Land-Cover and Land-Use Change Program(National Aeronautics &amp; Space Administration (NASA)); Einstein Foundation Berlin</t>
  </si>
  <si>
    <t>We thank E. Bragina, V. Elsakov, M. Dubinin, A. Gunn and T. Sipko for helpful discussions and thoughtful comments on prior manuscript versions. We are grateful to E. Tsybikova for sharing GIS data on oil and gas development in the Barents Sea region, and to S. Blyth from the UNEP WCMC for analysing the IHS database. We gratefully acknowledge support by the European Commission (VOLANTE, FP7-ENV-2010-265104), the NASA Land-Cover and Land-Use Change Program, and the Einstein Foundation Berlin.</t>
  </si>
  <si>
    <t>10.1111/ddi.12167</t>
  </si>
  <si>
    <t>WOS:000332445900005</t>
  </si>
  <si>
    <t>Sharma, HP; Rimal, B; Zhang, MX; Sharma, S; Poudyal, LP; Maharjan, S; Kunwar, R; Kaspal, P; Bhandari, N; Baral, L; Dhakal, S; Tripathi, A; Karki, N; Khadki, B; Thapa, P; Acharya, BK; Acharya, S; Baral, K; Katuwal, HB</t>
  </si>
  <si>
    <t>Sharma, Hari Prasad; Rimal, Bhagawat; Zhang, Mingxia; Sharma, Sandhya; Poudyal, Laxman Prasad; Maharjan, Sujan; Kunwar, Ripu; Kaspal, Prativa; Bhandari, Namrata; Baral, Laxmi; Dhakal, Sujita; Tripathi, Ashish; Karki, Nimisha; Khadki, Bibasa; Thapa, Prakash; Acharya, Bipin Kumar; Acharya, Suman; Baral, Kedar; Katuwal, Hem Bahadur</t>
  </si>
  <si>
    <t>Potential Distribution of the Critically Endangered Chinese Pangolin (Manis pentadactyla) in Different Land Covers of Nepal: Implications for Conservation</t>
  </si>
  <si>
    <t>Chinese pangolin; conservation; physiographic regions; land use; modeling; suitable habitat</t>
  </si>
  <si>
    <t>AIR-TEMPERATURE CHANGES; PANDA AILURUS-FULGENS; SPECIES DISTRIBUTIONS; DISTRIBUTION MODELS; EXTINCTION RISK; HABITAT; IMPACTS; COMMUNITIES; POPULATIONS; PREDICTION</t>
  </si>
  <si>
    <t>Anthropogenic activities have driven many wildlife species towards extinction. Among these species, the geographic distributions of many are poorly documented, which can limit the effectiveness of conservation. The critically endangered Chinese pangolin (Manis pentadactyla) is experiencing population decline throughout its range due to land-use changes and illegal trade for food and traditional medicine. Using distribution records and maximum entropy modeling, we predicted the potential distribution of the Chinese pangolin across Nepal. Most suitable potential habitats of the Chinese pangolin occurred in forest areas of the mid-hill region in central and eastern Nepal, followed by cultivated land. Almost all potential suitable habitats of the Chinese pangolin occurred outside of protected areas, and most of them were encroached upon by cultivated land, human settlements, and infrastructure developments. The results from this study provide baseline information on the potential suitable habitats of the Chinese pangolin in Nepal, which helps to develop site- and species-specific management plans and to identify priority areas to minimize the current threats to the pangolin and enhance the stewardship of species conservation.</t>
  </si>
  <si>
    <t>[Sharma, Hari Prasad; Sharma, Sandhya] Tribhuvan Univ, Cent Dept Zool, Kathmandu 44600, Nepal; [Rimal, Bhagawat] Tribhuvan Univ, Coll Appl Sci CAS Nepal, Kathmandu 44613, Nepal; [Zhang, Mingxia] Chinese Acad Sci, Southeast Asia Biodivers Res Inst, Yezin 05282, Nay Pyi Taw, Myanmar; [Zhang, Mingxia; Katuwal, Hem Bahadur] Chinese Acad Sci, Xishuangbanna Trop Bot Garden, Ctr Integrat Conservat, Xishuangbanna 666303, Yunnan, Peoples R China; [Poudyal, Laxman Prasad] Suklaphata Natl Pk, Dept Natl Pk &amp; Wildlife Conservat, Kanchanpur 10400, Nepal; [Maharjan, Sujan] Minist Forests &amp; Environm, Planning Monitoring &amp; Coordinat Div, Kathmandu 44613, Nepal; [Kunwar, Ripu] Florida Atlantic Univ, Dept Geosci, Cultural &amp; Spatial Ecol, Boca Raton, FL 33431 USA; [Kaspal, Prativa] Nat Heritage Nepal &amp; Women Conservat, Bhaktapur 66400, Nepal; [Bhandari, Namrata] Valdosta State Univ, Valdosta, GA 31601 USA; [Baral, Laxmi] Minist Ind Tourism Forest &amp; Environm, Hetauda 44107, Nepal; [Dhakal, Sujita; Tripathi, Ashish] Tribhuvan Univ, Kathmandu Forestry Coll, Kathmandu 44613, Nepal; [Karki, Nimisha] Kathmandu Univ, Dept Environm Sci &amp; Engn, Kavrepalanchok 45200, Nepal; [Khadki, Bibasa] Pokhara Univ, Sch Environm Sci &amp; Management, Kathmandu 44613, Nepal; [Thapa, Prakash] Div Forest Off, Baglung 33300, Nepal; [Acharya, Bipin Kumar] Sun Yat Sen Univ, Sch Publ Hlth, Dept Epidemiol, Guangzhou 510080, Peoples R China; [Acharya, Suman] Univ Maine, Dept Anthropol, Anthropol &amp; Environm Policy, Orono, ME 04469 USA; [Baral, Kedar] Div Forest Off, Tanahun 33900, Nepal; [Baral, Kedar] Massey Univ, Sch Nat &amp; Computat Sci, Auckland 4442, New Zealand; [Katuwal, Hem Bahadur] Univ Chinese Acad Sci, Beijing 100049, Peoples R China</t>
  </si>
  <si>
    <t>Tribhuvan University; Tribhuvan University; Chinese Academy of Sciences; Xishuangbanna Tropical Botanical Garden, CAS; State University System of Florida; Florida Atlantic University; University System of Georgia; Valdosta State University; Tribhuvan University; Sun Yat Sen University; University of Maine System; University of Maine Orono; Massey University; Chinese Academy of Sciences; University of Chinese Academy of Sciences, CAS</t>
  </si>
  <si>
    <t>Sharma, HP (corresponding author), Tribhuvan Univ, Cent Dept Zool, Kathmandu 44600, Nepal.;Katuwal, HB (corresponding author), Chinese Acad Sci, Xishuangbanna Trop Bot Garden, Ctr Integrat Conservat, Xishuangbanna 666303, Yunnan, Peoples R China.;Katuwal, HB (corresponding author), Univ Chinese Acad Sci, Beijing 100049, Peoples R China.</t>
  </si>
  <si>
    <t>hpsharma@cdztu.edu.np; bhagawatrimal@gmail.com; zhangmingxia@xtbg.org.cn; sandhyasharma198@gmail.com; laxman@dnpwc.gov.np; sujan.maharjan@nepal.gov.np; rkunwar@fau.edu; prativa.kaspal14@gmail.com; nbhandari@valdosta.edu; laxmi.baral26@gmail.com; sujitadhakal@gmail.com; tripathibaase@gmail.com; nimisha.karki@siu.edu; bb.khadgi@gmail.com; prakash.thapa68@gmail.com; acharya@mail.sysu.edu.cn; suman.acharya@maine.edu; k.baral@massey.ac.nz; hembahadur@xtbg.ac.cn</t>
  </si>
  <si>
    <t>Acharya, Bipin Kumar/P-1461-2014; Kunwar, Ripu/A-2242-2012; Sharma, Hari Prasad/GOJ-7665-2022; Sharma, Santosh K/AAP-5386-2021; Acharya, Suman/AAP-4838-2020; Katuwal, Hem/R-7895-2019</t>
  </si>
  <si>
    <t>Acharya, Bipin Kumar/0000-0002-3824-5973; Zhang, Mingxia/0000-0002-0626-9276; Thapa, Prakash/0009-0002-7464-5197; Sharma, Hari Prasad/0000-0002-0708-1769; Rimal, Bhagawat/0000-0001-7480-4165; Sharma, Santosh K/0000-0002-3715-2054; Acharya, Suman/0000-0002-5400-327X;</t>
  </si>
  <si>
    <t>Chinese Research Academy of Environmental Sciences; Rufford Small Grant Foundation [21665-1, 26509-2]; Ocean Park Conservation Foundation [TM02-1516, TM03-1617]; Taiwan Forestry Bureau; Fresno Chaffee Zoo Wildlife Conservation Fund; WWF-Nepal [WT60]; Ensemble Foundation</t>
  </si>
  <si>
    <t>Chinese Research Academy of Environmental Sciences(Chinese Academy of Sciences); Rufford Small Grant Foundation; Ocean Park Conservation Foundation; Taiwan Forestry Bureau; Fresno Chaffee Zoo Wildlife Conservation Fund; WWF-Nepal; Ensemble Foundation</t>
  </si>
  <si>
    <t>The study was supported by the Chinese Research Academy of Environmental Sciences, Rufford Small Grant Foundation (Grant No: 21665-1, 26509-2), Ocean Park Conservation Foundation (Grant No. TM02-1516 and TM03-1617), Taiwan Forestry Bureau, Ensemble Foundation, Fresno Chaffee Zoo Wildlife Conservation Fund, and WWF-Nepal (Grant No: WT60).</t>
  </si>
  <si>
    <t>10.3390/su12031282</t>
  </si>
  <si>
    <t>LB8SF</t>
  </si>
  <si>
    <t>WOS:000524899605013</t>
  </si>
  <si>
    <t>Shalders, TC; Saunders, BJ; Bennett, S; Parker, JRC; Harvey, ES</t>
  </si>
  <si>
    <t>Shalders, Tanika C.; Saunders, Benjamin J.; Bennett, Scott; Parker, Jack R. C.; Harvey, Euan S.</t>
  </si>
  <si>
    <t>Potential climate-mediated changes to the distribution and density of pomacentrid reef fishes in south-western Australia</t>
  </si>
  <si>
    <t>Damselfishes; Pomacentridae; Parma; Pomacentrus; Global warming; Heatwave; Biological distribution; Range expansion; Ecklonia radiata</t>
  </si>
  <si>
    <t>STEREO-VIDEO SYSTEM; HEAT WAVES; MARINE; TEMPERATE; DAMSELFISH; ACCURACY; BEHAVIOR; DIVERS; RANGE; SEA</t>
  </si>
  <si>
    <t>Climate change and associated increased water temperatures pose a substantial threat for the future of marine ecosystems. Temperate Australia is a global biodiversity hotspot which has experienced ocean warming rates 2 to 4 times faster than the global average. To better understand the effects of these temperature changes on marine fish distributions and densities, we surveyed territorial damselfishes across 2000 km of temperate coastline in south-western Australia. Diver-operated stereo-video was used to determine if the distribution and density of 4 pomacentrids (Parma occidentalis, P. mccullochi, P. victoriae and Pomacentrus milleri) and their biotic habitat changed between 2006 and 2015, a time period characterised by gradual warming trends and an extreme marine heatwave. Surveys showed that the density of the warm-water pomacentrids P. milleri and P. occidentalis increased, while cool-water P. victoriae and intermediate species P. mccullochi showed no changes in density. In northern, warmer waters, the density of habitat-forming algal species such as Ecklonia radiata decreased, while turf algae species increased. In general, 2015 was characterised by a shift toward non-canopy algae habitats when compared to 2006. The observed changes in fish assemblages were likely caused by a combination of increased temperatures and changes in habitat-forming algal species. These changes along the Western Australian coast provide insights into the different nature of cool-and warm-water affiliated species' responses to ocean warming and biogenic habitat changes associated with climate change.</t>
  </si>
  <si>
    <t>[Shalders, Tanika C.; Saunders, Benjamin J.; Bennett, Scott; Parker, Jack R. C.; Harvey, Euan S.] Curtin Univ, Sch Mol &amp; Life Sci, Perth, WA 6102, Australia; [Bennett, Scott] Univ Illes Balears, CSIC, Dept Global Change Res, Inst Mediterrani Estudis Avancats, Esporles 07190, Spain</t>
  </si>
  <si>
    <t>Curtin University; Universitat de les Illes Balears; Consejo Superior de Investigaciones Cientificas (CSIC); ATTITUS Educacao</t>
  </si>
  <si>
    <t>Shalders, TC (corresponding author), Curtin Univ, Sch Mol &amp; Life Sci, Perth, WA 6102, Australia.</t>
  </si>
  <si>
    <t>tanika.shalders@graduate.curtin.edu.au</t>
  </si>
  <si>
    <t>Bennett, Scott/A-8747-2016; Harvey, Euan/B-2896-2011; Saunders, Benjamin/J-5220-2013; Shalders, Tanika C/ABE-1249-2020</t>
  </si>
  <si>
    <t>Bennett, Scott/0000-0003-2969-7430; Harvey, Euan/0000-0002-9069-4581; Saunders, Benjamin/0000-0003-1929-518X; Shalders, Tanika C/0000-0002-3656-2318</t>
  </si>
  <si>
    <t>OCT 4</t>
  </si>
  <si>
    <t>10.3354/meps12736</t>
  </si>
  <si>
    <t>GV9IN</t>
  </si>
  <si>
    <t>WOS:000446470100016</t>
  </si>
  <si>
    <t>Hemami, MR; Ahmadi, M; Sadegh-Saba, M; Moosavi, SMH</t>
  </si>
  <si>
    <t>Hemami, Mahmoud-Reza; Ahmadi, Mohsen; Sadegh-Saba, Mohammad; Moosavi, Seyed Masoud Hosseini</t>
  </si>
  <si>
    <t>Anthropogenic pressure; Cetacean; Distribution modelling; Abundance estimation; Marine transect; GAM</t>
  </si>
  <si>
    <t>CONSERVATION STATUS; SPATIAL-DISTRIBUTION; HABITAT PREFERENCES; MEDITERRANEAN SEA; DELPHINUS-DELPHIS; MARINE MAMMALS; ABUNDANCE; CHINENSIS; MODELS; WATERS</t>
  </si>
  <si>
    <t>Monitoring and assessing marine biodiversity relies upon adequate and accurate knowledge of population and distribution patterns of ecologically important species. Cetaceans are recognised both as functionally important and as flagship species and have been the target of monitoring and conservation programs. The habitat specialist Indian Ocean humpback dolphin (Sousa plumbea) is the second most common cetacean in the Persian Gulf. Mousa Bay in the northwestern Persian Gulf is an important, but highly industrialised habitat for this species. We developed a systematic and comprehensive distance sampling survey carried out from 2014 to 2016 to estimate abundance and population density of humpback dolphin in this bay. To evaluate distribution pattern of the species, eight environmental variables were measured and employed in a zero-inflated generalised additive model (ZINB GAM). With an estimated abundance of 92 animals (64-131, 95% CI) and density of 0.123 animal/km(2) (0.086-0.176, 95% CI), our results revealed Mousa Bay as one of the largest population of humpback dolphin in northern latitudes of its global range. Based on ZINB GAM findings, distance to coastlines, depth, EC, and chlorophyll a concentration significantly influence the distribution of the species. Our results highlighted that physiographic parameters and resource availability are the most important motivators of the species distribution in shallow nearshore waters. Biotic (e.g. water quality) factors due to strongly being affected by the variability of time and space ranked after physiographic variables. The high tendency of humpback dolphins to enter in highly developed foreshore of Mousa Bay raise the need for conservation-oriented studies to inform conservation planning. This study provides a basis for monitoring humpback dolphin and assessing ecosystem health of northern Persian Gulf.</t>
  </si>
  <si>
    <t>[Hemami, Mahmoud-Reza; Ahmadi, Mohsen] Isfahan Univ Technol, Dept Nat Resources, Esfahan 8415683111, Iran; [Sadegh-Saba, Mohammad] Marine Environm Bur, Khuzestan Prov Off, Dept Environm, Ahvaz, Iran; [Moosavi, Seyed Masoud Hosseini] 27,Zolfaghar 8 St,Phase 2, Mellat Dist 6164864938, Ahvaz, Iran</t>
  </si>
  <si>
    <t>Isfahan University of Technology</t>
  </si>
  <si>
    <t>Hemami, MR (corresponding author), Isfahan Univ Technol, Dept Nat Resources, Esfahan 8415683111, Iran.</t>
  </si>
  <si>
    <t>mrhemami@cc.iut.ac.ir</t>
  </si>
  <si>
    <t>; Mousavi, Seyyed Mohammad/HMD-7679-2023; Hemami, Mahmoud-Reza/AFM-0224-2022; Ahmadi, Mohsen/AAW-7357-2021</t>
  </si>
  <si>
    <t>Hemami, Mahmoud-Reza/0000-0002-8321-6776; Ahmadi, Mohsen/0000-0002-9657-699X</t>
  </si>
  <si>
    <t>Khuzestan Provincial Department of Environment [50435/93/505]</t>
  </si>
  <si>
    <t>Khuzestan Provincial Department of Environment</t>
  </si>
  <si>
    <t>This work was supported by a fund from Khuzestan Provincial Department of Environment (grant number 50435/93/505). We are grateful to Ahmad-Reza Lahijanzadeh for his support and to Shahryar Asgari, Iraj Soleymani, Ebrahim Daghagheleh and Mojtaba Ghanbari for their assistance during field surveys and laboratory work.</t>
  </si>
  <si>
    <t>10.1016/j.ecolind.2018.02.031</t>
  </si>
  <si>
    <t>GD8KI</t>
  </si>
  <si>
    <t>WOS:000430760900062</t>
  </si>
  <si>
    <t>Partelow, S; von Wehrden, H; Horn, O</t>
  </si>
  <si>
    <t>Partelow, Stefan; von Wehrden, Henrik; Horn, Olga</t>
  </si>
  <si>
    <t>Indicators; Conservation networks; Land-sea connectivity; Sustainability; Geographical information system (GIS); Climate change</t>
  </si>
  <si>
    <t>CLIMATE-CHANGE; INSTITUTIONAL CHANGE; HUMAN PRESSURES; CONSERVATION; IMPACT; CHALLENGES; INFORMATION; MANAGEMENT; RESERVES; OUTCOMES</t>
  </si>
  <si>
    <t>Marine protected areas (MPAs) face many challenges in their aim to effectively conserve marine ecosystems. In this study we analyze the extent of pollution exposure on the global fleet of MPAs. This includes indicators for current and future pollution and the implications for regionally clustered groups of MPAs with similar biophysical characteristics. To cluster MPAs into characteristic signature groups, their bathymetry, baseline biodiversity, distance from shore, mean sea surface temperature and mean sea surface salinity were used. We assess the extent at which each signature group is facing exposure from multiple pollution types. MPA groups experience similar pollution exposure on a regional level. We highlight how the challenges that MPAs face can be addressed through governance at the appropriate scale and design considerations for integrated terrestrial and marine management approaches within regional level networks. Furthermore, we present diagnostic social-ecological indicators for addressing the challenges facing unsuccessful MPAs with practical applications. (C) 2015 Elsevier Ltd. All rights reserved.</t>
  </si>
  <si>
    <t>[Partelow, Stefan] Leibniz Ctr Trop Marine Ecol ZMT, D-28359 Bremen, Germany; [von Wehrden, Henrik] Leuphana Univ, Fac Sustainabil, Ctr Methods, D-21335 Luneburg, Germany; [von Wehrden, Henrik] Leuphana Univ, Fac Sustainabil, Inst Ecol, D-21335 Luneburg, Germany; [Partelow, Stefan; Horn, Olga] Lund Univ, Dept Phys Geog &amp; Ecosyst Sci, GIS Ctr, S-22362 Lund, Sweden</t>
  </si>
  <si>
    <t>Leibniz Association; Leibniz Zentrum fur Marine Tropenforschung (ZMT); Leuphana University Luneburg; Leuphana University Luneburg; Lund University</t>
  </si>
  <si>
    <t>Partelow, S (corresponding author), Leibniz Ctr Trop Marine Ecol ZMT, Fahrenheitstr 6, D-28359 Bremen, Germany.</t>
  </si>
  <si>
    <t>stefan.partelow@zmt-bremen.de</t>
  </si>
  <si>
    <t>von Wehrden, Henrik/C-1880-2013</t>
  </si>
  <si>
    <t>10.1016/j.marpolbul.2015.08.026</t>
  </si>
  <si>
    <t>CZ0BZ</t>
  </si>
  <si>
    <t>WOS:000366771400052</t>
  </si>
  <si>
    <t>Kahler, JS; Roloff, GJ; Gore, ML</t>
  </si>
  <si>
    <t>Kahler, Jessica S.; Roloff, Gary J.; Gore, Meredith L.</t>
  </si>
  <si>
    <t>conservancies; conservation criminology; enforcement; GIS; human-wildlife conflict; local knowledge; participatory mapping; risk perception</t>
  </si>
  <si>
    <t>WILDLIFE USE; CONSERVATION; CONFLICT; BUSHMEAT; CRIME; MAPS</t>
  </si>
  <si>
    <t>Poaching can disrupt wildlife-management efforts in community-based natural resource management systems. Monitoring, estimating, and acquiring data on poaching is difficult. We used local-stakeholder knowledge and poaching records to rank and map the risk of poaching incidents in 2 areas where natural resources are managed by community members in Caprivi, Namibia. We mapped local stakeholder perceptions of the risk of poaching, risk of wildlife damage to livelihoods, and wildlife distribution and compared these maps with spatially explicit records of poaching events. Recorded poaching events and stakeholder perceptions of where poaching occurred were not spatially correlated. However, the locations of documented poaching events were spatially correlated with areas that stakeholders perceived wildlife as a threat to their livelihoods. This result suggests poaching occurred in response to wildlife damage occurred. Local stakeholders thought that wildlife populations were at high risk of being poached and that poaching occurred where there was abundant wildlife. These findings suggest stakeholders were concerned about wildlife resources in their community and indicate a need for integrated and continued monitoring of poaching activities and further interventions at the wildlife-agricultural interface. Involving stakeholders in the assessment of poaching risks promotes their participation in local conservation efforts, a central tenet of community-based management. We considered stakeholders poaching informants, rather than suspects, and our technique was spatially explicit. Different strategies to reduce poaching are likely needed in different areas. For example, interventions that reduce human-wildlife conflict may be required in residential areas, and increased and targeted patrolling may be required in more remote areas. Stakeholder-generated maps of human-wildlife interactions may be a valuable enforcement and intervention support tool.</t>
  </si>
  <si>
    <t>[Kahler, Jessica S.; Roloff, Gary J.; Gore, Meredith L.] Michigan State Univ, Dept Fisheries &amp; Wildlife, E Lansing, MI 48824 USA; [Gore, Meredith L.] Michigan State Univ, Sch Criminal Justice, E Lansing, MI 48824 USA</t>
  </si>
  <si>
    <t>Michigan State University; Michigan State University</t>
  </si>
  <si>
    <t>Kahler, JS (corresponding author), Michigan State Univ, Dept Fisheries &amp; Wildlife, 480 Wilson Rd, E Lansing, MI 48824 USA.</t>
  </si>
  <si>
    <t>kahlerj1@msu.edu</t>
  </si>
  <si>
    <t>Roloff, Gary/OFM-5266-2025; Gore, Meredith/AAY-4350-2020</t>
  </si>
  <si>
    <t>Gore, Meredith/0000-0002-2613-4715</t>
  </si>
  <si>
    <t>Department of Fisheries and Wildlife; School of Criminal Justice at Michigan State University</t>
  </si>
  <si>
    <t>Department of Fisheries and Wildlife; School of Criminal Justice at Michigan State University(Michigan State University)</t>
  </si>
  <si>
    <t>We are grateful for the participation of Dzoti and Wuparo conservancies, contributions from World Wildlife Fund-Namibia, Integrated Rural Development and Nature Conservation-Caprivi, and the services of M. Chris, S. Hasken, N. Lasken, E. Liswaniso, F. Lizumo, R. Makanyi, C. Mutabani, and O. Tama. This research was funded by the Department of Fisheries and Wildlife and School of Criminal Justice at Michigan State University. We thank S. Hanisch, M. Lute, B. Muter, S. Riley, and anonymous reviewers for constructive reviews of earlier drafts of this manuscript.</t>
  </si>
  <si>
    <t>10.1111/j.1523-1739.2012.01960.x</t>
  </si>
  <si>
    <t>073ZM</t>
  </si>
  <si>
    <t>WOS:000313781600019</t>
  </si>
  <si>
    <t>Battiston, S; Maxant, J; de Fraipont, P</t>
  </si>
  <si>
    <t>IEEE</t>
  </si>
  <si>
    <t>Battiston, S.; Maxant, J.; de Fraipont, P.</t>
  </si>
  <si>
    <t>PLEIADES HR, A TOOL FOR BIODIVERSITY CONSERVATION: CASE OF COMMON HAMSTER ON THE ALSACE PLAIN</t>
  </si>
  <si>
    <t>2012 IEEE INTERNATIONAL GEOSCIENCE AND REMOTE SENSING SYMPOSIUM (IGARSS)</t>
  </si>
  <si>
    <t>IEEE International Symposium on Geoscience and Remote Sensing IGARSS</t>
  </si>
  <si>
    <t>IEEE International Geoscience and Remote Sensing Symposium (IGARSS)</t>
  </si>
  <si>
    <t>JUL 22-27, 2012</t>
  </si>
  <si>
    <t>Munich, GERMANY</t>
  </si>
  <si>
    <t>IEEE,IEEE Geosci &amp; Remote Sensing Soc,DLR,ESA</t>
  </si>
  <si>
    <t>Biodiversity; Remote monitoring; Environmental management; Ecosystems; Agriculture</t>
  </si>
  <si>
    <t>Within the context of insuring the long-term viability of the common hamster populations in France, DREAL Alsace (French Environment Ministry) placed an order with SERTIT for several mapping studies of the hamster's environment in Alsace using satellite imagery to analyze and monitor the pressures exerted on the rodent. Landcover analysis with favorable habitat detection were successfully performed using SPOT5 imagery acquired at the end of hamster's hibernation period, highlighting threats to the rodent in the area and the positive effects of the species conservation actions. Through the spatial analyses of these cartographic results, favorable crop density indicators were then derived providing an overview of biotope connectivity. DREAL's interest in continuing with annual campaigns confirms the usefulness of Earth Observation data in biodiversity conservation. Furthermore, in recent work using existing sub-metric data, it has been shown that the new Pleiades HR sensor will improve results thematically and geometrically.</t>
  </si>
  <si>
    <t>[Battiston, S.; Maxant, J.; de Fraipont, P.] SERTIT, F-67412 Illkirch Graffenstaden, France</t>
  </si>
  <si>
    <t>Battiston, S (corresponding author), SERTIT, Blvd Sebastien Brant,BP 10413, F-67412 Illkirch Graffenstaden, France.</t>
  </si>
  <si>
    <t>stephanie.battiston@sertit.u-strasbg.fr; jerome.maxant@sertit.u-strasbg.fr; paul.e.fraipont@sertit.u-strasbg.fr</t>
  </si>
  <si>
    <t>345 E 47TH ST, NEW YORK, NY 10017 USA</t>
  </si>
  <si>
    <t>2153-6996</t>
  </si>
  <si>
    <t>978-1-4673-1159-5</t>
  </si>
  <si>
    <t>INT GEOSCI REMOTE SE</t>
  </si>
  <si>
    <t>10.1109/IGARSS.2012.6352023</t>
  </si>
  <si>
    <t>Engineering, Electrical &amp; Electronic; Geosciences, Multidisciplinary; Remote Sensing</t>
  </si>
  <si>
    <t>Engineering; Geology; Remote Sensing</t>
  </si>
  <si>
    <t>BDG99</t>
  </si>
  <si>
    <t>WOS:000313189407015</t>
  </si>
  <si>
    <t>Good, TP; Samhouri, JF; Feist, BE; Wilcox, C; Jahncke, J</t>
  </si>
  <si>
    <t>Good, Thomas P.; Samhouri, Jameal F.; Feist, Blake E.; Wilcox, Chris; Jahncke, Jaime</t>
  </si>
  <si>
    <t>Marine birds; Plastic; Risk assessment; Exposure; Sensitivity; California Current Large Marine Ecosystem</t>
  </si>
  <si>
    <t>AUKLETS PTYCHORAMPHUS-ALEUTICUS; NORTHERN FULMARS; INGESTION; POLLUTION; SEABIRDS; PARTICLES; CONSERVATION; IMPACTS; VULNERABILITY; ACCUMULATION</t>
  </si>
  <si>
    <t>Understanding the impact of plastic debris on marine birds is important for conservation of some species, and assessing risk from this anthropogenic threat requires high-quality distribution data for both marine birds and plastic debris. We applied a risk assessment framework to explore the relative risk for 19 marine bird species posed by plastic debris in the California Current Large Marine Ecosystem. We estimated exposure for each species by combining scores from (1) spatial overlap of predicted marine bird densities from habitat-association models and predicted density of marine plastics from terrestrial input and ocean circulation models, (2) species' foraging behavior, and (3) species' residence time in the California Current Large Marine Ecosystem. We estimated sensitivity for each species by combining scores for (1) mortality/sub-lethal effects of ingested plastic debris, (2) off-loading of plastics via regurgitation, (3) fecundity, and (4) age of breeding maturity. Overall risk from marine debris was greatest for more pelagic species and lowest for nearshore coastal species and generally agreed with published plastic ingestion studies. Notably, marine plastic debris densities are greatest at the western edge and offshore of the study domain, which likely explains the greater risk we observed in more pelagic species. This study is the first to look specifically at plastic debris risk to marine birds in the California Current Large Marine Ecosystem, and our results suggest that any attempts to mitigate the impacts of plastic debris on marine birds will likely require assessment and actions beyond the California Current into the broader Pacific basin.</t>
  </si>
  <si>
    <t>[Good, Thomas P.; Samhouri, Jameal F.; Feist, Blake E.] NOAA, Ecosyst Sci Program, Conservat Biol Div, Northwest Fisheries Sci Ctr,Natl Marine Fisheries, 2725 Montlake Blvd East, Seattle, WA 98112 USA; [Wilcox, Chris] Commonwealth Sci &amp; Ind Res Org, Oceans &amp; Atmosphere Business Unit, Hobart, Tas 7001, Australia; [Jahncke, Jaime] Point Blue Conservat Sci, 3820 Cypress Dr,11, Petaluma, CA 94954 USA</t>
  </si>
  <si>
    <t>National Oceanic Atmospheric Admin (NOAA) - USA; Commonwealth Scientific &amp; Industrial Research Organisation (CSIRO)</t>
  </si>
  <si>
    <t>Good, TP (corresponding author), NOAA, Ecosyst Sci Program, Conservat Biol Div, Northwest Fisheries Sci Ctr,Natl Marine Fisheries, 2725 Montlake Blvd East, Seattle, WA 98112 USA.</t>
  </si>
  <si>
    <t>tom.good@noaa.gov</t>
  </si>
  <si>
    <t>Feist, Blake/H-2669-2012; Wilcox, Chris/A-3585-2010</t>
  </si>
  <si>
    <t>Feist, Blake/0000-0001-5215-4878; Jahncke, Jaime/0000-0002-2896-6101;</t>
  </si>
  <si>
    <t>National Oceanic and Atmospheric Administration's Integrated Ecosystem Assessment (NOAA IEA) Program</t>
  </si>
  <si>
    <t>National Oceanic and Atmospheric Administration's Integrated Ecosystem Assessment (NOAA IEA) Program(National Oceanic Atmospheric Admin (NOAA) - USA)</t>
  </si>
  <si>
    <t>This paper is NOAA IEA program contribution #2019_6 and Point Blue Conservation Science contribution #2181. It is a result of research supported by the National Oceanic and Atmospheric Administration's Integrated Ecosystem Assessment (NOAA IEA) Program. Contributing support for seabird distribution modeling was provided to Point Blue Conservation in part by the Resources Legacy Fund Foundation, the Moore Family Foundation, and Point Blue Conservation Science donors. The authors thank J. Zamon and B. Abrahms for helpful comments on drafts of this manuscript.</t>
  </si>
  <si>
    <t>10.1016/j.biocon.2020.108743</t>
  </si>
  <si>
    <t>OH2XN</t>
  </si>
  <si>
    <t>WOS:000582432900005</t>
  </si>
  <si>
    <t>Pauchard, A; Alaback, PB; Edlund, EG</t>
  </si>
  <si>
    <t>Plant invasions in protected areas at multiple scales: Linaria vulgaris (Scrophulariaceae) in the west Yellowstone area</t>
  </si>
  <si>
    <t>WESTERN NORTH AMERICAN NATURALIST</t>
  </si>
  <si>
    <t>exotic plant species invasion; protected areas; multi-scale method; Linaria vulgaris; Yellowstone National Park; Gallatin National Forest; boundary issues; landscape analysis; clonal patch; spatial distribution</t>
  </si>
  <si>
    <t>CANADIAN WEEDS; EXOTIC PLANTS; BIOLOGY; PATTERN</t>
  </si>
  <si>
    <t>Invasive alien plants have long been recognized as a threat to low-elevation, disturbed environments, but the case of Linaria vulgaris Mill. in Yellowstone National Park and Gallatin National Forest shows that invasions can also spread to high-elevation natural reserves. Because invasions in protected areas are a product of complex processes occurring over a broad range of scales, we argue that a multi-scale research approach is needed to capture both patterns and potential mechanisms of the invasion process. Mapping L. vulgaris at the landscape scale, we found the species occupying a broad range of sites, apparently originating from just 2 historical sources, colonizing both human-caused and natural disturbances. Analyzed at the stand scale, patches tend to aggregate in newly invaded areas and disperse in heavily infested areas. The data suggest that patches grow in size by clonal growth and in number by creation of new satellite patches. Radial patch growth rates are related to site characteristics. Clonal patch scale analysis shows that ramet densities and Linaria's effects on native plants are highest in patch centers. Both mean ramet height and reproductive vs. vegetative ramet height ratio are higher in patch cores. These results suggest that L. vulgaris may displace natural vegetation by maintaining vigor even in large and old clonal patches. Our results confirm that L. vulgaris is a significant threat to native biodiversity in open, human- or naturally disturbed environments in protected areas of the Rocky Mountains. A multi-scale method can allow managers to better understand patterns of invasion and prioritize managemerit activities to control invasive alien plants, especially in heterogeneous protected area landscapes.</t>
  </si>
  <si>
    <t>Univ Montana, Dept Geog, Missoula, MT 59812 USA; Univ Montana, Sch Forestry, Missoula, MT 59812 USA</t>
  </si>
  <si>
    <t>University of Montana System; University of Montana; University of Montana System; University of Montana</t>
  </si>
  <si>
    <t>Pauchard, A (corresponding author), Fac Ciencias Forestales, Casila 160-C, Concepcion, Chile.</t>
  </si>
  <si>
    <t>Pauchard, Anibal/B-5034-2008</t>
  </si>
  <si>
    <t>Pauchard, Anibal/0000-0003-1284-3163</t>
  </si>
  <si>
    <t>BRIGHAM YOUNG UNIV</t>
  </si>
  <si>
    <t>PROVO</t>
  </si>
  <si>
    <t>290 LIFE SCIENCE MUSEUM, PROVO, UT 84602 USA</t>
  </si>
  <si>
    <t>1527-0904</t>
  </si>
  <si>
    <t>1944-8341</t>
  </si>
  <si>
    <t>WEST N AM NATURALIST</t>
  </si>
  <si>
    <t>West. North Am. Naturalist</t>
  </si>
  <si>
    <t>754FW</t>
  </si>
  <si>
    <t>WOS:000187292900002</t>
  </si>
  <si>
    <t>Pikesley, SK; Godley, BJ; Latham, H; Richardson, PB; Robson, LM; Solandt, JL; Trundle, C; Wood, C; Witt, MJ</t>
  </si>
  <si>
    <t>Pikesley, Stephen K.; Godley, Brendan J.; Latham, Holly; Richardson, Peter B.; Robson, Laura M.; Solandt, Jean-Luc; Trundle, Colin; Wood, Chris; Witt, Matthew J.</t>
  </si>
  <si>
    <t>Bottom-towed gear; Citizen science; Fisheries; Pink sea fan; Legislation; Marine Protected Area</t>
  </si>
  <si>
    <t>CITIZEN SCIENCE; CHALLENGES; BIODIVERSITY; CONSERVATION; MANAGEMENT; NETWORK; IMPACT; MPAS</t>
  </si>
  <si>
    <t>Globally, the need to identify and establish integrated and connected systems of Marine Protected Areas (MPAs) is becoming increasingly recognised. For best practice, these networks need to be planned and assessed against multiple criteria. However, building a sound evidence base to support decision-making processes is complex, as well as fiscally and logistically challenging. Recent studies have demonstrated the utility of integrating 'citizen science' data into mainstream scientific analysis, particularly where broad-scale spatial patterns of distribution are required. In UK waters, the pink sea fan (Eunicella verrucosa) is a nationally protected slow growing, cold-water coral, and is a representative species of reef features that provide habitat for many other sessile species. However, this species is vulnerable to physical impact and loss of suitable substratum, and is likely highly vulnerable to bottom-towed fishing gears. In this study, data from a volunteer-based marine survey programme ('Seasearch') are analysed with the aim of describing the spatial distribution and relative abundance of pink sea fan colonies throughout southwest UK coastal waters. The congruence between pink sea fans and the extant southern UK MPA network is reported, and the current threat from Bottom-Towed Gear (BTG) to pink sea fan dominated reefs, that have historically lacked protection, is quantitatively assessed. This analysis reveals that protection of this and other benthic species has been increased by management of previously 'open access' MPAs. Nonetheless, areas of pink sea fan habitat and their host reef systems exist outside extant protected areas in southwest UK seas, and as such are potentially at risk from bottom-towed fisheries. This analysis demonstrates the utility of well-organised citizen science data collection and highlights how such efforts can help inform knowledge on broad scale patterns of biodiversity. (C) 2015 The Authors. Published by Elsevier Ltd. This is an open access article under the CC BY license (http://creativecommons.orgilicensesiby/4.0/).</t>
  </si>
  <si>
    <t>[Pikesley, Stephen K.; Godley, Brendan J.; Robson, Laura M.] Univ Exeter, Ctr Ecol &amp; Conservat, Penryn Campus, Exeter TR10 9EZ, Cornwall, England; [Pikesley, Stephen K.; Witt, Matthew J.] Univ Exeter, Environm &amp; Sustainabil Inst, Penryn Campus, Exeter TR10 9EZ, Cornwall, England; [Latham, Holly; Trundle, Colin] Cornwall Inshore Fisheries &amp; Conservat Author, St Clare Off, St Clare St, Penzance TR18 3QW, Cornwall, England; [Richardson, Peter B.; Solandt, Jean-Luc; Wood, Chris] Marine Conservat Soc, Ross On Wye HR9 7QQ, Herts, England</t>
  </si>
  <si>
    <t>University of Exeter; University of Exeter</t>
  </si>
  <si>
    <t>Witt, MJ (corresponding author), Univ Exeter, Environm &amp; Sustainabil Inst, Penryn Campus, Exeter TR10 9EZ, Cornwall, England.</t>
  </si>
  <si>
    <t>M.J.Witt@exeter.ac.uk</t>
  </si>
  <si>
    <t>godley, brendan/A-6139-2009; Wood, Chris/C-3021-2009; Witt, Matthew/V-3318-2018</t>
  </si>
  <si>
    <t>godley, brendan/0000-0003-3845-0034; Witt, Matthew/0000-0002-9498-5378</t>
  </si>
  <si>
    <t>Natural Environment Research Council [NE/J012343/1]; European Union; Darwin Initiative; Pig Shed Trust [PST010]; NERC [NE/J012343/1] Funding Source: UKRI; Natural Environment Research Council [NE/J012343/1] Funding Source: researchfish</t>
  </si>
  <si>
    <t>Natural Environment Research Council(UK Research &amp; Innovation (UKRI)Natural Environment Research Council (NERC)); European Union(European Union (EU)); Darwin Initiative; Pig Shed Trust; NERC(UK Research &amp; Innovation (UKRI)Natural Environment Research Council (NERC)); Natural Environment Research Council(UK Research &amp; Innovation (UKRI)Natural Environment Research Council (NERC))</t>
  </si>
  <si>
    <t>The authors thank all participants in the Seasearch dive surveys who generously contributed their data. Seasearch data collection and entry in Wales was supported by Countryside Council for Wales and its successor, Natural Resources Wales. In England Seasearch data entry was supported by Natural England. BJG and MJW receive funding from the Natural Environment Research Council (NE/J012343/1), the European Union and the Darwin Initiative. Jean-Luc Solandt received funding from the Pig Shed Trust (PST010). The authors acknowledge the constructive input from two anonymous referees and the Editor.</t>
  </si>
  <si>
    <t>10.1016/j.marpol.2015.10.010</t>
  </si>
  <si>
    <t>DC4QI</t>
  </si>
  <si>
    <t>Green Published, hybrid</t>
  </si>
  <si>
    <t>WOS:000369205000006</t>
  </si>
  <si>
    <t>Chaves, MD; Barbosa, SC; Malinowski, MD; Volpato, D; Castro, IB; Franco, TCRD; Primel, EG</t>
  </si>
  <si>
    <t>Silva Chaves, Marisa de Jesus; Barbosa, Sergiane Caldas; Malinowski, Maiara de Melo; Volpato, Duane; Castro, Italo Braga; Rodrigues dos Santos Franco, Teresa Cristina; Primel, Ednei Gilberto</t>
  </si>
  <si>
    <t>Emerging contaminants; PPCPs; Environmental contamination; Protected area; Ramsar site; Pollution</t>
  </si>
  <si>
    <t>EMERGING CONTAMINANTS; DRINKING-WATER; SAO LUIS; WASTE-WATER; SURFACE; RIVER; METABOLITES; FISH; SEDIMENTS; RESERVOIR</t>
  </si>
  <si>
    <t>Despite the fact that the occurrence of emerging contaminants in the environment has become frequent in recent decades, the seasonal dynamics of contaminants in different environmental compartments are little studied in protected areas influenced by effluent discharges. In this study, the seasonal and spatial occurrence of 33 pharmaceuticals and personal care products (PPCPs) was investigated in surface waters and sediments from Anil and Bacanga rivers (northeast of Brazil). The studied area is located within a Wetland of International Importance by Ramsar Convention (Amazon Estuary and its Mangroves). Sample preparation was carried out using solid-phase extraction and QuEChERS, for water and sediment samples, respectively and all determinations were performed by liquid chromatography tandem mass spectrometry. Eleven PPCPs were detected in water samples and 14 in sediments. In aqueous samples, caffeine was the most occurring compound reaching 13,798 ng L-1. In addition, high levels of acetaminophen, ibuprofen, sulfamethoxazole, carbamazepine and diclofenac were also observed. In the sediment samples, triclocarban, benzophenone-3, ketoconazole and methylparaben were also detected. The spatial and temporal distribution of the assessed molecules indicates urbanization and anthropic activities as relevant sources of PPCPs in the region. Moreover, the levels of acetaminophen, caffeine, diclofenac, ibuprofen, benzophenone-3, triclosan and triclocarban measured within the Ramsar site pose a high risk to aquatic and terrestrial organisms. These findings indicate potential threats to the allegedly protected biodiversity and, therefore, urgent actions are needed to effectively protect this unique and vulnerable area.</t>
  </si>
  <si>
    <t>[Silva Chaves, Marisa de Jesus; Barbosa, Sergiane Caldas; Malinowski, Maiara de Melo; Volpato, Duane; Primel, Ednei Gilberto] Univ Fed Rio Grande, Lab Anal Compostos Organ &amp; Metais LACOM, Escola Quim &amp; Alimentos, Postgrad Program Technol &amp; Environm Chem, Av Italia,Km 8, BR-96201900 Rio Grande, RS, Brazil; [Castro, Italo Braga] Univ Fed Sao Paulo, Inst Mar, Campus Baixacia Santista, Sao Paulo, Brazil; [Rodrigues dos Santos Franco, Teresa Cristina] Univ Fed Maranhao, Lab Quim Anal &amp; Ecotoxicol, Dept Tecnol Quim, Av Portugueses,1966 Bacanga, BR-65080805 Sao Luis, MA, Brazil</t>
  </si>
  <si>
    <t>Universidade Federal do Rio Grande; Universidade Federal de Sao Paulo (UNIFESP); Universidade Federal do Maranhao</t>
  </si>
  <si>
    <t>Primel, EG (corresponding author), Univ Fed Rio Grande, Escola Quim &amp; Alimentos, Rio Grande, RS, Brazil.</t>
  </si>
  <si>
    <t>dqmednei@furg.br</t>
  </si>
  <si>
    <t>Primel, Ednei Gilberto Primel; Primel Ednei; GilbertoPrimel; Ednei GPrimel; GPrimel E; GPrime; Ednei G/W-9324-2019; Castro, Ítalo/F-6412-2010; Silva Chaves, Marisa de Jesus/AAJ-8285-2020; Caldas Barbosa, Sergiane/C-5596-2013</t>
  </si>
  <si>
    <t>Primel, Ednei Gilberto Primel; Primel Ednei; GilbertoPrimel; Ednei GPrimel; GPrimel E; GPrime; Ednei G/0000-0002-8147-232X; Castro, Ítalo/0000-0001-8303-5150; Silva Chaves, Marisa de Jesus/0000-0003-4614-3114; Helena de Melo Malinowski, Maiara/0000-0003-4143-9194; Caldas Barbosa, Sergiane/0000-0002-9369-7331</t>
  </si>
  <si>
    <t>FAPERGS; CAPES [001]; CNPq [DT 311694/2016-0, 405802/2016-1]; FINEP; I.B. Castro [PQ 306486/2015-6]</t>
  </si>
  <si>
    <t>FAPERGS(Fundacao de Amparo a Ciencia e Tecnologia do Estado do Rio Grande do Sul (FAPERGS)); CAPES(Coordenacao de Aperfeicoamento de Pessoal de Nivel Superior (CAPES)); CNPq(Conselho Nacional de Desenvolvimento Cientifico e Tecnologico (CNPQ)); FINEP(Financiadora de Inovacao e Pesquisa (Finep)); I.B. Castro</t>
  </si>
  <si>
    <t>The authors acknowledge the financial support granted by the Brazilian agencies FAPERGS, CAPES (Finance Code 001), CNPq (process number 405802/2016-1), FINEP and fellowships granted by CAPES. E.G. Primel received a productivity research fellowship from the CNPq (DT 311694/2016-0), I.B. Castro (PQ 306486/2015-6). We thank the Laboratorio de Quimica Analitica e Ecotoxicologia (LAEC-UFMA) for support during the sampling and Laboratorio de Microcontaminantes Organicos e Ecotoxicologia Aquatica (CONECO-FURG) for the total organic carbon analyses. The authors declare no competing interests.</t>
  </si>
  <si>
    <t>SEP 10</t>
  </si>
  <si>
    <t>10.1016/j.scitotenv.2020.139374</t>
  </si>
  <si>
    <t>LY1BA</t>
  </si>
  <si>
    <t>WOS:000540256200010</t>
  </si>
  <si>
    <t>Santora, JA; Sydeman, WJ; Schroeder, ID; Field, JC; Miller, RR; Wells, BK</t>
  </si>
  <si>
    <t>Santora, Jarrod A.; Sydeman, William J.; Schroeder, Isaac D.; Field, John C.; Miller, Rebecca R.; Wells, Brian K.</t>
  </si>
  <si>
    <t>anchovy; fisheries; food web; krill; oil; primary productivity; retention; sardine; seabirds; shipping; spatial management; upwelling</t>
  </si>
  <si>
    <t>SOUTHERN CALIFORNIA CURRENT; CUMULATIVE HUMAN IMPACTS; NORTHERN CALIFORNIA; CLIMATE-CHANGE; FISHERIES MANAGEMENT; NEARSHORE RETENTION; BIOLOGICAL HOTSPOTS; PROTECTED AREAS; CURRENT SYSTEM; TOP PREDATORS</t>
  </si>
  <si>
    <t>Human impacts (e.g., fishing, pollution, and shipping) on pelagic ecosystems are increasing, causing concerns about stresses on marine food webs. Maintaining predator-prey relationships through protection of pelagic hotspots is crucial for conservation and management of living marine resources. Biotic components of pelagic, plankton-based, ecosystems exhibit high variability in abundance in time and space (i.e., extreme patchiness), requiring investigation of persistence of abundance across trophic levels to resolve trophic hotspots. Using a 26-yr record of indicators for primary production, secondary (zooplankton and larval fish), and tertiary (seabirds) consumers, we show distributions of trophic hotspots in the southern California Current Ecosystem result from interactions between a strong upwelling center and a productive retention zone with enhanced nutrients, which concentrate prey and predators across multiple trophic levels. Trophic hotspots also overlap with human impacts, including fisheries extraction of coastal pelagic and groundfish species, as well as intense commercial shipping traffic. Spatial overlap of trophic hotspots with fisheries and shipping increases vulnerability of the ecosystem to localized depletion of forage fish, ship strikes on marine mammals, and pollution. This study represents a critical step toward resolving pelagic areas of high conservation interest for planktonic ecosystems and may serve as a model for other ocean regions where ecosystem-based management and marine spatial planning of pelagic ecosystems is warranted.</t>
  </si>
  <si>
    <t>[Santora, Jarrod A.] Univ Calif Santa Cruz, Dept Appl Math &amp; Stat, Ctr Stock Assessment Res, 1156 High St, Santa Cruz, CA 96060 USA; [Sydeman, William J.] Farallon Inst Adv Ecosyst Res, 101 H St,Suite Q, Petaluma, CA 94952 USA; [Schroeder, Isaac D.; Miller, Rebecca R.] Univ Calif Santa Cruz, CIMEC, Santa Cruz, CA 95060 USA; [Schroeder, Isaac D.] NOAA, Environm Res Div, Southwest Fisheries Sci Ctr, Natl Marine Fisheries Serv, 99 Pacific St,Suite 255A, Monterey, CA 93940 USA; [Field, John C.; Miller, Rebecca R.; Wells, Brian K.] NOAA, Fisheries Ecol Div, Southwest Fisheries Sci Ctr, Natl Marine Fisheries Serv, 110 Shaffer Rd, Santa Cruz, CA 95060 USA</t>
  </si>
  <si>
    <t>University of California System; University of California Santa Cruz; University of California System; University of California Santa Cruz; National Oceanic Atmospheric Admin (NOAA) - USA; National Oceanic Atmospheric Admin (NOAA) - USA</t>
  </si>
  <si>
    <t>Santora, JA (corresponding author), Univ Calif Santa Cruz, Dept Appl Math &amp; Stat, Ctr Stock Assessment Res, 1156 High St, Santa Cruz, CA 96060 USA.</t>
  </si>
  <si>
    <t>jsantora@ucsc.edu</t>
  </si>
  <si>
    <t>sydeman, william/0000-0003-1902-4654</t>
  </si>
  <si>
    <t>NOAA California Current Integrated Ecosystem Assessment (CCIEA) program; NOAA [NA17RJ1231]; CCE-LTER (NSF) [1026607]; NOAA Integrated Ocean Observing System through the Southern California Coastal Ocean Observing System (SCCOOS); Center for Stock Assessment Research (CSTAR); Directorate For Geosciences; Division Of Ocean Sciences [1026607] Funding Source: National Science Foundation</t>
  </si>
  <si>
    <t>NOAA California Current Integrated Ecosystem Assessment (CCIEA) program(National Oceanic Atmospheric Admin (NOAA) - USA); NOAA(National Oceanic Atmospheric Admin (NOAA) - USA); CCE-LTER (NSF); NOAA Integrated Ocean Observing System through the Southern California Coastal Ocean Observing System (SCCOOS); Center for Stock Assessment Research (CSTAR); Directorate For Geosciences; Division Of Ocean Sciences(National Science Foundation (NSF)NSF - Directorate for Geosciences (GEO))</t>
  </si>
  <si>
    <t>This work was funded by the NOAA California Current Integrated Ecosystem Assessment (CCIEA) program. Data on krill originate from the Brinton-Townsend Euphausiid Data-base of the Pelagic Invertebrates Collection, Scripps Institution of Oceanography; database creation supported by NOAA grant NA17RJ1231. Seasonal seabird surveys are supported by the CCE-LTER (NSF award #1026607) and NOAA Integrated Ocean Observing System through the Southern California Coastal Ocean Observing System (SCCOOS). We are grateful for the feedback from Nate Mantua and two anonymous reviewers, which greatly improved this study. This work was partially supported by the Center for Stock Assessment Research (CSTAR), a partnership between the Southwest Fisheries Science Center and the University of California, Santa Cruz.</t>
  </si>
  <si>
    <t>10.1002/eap.1466</t>
  </si>
  <si>
    <t>EM9LY</t>
  </si>
  <si>
    <t>WOS:000395634300019</t>
  </si>
  <si>
    <t>Naderi, M; Farashi, A; Erdi, MA</t>
  </si>
  <si>
    <t>Naderi, Morteza; Farashi, Azita; Erdi, Mehdi Alipour</t>
  </si>
  <si>
    <t>SURVIVAL RATES; NATIONAL-PARK; CONSERVATION; KILLS</t>
  </si>
  <si>
    <t>Due to the relatively low offspring survival rate, surviving adult leopards play a critical role in the species' viability. The unnatural mortality of leopards, caused by human activities can seriously compromise the species' long-term population survival. An analysis of spatial distribution and sex ratio of unnatural mortality of 147 recorded Persian leopard (Panthera pardus saxicolor) carcasses during a fifteen-year period (from 2000-2015) in Iran indicated that road mortality is the second most frequent cause of unnatural mortality of Persian leopards' after illegal hunting (or prey poisoning, such as poisoned meat) by villagers, shepherds and military forces. The greatest percent of unnatural mortality events were recorded in the Golestan provinc in the north of Iran and eastern most parts of the Hyrcanian forests. Using distribution models of species, based on road accident locations as species data, we mapped the species' distribution and critical areas of unnatural mortality of Persian leopard that can be used in prioritizing leopard-human conflicts management. Our results showed that mortality records were significantly higher in non-protected compared to protected areas. Males constituted 65 percent of the records used in the study as males dispersed more widely compared to the females. This imbalance can have severe demographic effects. A large proportion of leopards' activity, occurrence area, and habitat lies in non-protected areas, which is mirrored by the greater number of unnatural mortality outside protected areas. Most of the incidents were due to human factors, thus management interventions such as traffic speed limitations, signs, cameras, and faunal bridges as well as increasing public participation and awareness (especially among rural communities) will positively affect the species' conservation programs. This research aimed to produce unnatural mortality of leopards' risk map throughout Iran and discuss the different aspects of this phenomenon, major human-caused threats and the efficiency of the legal protected areas in satisfying the species' ecological requirements. We propose management interventions such as traffic speed limitations, signs, cameras, and faunal bridges as well as increasing public awareness and participation, especially among rural communities, to support the species' conservation.</t>
  </si>
  <si>
    <t>[Naderi, Morteza] Arak Univ, Fac Agr &amp; Nat Resources, Dept Environm Sci, Arak, Iran; [Farashi, Azita] Ferdowsi Univ Mashhad, Fac Nat Resource &amp; Environm, Dept Environm Sci, Mashhad, Iran; [Erdi, Mehdi Alipour] Univ Tehran, Grad Fac Environm, Environm Planning &amp; Management, Tehran, Iran</t>
  </si>
  <si>
    <t>Arak University; Ferdowsi University Mashhad; University of Tehran</t>
  </si>
  <si>
    <t>Naderi, M (corresponding author), Arak Univ, Fac Agr &amp; Nat Resources, Dept Environm Sci, Arak, Iran.</t>
  </si>
  <si>
    <t>ghnadery@yahoo.com</t>
  </si>
  <si>
    <t>Farashi, Azita/AAE-6892-2021; Naderi, Morteza/K-8868-2013</t>
  </si>
  <si>
    <t>Farashi, Azita/0000-0002-5536-2311; Naderi, Morteza/0000-0002-7578-4159</t>
  </si>
  <si>
    <t>APR 25</t>
  </si>
  <si>
    <t>e0195387</t>
  </si>
  <si>
    <t>10.1371/journal.pone.0195387</t>
  </si>
  <si>
    <t>GD8ZI</t>
  </si>
  <si>
    <t>WOS:000430802400027</t>
  </si>
  <si>
    <t>Stelzenmüller, V; Maynou, F; Martín, P</t>
  </si>
  <si>
    <t>Stelzenmueller, Vanessa; Maynou, Francesc; Martin, Paloma</t>
  </si>
  <si>
    <t>Patterns of species and functional diversity around a coastal marine reserve: a fisheries perspective</t>
  </si>
  <si>
    <t>ecosystem function; fisheries enhancement; functional redundancy; GIS; spatial analysis; universal kriging</t>
  </si>
  <si>
    <t>FISH; BIODIVERSITY; REDUNDANCY; IMPACTS; BIOMASS; SIZE; RESILIENCE; MANAGEMENT; SPILLOVER; ABUNDANCE</t>
  </si>
  <si>
    <t>1. Marine protected areas (MPAs) are expected to function Simultaneously as biological conservation and fisheries management tools, but empirical evidence linking biodiversity conservation with fisheries benefits is scarce. Around the Medes Islands marine reserve (Spain, NW Mediterranean) patterns of fish catch diversity, catch (CPUE) and income (IPUE) were assessed and the economic value of diversity for local fisheries was explored by combining a Geographic Information System (GIS) analysis with geostatistics. 2. Catch data were derived from the trammel net fleet operating around the MPA to gain information on species diversity, functional diversity, functional redundancy, CPUE and IPUE. 3. Results revealed significant impact of both the fishing prohibition in the MPA and the presence of seagrass beds on diversity metrics, catch and income. Clear differences in functional redundancy in fish assemblages were found within the study area, indicating greater resilience of the fish assemblage against fishing pressure or human impact close to the MPA (&lt;= 2 km). In contrast, fish assemblages beyond 2 km of the MPA border are more vulnerable to disturbance. High values of diversity, CPUE and IPUE overlapped close to the MPA border and close to seagrass beds. 4. The spatial approach developed suggests that, in addition to the more commonly studied effect of density-dependent spillover of adult fish, increased levels of ecological diversity and economic diversity can also result in fisheries benefits of an MPA. Hence, the fishing regulations in and around the Medes Islands marine reserve have shown that biological conservation and fisheries benefits can be complementary in the long-term, which should be considered in future policies for MPAs or MPA networks. Copyright (C) 2008 John Wiley &amp; Sons, Ltd.</t>
  </si>
  <si>
    <t>[Stelzenmueller, Vanessa] CEFAS, Lowestoft NR33 0HT, Suffolk, England; [Maynou, Francesc; Martin, Paloma] CSIC, Inst Ciencias Mar, E-08003 Barcelona, Spain</t>
  </si>
  <si>
    <t>Centre for Environment Fisheries &amp; Aquaculture Science; Consejo Superior de Investigaciones Cientificas (CSIC); CSIC - Centro Mediterraneo de Investigaciones Marinas y Ambientales (CMIMA); CSIC - Instituto de Ciencias del Mar (ICM)</t>
  </si>
  <si>
    <t>Stelzenmüller, V (corresponding author), CEFAS, Pakefield Rd, Lowestoft NR33 0HT, Suffolk, England.</t>
  </si>
  <si>
    <t>; Maynou, Francesc/A-6433-2011</t>
  </si>
  <si>
    <t>Stelzenmüller, Vanessa/0000-0002-6419-8357; Maynou, Francesc/0000-0001-7200-6485</t>
  </si>
  <si>
    <t>European Commission [QLRT-2001-00891]; EMPAFISH [006539]; German Research Foundation (DFG)</t>
  </si>
  <si>
    <t>European Commission(European Union (EU)European Commission Joint Research Centre); EMPAFISH; German Research Foundation (DFG)(German Research Foundation (DFG))</t>
  </si>
  <si>
    <t>This study has been partially funded by the European Commission research projects BIOMEX (Contract Nr. QLRT-2001-00891) and EMPAFISH (Contract Nr. 006539). The Fishermen's Association and Nuria Munoz, director of the Medes Islands Marine Reserve, are acknowledged for their collaboration in this study. The first author was sponsored by a research fellowship of the German Research Foundation (DFG).</t>
  </si>
  <si>
    <t>JUL-AUG</t>
  </si>
  <si>
    <t>10.1002/aqc.1003</t>
  </si>
  <si>
    <t>471QI</t>
  </si>
  <si>
    <t>WOS:000268072800007</t>
  </si>
  <si>
    <t>Gaoue, OG; Ticktin, T</t>
  </si>
  <si>
    <t>Gaoue, Orou G.; Ticktin, Tamara</t>
  </si>
  <si>
    <t>ecological variation; non-timber forest products; harvest; size-class distribution; West Africa</t>
  </si>
  <si>
    <t>TIMBER FOREST PRODUCTS; BIRREA SUBSP CAFFRA; SOUTH-AFRICA; MEDICINAL-PLANTS; WOODY-PLANTS; AECHMEA-MAGDALENAE; BURKINA-FASO; CONSERVATION; SUSTAINABILITY; MANAGEMENT</t>
  </si>
  <si>
    <t>Non-timber forest products (NTFPs) represent important resources for millions of communities worldwide. Concerns over NTFP overexploitation has led to a growing number of studies on the ecological impacts of harvest. Few studies however, have addressed species harvested for multiple parts or investigated how spatial variation affects harvest patterns and their impacts. We documented rates and patterns of pruning and debarking and their impacts on density and population structure, for 12 populations of the multiuse tree, Khaya senegalensis (Meliaceae) in two ecological regions (Sudano-Guinean versus Sudanian) of Benin, West Africa. Half of the populations had low or no harvest and half were highly harvested. Patterns of pruning and debarking were size-specific, with harvesters tending to prefer larger trees. Foliage harvest pressures were very high across both regions, with &gt; 70% of trees harvested for 100% of their crowns. A significantly greater proportion of trees were harvested for foliage in the wetter Sudano-Guinean region than in Sudanian region. The reverse was true for the proportion of foliage and bark-harvested per tree. In the Sudano-Guinean region, high harvest populations had significantly lower densities of seedlings and saplings than low harvest populations. The size-class distribution coefficient of skewness was significantly correlated with rainfall, habitat, and soil type. Variation in harvesting patterns and their ecological impacts can be explained in large part by differences in water availability between the two regions. Effective conservation plans for K. senegalensis require close consideration of the environmental and land-use context in which populations occur. (C) 2007 Elsevier Ltd. All rights reserved.</t>
  </si>
  <si>
    <t>Univ Hawaii Manoa, Dept Bot, Honolulu, HI 96822 USA</t>
  </si>
  <si>
    <t>University of Hawaii System; University of Hawaii Manoa</t>
  </si>
  <si>
    <t>Gaoue, OG (corresponding author), Univ Hawaii Manoa, Dept Bot, 3190 Maile Way, Honolulu, HI 96822 USA.</t>
  </si>
  <si>
    <t>ogaoue@hawaii.edu; ticktin@hawaii.edu</t>
  </si>
  <si>
    <t>Gaoue, Orou G/B-4932-2011</t>
  </si>
  <si>
    <t>Gaoue, Orou G/0000-0002-0946-2741</t>
  </si>
  <si>
    <t>10.1016/j.biocon.2007.02.020</t>
  </si>
  <si>
    <t>186JS</t>
  </si>
  <si>
    <t>WOS:000247775600011</t>
  </si>
  <si>
    <t>Foxcroft, LC; Richardson, DM; Rouget, M; MacFadyen, S</t>
  </si>
  <si>
    <t>Foxcroft, Llewellyn C.; Richardson, David M.; Rouget, Mathieu; MacFadyen, Sandra</t>
  </si>
  <si>
    <t>Alien plant distribution; biological invasions; conservation; exotic plants; non-native species; Kruger National Park; management; monitoring</t>
  </si>
  <si>
    <t>OPUNTIA-STRICTA; SOUTH-AFRICA; SPECIES DISTRIBUTIONS; EXTINCTION RISK; INVASIONS; CLASSIFICATION; DYNAMICS; SCIENCE; MODEL; TIME</t>
  </si>
  <si>
    <t>Spatial scale is critical for understanding and managing biological invasions. In providing direction to managing alien plant invasions, much emphasis is placed on collecting spatially explicit data. However, insufficient thought is often given to how the data are to be used, frequently resulting in the incompatibility of the data for different uses. This paper explores the role of spatial scale in interpreting, managing and monitoring alien plant invasions in a large protected area. Kruger National Park, South Africa. Using 27,000 spatially-explicit records of invasive alien plants for the Kruger National Park (&gt; 20,000 km(2)) we assessed alien plant species richness per cell at nine different scales of resolution. When assessing the patterns of alien plants at the various scales of resolution, almost identical results are obtained when working at scales of quarter-degree grids and quaternary watersheds (the fourth level category in South Africa's river basin classification system). Likewise, insights gained from working at resolutions of 0.1-0.5 km and 1-5 km are similar. At a scale of 0.1 x 0.1 km cells, only 0.4% of the Kruger National Park is invaded, whereas &gt; 90% of the park is invaded when mapped at the quarter-degree cell resolution. Selecting the appropriate scale of resolution is crucial when evaluating the distribution and abundance of alien plant invasions, understanding ecological processes, and operationalizing management applications and monitoring strategies. Quarter-degree grids and quaternary watersheds are most useful at a regional or national scale. Grid cells of 1 to 25 km(2) are generally useful for establishing priorities for and planning management interventions. Fine-scale data are useful for informing management in areas which are small in extent; they also provide the detail appropriate for assessing patterns and rates of invasion.</t>
  </si>
  <si>
    <t>[Foxcroft, Llewellyn C.] Univ Cape Town, Dept Bot, Plant Conservat Unit, ZA-7701 Rondebosch, South Africa; [Foxcroft, Llewellyn C.; Richardson, David M.] Univ Stellenbosch, Dept Bot &amp; Zool, Ctr Invas Biol, ZA-7602 Matieland, South Africa; [Foxcroft, Llewellyn C.; MacFadyen, Sandra] Conservat Serv, ZA-1350 Skukuza, South Africa; [Rouget, Mathieu] S African Natl Biodivers Inst, ZA-0001 Pretoria, South Africa</t>
  </si>
  <si>
    <t>Foxcroft, LC (corresponding author), Conservat Serv, S African Natl Pk,Private Bag X402, ZA-1350 Skukuza, South Africa.</t>
  </si>
  <si>
    <t>llewellynF@sanparks.org</t>
  </si>
  <si>
    <t>Rouget, Mathieu/B-7249-2008; Foxcroft, Llewellyn/B-1236-2009; Richardson, David/A-1495-2008</t>
  </si>
  <si>
    <t>Rouget, Mathieu/0000-0002-6172-3152; MacFadyen, Sana/0000-0002-5316-440X; Richardson, David/0000-0001-9574-8297</t>
  </si>
  <si>
    <t>DST-NRF Centre of Excellence for Invasion Biology; Hans Sigrist Foundation</t>
  </si>
  <si>
    <t>DST-NRF Centre of Excellence for Invasion Biology(Department of Science &amp; Technology (India)); Hans Sigrist Foundation</t>
  </si>
  <si>
    <t>We acknowledge the DST-NRF Centre of Excellence for Invasion Biology and the Hans Sigrist Foundation for funding, and thank M.P. Robertson and three anonymous reviewers for helpful comments on the manuscript.</t>
  </si>
  <si>
    <t>10.1111/j.1472-4642.2008.00544.x</t>
  </si>
  <si>
    <t>431OE</t>
  </si>
  <si>
    <t>WOS:000265070400001</t>
  </si>
  <si>
    <t>Kominoski, JS; Ruhí, A; Hagler, MM; Petersen, K; Sabo, JL; Sinha, T; Sankarasubramanian, A; Olden, JD</t>
  </si>
  <si>
    <t>Kominoski, John S.; Ruhi, Albert; Hagler, Megan M.; Petersen, Kelly; Sabo, John L.; Sinha, Tushar; Sankarasubramanian, Arumugam; Olden, Julian D.</t>
  </si>
  <si>
    <t>biodiversity loss; dams; flow regime; global change; imperiled species</t>
  </si>
  <si>
    <t>ALTERED FLOW REGIMES; FRESH-WATER FISHES; ENVIRONMENTAL FLOWS; SPECIES TRAITS; ECOSYSTEM RESPONSES; CONSERVATION; BIODIVERSITY; CLIMATE; DIVERSITY; PREDICT</t>
  </si>
  <si>
    <t>Effective conservation of freshwater biodiversity requires spatially explicit investigations of how dams and hydroclimatic alterations among climate regions may interact to drive species to extinction. We investigated how dams and hydroclimatic alterations interact with species ecological and life history traits to influence past extirpation probabilities of native freshwater fishes in the Upper and Lower Colorado River (CR), Alabama-Coosa-Tallapoosa (ACT), and Apalachicola-Chattahoochee-Flint (ACF) basins. Using long-term discharge data for continuously gaged streams and rivers, we quantified streamflow anomalies (i.e., departure expected streamflow) at the sub-basin scale over the past half-century.Next, we related extirpation probabilities of native fishes in both regions to streamflow anomalies, river basin characteristics, species traits, and non-native species richness using binomial logistic regression. Sub-basin extirpations in the Southwest (n=95 Upper CR, n=130 Lower CR) were highest in lowland mainstem rivers impacted by large dams and in desert springs. Dampened flow seasonality, increased longevity (i.e., delayed reproduction), and decreased fish egg sizes (i.e., lower parental care) were related to elevated fish extirpation probability in the Southwest. Sub-basin extirpations in the Southeast (ACT n=46, ACF n=22) were most prevalent in upland rivers, with flow dependency, greater age and length at maturity, isolation by dams, and greater distance upstream. Our results confirm that dams are an overriding driver of native fish species losses, irrespective of basin-wide differences in native or non-native species richness. Dams and hydrologic alterations interact with species traits to influence community disassembly, and very high extirpation risks in the Southeast are due to interactions between high dam density and species restricted ranges. Given global surges in dam building and retrofitting, increased extirpation risks should be expected unless management strategies that balance flow regulation with ecological outcomes are widely implemented.</t>
  </si>
  <si>
    <t>[Kominoski, John S.] Florida Int Univ, Dept Biol Sci, Miami, FL 33199 USA; [Ruhi, Albert; Sabo, John L.] Arizona State Univ, Sch Life Sci, Tempe, AZ USA; [Ruhi, Albert; Sabo, John L.] Arizona State Univ, Julie Ann Wrigley Global Inst Sustainabil, Tempe, AZ USA; [Ruhi, Albert] Univ Maryland, Natl Socioenvironm Synth Ctr SESYNC, Annapolis, MD USA; [Ruhi, Albert] Univ Calif Berkeley, Dept Environm Sci Policy &amp; Management, Berkeley, CA 94720 USA; [Hagler, Megan M.] Lewis &amp; Clark Coll, Sponsored Res, Portland, OR 97219 USA; [Hagler, Megan M.; Petersen, Kelly] Univ Georgia, Odum Sch Ecol, Athens, GA 30602 USA; [Sinha, Tushar] Texas A&amp;M Univ Kingsville, Dept Environm Engn, Kingsville, TX USA; [Sinha, Tushar; Sankarasubramanian, Arumugam] North Carolina State Univ, Dept Civil Construct &amp; Environm Engn, Raleigh, NC USA; [Olden, Julian D.] Univ Washington, Sch Aquat &amp; Fishery Sci, Seattle, WA 98195 USA</t>
  </si>
  <si>
    <t>State University System of Florida; Florida International University; Arizona State University; Arizona State University-Tempe; Arizona State University; Arizona State University-Tempe; University of California System; University of California Berkeley; Lewis &amp; Clark College; University System of Georgia; University of Georgia; Texas A&amp;M University System; Texas A&amp;M University Kingsville; North Carolina State University; University of Washington; University of Washington Seattle</t>
  </si>
  <si>
    <t>Kominoski, JS (corresponding author), Florida Int Univ, Dept Biol Sci, Miami, FL 33199 USA.</t>
  </si>
  <si>
    <t>jkominos@fiu.edu</t>
  </si>
  <si>
    <t>Kominoski, John/A-5907-2008; Sabo, John/B-1872-2013; Olden, Julian/A-8535-2010; Arumugam, Sankarasubramanian/A-1929-2019</t>
  </si>
  <si>
    <t>Kominoski, John/0000-0002-0978-3326; Olden, Julian/0000-0003-2143-1187; Arumugam, Sankarasubramanian/0000-0002-7668-1311</t>
  </si>
  <si>
    <t>National Science Foundation [CBET 1204368, 1204478, 1318140, DBI-1052875]; Directorate For Engineering; Div Of Chem, Bioeng, Env, &amp; Transp Sys [1204368] Funding Source: National Science Foundation; Div Of Biological Infrastructure; Direct For Biological Sciences [1052875] Funding Source: National Science Foundation; Div Of Chem, Bioeng, Env, &amp; Transp Sys; Directorate For Engineering [1318140] Funding Source: National Science Foundation</t>
  </si>
  <si>
    <t>National Science Foundation(National Science Foundation (NSF)); Directorate For Engineering; Div Of Chem, Bioeng, Env, &amp; Transp Sys(National Science Foundation (NSF)NSF - Directorate for Engineering (ENG)); Div Of Biological Infrastructure; Direct For Biological Sciences(National Science Foundation (NSF)NSF - Directorate for Biological Sciences (BIO)); Div Of Chem, Bioeng, Env, &amp; Transp Sys; Directorate For Engineering(National Science Foundation (NSF)NSF - Directorate for Engineering (ENG))</t>
  </si>
  <si>
    <t>National Science Foundation, Grant/Award Number: CBET 1204368, 1204478, 1318140, DBI-1052875</t>
  </si>
  <si>
    <t>10.1111/gcb.13940</t>
  </si>
  <si>
    <t>FW5YZ</t>
  </si>
  <si>
    <t>WOS:000425396700026</t>
  </si>
  <si>
    <t>Trull, N; Böhm, M; Carr, J</t>
  </si>
  <si>
    <t>Trull, Nicholas; Boehm, Monika; Carr, Jamie</t>
  </si>
  <si>
    <t>amphibians; birds; habitat; traits; vulnerability</t>
  </si>
  <si>
    <t>EXTINCTION RISK; IMPACTS; FIRE; CONSERVATION; VULNERABILITY; GRASSLANDS; DISEASE; SHIFTS</t>
  </si>
  <si>
    <t>International Union for Conservation of Nature (IUCN) Red List assessments rely on published data and expert inputs, and biases can be introduced where underlying definitions and concepts are ambiguous. Consideration of climate change threat is no exception, and recently numerous approaches to assessing the threat of climate change to species have been developed. We explored IUCN Red List assessments of amphibians and birds to determine whether species listed as threatened by climate change display distinct patterns in terms of habitat occupied and additional nonclimatic threats faced. We compared IUCN Red List data with a published data set of species' biological and ecological traits believed to infer high vulnerability to climate change and determined whether distributions of climate change-threatened species on the IUCN Red List concur with those of climate change-threatened species identified with the trait-based approach and whether species possessing these traits are more likely to have climate change listed as a threat on the IUCN Red List. Species in some ecosystems (e.g., grassland, shrubland) and subject to particular threats (e.g., invasive species) were more likely to have climate change as a listed threat. Geographical patterns of climate change-threatened amphibians and birds on the IUCN Red List were incongruent with patterns of global species richness and patterns identified using trait-based approaches. Certain traits were linked to increases or decreases in the likelihood of a species being threatened by climate change. Broad temperature tolerance of a species was consistently related to an increased likelihood of climate change threat, indicating counterintuitive relationships in IUCN assessments. To improve the robustness of species assessments of the vulnerability or extinction risk associated with climate change, we suggest IUCN adopt a more cohesive approach whereby specific traits highlighted by our results are considered in Red List assessments. To achieve this and to strengthen the climate change-vulnerability assessments approach, it is necessary to identify and implement logical avenues for further research into traits that make species vulnerable to climate change ( including population-level threats).</t>
  </si>
  <si>
    <t>[Boehm, Monika] Zool Soc London, Inst Zool, Regents Pk, London NW1 4RY, England; [Carr, Jamie] Int Union Conservat Nat, Global Species Programme, Pembroke St, Cambridge CB2 3QZ, England; [Carr, Jamie] IUCN, Species Survival Commiss, Climate Change Specialist Grp, 28 Rue Mauverney, CH-1196 Gland, Switzerland</t>
  </si>
  <si>
    <t>trullnicholas@yahoo.co.uk</t>
  </si>
  <si>
    <t>Böhm, Monika/E-1153-2018</t>
  </si>
  <si>
    <t>Rufford Foundation; ZSL Mission Opportunities Fund</t>
  </si>
  <si>
    <t>M.B. receives generous support from The Rufford Foundation and the ZSL Mission Opportunities Fund.</t>
  </si>
  <si>
    <t>10.1111/cobi.13022</t>
  </si>
  <si>
    <t>WOS:000419240100014</t>
  </si>
  <si>
    <t>Fakarayi, T; Mashapa, C; Gandiwa, E; Kativu, S</t>
  </si>
  <si>
    <t>Fakarayi, Togarasei; Mashapa, Clayton; Gandiwa, Edson; Kativu, Shakkie</t>
  </si>
  <si>
    <t>Pattern of land-use and land cover changes in Driefontein Grassland Important Bird Area, Zimbabwe</t>
  </si>
  <si>
    <t>bird habitat; Driefontein; human; land cover; land-use</t>
  </si>
  <si>
    <t>RECENT DEFORESTATION</t>
  </si>
  <si>
    <t>We assessed land cover and land use change in Driefontein Grasslands Important Bird Area (Driefontein IBA), Zimbabwe, after the land reforms that took place in 2000, using remotely sensed satellite land cover images of 1995, 2000, 2005 and 2010. A drive transect was done for ground truthing. Data were analysed spatially in a Geographical Information System environment. Changes in land cover and land use proportions were recorded from 1995 to 2010 throughout the Driefontein IBA. The land cover classes of grassland and wetland showed a decrease, whereas land area under cultivation increased during 1995-2010. However, the woodland area marginally remained constant over the same time. We concluded that changes in land cover in the study area were largely driven by land use change, i.e., increase in cultivation, following the resettlement of people within the Driefontein IBA. It is likely that with increasing human population the natural habitat of the study area will be degraded further, negatively impacting key sensitive habitats such as wetlands, bird species, and other biodiversity. Threats to birds and wetlands habitats are also threats to human livelihoods because people in this semi-arid area depend on wetland ecosystem services for their survival. The study recommends continuous monitoring of Driefontein IBA for conservation of birds and their habitats.</t>
  </si>
  <si>
    <t>[Fakarayi, Togarasei; Mashapa, Clayton; Kativu, Shakkie] Univ Zimbabwe, Trop Resource Ecol Programme, Harare, Zimbabwe; [Fakarayi, Togarasei] BirdLife Zimbabwe, Harare, Zimbabwe; [Gandiwa, Edson] Chinhoyi Univ Technol, Sch Wildlife Ecol &amp; Conservat, Chinhoyi, Zimbabwe</t>
  </si>
  <si>
    <t>University of Zimbabwe</t>
  </si>
  <si>
    <t>Mashapa, C (corresponding author), Univ Zimbabwe, Trop Resource Ecol Programme, POB MP 167, Harare, Zimbabwe.</t>
  </si>
  <si>
    <t>fakarayi@gmail.com; clayiemashapa@yahoo.co.uk; Zimbabweegandiwa@gmail.com; skativu@science.uz.ac.zw</t>
  </si>
  <si>
    <t>Mashapa, Clayton/R-8458-2019; Gandiwa, Edson/I-2925-2019</t>
  </si>
  <si>
    <t>Mashapa, Clayton/0000-0002-9266-8459; Gandiwa, Edson/0000-0003-0708-350X; kativu, shakkie/0000-0001-7913-2804</t>
  </si>
  <si>
    <t>Bird Life, Zimbabwe</t>
  </si>
  <si>
    <t>We are grateful to the local communities and authorities in Driefontein Grasslands IBA for their cooperation during project data collection. This study was supported by Bird Life, Zimbabwe. We are indebted to an anonymous reviewer for the valuable comments and suggestions.</t>
  </si>
  <si>
    <t>10.1177/194008291500800120</t>
  </si>
  <si>
    <t>CE1BF</t>
  </si>
  <si>
    <t>WOS:000351545700020</t>
  </si>
  <si>
    <t>Bungnamei, K; Saikia, A</t>
  </si>
  <si>
    <t>Bungnamei, Khangsembou; Saikia, Anup</t>
  </si>
  <si>
    <t>GEOGRAPHIA POLONICA</t>
  </si>
  <si>
    <t>land use; land cover; fragmentation; wildlife sanctuary; buffer; Manipur; India</t>
  </si>
  <si>
    <t>SHIFTING CULTIVATION; LANDSCAPE DYNAMICS; NORTHEAST INDIA; PROTECTED AREAS; RAIN-FOREST; BIODIVERSITY; IMPACTS; CLIMATE; THREATS</t>
  </si>
  <si>
    <t>This study documents the spatio-temporal land use and land cover dynamics of Yangoupokpi Lokchao Wildlife Sanctuary (YLWLS) in Manipur, India. Landsat imageries at three points of time spanning 38 years (1978, 2000 and 2016) were taken into account. Supervised image classification techniques were employed. Fragstats software was used to derive five landscape metrics, namely, class area (CA), number of patches (NP), largest patch index (LPI), percentage of landscape (PLAND) and mean patch size (MPS), to quantitatively assess the level of landscape fragmentation in the YLWLS. Dense and moderately dense forests decreased markedly during 1978-2000 from 46.5% to 40% and 38% to 28% of the total geographical area, respectively. However, between 2000 and 2016, the sanctuary managed to gain 840 ha of dense forest through various afforestation activities. The overall change in YLWLS during 1978-2016 indicates a substantial transition of dense and moderately dense forests.</t>
  </si>
  <si>
    <t>[Bungnamei, Khangsembou; Saikia, Anup] Gauhati Univ, Dept Geog, Gauhati 781014, Assam, India</t>
  </si>
  <si>
    <t>Gauhati University</t>
  </si>
  <si>
    <t>Bungnamei, K (corresponding author), Gauhati Univ, Dept Geog, Gauhati 781014, Assam, India.</t>
  </si>
  <si>
    <t>natikbmei@gmail.com; asaikia@gauhati.ac.in</t>
  </si>
  <si>
    <t>Saikia, Anup/S-7698-2019</t>
  </si>
  <si>
    <t>Bungnamei, Khangsembou/0000-0001-9028-7313</t>
  </si>
  <si>
    <t>POLISH ACAD SCIENCES, INST GEOGRAPHY &amp; SPATIAL ORGANIZATION</t>
  </si>
  <si>
    <t>WARSAW</t>
  </si>
  <si>
    <t>TWARDA 51-55, WARSAW, 00818, POLAND</t>
  </si>
  <si>
    <t>0016-7282</t>
  </si>
  <si>
    <t>2300-7362</t>
  </si>
  <si>
    <t>GEOGR POL</t>
  </si>
  <si>
    <t>Geogr. Pol.</t>
  </si>
  <si>
    <t>10.7163/GPol.0165</t>
  </si>
  <si>
    <t>LY6KH</t>
  </si>
  <si>
    <t>WOS:000540635900006</t>
  </si>
  <si>
    <t>Maclean, IMD; Bird, JP; Hassall, M</t>
  </si>
  <si>
    <t>Maclean, Ilya M. D.; Bird, Jeremy P.; Hassall, Mark</t>
  </si>
  <si>
    <t>WETLANDS ECOLOGY AND MANAGEMENT</t>
  </si>
  <si>
    <t>Wetland drainage; Habitat loss; Uganda; Cisticola carruthersi; Serinus koliensis; Bradypterus carpalis</t>
  </si>
  <si>
    <t>WESTERN KENYA; HABITAT LOSS; BIRDS; BIODIVERSITY; DIVERSITY; DECLINES; SERVICES; WETLANDS; ECOLOGY; RESERVE</t>
  </si>
  <si>
    <t>Papyrus Cyperus papyrus swamps sustain the livelihoods of millions of people, but threats to this habitat have never been quantified formally. Birds are useful indicators of threats that cannot be measured directly. Using satellite imagery classification and habitat associated modelling, we quantify drainage and present International Union for Conservation of Nature (IUCN) Red List assessments for the eight taxa most closely associated with this habitat. We show that, between 1984-1987 and 1999-2001 the areal extent of papyrus declined by 6.7 % from 1,643 to 1,532 km(2). Papyrus-specialist avifauna has undergone much greater declines, due in part to fragmentation effects and in part to geographical overlap between areas of highest population densities and areas that have experienced greatest habitat loss. Our assessment does not alter the IUCN Red List status of any full species, but it improves current knowledge of the drivers of their extinction risk. Papyrus gonolek Laniarius mufumbiri should remain at least near threatened, but on the basis of population decline rather than a purported small and decreasing range size, and papyrus yellow warbler Chloropeta gracilirostris should remain vulnerable, but again due to declines rather than on the basis of previous under-estimates of population size. Other species should remain listed as least concern. However, taxonomically, likely specifically, distinct populations of papyrus yellow warbler in Zambia and Kenya are highly threatened and should be listed as endangered and critically endangered respectively. We propose several conservation priorities and discuss means of achieving these in a manner consistent with maintaining the livelihoods of people.</t>
  </si>
  <si>
    <t>[Maclean, Ilya M. D.] Univ Exeter, Coll Life &amp; Environm Sci, Environm &amp; Sustainabil Inst, Penryn TR10 9EZ, England; [Bird, Jeremy P.] BirdLife Int, Cambridge CB3 0NA, England; [Hassall, Mark] Univ E Anglia, Sch Environm Sci, Norwich NR4 7TJ, Norfolk, England</t>
  </si>
  <si>
    <t>University of Exeter; BirdLife International; University of East Anglia</t>
  </si>
  <si>
    <t>Maclean, IMD (corresponding author), Univ Exeter, Coll Life &amp; Environm Sci, Environm &amp; Sustainabil Inst, Cornwall Campus, Penryn TR10 9EZ, England.</t>
  </si>
  <si>
    <t>i.m.d.maclean@exeter.ac.uk</t>
  </si>
  <si>
    <t>Bird, Jeremy/JFV-9213-2023; Maclean, Ilya/C-4014-2009</t>
  </si>
  <si>
    <t>Maclean, Ilya/0000-0001-8030-9136</t>
  </si>
  <si>
    <t>African Bird Club; British Airways; Royal Geographic Society; University of East Anglia</t>
  </si>
  <si>
    <t>Fieldwork for this project was part funded by the African Bird Club, British Airways, Royal Geographic Society and University of East Anglia. We are grateful to the Office of the President of the Government of Kenya, the Uganda National Council of Science and Technology for permission to carry out the research. We thank Steven Katungi, Rob Martin, Rowan Martin, Simon Mahood, Richard Moores, Nicodemus Nalianya Johnson Ruhakana and Johnson Tumahairwe for help with fieldwork. Information on the distribution of papyrus-dwelling passerines was provided by Leon Bennun, Achilles Byaruhanga, the late Paul Coopmans and Bob Stjernstedt, Lincoln Fishpool, Bryan Giezl, Pete Leonard, Ara Monadjem, David Moyer, Nicodemus Nalianya, Oliver Nasirwa and Malcolm Wilson.</t>
  </si>
  <si>
    <t>0923-4861</t>
  </si>
  <si>
    <t>1572-9834</t>
  </si>
  <si>
    <t>WETL ECOL MANAG</t>
  </si>
  <si>
    <t>Wetl. Ecol. Manag.</t>
  </si>
  <si>
    <t>10.1007/s11273-013-9292-8</t>
  </si>
  <si>
    <t>Environmental Sciences; Water Resources</t>
  </si>
  <si>
    <t>AD3RM</t>
  </si>
  <si>
    <t>WOS:000333163600002</t>
  </si>
  <si>
    <t>Cao, YF; Qiao, X; Hopke, PK; Ying, Q; Zhang, YY; Zeng, YY; Yuan, YP; Tang, Y</t>
  </si>
  <si>
    <t>Cao, Yuanfei; Qiao, Xue; Hopke, Philip K.; Ying, Qi; Zhang, Yueying; Zeng, Yingying; Yuan, Yanping; Tang, Ya</t>
  </si>
  <si>
    <t>Vegetation; Biodiversity; Qinghai-Tibetan plateau; Potential source contribution function; Concentration weighted trajectory</t>
  </si>
  <si>
    <t>SURFACE OZONE; PARTICULATE MATTER; TROPOSPHERIC OZONE; MOUNTAINS; SUMMERTIME; VEGETATION; IMPACTS; GROWTH; NOX; O-3</t>
  </si>
  <si>
    <t>Located in the transitional region between the Sichuan Basin (SCB) and Qinghai-Tibetan Plateau (QTP), the West China Rain Zone (WCRZ) is a large-scale ecotone and partially belongs to the Southwest China Mountains, which is one of the world's 34 biodiversity hotspots. Using observation data from national air quality stations and our own monitoring data, we investigated the risk from O-3 to vegetation and the major source-region of O-3 for two UNESCO (i.e., United Nations Educational, Scientific and Cultural Organization) world heritage properties (Mt. Qingcheng and Mt. Emei) and one city (Ya'an) in the WCRZ. The results show that the annual mean maximum daily 8-h average (MDA8) O-3 concentration in Mt. Qingcheng (54 ppb) was higher than that in the adjacent SCB cities (38-48 ppb). The acute and chronic risk levels from O-3 to vegetation were also higher in Mt. Qingcheng than at all the other sites. The mean MDA8 O-3 concentrations and the O-3 risk levels to vegetation in Mt. Emei and Ya'an fell in the range of that at the SCB and QTP cities. However, O-3 exposures at all the WCRZ, SCB, and QTP sites exceeded the empirical critical loads for natural ecosystems, forest trees, and highly O-3-sensitive plants. The SCB was identified as the largest source-region of O-3 for Mt. Qingcheng and Mt. Emei but other Chinese regions and northern India also had considerable contributions. To protect biodiversity and ecosystem services, there is a need to further systematically study O-3 and its ecological impacts for the entire WCRZ. (C) 2020 Elsevier Ltd. All rights reserved.</t>
  </si>
  <si>
    <t>[Cao, Yuanfei; Qiao, Xue; Zhang, Yueying; Yuan, Yanping] Sichuan Univ, Inst New Energy &amp; Low Carbon Technol, Chengdu 610065, Sichuan, Peoples R China; [Cao, Yuanfei; Qiao, Xue; Zhang, Yueying; Yuan, Yanping] Sichuan Univ, Hlth Food Evaluat Res Ctr, Chengdu 610065, Sichuan, Peoples R China; [Qiao, Xue; Tang, Ya] Sichuan Univ, State Key Lab Hydraul &amp; Mt River Engn, Chengdu 610065, Sichuan, Peoples R China; [Hopke, Philip K.] Univ Rochester, Dept Publ Hlth Sci, Med Ctr, Rochester, NY 14642 USA; [Hopke, Philip K.] Clarkson Univ, Ctr Air Resources Engn &amp; Sci, Potsdam, NY 13699 USA; [Ying, Qi] Texas A&amp;M Univ, Dept Civil Engn, College Stn, TX 77843 USA; [Zeng, Yingying; Tang, Ya] Sichuan Univ, Coll Architecture &amp; Environm, Dept Environm, Chengdu 610065, Sichuan, Peoples R China</t>
  </si>
  <si>
    <t>Sichuan University; Sichuan University; Sichuan University; University of Rochester; Clarkson University; Texas A&amp;M University System; Texas A&amp;M University College Station; Sichuan University</t>
  </si>
  <si>
    <t>Tang, Y (corresponding author), Sichuan Univ, State Key Lab Hydraul &amp; Mt River Engn, Chengdu 610065, Sichuan, Peoples R China.</t>
  </si>
  <si>
    <t>tangya@scu.edu.cn</t>
  </si>
  <si>
    <t>Yuan, Yanping/IAR-0596-2023; Hopke, Philip/C-6020-2008; Cao, Yuan-Fei/KLD-7020-2024; Ying, Qi/D-1985-2012; Hopke, Philip/C-6020-2008</t>
  </si>
  <si>
    <t>Qiao, Xue/0000-0001-7412-5090; Ying, Qi/0000-0002-4560-433X; Hopke, Philip/0000-0003-2367-9661</t>
  </si>
  <si>
    <t>National Natural Science Foundation of China [41929002, 71742004]; International Collaboration Project of the Science &amp; Technology Department of Sichuan Province [2017HH0048]; Program of Introducing Talents of Discipline to Universities [B08037]; PM2.5 monitoring in the campuses of Sichuan University [SCU2015CC0001]</t>
  </si>
  <si>
    <t>National Natural Science Foundation of China(National Natural Science Foundation of China (NSFC)); International Collaboration Project of the Science &amp; Technology Department of Sichuan Province; Program of Introducing Talents of Discipline to Universities(Ministry of Education, China - 111 Project); PM2.5 monitoring in the campuses of Sichuan University</t>
  </si>
  <si>
    <t>This study is sponsored by the National Natural Science Foundation of China [41929002, 71742004], the International Collaboration Project of the Science &amp; Technology Department of Sichuan Province [2017HH0048], the Program of Introducing Talents of Discipline to Universities [B08037], and PM2.5 monitoring in the campuses of Sichuan University [SCU2015CC0001].</t>
  </si>
  <si>
    <t>10.1016/j.chemosphere.2020.127008</t>
  </si>
  <si>
    <t>LY9TL</t>
  </si>
  <si>
    <t>WOS:000540870300017</t>
  </si>
  <si>
    <t>Carle, RD; Felis, JJ; Vega, R; Beck, J; Adams, J; López, V; Hodum, PJ; González, A; Colodro, V; Varela, T</t>
  </si>
  <si>
    <t>Carle, Ryan D.; Felis, Jonathan J.; Vega, Rodrigo; Beck, Jessie; Adams, Josh; Lopez, Veronica; Hodum, Peter J.; Gonzalez, Andres; Colodro, Valentina; Varela, Tiare</t>
  </si>
  <si>
    <t>CONDOR</t>
  </si>
  <si>
    <t>Beck, Jessie/HKN-9242-2023</t>
  </si>
  <si>
    <t>0010-5422</t>
  </si>
  <si>
    <t>1938-5129</t>
  </si>
  <si>
    <t>duz047</t>
  </si>
  <si>
    <t>10.1093/condor/duz047</t>
  </si>
  <si>
    <t>KN1PO</t>
  </si>
  <si>
    <t>WOS:000514612000007</t>
  </si>
  <si>
    <t>Ardenna creatopus; at-sea distribution; endangered species; foraging trip; GPS tracking; Peruvian anchoveta; seabird conservation; seabird-fishery interaction</t>
  </si>
  <si>
    <t>SEABIRD BYCATCH; WEST-COAST; EL-NINO; CREATOPUS; PUFFINUS; BEHAVIOR; ALBATROSSES; STRATEGIES; RESOURCE; IMPACTS</t>
  </si>
  <si>
    <t>Understanding susceptibility of seabirds to fisheries bycatch requires quantifying overlap of seabird at-sea habitat with fisheries' distribution and effort. Pink-footed Shearwaters (Ardenna creatopus) are vulnerable seabirds that breed only in Chile. Recently, high rates of Pink-footed Shearwater bycatch (i.e. &gt;1,500 observed mortalities 2015-2017) were documented by observers in central Chilean purse-seine fisheries. We present analysis of Pink-footed Shearwater at-sea movements and overlap with central Chilean purse-seine fleets targeting common sardine (Strangomera bentincki), Peruvian anchoveta (Engraulis ringens), and Chilean jack mackerel (Trachurus murphyi). To determine overlap during 2015-2017, we paired locations from 49 Pink-footed Shearwaters rearing nestlings at Isla Mocha, Chile, with locations and number of observed purse-seine sets in central Chile. Pink-footed Shearwaters typically visited waters &lt;= 30 km offshore throughout central Chile. Foraging trip durations varied interannually, with longer trips in 2016, but all years revealed persistent foraging hotspots near Valdivia, the Gulf of Arauco, and Isla Mocha, Chile. Greatest overlap between Pink-footed Shearwaters and fisheries occurred with the sardine/anchoveta fleet near Valdivia (artisanal and industrial) and the Gulf of Arauco (artisanal); overlap with the jack mackerel fleet was minimal. Given Pink-footed Shearwater bycatch documented in these fisheries, this overlap may indicate risk of bycatch for these birds, although we did not directly quantify shearwater-fisheries interaction. Our results can inform further fishery monitoring efforts, as well as collaboration among scientists, managers, and fishers to identify, quantify, and reduce fisheries bycatch of Pink-footed Shearwaters within Chile and internationally.</t>
  </si>
  <si>
    <t>[Carle, Ryan D.; Beck, Jessie; Lopez, Veronica; Hodum, Peter J.; Colodro, Valentina; Varela, Tiare] Oikonos Ecosyst Knowledge, Valparaiso, Region De Valpa, Chile; [Felis, Jonathan J.; Adams, Josh] US Geol Survey, Western Ecol Res Ctr, Santa Cruz, CA USA; [Vega, Rodrigo; Gonzalez, Andres] Inst Fomento Pesquero, Valparaiso, Region De Valpa, Chile; [Hodum, Peter J.] Univ Puget Sound, Tacoma, WA 98416 USA</t>
  </si>
  <si>
    <t>United States Department of the Interior; United States Geological Survey; Instituto de Fomento Pesquero (Valparaiso)</t>
  </si>
  <si>
    <t>Carle, RD (corresponding author), Oikonos Ecosyst Knowledge, Valparaiso, Region De Valpa, Chile.</t>
  </si>
  <si>
    <t>ryan@oikonos.org</t>
  </si>
  <si>
    <t>Beck, Jessie/0000-0001-6338-3051; Carle, Ryan/0000-0002-8213-4306</t>
  </si>
  <si>
    <t>National Fish and Wildlife Foundation; American Bird Conservancy Ocean and Islands Program; Robert and Patricia Switzer Foundation; U.S. Geological Survey; Western Ecological Research Center; Corporacion Nacional Forestal (CONAF)</t>
  </si>
  <si>
    <t>National Fish and Wildlife Foundation; American Bird Conservancy Ocean and Islands Program; Robert and Patricia Switzer Foundation; U.S. Geological Survey(United States Geological Survey); Western Ecological Research Center; Corporacion Nacional Forestal (CONAF)</t>
  </si>
  <si>
    <t>Project funding came from the National Fish and Wildlife Foundation, the American Bird Conservancy Ocean and Islands Program, and the Robert and Patricia Switzer Foundation, with additional support from the U.S. Geological Survey, Western Ecological Research Center and Corporacion Nacional Forestal (CONAF).</t>
  </si>
  <si>
    <t>duz026</t>
  </si>
  <si>
    <t>10.1093/condor/duz026</t>
  </si>
  <si>
    <t>JA7RS</t>
  </si>
  <si>
    <t>WOS:000488044400003</t>
  </si>
  <si>
    <t>Coppes, J; Ehrlacher, J; Thiel, D; Suchant, R; Braunisch, V</t>
  </si>
  <si>
    <t>Coppes, Joy; Ehrlacher, Judith; Thiel, Dominik; Suchant, Rudi; Braunisch, Veronika</t>
  </si>
  <si>
    <t>JOURNAL OF AVIAN BIOLOGY</t>
  </si>
  <si>
    <t>HUMAN DISTURBANCE; WILDLIFE RESPONSES; TOURISM; CONSEQUENCES; CONSERVATION; GROUSE; CONNECTIVITY; BIODIVERSITY; TOLERANCE; LANDSCAPE</t>
  </si>
  <si>
    <t>Outdoor recreation inflicts a wide array of impacts on individual animals, many of them reflected in the avoidance of disturbed areas. The scale and spatial extent, however, at which wildlife populations are affected, are mostly unclear. Particularly in geographically isolated populations, where restricted habitat availability may preclude a relocation to undisturbed areas, effective habitat reduction may remain underestimated or even unnoticed, when animals stay in disturbed areas and only show small-scale responses. Based on telemetry data, we investigated the spatial and seasonal effects of outdoor recreation - in relation to landscape and vegetation conditions - on western capercaillie Tetrao urogallus, considering two scales, home range and within-home range habitat selection. We determined the distance-thresholds up to which recreation infrastructures were avoided and estimated the extent of affected habitat for the isolated Black Forest (southwestern Germany) study population. While outdoor recreation did not affect home range selection, strong effects on habitat use within the home range were detected: distance to recreation infrastructure (hiking and cross-country skiing trails, ski pistes) was the main determinant of habitat selection in winter; in summer, mountain bike trails and hiker's restaurants were avoided up to an average distance of 145 m (CI: 60-1092 m). Around winter-infrastructure, relative avoidance was recorded up to 320 m (CI: 36-327 m), it was reduced, however, when dense understory provided visual cover. Of the entire population area, between 8-20% (summer) and 8-40% (winter) were affected by outdoor recreation, mainly in the high altitudes. Even without evident large-scale shifts in species distribution, local-scale avoidance of outdoor recreation can substantially contribute to effective habitat reduction. Based on our results we recommend a general reduction in recreation infrastructure density in key habitats, the establishment of undisturbed wildlife refuges with a diameter of at least 800 m, as well as enhancing visual protection by maintaining a strip of dense understory along trails.</t>
  </si>
  <si>
    <t>[Coppes, Joy; Ehrlacher, Judith; Suchant, Rudi; Braunisch, Veronika] Forest Res Inst Baden Wuerttemberg FVA, Freiburg, Germany; [Braunisch, Veronika] Univ Bern, Inst Ecol &amp; Evolut, Conservat Biol, Bern, Switzerland; [Thiel, Dominik] Swiss Ornithol Inst, Sempach, Switzerland; [Thiel, Dominik] Amt Nat Jagd &amp; Fischerei, St Gallen, Switzerland</t>
  </si>
  <si>
    <t>Coppes, J (corresponding author), Forest Res Inst Baden Wuerttemberg FVA, Freiburg, Germany.</t>
  </si>
  <si>
    <t>joy.coppes@forst.bwl.de</t>
  </si>
  <si>
    <t>Braunisch, Veronika/AAH-8260-2020</t>
  </si>
  <si>
    <t>Braunisch, Veronika/0000-0001-7035-4662; Coppes, Joy/0000-0002-5295-8638</t>
  </si>
  <si>
    <t>0908-8857</t>
  </si>
  <si>
    <t>1600-048X</t>
  </si>
  <si>
    <t>J AVIAN BIOL</t>
  </si>
  <si>
    <t>J. Avian Biol.</t>
  </si>
  <si>
    <t>10.1111/jav.01239</t>
  </si>
  <si>
    <t>FQ3SG</t>
  </si>
  <si>
    <t>WOS:000418276300010</t>
  </si>
  <si>
    <t>Adams, VM; Setterfield, SA</t>
  </si>
  <si>
    <t>Adams, Vanessa M.; Setterfield, Samantha A.</t>
  </si>
  <si>
    <t>Optimal dynamic control of invasions: applying a systematic conservation approach</t>
  </si>
  <si>
    <t>Andropogon gayanus; connectivity; invasive species management; Marxan; scheduling; systematic conservation planning; vulnerability</t>
  </si>
  <si>
    <t>GRASS INVASION; BIODIVERSITY; ERADICATION; EFFICIENCY; COSTS</t>
  </si>
  <si>
    <t>The social, economic, and environmental impacts of invasive plants are well recognized. However, these variable impacts are rarely accounted for in the spatial prioritization of funding for weed management. We examine how current spatially explicit prioritization methods can be extended to identify optimal budget allocations to both eradication and control measures of invasive species to minimize the costs and likelihood of invasion. Our framework extends recent approaches to systematic prioritization of weed management to account for multiple values that are threatened by weed invasions with a multi-year dynamic prioritization approach. We apply our method to the northern portion of the Daly catchment in the Northern Territory, which has significant conservation values that are threatened by gamba grass (Andropogon gayanus), a highly invasive species recognized by the Australian government as a Weed of National Significance (WONS). We interface Marxan, a widely applied conservation planning tool, with a dynamic biophysical model of gamba grass to optimally allocate funds to eradication and control programs under two budget scenarios comparing maximizing gain (MaxGain) and minimizing loss (MinLoss) optimization approaches. The prioritizations support previous findings that a MinLoss approach is a better strategy when threats are more spatially variable than conservation values. Over a 10-year simulation period, we find that a MinLoss approach reduces future infestations by similar to 8% compared to MaxGain in the constrained budget scenarios and similar to 12% in the unlimited budget scenarios. We find that due to the extensive current invasion and rapid rate of spread, allocating the annual budget to control efforts is more efficient than funding eradication efforts when there is a constrained budget. Under a constrained budget, applying the most efficient optimization scenario (control, minloss) reduces spread by similar to 27% compared to no control. Conversely, if the budget is unlimited it is more efficient to fund eradication efforts and reduces spread by similar to 65% compared to no control.</t>
  </si>
  <si>
    <t>[Adams, Vanessa M.] Charles Darwin Univ, Res Inst Environm &amp; Livelihoods, Darwin, NT 0909, Australia; Charles Darwin Univ, Natl Environm Res Program Northern Australia Hub, Darwin, NT 0909, Australia</t>
  </si>
  <si>
    <t>Charles Darwin University; Charles Darwin University</t>
  </si>
  <si>
    <t>Adams, VM (corresponding author), Charles Darwin Univ, Res Inst Environm &amp; Livelihoods, Darwin, NT 0909, Australia.</t>
  </si>
  <si>
    <t>v.adams@uq.edu.au</t>
  </si>
  <si>
    <t>Ada, Vanessa/A-3834-2012; Setterfield, Samantha/ABD-1481-2021</t>
  </si>
  <si>
    <t>Ada, Vanessa/0000-0002-3509-7901; Setterfield, Samantha/0000-0002-7470-4997</t>
  </si>
  <si>
    <t>RIRDC National Weeds and Productivity Program [PRJ-006928]</t>
  </si>
  <si>
    <t>RIRDC National Weeds and Productivity Program(Rural Industries R&amp;D Corp)</t>
  </si>
  <si>
    <t>This work was funded by a RIRDC National Weeds and Productivity Program research grant (PRJ-006928).</t>
  </si>
  <si>
    <t>10.1890/14-1062.1</t>
  </si>
  <si>
    <t>CJ0TT</t>
  </si>
  <si>
    <t>WOS:000355191900019</t>
  </si>
  <si>
    <t>De Solan, T; Renner, I; Cheylan, M; Geniez, P; Barnagaud, JY</t>
  </si>
  <si>
    <t>De Solan, Thomas; Renner, Ian; Cheylan, Marc; Geniez, Philippe; Barnagaud, Jean-Yves</t>
  </si>
  <si>
    <t>ECOGRAPHY</t>
  </si>
  <si>
    <t>land conversion; multiscale analysis; spatial point process models</t>
  </si>
  <si>
    <t>POINT PROCESS MODELS; CITIZEN SCIENCE; EXTINCTION RISK; CONSERVATION STATUS; LONG-TERM; LANDSCAPE; BIODIVERSITY; DIVERSITY; PATTERNS; SENSITIVITY</t>
  </si>
  <si>
    <t>Although classified among the greatest threats to the world's biodiversity, the effects of land use and their scale dependency are left unexplored in many taxonomic groups. Reptiles are among the most data-deficient vertebrates in this respect, although their ecological traits make them highly sensitive to habitat modifications. We tested whether land use gradients shape the distributions of Mediterranean reptiles at regional and local scales, and whether species' ecological traits and phylogeny explain these patterns. Reptiles are generally rare and hard to survey through standardized protocols. We overcame these obstacles by modeling an original data set of 18164 opportunistic occurrence records for 14 reptile species with spatially-explicit point process models incorporating known sources of sampling heterogeneity and spatially autocorrelated error. At a regional scale, reptiles favored open habitats and tended to avoid urban areas. At a local scale, the persistence of open habitats did better than forest resulting from land abandonment in maintaining reptiles within a heavily anthropogenic matrix. Contrary to our expectations, the absence of any clear trait or phylogenetic signals suggests that these responses are mediated by a complex interplay between species' ecology and regional biogeographic history. These results demonstrate that reptile responses to land use are scale-dependent and locally exacerbated when anthropogenic pressure is high. We further show that land abandonment is insufficient to preserve reptiles in the face of anthropogenic pressures unless patches of suitable habitat are effectively maintained. Eventually, our study further illustrates the effectiveness of volunteer-based opportunistic sampling in testing hypotheses on the determinants of rare species' distributions.</t>
  </si>
  <si>
    <t>[De Solan, Thomas; Cheylan, Marc; Geniez, Philippe; Barnagaud, Jean-Yves] PSL Res Univ, UMR CEFE 5175, Biogeog &amp; Ecol Vertebres CNRS, EPHE,UM,SupAgro,IND,INRA, Montpellier, France; [Renner, Ian] Univ Newcastle, Sch Math &amp; Phys Sci, Callaghan, NSW, Australia</t>
  </si>
  <si>
    <t>Centre National de la Recherche Scientifique (CNRS); CNRS - Institute of Ecology &amp; Environment (INEE); INRAE; Universite PSL; Ecole Pratique des Hautes Etudes (EPHE); Institut Agro; Montpellier SupAgro; CIRAD; Institut de Recherche pour le Developpement (IRD); Universite Paul-Valery; Universite de Montpellier; University of Newcastle</t>
  </si>
  <si>
    <t>Barnagaud, JY (corresponding author), PSL Res Univ, UMR CEFE 5175, Biogeog &amp; Ecol Vertebres CNRS, EPHE,UM,SupAgro,IND,INRA, Montpellier, France.</t>
  </si>
  <si>
    <t>jean-yves.barnagaud@cefe.cnrs.fr</t>
  </si>
  <si>
    <t>; Renner, Ian/JAD-0394-2023; de Solan, Thomas/HKM-7509-2023</t>
  </si>
  <si>
    <t>cheylan, marc/0000-0001-7594-571X; Renner, Ian/0000-0003-3116-2486;</t>
  </si>
  <si>
    <t>DREAL Languedoc-Roussillon through the Systeme d'Information sur la Nature et les Paysages</t>
  </si>
  <si>
    <t>This study was financially supported by the DREAL Languedoc-Roussillon through the Systeme d'Information sur la Nature et les Paysages.</t>
  </si>
  <si>
    <t>0906-7590</t>
  </si>
  <si>
    <t>1600-0587</t>
  </si>
  <si>
    <t>10.1111/ecog.04122</t>
  </si>
  <si>
    <t>HN3JF</t>
  </si>
  <si>
    <t>WOS:000460078900020</t>
  </si>
  <si>
    <t>Kurekin, AA; Loveday, BR; Clements, O; Quartly, GD; Miller, PI; Wiafe, G; Agyekum, KA</t>
  </si>
  <si>
    <t>Kurekin, Andrey A.; Loveday, Benjamin R.; Clements, Oliver; Quartly, Graham D.; Miller, Peter I.; Wiafe, George; Agyekum, Kwame Adu</t>
  </si>
  <si>
    <t>Operational Monitoring of Illegal Fishing in Ghana through Exploitation of Satellite Earth Observation and AIS Data</t>
  </si>
  <si>
    <t>unreported and unregulated fishing (IUU); Earth observation; synthetic aperture radar (SAR); vessel detection; constant false alarm rate (CFAR); automatic identification system (AIS)</t>
  </si>
  <si>
    <t>PATTERN</t>
  </si>
  <si>
    <t>Over the last decade, West African coastal countries, including Ghana, have experienced extensive economic damage due to illegal, unreported and unregulated (IUU) fishing activity, estimated at about USD 100 million in losses each year. Illegal, unreported and unregulated fishing poses an enormous threat to the conservation and management of the dwindling fish stocks, causing multiple adverse consequences for fisheries, coastal and marine ecosystems and for the people who depend on these resources. The Integrated System for Surveillance of Illegal, Unlicensed and Unreported Fishing (INSURE) is an efficient and inexpensive system that has been developed for the monitoring of IUU fishing in Ghanaian waters. It makes use of fast-delivery Earth observation data from the synthetic aperture radar instrument on Sentinel-1 and the Multi Spectral Imager on Sentinel-2, detecting objects that differ markedly from their immediate background using a constant false alarm rate test. Detections are matched to, and verified by, Automatic Identification System (AIS) data, which provide the location and dimensions of ships that are legally operating in the region. Matched and unmatched data are then displayed on a web portal for use by coastal management authorities in Ghana. The system has a detection success rate of 91% for AIS-registered vessels, and a fast throughput, processing and delivering information within 2 h of acquiring the satellite overpass. However, over the 17-month analysis period, 75% of SAR detections have no equivalent in the AIS record, suggesting significant unregulated marine activity, including vessels potentially involved in IUU. The INSURE system demonstrated its efficiency in Ghana's exclusive economic zone and it can be extended to the neighbouring states in the Gulf of Guinea, or other geographical regions that need to improve fisheries surveillance.</t>
  </si>
  <si>
    <t>[Kurekin, Andrey A.; Loveday, Benjamin R.; Clements, Oliver; Quartly, Graham D.; Miller, Peter I.] Plymouth Marine Lab, Prospect Pl, Plymouth PL1 3DH, Devon, England; [Wiafe, George; Agyekum, Kwame Adu] Univ Ghana, Coll Basic &amp; Appl Sci, Coastal &amp; Marine Resources Management Ctr, POB LG 99, Legon, Ghana</t>
  </si>
  <si>
    <t>Plymouth Marine Laboratory; University of Ghana</t>
  </si>
  <si>
    <t>Kurekin, AA (corresponding author), Plymouth Marine Lab, Prospect Pl, Plymouth PL1 3DH, Devon, England.</t>
  </si>
  <si>
    <t>anku@pml.ac.uk; blo@pml.ac.uk; olcl@pml.ac.uk; gqu@pml.ac.uk; pim@pml.ac.uk; wiafeg@ug.edu.gh; kaagyekum@gmail.com</t>
  </si>
  <si>
    <t>Miller, Peter/E-4525-2013; Quartly, Graham/A-4834-2013; Agyekum, Kwame/OQK-4333-2025</t>
  </si>
  <si>
    <t>Miller, Peter/0000-0002-5292-8789; Quartly, Graham/0000-0001-9132-9511; Kurekin, Aney/0000-0002-3107-1608; Wiafe, George/0000-0003-3575-8850;</t>
  </si>
  <si>
    <t>European Space Agency [4000117653/16/F/MOS]; NERC Earth Observation Data Acquisition and Analysis Service (NEODAAS); NERC [pml010009] Funding Source: UKRI; Natural Environment Research Council [pml010009] Funding Source: researchfish</t>
  </si>
  <si>
    <t>European Space Agency(European Space Agency); NERC Earth Observation Data Acquisition and Analysis Service (NEODAAS); NERC(UK Research &amp; Innovation (UKRI)Natural Environment Research Council (NERC)); Natural Environment Research Council(UK Research &amp; Innovation (UKRI)Natural Environment Research Council (NERC))</t>
  </si>
  <si>
    <t>This research was funded by the European Space Agency in the frame of the Alcantara initiative of the General Studies Programme (Contract Number: 4000117653/16/F/MOS). Processing of Sentinel-2 MSi data was funded through the NERC Earth Observation Data Acquisition and Analysis Service (NEODAAS).</t>
  </si>
  <si>
    <t>10.3390/rs11030293</t>
  </si>
  <si>
    <t>HN1JX</t>
  </si>
  <si>
    <t>WOS:000459944400081</t>
  </si>
  <si>
    <t>Ferreguetti, AC; Pereira-Ribeiro, J; Prevedello, JA; Tomás, WM; Rocha, CFD; Bergallo, HG</t>
  </si>
  <si>
    <t>Ferreguetti, Atilla Colombo; Pereira-Ribeiro, Juliane; Prevedello, Jayme Augusto; Tomas, Walfrido Moraes; Duarte Rocha, Carlos Frederico; Bergallo, Helena Godoy</t>
  </si>
  <si>
    <t>Atlantic forest; Conservation measures; Game species; Illegal hunting; Species management</t>
  </si>
  <si>
    <t>VALE NATURAL RESERVE; ATLANTIC FOREST; MOONLIGHT AVOIDANCE; TROPICAL FORESTS; DENSITY; CONSERVATION; IMPACT; HARVEST; TRADE</t>
  </si>
  <si>
    <t>Poaching is a common threat to vertebrates even within protected areas, yet it is difficult to predict and prevent due to a lack of information on its spatial distribution. We apply occupancy modeling to produce a spatially-explicit diagnostic of potential poaching areas in a protected area of the Atlantic Forest biodiversity hotspot, in Brazil. We used camera trapping along a 13-month period (April 2013 to May 2014) on 39 sampling sites selected using a systematic random design stratified by vegetation type. Using a single-species, single-season occupancy model, we evaluated seven covariates that might influence occupancy and detectability, to identify and compare sites selected by poachers. A total of 7020 trap-days was conducted during the study. Occupancy by poachers was higher near water resources and forest edges. Detectability of poachers was higher near water resources, forest edges and human settlements, in areas with higher abundance of game species, and in periods of higher lunar light intensity. Occupancy-based estimates of poaching matched well historical poaching records in the Reserve, and indicated that poaching pressure is not homogeneous across the Reserve; rather, there are clear poaching hotspots in areas with higher accessibility to poachers. Our results provide subsidies for increasing knowledge about this illegal practice, and points out for future strategies of conservation and management of game species. In addition, our methodological approach may be used in other Reserves to identify poaching hotspots, thus assisting managers in predicting and avoiding this illegal activity.</t>
  </si>
  <si>
    <t>[Ferreguetti, Atilla Colombo; Pereira-Ribeiro, Juliane; Prevedello, Jayme Augusto; Duarte Rocha, Carlos Frederico; Bergallo, Helena Godoy] Univ Estado Rio De Janeiro, Dept Ecol, PHLC, Rua Sao Francisco Xavier 524,Sala 220 Maracana, BR-20550019 Rio De Janeiro, RJ, Brazil; [Tomas, Walfrido Moraes] Embrapa Pantanal, Wildlife Lab, Rua 21 Setembro,1-880, BR-79320900 Corumba, MS, Brazil</t>
  </si>
  <si>
    <t>Universidade do Estado do Rio de Janeiro; Empresa Brasileira de Pesquisa Agropecuaria (EMBRAPA); EMBRAPA Pantanal</t>
  </si>
  <si>
    <t>Ferreguetti, AC (corresponding author), Univ Estado Rio De Janeiro, Dept Ecol, PHLC, Rua Sao Francisco Xavier 524,Sala 220 Maracana, BR-20550019 Rio De Janeiro, RJ, Brazil.</t>
  </si>
  <si>
    <t>atilla.ferreguetti@gmail.com</t>
  </si>
  <si>
    <t>Duarte Rocha, Carlos Frederico/A-6225-2013; Godoy Bergallo, Helena/F-9257-2011; Pereira-Ribeiro, Juliane/D-4371-2017; Ferreguetti, Atilla/D-1163-2019; Prevedello, Jayme/A-2776-2013</t>
  </si>
  <si>
    <t>Duarte Rocha, Carlos Frederico/0000-0003-3000-1242; Godoy Bergallo, Helena/0000-0001-9771-965X;</t>
  </si>
  <si>
    <t>Conselho Nacional de Desenvolvimento Cientifico e Tecnolegico (CNPq) [457458/212-7]; Conselho Nacional do Desenvolvimento Cientifico e Tecnologico (CNPq) [307781/2014-3, 304791/2010-5, 470265/2010-8, 302974/2015-6]; FAPERJ [E-26/102.765.2012 E-26/202.920.2015, E-26.201.267.2014]; Coordenacao de Aperfeicoamento de Pessoal de Nivel Superior; Rufford Foundation [19753-1]</t>
  </si>
  <si>
    <t>Conselho Nacional de Desenvolvimento Cientifico e Tecnolegico (CNPq)(Conselho Nacional de Desenvolvimento Cientifico e Tecnologico (CNPQ)); Conselho Nacional do Desenvolvimento Cientifico e Tecnologico (CNPq)(Conselho Nacional de Desenvolvimento Cientifico e Tecnologico (CNPQ)); FAPERJ(Fundacao Carlos Chagas Filho de Amparo a Pesquisa do Estado do Rio De Janeiro (FAPERJ)); Coordenacao de Aperfeicoamento de Pessoal de Nivel Superior(Coordenacao de Aperfeicoamento de Pessoal de Nivel Superior (CAPES)); Rufford Foundation</t>
  </si>
  <si>
    <t>This study is portion of the results of the Programa de Pesquisas em Biodiversidade da Mata Atlantica (PPBio Mata Atlantica Program) of Ministerio da Ciencia, Tecnologia, Inovacao e Comunicacao (MCTIC) and was supported by Conselho Nacional de Desenvolvimento Cientifico e Tecnolegico (CNPq) (Process No. 457458/212-7). The authors benefitted from grants provided to HGB (process 307781/2014-3) and to CFDR (304791/2010-5; 470265/2010-8; 302974/2015-6) from Conselho Nacional do Desenvolvimento Cientifico e Tecnologico (CNPq) and through Cientistas do Nosso Estado Program from FAPERJ to CFDR (process No. E-26/102.765.2012 E-26/202.920.2015) and to HGB (process E-26.201.267.2014). ACF and JPR received PhD fellowships from Coordenacao de Aperfeicoamento de Pessoal de Nivel Superior. The ICMBio provided the permit for the development of the study (No. 46327-4) and the Vale Natural Reserve for the Research in the Reserve. ACF is also grateful for the grant provided by The Rufford Foundation by number 19753-1.</t>
  </si>
  <si>
    <t>10.1016/j.biocon.2018.09.009</t>
  </si>
  <si>
    <t>GZ1LN</t>
  </si>
  <si>
    <t>WOS:000449129700015</t>
  </si>
  <si>
    <t>Hervé, M; Albert, CH; Bondeau, A</t>
  </si>
  <si>
    <t>Herve, Mathilde; Albert, Cecile H.; Bondeau, Alberte</t>
  </si>
  <si>
    <t>Biodiversity conservation; Agricultural practices; Human footprint; GIS; Land planning; Green corridors</t>
  </si>
  <si>
    <t>SPECIES COMPOSITION; LANDSCAPE HETEROGENEITY; HUMAN FOOTPRINT; BIODIVERSITY; PLANT; MANAGEMENT; IMPACT; VULNERABILITY; INTENSITY; LAND</t>
  </si>
  <si>
    <t>Conserving biodiversity in managed landscapes requires the definition of spatial conservation priorities. The systematic conservation planning tools which are used to define these conservation priorities, assess the vulnerability of different locations by combining two different elements: some measurement of the biological assets in question, and some measurement of the key processes which threaten these biological assets. For instance, in cumulative impact mapping, maps of individual human activities that impact ecosystems (hereafter referred to as 'stressor' for individual maps and 'cumulative stressor' for combined maps) are overlaid with maps of ecosystem vulnerability, in order to estimate the overall ecological impact of human activities on natural ecosystems. These tools are appealing because they are easy to use and inform regional land planning. However, given that once these spatial conservation priorities are defined they potentially have far-reaching consequences, there is a need to test their robustness and reliability. Here we propose to investigate how the uncertainties related to the estimation of a cumulative stressor layer affect the definition of spatial conservation priorities. We conduct a sensitivity analysis of the different ways of estimating major stressors related to human activities (transport, urbanization and population) with a specific focus on agriculture. We show that spatial conservation priorities are little sensitive to most of the parameters and input data used to estimate the cumulative stressor map. In particular, they are not very sensitive to changes in spatially overlapping stressors, i.e. those which overlap spatially with other stressors. However, our analyses also reveal that spatial conservation priorities are highly sensitive to how the agriculture stressor is defined. These results highlight the importance of better understanding how agricultural activities impact biodiversity and establishing how more accurate information on agricultural practices can be used to define spatial conservation priorities. (C) 2016 Elsevier GmbH. All rights reserved.</t>
  </si>
  <si>
    <t>[Herve, Mathilde; Albert, Cecile H.; Bondeau, Alberte] Marseille Univ, Univ Avignon, CNRS, IRD,IMBE, Marseille, France</t>
  </si>
  <si>
    <t>Centre National de la Recherche Scientifique (CNRS); Institut de Recherche pour le Developpement (IRD); Avignon Universite; Aix-Marseille Universite</t>
  </si>
  <si>
    <t>Hervé, M (corresponding author), Marseille Univ, Univ Avignon, CNRS, IRD,IMBE, Marseille, France.</t>
  </si>
  <si>
    <t>mathilde.herve@imbe.fr</t>
  </si>
  <si>
    <t>Bondeau, Alberte/E-9909-2012; Albert, Cécile/AAA-5490-2019</t>
  </si>
  <si>
    <t>Bondeau, Alberte/0000-0002-8729-5061; Albert, Cécile/0000-0002-0991-1068</t>
  </si>
  <si>
    <t>French Government Investissements d'Avenir program of the French National Research Agency (ANR) through the A*MIDEX project [ANR-11-LABX-0061, ANR-11-IDEX-0001-02]</t>
  </si>
  <si>
    <t>French Government Investissements d'Avenir program of the French National Research Agency (ANR) through the A*MIDEX project(Agence Nationale de la Recherche (ANR))</t>
  </si>
  <si>
    <t>This work is a contribution to the Labex OT-Med (no ANR-11-LABX-0061) funded by the French Government Investissements d'Avenir program of the French National Research Agency (ANR) through the A*MIDEX project (no ANR-11-IDEX-0001-02). We would like to thank Philippe Pointereau and Frederic Coulon from Solagro for the data on HNV. Thanks also to Sylvie Vanpeene for her helpful comments on our study. We are also grateful to the two anonymous reviewers for their helpful comments.</t>
  </si>
  <si>
    <t>10.1016/j.jnc.2016.08.001</t>
  </si>
  <si>
    <t>DU3PS</t>
  </si>
  <si>
    <t>WOS:000382125000009</t>
  </si>
  <si>
    <t>Paschoalini, M; Almeida, RM; Trujillo, F; Melo-Santos, G; Marmontel, M; Pavanato, HJ; Guerra, FM; Ristau, N; Zerbini, AN</t>
  </si>
  <si>
    <t>Paschoalini, Mariana; Almeida, Rafael Marques; Trujillo, Fernando; Melo-Santos, Gabriel; Marmontel, Miriam; Pavanato, Heloise Juliao; Guerra, Federico Mosquera; Ristau, Nathali; Zerbini, Alexandre Novaes</t>
  </si>
  <si>
    <t>BOTOS INIA-GEOFFRENSIS; SOTALIA-FLUVIATILIS; PLATANISTA-GANGETICA; TUCURUI DAM; HABITAT USE; AMAZON; CONSERVATION; HYDROPOWER; ABUNDANCE; CETACEAN</t>
  </si>
  <si>
    <t>Populations of freshwater dolphins are declining in response to increased human pressure, including habitat degradation, overfishing, bycatch, poaching and obstruction of free-flowing river corridors by dams. At least three river dolphin species occur in South America: the Amazonian river dolphin, or boto (Inia geoffrensis), the Bolivian river dolphin (Inia boliviensis) and the tucuxi (Sotalia fluviatilis). A fourth species, the Araguaian boto (Inia araguaiaensis), been proposed for the Tocantins-Araguaia, a large river basin in northern Brazil. Here we show that the Araguaian boto population in the Tocantins River is relatively small (N = 1083, CV = 0.52). During a survey to estimate density and abundance, 138 groups (198 individuals) of botos were observed along a similar to 600 km stretch of the Tocantins River in five different habitats (river margin, river channel, channel, island margin, and a dam reservoir). Overall, lower densities of the Araguaian boto were registered downstream of the Tucurui ' dam, the world's fifth largest hydropower dam. Density was 68% lower in the river margin habitat downstream (0.23 ind./km(2), CV = 0.92) than upstream (0.72 ind./km(2), CV = 0.53). In addition, density within the Tucurui ' reservoir decreases from upstream areas towards the dam. Geographic post-stratification of data into sub-regions (downstream, reservoir, upstream) in relation to the Tucurui ' dam helped to reduce CV by similar to 70%, which illustrates the high variability in the encounter rate in these areas. Our findings suggest that the Araguaian boto population has been impacted by the construction of the Tucurui ' dam. The construction of other dams proposed for the Tocantins-Araguaia basin should be planned strategically to minimize overlapping with the Araguaian boto distribution. Coordinated conservation actions are imperative to prevent the Araguaian boto from reaching extinction or nearextinction as some of their Asian counterparts such as the Yangtze, Ganges, and Indus river dolphins.</t>
  </si>
  <si>
    <t>[Paschoalini, Mariana] Univ Fed Juiz De Fora, Lab Ecol Comportamental &amp; Bioacust, Programa Posgrad Ecol, Juiz De Fora, MG, Brazil; [Paschoalini, Mariana; Zerbini, Alexandre Novaes] Inst Aqualie, Juiz De Fora, MG, Brazil; [Paschoalini, Mariana; Marmontel, Miriam; Pavanato, Heloise Juliao] Inst Desenvolvimento Sustentavel Mamiraua, Grp Pesquisa Mamiferos Aquat Amazonicos, Tefe, Brazil; [Almeida, Rafael Marques] Cornell Univ, Dept Ecol &amp; Evolutionary Biol, Atkinson Ctr Sustainable Future, Sustainabil, New York, NY 10021 USA; [Trujillo, Fernando; Guerra, Federico Mosquera] Fdn Omacha, Bogota, Colombia; [Melo-Santos, Gabriel] Univ St Andrews, Scottish Oceans Inst, Sch Biol, Sea Mammal Res Unit, St Andrews, Fife, Scotland; [Melo-Santos, Gabriel] BioMA Biol &amp; Conservac Mamiferos Aquat Amazonicos, Belem, Para, Brazil; [Pavanato, Heloise Juliao] Univ Otago, Dept Math &amp; Stat, Dunedim, New Zealand; [Ristau, Nathali] Univ Fed Maranhao, Dept Ciencias Biol, Cidade Univ, Sao Luis, Maranhao, Brazil; [Zerbini, Alexandre Novaes] Univ Washington, Joint Inst Study Atmosphere &amp; Ocean JISAO, Sand Point Way NE, Seattle, WA 98195 USA; [Zerbini, Alexandre Novaes] NOAA Fisheries, Alaska Fisheries Sci Ctr, Marine Mammal Lab, Sand Point Way NE, Seattle, WA USA; [Zerbini, Alexandre Novaes] Cascadia Res Collect, Olympia, WA USA; [Zerbini, Alexandre Novaes] Marine Ecol &amp; Telemetry Res, Seabeck, WA USA</t>
  </si>
  <si>
    <t>Universidade Federal de Juiz de Fora; Cornell University; University of St Andrews; Universidade Federal do Maranhao; University of Washington; University of Washington Seattle; National Oceanic Atmospheric Admin (NOAA) - USA</t>
  </si>
  <si>
    <t>Paschoalini, M (corresponding author), Univ Fed Juiz De Fora, Lab Ecol Comportamental &amp; Bioacust, Programa Posgrad Ecol, Juiz De Fora, MG, Brazil.;Paschoalini, M (corresponding author), Inst Aqualie, Juiz De Fora, MG, Brazil.;Paschoalini, M (corresponding author), Inst Desenvolvimento Sustentavel Mamiraua, Grp Pesquisa Mamiferos Aquat Amazonicos, Tefe, Brazil.</t>
  </si>
  <si>
    <t>pf.mariana@yahoo.com.br</t>
  </si>
  <si>
    <t>Marmontel, Miriam/AGF-7653-2022; Zerbini, Alexane/ABH-3916-2020</t>
  </si>
  <si>
    <t>Pavanato, Heloise/0000-0001-8335-1671; Zerbini, Alexane/0000-0002-9776-6605; Paschoalini, Mariana/0000-0002-4748-3236</t>
  </si>
  <si>
    <t>Whitley Fund for Nature; Petrobras Ambiental; Coordenacao de Aperfeicoamento de Pessoal de Nivel Superior (CAPES); Swarovski Foundation; Cornell Atkinson Center for Sustainability; Universidade Federal de Juiz de Fora; Fundacion Omacha; Mamiraua Sustainable Development Institute; Cetacean Society International (CSI)</t>
  </si>
  <si>
    <t>Whitley Fund for Nature; Petrobras Ambiental(Petrobras); Coordenacao de Aperfeicoamento de Pessoal de Nivel Superior (CAPES)(Coordenacao de Aperfeicoamento de Pessoal de Nivel Superior (CAPES)); Swarovski Foundation; Cornell Atkinson Center for Sustainability; Universidade Federal de Juiz de Fora; Fundacion Omacha; Mamiraua Sustainable Development Institute; Cetacean Society International (CSI)</t>
  </si>
  <si>
    <t>This study On the brink of isolation: Population estimates of the Araguaian river dolphin in a human-impacted region in Brazil submitted for publication as a Research Article to Plos One's Biodiversity Conservation Collection, was supported by Whitley Fund for Nature (https://whitleyaward.org/) and Petrobras Ambiental (http:// www.petrobras.com.br/pt/).Coordenacao de Aperfeicoamento de Pessoal de Nivel Superior (CAPES; https://www.capes.gov.br/) provided MP with a scholarship during her Phd' studies. Cetacean Society International (CSI; https://www.csiwhalesalive.org/) awarded MP during the development of this work. GMS was funded by Swarovski Foundation. RMA was funded by Cornell Atkinson Center for Sustainability. We also want to thank Universidade Federal de Juiz de Fora for financial support MP in publishing this work. The funders had no role in study design, data collection and analysis, decision to publish, or preparation of the manuscript. We thank Fundacion Omacha and Mamiraua Sustainable Development Institute for supporting the research and fieldwork. Catalina Gomez-Salazar, Joice Farias, Nayara S. Tartari, and Sa ' via Moreira helped with data collection. Raquel Fernandes Mendonca and Franciele Rezende Castro provided valuable advices regarding the presentation and conceptualization of the maps. We are also thankful to Sam F. Walmsley for providing a friendly review. Gabriel Melo-Santos was funded by the Swarovski Foundation. Rafael M. Almeida is funded by the Cornell Atkinson Center for Sustainability.</t>
  </si>
  <si>
    <t>e0231224</t>
  </si>
  <si>
    <t>10.1371/journal.pone.0231224</t>
  </si>
  <si>
    <t>LR9QD</t>
  </si>
  <si>
    <t>WOS:000536028800016</t>
  </si>
  <si>
    <t>Codato, D; Pappalardo, SE; Diantini, A; Ferrarese, F; Gianoli, F; De Marchi, M</t>
  </si>
  <si>
    <t>Codato, Daniele; Pappalardo, Salvatore Eugenio; Diantini, Alberto; Ferrarese, Francesco; Gianoli, Federico; De Marchi, Massimo</t>
  </si>
  <si>
    <t>Climate change; Unbumable carbon; Hydrocarbon projects; Amazon; Biodiversity; Indigenous people; Conservation; GIS</t>
  </si>
  <si>
    <t>ECUADORIAN AMAZON; LIVELIHOODS; CONFLICTS</t>
  </si>
  <si>
    <t>Climate change currently represents the tip of the iceberg of the human footprint on the Biosphere, showing social and environmental impacts both on local and global scales. McGlade and Ekins (2015) argued that to keep the temperature from increasing by 2 degrees C, more than 80% of coal, 50% of gas and 30% of oil reserves must remain unburnable underground, Within such a global scenario, the Amazon Biome presently plays a crucial role both as a carbon sink and as a fossil fuel reserve. Secondly, the Amazon Biome, - a key region in terms of provisioning ecosystem services and biological and cultural diversity - is endangered by several threats and pressures from oil and gas activities. In this study, the first Amazon-scale integrated spatial analysis was performed, quantifying interactions between oil operations, protected areas, and indigenous territories, and focusing on the issue of leaving fossil fuels untapped. The general aim of the present research is to provide a spatial tool useful for geographical criteria to define potential unburnable carbon areas in highly sensitive cultural and biological areas. Specific aims are identifying and quantifying overlaps between oil exploitation elements (blocks, wells, seismic lines, pipelines) and Protected Areas for biodiversity conservation, and indigenous territories. The results show that 10.47% of the Amazon study area is currently involved in oil and gas activities. In particular, oil blocks overlap 59.26% of the Ecuadorian Amazon, 34% of the Bolivian Amazon, and 35.77% of the Colombian Amazon. The overlaps could have a stronger effect on policymakers decisions if we consider that: a) 10.47% of the Amazon study area means that oil and gas concessions cover about 620,679 km(2) of tropical ecosystems, i.e. the 6% of US territory or more than the double of UK.</t>
  </si>
  <si>
    <t>[Codato, Daniele; Pappalardo, Salvatore Eugenio; Gianoli, Federico; De Marchi, Massimo] Univ Padua, Dept Civil Environm &amp; Architectural Engineer, Via Marzolo 9, I-35131 Padua, Italy; [Diantini, Alberto; Ferrarese, Francesco] Univ Padua, Dept Hist &amp; Geog Sci &amp; Ancient World, Sect Geog, Via Santo 26, Padua, Italy</t>
  </si>
  <si>
    <t>University of Padua; University of Padua</t>
  </si>
  <si>
    <t>Codato, D (corresponding author), Univ Padua, Dept Civil Environm &amp; Architectural Engineer, Via Marzolo 9, I-35131 Padua, Italy.</t>
  </si>
  <si>
    <t>daniele.codato@unipd.it</t>
  </si>
  <si>
    <t>Pappalardo, Salvatore Eugenio/0000-0002-1546-644X; De Marchi, Massimo/0000-0001-8184-013X; Codato, Daniele/0000-0003-0704-4041</t>
  </si>
  <si>
    <t>Department of Civil Environmental Architectural Engineering, University of Padova (Italy)</t>
  </si>
  <si>
    <t>This work was funded by the Department of Civil Environmental Architectural Engineering, University of Padova (Italy) through two research projects: Yasunization of Earth: a World Atlas of Unburnable carbon (Ateneo2015); Leaving oil under soil: evaluating yasunization policy experiments for climate and biodiversity protection and human rights enforcement (BIRD2016). We acknowledge the technical support of Second Level Professional Master on GSIcience and Unmanned Systems for the Integrated Management of Territory and Natural Resources, University of Padova.</t>
  </si>
  <si>
    <t>10.1016/j.apgeog.2018.12.001</t>
  </si>
  <si>
    <t>HK1LZ</t>
  </si>
  <si>
    <t>WOS:000457667700004</t>
  </si>
  <si>
    <t>Duncan, C; Kretz, D; Wegmann, M; Rabeil, T; Pettorelli, N</t>
  </si>
  <si>
    <t>Duncan, Clare; Kretz, Daniela; Wegmann, Martin; Rabeil, Thomas; Pettorelli, Nathalie</t>
  </si>
  <si>
    <t>Oil in the Sahara: mapping anthropogenic threats to Saharan biodiversity from space</t>
  </si>
  <si>
    <t>PHILOSOPHICAL TRANSACTIONS OF THE ROYAL SOCIETY B-BIOLOGICAL SCIENCES</t>
  </si>
  <si>
    <t>remote sensing; biodiversity; oil exploration; desert; conservation; Landsat</t>
  </si>
  <si>
    <t>PROTECTED AREA NETWORK; TEXTURE ANALYSIS; HABITAT LOSS; CLASSIFICATION; EXTINCTION; HOTSPOTS; CONSERVATION; EXTRACTION; INDUSTRY; ALREADY</t>
  </si>
  <si>
    <t>Deserts are among the most poorly monitored and understood biomes in the world, with evidence suggesting that their biodiversity is declining fast. Oil exploration and exploitation can constitute an important threat to fragmented and remnant desert biodiversity, yet little is known about where and how intensively such developments are taking place. This lack of information hinders local efforts to adequately buffer and protect desert wildlife against encroachment from anthropogenic activity. Here, we investigate the use of freely available satellite imagery for the detection of features associated with oil exploration in the African Sahelo-Saharan region. We demonstrate how texture analyses combined with Landsat data can be employed to detect ground-validated exploration sites in Algeria and Niger. Our results show that site detection via supervised image classification and prediction is generally accurate. One surprising outcome of our analyses is the relatively high level of site omission errors in Niger (43%), which appears to be due to non-detection of potentially small-scale, temporary exploration activity: we believe the repeated implementation of our framework could reduce the severity of potential methodological limitations. Overall, our study provides a methodological basis for the mapping of anthropogenic threats associated with oil exploitation that can be conducted across desert regions.</t>
  </si>
  <si>
    <t>[Duncan, Clare; Kretz, Daniela; Pettorelli, Nathalie] Zool Soc London, Inst Zool, London NW1 4RY, England; [Kretz, Daniela] Univ Bayreuth, BayCEER, D-95440 Bayreuth, Germany; [Wegmann, Martin] Univ Wurzburg, Dept Remote Sensing, D-97074 Wurzburg, Germany; [Wegmann, Martin] German Aerosp Ctr, German Remote Sensing Data Ctr, D-82234 Oberpfaffenhofen, Germany; [Rabeil, Thomas] Sahara Conservat Fund, Niamey, Niger</t>
  </si>
  <si>
    <t>Zoological Society of London; University of Bayreuth; University of Wurzburg; Helmholtz Association; German Aerospace Centre (DLR)</t>
  </si>
  <si>
    <t>nathalie.pettorelli@ioz.ac.uk</t>
  </si>
  <si>
    <t>; Duncan, Clare/V-6005-2019; Pettorelli, Nathalie/AAW-8438-2021</t>
  </si>
  <si>
    <t>Pettorelli, Nathalie/0000-0002-1594-6208; Wegmann, Martin/0000-0003-0335-9601; Duncan, Clare/0000-0001-5315-2997</t>
  </si>
  <si>
    <t>0962-8436</t>
  </si>
  <si>
    <t>1471-2970</t>
  </si>
  <si>
    <t>PHILOS T R SOC B</t>
  </si>
  <si>
    <t>Philos. Trans. R. Soc. B-Biol. Sci.</t>
  </si>
  <si>
    <t>MAY 26</t>
  </si>
  <si>
    <t>10.1098/rstb.2013.0191</t>
  </si>
  <si>
    <t>AF3EN</t>
  </si>
  <si>
    <t>WOS:000334594400002</t>
  </si>
  <si>
    <t>Finer, M; Jenkins, CN; Pimm, SL; Keane, B; Ross, C</t>
  </si>
  <si>
    <t>Finer, Matt; Jenkins, Clinton N.; Pimm, Stuart L.; Keane, Brian; Ross, Carl</t>
  </si>
  <si>
    <t>Oil and Gas Projects in the Western Amazon: Threats to Wilderness, Biodiversity, and Indigenous Peoples</t>
  </si>
  <si>
    <t>RAIN-FOREST; DEFORESTATION; CONSERVATION; ECUADOR; FATE</t>
  </si>
  <si>
    <t>Background: The western Amazon is the most biologically rich part of the Amazon basin and is home to a great diversity of indigenous ethnic groups, including some of the world's last uncontacted peoples living in voluntary isolation. Unlike the eastern Brazilian Amazon, it is still a largely intact ecosystem. Underlying this landscape are large reserves of oil and gas, many yet untapped. The growing global demand is leading to unprecedented exploration and development in the region. Methodology/Principal Findings: We synthesized information from government sources to quantify the status of oil development in the western Amazon. National governments delimit specific geographic areas or blocks'' that are zoned for hydrocarbon activities, which they may lease to state and multinational energy companies for exploration and production. About 180 oil and gas blocks now cover, 688,000 km(2) of the western Amazon. These blocks overlap the most species-rich part of the Amazon. We also found that many of the blocks overlap indigenous territories, both titled lands and areas utilized by peoples in voluntary isolation. In Ecuador and Peru, oil and gas blocks now cover more than two-thirds of the Amazon. In Bolivia and western Brazil, major exploration activities are set to increase rapidly. Conclusions/Significance: Without improved policies, the increasing scope and magnitude of planned extraction means that environmental and social impacts are likely to intensify. We review the most pressing oil- and gas-related conservation policy issues confronting the region. These include the need for regional Strategic Environmental Impact Assessments and the adoption of roadless extraction techniques. We also consider the conflicts where the blocks overlap indigenous peoples' territories.</t>
  </si>
  <si>
    <t>[Finer, Matt; Ross, Carl] Save Amer Forests, Washington, DC USA; [Jenkins, Clinton N.; Pimm, Stuart L.] Duke Univ, Nicholas Sch Environm, Durham, NC USA; [Keane, Brian] Land Is Life, Somerville, MA USA</t>
  </si>
  <si>
    <t>Finer, M (corresponding author), Save Amer Forests, Washington, DC USA.</t>
  </si>
  <si>
    <t>matt@saveamericasforests.org</t>
  </si>
  <si>
    <t>pimm, stuart/ABF-1082-2020; Jenkins, Clinton/D-6134-2011</t>
  </si>
  <si>
    <t>pimm, stuart/0000-0003-4206-2456; Jenkins, Clinton/0000-0003-2198-0637</t>
  </si>
  <si>
    <t>Forrest C. and Frances H. Lattner Foundation Inc</t>
  </si>
  <si>
    <t>This work was supported by the Forrest C. and Frances H. Lattner Foundation Inc. The funders had no role in study design, data collection and analysis, decision to publish, or preparation of the manuscript.</t>
  </si>
  <si>
    <t>e2932</t>
  </si>
  <si>
    <t>10.1371/journal.pone.0002932</t>
  </si>
  <si>
    <t>422FK</t>
  </si>
  <si>
    <t>WOS:000264412600018</t>
  </si>
  <si>
    <t>Queiroz, N; Humphries, NE; Mucientes, G; Hammerschlag, N; Lima, FP; Scales, KL; Miller, PI; Sousa, LL; Seabra, R; Sims, DW</t>
  </si>
  <si>
    <t>Queiroz, Nuno; Humphries, Nicolas E.; Mucientes, Gonzalo; Hammerschlag, Neil; Lima, Fernando P.; Scales, Kylie L.; Miller, Peter I.; Sousa, Lara L.; Seabra, Rui; Sims, David W.</t>
  </si>
  <si>
    <t>animal telemetry; distribution; conservation; fisheries; predator-prey</t>
  </si>
  <si>
    <t>POPULATIONS; MOVEMENTS; ATLANTIC; BYCATCH</t>
  </si>
  <si>
    <t>Overfishing is arguably the greatest ecological threat facing the oceans, yet catches of many highly migratory fishes including oceanic sharks remain largely unregulated with poor monitoring and data reporting. Oceanic shark conservation is hampered by basic knowledge gaps about where sharks aggregate across population ranges and precisely where they overlap with fishers. Using satellite tracking data from six shark species across the North Atlantic, we show that pelagic sharks occupy predictable habitat hotspots of high space use. Movement modeling showed sharks preferred habitats characterized by strong sea surface-temperature gradients (fronts) over other available habitats. However, simultaneous Global Positioning System (GPS) tracking of the entire Spanish and Portuguese longline-vessel fishing fleets show an 80% overlap of fished areas with hotspots, potentially increasing shark susceptibility to fishing exploitation. Regions of high overlap between oceanic tagged sharks and longliners included the North Atlantic Current/Labrador Current convergence zone and the Mid-Atlantic Ridge southwest of the Azores. In these main regions, and subareas within them, shark/vessel co-occurrence was spatially and temporally persistent between years, highlighting how broadly the fishing exploitation efficiently tracks oceanic sharks within their space-use hotspots year-round. Given this intense focus of longliners on shark hotspots, our study argues the need for international catch limits for pelagic sharks and identifies a future role of combining fine-scale fish and vessel telemetry to inform the ocean-scale management of fisheries.</t>
  </si>
  <si>
    <t>[Queiroz, Nuno; Humphries, Nicolas E.; Sousa, Lara L.; Sims, David W.] The Laboratory, Marine Biol Assoc United Kingdom, Plymouth PL1 2PB, Devon, England; [Queiroz, Nuno; Mucientes, Gonzalo; Lima, Fernando P.; Sousa, Lara L.; Seabra, Rui] Univ Porto, Res Network Biodivers &amp; Evolutionary Biol, Ctr Invest Biodiversidade &amp; Recursos Genet, Campus Agr Vairao, P-4485668 Vairao, Portugal; [Mucientes, Gonzalo] Ctr Tecnol Mar, Vigo 36208, Spain; [Hammerschlag, Neil] Univ Miami, Rosenstiel Sch Marine &amp; Atmospher Sci, 4600 Rickenbacker Causeway, Miami, FL 33149 USA; [Scales, Kylie L.; Miller, Peter I.] Plymouth Marine Lab, Citadel Hill, Plymouth PL1 3DH, Devon, England; [Scales, Kylie L.] Univ Calif Santa Cruz, Inst Marine Sci, Santa Cruz, CA 95064 USA; [Scales, Kylie L.] NOAA, Environm Res Div, Southwest Fisheries Sci Ctr, Monterey, CA 93940 USA; [Sousa, Lara L.; Sims, David W.] Univ Southampton, Natl Oceanog Ctr Southampton, Ocean &amp; Earth Sci, Waterfront Campus, Southampton SO14 3ZH, Hants, England; [Seabra, Rui] Univ Porto, Fac Ciencias, Dept Biol, P-4169007 Oporto, Portugal; [Sims, David W.] Univ Southampton, Ctr Biol Sci, Highfield Campus, Southampton SO17 1BJ, Hants, England</t>
  </si>
  <si>
    <t>Marine Biological Association United Kingdom; Universidade do Porto; University of Miami; Plymouth Marine Laboratory; University of California System; University of California Santa Cruz; National Oceanic Atmospheric Admin (NOAA) - USA; NERC National Oceanography Centre; University of Southampton; Universidade do Porto; University of Southampton</t>
  </si>
  <si>
    <t>Sims, DW (corresponding author), The Laboratory, Marine Biol Assoc United Kingdom, Plymouth PL1 2PB, Devon, England.;Sims, DW (corresponding author), Univ Southampton, Natl Oceanog Ctr Southampton, Ocean &amp; Earth Sci, Waterfront Campus, Southampton SO14 3ZH, Hants, England.;Sims, DW (corresponding author), Univ Southampton, Ctr Biol Sci, Highfield Campus, Southampton SO17 1BJ, Hants, England.</t>
  </si>
  <si>
    <t>Miller, Peter/E-4525-2013; Scales, Kylie/L-9318-2018; Seabra, Rui/J-7814-2012; Humphries, Nicolas/LSJ-0961-2024; Lima, Fernando/C-1398-2008; L Sousa, Lara/L-7774-2013; Queiroz, Nuno/G-3850-2010; Mucientes Sandoval, Gonzalo/A-1057-2009; Sandoval, Gonzalo/A-1057-2009; Sims, David/MVU-4533-2025</t>
  </si>
  <si>
    <t>Miller, Peter/0000-0002-5292-8789; Scales, Kylie/0000-0003-0843-0956; Seabra, Rui/0000-0002-0240-3992; Humphries, Nicolas/0000-0003-3741-1594; Si, David/0000-0002-0916-7363; Lima, Fernando/0000-0001-9575-9834; L Sousa, Lara/0000-0002-4392-3572; Queiroz, Nuno/0000-0002-3860-7356; Mucientes Sandoval, Gonzalo/0000-0001-6650-3020;</t>
  </si>
  <si>
    <t>UK Natural Environment Research Council Oceans Strategic Research Programme; Save Our Seas Foundation; Marine Biological Association Senior Research Fellowship; European Regional Development Fund (FEDER) via the Programa Operacional Competitividade e Internacionalizacao (COMPETE); National Funds via Fundacao para a Ciencia e a Tecnologia (FCT) [PTDC/MAR/100345/2008, COMPETE FCOMP-01-0124-FEDER-010580]; Project Biodiversity, Ecology and Global Change; North Portugal Regional Operational Programme under the National Strategic Reference Framework via the European Regional Development Fund [ON.2-O Novo Norte]; FCT [IF/01611/2013, IF/00043/2012, SFRH/BD/68717/2010, SFRH/BD/68521/2010]; Disney Worldwide Conservation Fund; Batchelor Foundation; West Coast Inland Navigation District in Florida; NERC [mba010004, pml010009] Funding Source: UKRI; Natural Environment Research Council [pml010009, 1066095, mba010004] Funding Source: researchfish; Fundação para a Ciência e a Tecnologia [PTDC/MAR/100345/2008, SFRH/BD/68521/2010, SFRH/BD/68717/2010] Funding Source: FCT</t>
  </si>
  <si>
    <t>UK Natural Environment Research Council Oceans Strategic Research Programme; Save Our Seas Foundation; Marine Biological Association Senior Research Fellowship(UK Research &amp; Innovation (UKRI)Biotechnology and Biological Sciences Research Council (BBSRC)); European Regional Development Fund (FEDER) via the Programa Operacional Competitividade e Internacionalizacao (COMPETE)(European Union (EU)); National Funds via Fundacao para a Ciencia e a Tecnologia (FCT); Project Biodiversity, Ecology and Global Change; North Portugal Regional Operational Programme under the National Strategic Reference Framework via the European Regional Development Fund; FCT(Fundacao para a Ciencia e a Tecnologia (FCT)); Disney Worldwide Conservation Fund; Batchelor Foundation; West Coast Inland Navigation District in Florida; NERC(UK Research &amp; Innovation (UKRI)Natural Environment Research Council (NERC)); Natural Environment Research Council(UK Research &amp; Innovation (UKRI)Natural Environment Research Council (NERC)); Fundação para a Ciência e a Tecnologia(Fundacao para a Ciencia e a Tecnologia (FCT))</t>
  </si>
  <si>
    <t>Funding was provided by the UK Natural Environment Research Council Oceans 2025 Strategic Research Programme (D.W.S.), the Save Our Seas Foundation (D.W.S.), a Marine Biological Association Senior Research Fellowship (D.W.S.), European Regional Development Fund (FEDER) via the Programa Operacional Competitividade e Internacionalizacao (COMPETE), National Funds via Fundacao para a Ciencia e a Tecnologia (FCT) under PTDC/MAR/100345/2008 and COMPETE FCOMP-01-0124-FEDER-010580 (to N.Q. and D.W.S.), Project Biodiversity, Ecology and Global Change cofinanced by North Portugal Regional Operational Programme 2007/2013 (ON.2-O Novo Norte), under the National Strategic Reference Framework via the European Regional Development Fund (N.Q.), FCT Investigator Fellowships IF/01611/2013 (to N.Q.) and IF/00043/2012 (to F.P.L.), FCT Doctoral Fellowships SFRH/BD/68717/2010 (to L.L.S.) and SFRH/BD/68521/2010 (to R.S.) and by the Disney Worldwide Conservation Fund, Batchelor Foundation, and West Coast Inland Navigation District in Florida (N.H.). This research was part of the European Tracking of Predators in the Atlantic initiative. This paper is dedicated to the memory of our colleague P. Alexandrino, who supported the initial work.</t>
  </si>
  <si>
    <t>10.1073/pnas.1510090113</t>
  </si>
  <si>
    <t>DC9WG</t>
  </si>
  <si>
    <t>WOS:000369571700045</t>
  </si>
  <si>
    <t>van der Reijden, KJ; Hintzen, NT; Govers, LL; Rijnsdorp, AD; Olff, H</t>
  </si>
  <si>
    <t>van der Reijden, Karin J.; Hintzen, Niels T.; Govers, Laura L.; Rijnsdorp, Adriaan D.; Olff, Han</t>
  </si>
  <si>
    <t>PLAICE PLEURONECTES-PLATESSA; SOLE SOLEA-SOLEA; SPATIAL-DISTRIBUTION; FISHING DISTURBANCE; CONTINENTAL-SHELF; IMPACT; CATCH; MANAGEMENT; RICHNESS; DYNAMICS</t>
  </si>
  <si>
    <t>Introduction The future protection of marine biodiversity through good conservation planning requires both the identification of key habitats with unique ecological characteristics and detailed knowledge of their human utilization through fisheries. Demersal fisheries are important disturbers of benthic habitats. They often have a heterogeneous spatial distribution, pressurizing particular habitats with high abundances of target species. For the North Sea, we quantified the commonness/rarity of habitats in relation to the environmental determinants of so-called fishing hotspots, to support better-informed conservation planning of benthic habitats in this intensively used continental shelf. Methods We first distinguished 9 main seascapes in the study area based on seabed morphology. Secondly, we determined average fishing intensity and fishing hotspots using VMS-data for the three dominant Dutch fisheries from 2008 to 2015: beam-trawlers targeting sole Solea solea (Beam-Sole), beam-trawlers targeting plaice Pleuronectes platessa (Beam-Plaice), and otter-trawlers targeting Norway lobster Nephrops norvegicus and demersal fish (Otter-Mix). Within the seascapes subjected to &gt;80% of the fishing activity, nineteen environmental factors (summarized by PCA) were used to ecologically characterize fishing hotspot locations using MaxEnt response modelling. Results We found that all three fisheries target highly specific, uncommon habitats. Beam-Sole fishers targeted warmer, shallow, dynamic, nearshore habitats, and within these specifically the depressions between sand ridges. Beam-Plaice fishers mainly targeted the exposed, non-muddy flanks of the Dogger Bank and similar large-scale elevations (50-75 km) where especially the ridges of smaller sand banks are used. Otter-Mix fisheries concentrated in areas with low bed shear stress, located in muddy, relatively deeper areas.</t>
  </si>
  <si>
    <t>[van der Reijden, Karin J.; Govers, Laura L.; Olff, Han] Univ Groningen, Groningen Inst Evolutionary Life Sci GELIFES, Groningen, Netherlands; [Hintzen, Niels T.; Rijnsdorp, Adriaan D.] Wageningen Marine Res, Ijmuiden, Netherlands; [Govers, Laura L.] Royal Netherlands Inst Sea Res NIOZ, Dept Coastal Syst, Texel, Netherlands; [Rijnsdorp, Adriaan D.] Wageningen Univ, Aquaculture &amp; Fisheries, Wageningen, Netherlands</t>
  </si>
  <si>
    <t>University of Groningen; Wageningen University &amp; Research; Utrecht University; Royal Netherlands Institute for Sea Research (NIOZ); Wageningen University &amp; Research</t>
  </si>
  <si>
    <t>van der Reijden, KJ (corresponding author), Univ Groningen, Groningen Inst Evolutionary Life Sci GELIFES, Groningen, Netherlands.</t>
  </si>
  <si>
    <t>k.j.van.der.reijden@rug.nl</t>
  </si>
  <si>
    <t>; Rijnsdorp, Aiaan D/A-4217-2008; Olff, Han/A-8516-2008; Hintzen, Niels/IQW-6670-2023; van der Reijden, Karin/AFU-6418-2022; Govers, Laura/B-8838-2011</t>
  </si>
  <si>
    <t>Olff, Han/0000-0003-2154-3576; Rijnsdorp, Aiaan D/0000-0003-0785-9662; Hintzen, Niels/0000-0002-6973-9618; van der Reijden, Karin/0000-0002-0090-8348;</t>
  </si>
  <si>
    <t>European Union project BENTHIS [EU-FP7 312088]; Gieskes-Strijbis fund</t>
  </si>
  <si>
    <t>European Union project BENTHIS; Gieskes-Strijbis fund</t>
  </si>
  <si>
    <t>The Gieskes-Strijbis fund (https://gieskesstrijbisfonds.nl/) is acknowledged for funding KJ van der Reijden, LL Govers and H Olff. NT Hintzen and AD Rijnsdorp were supported by the European Union project BENTHIS (EU-FP7 312088). The funders had no role in study design, data collection and analysis, decision to publish, or preparation of the manuscript.</t>
  </si>
  <si>
    <t>DEC 18</t>
  </si>
  <si>
    <t>e0208338</t>
  </si>
  <si>
    <t>10.1371/journal.pone.0208338</t>
  </si>
  <si>
    <t>HE9MF</t>
  </si>
  <si>
    <t>WOS:000453774100013</t>
  </si>
  <si>
    <t>Onyia, NN; Balzter, H; Berrio, JC</t>
  </si>
  <si>
    <t>Onyia, Nkeiruka Nneti; Balzter, Heiko; Berrio, Juan-Carlos</t>
  </si>
  <si>
    <t>Normalized Difference Vegetation Vigour Index: A New Remote Sensing Approach to Biodiversity Monitoring in Oil Polluted Regions</t>
  </si>
  <si>
    <t>biodiversity monitoring; species diversity; hyper-spectral imaging; Hyperion; spectral metrics; vegetation vigour; oil pollution</t>
  </si>
  <si>
    <t>RADIATION-USE EFFICIENCY; SPECIES-DIVERSITY; CHLOROPHYLL CONTENT; SPECTRAL DIVERSITY; NIGER DELTA; RED EDGE; ECOLOGICAL APPLICATIONS; ECOSYSTEM SERVICES; REFLECTANCE INDEX; LEAF REFLECTANCE</t>
  </si>
  <si>
    <t>Biodiversity loss remains a global challenge despite international commitment to the United Nations Convention on Biodiversity. Biodiversity monitoring methods are often limited in their geographical coverage or thematic content. Furthermore, remote sensing-based integrated monitoring methods mostly attempt to determine species diversity from habitat heterogeneity somewhat reflected in the spectral diversity of the image used. Up to date, there has been no standardized method for monitoring biodiversity against the backdrop of ecosystem or environmental pressures. This study presents a new method for monitoring the impact of oil pollution an environmental pressure on biodiversity at regional scale and presents a case study in the Niger delta region of Nigeria. It integrates satellite remote sensing and field data to develop a set of spectral metrics for biodiversity monitoring. Using vascular plants of various lifeforms observed on polluted and unpolluted (control) locations, as surrogates for biodiversity, the normalized difference vegetation vigour index (NDVVI) variants were estimated from Hyperion wavelengths sensitive to petroleum hydrocarbons and evaluated for potential use in biodiversity monitoring schemes. The NDVVI ranges from 0 to 1 and stems from the presupposition that increasing chlorophyll absorption in the green vegetation can be used as a predictor to model vascular plant species diversity. The performances of NDVVI variants were compared to traditional narrowband vegetation indices (NBVIs). The results show strong links between vascular plant species diversity and primary productivity of vegetation quantified by the chlorophyll content, vegetation vigour and abundance. An NDVVI-based model gave much more accurate predictions of species diversity than traditional NBVIs (R-squared and prediction square error (PSE) respectively for Shannon's diversity = 0.54 and 0.69 for NDVVIs and 0.14 and 0.9 for NBVIs). We conclude that NDVVI is a superior remote sensing index for monitoring biodiversity indicators in oil-polluted areas than traditional NBVIs.</t>
  </si>
  <si>
    <t>[Onyia, Nkeiruka Nneti; Balzter, Heiko; Berrio, Juan-Carlos] Univ Leicester, Sch Geog Geol &amp; Environm, Univ Rd, Leicester LE1 7RH, Leics, England; [Balzter, Heiko] Univ Leicester, Natl Ctr Earth Observat, Univ Rd, Leicester LE1 7RH, Leics, England</t>
  </si>
  <si>
    <t>University of Leicester; University of Leicester</t>
  </si>
  <si>
    <t>Onyia, NN (corresponding author), Univ Leicester, Sch Geog Geol &amp; Environm, Univ Rd, Leicester LE1 7RH, Leics, England.</t>
  </si>
  <si>
    <t>nno4@le.ac.uk; hb91@le.ac.uk; jcb34@leicester.ac.uk</t>
  </si>
  <si>
    <t>; Balzter, Heiko/B-5976-2008</t>
  </si>
  <si>
    <t>Onyia, Nkeiruka Nneti/0000-0002-9929-3266; Berrio, Juan Carlos/0000-0002-9198-9277;</t>
  </si>
  <si>
    <t>Tertiary Education Trust Fund (TETFUND); Michael Okpara University of Agriculture, Umudike, Nigeria; National Center for Earth Observation (NCEO); Center for Landscape and Climate Research (CLCR), University of Leicester, United Kingdom; Natural Environment Research Council [NE/R016518/1, nceo020005, NE/R000115/1] Funding Source: researchfish; NERC [NE/R016518/1, nceo020005, NE/R000115/1] Funding Source: UKRI</t>
  </si>
  <si>
    <t>Tertiary Education Trust Fund (TETFUND); Michael Okpara University of Agriculture, Umudike, Nigeria; National Center for Earth Observation (NCEO); Center for Landscape and Climate Research (CLCR), University of Leicester, United Kingdom; Natural Environment Research Council(UK Research &amp; Innovation (UKRI)Natural Environment Research Council (NERC)); NERC(UK Research &amp; Innovation (UKRI)Natural Environment Research Council (NERC))</t>
  </si>
  <si>
    <t>This study was financed partly by the Tertiary Education Trust Fund (TETFUND), Michael Okpara University of Agriculture, Umudike, Nigeria, the National Center for Earth Observation (NCEO) and the Center for Landscape and Climate Research (CLCR), University of Leicester, United Kingdom. The authors are grateful to the traditional ruler of Kporghor community and the members of the Youth leadership for their support during the field campaign.</t>
  </si>
  <si>
    <t>10.3390/rs10060897</t>
  </si>
  <si>
    <t>GK9JI</t>
  </si>
  <si>
    <t>WOS:000436561800091</t>
  </si>
  <si>
    <t>["Experimental"]</t>
  </si>
  <si>
    <t>Trochine, C; Brucet, S; Argillier, C; Arranz, I; Beklioglu, M; Benejam, L; Ferreira, T; Hesthagen, T; Holmgren, K; Jeppesen, E; Kelly, F; Krause, T; Rask, M; Volta, P; Winfield, IJ; Mehner, T</t>
  </si>
  <si>
    <t>Trochine, Carolina; Brucet, Sandra; Argillier, Christine; Arranz, Ignasi; Beklioglu, Meryem; Benejam, Lluis; Ferreira, Teresa; Hesthagen, Trygve; Holmgren, Kerstin; Jeppesen, Erik; Kelly, Fiona; Krause, Teet; Rask, Martti; Volta, Pietro; Winfield, Ian J.; Mehner, Thomas</t>
  </si>
  <si>
    <t>ECOSYSTEMS</t>
  </si>
  <si>
    <t>invasion biology; lake fish communities; translocated species; exotic species; invasion meltdown; trophic similarity</t>
  </si>
  <si>
    <t>SPECIES-RICHNESS; BIOLOGICAL INVASIONS; COMMUNITIES; HOMOGENIZATION; ASSEMBLAGE; DIVERSITY; PATTERNS; IMPACT; EUTROPHICATION; ESTABLISHMENT</t>
  </si>
  <si>
    <t>Invasion of non-native species is considered a major threat to global biodiversity. Here we present a comprehensive overview of the occurrence, richness and biomass contribution of non-native fish species in 1943 standing water bodies from 14 countries of the Western Palearctic, based on standardised fish catches by multi-mesh gillnetting. We expected strong geographical gradients to emerge in the occurrence of non-natives. We further hypothesised that the contribution by non-natives to the local fish community biomass was correlated with local richness and the trophic level of native and non-native species. Non-native fish species occurred in 304 of 1943 water bodies (16%). If the average number of occupied water bodies per country was weighted by number of water bodies per country, the grand mean occurrence of non-natives in Western Palearctic water bodies was 10%. Exotic (non-native to the Palearctic) and translocated (non-native only to parts of the Palearctic) species were found in 164 (8.4%) or 235 (12.1%) of the water bodies, respectively. The occurrence and local richness of non-native fish species increased with temperature, precipitation and lake area and were substantially higher in reservoirs than in natural lakes. High local biomass contributions of non-native species were strongly correlated with low richness of native species and high richness of non-native species, whereas the trophic level of the fish species had only a weak effect. Single non-native species rarely dominated community biomass, but high biomass contributions and thus strong community and ecosystem impacts can be expected if several non-native species accumulate in a water body.</t>
  </si>
  <si>
    <t>[Trochine, Carolina] Univ Nacl Comahue, CONICET, INIBIOMA, Lab Limnol, Quintral 1250, RA-8400 San Carlos De Bariloche, Rio Negro, Argentina; [Brucet, Sandra; Arranz, Ignasi; Benejam, Lluis] Univ Vic, Cent Univ Catalonia, BETA Tecnio Ctr, Aquat Ecol Grp, Catalonia, Vic, Spain; [Brucet, Sandra] ICREA, Catalan Inst Res &amp; Adv Studies, Barcelona 08010, Spain; [Argillier, Christine] Irstea UR RECOVER, 3275 Route Cezanne, F-13182 Aix En Provence, France; [Beklioglu, Meryem] Middle East Tech Univ, Dept Biol Sci, Limnol Lab, Ankara, Turkey; [Beklioglu, Meryem] Middle East Tech Univ, Kemal Kurdas Ecol Res Stn, Lake Eymir, Oran Mahallesi, Ankara, Turkey; [Beklioglu, Meryem] Middle East Tech Univ, Kemal Kurdas Training Stn, Lake Eymir, Oran Mahallesi, Ankara, Turkey; [Ferreira, Teresa] Univ Lisbon, Inst Super Agron, P-1349017 Lisbon, Portugal; [Hesthagen, Trygve] Norwegian Inst Nat Reasearch, PO 5685, N-7485 Trondheim, Norway; [Holmgren, Kerstin] Swedish Univ Agr Sci, Inst Fresh Water Res, Dept Aquat Resources, Stangholmsvagen 2, S-17893 Drottningholm, Sweden; [Jeppesen, Erik] Aarhus Univ, Dept Biosci, Vejlsovej 25, DK-8600 Silkeborg, Denmark; [Jeppesen, Erik] Aarhus Univ, ARC, Vejlsovej 25, DK-8600 Silkeborg, Denmark; [Jeppesen, Erik] Sino Danish Ctr Educ &amp; Res, Beijing, Peoples R China; [Kelly, Fiona] Inland Fisheries Ireland, 3044 Lake Dr Citywest Business Campus, Dublin 24, Ireland; [Krause, Teet] Estonian Univ Life Sci, Ctr Limnol IEAS, 5D Kreutzwaldi St, EE-51014 Tartu, Estonia; [Rask, Martti] Nat Resources Inst Finland, Survontie 9 A, Jyvaskyla 40500, Finland; [Volta, Pietro] CNR, Inst Ecosyst Study, Lgo Tonolli 50, I-28922 Verbania, Pallanza, Italy; [Winfield, Ian J.] Lancaster Environm Ctr, Lake Ecosyst Grp, Ctr Ecol &amp; Hydrol, Lib Ave, Lancaster LA1 4AP, Lancs, England; [Mehner, Thomas] Leibniz Inst Freshwater Ecol &amp; Inland Fisheries, Muggelseedamm 310, D-12587 Berlin, Germany</t>
  </si>
  <si>
    <t>Consejo Nacional de Investigaciones Cientificas y Tecnicas (CONICET); Universidad Nacional del Comahue; Universitat de Vic - Universitat Central de Catalunya (UVic-UCC); ICREA; INRAE; Middle East Technical University; Middle East Technical University; Middle East Technical University; Universidade de Lisboa; Norwegian Institute Nature Research; Swedish University of Agricultural Sciences; Aarhus University; Aarhus University; Estonian University of Life Sciences; Natural Resources Institute Finland (Luke); Consiglio Nazionale delle Ricerche (CNR); Istituto per lo Studio degli Ecosistemi (ISE-CNR); Lancaster University; UK Centre for Ecology &amp; Hydrology (UKCEH); Leibniz Association; Leibniz Institut fur Gewasserokologie und Binnenfischerei (IGB)</t>
  </si>
  <si>
    <t>Mehner, T (corresponding author), Leibniz Inst Freshwater Ecol &amp; Inland Fisheries, Muggelseedamm 310, D-12587 Berlin, Germany.</t>
  </si>
  <si>
    <t>trochine@comahue-conicet.gob.ar; sandra.brucet@uvic.cat; christine.argillier@irstea.fr; Ignasi.arranz@uvic.cat; meryem@metu.edu.tr; lluis.benejam@uvic.cat; terferreira@isa.utl.pt; Trygve.Hesthagen@nina.no; kerstin.holmgren@slu.se; ej@bios.au.dk; Fiona.Kelly@fisheriesireland.ie; Teet.Krause@emu.ee; martti.rask@luke.fi; p.volta@ise.cnr.it; ijw@ceh.ac.uk; mehner@igb-berlin.de</t>
  </si>
  <si>
    <t>Trochine, Carolina/AFU-8159-2022; Arranz, Ignasi/L-2280-2017; Jeppesen, Erik/O-2667-2019; Mehner, Thomas/B-8665-2008; Christine, Argillier/Z-1282-2019; beklioglu, meryem/ABA-1630-2020</t>
  </si>
  <si>
    <t>Trochine, Carolina/0000-0002-4844-1513; Arranz, Ignasi/0000-0002-1517-1713; Jeppesen, Erik/0000-0002-0542-369X; VOLTA, Pietro/0000-0003-3177-0473; Kelly, Fiona/0000-0003-3627-3871;</t>
  </si>
  <si>
    <t>TUBITAK-CAYDAG, Turkey [105Y332, 110Y125]; Middle East Technical University (METU)-BAP program; MARS (Managing Aquatic ecosystems and water Resources under multiple Stress, EU 7th Framework Programme) [603378]; Swedish Environmental Protection Agency [Dnr 10/179]; Swedish Agency for Marine and Water Management; Environmental Investment Centre KIK [8603]; Deutsche Forschungsgemeinschaft (DFG) [Me 1686/7-1]; NERC [ceh020010, ceh020005] Funding Source: UKRI; Natural Environment Research Council [ceh020010, ceh020005] Funding Source: researchfish</t>
  </si>
  <si>
    <t>TUBITAK-CAYDAG, Turkey; Middle East Technical University (METU)-BAP program; MARS (Managing Aquatic ecosystems and water Resources under multiple Stress, EU 7th Framework Programme); Swedish Environmental Protection Agency; Swedish Agency for Marine and Water Management; Environmental Investment Centre KIK; Deutsche Forschungsgemeinschaft (DFG)(German Research Foundation (DFG)); NERC(UK Research &amp; Innovation (UKRI)Natural Environment Research Council (NERC)); Natural Environment Research Council(UK Research &amp; Innovation (UKRI)Natural Environment Research Council (NERC))</t>
  </si>
  <si>
    <t>We thank Samo Podgornik for providing the data from the Slovenian lakes and Jorg Freyhof for advice on the status of European fish species. Two anonymous reviewers provided several comments, which helped improving the text. CT is a CONICET researcher. Studies carried out on Turkish lakes were supported by TUBITAK-CAYDAG (projects 105Y332 and 110Y125), Turkey, and Middle East Technical University (METU)-BAP program (BAP projects between 2009 and 2012). EJ, MB and CA were supported by MARS (Managing Aquatic ecosystems and water Resources under multiple Stress, EU 7th Framework Programme, Contract No.: 603378, http://www.mars-project.eu). KH was supported by the Swedish Environmental Protection Agency (Dnr 10/179) and the Swedish Agency for Marine and Water Management through contract for the research programme WATERS. TK was supported by Environmental Investment Centre KIK, 2014, project nr. 8603. TM and SB were supported by a project of the Deutsche Forschungsgemeinschaft (DFG, Me 1686/7-1).</t>
  </si>
  <si>
    <t>1432-9840</t>
  </si>
  <si>
    <t>1435-0629</t>
  </si>
  <si>
    <t>10.1007/s10021-017-0156-6</t>
  </si>
  <si>
    <t>GA7YZ</t>
  </si>
  <si>
    <t>WOS:000428556200001</t>
  </si>
  <si>
    <t>Piqueray, J; Mahy, G; Vanderhoeven, S</t>
  </si>
  <si>
    <t>Piqueray, Julien; Mahy, Gregory; Vanderhoeven, Sonia</t>
  </si>
  <si>
    <t>NATURALIZATION AND IMPACT OF A HORTICULTURAL SPECIES, COTONEASTER HORIZONTALIS (ROSACEAE) IN BIODIVERSITY HOTSPOTS IN BELGIUM</t>
  </si>
  <si>
    <t>BELGIAN JOURNAL OF BOTANY</t>
  </si>
  <si>
    <t>Cotoneaster horizontalis; biodiversity hotspots; calcareous grasslands; impact; naturalization</t>
  </si>
  <si>
    <t>CALCAREOUS GRASSLANDS; PLANT INVASIONS; RESTORATION; HABITATS; ALIEN</t>
  </si>
  <si>
    <t>Cultivation of ornamental plant species has been recognized to foster plant naturalization of exotics by counteracting environmental stochasticity and continuously providing propagules. As a preliminary attempt to describe the invasion status of C horizontalis, we gathered information on the occurrence of the species in Belgium by compiling various databases. We assessed the naturalization status of C. horizontalis in Belgian calcareous grasslands, high-value habitats recognized as biodiversity hotspots, by characterizing its occurrence, population status, preferred habitats, invaded communities, growth rate and fruiting capacity. We also assessed the impact of the species on calcareous grasslands communities and on individual species. Cotoneaster occurred in seven of the nine investigated sites, with densities varying from 0.34 to 10 individuals/ha. In the most invaded sites, the high proportion of small individuals suggests an important ongoing colonization process, emphasized by the fact that fruiting capacities were demonstrated for 3-year-old individuals. Invaded habitats were typically Mosan Xerobromion habitats, which are priority Natura 2000 habitats. The presence of C horizontalis was associated with changes in both the structure and composition of the community by decreasing species richness and diversity, and affecting grassland specialist species. These impacts are expected to intensify over time with population age and increasing propagule pressure due to close urbanization.</t>
  </si>
  <si>
    <t>[Piqueray, Julien; Mahy, Gregory; Vanderhoeven, Sonia] Gembloux Agr Univ, Ecol Lab, B-5030 Gembloux, Belgium</t>
  </si>
  <si>
    <t>University of Liege</t>
  </si>
  <si>
    <t>Piqueray, J (corresponding author), Gembloux Agr Univ, Ecol Lab, 2 Passage Deportes, B-5030 Gembloux, Belgium.</t>
  </si>
  <si>
    <t>piqueray.j@fsagx.ac.be</t>
  </si>
  <si>
    <t>mahy, gregory/0000-0003-3094-8620; Vanderhoeven, Sonia/0000-0002-6298-5373; Piqueray, Julien/0000-0002-5930-8785</t>
  </si>
  <si>
    <t>Belgian Science Policy</t>
  </si>
  <si>
    <t>Belgian Science Policy(Belgian Federal Science Policy Office)</t>
  </si>
  <si>
    <t>We would like to thank Annie Remacle (FUSAGx) and Wouter Van Landuyt (INBO) for occurrence data in Belgium, Guy Buchet and Anne Baetens for technical assistance, the Belgian F.R.S-FNRS, where Sonia Vanderhoeven has a postdoctoral position and the Belgian Science Policy financing the research project Alien Impacts (SD/BDOIA).</t>
  </si>
  <si>
    <t>SOC ROYAL BOTAN BELGIQUE</t>
  </si>
  <si>
    <t>MEISE</t>
  </si>
  <si>
    <t>NIEUWELAAN 38, B-1860 MEISE, BELGIUM</t>
  </si>
  <si>
    <t>0778-4031</t>
  </si>
  <si>
    <t>BELG J BOT</t>
  </si>
  <si>
    <t>Belgian J. Bot.</t>
  </si>
  <si>
    <t>422OC</t>
  </si>
  <si>
    <t>WOS:000264436600001</t>
  </si>
  <si>
    <t>Lozano, V; Chapman, DS; Brundu, G</t>
  </si>
  <si>
    <t>Lozano, Vanessa; Chapman, Daniel S.; Brundu, Giuseppe</t>
  </si>
  <si>
    <t>Native and non-native aquatic plants of South America: comparing and integrating GBIF records with literature data</t>
  </si>
  <si>
    <t>2nd Freshwater Invasives - Networking for Strategy II (FINS-II) Conference</t>
  </si>
  <si>
    <t>JUL 11-14, 2016</t>
  </si>
  <si>
    <t>Zagreb, CROATIA</t>
  </si>
  <si>
    <t>Univ Zagreb,European Inland Fisheries &amp; Aquaculture Advisory Commiss</t>
  </si>
  <si>
    <t>alien aquatic plants; biodiversity occurrence data; Global Biodiversity Information Facility; ModestR software; risk assessment</t>
  </si>
  <si>
    <t>INVASIVE ALIEN PLANTS; BIODIVERSITY DATABASES; SOFTWARE TOOL; MODESTR; RISK; COLLECTIONS; INFORMATION; DIVERSITY; GEOGRAPHY; TRADE</t>
  </si>
  <si>
    <t>The Global Biodiversity Information Facility (GBIF) is at the moment one of the largest and most widely used biodiversity databases. Nevertheless, there are still some limitations, e.g. in terms of plant species status (native vs. non-native) and geographic resolution of records. At the same time, it is well known that alien plant invasions in inland freshwaters can alter community structure, ecosystem functions and services with significant negative impacts on biodiversity and human activities. We assessed if the GBIF database has a geospatial homogeneous information for native and non-native aquatic plant species for South America and whether or not literature resources not yet digitalized (floras, checklists and other papers) could provide additional information. We selected a set of 40 native and 40 non-native aquatic species. These 80 species included a sub-set of 40 alien species previously evaluated with the USAqWRA scheme (US Aquatic Weed Risk Assessment). Species with non-reliable identification, duplicates of the same collection, records poorly georeferenced were removed from the dataset. New records were manually compiled through classical literature research. All the georeferenced records (GBIF + literature) were used for the mapping and the comparative analysis. As a result, we can conclude that the two datasets provide quite significantly different information and the combination of the two offers new information that would not exist in a single data source. Nevertheless, a careful quality evaluation of the primary information, both in the case of literature and GBIF should be conducted, before the data is used for further analyses.</t>
  </si>
  <si>
    <t>[Lozano, Vanessa; Brundu, Giuseppe] Univ Sassari, Dept Agr, Viale Italia 39, I-07100 Sassari, Italy; [Chapman, Daniel S.] NERC Ctr Ecol &amp; Hydrol, Bush Estate, Edinburgh EH26 0QB, Midlothian, Scotland</t>
  </si>
  <si>
    <t>University of Sassari; UK Centre for Ecology &amp; Hydrology (UKCEH)</t>
  </si>
  <si>
    <t>Lozano, V (corresponding author), Univ Sassari, Dept Agr, Viale Italia 39, I-07100 Sassari, Italy.</t>
  </si>
  <si>
    <t>vlozano@uniss.it; dcha@ceh.ac.uk; gbrundu@uniss.it</t>
  </si>
  <si>
    <t>Brundu, Giuseppe/C-6772-2012; Lozano, Vanessa/AAE-8936-2021; Chapman, Daniel/C-2900-2008</t>
  </si>
  <si>
    <t>Brundu, Giuseppe/0000-0003-3076-4098; Lozano, Vanessa/0000-0001-5910-0995;</t>
  </si>
  <si>
    <t>University of Sassari Visiting Professor programme</t>
  </si>
  <si>
    <t>We gratefully thank A. Pauchard, J. Urrutia, R. Bustamante, S. Magela-Thomaz and L.J. Cumana Campos for providing useful information and literature. The University of Sassari Visiting Professor programme supported DC.</t>
  </si>
  <si>
    <t>10.3391/mbi.2017.8.3.18</t>
  </si>
  <si>
    <t>FJ2TH</t>
  </si>
  <si>
    <t>WOS:000412582000018</t>
  </si>
  <si>
    <t>Chaudhary, A; Brooks, TM</t>
  </si>
  <si>
    <t>Chaudhary, Abhishek; Brooks, Thomas M.</t>
  </si>
  <si>
    <t>WORLD DEVELOPMENT</t>
  </si>
  <si>
    <t>biodiversity; land use; global trade; consumption; conservation; sustainability</t>
  </si>
  <si>
    <t>SPECIES-AREA RELATIONSHIP; LAND-USE; EXTINCTION DEBT; LIFE; DEFORESTATION; HOTSPOTS; MODELS</t>
  </si>
  <si>
    <t>Effective and equitable conservation requires understanding of the global biodiversity impacts inflicted by consumption in individual countries and those embodied in international trade. Research to date has ascertained these impacts in terms of threats, but not on species directly. Here we use a novel approach, by parametrizing the countryside species-area relationship (SAR) (a). Using a recent high resolution and harmonized global land use map along with (b). IUCN habitat classification data for all 22,386 mammal, bird, and amphibian species, to project endemic species extinctions due to habitat loss to date across all 804 terrestrial ecoregions; and then, (c). Validating the projected extinctions with IUCN Red List. We allocate projected extinctions to the agriculture, pasture, urban, and forestry areas used, traded, and consumed in 129 countries, using an environmentally extended global multi-regional input output database. Results show that for the three taxa combined, a total of 927 endemic species are projected to go extinct due to the impacts of current global land use. The taxonomic breakdown is 186 projected mammal extinctions, 170 birds, and 571 amphibians, with global agriculture land use responsible for 267 projected extinctions; pasture 314, forestry 313, and urbanization 32. Importantly, countryside SAR projections compare well with the number of extinct and threatened species documented by the IUCN Red List. We found that land use for export production is responsible for 25% of these projected global extinctions. Our approach enables parametrization of countryside SARs in any world region even without extensive field studies, and therefore allows quantitative assessment of biodiversity impacts under alternative land use scenarios. Overall, our approach and findings can inform sustainability assessment of commodity supply-chains as well as specific national actions toward achievement of the Aichi 2020 and UN Sustainable Development Goals. (C) 2017 Elsevier Ltd. All rights reserved.</t>
  </si>
  <si>
    <t>[Chaudhary, Abhishek] Swiss Fed Inst Technol, Inst Food Nutr &amp; Hlth, Zurich, Switzerland; [Brooks, Thomas M.] Int Union Conservat Nat, Gland, Switzerland</t>
  </si>
  <si>
    <t>Swiss Federal Institutes of Technology Domain; ETH Zurich</t>
  </si>
  <si>
    <t>Chaudhary, A (corresponding author), Swiss Fed Inst Technol, Inst Food Nutr &amp; Hlth, Zurich, Switzerland.</t>
  </si>
  <si>
    <t>0305-750X</t>
  </si>
  <si>
    <t>1873-5991</t>
  </si>
  <si>
    <t>WORLD DEV</t>
  </si>
  <si>
    <t>World Dev.</t>
  </si>
  <si>
    <t>10.1016/j.worlddev.2017.10.012</t>
  </si>
  <si>
    <t>Development Studies; Economics</t>
  </si>
  <si>
    <t>Development Studies; Business &amp; Economics</t>
  </si>
  <si>
    <t>IE9MY</t>
  </si>
  <si>
    <t>WOS:000472699700013</t>
  </si>
  <si>
    <t>Ayele, GT; Demessie, SS; Mengistu, KT; Tilahun, SA; Melesse, AM</t>
  </si>
  <si>
    <t>Melesse, AM; Abtew, W</t>
  </si>
  <si>
    <t>Ayele, Gebiaw T.; Demessie, Solomon S.; Mengistu, Kassa T.; Tilahun, Seifu A.; Melesse, Assefa M.</t>
  </si>
  <si>
    <t>Multitemporal Land Use/Land Cover Change Detection for the Batena Watershed, Rift Valley Lakes Basin, Ethiopia</t>
  </si>
  <si>
    <t>LANDSCAPE DYNAMICS, SOILS AND HYDROLOGICAL PROCESSES IN VARIED CLIMATES</t>
  </si>
  <si>
    <t>Change detection; Land cover dynamics; Maximum likelihood classifier; Landsat imagery; Remote sensing; GIS; Batena watershed; Ethiopia</t>
  </si>
  <si>
    <t>SPOT-VEGETATION; DYNAMICS; CLASSIFICATION; HYDROLOGY</t>
  </si>
  <si>
    <t>A majority of the rural population in Ethiopia depends on agriculture. Land use changes during the past couple of decades are mostly linked to agricultural development attributed to factors such as population pressure and environmental changes. Mapping land use/land cover (LULC) to analyze the type, rate, and extent of changes in land use patterns has far reaching significance for policy/decision makers and resource managers to provoke the wide range of applications at regional scales for erosion, landslide, land planning, forest management, and ecosystem conservation. The focus of this chapter is to depict quick and practical approaches to generate spatially and temporally quantified information on land cover dynamics using high-resolution satellite images for the years (1973-2008) in Batena watershed and its environs in southwestern Ethiopia. To quantify the magnitude of LULC change, supervised classification technique was applied using Landsat Thematic Mapper (TM) and Enhanced Thematic Mapper Plus (ETM+) images employing Bayesian maximum likelihood classifier (MLC) with the aid of ground truth training sites. A majority/minority analysis was used for smoothing the classification results and the accuracy of image classification was carried out by means of a confusion matrix generated through geographic information system (GIS) overlay of the classified maps and the test samples. The classification accuracy was further verified by the strong kappa statistical estimate of more than 90 % as a measure of overall agreement between image and reference data. The final output of remote sensing imagery revealed five land cover classes: Grazing land, bush land, mixed forest, dominantly cultivated agricultural land, and water body. It has been discovered that, there were more active LULC change processes in the area in the first study period (1973-1984) than the second study period (1984-1995) and the third study period (1995-2003). On the other hand, areal extent of cultivated and uncultivated agricultural land has been on a steady decline from 39.7 % in 1995 to 41.4 % in 2003 and a mere 50.1 % in 2008. In the first period, nearly half of the landscape underwent land cover change with more than 17 % of the entire landscape experiencing agricultural expansion. In the second period, the extent of the changes was limited to less than 1/3 of the total area with a smaller amount of agricultural area expansion than before. Though the rate of land cover change was observed to vary across the three periods of study, a general decline of forest cover and amplified increase of agricultural lands of more than 41.7 % was found in the area.</t>
  </si>
  <si>
    <t>[Ayele, Gebiaw T.; Tilahun, Seifu A.] Bahir Dar Univ, Fac Civil &amp; Water Resource Engn, Bahir Dar Inst Technol, Bahir Dar 252, Ethiopia; [Ayele, Gebiaw T.; Tilahun, Seifu A.] Bahir Dar Univ, Dept Hydraul &amp; Water Resources Engn, Blue Nile Water Inst, Bahir Dar 252, Ethiopia; [Demessie, Solomon S.] Univ Calif Los Angeles, Dept Civil &amp; Environm Engn, Los Angeles, CA 90095 USA; [Mengistu, Kassa T.] Arba Minch Univ, Dept Irrigat &amp; Water Resources Engn, Arba Minch, Ethiopia; [Melesse, Assefa M.] Florida Int Univ, Dept Earth &amp; Environm, Miami, FL 33199 USA</t>
  </si>
  <si>
    <t>Bahir Dar University; Bahir Dar University; University of California System; University of California Los Angeles; Arba Minch University; State University System of Florida; Florida International University</t>
  </si>
  <si>
    <t>Ayele, GT (corresponding author), Bahir Dar Univ, Fac Civil &amp; Water Resource Engn, Bahir Dar Inst Technol, Bahir Dar 252, Ethiopia.</t>
  </si>
  <si>
    <t>gebeyaw21@gmail.com</t>
  </si>
  <si>
    <t>Tilahun, Seifu/ABE-2501-2020; Ayele, Gebiaw T/D-3857-2017; Melesse, Assefa/F-9931-2013</t>
  </si>
  <si>
    <t>Ayele, Gebiaw T/0000-0003-4568-5528; Melesse, Assefa/0000-0003-4724-9367</t>
  </si>
  <si>
    <t>233 SPRING STREET, NEW YORK, NY 10013, UNITED STATES</t>
  </si>
  <si>
    <t>2194-315X</t>
  </si>
  <si>
    <t>2194-3168</t>
  </si>
  <si>
    <t>978-3-319-18787-7; 978-3-319-18786-0</t>
  </si>
  <si>
    <t>SPRING GEOGR</t>
  </si>
  <si>
    <t>10.1007/978-3-319-18787-7_4</t>
  </si>
  <si>
    <t>10.1007/978-3-319-18787-7</t>
  </si>
  <si>
    <t>Soil Science; Water Resources</t>
  </si>
  <si>
    <t>Agriculture; Water Resources</t>
  </si>
  <si>
    <t>BE8AG</t>
  </si>
  <si>
    <t>WOS:000376132100005</t>
  </si>
  <si>
    <t>Atkore, V; Kelkar, N; Badiger, S; Shanker, K; Krishnaswamy, J</t>
  </si>
  <si>
    <t>Atkore, Vidyadhar; Kelkar, Nachiket; Badiger, Shrinivas; Shanker, Kartik; Krishnaswamy, Jagdish</t>
  </si>
  <si>
    <t>TRANSACTIONS OF THE AMERICAN FISHERIES SOCIETY</t>
  </si>
  <si>
    <t>LIFE-HISTORY; COMMUNITY RESPONSES; ECOLOGICAL ASSESSMENT; BIODIVERSITY HOTSPOT; ASSEMBLAGE STRUCTURE; AMERICAN FISHES; PROTECTED AREAS; TROPICAL RIVER; STREAM FISHES; FLOW REGIMES</t>
  </si>
  <si>
    <t>Tropical rivers across the world are experiencing rapid degradation and loss of fish species due to flow regulation, pollution, and other anthropogenic pressures. Knowledge of how flow alterations at different scales affect tropical fish diversity remains limited, especially in terms of how resulting changes in water chemistry affect fish communities. We investigated fish guild composition and responses of guild richness to water chemistry in 120 river segments with and without local-scale water removals and pollution. This included two regulated subbasins (with flow regulation by barrages and large-scale water diversions) and two nonregulated subbasins (flows not regulated by these barriers) in India's Western Ghats. Using multivariate ordination and regression models, we identified covariates related to water chemistry and environmental characteristics that explained differences in fish species composition and species richness of three water column position-based fish guilds in the study area. At the subbasin scale, effects of water chemistry were stronger for individual river segments. At the segment scale, no differences in water chemistry were found between segments with and without water removals or pollution in both regulated and nonregulated subbasins. Guild-wise species richness, especially of surface-dwelling fishes, was positively correlated with water temperature and total dissolved solids across regulated and nonregulated subbasins. In regulated subbasins, total alkalinity was positively correlated with species richness of bottom-dwelling and mid-column-dwelling fishes. Landscape-scale flow alterations and degree of flow regulation by river barriers significantly influenced fish composition and species richness over and above local water withdrawal or pollution. River restoration at both the local (segment) and landscape (basin) scales is crucial for fish conservation. To sustain fish guild diversity, maintenance of ecological flow regimes downstream of barriers needs to receive priority over mitigating local disturbances in regulated river catchments of the Western Ghats.</t>
  </si>
  <si>
    <t>[Atkore, Vidyadhar; Kelkar, Nachiket; Krishnaswamy, Jagdish] Ashoka Trust Res Ecol &amp; Environm, Suri Sehgal Ctr Biodivers &amp; Conservat, Royal Enclave,Jakkur Post, Bangalore 560064, Karnataka, India; [Atkore, Vidyadhar; Kelkar, Nachiket; Krishnaswamy, Jagdish] Manipal Acad Higher Educ, Tiger Circle, Manipal 576104, Karnataka, India; [Atkore, Vidyadhar] Karnataka State Off, World Wide Fund Nat, 3rd Floor,116 Margosa Rd, Bangalore 560003, Karnataka, India; [Badiger, Shrinivas] Ashoka Trust Res Ecol &amp; Environm, Ctr Environm &amp; Dev, Royal Enclave,Jakkur Post, Bangalore 560064, Karnataka, India; [Shanker, Kartik] Indian Inst Sci, Ctr Ecol Sci, 3rd Floor,Biol Sci Bldg, Bangalore 560012, Karnataka, India</t>
  </si>
  <si>
    <t>Manipal Academy of Higher Education (MAHE); World Wildlife Fund; Indian Institute of Science (IISC) - Bangalore</t>
  </si>
  <si>
    <t>Atkore, V (corresponding author), Ashoka Trust Res Ecol &amp; Environm, Suri Sehgal Ctr Biodivers &amp; Conservat, Royal Enclave,Jakkur Post, Bangalore 560064, Karnataka, India.;Atkore, V (corresponding author), Manipal Acad Higher Educ, Tiger Circle, Manipal 576104, Karnataka, India.;Atkore, V (corresponding author), Karnataka State Off, World Wide Fund Nat, 3rd Floor,116 Margosa Rd, Bangalore 560003, Karnataka, India.</t>
  </si>
  <si>
    <t>freshwater.biologist@gmail.com</t>
  </si>
  <si>
    <t>Shanker, Kartik/0000-0003-4856-0093; Krishnaswamy, Jagdish/0000-0001-7985-0005</t>
  </si>
  <si>
    <t>Inlaks Shivdasani's Ravi Sankaran Small Grant; International Foundation for Science, Sweden [A/5209-1]; Idea Wild, USA; Ecosystem Services for Poverty Alleviation, UK [NE/003924/1]; Royal Norwegian Embassy [ND-3025-12/0050]; Ministry of Earth Sciences, Government of India [MoES/NERC/16/02/10]</t>
  </si>
  <si>
    <t>Inlaks Shivdasani's Ravi Sankaran Small Grant; International Foundation for Science, Sweden(International Foundation for Science); Idea Wild, USA; Ecosystem Services for Poverty Alleviation, UK; Royal Norwegian Embassy; Ministry of Earth Sciences, Government of India</t>
  </si>
  <si>
    <t>This study was performed in partial fulfilment of the PhD degree requirements by V.A. under the supervision of Jagdish Krishnaswamy, Manipal Academy of Higher Education, Karnataka, India. We thank the Karnataka Forest Department (Letter D/WL/CR-148/2012-13, C1[D]/WL/CR/2011-12; Letter D/WL/CR-148/2012-13) and the Goa Forest Division (Letter 2 WL-Perm-Sanct/NP-2013FD/715; March 20, 2013) for granting permission to carry out this study. The following experts are gratefully acknowledged for fish identification: K. Rema Devi, J. D. M. Knight, J. A. Johnson, and C. P. Shaji. Sandeep Pulla (Centre for Ecological Sciences, Indian Institute of Science) and Milind Bunyan (Ashoka Trust for Research in Ecology and the Environment [ATREE]) helped with time-series analyses. Sheethal V. R. processed raw data. Supriya Guruprasad, Sudarshan, Alaknanda B., and Durga Mahapatra (Centre for Ecological Sciences) helped with water analysis in the initial stage. Madhura Niphadkar and M. Muneeswaran (ATREE Eco-informatics Lab) offered timely help with GIS. Anuradha Batabyal kindly examined the corrected proof. S. Vaidyanathan (Foundation for Ecological Research, Advocacy, and Learning, Bangalore) provided APHRODITE rainfall data for the study region. Sharachachandra Lele shared stream discharge data for the Khanapur gauging station. Under an Indo-US 21st Century Knowledge Initiative Grant, V.A. received several useful and constructive manuscript comments from Barry R. Noon and Yoichiro Kanno (Colorado State University, Fort Collins). The field work would not have been completed without support from Appasab, Chandregowda, Laxman, Sheshappa, and Iswar Gowda Patil. This study was financially supported by Inlaks Shivdasani's Ravi Sankaran Small Grant; the International Foundation for Science, Sweden (Grant A/5209-1); and Idea Wild, USA, to V.A. Financial support was also given by Ecosystem Services for Poverty Alleviation, UK (Grant NE/003924/1); the Royal Norwegian Embassy (Grant ND-3025-12/0050); and the Ministry of Earth Sciences, Government of India (Grant MoES/NERC/16/02/10 PCII), to J.K. and S.B. Authors' contributions are as follows: V.A., K.S., S.B., and J.K. conceived and designed the study; V.A. conducted the data collection and analysis; N.K., S.B., K.S., and J.K. helped in the analysis; and V.A., N.K., S.B., K.S., and J.K. wrote the paper. There is no conflict of interest declared in this article.</t>
  </si>
  <si>
    <t>0002-8487</t>
  </si>
  <si>
    <t>1548-8659</t>
  </si>
  <si>
    <t>T AM FISH SOC</t>
  </si>
  <si>
    <t>Trans. Am. Fish. Soc.</t>
  </si>
  <si>
    <t>10.1002/tafs.10230</t>
  </si>
  <si>
    <t>MAY 2020</t>
  </si>
  <si>
    <t>LP6IX</t>
  </si>
  <si>
    <t>WOS:000532980700001</t>
  </si>
  <si>
    <t>Arroyave, FJ; Petersen, AM; Jenkins, J; Hurtado, R</t>
  </si>
  <si>
    <t>Arroyave, Felber J.; Petersen, Alexander M.; Jenkins, Jeffrey; Hurtado, Rafael</t>
  </si>
  <si>
    <t>APPLIED NETWORK SCIENCE</t>
  </si>
  <si>
    <t>Wildlife trade; Reptile trade; Social network analysis; Green crime; Spatial network; Network disruption; Black market; Illicit economies</t>
  </si>
  <si>
    <t>LIVE REPTILES; TRADE; DRIVERS; POVERTY</t>
  </si>
  <si>
    <t>Illicit wildlife trafficking poses a threat to the conservation of species and ecosystems, and represents a fundamental source of biodiversity loss, alongside climate change and large-scale land degradation. Despite the seriousness of this issue, little is known about various socio-cultural demand sources underlying trafficking networks, for example the forthright consumption of endangered species on different cultural contexts. Our study illustrates how wildlife trafficking represents a wicked problem at the intersection of criminal enforcement, cultural heritage and environmental systems management. As with similar network-based crimes, institutions are frequently ineffective at curbing wildlife trafficking, partly due to the lack of information detailing activities within illicit trading networks. To address this shortcoming, we leverage official government records documenting the illegal trade of reptiles in Colombia. As such, our study contributes to the understanding of how and why wildlife trafficking persists across robust trafficking networks, which are conduits for a broader range of black-market goods. Leveraging geo-spatial data, we construct a multiplex representation of wildlife trafficking networks, which facilitates identifying network properties that are signatures of strategic trafficker behavior. In particular, our results indicate that traffickers' actions are constrained by spatial and market customs, a result which is apparent only within an integrated multiplex representation. Characteristic levels of sub-network coupling further indicate that traffickers strategically leverage knowledge of the entire system. We argue that this multiplex representation is essential for prioritizing crime enforcement strategies aimed at disrupting robust trade networks, thereby enhancing the effectiveness and resources allocation of institutions charged with curbing illicit trafficking. We develop a generalizable model of multiplex criminal trade networks suitable for communicating with policy makers and practitioners, thereby facilitating rapid translation into public policy and environmental conservation efforts.</t>
  </si>
  <si>
    <t>[Arroyave, Felber J.; Jenkins, Jeffrey] Univ Calif, Sch Engn, Environm Syst, Merced, CA 95343 USA; [Arroyave, Felber J.; Hurtado, Rafael] Univ Nacl Colombia, Fac Sci, Dept Phys, Bogota, Colombia; [Petersen, Alexander M.; Jenkins, Jeffrey] Univ Calif, Sch Engn, Ernest &amp; Julio Gallo Management Program, Management Complex Syst Dept, Merced, CA 95343 USA</t>
  </si>
  <si>
    <t>University of California System; University of California Merced; Universidad Nacional de Colombia; University of California System; University of California Merced</t>
  </si>
  <si>
    <t>Arroyave, FJ (corresponding author), Univ Calif, Sch Engn, Environm Syst, Merced, CA 95343 USA.;Petersen, AM (corresponding author), Univ Calif, Sch Engn, Ernest &amp; Julio Gallo Management Program, Management Complex Syst Dept, Merced, CA 95343 USA.</t>
  </si>
  <si>
    <t>fjarroyaveb@unal.edu.co; apetersen3@ucmerced.edu</t>
  </si>
  <si>
    <t>Arroyave B, Felber J/GPX-5101-2022; Petersen, Alexander/D-9243-2012; Heredia, Rafael/AAY-5007-2021</t>
  </si>
  <si>
    <t>Arroyave B, Felber J/0000-0003-1181-8222; Petersen, Alexander/0000-0002-0955-3483;</t>
  </si>
  <si>
    <t>University of California; Universidad Nacional de Colombia [HERMES 19010]</t>
  </si>
  <si>
    <t>University of California(University of California System); Universidad Nacional de Colombia</t>
  </si>
  <si>
    <t>We thank University of California and Universidad Nacional de Colombia for they support. In particular, FA thanks Universidad Nacional de Colombia, project [HERMES 19010] (2015) that partially funded his master studies. We also show gratitude to lab-members in both universities, who enriched the manuscript, especially to Oscar Romero by his carefully reading and insightful comments. We thank two anonymous reviewers for their comments that greatly improved the manuscript.</t>
  </si>
  <si>
    <t>SPRINGERNATURE</t>
  </si>
  <si>
    <t>CAMPUS, 4 CRINAN ST, LONDON, N1 9XW, ENGLAND</t>
  </si>
  <si>
    <t>2364-8228</t>
  </si>
  <si>
    <t>APPL NETW SCI</t>
  </si>
  <si>
    <t>Appl. Netw. Sci.</t>
  </si>
  <si>
    <t>MAR 31</t>
  </si>
  <si>
    <t>10.1007/s41109-020-00262-6</t>
  </si>
  <si>
    <t>Computer Science, Theory &amp; Methods; Multidisciplinary Sciences</t>
  </si>
  <si>
    <t>Computer Science; Science &amp; Technology - Other Topics</t>
  </si>
  <si>
    <t>TT5WL</t>
  </si>
  <si>
    <t>WOS:000680418200001</t>
  </si>
  <si>
    <t>Albouy, C; Delattre, VL; Mérigot, B; Meynard, CN; Leprieur, F</t>
  </si>
  <si>
    <t>Albouy, Camille; Delattre, Valentine L.; Merigot, Bastien; Meynard, Christine N.; Leprieur, Fabien</t>
  </si>
  <si>
    <t>conservation; functional diversity; marine mammals; phylogenetic diversity</t>
  </si>
  <si>
    <t>FUNCTIONAL DIVERSITY; PHYLOGENETIC DIVERSITY; EVOLUTIONARY HISTORY; PROTECTED AREAS; EXTINCTION RISK; POPULATION; CONSEQUENCES; PRODUCTIVITY; REDUNDANCY; ABUNDANCE</t>
  </si>
  <si>
    <t>AimIdentifying the multifaceted biodiversity hotspots for marine mammals and their spatial overlap with human threats at the global scale. LocationWorld-wide. MethodsWe compiled a functional trait database for 121 species of marine mammals characterized by 14 functional traits grouped into five categories. We estimated marine mammal species richness (SR) as well as functional (FD) and phylogenetic diversity (PD) per grid cell (1 degrees x1 degrees) using the FRic index (a measure of trait diversity as the volume of functional space occupied by the species present in an assemblage) and the PD index (the amount of evolutionary history represented by a set of species), respectively. Finally, we assessed the spatial congruence of these three facets of biodiversity hotspots (defined as 2.5% and 5% of the highest values of SR, FD and PD) with human threats at the global scale. ResultsWe showed that the FRic index was weakly correlated with both SR and the PD index. Specifically, SR and FRic displayed a triangular relationship, that is, increasing variability in FRic along the species richness gradient. We also observed a striking lack of spatial congruence (&lt;0.1%) between current human threats and the distribution of the multiple facets of biodiversity hotspots. Main ConclusionsWe highlighted that functional diversity calculated using the FRic index is weakly associated with the species richness of marine mammals world-wide. This is one of the most endangered vertebrate groups playing a key ecological role in marine ecosystems. This finding calls for caution when using only species richness as a benchmark for defining marine mammal biodiversity hotspots. The very low level of spatial congruence between hotspots of current threats and those of the multiple facets of marine mammal biodiversity suggests that current biodiversity patterns for this group have already been greatly affected by their history of exploitation.</t>
  </si>
  <si>
    <t>[Albouy, Camille] Swiss Fed Res Inst WSL, Birmensdorf, Switzerland; [Albouy, Camille] Swiss Fed Inst Technol, Landscape Ecol, Inst Terr Ecosyst, Zurich, Switzerland; [Albouy, Camille] IFREMER, Unite Ecol &amp; Modeles Halieut, Nantes 3, France; [Delattre, Valentine L.; Merigot, Bastien; Leprieur, Fabien] Univ Montpellier, IFREMER, CNRS, MARBEC,IRD,UM,UMR 9190, Montpellier 5, France; [Meynard, Christine N.] Montpellier SupAgro, INRA, UMR CBGP, IRD,Cirad, Campus Int Baillarguet, Montferrier Sur Lez, France; [Meynard, Christine N.] Virginia Inst Marine Sci, Coll William &amp; Mary, Gloucester Point, VA 23062 USA</t>
  </si>
  <si>
    <t>Swiss Federal Institutes of Technology Domain; Swiss Federal Institute for Forest, Snow &amp; Landscape Research; Swiss Federal Institutes of Technology Domain; ETH Zurich; Ifremer; Institut de Recherche pour le Developpement (IRD); Universite de Montpellier; Centre National de la Recherche Scientifique (CNRS); Ifremer; CIRAD; INRAE; Institut de Recherche pour le Developpement (IRD); Institut Agro; Montpellier SupAgro; William &amp; Mary; Virginia Institute of Marine Science</t>
  </si>
  <si>
    <t>Albouy, C (corresponding author), Swiss Fed Res Inst WSL, Birmensdorf, Switzerland.;Leprieur, F (corresponding author), Univ Montpellier, IFREMER, CNRS, MARBEC,IRD,UM,UMR 9190, Montpellier 5, France.</t>
  </si>
  <si>
    <t>albouycamille@gmail.com; fabien.leprieur@umontpellier.fr</t>
  </si>
  <si>
    <t>Leprieur, Fabien/ABA-4433-2020; albouy, camille/H-9317-2012; Mérigot, Bastien/H-7754-2018; Meynard, Christine/B-2082-2010</t>
  </si>
  <si>
    <t>albouy, camille/0000-0003-1629-2389; Mérigot, Bastien/0000-0001-5264-4324;</t>
  </si>
  <si>
    <t>ANR MORSE</t>
  </si>
  <si>
    <t>ANR MORSE(Agence Nationale de la Recherche (ANR))</t>
  </si>
  <si>
    <t>10.1111/ddi.12556</t>
  </si>
  <si>
    <t>EV0MN</t>
  </si>
  <si>
    <t>WOS:000401434600004</t>
  </si>
  <si>
    <t>Alvarez-Berastegui, D; Amengual, J; Coll, J; Reñones, O; Moreno-Navas, J; Agardy, T</t>
  </si>
  <si>
    <t>Alvarez-Berastegui, Diego; Amengual, Jose; Coll, Josep; Renones, Olga; Moreno-Navas, Juan; Agardy, Tundi</t>
  </si>
  <si>
    <t>Coastal Indicators; Coastal zoning; Ecosystem base management; GIS; Integrated Coastal Zone Management; Mediterranean</t>
  </si>
  <si>
    <t>UNDERWATER VIDEO; FISH; REEF; HABITAT; ASSEMBLAGES; POPULATIONS; RESERVES; BIODIVERSITY; VARIABILITY; FRAMEWORK</t>
  </si>
  <si>
    <t>A method is described for rapid multidisciplinary environmental assessment of coastal areas within the conceptual framework of comprehensive management of Marine Protected Areas (MPAs). The aim is to provide tools for the selection, design and management of coastal MPAs when time, budget or potential human pressures, either alone or in combination, create an urgent need for prioritisation. Maximising results and minimising cost and time is the goal, using a methodology that re evaluates existing information on the area, allows use of physical, environmental and socio-economic indicators, and finally integrates information in a Geographic Information System capable of generating outputs in the form of thematic maps to support managers. The final products obtained inform planners and managers about the study areas, across multiple aspects that all need to be considered in integrated coastal management. Although originally proposed for widespread use in the Mediterranean, this methodology can be flexibly adapted, with minor modifications in the selection of indicators, for its use in other regions. The results show its potential for merging and synthesising information not only as a tool in Rapid Assessment Programs but also as a tool for facing management of wide coastal areas as social-ecological ecosystems. (C) 2013 Elsevier GmbH. All rights reserved.</t>
  </si>
  <si>
    <t>[Alvarez-Berastegui, Diego; Renones, Olga] Ctr Oceanog Baleares, Inst Espanol Oceanog, Palma De Mallorca 07015, Spain; [Amengual, Jose] Espais Nat Balear Parc Nacl Cabrera, Palma De Mallorca, Spain; [Coll, Josep] Govern Illes Balears, Direccio Gen Pesca, Palma De Mallorca 07006, Spain; [Moreno-Navas, Juan] Heriot Watt Univ, Sch Life Sci, Edinburgh EH14 4AS, Midlothian, Scotland</t>
  </si>
  <si>
    <t>Spanish Institute of Oceanography; Heriot Watt University</t>
  </si>
  <si>
    <t>Alvarez-Berastegui, D (corresponding author), ICTS SOCIB Sistema Observacio &amp; Prediccio Costane, Parc Bit Norte,Bloc A 2 P Pta, Palma De Mallorca, Spain.</t>
  </si>
  <si>
    <t>diego.alvarez@ba.ieo.es</t>
  </si>
  <si>
    <t>; Reñones, Olga/LXW-6868-2024</t>
  </si>
  <si>
    <t>Alvarez-Berastegui, Diego/0000-0003-1304-7185; Reñones, Olga/0000-0003-2217-5576</t>
  </si>
  <si>
    <t>Cabrera National Park</t>
  </si>
  <si>
    <t>The field study has been a contribution of the Cabrera National Park to the MEDPAN project, in the framework of EU Program Interreg IIIc, which is responsible for its cofinancing. Authors wish to thank specially Dr. Sandra Mallol for providing information related to fisheries in the test area, Dr. Enric Ballesteros for his support on the use of coastal macroalgae a water quality index and Dr. Nuria Marba for her guidance in P. oceanica evaluation.</t>
  </si>
  <si>
    <t>10.1016/j.jnc.2013.07.003</t>
  </si>
  <si>
    <t>AA5JD</t>
  </si>
  <si>
    <t>WOS:000331131000001</t>
  </si>
  <si>
    <t>Fort, J; Moe, B; Strom, H; Grémillet, D; Welcker, J; Schultner, J; Jerstad, K; Johansen, KL; Phillips, RA; Mosbech, A</t>
  </si>
  <si>
    <t>Fort, Jerome; Moe, Borge; Strom, Hallvard; Gremillet, David; Welcker, Jorg; Schultner, Jannik; Jerstad, Kurt; Johansen, Kasper L.; Phillips, Richard A.; Mosbech, Anders</t>
  </si>
  <si>
    <t>Alle alle; conservation biogeography; geolocators; non-breeding distribution; oil pollution; seabird</t>
  </si>
  <si>
    <t>ALLE-ALLE; SEABIRD; BIODIVERSITY; CONSUMPTION; MORTALITY; RISK</t>
  </si>
  <si>
    <t>Aim Extensive development of human activities in combination with ocean warming is rapidly modifying marine habitats in the Arctic and North Atlantic regions. To understand the potential impacts on marine biodiversity, there is an urgent need to determine distributions and habitat preferences of potentially vulnerable species and to identify sensitive hotspots that might require particular protection. Our aims were to track one of the most abundant seabirds of the world, the little auk (Alle alle), to provide a large, meta-population scale overview of its non-breeding distribution and to document potential threats to this species from human activities and other environmental changes. Location Arctic North Atlantic. Methods Using light-level geolocators, we investigated the 2010/11 nonbreeding distribution of 65 little auks from four major colonies distributed throughout the Arctic North Atlantic. Bird distribution during the moulting, wintering and pre-breeding periods was compared with (1) the extent of the marginal ice zone and (2) the areas covered by the main shipping lanes and oil and gas activity licences. Results We identify several hotspots for this species, including two key areas located in the Greenland Sea and off Newfoundland. Crucially, we show that some of these hotspots overlap extensively with areas of intensive human activities, including oil and gas extraction and shipping. As little auks, which spend the major part of their time on the sea surface, are extremely vulnerable to marine pollution, our results emphasize the risk associated with the projected expansion of these activities. Main conclusions We conclude that management of further human enterprises in the Arctic needs to be based on more thorough risk assessment, requiring a substantial improvement in our knowledge of the distribution of sensitive species..</t>
  </si>
  <si>
    <t>[Fort, Jerome; Johansen, Kasper L.; Mosbech, Anders] Aarhus Univ, Dept Biosci, DK-4000 Roskilde, Denmark; [Moe, Borge] Norwegian Inst Nat Res, Fram Ctr, N-9296 Tromso, Norway; [Strom, Hallvard; Welcker, Jorg] Norwegian Polar Res Inst, Fram Ctr, N-9296 Tromso, Norway; [Gremillet, David] CNRS, Ctr Ecol Fonct &amp; Evolut, UMR 5175, F-34293 Montpellier 5, France; [Gremillet, David] Univ Cape Town, Percy FitzPatrick Inst, DST NRF Ctr Excellence, ZA-7701 Rondebosch, South Africa; [Schultner, Jannik] Norwegian Univ Sci &amp; Technol, Dept Biol, N-7491 Trondheim, Norway; [Jerstad, Kurt] Jerstad Viltforvaltning, N-4516 Mandal, Norway; [Phillips, Richard A.] British Antarctic Survey, Nat Environm Res Council, Cambridge CB3 0ET, England; [Mosbech, Anders] Aarhus Univ, Arctic Res Ctr, DK-8000 Aarhus C, Denmark</t>
  </si>
  <si>
    <t>Aarhus University; Norwegian Institute Nature Research; Norwegian Polar Institute; 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National Research Foundation - South Africa; University of Cape Town; Norwegian University of Science &amp; Technology (NTNU); UK Research &amp; Innovation (UKRI); Natural Environment Research Council (NERC); NERC British Antarctic Survey; Aarhus University</t>
  </si>
  <si>
    <t>Fort, J (corresponding author), Aarhus Univ, Dept Biosci, Frederiksborgvej 399, DK-4000 Roskilde, Denmark.</t>
  </si>
  <si>
    <t>fort.jerome@gmail.com</t>
  </si>
  <si>
    <t>Schultner, Jannik/G-2264-2010; Johansen, Kasper Lambert/LFV-0428-2024; Moe, Børge/P-2946-2015; Grémillet, David/W-1946-2018; Fort, Jerome/F-1157-2016; Mosbech, Anders/Q-5984-2019</t>
  </si>
  <si>
    <t>Schultner, Jannik/0000-0002-5865-7975; Johansen, Kasper Lambert/0000-0003-0111-9516; Moe, Børge/0000-0002-2306-1899; Grémillet, David/0000-0002-7711-9398; Fort, Jerome/0000-0002-0860-6707; Mosbech, Anders/0000-0002-7581-7037</t>
  </si>
  <si>
    <t>French Polar Institute Paul Emile Victor [388]; Svalbard Science Forum (Arctic Field Grant); FRAM - High North Research Centre for Climate and the Environment; Marie Curie Intra-European Fellowship within the 7th Framework Programme [273061]; NERC [bas0100025] Funding Source: UKRI; Natural Environment Research Council [bas0100025] Funding Source: researchfish</t>
  </si>
  <si>
    <t>French Polar Institute Paul Emile Victor; Svalbard Science Forum (Arctic Field Grant); FRAM - High North Research Centre for Climate and the Environment; Marie Curie Intra-European Fellowship within the 7th Framework Programme(European Union (EU)); NERC(UK Research &amp; Innovation (UKRI)Natural Environment Research Council (NERC)); Natural Environment Research Council(UK Research &amp; Innovation (UKRI)Natural Environment Research Council (NERC))</t>
  </si>
  <si>
    <t>We are grateful to J. Nezan, J. Chiffard Carricaburu, E. Buchel, T. Jerstad, R. Jerstad, S. Almedal, C. Lassen, P. Lyngs and M. Frandsen for their hard work in the field, as well as to NANU Travel for their invaluable logistical support. We thank O. Arne Indset for help with logger attachment methods, and G. Robertson, A. Hedd and P. Regular for providing information about Newfoundland shipping lanes. Fieldwork in East Greenland was supported by the French Polar Institute Paul Emile Victor (Grant 388 to D.G. and J.F.). Fieldwork in North-west Greenland was supported by the Greenlandic Bureau of Minerals and Petroleum. Fieldwork in Svalbard was supported by Norwegian Polar Institute, the SEAPOP program (www.seapop.no) and Svalbard Science Forum (Arctic Field Grant). The project was also supported by FRAM - High North Research Centre for Climate and the Environment. This work represents a contribution to the British Antarctic Survey Ecosystems programme. Fieldwork was conducted under permits of the Ethics Committee of the French Polar Institute (MP/03/12/04/10 and MP/10/31/05/11) and of the Norwegian Animal Research Authority (Fots id 2326), with the permission of the Government of Greenland (no2011-047447) and of the Governor of Svalbard (2010/00053-2). J.F. is supported by a Marie Curie Intra-European Fellowship within the 7th Framework Programme (project 273061).</t>
  </si>
  <si>
    <t>10.1111/ddi.12105</t>
  </si>
  <si>
    <t>212YN</t>
  </si>
  <si>
    <t>WOS:000324019000010</t>
  </si>
  <si>
    <t>Lagabrielle, E; Lombard, AT; Harris, JM; Livingstone, TC</t>
  </si>
  <si>
    <t>Lagabrielle, Erwann; Lombard, Amanda T.; Harris, Jean M.; Livingstone, Tamsyn-Claire</t>
  </si>
  <si>
    <t>Multi-scale multi-level marine spatial planning: A novel methodological approach applied in South Africa</t>
  </si>
  <si>
    <t>ECOSYSTEM-BASED MANAGEMENT; COMMERCIAL PRAWN TRAWLERS; PROTECTED AREAS; INCIDENTAL CAPTURE; SCALE MISMATCHES; SHARK NETS; COASTAL; IMPACT; MODEL; CHALLENGES</t>
  </si>
  <si>
    <t>This study proposes and discusses a multi-scale spatial planning method implemented simultaneously at local and national level to prioritize ecosystem management actions across landscapes and seascapes. Mismatches in scale between the occurrence of biodiversity patterns and ecological processes, and the size and nature of the human footprint, and the different levels and scope of governance, are a significant challenge in conservation planning. These scale mismatches are further confounded by data resolution disparities across and amongst the different scales. To address this challenge, we developed a multi-resolution scale-linked marine spatial planning method. We tested this approach in the development of a Conservation Plan for a significant portion of South Africa's exclusive economic zone, adjacent to the east coast province of KwaZulu-Natal (the SeaPlan project). The study's dataset integrated the geographic distribution of 390 biodiversity elements (species, habitats, and oceanographic processes) and 38 human activities. A multi-resolution system of planning unit layers (PUL), with individual PUs ranging in resolution from 0.2 to 10 km, was designed to arrange and analyse these data. Spatial priorities for conservation were selected incrementally at different scales, contributing conservation targets from the fine-, medium- and large-scale analyses, and from the coast to the offshore. Compared to a basic single-resolution scale-unlinked plan, our multi-resolution scale-linked method selects 6% less conservation area to achieve the same targets. Compared to a multi-resolution scale-unlinked plan, our method requires only an additional 5% area. Overall, this method reflects the multi-scale nature of marine social-ecological systems more realistically, is relatively simple and replicable, and serves to better connect fine-scale and large-scale spatial management policies. We discuss the impacts of this study on protected area expansion planning processes in South Africa. This study showcases a methodological advance that has the potential to impact marine spatial planning practices and policies.</t>
  </si>
  <si>
    <t>[Lagabrielle, Erwann; Lombard, Amanda T.] Nelson Mandela Univ, Inst Coastal &amp; Marine Res, Port Elizabeth, South Africa; [Lagabrielle, Erwann] Univ La Reunion, UMR ESPACE DEV 228, IRD, St Denis, La Reunion, France; [Harris, Jean M.; Livingstone, Tamsyn-Claire] Ezemvelo KZN Wildlife, Sci Serv, Pietermaritzburg, South Africa; [Harris, Jean M.] Wildlands Conservat Trust, Hilton, South Africa</t>
  </si>
  <si>
    <t>Nelson Mandela University; Institut de Recherche pour le Developpement (IRD); University of La Reunion</t>
  </si>
  <si>
    <t>Lagabrielle, E (corresponding author), Nelson Mandela Univ, Inst Coastal &amp; Marine Res, Port Elizabeth, South Africa.;Lagabrielle, E (corresponding author), Univ La Reunion, UMR ESPACE DEV 228, IRD, St Denis, La Reunion, France.</t>
  </si>
  <si>
    <t>erwann.lagabrielle@univ-reunion.fr</t>
  </si>
  <si>
    <t>Lagabrielle, Erwann/AAM-9635-2020; Lombard, Amanda Talita/AAE-4649-2019</t>
  </si>
  <si>
    <t>Lagabrielle, Erwann/0000-0002-8333-2750; Lombard, Amanda Talita/0000-0002-4323-1170</t>
  </si>
  <si>
    <t>Western Indian Ocean Marine Science Association (WIOMSA) Marine and Coastal Science for Management Project Grant [MASMA/OP/2013/02]; European Union's European Maritime and Fisheries Fund Project Grant [EASME/EMFF/2016/1.2.1.6/04/SI2.766484 - OCEAN METISS]; MASMA program funds; Pew Fellows Program in Marine Conservation; MASMA MOZALINK project [MASMA/OP/2013/02]; European Union's European Maritime and Fisheries Fund [EASME/EMFF/2016/1.2.1.6/04/SI2.766484-OCEAN METISS]; National Research Foundation of South Africa (NRF-SA) Post-doc Grant</t>
  </si>
  <si>
    <t>Western Indian Ocean Marine Science Association (WIOMSA) Marine and Coastal Science for Management Project Grant; European Union's European Maritime and Fisheries Fund Project Grant; MASMA program funds; Pew Fellows Program in Marine Conservation; MASMA MOZALINK project; European Union's European Maritime and Fisheries Fund; National Research Foundation of South Africa (NRF-SA) Post-doc Grant</t>
  </si>
  <si>
    <t>Funded by African Coelacanth Ecosystem Programme (ACEP) Project Grant for the SeaPlan project (JH, AL, TL, EL). http://www.nrf.ac.za/division/kfd/instruments/african-coelacanth-ecosystem-programme-acep. National Research Foundation of South Africa (NRF-SA) Post-doc Grant (EL). http://www.nrf.ac.za/. Western Indian Ocean Marine Science Association (WIOMSA) Marine and Coastal Science for Management Project Grant for the MOZALINK project (Grant No: MASMA/OP/2013/02) (EL). http://www.wiomsa.org/, European Union's European Maritime and Fisheries Fund Project Grant (EL) for the OCEAN METISS project (Grant No: EASME/EMFF/2016/1.2.1.6/04/SI2.766484 - OCEAN METISS). https://ec.europa.eu/easme/en/south-western-indian-ocean-maritime-spatial-planning/.We thank Christopher A. Lepczyk and the two anonymous referees for their thorough reading of the manuscript and their constructive and thoughtful comments which have helped to improve the manuscript further. Authors acknowledge the African Coelacanth Ecosystem Programme (ACEP). Erwann Lagabrielle and Amanda T. Lombard acknowledge the National Research Foundation of South Africa (NRF-SA), the MASMA program funds and the assistance of WIOMSA (Western Indian Ocean Marine Science Association). Jean M. Harris thanks the Pew Fellows Program in Marine Conservation for support for this work. This study was finalized in the framework of the MASMA MOZALINK project: Grant No: MASMA/OP/2013/02 Linking marine science, traditional knowledge and cultural perceptions of the sea in the Mozambique Channel to build tomorrow's marine management using spatial simulation tools and educational game. The publication of this research received support from the European Union's European Maritime and Fisheries Fund (Grant No: EASME/EMFF/2016/1.2.1.6/04/SI2.766484-OCEAN METISS).</t>
  </si>
  <si>
    <t>JUL 3</t>
  </si>
  <si>
    <t>e0192582</t>
  </si>
  <si>
    <t>10.1371/journal.pone.0192582</t>
  </si>
  <si>
    <t>GL5XD</t>
  </si>
  <si>
    <t>WOS:000437246700001</t>
  </si>
  <si>
    <t>Whitty, TS</t>
  </si>
  <si>
    <t>Whitty, Tara Sayuri</t>
  </si>
  <si>
    <t>MARINE MAMMAL SCIENCE</t>
  </si>
  <si>
    <t>bycatch; small-scale fisheries; Orcaella brevirostris; Irrawaddy dolphin; interview; spatial overlap; risk</t>
  </si>
  <si>
    <t>BOTTLE-NOSED-DOLPHIN; TURSIOPS-TRUNCATUS; CONSERVATION; CETACEANS; ENTANGLEMENTS; POPULATION; WHALES; ASIA</t>
  </si>
  <si>
    <t>Addressing the urgent conservation threat of marine mammal bycatch in small-scale fisheries requires information on bycatch magnitude, gear types, population impacts, and risk. However, data on these proximate attributes are widely lacking in developing countries. This study used a multi-methods approach integrating boat surveys and interviews with fishermen (n = 526) to assess proximate attributes of bycatch for the Critically Endangered subpopulation of Irrawaddy dolphins (Orcaella brevirostris) in Malampaya Sound, Philippines. Given an updated population estimate of 35 individuals (CV = 22.9%), the estimated rate of bycatch fatalities exceeds the potential biological removal rate. Spatial overlap scores were calculated to characterize overlap between dolphins and fisheries as a proxy of bycatch risk. These scores identified particularly high risk areas that could be prioritized for gear bans. However, completely reducing bycatch risk would require more widespread bans beyond these high risk areas. Implementing gear restrictions will be immensely challenging, given serious obstacles to fisheries management at this site. The multi-methods approach describes the urgency of the bycatch problem and the changes required for mitigation, setting the stage for identifying and evaluating potential solutions. It can be readily applied to developing country sites to guide more efficient and complete data collection and conservation efforts.</t>
  </si>
  <si>
    <t>[Whitty, Tara Sayuri] Scripps Inst Oceanog, Ctr Marine Biodivers &amp; Conservat, 9500 Gilman Dr,Mail Code 0206, La Jolla, CA 92093 USA</t>
  </si>
  <si>
    <t>Whitty, TS (corresponding author), Scripps Inst Oceanog, Ctr Marine Biodivers &amp; Conservat, 9500 Gilman Dr,Mail Code 0206, La Jolla, CA 92093 USA.</t>
  </si>
  <si>
    <t>tara.whitty@gmail.com</t>
  </si>
  <si>
    <t>U.S. Marine Mammal Commission; National Geographic-Waitt Grants; Small-scale and Artisanal Fisheries Network; Fulbright U.S. Student Program for the Philippines</t>
  </si>
  <si>
    <t>U.S. Marine Mammal Commission; National Geographic-Waitt Grants(National Geographic Society); Small-scale and Artisanal Fisheries Network; Fulbright U.S. Student Program for the Philippines</t>
  </si>
  <si>
    <t>Permission to conduct research was granted by each barangay, the municipality of Taytay, the Protected Area Management Board, the Palawan Council for Sustainable Development, and the Provincial Government of Palawan. Institutional Review Board approval was obtained from the UC San Diego Human Research Protections Program for all interviews. Funding for this research came from the U.S. Marine Mammal Commission, National Geographic-Waitt Grants, the Small-scale and Artisanal Fisheries Network, and the Fulbright U.S. Student Program for the Philippines.</t>
  </si>
  <si>
    <t>0824-0469</t>
  </si>
  <si>
    <t>1748-7692</t>
  </si>
  <si>
    <t>MAR MAMMAL SCI</t>
  </si>
  <si>
    <t>Mar. Mamm. Sci.</t>
  </si>
  <si>
    <t>10.1111/mms.12322</t>
  </si>
  <si>
    <t>Marine &amp; Freshwater Biology; Zoology</t>
  </si>
  <si>
    <t>DY3PT</t>
  </si>
  <si>
    <t>WOS:000385006800012</t>
  </si>
  <si>
    <t>O'Farrell, PJ; Reyers, B; Le Maitre, DC; Milton, SJ; Egoh, B; Maherry, A; Colvin, C; Atkinson, D; De Lange, W; Blignaut, JN; Cowling, RM</t>
  </si>
  <si>
    <t>O'Farrell, P. J.; Reyers, B.; Le Maitre, D. C.; Milton, S. J.; Egoh, B.; Maherry, A.; Colvin, C.; Atkinson, D.; De Lange, W.; Blignaut, J. N.; Cowling, R. M.</t>
  </si>
  <si>
    <t>Multi-functional landscapes in semi arid environments: implications for biodiversity and ecosystem services</t>
  </si>
  <si>
    <t>10th International Congress of Ecology</t>
  </si>
  <si>
    <t>AUG 16-21, 2009</t>
  </si>
  <si>
    <t>Brisbane, AUSTRALIA</t>
  </si>
  <si>
    <t>Ecosystem service assessment; Grazing; Water; Tourism; Biodiversity hotspots; Climate change</t>
  </si>
  <si>
    <t>BIOLOGICAL SOIL CRUSTS; SUSTAINABLE LAND-USE; SOUTH-AFRICA; SUCCULENT KAROO; PLANT DIVERSITY; HISTORICAL CHANGES; CLIMATE-CHANGE; TRADE-OFFS; CONSERVATION; NAMAQUALAND</t>
  </si>
  <si>
    <t>Synergies between biodiversity conservation objectives and ecosystem service management were investigated in the Succulent Karoo biome (83,000 km(2)) of South Africa, a recognised biodiversity hotspot. Our study complemented a previous biodiversity assessment with an ecosystem service assessment. Stakeholder engagement and expert consultation focussed our investigations on surface water, ground water, grazing and tourism as the key services in this region. The key ecosystem services and service hotspots were modelled and mapped. The congruence between these services, and between biodiversity priorities and ecosystem service priorities, were assessed and considered in relation to known threats. Generally low levels of overlap were found between these ecosystem services, with the exception of surface and ground water which had an 80% overlap. The overlap between ecosystem service hotspots and individual biodiversity priority areas was generally low. Four of the seven priority areas assessed have more than 20% of their areas classified as important for services. In specific cases, particular service levels could be used to justify the management of a specific biodiversity priority area for conservation. Adopting a biome scale hotspot approach to assessing service supply highlighted key management areas. However, it underplayed local level dependence on particular services, not effectively capturing the welfare implications associated with diminishing and limited service provision. We conclude that regional scale (biome level) approaches need to be combined with local level investigations (municipal level). Given the regional heterogeneity and varied nature of the impacts of drivers and threats, diverse approaches are required to steer land management towards sustainable multifunctional landscape strategies.</t>
  </si>
  <si>
    <t>[O'Farrell, P. J.; Reyers, B.; Le Maitre, D. C.; Egoh, B.; Maherry, A.; Colvin, C.; De Lange, W.] CSIR, ZA-7599 Stellenbosch, South Africa; [Milton, S. J.] Renu Karoo Veld Restorat, ZA-6930 Prince Albert, South Africa; [Atkinson, D.] Univ Free State, Res Cluster Sustainable Dev &amp; Poverty Reduct, ZA-9970 Bloemfontein, Philippolis, South Africa; [Blignaut, J. N.] Univ Pretoria, Dept Econ, ASSET Res, ZA-0001 Pretoria, South Africa; [Cowling, R. M.] Nelson Mandela Metropolitan Univ, Dept Bot, ZA-6031 Port Elizabeth, South Africa</t>
  </si>
  <si>
    <t>Council for Scientific &amp; Industrial Research (CSIR) - South Africa; University of the Free State; University of Pretoria; Nelson Mandela University</t>
  </si>
  <si>
    <t>O'Farrell, PJ (corresponding author), CSIR, POB 320, ZA-7599 Stellenbosch, South Africa.</t>
  </si>
  <si>
    <t>pofarrell@csir.co.za</t>
  </si>
  <si>
    <t>Cowling, Richard/AFU-6261-2022; de Lange, Willem/GYU-4982-2022; Reyers, Belinda/AAF-6225-2019; Blignaut, James/U-1755-2017; Maherry, Ashton/K-8547-2015; Atkinson, Doreen/AAC-9095-2020; Le Maitre, David/M-8791-2015; O'Farrell, Patrick/AAQ-7728-2021</t>
  </si>
  <si>
    <t>de Lange, Willem/0000-0001-5369-7049; Reyers, Belinda/0000-0002-2194-8656; Blignaut, James/0000-0001-7059-9010; Maherry, Ashton/0000-0003-1819-6008; Milton, Suzanne Jane/0000-0003-4390-6040; Le Maitre, David/0000-0003-1037-6637; Egoh, Benis/0000-0002-9126-7784; O'Farrell, Patrick/0000-0002-9538-8831</t>
  </si>
  <si>
    <t>10.1007/s10980-010-9495-9</t>
  </si>
  <si>
    <t>Science Citation Index Expanded (SCI-EXPANDED); Social Science Citation Index (SSCI); Conference Proceedings Citation Index - Science (CPCI-S)</t>
  </si>
  <si>
    <t>648WS</t>
  </si>
  <si>
    <t>WOS:000281725700008</t>
  </si>
  <si>
    <t>Tucker, MA; Böhning-Gaese, K; Fagan, WF; Fryxell, JM; Van Moorter, B; Alberts, SC; Ali, AH; Allen, AM; Attias, N; Avgar, T; Bartlam-Brooks, H; Bayarbaatar, B; Belant, JL; Bertassoni, A; Beyer, D; Bidner, L; van Beest, FM; Blake, S; Blaum, N; Bracis, C; Brown, D; de Bruyn, PJN; Cagnacci, F; Calabrese, JM; Camilo-Alves, C; Chamaillé-Jammes, S; Chiaradia, A; Davidson, SC; Dennis, T; DeStefano, S; Diefenbach, D; Douglas-Hamilton, I; Fennessy, J; Fichtel, C; Fiedler, W; Fischer, C; Fischhoff, I; Fleming, CH; Ford, AT; Fritz, SA; Gehr, B; Goheen, JR; Gurarie, E; Hebblewhite, M; Heurich, M; Hewison, AJM; Hof, C; Hurme, E; Isbell, LA; Janssen, R; Jeltsch, F; Kaczensky, P; Kane, A; Kappeler, PM; Kauffman, M; Kays, R; Kimuyu, D; Koch, F; Kranstauber, B; LaPoint, S; Leimgruber, P; Linnell, JDC; López-López, P; Markham, AC; Mattisson, J; Medici, EP; Mellone, U; Merrill, E; Mourao, GD; Morato, RG; Morellet, N; Morrison, TA; Díaz-Muñoz, SL; Mysterud, A; Nandintsetseg, D; Nathan, R; Niamir, A; Odden, J; O'Hara, RB; Oliveira-Santos, LGR; Olson, KA; Patterson, BD; de Paula, RC; Pedrotti, L; Reineking, B; Rimmler, M; Rogers, TL; Rolandsen, CM; Rosenberry, CS; Rubenstein, DI; Safi, K; Saïd, S; Sapir, N; Sawyer, H; Schmidt, NM; Selva, N; Sergiel, A; Shiilegdamba, E; Silva, JP; Singh, N; Solberg, EJ; Spiegel, O; Strand, O; Sundaresan, S; Ullmann, W; Voigt, U; Wall, J; Wattles, D; Wikelski, M; Wilmers, CC; Wilson, JW; Wittemyer, G; Zieba, F; Zwijacz-Kozica, T; Mueller, T</t>
  </si>
  <si>
    <t>Tucker, Marlee A.; Boehning-Gaese, Katrin; Fagan, William F.; Fryxell, John M.; Van Moorter, Bram; Alberts, Susan C.; Ali, Abdullahi H.; Allen, Andrew M.; Attias, Nina; Avgar, Tal; Bartlam-Brooks, Hattie; Bayarbaatar, Buuveibaatar; Belant, Jerrold L.; Bertassoni, Alessandra; Beyer, Dean; Bidner, Laura; van Beest, Floris M.; Blake, Stephen; Blaum, Niels; Bracis, Chloe; Brown, Danielle; de Bruyn, P. J. Nico; Cagnacci, Francesca; Calabrese, Justin M.; Camilo-Alves, Constanca; Chamaille-Jammes, Simon; Chiaradia, Andre; Davidson, Sarah C.; Dennis, Todd; DeStefano, Stephen; Diefenbach, Duane; Douglas-Hamilton, Iain; Fennessy, Julian; Fichtel, Claudia; Fiedler, Wolfgang; Fischer, Christina; Fischhoff, Ilya; Fleming, Christen H.; Ford, Adam T.; Fritz, Susanne A.; Gehr, Benedikt; Goheen, Jacob R.; Gurarie, Eliezer; Hebblewhite, Mark; Heurich, Marco; Hewison, A. J. Mark; Hof, Christian; Hurme, Edward; Isbell, Lynne A.; Janssen, Rene; Jeltsch, Florian; Kaczensky, Petra; Kane, Adam; Kappeler, Peter M.; Kauffman, Matthew; Kays, Roland; Kimuyu, Duncan; Koch, Flavia; Kranstauber, Bart; LaPoint, Scott; Leimgruber, Peter; Linnell, John D. C.; Lopez-Lopez, Pascual; Markham, A. Catherine; Mattisson, Jenny; Medici, Emilia Patricia; Mellone, Ugo; Merrill, Evelyn; Mourao, Guilherme de Miranda; Morato, Ronaldo G.; Morellet, Nicolas; Morrison, Thomas A.; Diaz-Munoz, Samuel L.; Mysterud, Atle; Nandintsetseg, Dejid; Nathan, Ran; Niamir, Aidin; Odden, John; O'Hara, Robert B.; Oliveira-Santos, Luiz Gustavo R.; Olson, Kirk A.; Patterson, Bruce D.; de Paula, Rogerio Cunha; Pedrotti, Luca; Reineking, Bjorn; Rimmler, Martin; Rogers, Tracey L.; Rolandsen, Christer Moe; Rosenberry, Christopher S.; Rubenstein, Daniel I.; Safi, Kamran; Said, Sonia; Sapir, Nir; Sawyer, Hall; Schmidt, Niels Martin; Selva, Nuria; Sergiel, Agnieszka; Shiilegdamba, Enkhtuvshin; Silva, Joao Paulo; Singh, Navinder; Solberg, Erling J.; Spiegel, Orr; Strand, Olav; Sundaresan, Siva; Ullmann, Wiebke; Voigt, Ulrich; Wall, Jake; Wattles, David; Wikelski, Martin; Wilmers, Christopher C.; Wilson, John W.; Wittemyer, George; Zieba, Filip; Zwijacz-Kozica, Tomasz; Mueller, Thomas</t>
  </si>
  <si>
    <t>SCIENCE</t>
  </si>
  <si>
    <t>HOME-RANGE SIZE; MIGRATION; FRAGMENTATION; LANDSCAPE; DISTANCE; FOREST; ROADS; DEER</t>
  </si>
  <si>
    <t>Animal movement is fundamental for ecosystem functioning and species survival, yet the effects of the anthropogenic footprint on animal movements have not been estimated across species. Using a unique GPS-tracking database of 803 individuals across 57 species, we found that movements of mammals in areas with a comparatively high human footprint were on average one-half to one-third the extent of their movements in areas with a low human footprint. We attribute this reduction to behavioral changes of individual animals and to the exclusion of species with long-range movements from areas with higher human impact. Global loss of vagility alters a key ecological trait of animals that affects not only population persistence but also ecosystem processes such as predator-prey interactions, nutrient cycling, and disease transmission.</t>
  </si>
  <si>
    <t>[Tucker, Marlee A.; Boehning-Gaese, Katrin; Bracis, Chloe; Fritz, Susanne A.; Hof, Christian; Nandintsetseg, Dejid; Mueller, Thomas] Senckenberg Gesell Naturforsch, Senckenberg Biodivers &amp; Climate Res Ctr, D-60325 Frankfurt, Main, Germany; [Tucker, Marlee A.; Boehning-Gaese, Katrin; Bracis, Chloe; Fritz, Susanne A.; Nandintsetseg, Dejid; Mueller, Thomas] Goethe Univ, Dept Biol Sci, D-60438 Frankfurt, Main, Germany; [Fagan, William F.; Calabrese, Justin M.; Fleming, Christen H.; Gurarie, Eliezer; Hurme, Edward] Univ Maryland, Dept Biol, College Pk, MD 20742 USA; [Fagan, William F.] Univ Maryland, SESYNC, Annapolis, MD 21401 USA; [Fryxell, John M.] Univ Guelph, Dept Integrat Biol, Guelph, ON N1G 2W1, Canada; [Van Moorter, Bram; Kaczensky, Petra; Linnell, John D. C.; Mattisson, Jenny; Rolandsen, Christer Moe; Solberg, Erling J.; Strand, Olav] Norwegian Inst Nat Res, POB 5685 Torgard, NO-7485 Trondheim, Norway; [Alberts, Susan C.] Duke Univ, Dept Biol, Durham, NC 27708 USA; [Alberts, Susan C.] Duke Univ, Dept Evolut Anthropol, Durham, NC 27708 USA; [Ali, Abdullahi H.] Hirola Conservat Programme, Garissa, Kenya; [Allen, Andrew M.; Singh, Navinder] Swedish Univ Agr Sci, Dept Wildlife Fish &amp; Environm Studies, S-90183 Umea, Sweden; [Allen, Andrew M.] Radboud Univ Nijmegen, Dept Anim Ecol &amp; Physiol, Inst Water &amp; Wetland Res, NL-6500 GL Nijmegen, Netherlands; [Attias, Nina] Univ Fed Mato Grosso do Sul, Ecol &amp; Conservat Grad Program, Campo Grande, MS, Brazil; [Avgar, Tal; Merrill, Evelyn] Univ Alberta, Dept Biol Sci, Edmonton, AB, Canada; [Bartlam-Brooks, Hattie] Univ London, Royal Vet Coll, Struct &amp; Motion Lab, London NW1 0TU, England; [Bayarbaatar, Buuveibaatar; Olson, Kirk A.; Shiilegdamba, Enkhtuvshin] Wildlife Conservat Soc, Mongolia Program, Ulaanbaatar, Mongolia; [Belant, Jerrold L.] Mississippi State Univ, Forest &amp; Wildlife Res Ctr, Carnivore Ecol Lab, Box 9690, Mississippi State, MS USA; [Bertassoni, Alessandra] Sao Paulo State Univ, Anim Biol Postgra Program, BR-15054000 Sao Jose Do Rio Preto, SP, Brazil; [Beyer, Dean] Michigan Dept Nat Resources, 1990 US 41 South, Marquette, MI 49855 USA; [Bidner, Laura; Isbell, Lynne A.] Univ Calif Davis, Dept Anthropol, Davis, CA 95616 USA; [van Beest, Floris M.; Schmidt, Niels Martin] Aarhus Univ, Dept Biosci, DK-4000 Roskilde, Denmark; [Blake, Stephen; Davidson, Sarah C.; Fiedler, Wolfgang; LaPoint, Scott; Safi, Kamran; Wikelski, Martin] Max Planck Inst Ornithol, Vogelwarte Radolfzell, D-78315 Radolfzell am Bodensee, Germany; [Blake, Stephen] Wildlife Conservat Soc, Bronx, NY 10460 USA; [Blaum, Niels; Jeltsch, Florian; Ullmann, Wiebke] Univ Potsdam, Plant Ecol &amp; Nat Conservat, D-14476 Potsdam, Germany; [Brown, Danielle] Middle Tennessee State Univ, Dept Biol, Murfreesboro, TN 37132 USA; [de Bruyn, P. J. Nico] Univ Pretoria, Dept Zool &amp; Entomol, Mammal Res Inst, ZA-0028 Gauteng, South Africa; [Cagnacci, Francesca] Fdn Edmund Mach, Res &amp; Innovat Ctr, Dept Biodivers &amp; Mol Ecol, I-38010 San Michele All Adige, TN, Italy; [Cagnacci, Francesca] Harvard Univ, Dept Organism &amp; Evolutionary Biol, Cambridge, MA 02138 USA; [Calabrese, Justin M.; Fleming, Christen H.; Leimgruber, Peter; Mueller, Thomas] Natl Zool Pk, Smithsonian Conservat Biol Inst, Front Royal, VA USA; [Camilo-Alves, Constanca] Univ Evora, Depat Fitotecn, P-7002554 Evora, Portugal; [Camilo-Alves, Constanca] Univ Evora, ICAAM, Inst Mediterranean Agr &amp; Environm Sci, Evora, Portugal; [Chamaille-Jammes, Simon] Univ Montpellier, Univ Paul Valery Montpellier, CNRS,EPHE, Ctr Ecol Fonctionnelle &amp; Evolut,UMR 5175, F-34293 Montpellier 5, France; [Chiaradia, Andre] Phillip Isl Nat Parks, Cowes, Vic, Australia; [Chiaradia, Andre] Monash Univ, Sch Biol Sci, Melbourne, Vic, Australia; [Davidson, Sarah C.] Ohio State Univ, Dept Civil Environm &amp; Geodet Engn, Columbus, OH 43210 USA; [Dennis, Todd] Fiji Natl Univ, Dept Biol, POB 5529, Natabua, Lautoka, Fiji; [DeStefano, Stephen; Wattles, David] Univ Massachusetts, US Geol Survey, Massachusetts Cooperat Fish &amp; Wildlife Res Unit, Amherst, MA 01003 USA; [Diefenbach, Duane] Penn State Univ, US Geol Survey, Penn Cooperat Fish &amp; Wildlife Res Unit, University Pk, PA 16802 USA; [Douglas-Hamilton, Iain] Univ Oxford, Dept Zool, Oxford OX1 3PS, England; [Fennessy, Julian] Giraffe Conservat Fdn, POB 86099, Eros, Namibia; [Fichtel, Claudia; Kappeler, Peter M.; Koch, Flavia] German Primate Ctr, Behav Ecol &amp; Sociobiol Unit, D-37077 Gottingen, Germany; [Fischer, Christina] Tech Univ Munich, Dept Ecol &amp; Ecosyst Management, Restorat Ecol, D-85354 Freising Weihenstephan, Germany; [Fischhoff, Ilya] Cary Inst Ecosyst Studies, Millbrook, NY 12545 USA; [Ford, Adam T.] Univ British Columbia, Irving K Barber Sch Arts &amp; Sci, Unit 2, Biol, Okanagan Campus, Kelowna, BC V1V 1V7, Canada; [Gehr, Benedikt; Kranstauber, Bart] Univ Zurich, Dept Evolutionary Biol &amp; Environm Studies, CH-8057 Zurich, Switzerland; [Goheen, Jacob R.] Univ Wyoming, Dept Zool &amp; Physiol, Laramie, WY 82071 USA; [Gurarie, Eliezer] Univ Washington, Sch Environm &amp; Forest Sci, Seattle, WA 98195 USA; [Hebblewhite, Mark] Univ Montana, Coll Forestry &amp; Conservat, Dept Ecosyst &amp; Conservat Sci, Wildlife Biol Program, Missoula, MT 59812 USA; [Heurich, Marco] Bavarian Forest Natl Pk, Dept Conservat &amp; Res, D-94481 Grafenau, Germany; [Heurich, Marco] Albert Ludwigs Univ Freiburg, Wildlife Ecol &amp; Management, D-79106 Freiburg, Germany; [Hewison, A. J. Mark; Morellet, Nicolas] Univ Toulouse, INRA, CEFS, Castanet Tolosan, France; [Isbell, Lynne A.] Univ Calif Davis, Anim Behav Grad Grp, Davis, CA 95616 USA; [Janssen, Rene] Bionet Natr Onderzoek, NL-6171 EL Stein, Netherlands; [Kaczensky, Petra] Univ Vet Med Vienna, Res Inst Wildlife Ecol, A-1160 Vienna, Austria; [Kane, Adam] Univ Coll Cork, Sch Biol Earth &amp; Environm Sci, Cork, Ireland; [Kauffman, Matthew] Univ Wyoming, US Geol Survey, Dept Zool &amp; Physiol, Wyoming Cooperat Fish &amp; Wildlife Res Unit, Laramie, WY USA; [Kays, Roland] North Carolina Museum Nat Sci, Raleigh, NC 27601 USA; [Kays, Roland] North Carolina State Univ, Dept Forestry &amp; Environm Resources, Raleigh, NC 27695 USA; [Kimuyu, Duncan] Karatina Univ, Dept Nat Resource Management, POB 195710101, Karatina, Kenya; [Koch, Flavia] Univ Lethbridge, Dept Psychol, Lethbridge, AB T1K 3M4, Canada; [LaPoint, Scott] Columbia Univ, Lamont Doherty Earth Observ, Palisades, NY 10964 USA; [Lopez-Lopez, Pascual] Univ Valencia, Terr Vertebrates Grp, Cavanilles Inst Biodivers &amp; Evolutionary Biol, E-46980 Valencia, Spain; [Markham, A. Catherine] SUNY Stony Brook, Dept Anthropol, Stony Brook, NY 11794 USA; [Medici, Emilia Patricia] TSG, SSC, IUCN, Rua Licuala 622,Damha 1,Campo Grande, BR-79046150 Mato Grosso Sul, Brazil; [Medici, Emilia Patricia] IPE Inst Pesquisas Ecol Inst Ecol Res, Caixa Postal 47, BR-12960000 Sao Paulo, Brazil; [Mellone, Ugo] Univ Alicante, Dept Ciencias Ambient &amp; Recursos Natur, Vertebrates Zool Res Grp, Alicante, Spain; [Mourao, Guilherme de Miranda] Embrapa Pantanal, BR-79320900 Corumba, MS, Brazil; [Morato, Ronaldo G.; de Paula, Rogerio Cunha] Chico Mendes Inst Conservat Biodivers, Natl Res Ctr Carnivores Conservat, BR-12952011 Atiba, SP, Brazil; [Morrison, Thomas A.] Univ Glasgow, Inst Biodivers Anim Hlth &amp; Comparat Med, Glasgow, Lanark, Scotland; [Diaz-Munoz, Samuel L.] NYU, Dept Biol, Ctr Genom &amp; Syst Biol, New York, NY 10003 USA; [Diaz-Munoz, Samuel L.] Univ Calif Davis, Dept Microbiol &amp; Mol Genet, Davis, CA 95616 USA; [Mysterud, Atle] Univ Oslo, Dept Biosci, Ctr Ecol &amp; Evolutionary Synth, NO-0316 Oslo, Norway; [Nathan, Ran] Hebrew Univ Jerusalem, Alexander Silberman Inst Life Sci, Dept Ecol Evolut &amp; Behav, Movement Ecol Lab, IL-91904 Jerusalem, Israel; [Odden, John] Norwegian Inst Nat Res, NO-0349 Oslo, Norway; [O'Hara, Robert B.] Norwegian Univ Sci &amp; Technol NTNU, Dept Math Sci &amp; Ctr Biodivers Dynam, N-7491 Trondheim, Norway; [Oliveira-Santos, Luiz Gustavo R.] Univ Fed Mato Grosso do Sul, Dept Ecol, BR-79070900 Campo Grande, MS, Brazil; [Patterson, Bruce D.] Field Museum Nat Hist, Integrat Res Ctr, Chicago, IL 60605 USA; [Pedrotti, Luca] Consorzio Parco Nazl Stelvio, Bormio, Sondrio, Italy; [Reineking, Bjorn] Univ Grenoble Alpes, Irstea, UR LESSEM, BP 76, F-38402 St Martin Dheres, France; [Reineking, Bjorn] Univ Bayreuth, BayCEER, D-95447 Bayreuth, Germany; [Rimmler, Martin] Natl Park Schwarzwald, D-77889 Seebach, Germany; [Rogers, Tracey L.] Univ New South Wales, Evolut &amp; Ecol Res Ctr, Sydney, NSW 2052, Australia; [Rogers, Tracey L.] Univ New South Wales, Sch Biol Earth &amp; Environm Sci, Sydney, NSW 2052, Australia; [Rosenberry, Christopher S.] Penn Game Commiss, Harrisburg, PA 17110 USA; [Rubenstein, Daniel I.] Princeton Univ, Dept Ecol &amp; Evolutionary Biol, Princeton, NJ 08544 USA; [Safi, Kamran; Wikelski, Martin] Univ Konstanz, Dept Biol, D-78467 Constance, Germany; [Said, Sonia] Off Natl Chasse &amp; Faune Sauvage, Studies &amp; Expertise DRE, F-01330 Birieux, France; [Sapir, Nir] Univ Haifa, Dept Evolutionary &amp; Environm Biol, IL-3498838 Haifa, Israel; [Sawyer, Hall] Western Ecosyst Technol Inc, Laramie, WY 82070 USA; [Schmidt, Niels Martin] Aarhus Univ, Arctic Res Ctr, DK-8000 Aarhus C, Denmark; [Selva, Nuria; Sergiel, Agnieszka] Polish Acad Sci, Inst Nat Conservat, PL-31120 Krakow, Poland; [Silva, Joao Paulo] Univ Porto, CIBIO InBIO Associate Lab, P-4485661 Vairao, Portugal; [Silva, Joao Paulo] Univ Lisbon, Inst Super Agron, InBIO Associate Lab, Ctr Appl Ecol Prof Baeta Neves, P-1349017 Lisbon, Portugal; [Silva, Joao Paulo] Univ Lisbon, Fac Ciencias, Ctr Ecol Evolut &amp; Environm Changes, P-1749016 Lisbon, Portugal; [Spiegel, Orr] Univ Calif Davis, Dept Environm Sci &amp; Policy, Davis, CA 95616 USA; [Sundaresan, Siva] Jackson Hole Conservat, Jackson, WY 83001 USA; [Voigt, Ulrich] Univ Vet Med Hannover, Inst Terr &amp; Aquat Wildlife Res, D-30173 Hannover, Germany; [Wilmers, Christopher C.] Univ Calif Santa Cruz, Environm Studies Dept, Ctr Integrated Spatial Res, Santa Cruz, CA 95060 USA; [Wilson, John W.] Univ Pretoria, Dept Zool &amp; Entomol, ZA-0028 Hatfield, South Africa; [Wittemyer, George] Colorado State Univ, Dept Fish Wildlife &amp; Conservat Biol, Ft Collins, CO 80523 USA; [Zieba, Filip; Zwijacz-Kozica, Tomasz] Tatra Natl Pk, PL-34500 Zakopane, Poland</t>
  </si>
  <si>
    <t>Leibniz Association; Senckenberg Gesellschaft fur Naturforschung (SGN); Senckenberg Biodiversitat &amp; Klima- Forschungszentrum (BiK-F); Goethe University Frankfurt; University System of Maryland; University of Maryland College Park; University of Guelph; Norwegian Institute Nature Research; Duke University; Duke University; Swedish University of Agricultural Sciences; Radboud University Nijmegen; Universidade Federal de Mato Grosso do Sul; University of Alberta; University of London; University of London Royal Veterinary College; Mississippi State University; Universidade Estadual Paulista; University of California System; University of California Davis; Aarhus University; Max Planck Society; Wildlife Conservation Society; University of Potsdam; Middle Tennessee State University; University of Pretoria; Fondazione Edmund Mach; Harvard University; Smithsonian Institution; Smithsonian National Zoological Park &amp; Conservation Biology Institute; University of Evora; University of Evora; Universite PSL; Ecole Pratique des Hautes Etudes (EPHE); Institut Agro; Montpellier SupAgro; CIRAD; Centre National de la Recherche Scientifique (CNRS); Institut de Recherche pour le Developpement (IRD); Universite Paul-Valery; Universite de Montpellier; Monash University; University System of Ohio; Ohio State University; Fiji National University (FNU); University of Massachusetts System; University of Massachusetts Amherst; United States Department of the Interior; United States Geological Survey; United States Department of the Interior; United States Geological Survey; Pennsylvania Commonwealth System of Higher Education (PCSHE); Pennsylvania State University; Pennsylvania State University - University Park; University of Oxford; Leibniz Association; Deutsches Primatenzentrum (DPZ); Technical University of Munich; Cary Institute of Ecosystem Studies; University of British Columbia; University of Zurich; University of Wyoming; University of Washington; University of Washington Seattle; University of Montana System; University of Montana; University of Freiburg; Universite de Toulouse; INRAE; University of California System; University of California Davis; University of Veterinary Medicine Vienna; University College Cork; United States Department of the Interior; United States Geological Survey; University of Wyoming; North Carolina State University; University of Lethbridge; Columbia University; University of Valencia; State University of New York (SUNY) System; Stony Brook University; Universitat d'Alacant; Empresa Brasileira de Pesquisa Agropecuaria (EMBRAPA); EMBRAPA Pantanal; University of Glasgow; New York University; University of California System; University of California Davis; University of Oslo; Hebrew University of Jerusalem; Norwegian Institute Nature Research; Norwegian University of Science &amp; Technology (NTNU); Universidade Federal de Mato Grosso do Sul; Field Museum of Natural History (Chicago); Communaute Universite Grenoble Alpes; Universite Grenoble Alpes (UGA); INRAE; University of Bayreuth; University of New South Wales Sydney; University of New South Wales Sydney; Princeton University; University of Konstanz; University of Haifa; Western EcoSystems Technology, Inc.; Aarhus University; Polish Academy of Sciences; Universidade do Porto; Universidade de Lisboa; Universidade de Lisboa; University of California System; University of California Davis; University of Veterinary Medicine Hannover; University of California System; University of California Santa Cruz; University of Pretoria; Colorado State University System; Colorado State University Fort Collins</t>
  </si>
  <si>
    <t>Tucker, MA; Mueller, T (corresponding author), Senckenberg Gesell Naturforsch, Senckenberg Biodivers &amp; Climate Res Ctr, D-60325 Frankfurt, Main, Germany.;Tucker, MA; Mueller, T (corresponding author), Goethe Univ, Dept Biol Sci, D-60438 Frankfurt, Main, Germany.;Mueller, T (corresponding author), Natl Zool Pk, Smithsonian Conservat Biol Inst, Front Royal, VA USA.</t>
  </si>
  <si>
    <t>tucker.marlee@gmail.com; thomas.mueller@senckenberg.de</t>
  </si>
  <si>
    <t>Fischer, Christina/B-5568-2011; Calabrese, Justin/B-9131-2012; Blake, Stephen/HPE-0562-2023; Chiaradia, Andre/AFK-6634-2022; Attias, Nina/IYJ-9607-2023; Kappeler, Peter/B-6825-2012; Merrill, Evelyn/N-5801-2015; Fiedler, Wolfgang/AAG-4510-2021; Olson, Kirk/KYQ-4330-2024; Sapir, Nir/V-9634-2019; Mysterud, Atle/AFL-1958-2022; Wittemyer, George/AFQ-1840-2022; Hewison, Aidan J Mark/AGJ-3300-2022; Fagan, William/PAU-9676-2025; Fichtel, Claudia/LWK-0135-2024; Chamaillé-Jammes, Simon/B-3833-2009; Niamir, Aidin/G-5779-2011; Wikelski, Martin/LZF-2734-2025; Diefenbach, Duane/MTC-6120-2025; Belant, Jerrold/HDM-7749-2022; Kimuyu, Duncan/AGR-4715-2022; Hebblewhite, Mark/G-6164-2013; Camilo-Alves, Constança/AAE-5299-2021; López-López, Pascual/C-1039-2011; Schmidt, Niels Martin/G-3843-2011; Kane, Adam/H-6449-2013; Odden, John/F-6088-2019; Avgar, Tal/W-9520-2019; Nathan, Ran/A-9380-2008; Böhning-Gaese, Katrin/W-2601-2019; O'Hara, Robert/A-7499-2008; Blaum, Niels/AFO-7390-2022; Mourão, Guilherme/C-3319-2013; Morellet, Nicolas/AAC-3278-2019; Linnell, John D C/V-4177-2019; Safi, Kamran/B-2079-2008; Patterson, Bruce/O-5068-2019; van Beest, Floris M/C-6745-2019; Silva, João Paulo/L-6745-2013; Spiegel, Orr/D-4035-2011; Heurich, Marco/O-4653-2014; Mueller, Thomas/A-1740-2014; Leimgruber, Peter/O-1304-2015; Fleming, Christen/KMY-7886-2024; Selva, Nuria/J-6970-2013; Tucker, Marlee/M-9546-2019; Cagnacci, Francesca/L-7377-2013; Gurarie, Eliezer/AGI-0958-2022; DE PAULA, ROGERIO/S-2182-2017; Mattisson, Jenny/X-4750-2019; Beyer, Dean/HTM-6783-2023; Rogers, Tracey/C-3419-2008; Sergiel, Agnieszka/AAH-8965-2020; Oliveira-Santos, Luiz Gustavo Roigues/F-9562-2012; Bayarbaatar, Buuveibaatar/AAS-5963-2020; Bertassoni, Alessana/B-8210-2013; Allen, Anew/A-5983-2017; Wilson, John/E-9601-2011; Hof, Christian/J-8888-2014; Fritz, Susanne/M-9872-2014; de Bruyn, P J Nico/E-4176-2010</t>
  </si>
  <si>
    <t>Fischer, Christina/0000-0001-7784-1105; Niamir, Aidin/0000-0003-4511-3407; Kays, Roland/0000-0002-2947-6665; Hebblewhite, Mark/0000-0001-5382-1361; Alberts, Susan/0000-0002-1313-488X; Camilo-Alves, Constança/0000-0001-5156-172X; López-López, Pascual/0000-0001-5269-652X; Kimuyu, Duncan/0000-0001-6077-4970; Schmidt, Niels Martin/0000-0002-4166-6218; Kane, Adam/0000-0002-2830-5338; Morato, Ronaldo/0000-0002-8304-9779; Odden, John/0000-0002-6275-8648; Kaczensky, Petra/0000-0001-5428-1176; Avgar, Tal/0000-0002-8764-6976; SAID, Sonia/0000-0003-1485-8297; Nathan, Ran/0000-0002-5733-6715; Rolandsen, Christer Moe/0000-0002-5628-0385; Böhning-Gaese, Katrin/0000-0003-0477-5586; O'Hara, Robert/0000-0001-9737-3724; Blaum, Niels/0000-0001-6807-5162; Kranstauber, Bart/0000-0001-8303-780X; Mourão, Guilherme/0000-0002-8300-4191; Morellet, Nicolas/0000-0002-4274-7044; Gehr, Benedikt/0000-0002-1044-9296; Linnell, John D C/0000-0002-8370-5633; Safi, Kamran/0000-0002-8418-6759; Patterson, Bruce/0000-0002-2249-7260; van Beest, Floris M/0000-0002-5701-4927; Silva, João Paulo/0000-0002-1956-5779; Spiegel, Orr/0000-0001-8941-3175; Heurich, Marco/0000-0003-0051-2930; Bartlam-Brooks, Hattie/0000-0002-1507-1712; Mueller, Thomas/0000-0001-9305-7716; Leimgruber, Peter/0000-0002-3682-0153; Reineking, Björn/0000-0001-5277-9181; Fleming, Christen/0000-0002-9356-6518; Selva, Nuria/0000-0003-3389-201X; Tucker, Marlee/0000-0001-7535-3431; Cagnacci, Francesca/0000-0002-4954-9980; Gurarie, Eliezer/0000-0002-8666-9674; DE PAULA, ROGERIO/0000-0003-1943-8320; Mattisson, Jenny/0000-0001-6032-5307; Beyer, Dean/0009-0000-1708-4958; Rogers, Tracey/0000-0002-7141-4177; Sergiel, Agnieszka/0000-0002-3455-4218; Oliveira-Santos, Luiz Gustavo Roigues/0000-0001-9632-5173; Bayarbaatar, Buuveibaatar/0000-0003-1803-0745; Mellone, Ugo/0000-0001-9665-505X; Bertassoni, Alessana/0000-0002-4806-579X; Allen, Anew/0000-0002-0119-2425; Hurme, Edward/0000-0002-2936-2449; Wilson, John/0000-0002-7230-1449; Voigt, Ulrich/0000-0002-9505-4612; Hof, Christian/0000-0002-7763-1885; Fritz, Susanne/0000-0002-4085-636X; Jeltsch, Florian/0000-0002-4670-6469; de Bruyn, P J Nico/0000-0002-9114-9569</t>
  </si>
  <si>
    <t>Robert Bosch Foundation; Direct For Biological Sciences; Div Of Biological Infrastructure [1564382] Funding Source: National Science Foundation; Div Of Biological Infrastructure; Direct For Biological Sciences [1564380] Funding Source: National Science Foundation</t>
  </si>
  <si>
    <t>Robert Bosch Foundation; Direct For Biological Sciences; Div Of Biological Infrastructure(National Science Foundation (NSF)NSF - Directorate for Biological Sciences (BIO)); Div Of Biological Infrastructure; Direct For Biological Sciences(National Science Foundation (NSF)NSF - Directorate for Biological Sciences (BIO))</t>
  </si>
  <si>
    <t>Supported by the Robert Bosch Foundation and additional funding sources (see supplementary text). The data reported in this paper are available at datadryad.org (doi:10.5061/dryad.st350). M.A.T., T.M., K.B.-G., W.F.F., J.M.F., and B.V.M. conceived the manuscript; M.A.T. and T.M. conducted the analyses and wrote the first manuscript draft. Co-authors contributed data sets and assisted with writing the final version of the manuscript.</t>
  </si>
  <si>
    <t>AMER ASSOC ADVANCEMENT SCIENCE</t>
  </si>
  <si>
    <t>1200 NEW YORK AVE, NW, WASHINGTON, DC 20005 USA</t>
  </si>
  <si>
    <t>0036-8075</t>
  </si>
  <si>
    <t>1095-9203</t>
  </si>
  <si>
    <t>JAN 26</t>
  </si>
  <si>
    <t>10.1126/science.aam9712</t>
  </si>
  <si>
    <t>FT6SD</t>
  </si>
  <si>
    <t>WOS:000423283200049</t>
  </si>
  <si>
    <t>Hornseth, ML; Pigeon, KE; MacNearney, D; Larsen, TA; Stenhouse, G; Cranston, J; Finnegan, L</t>
  </si>
  <si>
    <t>Hornseth, M. L.; Pigeon, K. E.; MacNearney, D.; Larsen, T. A.; Stenhouse, G.; Cranston, J.; Finnegan, L.</t>
  </si>
  <si>
    <t>Seismic lines; Linear features; Off-highway vehicles; Caribou; Rangifer tarandus; Habitat recovery</t>
  </si>
  <si>
    <t>WOODLAND CARIBOU; HABITAT; BOREAL; EXPLORATION; IMPACTS; SELECTION; CLASSIFICATION; BIODIVERSITY; DISTURBANCE; MOVEMENT</t>
  </si>
  <si>
    <t>Natural regeneration of seismic lines, cleared for hydrocarbon exploration, is slow and often hindered by vegetation damage, soil compaction, and motorized human activity. There is an extensive network of seismic lines in western Canada which is known to impact forest ecosystems, and seismic lines have been linked to declines in woodland caribou (Rangifer tarandus caribou). Seismic line restoration is costly, but necessary for caribou conservation to reduce cumulative disturbance. Understanding where motorized activity may be impeding regeneration of seismic lines will aid in prioritizing restoration. Our study area in west-central Alberta, encompassed five caribou ranges where restoration is required under federal species at risk recovery strategies, hence prioritizing seismic lines for restoration is of immediate conservation value. To understand patterns of motorized activity on seismic lines, we evaluated five a priori hypotheses using a predictive modeling framework and Geographic Information System variables across three landscapes in the foothills and northern boreal regions of Alberta. In the northern boreal landscape, motorized activity was most common in dry areas with a large industrial footprint. In highly disturbed areas of the foothills, motorized activity on seismic lines increased with low vegetation heights, relatively dry soils, and further from forest cutblocks, while in less disturbed areas of the foothills, motorized activity on seismic lines decreased proportional to seismic line density, slope steepness, and white-tailed deer abundance, and increased proportional with distance to roads. We generated predictive maps of high motorized activity, identifying 21,777km of seismic lines where active restoration could expedite forest regeneration.</t>
  </si>
  <si>
    <t>[Hornseth, M. L.] Borealis Ecol, 12 First Ave, Orangeville, ON L9W 1H8, Canada; [Hornseth, M. L.; Pigeon, K. E.; MacNearney, D.; Finnegan, L.] fRI Res, Caribou Program, 1176 Switzer Dr, Hinton, AB T7V 1V3, Canada; [Larsen, T. A.; Stenhouse, G.] Grizzly Bear Program fRI Res, 1176 Switzer Dr, Hinton, AB T7V 1V3, Canada; [Cranston, J.] Univ Saskatchewan, Western Coll Vet Med, Canadian Wildlife Hlth Cooperat, 52 Campus Dr, Saskatoon, SK S7N 5B4, Canada; [MacNearney, D.] Environm &amp; Climate Change Canada, Natl Wildlife Res Ctr, Wildlife Res Div, Ottawa, ON K1S 5B6, Canada; [Cranston, J.] Univ Alberta, Alberta Biodivers Monitoring Inst, Biol Sci Bldg,CW 405, Edmonton, AB T6G 2E9, Canada</t>
  </si>
  <si>
    <t>University of Saskatchewan; Environment &amp; Climate Change Canada; Canadian Wildlife Service; Wildlife Research Division - Environment Canada; National Wildlife Research Centre - Canada; University of Alberta</t>
  </si>
  <si>
    <t>Hornseth, ML (corresponding author), Borealis Ecol, 12 First Ave, Orangeville, ON L9W 1H8, Canada.;Hornseth, ML (corresponding author), fRI Res, Caribou Program, 1176 Switzer Dr, Hinton, AB T7V 1V3, Canada.</t>
  </si>
  <si>
    <t>borealis.ecology@gmail.com</t>
  </si>
  <si>
    <t>Pigeon, Karine/C-6336-2014</t>
  </si>
  <si>
    <t>Hornseth, Megan/0000-0002-9596-0316; Finnegan, Laura/0000-0002-4797-6284</t>
  </si>
  <si>
    <t>Alberta Upstream Petroleum Research Fund [15-ERPC-01]; Government of Canada under the National Conservation Plan [HSP6617, 6699, 7195]; Foothills Landscape Management Forum; British Columbia Oil and Gas Research and Innovation Society [BC OGRIS 15-04]; Alberta Environment and Parks; Canadian Natural Resources; Daishowa-Marubeni International Ltd.; fRIResearch; Jupiter Resources Ltd.; Manning Diversified Forest Products; Millar Western Forest Products Ltd.; Paramount Resources Ltd.; Talisman Energy Inc.; Tolko Industries Ltd.; Vanderwell Contractors Ltd.; Weyerhaeuser Co. Ltd.</t>
  </si>
  <si>
    <t>Alberta Upstream Petroleum Research Fund; Government of Canada under the National Conservation Plan; Foothills Landscape Management Forum; British Columbia Oil and Gas Research and Innovation Society; Alberta Environment and Parks; Canadian Natural Resources; Daishowa-Marubeni International Ltd.; fRIResearch; Jupiter Resources Ltd.; Manning Diversified Forest Products; Millar Western Forest Products Ltd.; Paramount Resources Ltd.; Talisman Energy Inc.; Tolko Industries Ltd.; Vanderwell Contractors Ltd.; Weyerhaeuser Co. Ltd.</t>
  </si>
  <si>
    <t>This work was financially supported by the Alberta Upstream Petroleum Research Fund (15-ERPC-01), the Government of Canada under the National Conservation Plan (HSP6617, 6699, 7195), the Foothills Landscape Management Forum, the Forest Resource Improvement Association of Alberta (FRIP OF-13-006), the British Columbia Oil and Gas Research and Innovation Society (BC OGRIS 15-04), Alberta Environment and Parks, Canadian Natural Resources, Daishowa-Marubeni International Ltd., fRIResearch, Jupiter Resources Ltd., Manning Diversified Forest Products, Millar Western Forest Products Ltd., Paramount Resources Ltd., Talisman Energy Inc., Tolko Industries Ltd., Vanderwell Contractors Ltd., and Weyerhaeuser Co. Ltd. In-kind support was provided by Alberta Agriculture and Forestry, Alberta Environment and Parks, ANC Timber Ltd., Canfor Corporation, Daishowa-Marubeni International Ltd., Tolko Industries Ltd., West Fraser Timber Co. Ltd., and Weyerhaeuser Co. Ltd. Field data were collected by M Anderson, L Brown, F Deagle, L Dewart, J Dillon, S Fassina, J Halbert, B Knox, C Lambert, A MacDonald, K Ridley, T Vandermolen, and R Viejou. We thank the fRI Research GIS Program for additional support.</t>
  </si>
  <si>
    <t>10.1007/s00267-018-1063-0</t>
  </si>
  <si>
    <t>GS6UJ</t>
  </si>
  <si>
    <t>WOS:000443834900013</t>
  </si>
  <si>
    <t>Carrete, M; Sánchez-Zapata, JA; Benítez, JR; Lobón, M; Montoya, F; Donázar, JA</t>
  </si>
  <si>
    <t>Carrete, Martina; Sanchez-Zapata, Jose A.; Benitez, Jose R.; Lobon, Manuel; Montoya, Francisco; Donazar, Jose A.</t>
  </si>
  <si>
    <t>Bird abundance; Collision risk; Gyps fulvus; Wind-farm; Wind-farm mortality; Spain; Wind energy; Predictive modelling</t>
  </si>
  <si>
    <t>BIRD MORTALITY; PRECAUTIONARY PRINCIPLE; COLLISION RISK; RAPTORS; IMPACTS; CONSERVATION; TURBINES; QUALITY</t>
  </si>
  <si>
    <t>Wind-farms have negative impacts on the environment, mainly through habitat destruction and bird mortality, making it urgent to design predictive tools to use in landscape planning. A frequent assumption of wind-farm assessment studies is that bird distribution and abundance and bird mortality through collision with turbines are closely related. However, previous results are contradictory and question the usefulness of these variables to select safer wind-farm locations. We focused on a species highly vulnerable to collision at wind-farms, the griffon vulture, to test whether mortality at turbines was related to the relative position of turbines within the vulture population. We used the location of all turbines on 34 wind-farms in southern Spain, details on 342 griffon vultures found dead, and the location and size of breeding colonies and roost sites of the species during the breeding and non-breeding seasons, respectively. using variables that describe the large-scale distribution and aggregation of vultures, we found that year-round mortality at turbines increased when they were located in highly populated areas, a result that can be translated into management guidelines to plan wind-farm locations. Bird abundances can help to guide wind-farm plans at large scales. Current protocols of counting birds at specific points during particular periods of time have low predictive power. However, other more integrative cues such as the spatial distribution and aggregation of some vulnerable species should be used as criteria for large-scale environmental planning. Local inspection of the relationship between mortality at existing turbines and their relative position within the spatial distribution of bird populations can guide managers in planning future wind-farms and in managing currently operating developments. (c) 2011 Elsevier Ltd. All rights reserved.</t>
  </si>
  <si>
    <t>[Carrete, Martina] Univ Pablo de Olavide, Dept Phys Chem &amp; Nat Syst, Seville 41013, Spain; [Sanchez-Zapata, Jose A.] Univ Miguel Hernandez, Dept Appl Biol, Alicante 33012, Spain; [Benitez, Jose R.; Lobon, Manuel; Montoya, Francisco] Colect Ornitol Ciguena Negra, Cadiz, Spain; [Donazar, Jose A.] CSIC, Estac Biol Donana, Dept Conservat Biol, Seville 41092, Spain</t>
  </si>
  <si>
    <t>Universidad Pablo de Olavide; Universidad Miguel Hernandez de Elche; Consejo Superior de Investigaciones Cientificas (CSIC); CSIC - Estacion Biologica de Donana (EBD)</t>
  </si>
  <si>
    <t>Carrete, M (corresponding author), Univ Pablo de Olavide, Dept Phys Chem &amp; Nat Syst, Ctra Utrera Km 1, Seville 41013, Spain.</t>
  </si>
  <si>
    <t>mcarrete@upo.es</t>
  </si>
  <si>
    <t>Carrete, Martina/D-2618-2017; Montoya, Francisco/OUH-1929-2025; Sanchez-Zapata, Jose Antonio/H-1413-2015</t>
  </si>
  <si>
    <t>Carrete, Martina/0000-0002-0491-2950; Donázar, José Antonio/0000-0002-9433-9755; Sanchez-Zapata, Jose Antonio/0000-0001-8230-4953</t>
  </si>
  <si>
    <t>Excellence Project of the Junta de Andalucia</t>
  </si>
  <si>
    <t>Excellence Project of the Junta de Andalucia(Junta de Andalucia)</t>
  </si>
  <si>
    <t>We would like to thank J.L. Tella, D. Serrano, F. Hiraldo, F. Huettmann, A. Martinez-Abrain and one anonymous reviewer for their valuable comments. MC was supported by an Excellence Project of the Junta de Andalucia. The Environmental Department of the Junta de Andalucia provided all data on bird mortality as well as on wind-farm and turbine location and characteristics to perform the study.</t>
  </si>
  <si>
    <t>10.1016/j.biocon.2011.10.017</t>
  </si>
  <si>
    <t>903CB</t>
  </si>
  <si>
    <t>WOS:000301092400016</t>
  </si>
  <si>
    <t>Bröker, K; Gailey, G; Muir, J; Racca, R</t>
  </si>
  <si>
    <t>Broker, Koen; Gailey, Glenn; Muir, Judy; Racca, Roberto</t>
  </si>
  <si>
    <t>PORPOISE PHOCOENA-PHOCOENA; MASKED HEARING THRESHOLDS; TEMPORARY SHIFT; WESTERN; ABUNDANCE; BEHAVIOR; EXPOSURE</t>
  </si>
  <si>
    <t>A 4D seismic survey was conducted in 2010 near the feeding grounds of gray whales off Sakhalin Island, Russia. To minimize disruptions to the whales' feeding activity and enhance understanding of the potential impacts of seismic surveys on gray whales Eschrichtius robustus, an extensive monitoring and mitigation plan (MMP) was developed. Typically, mitigation plans involve observers on seismic vessels to monitor for the presence of marine mammals in an exclusion zone so as to prevent physical injury to the animals. Due to the protected status of western gray whales, an additional protection zone based on a behavioural disturbance threshold of exposure of 156 dB re mu Pa-2-s per pulse was applied for whales within their feeding habitat defined by the estimated 95% abundance contour. Real-time radio-transmitting acoustic recorders were deployed along this contour to verify modelled acoustic footprints within the feeding grounds. Shore-and vessel-based observation teams monitored for the presence and activity of whales. A real-time GIS workflow tracking procedure was developed that integrated acoustic and whale positioning data to determine if sound levels at a whales' position within the feeding area exceeded the behavioural threshold, in which case a shut-down of the seismic source was implemented. Additionally, behaviour and distribution surveys were conducted before, during and after the seismic survey to evaluate the effectiveness of the MMP. No large changes in whale movement, respiration, or distribution patterns were observed during the seismic survey. This could be interpreted to mean that the MMP was effective in reducing the sound exposure and behavioural responses of gray whales to seismic sounds.</t>
  </si>
  <si>
    <t>[Broker, Koen] Shell Global Solut, NL-2288 GK Rijswijk, Netherlands; [Gailey, Glenn] Texas A&amp;M Univ, Galveston, TX 77553 USA; [Muir, Judy] LGL Ltd Environm Res Associates, Sidney, BC V8L 3Y8, Canada; [Racca, Roberto] JASCO Appl Sci, Victoria, BC V8Z 7X8, Canada</t>
  </si>
  <si>
    <t>Royal Dutch Shell; Texas A&amp;M University System</t>
  </si>
  <si>
    <t>Bröker, K (corresponding author), Shell Global Solut, Lange Kleiweg 40, NL-2288 GK Rijswijk, Netherlands.</t>
  </si>
  <si>
    <t>koen.broker@shell.com</t>
  </si>
  <si>
    <t>Bröker, Koen/0000-0002-5965-5517</t>
  </si>
  <si>
    <t>Sakhalin Energy Investment Company</t>
  </si>
  <si>
    <t>We thank IUCN (F. Larsen) and the Seismic Survey Task Force members of the WGWAP (J. Cooke, G. Donovan, D. Nowacek, R. Reeves, B. Southall, G. Tsidulko, A. Vedenev, D. Weller) for their partnership in development of the MMP, and B. Hurley for providing a constructive assessment of its implementation. This project would not have been possible without the tireless efforts of the distribution teams (N. Doroshenko, P. Marchenko, D. Samarin, A. Samarina, R. Sidorenko, S. Starodymov, M. Starodymova, A. Tishchuk, O. Tomilov), behavioural teams (A. Ermoshin, A. Filipiechev, A. Kalachev, D. Kovshov, I. Krupin, S. Piwetz O. Sychenko, P. Zakharenko), acoustic teams (M. Austin, S. Borisov, D. Borovoy, V. Gritsenko, D. Kozel, V. Likhatchev, A. Rutenko, A. Soloviev, V. Sosnin, N. Tchichov, A. Tischuk, V. Uschipovsky, P. Zakharenko), Marine Mammal Observers, logistics teams and camp support staff. Sakhalin Energy and contractors were helpful in development and implementation of the MMP (D. Bell, M. Angelatos, M. Boekholt, V. Efremov, R. Evans, R. Larin, I. Rosenberger, E. Tijdens, S. Turin, D. Terwogt, B. Tibbles, P. vd. Wolf, I. Zhmaev). The journal 'Aquatic Mammals' provided permission for use of Fig. 2. This manuscript was improved by the thoughtful comments of G. Donovan, R. Reeves and 3 anonymous reviewers. K. Williams (JASCO Applied Sciences) assisted with review of the literature list. This study was funded by Sakhalin Energy Investment Company.</t>
  </si>
  <si>
    <t>10.3354/esr00670</t>
  </si>
  <si>
    <t>CU3DY</t>
  </si>
  <si>
    <t>WOS:000363405400001</t>
  </si>
  <si>
    <t>Pikesley, SK; Broderick, AC; Cejudo, D; Coyne, MS; Godfrey, MH; Godley, BJ; Lopez, P; López-Jurado, LF; Elsy Merino, S; Varo-Cruz, N; Witt, MJ; Hawkes, LA</t>
  </si>
  <si>
    <t>Pikesley, Stephen K.; Broderick, Annette C.; Cejudo, Daniel; Coyne, Michael S.; Godfrey, Matthew H.; Godley, Brendan J.; Lopez, Pedro; Felipe Lopez-Jurado, Luis; Elsy Merino, Sonia; Varo-Cruz, Nuria; Witt, Matthew J.; Hawkes, Lucy A.</t>
  </si>
  <si>
    <t>Modelling the niche for a marine vertebrate: a case study incorporating behavioural plasticity, proximate threats and climate change</t>
  </si>
  <si>
    <t>TURTLES CARETTA-CARETTA; LOGGERHEAD SEA-TURTLES; SATELLITE TRACKING; FISHERIES BYCATCH; DIVING BEHAVIOR; CAPE-VERDE; CONSERVATION; HABITAT; MIGRATION; DICHOTOMY</t>
  </si>
  <si>
    <t>The integration of satellite telemetry, remotely sensed environmental data, and habitat/environmental modelling has provided for a growing understanding of spatial and temporal ecology of species of conservation concern. The Republic of Cape Verde comprises the only substantial rookery for the loggerhead turtle Caretta caretta in the eastern Atlantic. A size related dichotomy in adult foraging patterns has previously been revealed for adult sea turtles from this population with a proportion of adults foraging neritically, whilst the majority forage oceanically. Here we describe observed habitat use and employ ecological niche modelling to identify suitable foraging habitats for animals utilising these two distinct behavioural strategies. We also investigate how these predicted habitat niches may alter under the influence of climate change induced oceanic temperature rises. We further contextualise our niche models with fisheries catch data and knowledge of fisheries hotspots' to infer threat from fisheries interaction to this population, for animals employing both strategies. Our analysis revealed repeated use of coincident oceanic habitat, over multiple seasons, by all smaller loggerhead turtles, whilst larger neritic foraging turtles occupied continental shelf waters. Modelled habitat niches were spatially distinct, and under the influence of predicted sea surface temperature rises, there was further spatial divergence of suitable habitats. Analysis of fisheries catch data highlighted that the observed and modelled habitats for oceanic and neritic loggerhead turtles could extensively interact with intensive fisheries activity within oceanic and continental shelf waters of northwest Africa. We suggest that the development and enforcement of sustainable management strategies, specifically multi-national fisheries policy, may begin to address some of these issues; however, these must be flexible and adaptive to accommodate potential range shift for this species.</t>
  </si>
  <si>
    <t>[Pikesley, Stephen K.; Broderick, Annette C.; Godley, Brendan J.; Hawkes, Lucy A.] Univ Exeter, Coll Life &amp; Environm Sci, Ctr Ecol &amp; Conservat, Penryn TR10 9EZ, Cornwall, England; [Pikesley, Stephen K.; Witt, Matthew J.] Univ Exeter, Environm &amp; Sustainabil Inst, Penryn TR10 9EZ, Cornwall, England; [Cejudo, Daniel] Cabo Verde Natura 2000, Sal Rei, Boavista, Cape Verde; [Coyne, Michael S.] Seaturtle Org, Durham, NC 27705 USA; [Godfrey, Matthew H.] North Carolina Wildlife Resources Commiss, Beaufort, NC 28516 USA; [Lopez, Pedro] Bios CV, Sal Rei, Boavista, Cape Verde; [Felipe Lopez-Jurado, Luis; Varo-Cruz, Nuria] Univ Las Palmas de GC, Dept Biol, ES-35017 Las Palmas De Gran Cana, Spain; [Elsy Merino, Sonia] Inst Nacl Desenvolvimento Pescas, Mindelo, Sao Vicente, Cape Verde</t>
  </si>
  <si>
    <t>Pikesley, SK (corresponding author), Univ Exeter, Coll Life &amp; Environm Sci, Ctr Ecol &amp; Conservat, Penryn TR10 9EZ, Cornwall, England.</t>
  </si>
  <si>
    <t>l.hawkes@exeter.ac.uk</t>
  </si>
  <si>
    <t>; Broderick, Annette/A-4062-2013; godley, brendan/A-6139-2009; Hawkes, Lucy/C-8671-2009; Witt, Matthew/V-3318-2018</t>
  </si>
  <si>
    <t>López Jurado, Luis Felipe/0000-0001-6380-6130; Coyne, Michael/0009-0001-6316-6759; Broderick, Annette/0000-0003-1444-1782; godley, brendan/0000-0003-3845-0034; Hawkes, Lucy/0000-0002-6696-1862; Witt, Matthew/0000-0002-9498-5378</t>
  </si>
  <si>
    <t>Large Pelagics Research Centre at the Univ. of New Hampshire through National Oceanographic and Atmospheric Agency [NA04NMF4550391]</t>
  </si>
  <si>
    <t>Large Pelagics Research Centre at the Univ. of New Hampshire through National Oceanographic and Atmospheric Agency</t>
  </si>
  <si>
    <t>We thank the staff, students and volunteers of Cabo Verde Natura 2000, British Chelonia Group, Marine Conservation Society, Natural Environmental Research Council, People's Trust for Endangered Species, SeaWorld Busch Gardens, and Seaturtle.org. Additional support was provided by the Large Pelagics Research Centre at the Univ. of New Hampshire through National Oceanographic and Atmospheric Agency award NA04NMF4550391. The authors acknowledge the constructive input from the Subject Editor.</t>
  </si>
  <si>
    <t>10.1111/ecog.01245</t>
  </si>
  <si>
    <t>CO7AU</t>
  </si>
  <si>
    <t>WOS:000359310700006</t>
  </si>
  <si>
    <t>Smeraldo, S; Bosso, L; Fraissinet, M; Bordignon, L; Brunelli, M; Ancillotto, L; Russo, D</t>
  </si>
  <si>
    <t>Smeraldo, Sonia; Bosso, Luciano; Fraissinet, Maurizio; Bordignon, Lucio; Brunelli, Massimo; Ancillotto, Leonardo; Russo, Danilo</t>
  </si>
  <si>
    <t>Ecological niche; Electrocution; Risk map; Spatial analysis; Species distribution models; Wind farms</t>
  </si>
  <si>
    <t>SPECIES DISTRIBUTION MODELS; ECOLOGICAL-NICHE; CLIMATE-CHANGE; POTENTIAL DISTRIBUTIONS; LANDSCAPE CONNECTIVITY; BREEDING PERFORMANCE; ENERGY DEVELOPMENT; NATIONAL-PARK; LAND-USE; CONSERVATION</t>
  </si>
  <si>
    <t>Recent growth of investments in wind energy and power industries has increased concerns about the associated adverse impacts on wildlife. In particular, flying vertebrates are especially at risk, both directly, through an extra mortality rate due to collision with turbines and electrocution, and indirectly through habitat loss or fragmentation. In this study, we propose a modelling approach that combines species distribution models and data managed in geographic information systems to predict and quantify the effects of wind turbines and power lines on the breeding habitat of a soaring migratory bird, the black stork Ciconia nigra, in Italy. The species is recolonizing the country, where it had been driven to extinction in the Middle Age by human persecution. Today, infrastructures such as those considered in our study might in fact hamper this recolonization. Our results show a high probability of presence of the species in several areas in Italy. The most important variables in influencing habitat suitability for C. nigra are the mean temperature of May followed by the distance from urban areas, inland wetlands and hydrographic network. Exposure to wind turbine collision and electrocution resulted to be potentially high. In particular, in Northern Italy the main potential risk of mortality for C. nigra is posed by power lines, whereas in southern regions the species might be mostly threatened by wind turbines. Our approach makes it possible to detect suitable areas that, although not yet colonized by the species, would imply a high mortality risk should the species colonize them in the future. The tool we provide may therefore prove useful to conservationists and landscape planners in order to mitigate the impact of human infrastructures on this species and encourage a more sustainable planning.</t>
  </si>
  <si>
    <t>[Smeraldo, Sonia; Bosso, Luciano; Fraissinet, Maurizio; Ancillotto, Leonardo; Russo, Danilo] Univ Napoli Federico II, Dipartimento Agr, Wildlife Res Unit, Via Univ 100, I-80055 Portici, NA, Italy; [Fraissinet, Maurizio] ASOIM, Via Cavalli di Bronzo 95, I-80046 San Giorgio A Cremano, NA, Italy; [Bordignon, Lucio] GLICiNe Grp Lavoro Italiano Cicogna Nera, Via Vioglio 16, I-13835 Valdilana, BI, Italy; [Brunelli, Massimo] Stn Romana Osservaz &amp; Protez Uccelli, Via Aldo Moro 83, I-00065 Fiano Romano, RM, Italy; [Russo, Danilo] Univ Bristol, Sch Biol Sci, 24 Tyndall Ave, Bristol BS8 1TQ, Avon, England</t>
  </si>
  <si>
    <t>University of Naples Federico II; University of Bristol</t>
  </si>
  <si>
    <t>Bosso, L (corresponding author), Univ Napoli Federico II, Dipartimento Agr, Wildlife Res Unit, Via Univ 100, I-80055 Portici, NA, Italy.</t>
  </si>
  <si>
    <t>luciano.bosso@unina.it; danrusso@unina.it</t>
  </si>
  <si>
    <t>Smeraldo, Sonia/0000-0002-5160-5304; Bosso, Luciano/0000-0002-9472-3802</t>
  </si>
  <si>
    <t>10.1007/s10531-020-01961-3</t>
  </si>
  <si>
    <t>WOS:000522656400013</t>
  </si>
  <si>
    <t>Ramachandra, TV; Bharath, S; Gupta, N</t>
  </si>
  <si>
    <t>Ramachandra, T. V.; Bharath, Setturu; Gupta, Nimish</t>
  </si>
  <si>
    <t>Forests; Hydrology; LULC dynamics; CA-Markov; Sustainable management</t>
  </si>
  <si>
    <t>LAND-SURFACE TEMPERATURE; COVER CHANGE; UTTARA KANNADA; PREDICTION; CLIMATE; IMPACTS; DROUGHT; SERIES</t>
  </si>
  <si>
    <t>Forest ecosystems sustain biota on the earth as they are habitat to diverse biotic species, arrests soil erosion, play a crucial role in water cycle, sequester carbon, and helps in mitigating the impacts of global warming. Large scale land use land cover (LULC) change leading to deforestation is one of the drivers of global climate changes and alteration of biogeochemical cycles with significant consequences in ecosystem services and biodiversity. This has necessitated the investigation of LULC by mapping, monitoring and modelling spatio-temporal patterns and evaluating these in the context of human environment interactions. The current work investigates LULC changes with temperature dynamics of select protected areas in Western Ghats. The land use analyses reveal changes in the forest cover across Kudremukh National Park (KNP), Rajiv Gandhi Tiger Reserve (RTR), Bandipur Tiger Reserve (BTR). KNP region has lost evergreen forest cover during 1973-2016 from 33.46 to 27.22%, while BTR lost deciduous cover from 61.69 to 47.3% due to mining, horticulture plantations, human habitations, etc. The LST increase has impacted regeneration of species with the induced water stress, etc. CA-Marlcov modelling was used for forecasting the likely land uses in 2026 and validation was done through Kappa indices. Results highlight decline of evergreen cover in KNP (9%) and deciduous cover in RTR (2%) followed by BTR (3%) with further expansion of plantations, which will impact biodiversity, hydrology and ecology. Insights of LULC dynamics help natural resource managers in evolving appropriate strategies to ensure conservation of threatened biota in Western Ghats. (C) 2017 Elsevier Ltd. All rights reserved.</t>
  </si>
  <si>
    <t>[Ramachandra, T. V.; Bharath, Setturu; Gupta, Nimish] Indian Inst Sci, CES, Energy &amp; Wetlands Res Grp, Bangalore, Karnataka, India; [Ramachandra, T. V.] Indian Inst Sci, Ctr Sustainable Technol Astra, Bangalore, Karnataka, India; [Ramachandra, T. V.] Indian Inst Sci, Ctr Infrastruct Sustainable Transportat &amp; Urban P, Bangalore, Karnataka, India</t>
  </si>
  <si>
    <t>Indian Institute of Science (IISC) - Bangalore; Indian Institute of Science (IISC) - Bangalore; Indian Institute of Science (IISC) - Bangalore</t>
  </si>
  <si>
    <t>Ramachandra, TV (corresponding author), Indian Inst Sci, Energy &amp; Wetlands Res Grp, CES TE15, Ctr Ecol Sci, Bangalore 560019, Karnataka, India.</t>
  </si>
  <si>
    <t>cestvr@ces.iisc.ernet.in</t>
  </si>
  <si>
    <t>SETTURU, BHARATH/D-1103-2013; T V, RAMACHANA/AAC-2335-2019; Gupta, Nimish/AAZ-4874-2021</t>
  </si>
  <si>
    <t>SETTURU, BHARATH/0000-0001-6800-9579; T V, RAMACHANA/0000-0001-5528-1565; Gupta, Nimish/0000-0002-3594-4883</t>
  </si>
  <si>
    <t>Karnataka Accounts and Audit General, Government of Karnataka [R1011]; Natural Resources Data Management System (NRDMS) Division, Ministry of Science and Technology [CES/TVR/DST/1045]; Ministry of Environment Forest and Climate Change, Government of India [DE007]; Indian Institute of Science [CES/TVR/KAAG_GOK/01]</t>
  </si>
  <si>
    <t>Karnataka Accounts and Audit General, Government of Karnataka; Natural Resources Data Management System (NRDMS) Division, Ministry of Science and Technology; Ministry of Environment Forest and Climate Change, Government of India; Indian Institute of Science(Indian Institute of Science (IISC) - Bangalore)</t>
  </si>
  <si>
    <t>We are grateful to (i) Karnataka Accounts and Audit General, Government of Karnataka (R1011), (ii) the Natural Resources Data Management System (NRDMS) Division, Ministry of Science and Technology (CES/TVR/DST/1045), (iii) the Ministry of Environment Forest and Climate Change, Government of India (DE007) and (iv) Indian Institute of Science (CES/TVR/KAAG_GOK/01) for the financial and the sustained infrastructure support.</t>
  </si>
  <si>
    <t>10.1016/j.jenvman.2017.08.001</t>
  </si>
  <si>
    <t>FT6DW</t>
  </si>
  <si>
    <t>WOS:000423245500124</t>
  </si>
  <si>
    <t>Pirotta, E; New, L; Marcoux, M</t>
  </si>
  <si>
    <t>Pirotta, Enrico; New, Leslie; Marcoux, Marianne</t>
  </si>
  <si>
    <t>cetaceans; distribution; estuary; mammals; modelling; ocean; shipping; Western Hudson Bay</t>
  </si>
  <si>
    <t>BOTTLE-NOSED DOLPHINS; WHALES DELPHINAPTERUS-LEUCAS; SPECIES DISTRIBUTION MODELS; BEHAVIORAL-RESPONSES; CUMULATIVE EXPOSURE; MARINE MAMMALS; KILLER WHALES; RISK; SPACE; DISTURBANCE</t>
  </si>
  <si>
    <t>1. Global warming is predicted to reduce sea ice and thereby grant access to new shipping routes in the Arctic, leading to the expansion of human exploitation of natural resources in this region. The accompanying rise in boat numbers could impact the local populations of marine mammals by increasing collision rates and behavioural disturbance. It is therefore important to quantify the baseline exposure to current levels of shipping traffic and to understand how wildlife's important habitat overlaps with shipping lanes, in order to support appropriate spatial planning and management. 2. In this study, telemetry tracks from nine belugas (Delphinapterus leucas) tagged in Western Hudson Bay, which is home to the world's largest summer aggregation of this species, were used to estimate the habitat use of the animals and to map any overlap with current shipping activities. 3. Following a use-availability design, with spatially adaptive smooths fitted using generalized estimating equations, beluga habitat use was quantified, confirming that they aggregate in coastal areas in association with river estuaries. The baseline exposure is low, and is concentrated around major harbours in the region. 4. Rising levels of traffic will increase anthropogenic pressure on Western Hudson Bay belugas. The approach presented here informs the design of effective spatial protection measures to minimize any potential consequence on the population.</t>
  </si>
  <si>
    <t>[Pirotta, Enrico; New, Leslie] Washington State Univ, Dept Math &amp; Stat, 14204 NE Salmon Creek Avenue, Vancouver, WA 98686 USA; [Marcoux, Marianne] Fisheries &amp; Oceans Canada, Arctic &amp; Aquat Res Div, Winnipeg, MB, Canada</t>
  </si>
  <si>
    <t>Washington State University; Fisheries &amp; Oceans Canada</t>
  </si>
  <si>
    <t>Pirotta, E (corresponding author), Washington State Univ, Dept Math &amp; Stat, 14204 NE Salmon Creek Avenue, Vancouver, WA 98686 USA.</t>
  </si>
  <si>
    <t>enrico.pirotta@wsu.edu</t>
  </si>
  <si>
    <t>; New, Leslie/C-8796-2018</t>
  </si>
  <si>
    <t>Marcoux, Marianne/0009-0007-8867-3814; Pirotta, Enrico/0000-0003-3541-3676;</t>
  </si>
  <si>
    <t>Fisheries and Oceans' Nunavut Implementation Fund; Strategic Program for Ecosystem-Based Research and Advice (DFO)</t>
  </si>
  <si>
    <t>10.1002/aqc.2892</t>
  </si>
  <si>
    <t>GK2BR</t>
  </si>
  <si>
    <t>WOS:000435930100019</t>
  </si>
  <si>
    <t>García-Barcelona, S; Macías, D; de Urbina, JMO; Estrada, A; Real, R; Báez, JC</t>
  </si>
  <si>
    <t>Garcia-Barcelona, Salvador; Macias, David; Ortiz de Urbina, Jose M.; Estrada, Alba; Real, Raimundo; Baez, Jose C.</t>
  </si>
  <si>
    <t>MODELLING ABUNDANCE AND DISTRIBUTION OF SEABIRD BY-CATCH IN THE SPANISH MEDITERRANEAN LONGLINE FISHERY</t>
  </si>
  <si>
    <t>ARDEOLA-INTERNATIONAL JOURNAL OF ORNITHOLOGY</t>
  </si>
  <si>
    <t>conservation biology; longline; long-lived animals; marine bird; sustainable fisheries</t>
  </si>
  <si>
    <t>FALSE DISCOVERY RATE; EBRO DELTA; BYCATCH; SEA; CONSERVATION; MORTALITY; DISCARDS; ISLANDS; TRAWLER; TURTLES</t>
  </si>
  <si>
    <t>Modelling abundance and distribution of seabird by-catch in the Spanish Mediterranean longline fishery. Seabird by-catch caused by longline fisheries is the most critical global threat to seabirds, mainly tubenose petrels. The Western Mediterranean is an important fishing area where the Spanish drifting longline operates. By-catch of these fisheries includes several resident and non-resident seabird species of different conservation concern. One of the main goals of seabird conservation is to disentangle the factors determining by-catch and to identify which management and conservation actions are necessary to mitigate this problem. In this paper, we modeled the effects of surface longline and its interaction with others fisheries on seabird by-catch. We used data recorded by onboard observers of the Spanish Institute of Oceanography (IEO) within the monitoring program for commercial longline fisheries from 2000 to 2009. We estimated a favourability function from logistic regression where the dependent variable was the presence or absence of seabird by-catch per set and the independent variables were those related to technical characteristics of the fishery, interactions with other fisheries, geographical location, and month. The interaction with other fisheries was estimated as the number of working and non-working days (weekend and official holidays), because the Spanish fishing legislation only allows longliners to operate in non-working days. We obtained a statistically significant favourability model with the following variables: traditional longline targeting swordfish, longline targeting albacore, number of hooks, latitude where the setting started, fisheries over continental shelf, October, and non-working days. The difference of the favourability function between working and non-working days provided a measure of the effect of non-working days on seabird by-catch. We concluded that the effects of the interaction with others fisheries on seabird by-catch are important, making non working days 48% more favourable than working days for increase seabird by-catch. The ecological and management implications are discussed.</t>
  </si>
  <si>
    <t>[Garcia-Barcelona, Salvador; Macias, David; Ortiz de Urbina, Jose M.; Baez, Jose C.] Ctr Oceanog Malaga, Inst Espanol Oceanog, Malaga, Spain; [Estrada, Alba] UCLM, Inst Invest Recursos Cineget, IREC CSIC, JCCM, E-13071 Ciudad Real, Spain; [Estrada, Alba; Real, Raimundo; Baez, Jose C.] Univ Malaga, Dept Biol Anim, E-29071 Malaga, Spain</t>
  </si>
  <si>
    <t>Spanish Institute of Oceanography; Universidad de Castilla-La Mancha; Consejo Superior de Investigaciones Cientificas (CSIC); CSIC - Instituto de Investigacion en Recursos Cinegeticos (IREC); Universidad de Malaga</t>
  </si>
  <si>
    <t>Báez, JC (corresponding author), Ctr Oceanog Malaga, Inst Espanol Oceanog, Malaga, Spain.</t>
  </si>
  <si>
    <t>jcarlos.baez@ma.ieo.es</t>
  </si>
  <si>
    <t>Báez, José Carlos/I-2644-2013; García Barcelona, Salvador/J-9462-2019; Garcia Barcelona, Salvador/J-9462-2019; ESTRADA, ALBA/A-9632-2018; Real, Raimundo/E-6559-2010</t>
  </si>
  <si>
    <t>Báez, José Carlos/0000-0003-2049-0409; Macías, David/0000-0003-3054-2858; García Barcelona, Salvador/0000-0002-5747-582X; Garcia Barcelona, Salvador/0000-0002-6708-7919; ESTRADA, ALBA/0000-0003-2727-1970; Real, Raimundo/0000-0002-6642-1284</t>
  </si>
  <si>
    <t>Ministerio de Ciencia e Innovacion, Spain [CGL2009-11316]; GPM-4 programs; PNDB; European Social Fund; Junta de Comunidades de Castilla-La Mancha (Spain)</t>
  </si>
  <si>
    <t>Ministerio de Ciencia e Innovacion, Spain(Spanish GovernmentMinistry of Science &amp; Innovation, Spain (MICINN)); GPM-4 programs; PNDB; European Social Fund(European Social Fund (ESF)); Junta de Comunidades de Castilla-La Mancha (Spain)(Junta de Comunidades de Castilla-La Mancha)</t>
  </si>
  <si>
    <t>The onboard observer program in commercial longline vessels was supported by different projects from the IEO based on Malaga. Moreover, this study was partially funded by the project CGL2009-11316 (Ministerio de Ciencia e Innovacion, Spain, and FEDER), GPM-4 programs (IEO) and PNDB (EU-IEO). We are grateful to the skippers and fishermen for providing the data from the boats. We would like to thank Dr. Maite Louzao Arsuaga and Dr. Alejandro Martinez Abrain their helpful comments. Dr. A. Estrada has a postdoctoral contract jointly financed by the European Social Fund and by the Junta de Comunidades de Castilla-La Mancha (Spain), in the framework of the Operational Programme FSE 2007-2013.</t>
  </si>
  <si>
    <t>SOC ESPANOLA ORNITOLGIA</t>
  </si>
  <si>
    <t>MELQUIADAS BIENCINTO 34, E-28053 MADRID, SPAIN</t>
  </si>
  <si>
    <t>0570-7358</t>
  </si>
  <si>
    <t>2341-0825</t>
  </si>
  <si>
    <t>ARDEOLA</t>
  </si>
  <si>
    <t>855LR</t>
  </si>
  <si>
    <t>WOS:000297566400006</t>
  </si>
  <si>
    <t>Wiley, DN; Thompson, M; Pace, RM; Levenson, J</t>
  </si>
  <si>
    <t>Wiley, David N.; Thompson, Michael; Pace, Richard M., III; Levenson, Jake</t>
  </si>
  <si>
    <t>Endangered whale; Ship strike; Lethal risk reduction; Speed restriction; Stellwagen Bank National Marine Sanctuary; Marine reserve</t>
  </si>
  <si>
    <t>ATLANTIC RIGHT WHALES; RISK; PROBABILITY; HUMPBACK; FIN</t>
  </si>
  <si>
    <t>Collision with ships is a significant cause of mortality among endangered whales. Collision lethality increases with vessel speed and mitigation includes slowing ships in whale dense areas. The 2181 km(2) Stellwagen Bank National Marine Sanctuary (SBNMS) is a site of numerous whale/ship collisions. To understand how speed reduction measures reduce lethal collisions, we used GIS to apply hypothetical speed reductions to observed ship traffic within SBNMS. During 2006, we collected complete AIS data from SBNMS vessel traffic. We created 1.85 km(2) (N = 810) grid cells covering SBNMS and determined each cell's predicted probability of lethality (PLETH) from the cell's mean speed and a mortality curve. We calculated average PLETH for the entire sanctuary (SPLETH), and used SPLETH to index status quo risk. We applied speed limits of 16, 14, 12, and 10 knots on transits and recalculated SPLETH for each scenario. Our analysis included 2,079,867 AIS points to derive 74,638 cell transits by 502 ships (&gt;295 t). Sanctuary mean ship speed, by cell transit, was 13.5 knots (SD4.3, range 0.1-42.2). The choice of speed restriction had a major impact on SPLETH: 16 knots = -3.7%, 14 knots -11%, 12 knots = -29.4%, 10 knots = -56.7%. The conservation benefit of speed restrictions is influenced by the status quo speed of ships from which risk must be reduced. As most areas lack such data our results can provide managers with a better understanding of how speed restrictions might reduce risk in their waters. Published by Elsevier Ltd.</t>
  </si>
  <si>
    <t>[Wiley, David N.; Thompson, Michael] US Natl Ocean &amp; Atmospher Adm, Off Natl Marine Sanctuaries, Stellwagen Bank Natl Marine Sanctuary, Scituate, MA 02066 USA; [Pace, Richard M., III] Natl Marine Fisheries Serv, US Natl Ocean &amp; Atmospher Adm, NE Fisheries Sci Ctr, Woods Hole, MA 02543 USA; [Levenson, Jake] Int Fund Anim Welf, Yarmouth Port, MA 02675 USA</t>
  </si>
  <si>
    <t>National Oceanic Atmospheric Admin (NOAA) - USA; National Oceanic Atmospheric Admin (NOAA) - USA</t>
  </si>
  <si>
    <t>Wiley, DN (corresponding author), US Natl Ocean &amp; Atmospher Adm, Off Natl Marine Sanctuaries, Stellwagen Bank Natl Marine Sanctuary, 175 Edward Foster Rd, Scituate, MA 02066 USA.</t>
  </si>
  <si>
    <t>David.Wiley@noaa.gov; Michael.A.Thompson@-noaa.gov; Richard.Pace@noaa.gov; jlevenson@ifaw.org</t>
  </si>
  <si>
    <t>, Michael A Thompson/0009-0003-8487-3000; Wiley, David/0000-0001-5490-8645</t>
  </si>
  <si>
    <t>NOAA's Office of National Marine Sanctuaries and National Marine Fisheries Service/Northeast Regional Office</t>
  </si>
  <si>
    <t>We thank Craig MacDonald and Patrick Ramage for support. Funding was provided by the International Fund for Animal Welfare, NOAA's Office of National Marine Sanctuaries and National Marine Fisheries Service/Northeast Regional Office.</t>
  </si>
  <si>
    <t>10.1016/j.biocon.2011.05.007</t>
  </si>
  <si>
    <t>809DB</t>
  </si>
  <si>
    <t>WOS:000294030900030</t>
  </si>
  <si>
    <t>Guerrini, F; Mari, L; Casagrandi, R</t>
  </si>
  <si>
    <t>Guerrini, Federica; Mari, Lorenzo; Casagrandi, Renato</t>
  </si>
  <si>
    <t>plastic pollution; oceanographic modeling; Mediterranean Sea; risk assessment; marine biota; microplastics</t>
  </si>
  <si>
    <t>SEA; DEBRIS; ACCUMULATION; TRANSPORT; MICROPLASTICS; TRAJECTORIES; BIODIVERSITY; CIRCULATION; TRACKING; HABITAT</t>
  </si>
  <si>
    <t>Several anthropogenic stressors threaten the Mediterranean basin, which is currently regarded as one of the most impacted marine ecoregions globally. Among those stressors, marine plastic litter is causing increasing concern about its environmental and biological consequences, the latter being largely unknown. To improve the understanding of these aspects, here we provide a mapped indicator of the risk of plastic ingestion by the fin whale Balaenoptera physalus, an endangered cetacean whose feeding grounds are located within the Pelagos Sanctuary for Mediterranean Marine Mammals, in the north-western Mediterranean Sea. We analyse a decade (2000-2010) of advection patterns of marine plastic litter, modeled as Lagrangian particles and released from the three major sources: untreated waste along coasts, plastic discharged from rivers and along maritime shipping routes. Risk of exposure to microplastics via food ingestion for fin whales is then evaluated by interlacing the plastic litter distribution obtained via particle tracking with maps of habitat suitability based on bathymetry and satellite-derived estimates of chlorophyll-a. Our modeling results locate the highest risk values in the Central Ligurian Sea, and show that all the three main sources of plastic litter taken into account clearly contribute to impacting cetaceans in the Sanctuary, yet with spatial and interannual variability of patterns. The procedure formalized with our approach can be extended to assess the risk caused by ingestion of plastics by other taxa and/or in other MPAs, as we suggest by providing an application on the whole ecosystem of Pelagos, thus informing targeted actions to tackle the complex issue of marine litter.</t>
  </si>
  <si>
    <t>[Guerrini, Federica; Mari, Lorenzo; Casagrandi, Renato] Politecn Milan, DEIB, Milan, Italy</t>
  </si>
  <si>
    <t>Polytechnic University of Milan</t>
  </si>
  <si>
    <t>Guerrini, F; Casagrandi, R (corresponding author), Politecn Milan, DEIB, Milan, Italy.</t>
  </si>
  <si>
    <t>federica.guerrini@polimi.it; renato.casagrandi@polimi.it</t>
  </si>
  <si>
    <t>; Casagrandi, Renato/L-3985-2013; Marini, Lorenzo/B-1119-2009</t>
  </si>
  <si>
    <t>GUERRINI, FEDERICA/0000-0003-1449-1587; Casagrandi, Renato/0000-0001-5177-803X;</t>
  </si>
  <si>
    <t>H2020 project ECOPOTENTIAL: Improving future ecosystem benefits through Earth observations [641762]</t>
  </si>
  <si>
    <t>H2020 project ECOPOTENTIAL: Improving future ecosystem benefits through Earth observations</t>
  </si>
  <si>
    <t>This study received funding from the H2020 project ECOPOTENTIAL: Improving future ecosystem benefits through Earth observations (grant agreement No. 641762, http://www.ecopotential-project.eu).</t>
  </si>
  <si>
    <t>JUN 6</t>
  </si>
  <si>
    <t>10.3389/fmars.2019.00299</t>
  </si>
  <si>
    <t>IC2LC</t>
  </si>
  <si>
    <t>WOS:000470790300002</t>
  </si>
  <si>
    <t>Briscoe, DK; Hiatt, S; Lewison, R; Hines, E</t>
  </si>
  <si>
    <t>Briscoe, Dana K.; Hiatt, Seth; Lewison, Rebecca; Hines, Ellen</t>
  </si>
  <si>
    <t>SPECIES DISTRIBUTIONS; SEAGRASS DISTRIBUTION; FISHERIES BYCATCH; MARINE MAMMALS; DIEL CYCLES; CONSERVATION; PREDICTION; MANAGEMENT; IMPACTS; MULLER</t>
  </si>
  <si>
    <t>Bycatch of marine megafauna in fishing gear is a problem with global implications. Bycatch rates can be difficult to quantify, especially in countries where there are limited data on the abundance and distribution of coastal marine mammals, the distribution and intensity of fishing effort, and coincident interactions, and limited bycatch mitigation strategies. The dugong Dugong dugon is an IUCN-listed Vulnerable species found from the eastern coast of Africa to the western Pacific. As foragers of seagrass, they are highly susceptible to bycatch in small-scale fisheries. To address the knowledge gaps surrounding marine mammal bycatch, we used existing survey and fishing effort data to spatially characterize the risk of bycatch for this species. Using Sabah, Malaysia, as a case study, we employed presence-only modeling techniques to identify habitat associations of dugongs using a maximum entropy distribution model (MaxEnt) based on published sightings data and several geophysical parameters: coastal distance, depth, insolation, and topographic openness. Model outputs showed distance from the coast as the highest-contributing variable to the probability of dugong presence. Results were combined with previously published fishing effort maps of this area to develop a predictive bycatch risk surface. Our analyses identified several areas of high risk where dugong surveys were conducted, but also identified high-risk areas in previously unsurveyed locations. Such methods can be used to direct field activities and data collection efforts and provide a robust template for how existing sightings and fishing effort data can be used to facilitate conservation action in data-limited regions.</t>
  </si>
  <si>
    <t>Briscoe, DK (corresponding author), Stanford Univ, Hopkins Marine Stn, 120 Ocean View Blvd, Pacific Grove, CA 93950 USA.</t>
  </si>
  <si>
    <t>dbriscoe@stanford.edu</t>
  </si>
  <si>
    <t>U168</t>
  </si>
  <si>
    <t>10.3354/esr00600</t>
  </si>
  <si>
    <t>AJ8QZ</t>
  </si>
  <si>
    <t>WOS:000337973100005</t>
  </si>
  <si>
    <t>Tracy, JL; Kantola, T; Baum, KA; Coulson, RN</t>
  </si>
  <si>
    <t>Tracy, James L.; Kantola, Tuula; Baum, Kristen A.; Coulson, Robert N.</t>
  </si>
  <si>
    <t>Citizen science; Ecolologicalniche models; KDE models; Migratory threats; Mitigation conservation; Pollinators</t>
  </si>
  <si>
    <t>RISK-ASSESSMENT; ROAD MORTALITY; R-PACKAGE; INSECTICIDES; PERMETHRIN; EXPOSURE; IMPACTS; TRENDS</t>
  </si>
  <si>
    <t>ContextIdentifying core migratory pathways and associated threats is important for developing conservation priorities for declining migratory species, such as eastern monarch butterflies (Danaus plexippus L.).ObjectivesCharacterization of monarch fall migration core pathways and annual variability was compared using kernel density estimation models (KDEMs) and MaxEnt ecological niche models. Potential anthropogenic hazards were identified across migratory pathways and related to conservation strategies.MethodsJourney North citizen scientist monarch overnight roost data from 2002 to 2016 were used to model the fall migration at 10km spatial resolution with MaxEnt and KDEMs. Potential anthropogenic threats to the fall migration were spatially identified along core migratory routes.ResultsThe KDEM migratory pathways best represented patterns of monarch movement towards overwintering locations. Migratory routes varied as much as 200km from east to west in the southern Central Flyway, which was also the only area identified with monarch roadkill hotspots. Potential threats from mosquito adulticide ultra-low volume (ULV) spraying were concentrated along Eastern Flyway coastal areas. Potential nectar resource loss or contamination from high usage of glyphosate herbicide and neonicotinoid insecticides was greatest in the Midwest, within the core route of the Central Flyway.ConclusionsMaxEnt and KDEM were complementary in modeling monarch migratory pathways. Monarch roadkill estimation and mitigation strategies are most needed in the southern core migratory pathways through Texas and Mexico. High quality nectar resourceenhancement could help to mitigate potential threats from mosquito ULV spraying and nectar resource loss or contamination in coastal areas and the Midwest, respectively.</t>
  </si>
  <si>
    <t>[Tracy, James L.; Coulson, Robert N.] Texas A&amp;M Univ, Dept Entomol, Knowledge Engn Lab, College Stn, TX 77843 USA; [Kantola, Tuula] Univ Helsinki, Dept Forest Sci, POB 27, FI-00014 Helsinki, Finland; [Baum, Kristen A.] Oklahoma State Univ, Dept Integrat Biol, 501 Life Sci West, Stillwater, OK 74078 USA</t>
  </si>
  <si>
    <t>Texas A&amp;M University System; Texas A&amp;M University College Station; University of Helsinki; Oklahoma State University System; Oklahoma State University - Stillwater</t>
  </si>
  <si>
    <t>Tracy, JL (corresponding author), Texas A&amp;M Univ, Dept Entomol, Knowledge Engn Lab, College Stn, TX 77843 USA.</t>
  </si>
  <si>
    <t>jamesltracy@tamu.edu</t>
  </si>
  <si>
    <t>Tracy, James/KLY-3062-2024</t>
  </si>
  <si>
    <t>Tracy, James/0000-0002-9281-2692; Baum, Kristen/0000-0002-7570-6097; Kantola, Tuula/0000-0002-1683-016X</t>
  </si>
  <si>
    <t>Texas Comptroller of Public Accounts, Economic Growth and Endangered Species Management Division [16-5979]; Annenberg Foundation</t>
  </si>
  <si>
    <t>Texas Comptroller of Public Accounts, Economic Growth and Endangered Species Management Division; Annenberg Foundation</t>
  </si>
  <si>
    <t>We are grateful to the Elizabeth Howard and the citizen science volunteers of Journey North for contributing 15 years of monarch overnight roosting data critical for our analyses. Support for Journey North is provided by the Annenberg Foundation. We are also thankful to Elizabeth Howard for comments on an early draft of this manuscript. This research was funded by support from the Texas Comptroller of Public Accounts, Economic Growth and Endangered Species Management Division, Interagency Contract No. 16-5979.</t>
  </si>
  <si>
    <t>10.1007/s10980-019-00776-0</t>
  </si>
  <si>
    <t>HP9MY</t>
  </si>
  <si>
    <t>WOS:000462018500015</t>
  </si>
  <si>
    <t>Vacchiano, G; Foderi, C; Berretti, R; Marchi, E; Motta, R</t>
  </si>
  <si>
    <t>Vacchiano, Giorgio; Foderi, Cristiano; Berretti, Roberta; Marchi, Enrico; Motta, Renzo</t>
  </si>
  <si>
    <t>NATURAL HAZARDS AND EARTH SYSTEM SCIENCES</t>
  </si>
  <si>
    <t>SPATIAL-PATTERNS; FOREST-FIRES; CLIMATE-CHANGE; HUMAN IMPACTS; SCOTS PINE; WILDFIRE; REGION; RISK; DISTURBANCE; CONSERVATION</t>
  </si>
  <si>
    <t>Modeling and assessing the factors that drive forest fire ignitions is critical for fire prevention and sustainable ecosystem management. In southern Europe, the anthropogenic component of wildland fire ignitions is especially relevant. In the Alps, however, the role of fire as a component of disturbance regimes in forest and grassland ecosystems is poorly known. The aim of this work is to model the probability of fire ignition for an Alpine region in Italy using a regional wildfire archive (1995-2009) and MaxEnt modeling. We analyzed separately (i) winter forest fires, (ii) winter fires on grasslands and fallow land, and (iii) summer fires. Predictors were related to morphology, climate, and land use; distance from infrastructures, number of farms, and number of grazing animals were used as proxies for the anthropogenic component. Collinearity among predictors was reduced by a principal component analysis. Regarding ignitions, 30% occurred in agricultural areas and 24% in forests. Ignitions peaked in the late winter-early spring. Negligence from agrosilvicultural activities was the main cause of ignition (64 %); lightning accounted for 9% of causes across the study time frame, but increased from 6 to 10% between the first and second period of analysis. Models for all groups of fire had a high goodness of fit (AUC 0.90-0.95). Temperature was proportional to the probability of ignition, and precipitation was inversely proportional. Proximity from infrastructures had an effect only on winter fires, while the density of grazing animals had a remarkably different effect on summer (positive correlation) and winter (negative) fires. Implications are discussed regarding climate change, fire regime changes, and silvicultural prevention. Such a spatially explicit approach allows us to carry out spatially targeted fire management strategies and may assist in developing better fire management plans.</t>
  </si>
  <si>
    <t>[Vacchiano, Giorgio] Univ Milan, Dipartimento Sci Agr &amp; Ambientali, I-20123 Milan, Italy; [Foderi, Cristiano; Marchi, Enrico] Univ Florence, Dipartimento Gest Sistemi Agr, Alimentari &amp; Forestali, I-50145 Florence, Italy; [Berretti, Roberta; Motta, Renzo] Univ Torino, Dipartimento Sci Agr Forestali &amp; Alimentari, I-10095 Grugliasco, TO, Italy</t>
  </si>
  <si>
    <t>University of Milan; University of Florence; University of Turin</t>
  </si>
  <si>
    <t>Vacchiano, G (corresponding author), Univ Milan, Dipartimento Sci Agr &amp; Ambientali, I-20123 Milan, Italy.</t>
  </si>
  <si>
    <t>gvacchiano@gmail.com</t>
  </si>
  <si>
    <t>Foderi, Cristiano/ACF-4751-2022; Motta, Renzo/B-5542-2008; Vacchiano, Giorgio/H-3645-2019; Marchi, Enrico/N-1110-2019</t>
  </si>
  <si>
    <t>Foderi, Cristiano/0000-0002-5474-5433; Vacchiano, Giorgio/0000-0001-8100-0659;</t>
  </si>
  <si>
    <t>COPERNICUS GESELLSCHAFT MBH</t>
  </si>
  <si>
    <t>GOTTINGEN</t>
  </si>
  <si>
    <t>BAHNHOFSALLEE 1E, GOTTINGEN, 37081, GERMANY</t>
  </si>
  <si>
    <t>1561-8633</t>
  </si>
  <si>
    <t>NAT HAZARD EARTH SYS</t>
  </si>
  <si>
    <t>Nat. Hazards Earth Syst. Sci.</t>
  </si>
  <si>
    <t>MAR 23</t>
  </si>
  <si>
    <t>10.5194/nhess-18-935-2018</t>
  </si>
  <si>
    <t>Geosciences, Multidisciplinary; Meteorology &amp; Atmospheric Sciences; Water Resources</t>
  </si>
  <si>
    <t>Geology; Meteorology &amp; Atmospheric Sciences; Water Resources</t>
  </si>
  <si>
    <t>GA6YM</t>
  </si>
  <si>
    <t>WOS:000428480600002</t>
  </si>
  <si>
    <t>Zingraff-Hamed, A; Noack, M; Greulich, S; Schwarzwälder, K; Wantzen, KM; Pauleit, S</t>
  </si>
  <si>
    <t>Zingraff-Hamed, Aude; Noack, Markus; Greulich, Sabine; Schwarzwaelder, Kordula; Wantzen, Karl Matthias; Pauleit, Stephan</t>
  </si>
  <si>
    <t>Model-Based Evaluation of Urban River Restoration: Conflicts between Sensitive Fish Species and Recreational Users</t>
  </si>
  <si>
    <t>conflict management; habitat modeling; river culture; socioecological system; urban case study</t>
  </si>
  <si>
    <t>CHONDROSTOMA-NASUS; BIRD COMMUNITIES; HABITAT; MANAGEMENT; BEAUTIES; STREAMS; DANUBE; IMPACT; DISTURBANCE; INDICATORS</t>
  </si>
  <si>
    <t>Urban rivers are socioecological systems, and restored habitats may be attractive to both sensitive species and recreationists. Understanding the potential conflicts between ecological and recreational values is a critical issue for the development of a sustainable river-management plan. Habitat models are very promising tools for the ecological evaluation of river restoration projects that are already concluded, ongoing, or even to be planned. With our paper, we make a first attempt at integrating recreational user pressure into habitat modeling. The objective of this study was to analyze whether human impact is likely to hinder the re-establishment of a target species despite the successful restoration of physical habitat structures in the case of the restoration of the Isar River in Munich (Germany) and the target fish species Chondostroma nasus L. Our analysis combined high-resolution 2D hydrodynamic modeling with mapping of recreational pressure and used an expert-based procedure for modeling habitat suitability. The results are twofold: (1) the restored river contains suitable physical habitats for population conservation but has low suitability for recruitment; (2) densely used areas match highly suitable habitats for C. nasus. In the future, the integrated modeling procedure presented here may allow ecological refuge for sensitive target species to be included in the design of restoration and may help in the development of visitor-management plans to safeguard biodiversity and recreational ecosystem services.</t>
  </si>
  <si>
    <t>[Zingraff-Hamed, Aude; Greulich, Sabine; Wantzen, Karl Matthias] Univ Tours, Interdisciplinary Res Ctr Cities Terr Environm &amp;, UMR CNRS CITERES 7324, 33 Allee Ferdinand de Lesseps, F-37000 Tours, France; [Zingraff-Hamed, Aude; Pauleit, Stephan] Tech Univ Munich, Strateg Landscape Planning &amp; Management, Ctr Life &amp; Food Sci Weihenstephan, Emil Ramann Str 6, D-85354 Freising Weihenstephan, Germany; [Noack, Markus] Univ Stuttgart, Inst Modelling Hydraul &amp; Environm Syst, Pfaffenwaldring 61, D-70569 Stuttgart, Germany; [Schwarzwaelder, Kordula] Tech Univ Munich, Hydraul &amp; Water Resources Engn, Arcisstr 21, D-80333 Munich, Germany; [Schwarzwaelder, Kordula] Norwegian Univ Sci &amp; Technol, Dept Civil &amp; Environm Engn, Hgsk Ringen 7a, N-7491 Trondheim, Norway; [Wantzen, Karl Matthias] Univ Tours, Appl Aquat Ecol, 33 Allee Ferdinand de Lesseps, F-37000 Tours, France; [Wantzen, Karl Matthias] Univ Tours, UNESCO Chair River Culture Fleuves &amp; Patrimoine, CNRS UMR CITERES, 33 Allee Ferdinand de Lesseps, F-37000 Tours, France</t>
  </si>
  <si>
    <t>Universite de Tours; Technical University of Munich; University of Stuttgart; Technical University of Munich; Norwegian University of Science &amp; Technology (NTNU); Universite de Tours; Universite de Tours</t>
  </si>
  <si>
    <t>Zingraff-Hamed, A (corresponding author), Univ Tours, Interdisciplinary Res Ctr Cities Terr Environm &amp;, UMR CNRS CITERES 7324, 33 Allee Ferdinand de Lesseps, F-37000 Tours, France.;Zingraff-Hamed, A (corresponding author), Tech Univ Munich, Strateg Landscape Planning &amp; Management, Ctr Life &amp; Food Sci Weihenstephan, Emil Ramann Str 6, D-85354 Freising Weihenstephan, Germany.</t>
  </si>
  <si>
    <t>aude.zingraff-hamed@tum.de; Markus.Noack@iws.uni-stuttgart.de; greulich@univ-tours.fr; kordula.schwarzwaelder@tum.de; karl.wantzen@univ-tours.fr; pauleit@wzw.tum.de</t>
  </si>
  <si>
    <t>Wantzen, Karl M/A-5954-2015; Noack, Markus/J-5911-2014; Greulich, Sabine/AAA-7237-2019; Pauleit, Stephan/ISV-4685-2023</t>
  </si>
  <si>
    <t>Wantzen, Karl M/0000-0002-2192-1883; Zingraff-Hamed, Aude/0000-0001-7602-7830; Noack, Markus/0000-0002-3625-0357; Greulich, Sabine/0000-0001-5678-6944; Pauleit, Stephan/0000-0002-0056-6720</t>
  </si>
  <si>
    <t>French Ministry of Research</t>
  </si>
  <si>
    <t>French Ministry of Research(Ministry of Higher Education, Research &amp; Innovation (MESRI))</t>
  </si>
  <si>
    <t>This research was funded by French Ministry of Research.</t>
  </si>
  <si>
    <t>10.3390/su10061747</t>
  </si>
  <si>
    <t>GK9LE</t>
  </si>
  <si>
    <t>WOS:000436570100059</t>
  </si>
  <si>
    <t>Nituch, LA; Bowman, J; Beauclerc, KB; Schulte-Hostedde, AI</t>
  </si>
  <si>
    <t>Nituch, Larissa A.; Bowman, Jeff; Beauclerc, Kaela B.; Schulte-Hostedde, Albrecht I.</t>
  </si>
  <si>
    <t>Mink Farms Predict Aleutian Disease Exposure in Wild American Mink</t>
  </si>
  <si>
    <t>MUSTELA-VISON; PARVOVIRUS; ANTIBODIES; CARNIVORES; IMPACTS; VIRUS</t>
  </si>
  <si>
    <t>Background: Infectious diseases can often be of conservation importance for wildlife. Spillover, when infectious disease is transmitted from a reservoir population to sympatric wildlife, is a particular threat. American mink (Neovison vison) populations across Canada appear to be declining, but factors thus far explored have not fully explained this population trend. Recent research has shown, however, that domestic mink are escaping from mink farms and hybridizing with wild mink. Domestic mink may also be spreading Aleutian disease (AD), a highly pathogenic parvovirus prevalent in mink farms, to wild mink populations. AD could reduce fitness in wild mink by reducing both the productivity of adult females and survivorship of juveniles and adults. Methods: To assess the seroprevalence and geographic distribution of AD infection in free-ranging mink in relation to the presence of mink farms, we conducted both a large-scale serological survey, across the province of Ontario, and a smaller-scale survey, at the interface between a mink farm and wild mink. Conclusions/Significance: Antibodies to AD were detected in 29% of mink (60 of 208 mink sampled); however, seroprevalence was significantly higher in areas closer to mink farms than in areas farther from farms, at both large and small spatial scales. Our results indicate that mink farms act as sources of AD transmission to the wild. As such, it is likely that wild mink across North America may be experiencing increased exposure to AD, via disease transmission from mink farms, which may be affecting wild mink demographics across their range. In light of declining mink populations, high AD seroprevalence within some mink farms, and the large number of mink farms situated across North America, improved biosecurity measures on farms are warranted to prevent continued disease transmission at the interface between mink farms and wild mink populations.</t>
  </si>
  <si>
    <t>[Nituch, Larissa A.; Bowman, Jeff] Trent Univ, Ontario Minist Nat Resources, Peterborough, ON K9J 7B8, Canada; [Beauclerc, Kaela B.; Schulte-Hostedde, Albrecht I.] Laurentian Univ, Dept Biol, Sudbury, ON P3E 2C6, Canada</t>
  </si>
  <si>
    <t>Trent University; Ministry of Natural Resources &amp; Forestry; Laurentian University</t>
  </si>
  <si>
    <t>Nituch, LA (corresponding author), Trent Univ, Ontario Minist Nat Resources, DNA Bldg, Peterborough, ON K9J 7B8, Canada.</t>
  </si>
  <si>
    <t>larissanituch@trentu.ca</t>
  </si>
  <si>
    <t>Schulte-Hostedde, Albrecht/C-2007-2009; Bowman, Jeff/B-4147-2009</t>
  </si>
  <si>
    <t>Schulte-Hostedde, Albrecht/0000-0001-7263-4764; Bowman, Jeff/0000-0002-1892-4469</t>
  </si>
  <si>
    <t>Natural Sciences and Engineering Research Council of Canada; Wildlife Research and Development Section of the Ontario Ministry of Natural Resources</t>
  </si>
  <si>
    <t>Natural Sciences and Engineering Research Council of Canada(Natural Sciences and Engineering Research Council of Canada (NSERC)CGIAR); Wildlife Research and Development Section of the Ontario Ministry of Natural Resources</t>
  </si>
  <si>
    <t>Support for this research was provided by the Natural Sciences and Engineering Research Council of Canada (www.nserc.ca), the Wildlife Research and Development Section of the Ontario Ministry of Natural Resources (http://www.mnr.gov.on.ca/en/Business/Wildlife). The funders had no role in study design, data collection and analysis, decision to publish, or preparation of the manuscript.</t>
  </si>
  <si>
    <t>JUL 18</t>
  </si>
  <si>
    <t>e21693</t>
  </si>
  <si>
    <t>10.1371/journal.pone.0021693</t>
  </si>
  <si>
    <t>793HY</t>
  </si>
  <si>
    <t>WOS:000292812400013</t>
  </si>
  <si>
    <t>Haywood, MDE; Dennis, D; Thomson, DP; Pillans, RD</t>
  </si>
  <si>
    <t>Haywood, M. D. E.; Dennis, D.; Thomson, D. P.; Pillans, R. D.</t>
  </si>
  <si>
    <t>MARINE ENVIRONMENTAL RESEARCH</t>
  </si>
  <si>
    <t>Turbidity; Sedimentation; Coral; Coral reef decline; Papua New Guinea</t>
  </si>
  <si>
    <t>GREAT-BARRIER-REEF; WATER-QUALITY; SEDIMENT ACCUMULATION; SCLERACTINIAN CORALS; SUSPENDED SEDIMENTS; ACROPORA-MILLEPORA; LIHIR ISLAND; WEST MAUI; TURBIDITY; COMMUNITY</t>
  </si>
  <si>
    <t>A large gold mine has been operating at the Lihir Island Group, Papua New Guinea since 1997. The mine disposes of waste rock in nearshore waters, impacting nearby coral communities. During 2010, 2012 we conducted photographic surveys at 73 sites within 40 km of the mine to document impacts of mining operations on the hard coral communities. Coral communities close to the mine (similar to 2 km to the north and south of the mine) were depaurperate, but surprisingly, coral cover and community composition beyond this range appeared to be relatively similar, suggesting that the mine impacts were limited spatially. In particular, we found mining operations have resulted in a significant decrease in coral cover (4.4% 1.48 km from the disposal site c.f. 66.9% 10.36 km from the disposal site), decreased species richness and a predominance of less complex growth forms within similar to 2 km to the north and south of the mine waste disposal site. In contrast to the two 'snapshot' surveys of corals performed in 2010 and 2012, long term data (1999-2012) based on visual estimates of coral cover suggested that impacts on coral communities may have been more extensive than this. With global pressures on the world's coral reefs increasing, it is vital that local, direct anthropogenic pressures are reduced, in order to help offset the impacts of climate change, disease and predation. Crown Copyright (C) 2016 Published by Elsevier Ltd. All rights reserved.</t>
  </si>
  <si>
    <t>[Haywood, M. D. E.; Dennis, D.; Pillans, R. D.] CSIRO Oceans &amp; Atmosphere, Queensland Biosci Precinct, 306 Carmody Rd, St Lucia, Qld 4067, Australia; [Thomson, D. P.] CSIRO Oceans &amp; Atmosphere, 147 Underwood Ave, Floreat, WA 6014, Australia</t>
  </si>
  <si>
    <t>Commonwealth Scientific &amp; Industrial Research Organisation (CSIRO); Commonwealth Scientific &amp; Industrial Research Organisation (CSIRO)</t>
  </si>
  <si>
    <t>Haywood, MDE (corresponding author), CSIRO Oceans &amp; Atmosphere, Queensland Biosci Precinct, 306 Carmody Rd, St Lucia, Qld 4067, Australia.</t>
  </si>
  <si>
    <t>mick.haywood@csiro.au</t>
  </si>
  <si>
    <t>; Haywood, Michael/D-4652-2013; Thomson, Damian/C-3047-2014; Pillans, Richard/F-2458-2012</t>
  </si>
  <si>
    <t>Pillans, Richard/0000-0001-6234-8764; Haywood, Michael/0000-0003-2119-4855; Thoon, Damian/0000-0001-5485-1562</t>
  </si>
  <si>
    <t>CSIRO Wealth from Oceans Flagship; Newcrest Mining Limited</t>
  </si>
  <si>
    <t>CSIRO Wealth from Oceans Flagship(Commonwealth Scientific &amp; Industrial Research Organisation (CSIRO)); Newcrest Mining Limited</t>
  </si>
  <si>
    <t>We would like to thank the CSIRO Wealth from Oceans Flagship and Newcrest Mining Limited for providing funding for this study and Newcrest mining for providing the sediment trap data, accommodation and vessel time during our time on Niolam. We would particularly like to acknowledge the support of Andrew Reid, Chris Sigere, Serpico Liliome, Luke Soroman and Robin Togilar. Many thanks to Russ Babcock, Anthony Richardson, Emily Darling, Evan Edinger and two anonymous reviewers for providing constructive comments that helped to improve the manuscript.</t>
  </si>
  <si>
    <t>0141-1136</t>
  </si>
  <si>
    <t>1879-0291</t>
  </si>
  <si>
    <t>MAR ENVIRON RES</t>
  </si>
  <si>
    <t>Mar. Environ. Res.</t>
  </si>
  <si>
    <t>10.1016/j.marenvres.2016.02.003</t>
  </si>
  <si>
    <t>Environmental Sciences; Marine &amp; Freshwater Biology; Toxicology</t>
  </si>
  <si>
    <t>Environmental Sciences &amp; Ecology; Marine &amp; Freshwater Biology; Toxicology</t>
  </si>
  <si>
    <t>DH1PN</t>
  </si>
  <si>
    <t>WOS:000372557500005</t>
  </si>
  <si>
    <t>Hart, KM; Lamont, MM; Sartain, AR; Fujisaki, I</t>
  </si>
  <si>
    <t>Hart, Kristen M.; Lamont, Margaret M.; Sartain, Autumn R.; Fujisaki, Ikuko</t>
  </si>
  <si>
    <t>Migration, Foraging, and Residency Patterns for Northern Gulf Loggerheads: Implications of Local Threats and International Movements</t>
  </si>
  <si>
    <t>TURTLES CARETTA-CARETTA; STATE-SPACE MODELS; SEA-TURTLES; OF-MEXICO; SATELLITE-TRACKING; HOME-RANGE; POPULATION-MODEL; GREEN TURTLES; FIDELITY; BEHAVIOR</t>
  </si>
  <si>
    <t>Northern Gulf of Mexico (NGoM) loggerheads (Caretta caretta) make up one of the smallest subpopulations of this threatened species and have declining nest numbers. We used satellite telemetry and a switching state-space model to identify distinct foraging areas used by 59 NGoM loggerheads tagged during 2010-2013. We tagged turtles after nesting at three sites, 1 in Alabama (Gulf Shores; n = 37) and 2 in Florida (St. Joseph Peninsula; n = 20 and Eglin Air Force Base; n = 2). Peak migration time was 22 July to 9 August during which &gt;40% of turtles were in migration mode; the mean post-nesting migration period was 23.0 d (+/- 13.8 d SD). After displacement from nesting beaches, 44 turtles traveled to foraging sites where they remained resident throughout tracking durations. Selected foraging locations were variable distances from tagging sites, and in 5 geographic regions; no turtles selected foraging sites outside the Gulf of Mexico (GoM). Foraging sites delineated using 50% kernel density estimation were located a mean distance of 47.6 km from land and in water with mean depth of -32.5 m; other foraging sites, delineated using minimum convex polygons, were located a mean distance of 43.0 km from land and in water with a mean depth of -24.9 m. Foraging sites overlapped with known trawling activities, oil and gas extraction activities, and the footprint of surface oiling during the 2010 Deepwater Horizon oil spill (n = 10). Our results highlight the year-round use of habitats in the GoM by loggerheads that nest in the NGoM. Our findings indicate that protection of females in this subpopulation requires both international collaborations and management of threats that spatially overlap with distinct foraging habitats.</t>
  </si>
  <si>
    <t>[Hart, Kristen M.] US Geol Survey, Southeast Ecol Sci Ctr, Ft Lauderdale, FL 33314 USA; [Lamont, Margaret M.] US Geol Survey, Southeast Ecol Sci Ctr, Gainesville, FL USA; [Sartain, Autumn R.] Cherokee Nat Technol Solut LLC, Sci R&amp;D, US Geol Survey, Southeast Ecol Sci Ctr, Davie, FL USA; [Fujisaki, Ikuko] Univ Florida, Ft Lauderdale Res &amp; Educ Ctr, Davie, FL USA</t>
  </si>
  <si>
    <t>United States Department of the Interior; United States Geological Survey; United States Department of the Interior; United States Geological Survey; United States Department of the Interior; United States Geological Survey; State University System of Florida; University of Florida</t>
  </si>
  <si>
    <t>Hart, KM (corresponding author), US Geol Survey, Southeast Ecol Sci Ctr, Ft Lauderdale, FL 33314 USA.</t>
  </si>
  <si>
    <t>kristen_hart@usgs.gov</t>
  </si>
  <si>
    <t>Iverson, Autumn/0000-0002-8353-6745</t>
  </si>
  <si>
    <t>KMH by the Natural Resource Damage Assessment (NRDA); U.S. Geological Survey Priority Ecosystem Science (PES) Program</t>
  </si>
  <si>
    <t>Funding was provided to KMH by the Natural Resource Damage Assessment (NRDA) and the U.S. Geological Survey Priority Ecosystem Science (PES) Program. The funders had no role in study design, data collection and analysis, decision to publish, or preparation of the manuscript.</t>
  </si>
  <si>
    <t>e103453</t>
  </si>
  <si>
    <t>10.1371/journal.pone.0103453</t>
  </si>
  <si>
    <t>AM7EZ</t>
  </si>
  <si>
    <t>WOS:000340028800047</t>
  </si>
  <si>
    <t>Bejaoui, S; Michán, C; Telahigue, K; Nechi, S; el Cafsi, M; Soudani, N; Blasco, J; Costa, PM; Alhama, J</t>
  </si>
  <si>
    <t>Bejaoui, Safa; Michan, Carmen; Telahigue, Khaoula; Nechi, Salwa; el Cafsi, Mhamed; Soudani, Nejla; Blasco, Julian; Costa, Pedro M.; Alhama, Jose</t>
  </si>
  <si>
    <t>Clams; Histopathology; Molecular biomarkers; Oxidative stress; Temperature; Trace metals; Transitional waters</t>
  </si>
  <si>
    <t>CLAM RUDITAPES-DECUSSATUS; CRASSOSTREA-VIRGINICA GMELIN; MYTILUS-GALLOPROVINCIALIS; BIOCHEMICAL BIOMARKERS; MEDITERRANEAN LAGOON; INTEGRATED APPROACH; SEASONAL-VARIATION; SEDIMENT QUALITY; CADMIUM EXPOSURE; CARCINUS-MAENAS</t>
  </si>
  <si>
    <t>Coastal transitional waters are exposed to many anthropogenic threats. This study aims to assess the trace metals' pollution status of transitional waters by evaluating its biological effects in the clam Venerupis decussata. Among the studied sites along the Tunisian littoral, South Tunis and Boughrara were the most impacted, since clams from these two lagoons presented significant differences in: (i) trace metal contents, (ii) in-cell hydrogen peroxide, (iii) enzymatic and non-enzymatic defenses, (iv) damage to lipids and proteins, and (v) protein posttranslational modifications. These changes related to evident histopathological traits. PCA showed a clear separation between the digestive gland and gills tissues and illustrated an impact gradient in Tunisian coastal lagoons. Water temperature was revealed as an added natural stressor that, when concurring with high pollution, may jeopardize an ecosystem's health and contribute to the accumulation of hazardous metals in organisms.</t>
  </si>
  <si>
    <t>[Bejaoui, Safa; Michan, Carmen; Alhama, Jose] Univ Cordoba, Dept Bioquim &amp; Biol Mol, Campus Excelencia Int Agroalimentario CeiA3, Campus Rabanales,Edificio Severo Ochoa, E-14071 Cordoba, Spain; [Bejaoui, Safa; el Cafsi, Mhamed; Soudani, Nejla] Univ Tunis El Manar, Fac Sci Tunis, Lab Ecol Biol &amp; Physiol Aquat Organisms, Biol Dept, Tunis 2092, Tunisia; [Telahigue, Khaoula; Nechi, Salwa] Univ Tunis El Manar, CHU Mohamed Taher Maamouri Hosp, Anat &amp; Cytol Serv, Tunis, Tunisia; [Blasco, Julian] CSIC, Dept Ecol &amp; Coastal Management, ICMAN, Campus Rio San Pedro, E-11510 Puerto Real, Cadiz, Spain; [Costa, Pedro M.] Univ Nova Lisboa, Dept Ciencias Vida, UCIBIO Appl Mol Biosci Unit, Fac Ciencias &amp; Tecnol, P-2829516 Caparica, Portugal</t>
  </si>
  <si>
    <t>Universidad de Cordoba; Universite de Tunis-El-Manar; Faculte des Sciences de Tunis (FST); Universite de Tunis-El-Manar; Consejo Superior de Investigaciones Cientificas (CSIC); CSIC - Instituto de Ciencias Marinas de Andalucia (ICMAN); Universidade Nova de Lisboa</t>
  </si>
  <si>
    <t>Alhama, J (corresponding author), Univ Cordoba, Dept Bioquim &amp; Biol Mol, Campus Excelencia Int Agroalimentario CeiA3, Campus Rabanales,Edificio Severo Ochoa, E-14071 Cordoba, Spain.</t>
  </si>
  <si>
    <t>bb2alcaj@uco.es</t>
  </si>
  <si>
    <t>Carmona, José/H-6379-2015; Michan, Carmen/H-6325-2015; Costa, Peo M/J-2962-2013; Blasco, Julian/A-5319-2008</t>
  </si>
  <si>
    <t>Michan, Carmen/0000-0003-2921-0987; telahigue, Khaoula/0000-0001-8841-9911; Costa, Peo M/0000-0002-9072-3522; Blasco, Julian/0000-0002-9750-383X</t>
  </si>
  <si>
    <t>Spanish Ministry of Economy and Competitiveness [CTM2016-75908-R-]; Andalusian Plan of Research, Development, and Innovation; University of Cordoba Plan Propio program (Spain) [BIO187]; Tunisian government, Ministry of Higher Education and Scientific Research, University of Tunis EL Manar, Laboratory of Ecology, Biology and Physiology of Aquatic Organisms-EBPAO (Tunisia) [LR18ES41]; Fundacao para a Ciencia e Tecnologia-FCT-MCES [IF/00265/2015]; UCIBIO, Applied Molecular Biosciences Unit (Portugal) [UID/Multi/04378/2019]</t>
  </si>
  <si>
    <t>Spanish Ministry of Economy and Competitiveness(Spanish Government); Andalusian Plan of Research, Development, and Innovation; University of Cordoba Plan Propio program (Spain); Tunisian government, Ministry of Higher Education and Scientific Research, University of Tunis EL Manar, Laboratory of Ecology, Biology and Physiology of Aquatic Organisms-EBPAO (Tunisia); Fundacao para a Ciencia e Tecnologia-FCT-MCES; UCIBIO, Applied Molecular Biosciences Unit (Portugal)</t>
  </si>
  <si>
    <t>This study was supported by the Spanish Ministry of Economy and Competitiveness -CTM2016-75908-R-, by the Andalusian Plan of Research, Development, and Innovation, and by the University of Cordoba Plan Propio program to group BIO187 (Spain). Safa Bejaoui stay in Cordoba was funded by the Tunisian government, Ministry of Higher Education and Scientific Research, University of Tunis EL Manar, Laboratory of Ecology, Biology and Physiology of Aquatic Organisms-EBPAO, LR18ES41-(Tunisia). Pedro M. Costa acknowledges Fundacao para a Ciencia e Tecnologia-FCT-MCES-for the grant IF/00265/2015 and for the support to UCIBIO, Applied Molecular Biosciences Unit -UID/Multi/04378/2019-(Portugal).</t>
  </si>
  <si>
    <t>10.1016/j.marenvres.2020.105000</t>
  </si>
  <si>
    <t>ML2UR</t>
  </si>
  <si>
    <t>WOS:000549328000021</t>
  </si>
  <si>
    <t>Tursi, A; Corbelli, V; Cipriano, G; Capasso, G; Velardo, R; Chimienti, G</t>
  </si>
  <si>
    <t>Tursi, Angelo; Corbelli, Vera; Cipriano, Giulia; Capasso, Gennaro; Velardo, Raffaele; Chimienti, Giovanni</t>
  </si>
  <si>
    <t>Marine litter; Protected species; Pinna nobilis; Taranto; Mediterranean Sea</t>
  </si>
  <si>
    <t>PLASTIC DEBRIS; PINNA-NOBILIS; SEMIENCLOSED BASIN; MORTALITY EVENT; FLOATING DEBRIS; ENVIRONMENT; POLLUTION; GROWTH</t>
  </si>
  <si>
    <t>According to the United Nations Environment Programme/Mediterranean Action Plan (UNEP/MAP), marine litter is one of the main causes of marine pollution in the Mediterranean Sea and one of the most important threats for its biodiversity. In addition, it is a critical issue with significant implications from an ecological point of view, as well as for human health and safety. The present study provides a focus concerning the mega-litter in a semi-enclosed basin, the Mar Piccolo of Taranto (Southern Italy, Ionian Sea). In this basin, characterized by a suite of anthropic impacts, a specific protocol for the mega-litter removal has been developed according to the Special Commissioner for remediation of the Site of National Interest of Taranto. The application of such protocol proved to be effective in limiting the removals' secondary effects on the biodiversity and on the environment as a whole, allowing a sustainable removal of marine mega-litter. A critical part of such protocol resulted in the translocation of species of conservation interest present on the debris, particularly considering the rich population of the pen shell Pinna nobilis thriving in the area. A total of 7107 specimens were translocated, showing low mortality percentage and high survival rates during 9 months of monitoring.</t>
  </si>
  <si>
    <t>[Tursi, Angelo; Cipriano, Giulia; Chimienti, Giovanni] Univ Bari Aldo Moro, Dept Biol, Via Orabona 4, I-70125 Bari, Italy; [Tursi, Angelo; Cipriano, Giulia; Chimienti, Giovanni] Univ Bari Aldo Moro, CoNISMa LRU, Via Orabona 4, I-70125 Bari, Italy; [Corbelli, Vera; Capasso, Gennaro; Velardo, Raffaele] Special Commissioner Urgent Intervent Remediat En, Taranto, Italy</t>
  </si>
  <si>
    <t>Universita degli Studi di Bari Aldo Moro; Universita degli Studi di Bari Aldo Moro</t>
  </si>
  <si>
    <t>Chimienti, G (corresponding author), Univ Bari Aldo Moro, Dept Biol, Via Orabona 4, I-70125 Bari, Italy.;Chimienti, G (corresponding author), Univ Bari Aldo Moro, CoNISMa LRU, Via Orabona 4, I-70125 Bari, Italy.</t>
  </si>
  <si>
    <t>giovanni.chimienti@uniba.it</t>
  </si>
  <si>
    <t>Cipriano, Giulia/AAD-4622-2019; chimienti, giovanni/AAN-1758-2020</t>
  </si>
  <si>
    <t>Cipriano, Giulia/0000-0002-2495-5165; Tursi, Angelo Raffaele/0000-0002-7776-2738;</t>
  </si>
  <si>
    <t>10.1007/s12210-018-0738-z</t>
  </si>
  <si>
    <t>HC8UR</t>
  </si>
  <si>
    <t>WOS:000452080600009</t>
  </si>
  <si>
    <t>Deudero, S; Alomar, C</t>
  </si>
  <si>
    <t>Deudero, Salud; Alomar, Carme</t>
  </si>
  <si>
    <t>Mediterranean marine biodiversity under threat: Reviewing influence of marine litter on species</t>
  </si>
  <si>
    <t>Marine litter; Plastics; Biodiversity; Ingestion; Conservation</t>
  </si>
  <si>
    <t>LOGGERHEAD SEA-TURTLES; PLASTIC DEBRIS; CARETTA-CARETTA; PELAGIC FISH; MICROPLASTICS; FLOOR; ACCUMULATION; INGESTION; ABUNDANCE; POLLUTION</t>
  </si>
  <si>
    <t>The Mediterranean Sea is one of the most polluted seas worldwide, especially with regard to plastics. The presence of this emerging man made contaminant in marine environments precludes large effects and interactions with species exposed to massive litter quantities. In this review, available data of floating and seafloor litter around Mediterranean sub-basins are reported. A review of scientific literature on the interaction of plastic with marine biota resulted in the identification of 134 species, several taxa and feeding strategies affected from 1986 to 2014. Data from 17,334 individuals showed different levels of ingestion and effects on catalogued IUCN species (marine mammals and sea turtles) in addition to several pelagic fish and elasmobranchs. Biodiversity is certainly under threat, and knowledge of the extent of taxa affected is of concern considering the increasing plastic loads in the Mediterranean Sea and worldwide. (C) 2015 Elsevier Ltd. All rights reserved.</t>
  </si>
  <si>
    <t>[Deudero, Salud; Alomar, Carme] Ctr Oceanog Balears, Inst Espanol Oceanog, Palma De Mallorca 07012, Spain</t>
  </si>
  <si>
    <t>Spanish Institute of Oceanography</t>
  </si>
  <si>
    <t>Deudero, S (corresponding author), Ctr Oceanog Balears, Inst Espanol Oceanog, Moll de Ponent S-N, Palma De Mallorca 07012, Spain.</t>
  </si>
  <si>
    <t>salud.deudero@ba.ieo.es</t>
  </si>
  <si>
    <t>Alomar, Carme/MCY-3470-2025; Deudero Company, Salud/I-1883-2015</t>
  </si>
  <si>
    <t>Alomar, Carme/0000-0002-3228-2706; Deudero Company, Salud/0000-0001-5584-2801</t>
  </si>
  <si>
    <t>SEP 15</t>
  </si>
  <si>
    <t>1-2</t>
  </si>
  <si>
    <t>10.1016/j.marpolbul.2015.07.012</t>
  </si>
  <si>
    <t>CS5QW</t>
  </si>
  <si>
    <t>WOS:000362134100020</t>
  </si>
  <si>
    <t>Anjos, LJS; de Toledo, PM</t>
  </si>
  <si>
    <t>Anjos, Luciano J. S.; de Toledo, Peter Mann</t>
  </si>
  <si>
    <t>DRY-SEASON; SPECIES DISTRIBUTION; DISTRIBUTION MODELS; TROPICAL FOREST; TREE MORTALITY; AMAZON; DROUGHT; FIRE; SENSITIVITY; ECOLOGY</t>
  </si>
  <si>
    <t>Climate change has been identified as the primary threat to the integrity and functioning of ecosystems in this century, although there is still much uncertainty about its effects and the degree of vulnerability for different ecosystems to this threat. Here we propose a new methodological approach capable of measuring and mapping the resilience of terrestrial ecosystems at large scales based on their climatic niche. To do this, we used high spatial resolution remote sensing data and ecological niche modeling techniques to calculate and spatialize the resilience of three stable states of ecosystems in South America: forest, savanna, and grassland. Also, we evaluated the sensitivity of ecosystems to climate stress, the likelihood of exposure to non-analogous climatic conditions, and their respective adaptive capacities in the face of climate change. Our results indicate that forests, the most productive and biodiverse terrestrial ecosystems on the earth, are more vulnerable to climate change than savannas or grasslands. Forests showed less resistance to climate stress and a higher chance of exposure to non-analogous climatic conditions. If this scenario occurs, the forest ecosystems would have less chance of adaptation compared to savannas or grasslands because of their narrow climate niche. Therefore, we can conclude that a possible consolidation of non-analogous climatic conditions would lead to a loss of resilience in the forest ecosystem, significantly increasing the chance of a critical transition event to another stable state with a lower density of vegetation cover (e.g., savanna or grassland).</t>
  </si>
  <si>
    <t>[Anjos, Luciano J. S.] UFRA, Campus Parauapebas, Parauapebas, Para, Brazil; [Anjos, Luciano J. S.; de Toledo, Peter Mann] Univ Fed Para UFPA, Inst Geociencias, Programa Posgrad Ciencias Ambientais PPGCA, Belem, Para, Brazil; [de Toledo, Peter Mann] INPE, CCST, Sao Jose Dos Campos, SP, Brazil</t>
  </si>
  <si>
    <t>Universidade Federal Rural da Amazonia (UFRA); Universidade Federal do Para; Instituto Nacional de Pesquisas Espaciais (INPE)</t>
  </si>
  <si>
    <t>Anjos, LJS (corresponding author), UFRA, Campus Parauapebas, Parauapebas, Para, Brazil.;Anjos, LJS (corresponding author), Univ Fed Para UFPA, Inst Geociencias, Programa Posgrad Ciencias Ambientais PPGCA, Belem, Para, Brazil.</t>
  </si>
  <si>
    <t>ljsanjos@gmail.com</t>
  </si>
  <si>
    <t>Toledo, Peter/P-3618-2015; Anjos, Luciano/AAC-1101-2019</t>
  </si>
  <si>
    <t>Toledo, Peter/0000-0003-4265-2624;</t>
  </si>
  <si>
    <t>CAPES; Instituto Nacional de Ciencia e Tecnologia, Biodiversidade e Uso da Terra na Amazonia (CNPq) [574008/2008-0]; FAPESP [13/50475-5]; PROPESP/UFPA; Fundacao de Amparo a Pesquisa do Estado de Sao Paulo (FAPESP) [13/50475-5] Funding Source: FAPESP</t>
  </si>
  <si>
    <t>CAPES(Coordenacao de Aperfeicoamento de Pessoal de Nivel Superior (CAPES)); Instituto Nacional de Ciencia e Tecnologia, Biodiversidade e Uso da Terra na Amazonia (CNPq)(Conselho Nacional de Desenvolvimento Cientifico e Tecnologico (CNPQ)); FAPESP(Fundacao de Amparo a Pesquisa do Estado de Sao Paulo (FAPESP)); PROPESP/UFPA; Fundacao de Amparo a Pesquisa do Estado de Sao Paulo (FAPESP)(Fundacao de Amparo a Pesquisa do Estado de Sao Paulo (FAPESP))</t>
  </si>
  <si>
    <t>We are grateful to CAPES (http://www.capes.gov.br/) for granting the doctoral scholarship to LJSA; Instituto Nacional de Ciencia e Tecnologia, Biodiversidade e Uso da Terra na Amazonia (http://inct.cnpq.br/web/inct-biodiversidade-e-uso-da-terra-na-amazonia) (CNPq grant 574008/2008-0) by the structural support for LJSA and PMT; FAPESP (http://www.fapesp.br/) (FAPESP grant 13/50475-5) for the financing of PMT research, as well as a scientific exchange for LJSA; and PROPESP/UFPA (http://www.propesp.ufpa.br/) for payment of the publication fee.</t>
  </si>
  <si>
    <t>MAR 19</t>
  </si>
  <si>
    <t>e0194654</t>
  </si>
  <si>
    <t>10.1371/journal.pone.0194654</t>
  </si>
  <si>
    <t>FZ7QU</t>
  </si>
  <si>
    <t>WOS:000427796800047</t>
  </si>
  <si>
    <t>Barve, N; Kiran, MC; Vanaraj, G; Aravind, NA; Rao, D; Shaanker, RU; Ganeshaiah, KN; Poulsen, JG</t>
  </si>
  <si>
    <t>Biligiri Rangaswamy Temple Sanctuary; disturbance index; threat map; Western Ghats</t>
  </si>
  <si>
    <t>TIMBER FOREST PRODUCTS; BILIGIRI RANGAN HILLS; EXTRACTION; CLASSIFICATION; VEGETATION</t>
  </si>
  <si>
    <t>Although conservation and management of tropical ecosystems requires that we understand the threats to these areas, there are no standardized methods to quantify threats to ecosystems. We used a geographic information system-based protocol with several physical and socioeconomic attributes to assess the threats to a protected area, a wildlife sanctuary in southern India. Physical attributes included threats from major and minor roads and the accessibility of an area (given as inverse of the slope of the area), and socioeconomic attributes included the number of human settlements and human, cattle, and sheep populations. We divided the sanctuary into 30-ha grids, and for each grid we computed three threat categories: (1) settlement-associated threat from humans, cattle, and sheep; (2) development-associated threat resulting from major and minor roads; and (3) accessibility-related threat caused by the steepness of the terrain. Combining all three threats, we derived a composite threat index for each grid and mapped five levels of threats in the sanctuary. We collected data on human activities, tree species richness, and diversity in the transects laid in areas corresponding to these five threat levels. Although the threat levels of the transects were strongly correlated with the human-related disturbance activities, the composite threat indices of the transects were negatively correlated with tree species richness, indicating that the threat values we derived served as a good surrogate of the actual threat experienced by the sanctuary. With appropriate modifications, the protocol developed here can be applied to other ecosystems as well.</t>
  </si>
  <si>
    <t>Univ Agr Sci Bangalore, GKVK, Dept Crop Physiol, Bangalore 560024, Karnataka, India; Ashoka Trust Res Ecol &amp; Environm, Bangalore 560024, Karnataka, India; Univ Agr Sci Bangalore, GKVK, Dept Genet &amp; Plant Breeding, Bangalore 560024, Karnataka, India; Ctr Int Forestry Res, Jakarta 10065, Indonesia</t>
  </si>
  <si>
    <t>University of Agricultural Sciences Bangalore; University of Agricultural Sciences Bangalore; CGIAR; Center for International Forestry Research (CIFOR)</t>
  </si>
  <si>
    <t>Ganeshaiah, KN (corresponding author), Univ Agr Sci Bangalore, GKVK, Dept Crop Physiol, Bangalore 560024, Karnataka, India.</t>
  </si>
  <si>
    <t>kng@vsnl.com</t>
  </si>
  <si>
    <t>; Barve, Narayani/B-8941-2017; Rao, Dinesh/A-2097-2008</t>
  </si>
  <si>
    <t>Chanasekharan, Kiran/0000-0002-5686-2334; Uma Shaanker, Ramanan/0000-0003-3100-7654; Barve, Narayani/0000-0002-7893-8774; Rao, Dinesh/0000-0002-1900-7742; Neelavar Ananthram, Aravind/0000-0002-4515-8421</t>
  </si>
  <si>
    <t>10.1111/j.1523-1739.2005.00532.x</t>
  </si>
  <si>
    <t>WOS:000226438600018</t>
  </si>
  <si>
    <t>Garcia, RA; Araújo, MB; Burgess, ND; Foden, WB; Gutsche, A; Rahbek, C; Cabeza, M</t>
  </si>
  <si>
    <t>Garcia, Raquel A.; Araujo, Miguel B.; Burgess, Neil D.; Foden, Wendy B.; Gutsche, Alexander; Rahbek, Carsten; Cabeza, Mar</t>
  </si>
  <si>
    <t>Africa; amphibian; bioclimatic envelope model; climate change exposure; dispersal; plasticity; reproductive output; trait; vulnerability</t>
  </si>
  <si>
    <t>EXTINCTION RISK; HABITAT FRAGMENTATION; FUTURE DISTRIBUTIONS; BIOTIC ATTRITION; NATURE-RESERVES; CHANGE IMPACTS; RANGE SHIFTS; CONSERVATION; DISPERSAL; DIVERSITY</t>
  </si>
  <si>
    <t>AimClimate change can lead to decreased climatic suitability within species' distributions, increased fragmentation of climatically suitable space, and/or emergence of newly suitable areas outside present distributions. Each of these extrinsic threats and opportunities potentially interacts with specific intrinsic traits of species, yet this specificity is seldom considered in risk assessments. We present an analytical framework for examining projections of climate change-induced threats and opportunities with reference to traits that are likely to mediate species' responses, and illustrate the applicability of the framework. LocationSub-Saharan Africa. MethodsWe applied the framework to 195 sub-Saharan African amphibians with both available bioclimatic envelope model projections for the mid-21st century and trait data. Excluded were 500 narrow-ranging species mainly from montane areas. For each of projected losses, increased fragmentation and gains of climate space, we selected potential response-mediating traits and examined the spatial overlap with vulnerability due to these traits. We examined the overlap for all species, and individually for groups of species with different combinations of threats and opportunities. ResultsIn the Congo Basin and arid Southern Africa, projected losses for wide-ranging amphibians were compounded by sensitivity to climatic variation, and expected gains were precluded by poor dispersal ability. The spatial overlap between exposure and vulnerability was more pronounced for species projected to have their climate space contracting in situ or shifting to distant geographical areas. Our results exclude the potential exposure of narrow-ranging species to shrinking climates in the African tropical mountains. Main conclusionsWe illustrate the application of a framework combining spatial projections of climate change exposure with traits that are likely to mediate species' responses. Although the proposed framework carries several assumptions that require further scrutiny, its application adds a degree of realism to familiar assessments that consider all species to be equally affected by climate change-induced threats and opportunities.</t>
  </si>
  <si>
    <t>[Garcia, Raquel A.; Araujo, Miguel B.] CSIC, Natl Museum Nat Sci, Dept Biogeog &amp; Global Change, E-28006 Madrid, Spain; [Garcia, Raquel A.; Araujo, Miguel B.; Burgess, Neil D.; Rahbek, Carsten] Univ Copenhagen, Nat Hist Museum Denmark, Ctr Macroecol Evolut &amp; Climate, DK-2100 Copenhagen, Denmark; [Garcia, Raquel A.; Araujo, Miguel B.] Univ Evora, Rui Nabeiro Biodivers Chair, CIBIO, P-7000 Evora, Portugal; [Araujo, Miguel B.; Rahbek, Carsten] Univ London Imperial Coll Sci Technol &amp; Med, Ascot, Berks, England; [Burgess, Neil D.] WWF US Conservat Sci Program, Washington, DC USA; [Burgess, Neil D.] World Conservat Monitoring Ctr, United Nations Environm Programme, Cambridge CB3 0DL, England; [Foden, Wendy B.] Int Union Conservat Nat, Global Species Programme, Cambridge CB3 0DL, England; [Foden, Wendy B.] Univ Witwatersrand, ZA-2050 Johannesburg, South Africa; [Gutsche, Alexander] Leibniz Inst Res Evolut &amp; Biodivers, Museum Naturkunde, D-10115 Berlin, Germany; [Cabeza, Mar] Univ Helsinki, Dept Biosci, Metapopulat Res Grp, FIN-00014 Helsinki, Finland</t>
  </si>
  <si>
    <t>Consejo Superior de Investigaciones Cientificas (CSIC); University of Copenhagen; University of Evora; Imperial College London; World Wildlife Fund; University of Witwatersrand; Leibniz Institut fur Evolutions und Biodiversitatsforschung; University of Helsinki</t>
  </si>
  <si>
    <t>Garcia, RA (corresponding author), CSIC, Natl Museum Nat Sci, Dept Biogeog &amp; Global Change, Plaza Murillo 2, E-28006 Madrid, Spain.</t>
  </si>
  <si>
    <t>raquel.garcia@mncn.csic.es</t>
  </si>
  <si>
    <t>Cabeza, Mar/ABC-4297-2020; Bastos Araújo, Miguel/B-6117-2008; Rahbek, Carsten/L-1129-2013</t>
  </si>
  <si>
    <t>Cabeza, Mar/0000-0002-7410-7631; Bastos Araújo, Miguel/0000-0002-5107-7265; Rahbek, Carsten/0000-0003-4585-0300</t>
  </si>
  <si>
    <t>FCT [SFRH/BD/65615/2009, FCT PTDC/AAC-AMB/98163/2008]; Danish National Research Foundation; Integrated Program of ICDT [1/SAESCTN/ALENT-07-0224-FEDER-001755]; Fundação para a Ciência e a Tecnologia [SFRH/BD/65615/2009] Funding Source: FCT</t>
  </si>
  <si>
    <t>FCT(Fundacao para a Ciencia e a Tecnologia (FCT)); Danish National Research Foundation(Danmarks Grundforskningsfond); Integrated Program of ICDT; Fundação para a Ciência e a Tecnologia</t>
  </si>
  <si>
    <t>We are grateful to Louis Hansen for help matching the taxonomy between the two datasets, Zhiheng Wang for assistance with Fig. 2, and Lucas Joppa for drawing our attention to the importance of increased fragmentation of climate space. We thank John Measey, Anni Arponen, Johanna Eklund, Laura Meller, Antti Takolander and three anonymous referees for comments on the manuscript. R. A. G. thanks the Metapopulation Research Group at the University of Helsinki for providing the supportive environment in which much of this work was developed, and the reserve-selection journal club members for helpful discussion. R. A. G. is funded through a FCT PhD studentship (SFRH/BD/65615/2009), M. C. through the RESPONSES project, and M. B. A. through the FCT PTDC/AAC-AMB/98163/2008 project. R. A. G., M. B. A., N.D.B. and C. R. thank the Danish National Research Foundation for support to the Center for Macroecology, Evolution and Climate. M. B. A. also acknowledges support from the Integrated Program of IC&amp;DT Call No 1/SAESCTN/ALENT-07-0224-FEDER-001755.</t>
  </si>
  <si>
    <t>10.1111/jbi.12257</t>
  </si>
  <si>
    <t>AC8KE</t>
  </si>
  <si>
    <t>WOS:000332781100008</t>
  </si>
  <si>
    <t>Andréfouët, S; Dutheil, C; Menkes, CE; Bador, M; Lengaigne, M</t>
  </si>
  <si>
    <t>Andrefouet, Serge; Dutheil, Cyril; Menkes, Christophe E.; Bador, Margot; Lengaigne, Matthieu</t>
  </si>
  <si>
    <t>Mass mortality events in atoll lagoons: environmental control and increased future vulnerability</t>
  </si>
  <si>
    <t>climate change; CMIP-3; CMIP-5; coral reef; dystrophy; Pacific Ocean; sea surface temperature; significant wave height; wind stress</t>
  </si>
  <si>
    <t>ARCHIPELAGO FRENCH-POLYNESIA; TUAMOTU ARCHIPELAGO; TROPICAL CYCLONES; CLIMATE-CHANGE; WAVE CLIMATE; REEF; COMMUNITIES; OCEAN; CIRCULATION; ECOSYSTEMS</t>
  </si>
  <si>
    <t>Coral reefs and lagoons worldwide are vulnerable environments. However, specific geomorphological reef types (fringing, barrier, atoll, bank for the main ones) can be vulnerable to specific disturbances that will not affect most other reefs. This has implications for local management and science priorities. Several geomorphologically closed atolls of the Pacific Ocean have experienced in recent decades mass benthic and pelagic lagoonal life mortalities, likely triggered by unusually calm weather conditions lasting for several weeks. These events, although poorly known, reported, and characterized, pose a major threat for resource sustainability. Based on a sample of eleven events on eight atolls from the central South Pacific occurring between 1993 and 2012, the conservative environmental thresholds required to trigger such events are identified using sea surface temperature, significant wave height and wind stress satellite data. Using these thresholds, spatial maps of potential risk are produced for the central South Pacific region, with the highest risk zone lying north of Tuamotu Archipelago. A regional climate model, which risk map compares well with observations over the recent period (r=0.97), is then used to downscale the projected future climate. This allows us to estimate the potential change in risk by the end of the 21(st) century and highlights a relative risk increase of up to 60% for the eastern Tuamotu atolls. However, the small sample size used to train the analysis led to the identification of conservative thresholds that overestimated the observed risk. The results of this study suggest that long-term monitoring of the biophysical conditions of the lagoons at risk would enable more precise identification of the physical thresholds and better understanding of the biological processes involved in these rare, but consequential, mass mortality events.</t>
  </si>
  <si>
    <t>[Andrefouet, Serge; Dutheil, Cyril] LABEX CORAIL, Inst Rech Dev, UR CoReUs 227, BP A5, Noumea 98848, New Caledonia; [Dutheil, Cyril; Menkes, Christophe E.] Univ Paris 06, IRD, Sorbonne Univ, CNRS MNHN IPSL,LOCEAN Lab, Noumea 98848, New Caledonia; [Bador, Margot] Sci Univ CERFACS, CERFACS CNRS, URA 1875, F-31057 Toulouse, France; [Lengaigne, Matthieu] Univ Paris 06, Sorbonne Univ, CNRS IRD MNHN, LOCEAN Lab,IPSL, Paris, France</t>
  </si>
  <si>
    <t>Institut de Recherche pour le Developpement (IRD); Institut de Recherche pour le Developpement (IRD); Centre National de la Recherche Scientifique (CNRS); Sorbonne Universite; Universite Paris Cite; Museum National d'Histoire Naturelle (MNHN); Institut Polytechnique de Paris; Ecole Polytechnique; Institut de Recherche pour le Developpement (IRD)</t>
  </si>
  <si>
    <t>Andréfouët, S (corresponding author), LABEX CORAIL, Inst Rech Dev, UR CoReUs 227, BP A5, Noumea 98848, New Caledonia.</t>
  </si>
  <si>
    <t>serge.andrefouet@ird.fr</t>
  </si>
  <si>
    <t>; Lengaigne, Matthieu/K-4345-2013; dutheil, cyril/AAG-1761-2021; menkes, christophe/H-9085-2016</t>
  </si>
  <si>
    <t>Bador, Margot/0000-0003-3976-6946; Lengaigne, Matthieu/0000-0002-0044-036X; dutheil, cyril/0000-0001-6891-2389; menkes, christophe/0000-0002-1457-9696</t>
  </si>
  <si>
    <t>Grand Observatoire du Pacifique Sud</t>
  </si>
  <si>
    <t>This study is a result of the CITADEL project, funded by the Grand Observatoire du Pacifique Sud. Two anonymous reviewers contributed to clarify several aspects of the study.</t>
  </si>
  <si>
    <t>10.1111/gcb.12699</t>
  </si>
  <si>
    <t>WOS:000346698100020</t>
  </si>
  <si>
    <t>Hart, KM; Iverson, AR; Fujisaki, I; Lamont, MM; Bucklin, D; Shaver, DJ</t>
  </si>
  <si>
    <t>Hart, Kristen M.; Iverson, Autumn R.; Fujisaki, Ikuko; Lamont, Margaret M.; Bucklin, David; Shaver, Donna J.</t>
  </si>
  <si>
    <t>Marine Threats Overlap Key Foraging Habitat for Two Imperiled Sea Turtle Species in the Gulf of Mexico</t>
  </si>
  <si>
    <t>anthropogenic threats; co-occurrence; foraging; Gulf of Mexico; sea turtles; movement models; satellite tracking; switching state space modeling</t>
  </si>
  <si>
    <t>CARETTA-CARETTA; LEPIDOCHELYS-KEMPII; LOGGERHEAD TURTLES; MORTALITY; BEHAVIOR; ECOLOGY; BYCATCH; SITES; AREAS; TEXAS</t>
  </si>
  <si>
    <t>Effective management of human activities affecting listed species requires understanding both threats and animal habitat-use patterns. However, the extent of spatial overlap between high-use foraging areas (where multiple marine species congregate) and anthropogenic threats is not well-known. Our modeling approach incorporates data on sea turtle spatial ecology and a suite of threats in the Gulf of Mexico to identify and map hot spots of threats to two imperiled turtle species. Of all 820 high threats grid cells, our tracked turtles foraged at least 1 day in 77% of them. Although threat data were not available outside the U.S. Exclusive Economic Zone, our map of turtle and threat hot spots can be incorporated in future more comprehensive threat analyses for the region. Knowledge of these shared foraging- and threat-areas can assist managers charged with designing effective conservation and population recovery strategies, in future habitat modeling efforts, and in designations of Gulf of Mexico habitat with high conservation value.</t>
  </si>
  <si>
    <t>[Hart, Kristen M.] US Geol Survey, Wetland &amp; Aquat Res Ctr, Davie, FL 33314 USA; [Iverson, Autumn R.] US Geol Survey, CNT, Wetland &amp; Aquat Res Ctr, Davie, FL USA; [Fujisaki, Ikuko; Bucklin, David] Univ Florida, Ft Lauderdale Res &amp; Educ Ctr, Davie, FL USA; [Lamont, Margaret M.] US Geol Survey, Wetland &amp; Aquat Res Ctr, Gainesville, FL USA; [Shaver, Donna J.] Natl Pk Serv, Padre Isl Natl Seashore, Corpus Christi, TX USA</t>
  </si>
  <si>
    <t>United States Department of the Interior; United States Geological Survey; United States Department of the Interior; United States Geological Survey; State University System of Florida; University of Florida; United States Department of the Interior; United States Geological Survey; United States Department of the Interior; US National Park Service</t>
  </si>
  <si>
    <t>Hart, KM (corresponding author), US Geol Survey, Wetland &amp; Aquat Res Ctr, Davie, FL 33314 USA.</t>
  </si>
  <si>
    <t>; Shaver, Donna/D-6227-2013</t>
  </si>
  <si>
    <t>Iverson, Autumn/0000-0002-8353-6745; Shaver, Donna/0000-0003-1379-8974</t>
  </si>
  <si>
    <t>National Park Service; USGS Priority Ecosystem Studies program; USGS Ecosystems Program; Deepwater Horizon Natural Resource Damage Assessment; National Fish and Wildlife Foundation; Acuario de Veracruz; Campamento Tortuguero de Rancho Nuevo; Campamento Tortugero del Totonacapan; Campamento Tortugero Vida Milenaria; Conservacion y Desarollo de Espacios Naturales, S.C.; Gladys Porter Zoo; NOAA-Fisheries; University of Florida</t>
  </si>
  <si>
    <t>National Park Service; USGS Priority Ecosystem Studies program; USGS Ecosystems Program; Deepwater Horizon Natural Resource Damage Assessment; National Fish and Wildlife Foundation; Acuario de Veracruz; Campamento Tortuguero de Rancho Nuevo; Campamento Tortugero del Totonacapan; Campamento Tortugero Vida Milenaria; Conservacion y Desarollo de Espacios Naturales, S.C.; Gladys Porter Zoo; NOAA-Fisheries(National Oceanic Atmospheric Admin (NOAA) - USA); University of Florida(University of Florida)</t>
  </si>
  <si>
    <t>Funding for the field studies and data analysis was provided in part by the National Park Service, USGS Priority Ecosystem Studies program, USGS Ecosystems Program, Deepwater Horizon Natural Resource Damage Assessment, and National Fish and Wildlife Foundation. Acuario de Veracruz, Campamento Tortuguero de Rancho Nuevo, Campamento Tortugero del Totonacapan, Campamento Tortugero Vida Milenaria, Conservacion y Desarollo de Espacios Naturales, S.C., Gladys Porter Zoo, NOAA-Fisheries, and University of Florida provided equipment, funding, or logistical assistance. C. Rubio, P.M. Burchfield, J. Pena, D. Gomez Gamez, R. de Jesus Gonzales Diaz Miron, H.J. Martinez, J. Ortiz, and many others helped deploy transmitters or manage data for Kemp's ridley turtles. We acknowledge use of the satellite-tracking and analysis tool and telemetry data (publicly available from www.seaturtle.org). Any use of trade, product, or firm names is for descriptive purposes only and does not imply endorsement by the U.S. Government.</t>
  </si>
  <si>
    <t>SEP 24</t>
  </si>
  <si>
    <t>10.3389/fmars.2018.00336</t>
  </si>
  <si>
    <t>HJ6RO</t>
  </si>
  <si>
    <t>WOS:000457320300002</t>
  </si>
  <si>
    <t>Tancell, C; Sutherland, WJ; Phillips, RA</t>
  </si>
  <si>
    <t>Tancell, Claire; Sutherland, William J.; Phillips, Richard A.</t>
  </si>
  <si>
    <t>Seabird; Albatross; Petrel; Marine; High-seas; Conservation</t>
  </si>
  <si>
    <t>PELAGIC LONGLINE FISHERIES; PROTECTED AREAS; SEABIRD BYCATCH; GILLNET FISHERIES; INCIDENTAL CATCH; RISK-ASSESSMENT; HIGH SEAS; IMPACT; MORTALITY; HOTSPOTS</t>
  </si>
  <si>
    <t>Tracking of seabirds at sea is valuable for marine spatial planning. Many seabirds are of conservation concern, including albatrosses and large petrels (Procellariiformes) which face a major threat from mortality in fisheries. We examine how important areas used by seven of these species breeding at South Georgia change throughout the year, based on tracking data collected between 1991 and 2012, and discuss the implications for spatial management in the region within the current jurisdictional framework. Foraging areas overlapped with a patchwork of national and international management organizations, and areas outside clear jurisdiction. National waters were generally unimportant, besides that of South Georgia. The other exception was Falkland Islands coastal waters, which were important for wandering albatrosses Diomedea exulans during incubation, and were opened for new oil and gas drilling in 2015. The marine protected area established at the South Orkney Islands protects very little habitat used by the tracked seabirds; however, a northern extension of this would benefit a number of species at different breeding stages. The area around South Georgia was important year-round, including in periods when fishing is allowed. A contiguous region to the north of this was also important and here, mechanisms should be improved to ensure compliance with bird bycatch mitigation recommendations. The study highlighted the use of tracking for identifying key areas for pelagic albatrosses and petrels, and the advantages of incorporating these data into a multilateral approach to marine spatial planning to ensure the future conservation of these highly-threatened marine predators. (C) 2016 Elsevier Ltd. All rights reserved.</t>
  </si>
  <si>
    <t>[Tancell, Claire; Sutherland, William J.] Univ Cambridge, Dept Zool, Conservat Sci Grp, Downing St, Cambridge CB2 3EJ, England; [Tancell, Claire; Phillips, Richard A.] British Antarctic Survey, Nat Environm Res Council, Madingley Rd, Cambridge CB3 0ET, England</t>
  </si>
  <si>
    <t>University of Cambridge; UK Research &amp; Innovation (UKRI); Natural Environment Research Council (NERC); NERC British Antarctic Survey</t>
  </si>
  <si>
    <t>Tancell, C (corresponding author), Univ Cambridge, Dept Zool, Conservat Sci Grp, Downing St, Cambridge CB2 3EJ, England.;Tancell, C (corresponding author), British Antarctic Survey, Nat Environm Res Council, Madingley Rd, Cambridge CB3 0ET, England.</t>
  </si>
  <si>
    <t>claire.tancell@cantab.net</t>
  </si>
  <si>
    <t>; Sutherland, William/B-1291-2013</t>
  </si>
  <si>
    <t>Tancell, Claire/0000-0002-4298-6192;</t>
  </si>
  <si>
    <t>Natural Environment Research Council [NEB1208]; South Georgia Heritage Trust [SGHT MBD 003]; Prince Albert II Monaco Foundation (South Georgia Project) [612]; Arcadia; Natural Environment Research Council [NE/J021083/1, bas0100025, bas0100035] Funding Source: researchfish; NERC [bas0100025, bas0100035, NE/J021083/1] Funding Source: UKRI</t>
  </si>
  <si>
    <t>Natural Environment Research Council(UK Research &amp; Innovation (UKRI)Natural Environment Research Council (NERC)); South Georgia Heritage Trust; Prince Albert II Monaco Foundation (South Georgia Project); Arcadia; Natural Environment Research Council(UK Research &amp; Innovation (UKRI)Natural Environment Research Council (NERC)); NERC(UK Research &amp; Innovation (UKRI)Natural Environment Research Council (NERC))</t>
  </si>
  <si>
    <t>We are grateful to all those who have assisted with tracking studies in the field at Bird Island, particularly Charles Bishop, Paulo Catry, Isaac Forster, Hannah Froy, Akira Fukuda, Hiroyoshi Higuchi, Ewan Wakefield, Ben Phalan and Jose Xavier. We would also like to thank Andy Wood for curation of seabird tracking data at BAS and John Croxall for overseeing tracking studies at Bird Island for many years. This study represents a contribution to the Ecosystems component of the British Antarctic Survey Polar Science for Planet Earth Programme, funded by The Natural Environment Research Council (National capacity funding, project NEB1208). Thanks to the South Georgia Heritage Trust (SGHT MBD 003) and the Prince Albert II Monaco Foundation (South Georgia Project no 612) for funding this research. WJS is funded by Arcadia.</t>
  </si>
  <si>
    <t>10.1016/j.biocon.2016.03.020</t>
  </si>
  <si>
    <t>DO4EU</t>
  </si>
  <si>
    <t>WOS:000377735400019</t>
  </si>
  <si>
    <t>Williams, R; Ashe, E; O'Hara, PD</t>
  </si>
  <si>
    <t>Williams, Rob; Ashe, Erin; O'Hara, Patrick D.</t>
  </si>
  <si>
    <t>Entanglement; Ingestion; Marine debris; Marine mammal; Plastic; Risk assessment</t>
  </si>
  <si>
    <t>PLASTIC DEBRIS; CETACEANS; MORTALITY; POLLUTION; ENVIRONMENT; ABUNDANCE; SEABIRD; WHALES; LIMITS; RISK</t>
  </si>
  <si>
    <t>Entanglement in and ingestion of synthetic marine debris is increasingly recognized worldwide as an important stressor for marine wildlife, including marine mammals. Studying its impact on wildlife populations is complicated by the inherently cryptic nature of the problem. The coastal waters of British Columbia (BC), Canada provide important habitat for marine mammal species, many of which have unfavorable conservation status in the US and Canada. As a priority-setting exercise, we used data from systematic line-transect surveys and spatial modeling methods to map at-sea distribution of debris and 11 marine mammal species in BC waters, and to identify areas of overlap. We estimated abundance of 36,000 (CIs: 23,000-56,600) pieces of marine debris in the region. Areas of overlap were often far removed from urban centers, suggesting that the extent of marine mammal-debris interactions would be underestimated from opportunistic sightings and stranding records, and that high-overlap areas should be prioritized by stranding response networks. (C) 2011 Elsevier Ltd. All rights reserved.</t>
  </si>
  <si>
    <t>[Williams, Rob; Ashe, Erin] Univ St Andrews, Sea Mammal Res Unit, Gatty Marine Lab, St Andrews KY16 8LB, Fife, Scotland; [Williams, Rob] Univ British Columbia, Marine Mammal Res Unit, AERL, Vancouver, BC V6T 1Z4, Canada; [Williams, Rob; Ashe, Erin] Oceans Initiat, Alert Bay, BC V0N 1A0, Canada; [O'Hara, Patrick D.] Environm Canada, Canadian Wildlife Serv, Delta, BC V6T 1Z4, Canada; [O'Hara, Patrick D.] Univ Victoria, Dept Biol, Victoria, BC V8W 3N5, Canada</t>
  </si>
  <si>
    <t>University of St Andrews; University of British Columbia; Environment &amp; Climate Change Canada; Canadian Wildlife Service; University of Victoria</t>
  </si>
  <si>
    <t>Williams, R (corresponding author), Univ St Andrews, Sea Mammal Res Unit, Gatty Marine Lab, St Andrews KY16 8LB, Fife, Scotland.</t>
  </si>
  <si>
    <t>rmcw@st-andrews.ac.uk; erin@oceansiniative.org</t>
  </si>
  <si>
    <t>; Williams, Rob/C-5882-2011; Willia, Rob/C-5882-2011</t>
  </si>
  <si>
    <t>Ashe, Erin/0000-0001-9918-1419; Willia, Rob/0000-0001-7496-453X</t>
  </si>
  <si>
    <t>joint National Fish and Wildlife Foundation/NOAA; Natural Environment Research Council [smru10001] Funding Source: researchfish</t>
  </si>
  <si>
    <t>joint National Fish and Wildlife Foundation/NOAA(National Oceanic Atmospheric Admin (NOAA) - USA); Natural Environment Research Council(UK Research &amp; Innovation (UKRI)Natural Environment Research Council (NERC))</t>
  </si>
  <si>
    <t>We thank Raincoast Conservation Society, its funders and observers for assistance to R.W. with field data collection. We thank Brian Falconer, Erin Nyhan and Stephen Anstee for being safe, supportive and understanding captains of our research vessel, and thank an extraordinary team of observers (Heidi Krajewsky, Misty MacDuffee, Olive Andrews, Chad Malloff, Nick Engelmann, Anneli Englund, Sonja Heinrich, Caroline Hoeschle, Hayley Shephard, George Hudson, Stephanie Fernandez, Andrew Westoll and Matt Farley) for long, fun days in the field. Our analyses were supported by a grant to R.W. from the joint National Fish and Wildlife Foundation/NOAA Marine Debris Program. We thank Dr. Len Thomas (University of St. Andrews) for assistance with analysis. We thank the many managers, veterinarians, pathologists and wildlife stranding responders for sharing information (especially unpublished observations) about entanglement and ingestion. In particular, our report benefited from discussions with and observations from: Lynne Barre, Ginny Broadhurst, John Calambokidis, David de Rothschild, Joe Gaydos, Kirsten Gilardi, Angela Griffiths, Frances Gulland, Jackie Hildering, Bruce Mate, David Mattila, Todd O'Hara, Stephen Raverty, Jooke Robbins, Teri Rowles, Chris Parsons, Doug Sandilands, Lisa Spaven and Paul Wade. We thank Dr. Charles Sheppard and an anonymous reviewer for a thorough and helpful review.</t>
  </si>
  <si>
    <t>10.1016/j.marpolbul.2011.02.029</t>
  </si>
  <si>
    <t>791PL</t>
  </si>
  <si>
    <t>WOS:000292677000031</t>
  </si>
  <si>
    <t>Delefosse, M; Rahbek, ML; Roesen, L; Clausen, KT</t>
  </si>
  <si>
    <t>Delefosse, Matthieu; Rahbek, Malene Louise; Roesen, Lars; Clausen, Karin Tubbert</t>
  </si>
  <si>
    <t>JOURNAL OF THE MARINE BIOLOGICAL ASSOCIATION OF THE UNITED KINGDOM</t>
  </si>
  <si>
    <t>Cetacean; pinniped; harbour porpoise; minke whale; diversity; offshore; platform; anthropogenic; volunteer programme</t>
  </si>
  <si>
    <t>HARBOR PORPOISES; SEASONAL DISTRIBUTION; CITIZEN SCIENCE; GREY SEALS; PHOCOENA; DIET; CONSERVATION; MOVEMENTS; ABUNDANCE; TOOLS</t>
  </si>
  <si>
    <t>Relatively little is known about the distribution and diversity of marine mammals around offshore anthropogenic structures. We present results obtained from incidental sightings of marine mammals around oil and gas installations located 200 km off the Danish coast. A total of 131 sightings corresponding to about 288 animals were reported between May 2013 and May 2016. A total of seven marine mammal species were identified, five cetaceans: harbour porpoise (Phocoena phocoena), minke whale (Balaenoptera acutorostrata), white-beaked dolphin (Lagenorhynchus albirostris), killer whale (Orcinus orca), pilot whales (Globicephala spp.) and two species of pinnipeds: harbour (Phoca vitulina) and grey seals (Halichoerus grypus). The most sighted species were harbour porpoise (41%) and minke whale (31%). Relative counts and biodiversity of marine mammals observed around installations corresponded well with the expected distribution in the central North Sea. Several taxon-specific correlations were identified between number of sightings and environmental parameters (depth and latitude) or installation characteristics (installation aerial footprint). Furthermore, 85% of sightings were made during spring and summer and it is unclear whether the pattern observed reflected a natural seasonal occurrence of marine mammals in the area or an effect of reduced effort during autumn and winter. Despite the potential caveats, results obtained during this programme provide an insight into the relationship between marine mammals and oil and gas offshore installations in the North Sea.</t>
  </si>
  <si>
    <t>[Delefosse, Matthieu] Maersk Oil Hlth Safety &amp; Environm, Britanniavej 10, DK-6700 Esbjerg, Denmark; [Rahbek, Malene Louise] DONG Oil &amp; Gas, Nesa Alle 1, DK-2820 Gentofte, Denmark; [Roesen, Lars] Hess Denmark APS, Ostergade 26B, DK-1100 Copenhagen, Denmark; [Clausen, Karin Tubbert] Aarhus Univ, Dept Biosci, Frederiksborgvej 399, DK-4000 Roskilde, Denmark</t>
  </si>
  <si>
    <t>Aarhus University</t>
  </si>
  <si>
    <t>Delefosse, M (corresponding author), Maersk Oil Hlth Safety &amp; Environm, Britanniavej 10, DK-6700 Esbjerg, Denmark.</t>
  </si>
  <si>
    <t>matthieu.delefosse@maerskoil.com</t>
  </si>
  <si>
    <t>Delefosse, Matthieu/C-5849-2008</t>
  </si>
  <si>
    <t>Delefosse, Matthieu/0000-0003-4422-9475</t>
  </si>
  <si>
    <t>0025-3154</t>
  </si>
  <si>
    <t>1469-7769</t>
  </si>
  <si>
    <t>J MAR BIOL ASSOC UK</t>
  </si>
  <si>
    <t>J. Mar. Biol. Assoc. U.K.</t>
  </si>
  <si>
    <t>10.1017/S0025315417000406</t>
  </si>
  <si>
    <t>GR0RC</t>
  </si>
  <si>
    <t>WOS:000442228000004</t>
  </si>
  <si>
    <t>Lieske, DJ; Fifield, DA; Gjerdrum, C</t>
  </si>
  <si>
    <t>Lieske, David J.; Fifield, David A.; Gjerdrum, Carina</t>
  </si>
  <si>
    <t>Species distribution modelling; Multi-species distributions; Ensemble prediction; Seabirds; Negative binomial GLM; Hurdle; Random forest; Maritime Canada</t>
  </si>
  <si>
    <t>BLACK-LEGGED KITTIWAKE; SPECIES DISTRIBUTION; SPATIAL-DISTRIBUTION; SCALE IMPACTS; OIL POLLUTION; HABITAT; BIRD; ABUNDANCE; AGGREGATIONS; ASSOCIATIONS</t>
  </si>
  <si>
    <t>Whether considering the cumulative impact of chronic, small-size oil discharges or accidents associated with marine traffic and offshore oil and gas development, seabirds face a variety of threats in the marine environment. Assessing the vulnerabilities of seabirds to maritime hazards requires an understanding of their species distribution, and a means for combining this information across groups. Using at-sea survey data gathered as part of a regional monitoring program, an efficient framework for integrating multi-species data was developed. Survey data was incorporated within a distance sampling framework to generate bias-corrected seabird densities for an area of over 730,000 km(2) size, which were used to construct multiple species distribution models (SDMs). The structural difficulties associated with sampling sparsely distributed individuals that also occur in large, localized concentrations led to the use of three modelling techniques potentially well suited for this type of data: negative binomial, ''hurdle'', and random forest methods. Predicted abundances were combined to produce an ensemble forecast, which met or exceeded the accuracy of predictions from the individual models. Multi-species potential sensitivity maps were developed to identify core areas, confirming the general importance of physiographic features such as the shelf break and bathymetry. Distribution was also seasonally influenced, with spring and winter standing out as periods of peak importance. When combined with an oil pollution layer derived from aerial surveillance, vulnerability was highest in the vicinity of major ports (e.g., Halifax and Sydney, Nova Scotia). However, the vulnerability map also indicated lower but widespread levels of oiling risk throughout the shelf, presumably associated with persistently high levels of shipping traffic and ongoing petroleum extraction and exploration. Outside of this region, migratory connectivity is expected to expose seabirds to a wider network of hazards and further underscores the need for the coordinated and routine collection of marine hazard data alongside at-sea distributional data. (C) 2014 Elsevier Ltd. All rights reserved.</t>
  </si>
  <si>
    <t>[Lieske, David J.] Mt Allison Univ, Dept Geog &amp; Environm, Sackville, NB E4L 1A7, Canada; [Fifield, David A.] Environm Canada, Canadian Wildlife Serv, St John, NF A1N 4T3, Canada; [Gjerdrum, Carina] Environm Canada, Canadian Wildlife Serv, Dartmouth, NS B2Y 2N6, Canada</t>
  </si>
  <si>
    <t>Mount Allison University; Environment &amp; Climate Change Canada; Canadian Wildlife Service; Environment &amp; Climate Change Canada; Canadian Wildlife Service</t>
  </si>
  <si>
    <t>Lieske, DJ (corresponding author), Mt Allison Univ, Dept Geog &amp; Environm, 144 Main St, Sackville, NB E4L 1A7, Canada.</t>
  </si>
  <si>
    <t>dlieske@mta.ca</t>
  </si>
  <si>
    <t>Environmental Studies Research Funds (ESRF); Environmental Damages Fund of Environment Canada; Science Horizons Youth Internship Program of Environment Canada; Marjorie Young Bell Faculty Fund of Mount Allison University; Canadian Coast Guard; Department of Fisheries and Oceans; Environmental Studies Research Fund</t>
  </si>
  <si>
    <t>We acknowledge the financial support of the Environmental Studies Research Funds (ESRF, http://www.esrfunds.org), the Environmental Damages Fund of Environment Canada, the Science Horizons Youth Internship Program of Environment Canada, and the Marjorie Young Bell Faculty Fund of Mount Allison University. We thank A. Miller for GIS data management and analysis, as well as the EWHALE lab of the University of Alaska, Fairbanks for advice on the use of random forest machine learning. Access to vessels was kindly provided by the Canadian Coast Guard, Department of Fisheries and Oceans, and the Environmental Studies Research Fund; we wish to thank science staff, ships' officers, and personnel for their generous support, in particular the Atlantic Zone Monitoring Program participants. Finally, we thank all the observers who participated in the ECSAS program, and braved often challenging conditions to gather the data reported here.</t>
  </si>
  <si>
    <t>10.1016/j.biocon.2014.02.010</t>
  </si>
  <si>
    <t>AH7TK</t>
  </si>
  <si>
    <t>WOS:000336337800003</t>
  </si>
  <si>
    <t>Findlay, CR; Ripple, HD; Coomber, F; Froud, K; Harries, O; van Geel, NCF; Calderan, SV; Benjamins, S; Risch, D; Wilson, B</t>
  </si>
  <si>
    <t>Findlay, C. R.; Ripple, H. D.; Coomber, F.; Froud, K.; Harries, O.; van Geel, N. C. F.; Calderan, S. V.; Benjamins, S.; Risch, D.; Wilson, B.</t>
  </si>
  <si>
    <t>Underwater noise; Noise pollution; Acoustic deterrent devices; Mapping; Aquaculture; Marine mammals</t>
  </si>
  <si>
    <t>PORPOISES PHOCOENA-PHOCOENA; HARBOR PORPOISES; SEAL SCARER; CONSERVATION; AQUACULTURE; MANAGEMENT; ABUNDANCE; SOUND; RISK</t>
  </si>
  <si>
    <t>Acoustic deterrent devices (ADDs) are used in attempts to mitigate pinniped depredation on aquaculture sites through the emission of loud and pervasive noise. This study quantified spatio-temporal changes in underwater ADD noise detections along western Scotland over 11 years. Acoustic point data ('listening events') collected during cetacean line-transect surveys were used to map ADD presence between 2006 and 2016. A total of 19,601 listening events occurred along the Scottish west coast, and ADD presence was recorded during 1371 listening events. Results indicated a steady increase in ADD detections from 2006 (0.05%) to 2016 (6.8%), with the highest number of detections in 2013 (12.6%), as well as substantial geographic expansion. This study demonstrates that ADDs are a significant and chronic source of underwater noise on the Scottish west coast with potential adverse impacts on target (pinniped) and non-target (e.g. cetaceans) species, which requires further study and improved monitoring and regulatory strategies.</t>
  </si>
  <si>
    <t>[Findlay, C. R.; Ripple, H. D.; van Geel, N. C. F.; Calderan, S. V.; Benjamins, S.; Risch, D.; Wilson, B.] Univ Highlands &amp; Isl, SAMS, Oban PA37 1QA, Argyll, Scotland; [Coomber, F.; Froud, K.; Harries, O.; van Geel, N. C. F.; Calderan, S. V.] Hebridean Whale &amp; Dolphin Trust, 28 Main St, Tobermory PA75 6NU, Isle Of Mull, Scotland; [Froud, K.] Glengorm Wildlife Project, Glengorm Estate, Tobermory PA75 6QE, Isle Of Mull, Scotland; [Ripple, H. D.] 2543 Pine St, Boulder, CO 80302 USA</t>
  </si>
  <si>
    <t>University of the Highlands &amp; Islands</t>
  </si>
  <si>
    <t>Findlay, CR (corresponding author), Univ Highlands &amp; Isl, SAMS, Oban PA37 1QA, Argyll, Scotland.</t>
  </si>
  <si>
    <t>charlotte.findlay@sams.ac.uk</t>
  </si>
  <si>
    <t>; Findlay, Charlotte/AAS-2257-2020; Risch, Denise/W-1070-2019</t>
  </si>
  <si>
    <t>Benjamins, Steven/0000-0001-5457-3494; Coomber, Frazer/0000-0003-1279-6125; Findlay, Charlotte/0000-0003-4818-2184;</t>
  </si>
  <si>
    <t>Scottish Natural Heritage (SNH)</t>
  </si>
  <si>
    <t>The authors would like to thank the Hebridean Whale and Dolphin Trust (HWDT) for sharing their data, and acknowledge Scottish Natural Heritage (SNH) for their funding contribution to HWDTs Silurian monitoring program and data collection. We thank Mr. Alex Coram, Dr. Jonathan Gordon, Dr. Cormac Booth (Sea Mammal Research Unit), Dr. Caroline Carter (SNH), Dr. Nathan Merchant (Cefas), and Mr. Baxter Binnie (Terecos), Mr. Chris Hyde (OTAQ Ltd.) and Mr. Nathan Pyne-Carter (Ace Aquatec) for insightful discussions.</t>
  </si>
  <si>
    <t>10.1016/j.marpolbul.2018.08.042</t>
  </si>
  <si>
    <t>GX9BT</t>
  </si>
  <si>
    <t>WOS:000448094200113</t>
  </si>
  <si>
    <t>Fremout, T; Thomas, E; Gaisberger, H; Van Meerbeek, K; Muenchow, J; Briers, S; Gutierrez-Miranda, CE; Marcelo-Peña, JL; Kindt, R; Atkinson, R; Cabrera, O; Espinosa, CI; Aguirre-Mendoza, Z; Muys, B</t>
  </si>
  <si>
    <t>Fremout, Tobias; Thomas, Evert; Gaisberger, Hannes; Van Meerbeek, Koenraad; Muenchow, Jannes; Briers, Siebe; Gutierrez-Miranda, Claudia E.; Marcelo-Pena, Jose L.; Kindt, Roeland; Atkinson, Rachel; Cabrera, Omar; Espinosa, Carlos I.; Aguirre-Mendoza, Zhofre; Muys, Bart</t>
  </si>
  <si>
    <t>functional traits; multithreat vulnerability; restoration and conservation planning; sensitivity; tropical dry forest</t>
  </si>
  <si>
    <t>DISTRIBUTION MODELS IMPLICATIONS; CLIMATE-CHANGE VULNERABILITY; LAND-USE CHANGE; BIODIVERSITY CONSERVATION; HABITAT LOSS; DIVERSITY; TRAITS; PERFORMANCE; PATTERNS; SCALE</t>
  </si>
  <si>
    <t>Understanding the vulnerability of tree species to anthropogenic threats is important for the efficient planning of restoration and conservation efforts. We quantified and compared the effects of future climate change and four current threats (fire, habitat conversion, overgrazing and overexploitation) on the 50 most common tree species of the tropical dry forests of northwestern Peru and southern Ecuador. We used an ensemble modelling approach to predict species distribution ranges, employed freely accessible spatial datasets to map threat exposures, and developed a trait-based scoring approach to estimate species-specific sensitivities, using differentiated trait weights in accordance with their expected importance in determining species sensitivities to specific threats. Species-specific vulnerability maps were constructed from the product of the exposure maps and the sensitivity estimates. We found that all 50 species face considerable threats, with an average of 46% of species' distribution ranges displaying high or very high vulnerability to at least one of the five threats. Our results suggest that current levels of habitat conversion, overexploitation and overgrazing pose larger threats to most of the studied species than climate change. We present a spatially explicit planning strategy for species-specific restoration and conservation actions, proposing management interventions to focus on (a) in situ conservation of tree populations and seed collection for tree planting activities in areas with low vulnerability to climate change and current threats; (b) ex situ conservation or translocation of populations in areas with high climate change vulnerability; and (c) active planting or assisted regeneration in areas under high current threat vulnerability but low climate change vulnerability, provided that interventions are in place to lower threat pressure. We provide an online, user-friendly tool to visualize both the vulnerability maps and the maps indicating priority restoration and conservation actions.</t>
  </si>
  <si>
    <t>[Fremout, Tobias; Van Meerbeek, Koenraad; Briers, Siebe; Muys, Bart] Katholieke Univ Leuven, Div Forest Nat &amp; Landscape, Dept Earth &amp; Environm Sci, Leuven, Belgium; [Fremout, Tobias; Thomas, Evert; Atkinson, Rachel] Alliance Biovers Int CIAT, Lima, Peru; [Gaisberger, Hannes] Alliance Biovers Int CIAT, Maccarese, Italy; [Muenchow, Jannes] Friedrich Schiller Univ, Inst Geog, Jena, Germany; [Gutierrez-Miranda, Claudia E.] Univ Nacl Agr La Molina, Lima, Peru; [Marcelo-Pena, Jose L.] Univ Nacl Jaen, Jaen, Peru; [Kindt, Roeland] World Agroforestry, Nairobi, Kenya; [Cabrera, Omar; Espinosa, Carlos I.] Univ Tecn Particular Loja, Dept Ciencias Nat, Loja, Ecuador; [Aguirre-Mendoza, Zhofre] Univ Nacl Loja, Herbario LOJA, Loja, Ecuador</t>
  </si>
  <si>
    <t>KU Leuven; Friedrich Schiller University of Jena; Universidad Nacional Agraria La Molina; Universidad Nacional de Jaen; CGIAR; World Agroforestry (ICRAF); Universidad Tecnica Particular de Loja; Universidad Nacional de Loja</t>
  </si>
  <si>
    <t>Muys, B (corresponding author), Katholieke Univ Leuven, Div Forest Nat &amp; Landscape, Dept Earth &amp; Environm Sci, Leuven, Belgium.</t>
  </si>
  <si>
    <t>bart.muys@kuleuven.be</t>
  </si>
  <si>
    <t>Van Meerbeek, Koenraad/C-9007-2016; Cabrera, Omar/V-6526-2019; Gaisberger, Hannes Thomas/EXT-3640-2022; Muys, Bart/ABN-3906-2022; Fremout, Tobias/AFR-0788-2022; Espinosa, Carlos Ivan/AAI-1305-2019; Kindt, Roeland/AAV-3346-2020</t>
  </si>
  <si>
    <t>Van Meerbeek, Koenraad/0000-0002-9260-3815; thomas, evert/0000-0002-7838-6228; Gaisberger, Hannes Thomas/0000-0002-6023-1236; Briers, Siebe/0000-0001-6696-7052; Muys, Bart/0000-0001-9421-527X; Marcelo Peña, José Luis/0000-0002-0095-4643; Fremout, Tobias/0000-0002-0812-3027; Espinosa, Carlos Ivan/0000-0002-5330-4505; Kindt, Roeland/0000-0002-7672-0712</t>
  </si>
  <si>
    <t>Bundesministerium fur Wirtschaftliche Zusammenarbeit und Entwicklung [16.7860.6001.00, 8121944]; CGIAR; Vlaamse Interuniversitaire Raad [NDOC2016PR002]</t>
  </si>
  <si>
    <t>Bundesministerium fur Wirtschaftliche Zusammenarbeit und Entwicklung; CGIAR(CGIAR); Vlaamse Interuniversitaire Raad</t>
  </si>
  <si>
    <t>Bundesministerium fur Wirtschaftliche Zusammenarbeit und Entwicklung, Grant/Award Number: project No 16.7860.6001.00; contract No 8121944; CGIAR Fund Donors; Vlaamse Interuniversitaire Raad, Grant/Award Number: NDOC2016PR002</t>
  </si>
  <si>
    <t>10.1111/gcb.15028</t>
  </si>
  <si>
    <t>LQ9HK</t>
  </si>
  <si>
    <t>Green Accepted</t>
  </si>
  <si>
    <t>WOS:000521628000001</t>
  </si>
  <si>
    <t>Kilshaw, K; Montgomery, RA; Campbell, RD; Hetherington, DA; Johnson, PJ; Kitchener, AC; Macdonald, DW; Millspaugh, JJ</t>
  </si>
  <si>
    <t>Kilshaw, Kerry; Montgomery, Robert A.; Campbell, Ruairidh D.; Hetherington, David A.; Johnson, Paul J.; Kitchener, Andrew C.; Macdonald, David W.; Millspaugh, Joshua J.</t>
  </si>
  <si>
    <t>MAMMAL RESEARCH</t>
  </si>
  <si>
    <t>Camera-trap; Distribution; Felis silvestris silvestris; Hybridization; Occupancy; Wildcat</t>
  </si>
  <si>
    <t>HOME-RANGE SIZE; DOMESTIC CATS; HABITAT UTILIZATION; CONSERVATION; MODELS; ECOLOGY; HYBRIDS; DIVERSITY; ABUNDANCE; SELECTION</t>
  </si>
  <si>
    <t>The wildcat in Scotland, UK, is currently at risk of extinction because of hybridization with feral domestic cats (ferals) and hybrids (wildcat x domestic cat crosses). Conservation efforts are hampered by limited information on the distribution of these three cat types and the spatial variation in hybridization risk. From January 2010 to July 2013, we conducted widespread camera-trapping surveys throughout northern Scotland to document the distribution of ferals, hybrids, and wildcats. Using single-season occupancy models, we predicted the probability of occupancy for these three cat types across Scotland. Over 49,031 camera-trapping days, we had 87 captures (photo of a cat at a camera-trap station within a 24-h period) of wildcats, 145 captures of hybrids, and 193 captures of ferals. At over 48 % of the camera-trap stations where we detected wildcats, we also detected ferals or hybrids. We predicted wildcat occupancy as a function of habitat co-variates. Wildcat occupancy probability increased in habitat with a higher proportion of mixed woodland habitat and decreased in habitat with more edge (transition from closed to open habitats). Hybrids showed a clear overlap in their distribution pattern with both ferals and wildcats. The results indicate that wildcats in Scotland are at risk of hybridization across much of their current distribution from ferals and/or hybrids. In particular, hybrids have an increased probability of occupying much of the same habitat as wildcats compared to ferals, supporting recent suggestions that hybrids may pose a significant additional hybridization threat by facilitating gene flow between wildcats and ferals.</t>
  </si>
  <si>
    <t>[Kilshaw, Kerry; Montgomery, Robert A.; Johnson, Paul J.; Macdonald, David W.] Univ Oxford, Dept Zool, Wildlife Conservat Res Unit, Recanti Kaplan Ctr, Tubney House,Abingdon Rd, Tubney OX13 5QL, Oxon, England; [Montgomery, Robert A.] Michigan State Univ, Dept Fisheries &amp; Wildlife, 480 Wilson Rd,13 Nat Resources Bldg, E Lansing, MI 48824 USA; [Campbell, Ruairidh D.] Edinburgh Zoo, Royal Zool Soc Scotland, Edinburgh EH12 6TS, Midlothian, Scotland; [Hetherington, David A.] Cairngorms Natl Pk Author, 14 Sq, Grantown On Spey PH26 3HG, Scotland; [Millspaugh, Joshua J.] Univ Missouri, Dept Fisheries &amp; Wildlife Sci, 302 Nat Resources Bldg, Columbia, MO 65211 USA; [Kitchener, Andrew C.] Natl Museums Scotland, Dept Nat Sci, Chambers St, Edinburgh EH1 1JF, Midlothian, Scotland; [Kitchener, Andrew C.] Univ Edinburgh, Sch Geosci, Inst Geog, Drummond St, Edinburgh EH8 9XP, Midlothian, Scotland</t>
  </si>
  <si>
    <t>University of Oxford; Michigan State University; University of Missouri System; University of Missouri Columbia; University of Edinburgh</t>
  </si>
  <si>
    <t>Kilshaw, K (corresponding author), Univ Oxford, Dept Zool, Wildlife Conservat Res Unit, Recanti Kaplan Ctr, Tubney House,Abingdon Rd, Tubney OX13 5QL, Oxon, England.</t>
  </si>
  <si>
    <t>kesserk@yahoo.com</t>
  </si>
  <si>
    <t>Montgomery, Robert A/0000-0001-5894-0589; Kitchener, Anew/0000-0003-2594-0827</t>
  </si>
  <si>
    <t>Recanti-Kaplan Foundation; European Nature Trust; Peoples Trust for Endangered Species (PTES); Aspinall Foundation; Whitely Animal Protection Trust; Scottish Natural Heritage; Royal Zoological Society of Scotland</t>
  </si>
  <si>
    <t>We are grateful to the support of the Recanti-Kaplan Foundation, the European Nature Trust, the Peoples Trust for Endangered Species (PTES), the Aspinall Foundation (KK and DWM), the Whitely Animal Protection Trust (PJJ), Scottish Natural Heritage (KK and DAH), and the Royal Zoological Society of Scotland (KK, RDC).</t>
  </si>
  <si>
    <t>2199-2401</t>
  </si>
  <si>
    <t>2199-241X</t>
  </si>
  <si>
    <t>MAMMAL RES</t>
  </si>
  <si>
    <t>Mammal Res.</t>
  </si>
  <si>
    <t>10.1007/s13364-015-0253-x</t>
  </si>
  <si>
    <t>DH6CZ</t>
  </si>
  <si>
    <t>WOS:000372879900001</t>
  </si>
  <si>
    <t>Malherbe, H; Pauleit, S; Lorz, C</t>
  </si>
  <si>
    <t>Malherbe, Hanlie; Pauleit, Stephan; Lorz, Carsten</t>
  </si>
  <si>
    <t>Mapping the Loss of Ecosystem Services in a Region Under Intensive Land Use Along the Southern Coast of South Africa</t>
  </si>
  <si>
    <t>LAND</t>
  </si>
  <si>
    <t>Land use; land cover; scoring matrix; landscape properties; spatially explicit</t>
  </si>
  <si>
    <t>BIODIVERSITY</t>
  </si>
  <si>
    <t>Intensive land use activities worldwide have caused considerable loss to many ecosystem services. The dynamics of these threats must be quickly investigated to ensure timely update of management strategies and policies. Compared with complex models, mapping approaches that use scoring matrices to link land use/land cover and landscape properties with ecosystem services are relatively efficient and easier to apply. In this study, scoring matrices are developed and spatially explicit assessments of five ecosystem services, such as erosion control, water flow regulation, water quality maintenance, soil quality maintenance, and biodiversity maintenance, are conducted for a region under intense land use along the southern coast of South Africa. The complex interaction of land use/land cover and ecosystem services within a particular landscape is further elucidated by performing a spatial overview of the high-risk areas that contribute to the loss of ecosystem services. Results indicate that both agricultural activities and urban development contribute to the loss of ecosystem services. This study reveals that with sufficient knowledge from previous literature and inputs from experts, the use of scoring matrices can be adapted to different regional characteristics. This approach can be improved by adding additional landscape properties and/or adapting the matrix values as new data become available.</t>
  </si>
  <si>
    <t>[Malherbe, Hanlie; Pauleit, Stephan] Tech Univ Munich, Strateg Landscape Planning &amp; Management, Sch Life Sci Weihenstephan, Emil Ramann Str 6, D-85354 Freising Weihenstephan, Germany; [Malherbe, Hanlie; Lorz, Carsten] Weihenstephan Triesdorf Univ Appl Sci, Dept Forestry, Hans Carl von Carlowitz Pl 3, D-85354 Freising Weihenstephan, Germany</t>
  </si>
  <si>
    <t>Technical University of Munich</t>
  </si>
  <si>
    <t>Malherbe, H (corresponding author), Tech Univ Munich, Strateg Landscape Planning &amp; Management, Sch Life Sci Weihenstephan, Emil Ramann Str 6, D-85354 Freising Weihenstephan, Germany.;Malherbe, H (corresponding author), Weihenstephan Triesdorf Univ Appl Sci, Dept Forestry, Hans Carl von Carlowitz Pl 3, D-85354 Freising Weihenstephan, Germany.</t>
  </si>
  <si>
    <t>hanlie.malherbe@gmail.com; pauleit@tum.de; carsten.lorz@hswt.de</t>
  </si>
  <si>
    <t>Pauleit, Stephan/ISV-4685-2023</t>
  </si>
  <si>
    <t>Pauleit, Stephan/0000-0002-0056-6720</t>
  </si>
  <si>
    <t>Deutscher Akademischer Austauschdienst \ German Academic Exchange Service [57076405]; Bundesministerium fur Bildung und Forschung \ German Federal Ministry of Education and Research [FKZ 02WSP1306D]</t>
  </si>
  <si>
    <t>Deutscher Akademischer Austauschdienst \ German Academic Exchange Service(Deutscher Akademischer Austausch Dienst (DAAD)); Bundesministerium fur Bildung und Forschung \ German Federal Ministry of Education and Research(Federal Ministry of Education &amp; Research (BMBF))</t>
  </si>
  <si>
    <t>This research was funded by the Deutscher Akademischer Austauschdienst vertical bar German Academic Exchange Service (57076405) and the Bundesministerium fur Bildung und Forschung vertical bar German Federal Ministry of Education and Research (FKZ 02WSP1306D).</t>
  </si>
  <si>
    <t>2073-445X</t>
  </si>
  <si>
    <t>LAND-BASEL</t>
  </si>
  <si>
    <t>MAR 21</t>
  </si>
  <si>
    <t>10.3390/land8030051</t>
  </si>
  <si>
    <t>Environmental Studies</t>
  </si>
  <si>
    <t>HT1TD</t>
  </si>
  <si>
    <t>WOS:000464346500001</t>
  </si>
  <si>
    <t>Fernandes, ML; Sousa, LP; Quintela, A; Marques, M; Reis, J; Simao, AP; Castro, AT; Marques, JM; Alves, FL</t>
  </si>
  <si>
    <t>Fernandes, Maria Luz; Sousa, Lisa P.; Quintela, Adriano; Marques, Marcia; Reis, Johnny; Simao, Ana Paula; Castro, Ana T.; Marques, Jose Manuel; Alves, Fatima L.</t>
  </si>
  <si>
    <t>SEA; Natura 2000; MSP; Portugal; Activities and uses; Environmental assessment</t>
  </si>
  <si>
    <t>ENVIRONMENTAL ASSESSMENT; MARINE; CHALLENGES; MANAGEMENT; NETWORK</t>
  </si>
  <si>
    <t>Maritime Spatial Planning (MSP) is bringing new challenges to planning and management in the marine realm, namely on the environmental assessment of the new plans and projects. Portugal is developing its first MSP instrument, PSOEM (Piano de Situacao do Ordenamento do Espoco Maritimo), since 2015 and published it on December 2019. This paper focuses on a particular stage of the Strategic Environmental Assessment (SEA) of PSOEM regarding the assessment of the activities/uses that may significantly affect Natura 2000 marine network during the Plan's implementation in the Mainland subdivision. Over the years, progress has been made in researching and assessing the environmental impacts of maritime activities/uses. However, its application to practice raised several challenges and limitations. The methodological approach presented in this paper was developed to overcome knowledge, data and time constraints. Some of the limitations are a consequence of the MSP approach itself adopted in Portugal, namely the low technical detail on future uses and activities, which is required and desirable at this level of planning. Others relate with the lack of spatially explicit data on marine habitats and species distribution preserved under Natura 2000 network, which is not fully established in the marine environment. The adopted methodology started with the characterization and mapping of the conservation values and the pressures arising from the potential activities/uses. It followed with the assessment of their impacts and finally with the identification of mitigation measures, which were then adopted by the PSOEM as good practices. As new knowledge is generated and more information is collected, this tailor-made approach can be easily adapted and improved to keep supporting decision-making throughout PSOEM's implementation. The method can be easily adapted and transferred to other contexts, not only within the Portuguese maritime area, and could be made available to stakeholders that wish to invest in blue growth. (C) 2020 Elsevier B.V. All rights reserved.</t>
  </si>
  <si>
    <t>[Fernandes, Maria Luz; Sousa, Lisa P.; Quintela, Adriano; Marques, Marcia; Reis, Johnny; Alves, Fatima L.] Univ Aveiro, Dept Environm &amp; Planning, Campus Santiago, P-3810193 Aveiro, Portugal; [Fernandes, Maria Luz; Sousa, Lisa P.; Quintela, Adriano; Marques, Marcia; Reis, Johnny; Alves, Fatima L.] Univ Aveiro, CESAM Ctr Environm &amp; Marine Studies, Campus Santiago, P-3810193 Aveiro, Portugal; [Simao, Ana Paula; Castro, Ana T.; Marques, Jose Manuel] Direcao Geral Recursos Nat Seguranca &amp; Serv Marit, Ave Brasilia, P-1449030 Lisbon, Portugal</t>
  </si>
  <si>
    <t>Universidade de Aveiro; Universidade de Aveiro</t>
  </si>
  <si>
    <t>Fernandes, ML (corresponding author), Univ Aveiro, Dept Environm &amp; Planning, Campus Santiago, P-3810193 Aveiro, Portugal.;Fernandes, ML (corresponding author), Univ Aveiro, CESAM Ctr Environm &amp; Marine Studies, Campus Santiago, P-3810193 Aveiro, Portugal.</t>
  </si>
  <si>
    <t>maria.luz@ua.pt; lisa@ua.pt; quintela@ua.pt; marcia.marques@ua.pt; johnnydreis@ua.pt; asimao@dgrm.mm.gov.pt; atcastro@dgrm.mm.gov.pt; jmarques@dgrm.mm.gov.pt; malves@ua.pt</t>
  </si>
  <si>
    <t>Fernandes, Maria da Luz/N-6238-2016; Quintela, Aiano/F-9155-2017; Reis, Johnny Daniel/AAQ-8500-2020; Alves, Fátima/F-3375-2010; Pinto de Sousa, Lisa/A-9696-2012; Sousa, Lisa/A-9696-2012</t>
  </si>
  <si>
    <t>Fernandes, Maria da Luz/0000-0002-2283-8133; Quintela, Aiano/0000-0002-2930-4863; Marques, Márcia/0000-0001-8922-143X; Reis, Johnny Daniel/0000-0003-4500-3937; Pinto de Sousa, Lisa/0000-0001-8017-0971;</t>
  </si>
  <si>
    <t>Directorate General for Natural Resources, Safety and Maritime Services (DGRM); Portuguese Foundation for Science and Technology -FCT [PD/BD/113485/2015]; Project SIMNORAT [EASME/&amp;EMFF/2015/1.2.1.3/03/SI2.742089]; Portuguese Foundation for Science and Technology (FCT) [SFRH/BD/138422/2018]; consortium DGRM/UA [BTI/PSOEM/DAO/2017]; CESAM [UID/AMB/50017/2019]; FCT/MCTES; FEDER, within the PT2020 Partnership Agreement; FEDER, within the Compete 2020; Fundação para a Ciência e a Tecnologia [PD/BD/113485/2015, SFRH/BD/138422/2018] Funding Source: FCT</t>
  </si>
  <si>
    <t>Directorate General for Natural Resources, Safety and Maritime Services (DGRM); Portuguese Foundation for Science and Technology -FCT(Fundacao para a Ciencia e a Tecnologia (FCT)); Project SIMNORAT; Portuguese Foundation for Science and Technology (FCT)(Fundacao para a Ciencia e a Tecnologia (FCT)); consortium DGRM/UA; CESAM; FCT/MCTES(Fundacao para a Ciencia e a Tecnologia (FCT)); FEDER, within the PT2020 Partnership Agreement; FEDER, within the Compete 2020; Fundação para a Ciência e a Tecnologia(Fundacao para a Ciencia e a Tecnologia (FCT))</t>
  </si>
  <si>
    <t>This work was financed by the Directorate General for Natural Resources, Safety and Maritime Services (DGRM) and has been developed under the consortium DGRM/UA -for development of the Strategic Environmental Assessment of the Portuguese Maritime Spatial Plan. MLF was supported by Portuguese Foundation for Science and Technology -FCT, with a Do*Mar programme PhD grant (PD/BD/113485/2015). LS and AQ were financed through Project SIMNORAT (EASME/&amp;EMFF/2015/1.2.1.3/03/SI2.742089). MM was supported by the Portuguese Foundation for Science and Technology (FCT), with a PhD grant (SFRH/BD/138422/2018). JR was supported under consortium DGRM/UA (BTI/PSOEM/DAO/2017). Thanks are due for the financial support to CESAM (UID/AMB/50017/2019), to FCT/MCTES through national funds, and the co-funding by the FEDER, within the PT2020 Partnership Agreement and Compete 2020.</t>
  </si>
  <si>
    <t>MAY 1</t>
  </si>
  <si>
    <t>10.1016/j.scitotenv.2020.136863</t>
  </si>
  <si>
    <t>KS6IF</t>
  </si>
  <si>
    <t>WOS:000518409900084</t>
  </si>
  <si>
    <t>Garratt, MJ; Jenkins, SR; Davies, TW</t>
  </si>
  <si>
    <t>Garratt, Matthew J.; Jenkins, Stuart R.; Davies, Thomas W.</t>
  </si>
  <si>
    <t>Artificial light at night; Illuminance; High pressure sodium; Intertidal ecosystems; Sandy shore; Macroinvertebrates; Community structure</t>
  </si>
  <si>
    <t>SANDY BEACH ECOSYSTEMS; FISH-TAIL GROYNES; NEGATIVE PHOTOTAXIS; WAVE EXPOSURE; BEHAVIOR; POLLUTION; SEDIMENT; SANDHOPPERS; PREDATION; GRADIENT</t>
  </si>
  <si>
    <t>Widespread coastal urbanization has resulted in artificial light pollution encroaching into intertidal habitats, which are highly valued by society for ecosystem services including coastal protection, climate regulation and recreation. While the impacts of artificial light at night in terrestrial and riparian ecosystems are increasingly well documented, those on organisms that reside in coastal intertidal habitats are less well explored. The distribution of artificial light at night from seaside promenade lighting was mapped across a sandy shore, and its consequences for macroinvertebrate community structure quantified accounting for other collinear environmental variables known to shape bio-diversity in intertidal ecosystems (shore height, wave exposure and organic matter content). Macroinvertebrate community composition significantly changed along artificial light gradients. Greater numbers of species and total community biomass were observed with increasing illumination, a relationship that was more pronounced (increased effects size) with increasing organic matter availability. Individual taxa exhibited different relationships with artificial light illuminance; the abundances of 27% of non-rare taxa [including amphipods (Amphipoda), catworms (Nephtys spp.), and sand mason worms (Lanice conchilega)] decreased with increasing illumination, while 20% [including tellins (Tellinidae spp.), lugworms (Arenicola marina) and ragworms (Nereididae spp.)] increased. Possible causes of these relationships are discussed, including direct effects of artificial light on macroinvertebrate behaviour and indirect effects via trophic interactions. With increasing light pollution in coastal zones around the world, larger scale changes in intertidal ecosystems could be occurring. (c) 2019 The Authors. Published by Elsevier B.V.</t>
  </si>
  <si>
    <t>[Garratt, Matthew J.; Jenkins, Stuart R.; Davies, Thomas W.] Bangor Univ, Sch Ocean Sci, Menai Bridge LL59 5AB, Gwynedd, Wales</t>
  </si>
  <si>
    <t>Bangor University</t>
  </si>
  <si>
    <t>Davies, TW (corresponding author), Bangor Univ, Sch Ocean Sci, Menai Bridge LL59 5AB, Gwynedd, Wales.</t>
  </si>
  <si>
    <t>osu470@bangor.ac.uk; s.jenkins@bangor.ac.uk; thomas.davies@bangor.ac.uk</t>
  </si>
  <si>
    <t>Jenkins, Stuart/D-2032-2010; Davies, Thomas/H-8103-2013; Garratt, Matthew/KLC-4206-2024</t>
  </si>
  <si>
    <t>Davies, Thomas/0000-0002-4673-9893; Garratt, Matthew/0009-0003-2264-6662</t>
  </si>
  <si>
    <t>European Regional Development Fund through the Welsh Government [80761-BU-134]; Natural Environment Research Council [NE/S003533/1]; Natural Environment Research Council [NE/S003533/2] Funding Source: researchfish; NERC [NE/S003533/2, NE/S003533/1] Funding Source: UKRI</t>
  </si>
  <si>
    <t>European Regional Development Fund through the Welsh Government; Natural Environment Research Council(UK Research &amp; Innovation (UKRI)Natural Environment Research Council (NERC)); Natural Environment Research Council(UK Research &amp; Innovation (UKRI)Natural Environment Research Council (NERC)); NERC(UK Research &amp; Innovation (UKRI)Natural Environment Research Council (NERC))</t>
  </si>
  <si>
    <t>The research leading to this publication was supported by the European Regional Development Fund through the Welsh Government [grant number 80761-BU-134 awarded to T.W.D.], and theNatural Environment Research Council [grant number NE/S003533/1 awarded to T.W.D and S.J.]. Our thanks to Dr. Dei Huws and the technical staff at the School of Ocean Sciences for providing laboratory resources and any necessary training.</t>
  </si>
  <si>
    <t>10.1016/j.scitotenv.2019.07.156</t>
  </si>
  <si>
    <t>JX8WQ</t>
  </si>
  <si>
    <t>WOS:000504009600072</t>
  </si>
  <si>
    <t>Naura, M; Hornby, DD; Collins, AL; Sear, DA; Hill, C; Jones, JI; Naden, PS</t>
  </si>
  <si>
    <t>Naura, M.; Hornby, D. D.; Collins, A. L.; Sear, D. A.; Hill, C.; Jones, J. I.; Naden, P. S.</t>
  </si>
  <si>
    <t>Fine sediment; Agricultural source; Diffuse pollution; Risk assessment; Geostatistics; Fish habitat; River Habitat Survey</t>
  </si>
  <si>
    <t>PROCESS-BASED MODEL; CATCHMENTS; MACROPHYTES; PHOSPHORUS; STORAGE; BED; UK; MOBILIZATION; FRAMEWORK; SUPPORT</t>
  </si>
  <si>
    <t>Fine sediment inputs from agricultural sources are a potential threat to freshwater ecosystems and may impact on the ability of EU members' states to achieve environmental targets under the Water Framework Directive (WFD). An index (the Agricultural Sediment Risk index or ASR) representing the risk of agricultural fine sediment accumulation in rivers was produced using estimates of sediment inputs from the process-based PSYCHIC model and predictions of fine sediment accumulation using River Habitat Survey data. The ASR was mapped across the entire river network of England and Wales. The ASR map and index were combined with a national dataset of fisheries surveys using logistic regression to test its relevance to freshwater biota. The ASR was strongly associated with a group of species sensitive to fine sediment inputs including salmon and trout. Another group of species including roach and perch showed a positive association with low levels of agricultural sediment inputs potentially due to their impacts on predators and competitors. The proposed approach demonstrates how existing national monitoring data and sediment pressure models can be combined to produce an assessment of risk to aquatic ecosystems from agricultural fine sediment sources at a national scale that can be used alongside WFD classification tools to identify potential causative pressures and design remedial actions. (C) 2016 Elsevier Ltd. All rights reserved.</t>
  </si>
  <si>
    <t>[Naura, M.] Univ Southampton, Fac Engn &amp; Environm, Southampton SO17 1BJ, Hants, England; [Hornby, D. D.; Sear, D. A.; Hill, C.] Univ Southampton, Geog &amp; Environm, Southampton SO17 1BJ, Hants, England; [Collins, A. L.] Rothamsted Res, Sustainable Soils &amp; Grassland Syst Dept, North Wyke EX20 2SB, Okehampton, England; [Naden, P. S.] Ctr Ecol &amp; Hydrol, Wallingford OX10 8BB, Oxon, England; [Jones, J. I.] Queen Mary Univ London, Sch Biol &amp; Chem Sci, London E1 4NS, England</t>
  </si>
  <si>
    <t>University of Southampton; University of Southampton; UK Research &amp; Innovation (UKRI); Biotechnology and Biological Sciences Research Council (BBSRC); Rothamsted Research; UK Centre for Ecology &amp; Hydrology (UKCEH); University of London; Queen Mary University London</t>
  </si>
  <si>
    <t>Naura, M (corresponding author), Univ Southampton, Fac Engn &amp; Environm, Southampton SO17 1BJ, Hants, England.</t>
  </si>
  <si>
    <t>marc.naura@soton.ac.uk</t>
  </si>
  <si>
    <t>Collins, Aian/V-5938-2018; Jones, John Iwan/AFL-3145-2022; Naura, Marc/K-6254-2014; Sear, David/J-6333-2012</t>
  </si>
  <si>
    <t>Collins, Aian/0000-0001-8790-8473; Hornby, Duncan/0000-0001-6295-1360; Jones, John Iwan/0000-0002-7238-2509; Hill, Chris/0000-0003-4344-6734; Naura, Marc/0000-0002-4671-7141;</t>
  </si>
  <si>
    <t>Department for Environment, Food and Rural Affairs (Defra) [WQ0128]</t>
  </si>
  <si>
    <t>Department for Environment, Food and Rural Affairs (Defra)(Department for Environment, Food &amp; Rural Affairs (DEFRA))</t>
  </si>
  <si>
    <t>RHS and NFPD data can be found on the UK government data portal (http://data.gov.uk/) or by contacting the Environment Agency. FCS outputs can be obtained by contacting the Environment Agency. Funding provided by the Department for Environment, Food and Rural Affairs (Defra) under project WQ0128 (Extending the evidence base on the ecological impacts of fine sediment and developing a framework for targeting mitigation of agricultural sediment losses) is gratefully acknowledged.</t>
  </si>
  <si>
    <t>10.1016/j.ecolind.2016.03.055</t>
  </si>
  <si>
    <t>ED3YU</t>
  </si>
  <si>
    <t>WOS:000388785200019</t>
  </si>
  <si>
    <t>Trebilco, R; Halpern, BS; Flemming, JM; Field, C; Blanchard, W; Worm, B</t>
  </si>
  <si>
    <t>Trebilco, Rowan; Halpern, Benjamin S.; Flemming, Joanna Mills; Field, Chris; Blanchard, Wade; Worm, Boris</t>
  </si>
  <si>
    <t>Marine conservation; Pelagic; Prioritisation; Hotspots; Biogeography; Sea surface temperature; Longlining; Fishing; Tuna</t>
  </si>
  <si>
    <t>BIODIVERSITY HOTSPOTS; MARINE BIODIVERSITY; PREDATOR DIVERSITY; RESERVES; OCEAN; PATTERNS; TEMPERATURE; FISHERIES; AREAS; TUNA</t>
  </si>
  <si>
    <t>Given the widely recognized need to better protect the oceans but limited resources to do so, methods for prioritizing potential protected area sites are important. This is particularly true for the open oceans, where few protected areas currently exist and data availability is limited. Here, we examine the relationship between the distributions of tuna and billfish species richness (an indicator of pelagic biodiversity), the human impact drivers of fishing pressure (quantified as cumulative removals) and sea surface temperature increase (quantified as the increase in large positive anomalies) in tropical to temperate oceans at the scale of a 5 degrees x 5 degrees grid. We investigate relationships using Generalised Additive Models and Regression Tree analysis, and identify the top 50 hotspot cells for species richness and each of the two impact drivers. We find that both impact drivers significantly overlap with high species richness, but relationships are complex, non-linear and ocean-basin specific. Higher fishing pressure is associated with higher species richness in the Indian and Pacific Oceans, and this overlap is particularly prominent in the central Pacific, and in the Indian Ocean around Sri Lanka. In the Pacific and Atlantic Oceans, species richness is generally higher in areas that have seen lower levels of change in sea surface temperature and only one cell, near Easter Island, is a hotspot for species richness and sea surface temperature increase. While species richness and impact drivers overlap in some areas, there are many areas with high species richness and limited apparent impact. This suggests that area-based conservation strategies that aim to protect areas of high pelagic biodiversity may be achievable with limited displacement of fishing effort. (C) 2011 Elsevier Ltd. All rights reserved.</t>
  </si>
  <si>
    <t>[Trebilco, Rowan] Simon Fraser Univ, Res Grp Earth2Ocean, Burnaby, BC V5A 1S6, Canada; [Trebilco, Rowan; Halpern, Benjamin S.] Natl Ctr Ecol Anal &amp; Synth, Santa Barbara, CA 93101 USA; [Flemming, Joanna Mills; Field, Chris; Blanchard, Wade] Dalhousie Univ, Dept Math &amp; Stat, Halifax, NS B3H 3J5, Canada; [Blanchard, Wade; Worm, Boris] Dalhousie Univ, Dept Biol, Halifax, NS B3H 4J1, Canada</t>
  </si>
  <si>
    <t>Simon Fraser University; University of California System; University of California Santa Barbara; Dalhousie University; Dalhousie University</t>
  </si>
  <si>
    <t>Trebilco, R (corresponding author), Simon Fraser Univ, Res Grp Earth2Ocean, 8888 Univ Dr, Burnaby, BC V5A 1S6, Canada.</t>
  </si>
  <si>
    <t>rtrebilc@sfu.ca</t>
  </si>
  <si>
    <t>Trebilco, Rowan/I-5311-2012; Mills Flemming, Joanna/D-6323-2011; Halpern, Benjamin/J-6141-2014; Worm, Boris/ADW-9659-2022</t>
  </si>
  <si>
    <t>Trebilco, Rowan/0000-0001-9712-8016; Mills Flemming, Joanna/0000-0002-3517-3089; Worm, Boris/0000-0002-5742-8716</t>
  </si>
  <si>
    <t>Rhodes Trust; Magdalen College; Sloan Foundation; National Center for Ecological Analysis and Synthesis</t>
  </si>
  <si>
    <t>Rhodes Trust; Magdalen College; Sloan Foundation(Alfred P. Sloan Foundation); National Center for Ecological Analysis and Synthesis</t>
  </si>
  <si>
    <t>RT thanks the Rhodes Trust, Magdalen College, and BW the Sloan Foundation (Census of Marine Life, FMAP program) for their funding and support. The authors would also like to thank Dan Ricard, Shaun Walbridge, Colin Ebert, Jim Regetz, Sean Anderson and Coilin Minto for their help and advice, and BSH acknowledges support from the National Center for Ecological Analysis and Synthesis. We are grateful to two anonymous reviewers, who provided helpful. comments on earlier versions of this manuscript.</t>
  </si>
  <si>
    <t>10.1016/j.biocon.2011.02.024</t>
  </si>
  <si>
    <t>791MB</t>
  </si>
  <si>
    <t>WOS:000292668200061</t>
  </si>
  <si>
    <t>Pinho, P; Dias, T; Cordovil, CMDS; Dragosits, U; Dise, NB; Sutton, MA; Branquinho, C</t>
  </si>
  <si>
    <t>Pinho, Pedro; Dias, Teresa; Cordovil, Claudia M. D. S.; Dragosits, Ulrike; Dise, Nancy B.; Sutton, Mark A.; Branquinho, Cristina</t>
  </si>
  <si>
    <t>CRITICAL LOADS; COMMUNITY CHANGE; CLIMATE-CHANGE; DEPOSITION; AMMONIA; VEGETATION; IMPACT; HETEROGENEITY; ECOSYSTEMS; INDICATORS</t>
  </si>
  <si>
    <t>In this paper, we assess and map the risk that atmospheric nitrogen (atN) pollution poses to biodiversity in Natura 2000 sites in mainland Portugal. We first review the ecological impacts of atN pollution on terrestrial ecosystems, focusing on the biodiversity of Natura 2000 sites. These nature protection sites, especially those located within the Mediterranean Basin, are under-characterized regarding the risk posed by atN pollution. We focus on ammonia (NH3) because this N form is mostly associated with agriculture, which co-occurs at or in the immediate vicinity of most areas of conservation interest in Portugal. We produce a risk map integrating NH3 emissions and the susceptibility of Natura 2000 sites to atN pollution, ranking habitat sensitivity to atN pollution using expert knowledge from a panel of Portuguese ecological and habitat experts. Peats, mires, bogs, and similar acidic and oligotrophic habitats within Natura 2000 sites (most located in the northern mountains) were assessed to have the highest relative risk of biodiversity change due to atN pollution, whereas Natura 2000 sites in the Atlantic and Mediterranean climate zone (coastal, tidal, and scrubland habitats) were deemed the least sensitive. Overall, results allowed us to rank all Natura 2000 sites in mainland Portugal in order of evaluated risk posed by atN pollution. The approach is of great relevance for stakeholders in different countries to help prioritize site protection and to define research priorities. This is especially relevant in countries with a lack of expertise to assess the impacts of nitrogen on biodiversity and can represent an important step up from current knowledge in such countries.</t>
  </si>
  <si>
    <t>[Pinho, Pedro; Dias, Teresa; Branquinho, Cristina] Univ Lisbon, Fac Ciencias, cE3c, Lisbon, Portugal; [Pinho, Pedro] Univ Lisbon, Ctr Recursos Nat &amp; Ambiente, Inst Super Tecn, CERENA, Lisbon, Portugal; [Cordovil, Claudia M. D. S.] Univ Lisbon, Inst Super Agron, LEAF, Lisbon, Portugal; [Dragosits, Ulrike; Dise, Nancy B.; Sutton, Mark A.] Edinburgh Res Stn, NERC Ctr Ecol &amp; Hydrol CEH, Bush Estate, Penicuik, Midlothian, Scotland</t>
  </si>
  <si>
    <t>Universidade de Lisboa; Universidade de Lisboa; Universidade de Lisboa; UK Centre for Ecology &amp; Hydrology (UKCEH)</t>
  </si>
  <si>
    <t>Pinho, P (corresponding author), Univ Lisbon, Fac Ciencias, cE3c, Lisbon, Portugal.;Pinho, P (corresponding author), Univ Lisbon, Ctr Recursos Nat &amp; Ambiente, Inst Super Tecn, CERENA, Lisbon, Portugal.</t>
  </si>
  <si>
    <t>ppinho@fc.ul.pt</t>
  </si>
  <si>
    <t>Sutton, Mark/K-2700-2012; S C Marques-dos-Santos, Claudia/F-9505-2010; Pinho, Peo/D-1232-2010; Dragosits, Ulrike/A-1842-2010; Branquinho, Cristina/B-3670-2008; Dias, Teresa/E-8816-2015; Machado Dias, Maria Teresa/E-8816-2015</t>
  </si>
  <si>
    <t>S C Marques-dos-Santos, Claudia/0000-0001-8864-2611; agosits, Ulrike/0000-0002-9283-6467; Pinho, Peo/0000-0001-5571-9619; Branquinho, Cristina/0000-0001-8294-7924; Machado Dias, Maria Teresa/0000-0002-5421-4763</t>
  </si>
  <si>
    <t>'NitroPortugal: Strengthening Portuguese research and innovation capacities in the field of excess reactive nitrogen'; EU [H2020-TWINN-2015 692331]; Fundacao para a Ciencia e Tecnologia (FCT) [SFRH/BPD/75425/2010, SFRH/BPD/85419/2012]; Investigador FCT; Natural Environment Research Council [ceh020001, ceh020011] Funding Source: researchfish; Fundação para a Ciência e a Tecnologia [SFRH/BPD/75425/2010, SFRH/BPD/85419/2012] Funding Source: FCT; NERC [ceh020001, ceh020011] Funding Source: UKRI</t>
  </si>
  <si>
    <t>'NitroPortugal: Strengthening Portuguese research and innovation capacities in the field of excess reactive nitrogen'; EU(European Union (EU)); Fundacao para a Ciencia e Tecnologia (FCT)(Fundacao para a Ciencia e a Tecnologia (FCT)); Investigador FCT(Fundacao para a Ciencia e a Tecnologia (FCT)); Natural Environment Research Council(UK Research &amp; Innovation (UKRI)Natural Environment Research Council (NERC)); Fundação para a Ciência e a Tecnologia; NERC(UK Research &amp; Innovation (UKRI)Natural Environment Research Council (NERC))</t>
  </si>
  <si>
    <t>We are grateful for the funding through the project 'NitroPortugal: Strengthening Portuguese research and innovation capacities in the field of excess reactive nitrogen', funded by EU H2020-TWINN-2015 692331 and Fundacao para a Ciencia e Tecnologia (FCT) through the Post Doctoral grants SFRH/BPD/75425/2010 to Pedro Pinho and SFRH/BPD/85419/2012 to Teresa Dias, and Investigador FCT contract to Cristina Branquinho.</t>
  </si>
  <si>
    <t>JUN 21</t>
  </si>
  <si>
    <t>e0198955</t>
  </si>
  <si>
    <t>10.1371/journal.pone.0198955</t>
  </si>
  <si>
    <t>GK0LV</t>
  </si>
  <si>
    <t>WOS:000435802500037</t>
  </si>
  <si>
    <t>Abram, NK; Meijaard, E; Wells, JA; Ancrenaz, M; Pellier, AS; Runting, RK; Gaveau, D; Wich, S; Nardiyono; Tjiu, A; Nurcahyo, A; Mengersen, K</t>
  </si>
  <si>
    <t>Abram, Nicola K.; Meijaard, Erik; Wells, Jessie A.; Ancrenaz, Marc; Pellier, Anne-Sophie; Runting, Rebecca K.; Gaveau, David; Wich, Serge; Nardiyono; Tjiu, Albertus; Nurcahyo, Anton; Mengersen, Kerrie</t>
  </si>
  <si>
    <t>Mapping perceptions of species' threats and population trends to inform conservation efforts: the Bornean orangutan case study</t>
  </si>
  <si>
    <t>Boosted regression tree modelling; conservation planning; Indonesian Borneo; mapping human-wildlife conflict and hunting; mapping population trends; questionnaire surveys</t>
  </si>
  <si>
    <t>SUSTAINABILITY; MODEL</t>
  </si>
  <si>
    <t>AimWe demonstrate a robust approach for predicting and mapping threats and population trends of wildlife species, invaluable for understanding where to target conservation resources. We used the endangered Bornean orangutan (Pongo pygmaeus) as our case study to facilitate and strengthen conservation efforts by the Indonesian government to stabilize populations by 2017. LocationKalimantan, Indonesian Borneo. MethodsLocal knowledge of threats to orangutan populations was gathered through questionnaire interviews in 531 villages (512 in Kalimantan) within known orangutan range. These data were integrated with 39 environmental/socio-economic spatial variables using boosted regression tree modelling to predict threat levels and population trends across Kalimantan and to identify key combinations of threats and trends that can help to direct appropriate conservation actions. ResultsNineteen percentage of villages surveyed in Kalimantan reported human-orangutan conflicts. High-predicted conflict likelihood was extensive, strongly associated with road density (very low or high) and temperature seasonality. Recent orangutan killings were reported in 23% of villages. High killing risk was highly associated with greater surrounding orangutan habitat and for villages more than 60km from oil palm plantations. Killings by respondents were reported in 20% of villages with higher likelihoods associated with greater range in rainfall and temperature, and higher proportion of Christian believers. Orangutan populations were predicted to decline/become locally extinct across the majority of their range in Kalimantan over the next decade, with few regions predicted to support stable populations. Main conclusionsHuman-orangutan conflicts and killings occur extensively in Kalimantan, with many populations at risk of decline or localized extinctions. Effective conservation actions are therefore urgently needed. Our approach better informs conservation managers in understanding the extent, spatial patterns and drivers of threats to endangered species such as the orangutan. This is essential to better design management strategies that can minimize or avert the species' decline.</t>
  </si>
  <si>
    <t>[Abram, Nicola K.; Meijaard, Erik] Living Landscape Alliance, Reading RG7 8NN, Berks, England; [Abram, Nicola K.; Wells, Jessie A.; Runting, Rebecca K.] Univ Queensland, ARC Ctr Excellence Environm Decis, Brisbane, Qld 4072, Australia; [Abram, Nicola K.; Ancrenaz, Marc] HUTAN Kinabatangan Orang Utan Conservat Programme, Kota Kinabalu, Sabah, Malaysia; [Abram, Nicola K.; Pellier, Anne-Sophie] Univ Kent, Durrell Inst Conservat &amp; Ecol, Sch Anthropol &amp; Conservat, Canterbury, Kent, England; [Abram, Nicola K.; Meijaard, Erik; Ancrenaz, Marc; Pellier, Anne-Sophie] Borneo Futures People &amp; Nat Consulting Int, Jakarta 15412, Indonesia; [Meijaard, Erik; Pellier, Anne-Sophie; Gaveau, David] Ctr Int Forestry Res, Bogor 16000, Indonesia; [Meijaard, Erik; Nurcahyo, Anton] Australian Natl Univ, Sch Archaeol &amp; Anthropol, Canberra, ACT 0200, Australia; [Ancrenaz, Marc] Sabah Wildlife Dept, Kota Kinabalu, Sabah, Malaysia; [Wich, Serge] Liverpool John Moores Univ, Sch Nat Sci &amp; Psychol, Res Ctr Evolutionary Anthropol &amp; Palaeoecol, Liverpool L3 5UX, Merseyside, England; [Wich, Serge] Univ Amsterdam, Inst Biodivers &amp; Ecosyst Dynam, NL-1098 XH Amsterdam, Netherlands; [Nardiyono] Austindo Nusantara Jaya Agri, Jakarta, Indonesia; [Tjiu, Albertus] WWF Indonesia, Putussibau, Indonesia; [Mengersen, Kerrie] Queensland Univ Technol, Sch Math Sci, Brisbane, Qld 4001, Australia</t>
  </si>
  <si>
    <t>University of Queensland; University of Kent; People &amp; Nature Consulting International; CGIAR; Center for International Forestry Research (CIFOR); Australian National University; Liverpool John Moores University; University of Amsterdam; World Wildlife Fund; Queensland University of Technology (QUT)</t>
  </si>
  <si>
    <t>Abram, NK (corresponding author), Living Landscape Alliance, 5 Jupiter House,Calleva Pk, Reading RG7 8NN, Berks, England.</t>
  </si>
  <si>
    <t>nicola_abram@hotmail.com</t>
  </si>
  <si>
    <t>Wich, Serge/AEC-1487-2022; Meijaard, Erik/A-2687-2016; Abram, Nicola/K-2060-2014; Runting, Rebecca/I-1470-2013; Wells, Jessie/F-7318-2010; Mengersen, Kerrie/AHC-4096-2022</t>
  </si>
  <si>
    <t>Wich, Serge/0000-0003-3954-5174; Meijaard, Erik/0000-0001-8685-3685; Abram, Nicola/0000-0003-1886-7297; Runting, Rebecca/0000-0003-0614-1456; Wells, Jessie/0000-0002-3555-5108; Mengersen, Kerrie/0000-0001-8625-9168</t>
  </si>
  <si>
    <t>Arcus Foundation; Center for International Forestry Research; United States Agency for International Development; ARC Centre of Excellence for Environmental Decisions</t>
  </si>
  <si>
    <t>Arcus Foundation; Center for International Forestry Research; United States Agency for International Development(United States Agency for International Development (USAID)); ARC Centre of Excellence for Environmental Decisions(Australian Research Council)</t>
  </si>
  <si>
    <t>Thanks to the Arcus Foundation, Center for International Forestry Research, United States Agency for International Development and ARC Centre of Excellence for Environmental Decisions, for financial support, and The Nature Conservancy and SarVision for use of datasets. We thank two anonymous reviewers for helpful advice and comments. Lastly, we express our sincere gratitude to all respondents surveyed.</t>
  </si>
  <si>
    <t>10.1111/ddi.12286</t>
  </si>
  <si>
    <t>CF5GV</t>
  </si>
  <si>
    <t>WOS:000352586400001</t>
  </si>
  <si>
    <t>Ibharim, NA; Mustapha, MA; Lihan, T; Mazlan, AG</t>
  </si>
  <si>
    <t>Ibharim, N. A.; Mustapha, M. A.; Lihan, T.; Mazlan, A. G.</t>
  </si>
  <si>
    <t>Mangrove change; MLC; NDVI; Satellite imageries; Matang Mangrove Forest</t>
  </si>
  <si>
    <t>IRRIGATION EFFICIENCY; IMPACTS; AQUACULTURE; FUTURE; CONSERVATION; ECOSYSTEMS; MANAGEMENT; RESERVE; SYSTEM; COAST</t>
  </si>
  <si>
    <t>The Matang Mangrove Forest is the largest single mangrove forest in Peninsular Malaysia, covering an area of more than 40,000 ha. As a national treasure, it lies under the jurisdiction of both the federal and state authorities. Monitoring temporal changes of mangrove area on a large scale requires a more efficient tool. Remote sensing is often a reliable alternative to ground-survey methods that provides useful source of information and coverage that is timely and complete especially in mangroves areas where accessibility is difficult. In this study, status and changes of land use and land cover in the Matang Mangrove Forest during the past 18 years (1993-1999,1999 to 2011 and 1993 to 2011) were determined using multi temporal satellites, and threats to the ecosystems were also identified. Classification of land use and land cover approach was implemented using the maximum likelihood classifier (MLC) along with vegetation index differencing (NDVI) technique. Classification accuracy at 85.7%, 90%, and 88.9% with Kappa statistics of 0.82, 0.88, and 0.94 respectively for 1993, 1999 and 2011 image were obtained. The overall change in the area during the 18-year period indicated the loss of mangrove area at 8017.3 ha, while 2998 ha was newly planted or rehabilitated. The present study revealed that Rhizophora apiculata and Rhizophora mucronata are still being preserved, accounting to more than 80%. of the total species. Temporal changes of the mangrove for the 18-year period showed that the mangroves were converted to water bodies at 31.1%, dry land forest at 30.6%, oil palm plantation at 18.9%, aquaculture at 11.1%, paddy plantation at 4.9%, horticulture at 3.1%, and urban settlement area at 0.3%. Threats towards the mangrove area were due to erosion, tree harvesting rotation, transitional forest, shrimp ponds, illegal agricultural activities and trespassing. The findings indicated an approach in collecting regular and appropriate mangrove forest area database and detection of activities that violate regulations. This will provide adequate information to the stakeholders in enhancing the management practise and for legislative purposes. Hence, combinations of these approaches has been proven to be adequate in detecting changes in the mangrove area and indicating the nature of the changes which will promote and enhance the management planning process towards sustainability of the Matang Mangrove Forest. (C) 2015 Elsevier Ltd. All rights reserved.</t>
  </si>
  <si>
    <t>[Ibharim, N. A.; Mustapha, M. A.; Lihan, T.] Univ Kebangsaan Malaysia, Sch Environm &amp; Nat Resource Sci, Fac Sci &amp; Technol, Bangi 43600, Selangor, Malaysia; [Mazlan, A. G.] Univ Malaysia Terengganu, Sch Fisheries &amp; Aquaculture, Kuala Terengganu 21030, Terengganu, Malaysia</t>
  </si>
  <si>
    <t>Universiti Kebangsaan Malaysia; Universiti Malaysia Terengganu</t>
  </si>
  <si>
    <t>Mustapha, MA (corresponding author), Univ Kebangsaan Malaysia, Sch Environm &amp; Nat Resource Sci, Fac Sci &amp; Technol, Bangi 43600, Selangor, Malaysia.</t>
  </si>
  <si>
    <t>muzz@ukm.edu.my</t>
  </si>
  <si>
    <t>Abd Ghaffar, Mazlan/O-3604-2016</t>
  </si>
  <si>
    <t>Abd Ghaffar, Mazlan/0000-0001-9248-5284</t>
  </si>
  <si>
    <t>UKM Research University Grant [UKM-GUP-2011-194]</t>
  </si>
  <si>
    <t>UKM Research University Grant(Universiti Kebangsaan Malaysia)</t>
  </si>
  <si>
    <t>The authors would like to thank Remote Sensing Agency of Malaysia for the Landsat image used in this study and Universiti Kebangsaan Malaysia for the facilities in implementing this research. Gratitude is also extended to the Matang Mangrove Forest Forestry Department for the assistance provided during the field survey. This research was funded by the UKM Research University Grant (UKM-GUP-2011-194).</t>
  </si>
  <si>
    <t>10.1016/j.ocecoaman.2015.06.005</t>
  </si>
  <si>
    <t>CO9NI</t>
  </si>
  <si>
    <t>WOS:000359502100007</t>
  </si>
  <si>
    <t>Li, SC; Zhang, YL; Wang, ZF; Li, LH</t>
  </si>
  <si>
    <t>Li, Shicheng; Zhang, Yili; Wang, Zhaofeng; Li, Lanhui</t>
  </si>
  <si>
    <t>ECOSYSTEM SERVICES</t>
  </si>
  <si>
    <t>Anthropogenic disturbances; Environmental impact; Threat mapping; Conservation planning; Ecosystem services; The third pole</t>
  </si>
  <si>
    <t>ECOSYSTEM SERVICES; HUMAN FOOTPRINT; POPULATION-DENSITY; PROTECTED AREAS; GREEN RAILWAY; BIODIVERSITY; ENVIRONMENT; DISTURBANCE; CHINA; LANDSCAPE</t>
  </si>
  <si>
    <t>Human activities pose severe threats to ecosystems. As the Earth's third pole, the Tibetan Plateau (TP) provides various ecosystem services for human beings, including water resources for nearly 40% of the world's population. In this study, four categories of human pressures on the environment were analyzed firstly and then summed cumulatively to map the human influence intensity (HII) in the TP for 1990-2010 at county and 1 km scales. Subsequently, HII characteristics within valuable regions for water retention and biodiversity conservation were analyzed. The results showed that HII of the TP was low overall. The eastern and southeastern TP and the central part of the Tibet Autonomous Region saw high HII. For 1990-2010, the 1 km scale mean HII increased by 28.43%, which is much greater than the global level of 9% for 1993-2009, suggesting that the TP and the ecosystem services it provided may face with more threats. HII increase was mainly observed in the northeastern TP. Rapid increase of human activities within valuable regions for water retention and biodiversity conservation during 1990-2010 were detected, especially for the former. The obtained temporally-consistent HII datasets will be conducive to ecosystem services related decision making. (C) 2017 Elsevier B.V. All rights reserved.</t>
  </si>
  <si>
    <t>[Li, Shicheng; Zhang, Yili; Wang, Zhaofeng; Li, Lanhui] Chinese Acad Sci, Inst Geog Sci &amp; Nat Resources Res, Key Lab Land Surface Pattern &amp; Simulat, Beijing 100101, Peoples R China; [Zhang, Yili] CAS Ctr Excellence Tibetan Plateau Earth Sci, Beijing 100101, Peoples R China; [Li, Shicheng] China Univ Geosci, Sch Publ Adm, Wuhan 430074, Hubei, Peoples R China; [Li, Shicheng; Zhang, Yili; Li, Lanhui] Univ Chinese Acad Sci, Beijing 100049, Peoples R China</t>
  </si>
  <si>
    <t>Chinese Academy of Sciences; Institute of Geographic Sciences &amp; Natural Resources Research, CAS; Chinese Academy of Sciences; Institute of Tibetan Plateau Research, CAS; Center for Excellence in Tibetan Plateau Earth Sciences (CETES), CAS; China University of Geosciences; Chinese Academy of Sciences; University of Chinese Academy of Sciences, CAS</t>
  </si>
  <si>
    <t>Zhang, YL (corresponding author), Chinese Acad Sci, Inst Geog Sci &amp; Nat Resources Res, A 11,Datun Rd, Beijing 100101, Peoples R China.</t>
  </si>
  <si>
    <t>zhangyl@igsnrr.ac.cn</t>
  </si>
  <si>
    <t>Li, Shicheng/N-6789-2014; Wang, Zhaofeng/IST-3248-2023</t>
  </si>
  <si>
    <t>zhang, yili/0000-0002-9474-1664</t>
  </si>
  <si>
    <t>Strategic Priority Research Program of the Chinese Academy of Sciences [XDB03030500]; National Natural Science Foundation of China [41371120]; Key Foundation Project of Basic Work of the Ministry of Science and Technology of China [2012FY111400]</t>
  </si>
  <si>
    <t>Strategic Priority Research Program of the Chinese Academy of Sciences(Chinese Academy of Sciences); National Natural Science Foundation of China(National Natural Science Foundation of China (NSFC)); Key Foundation Project of Basic Work of the Ministry of Science and Technology of China</t>
  </si>
  <si>
    <t>This research was funded by the Strategic Priority Research Program of the Chinese Academy of Sciences (XDB03030500) and National Natural Science Foundation of China (41371120) and the Key Foundation Project of Basic Work of the Ministry of Science and Technology of China (Grant No. 2012FY111400). Many thanks to Dr. Jian Gong and Jianxin Yang from School of Public Administration in China University of Geosciences (Wuhan) for their constructive comments.</t>
  </si>
  <si>
    <t>2212-0416</t>
  </si>
  <si>
    <t>ECOSYST SERV</t>
  </si>
  <si>
    <t>Ecosyst. Serv.</t>
  </si>
  <si>
    <t>10.1016/j.ecoser.2017.10.003</t>
  </si>
  <si>
    <t>Ecology; Environmental Sciences; Environmental Studies</t>
  </si>
  <si>
    <t>GG4GS</t>
  </si>
  <si>
    <t>WOS:000432655100010</t>
  </si>
  <si>
    <t>Fa, JE; Farfán, MA; Marquez, AL; Duarte, J; Nackoney, J; Hall, A; Dupain, J; Seymour, S; Johnson, PJ; Macdonald, DW; Vargas, JM</t>
  </si>
  <si>
    <t>Fa, John E.; Angel Farfan, Miguel; Luz Marquez, Ana; Duarte, Jesus; Nackoney, Janet; Hall, Amy; Dupain, Jef; Seymour, Sarah; Johnson, Paul J.; Macdonald, David W.; Mario Vargas, J.</t>
  </si>
  <si>
    <t>biogeographic analyses; bushmeat markets; mammals; protected areas; threatened species</t>
  </si>
  <si>
    <t>CENTRAL AFRICAN; WILDLIFE LAWS; CONSERVATION; IMPROVE; NIGERIA; TOOL</t>
  </si>
  <si>
    <t>Bushmeat markets exist in many countries in West and Central Africa, and data on species sold can be used to detect patterns of wildlife trade in a region. We surveyed 89 markets within the Cross-Sanaga rivers region, West Africa. In each market, we counted the number of carcasses of each taxon sold. During a 6-month period (7594 market days), 44 mammal species were traded. Thirteen species were on the International Union for Conservation of Nature (IUCN) Red List or protected under national legislation, and at least 1 threatened species was traded in 88 of the 89 markets. We used these data to identify market groups that traded similar species assemblages. Using cluster analyses, we detected 8 market groups that were also geographically distinct. Market groups differed in the diversity of species, evenness of species, and dominant, prevalent, and characteristic species traded. We mapped the distribution of number of threatened species traded across the study region. Most threatened species were sold in markets nearest 2 national parks, Korup National Park in Cameroon and Cross River in Nigeria. To assess whether the threatened-species trade hotspots coincided with the known ranges of these species, we mapped the overlap of all threatened species traded. Markets selling more threatened species overlapped with those regions that had higher numbers of these. Our study can provide wildlife managers in the region with better tools to discern zones within which to focus policing efforts and reduce threats to species that are threatened by the bushmeat trade.</t>
  </si>
  <si>
    <t>[Fa, John E.; Hall, Amy; Seymour, Sarah] Durrell Wildlife Conservat Trust, Trinity JE3 5BP, Jersey, England; [Fa, John E.] Univ London Imperial Coll Sci Technol &amp; Med, ICCS, Div Biol, Ascot SL5 7PY, Berks, England; [Angel Farfan, Miguel; Luz Marquez, Ana; Duarte, Jesus; Mario Vargas, J.] Univ Malaga, Fac Ciencias, Dept Biol Anim, E-29071 Malaga, Spain; [Angel Farfan, Miguel; Duarte, Jesus] Biogea Consultores, Malaga 29010, Spain; [Nackoney, Janet] Univ Maryland, Dept Geog Sci, College Pk, MD 20742 USA; [Dupain, Jef] African Wildlife Fdn Conservat Ctr, Nairobi 00502, Kenya; [Johnson, Paul J.; Macdonald, David W.] Univ Oxford, WildCRU, Dept Zool, Recanati Kaplan Ctr, Abingdon OX13 5QL, Oxon, England</t>
  </si>
  <si>
    <t>Imperial College London; Universidad de Malaga; University System of Maryland; University of Maryland College Park; University of Oxford</t>
  </si>
  <si>
    <t>Fa, JE (corresponding author), Durrell Wildlife Conservat Trust, Trinity JE3 5BP, Jersey, England.</t>
  </si>
  <si>
    <t>Farfán Aguilar, Miguel Ángel/K-8783-2014; Márquez, Ana Luz/K-8345-2014; DUARTE DUARTE, JESÚS/ABE-3009-2020</t>
  </si>
  <si>
    <t>Farfán Aguilar, Miguel Ángel/0000-0002-4617-6517; Márquez, Ana Luz/0000-0001-5586-9334; DUARTE DUARTE, JESÚS/0000-0002-4952-154X; FA, Julia Elizabeth/0000-0002-1572-9828; Vargas Yáñez, Juan Mario/0000-0002-2841-5481</t>
  </si>
  <si>
    <t>U.K. Government's Darwin Initiative Fund [162/10/004]; John Ellerman Foundation</t>
  </si>
  <si>
    <t>U.K. Government's Darwin Initiative Fund; John Ellerman Foundation</t>
  </si>
  <si>
    <t>This study was funded by the U.K. Government's Darwin Initiative Fund (project 162/10/004). We are grateful to our locally recruited staff in Cameroon and Nigeria. P.J. thanks the John Ellerman Foundation for their support. Useful comments on the manuscript were received from C. Astaras.</t>
  </si>
  <si>
    <t>10.1111/cobi.12151</t>
  </si>
  <si>
    <t>297OX</t>
  </si>
  <si>
    <t>WOS:000330265900023</t>
  </si>
  <si>
    <t>Albright, TP; Mutiibwa, D; Gerson, AR; Smith, EK; Talbot, WA; O'Neill, JJ; McKechnie, AE; Wolf, BO</t>
  </si>
  <si>
    <t>Albright, Thomas P.; Mutiibwa, Denis; Gerson, Alexander. R.; Smith, Eric Krabbe; Talbot, William A.; O'Neill, Jacqueline J.; McKechnie, Andrew E.; Wolf, Blair O.</t>
  </si>
  <si>
    <t>avian ecology; physiological ecology; climate change; heat waves; water balance</t>
  </si>
  <si>
    <t>NESTLING CACTUS WRENS; CLIMATE-CHANGE; AVIAN THERMOREGULATION; TEMPERATURE REGULATION; HEAT TOLERANCE; BIRDS; EXTREMES; EVENTS; TIME</t>
  </si>
  <si>
    <t>Extreme high environmental temperatures produce a variety of consequences for wildlife, including mass die-offs. Heat waves are increasing in frequency, intensity, and extent, and are projected to increase further under climate change. However, the spatial and temporal dynamics of die-off risk are poorly understood. Here, we examine the effects of heat waves on evaporative water loss (EWL) and survival in five desert passerine birds across the southwestern United States using a combination of physiological data, mechanistically informed models, and hourly geospatial temperature data. We ask how rates of EWL vary with temperature across species; how frequently, over what areas, and how rapidly lethal dehydration occurs; how EWL and die-off risk vary with body mass; and how die-off risk is affected by climate warming. We find that smaller-bodied passerines are subject to higher rates of mass-specific EWL than larger-bodied counterparts and thus encounter potentially lethal conditions much more frequently, over shorter daily intervals, and over larger geographic areas. Warming by 4 degrees C greatly expands the extent, frequency, and intensity of dehydration risk, and introduces new threats for larger passerine birds, particularly those with limited geographic ranges. Our models reveal that increasing air temperatures and heat wave occurrence will potentially have important impacts on the water balance, daily activity, and geographic distribution of arid-zone birds. Impacts may be exacerbated by chronic effects and interactions with other environmental changes. This work underscores the importance of acute risks of high temperatures, particularly for small-bodied species, and suggests conservation of thermal refugia and water sources.</t>
  </si>
  <si>
    <t>[Albright, Thomas P.; Mutiibwa, Denis] Univ Nevada, Dept Geog, Reno, NV 89557 USA; [Albright, Thomas P.] Univ Nevada, Program Ecol Evolut &amp; Conserv Evolut, Reno, NV 89557 USA; [Mutiibwa, Denis] USDA, Beltsville Agr Res Center West, Beltsville Agr Res Ctr, Beltsville, MD 20705 USA; [Gerson, Alexander. R.] Univ Massachusetts, Dept Biol, Amherst, MA 01003 USA; [Gerson, Alexander. R.; Smith, Eric Krabbe; Talbot, William A.; O'Neill, Jacqueline J.; Wolf, Blair O.] Univ New Mexico, Dept Biol, Albuquerque, NM 87131 USA; [McKechnie, Andrew E.] Univ Pretoria, FDST NRF Ctr Excellence, Percy FitzPatrick Inst, Dept Zool &amp; Entomol, ZA-0028 Hatfield, South Africa</t>
  </si>
  <si>
    <t>Nevada System of Higher Education (NSHE); University of Nevada Reno; Nevada System of Higher Education (NSHE); University of Nevada Reno; United States Department of Agriculture (USDA); University of Massachusetts System; University of Massachusetts Amherst; University of New Mexico; University of Pretoria</t>
  </si>
  <si>
    <t>Albright, TP (corresponding author), Univ Nevada, Dept Geog, Reno, NV 89557 USA.;Albright, TP (corresponding author), Univ Nevada, Program Ecol Evolut &amp; Conserv Evolut, Reno, NV 89557 USA.;Wolf, BO (corresponding author), Univ New Mexico, Dept Biol, Albuquerque, NM 87131 USA.</t>
  </si>
  <si>
    <t>talbright@unr.edu; wolf@unm.edu</t>
  </si>
  <si>
    <t>Talbot, William/GXG-0089-2022; McKechnie, Andrew/E-4398-2010</t>
  </si>
  <si>
    <t>National Science Foundation [OS-1122228]; National Aeronautics and Space Administration Grant [NNX13AB65G]; Natural Sciences and Engineering Research Council of Canada [420761]; NASA [476416, NNX13AB65G] Funding Source: Federal RePORTER</t>
  </si>
  <si>
    <t>National Science Foundation(National Science Foundation (NSF)); National Aeronautics and Space Administration Grant; Natural Sciences and Engineering Research Council of Canada(Natural Sciences and Engineering Research Council of Canada (NSERC)CGIAR); NASA(National Aeronautics &amp; Space Administration (NASA))</t>
  </si>
  <si>
    <t>We thank G. Sadoti and S. A. McAfee for helpful discussions and the Cadden and Wolf families for logistical support and access to their land for research. This work was supported by National Science Foundation Grant IOS-1122228 (to B.O.W.) and National Aeronautics and Space Administration Grant NNX13AB65G (to T.P.A.). A.R.G. was supported by Natural Sciences and Engineering Research Council of Canada Postdoctoral Fellowship 420761.</t>
  </si>
  <si>
    <t>FEB 28</t>
  </si>
  <si>
    <t>10.1073/pnas.1613625114</t>
  </si>
  <si>
    <t>EM1TZ</t>
  </si>
  <si>
    <t>WOS:000395101200059</t>
  </si>
  <si>
    <t>Stock, A; Haupt, AJ; Mach, ME; Micheli, F</t>
  </si>
  <si>
    <t>Stock, A.; Haupt, A. J.; Mach, M. E.; Micheli, F.</t>
  </si>
  <si>
    <t>ECOLOGICAL INFORMATICS</t>
  </si>
  <si>
    <t>Multiple stressors; Cumulative impacts; Regression; Spatial prediction; Model selection; Kelp forests</t>
  </si>
  <si>
    <t>CUMULATIVE HUMAN IMPACTS; MULTIPLE HUMAN STRESSORS; CROSS-VALIDATION; SPATIAL AUTOCORRELATION; CLIMATE-CHANGE; FRESH-WATER; MARINE; MODEL; ECOSYSTEMS; RESPONSES</t>
  </si>
  <si>
    <t>Coastal ecosystems are exposed to multiple anthropogenic stressors such as fishing, pollution, and climate change. Ecosystem-based coastal management requires understanding where the combination of multiple stressors has large cumulative effects and where actions to address impacts are most urgently needed. However, the effects of multiple stressors on coastal and marine ecosystems are often non-linear and interactive. This complexity is not captured by commonly used spatial models for mapping human impacts. Flexible statistical and machine learning models like random forests have thus been used as an alternative modeling approach to identify important stressors and to make spatial predictions of their combined effects. However, tests of such models' prediction skill have been limited. Therefore, we tested how well ten statistical and machine learning methods predicted three ecological indicators of coastal marine ecosystem condition (kelp biodiversity, fish biomass, and rocky intertidal biodiversity) off California, USA. Spatial data representing anthropogenic stressors and ocean uses as well as natural gradients were used as predictors. The models' prediction errors were estimated by double spatial block cross-validation. The best models achieved mean squared errors about 25% lower than a null model for kelp biodiversity and fish biomass; none of the tested models worked well for rocky intertidal biodiversity. The models captured general trends, but not local variability of the indicators. For kelp biodiversity, the best performing method was principal components regression. For fish biomass, the best performing method was boosted regression trees. However, after tuning, this model did not include any interactions between stressors, and ridge regression (a constrained linear model) performed almost as well. While in theory flexible machine learning methods are required to represent the complex stressor-ecosystem state relationships revealed by experimental ecologists, with our data, this flexibility could not be harnessed because more flexible models overfitted due to small sample sizes and low signal-to-noise ratio. The main challenge for harnessing the flexibility of statistical and machine learning methods to link ecological indicators and anthropogenic stressors is obtaining more suitable data. In particular, better data describing the spatial and temporal distribution of human uses and stressors are needed. We conclude by discussing methodological implications for future research.</t>
  </si>
  <si>
    <t>[Stock, A.] Stanford Univ, Emmett Interdisciplinary Program Environm &amp; Resou, Stanford, CA 94305 USA; [Haupt, A. J.] Calif State Univ Monterey Bay, Sch Nat Sci, Seaside, CA 93955 USA; [Mach, M. E.] Univ New Mexico, DataONE, Albuquerque, NM 87106 USA; [Micheli, F.] Stanford Univ, Hopkins Marine Stn, Pacific Grove, CA 93950 USA; [Micheli, F.] Stanford Univ, Stanford Ctr Ocean Solut, Pacific Grove, CA 93950 USA; [Stock, A.] Columbia Univ, Earth Inst, Lamont Doherty Earth Observ, Palisades, NY 10964 USA</t>
  </si>
  <si>
    <t>Stanford University; California State University System; California State University Monterey Bay; University of New Mexico; Stanford University; Stanford University; Columbia University</t>
  </si>
  <si>
    <t>Stock, A (corresponding author), Stanford Univ, Emmett Interdisciplinary Program Environm &amp; Resou, Stanford, CA 94305 USA.;Stock, A (corresponding author), Columbia Univ, Earth Inst, Lamont Doherty Earth Observ, Palisades, NY 10964 USA.</t>
  </si>
  <si>
    <t>Stock, Andy/0000-0003-2848-1961; Haupt, Alison/0000-0003-4489-4539; Micheli, Fiorenza/0000-0002-6865-1438</t>
  </si>
  <si>
    <t>US NSF-CNH Program [DEB-1212124]; Stanford's Catalyst for Collaborative Solutions program; Goldman Fellowship from the Woods Institute for the Environment; Stanford's Center for Ocean Solutions; David and Lucile Packard Foundation; Gordon and Betty Moore Foundation</t>
  </si>
  <si>
    <t>US NSF-CNH Program; Stanford's Catalyst for Collaborative Solutions program; Goldman Fellowship from the Woods Institute for the Environment; Stanford's Center for Ocean Solutions; David and Lucile Packard Foundation(The David &amp; Lucile Packard Foundation); Gordon and Betty Moore Foundation(Gordon &amp; Betty Moore Foundation)</t>
  </si>
  <si>
    <t>AS and FM acknowledge the support of the US NSF-CNH Program (award no. DEB-1212124) and a grant from Stanford's Catalyst for Collaborative Solutions program. AS was also supported by a Goldman Fellowship from the Woods Institute for the Environment and MM through Stanford's Center for Ocean Solutions. Meg Caldwell, Larry Crowder and David Lobell provided helpful comments on an early draft of this paper. This study utilized data collected by the Partnership for Interdisciplinary Studies of Coastal Oceans: a long-term ecological consortium funded by the David and Lucile Packard Foundation and the Gordon and Betty Moore Foundation. We thank PISCO for providing us with these data, and NCEAS for making the stressor data used in this study available.</t>
  </si>
  <si>
    <t>1574-9541</t>
  </si>
  <si>
    <t>1878-0512</t>
  </si>
  <si>
    <t>ECOL INFORM</t>
  </si>
  <si>
    <t>Ecol. Inform.</t>
  </si>
  <si>
    <t>10.1016/j.ecoinf.2018.07.007</t>
  </si>
  <si>
    <t>HE7TC</t>
  </si>
  <si>
    <t>WOS:000453641900004</t>
  </si>
  <si>
    <t>Rodríguez-Rodríguez, D; Bomhard, B</t>
  </si>
  <si>
    <t>Rodriguez-Rodriguez, David; Bomhard, Bastian</t>
  </si>
  <si>
    <t>Mapping Direct Human Influence on the World's Mountain Areas</t>
  </si>
  <si>
    <t>MOUNTAIN RESEARCH AND DEVELOPMENT</t>
  </si>
  <si>
    <t>Direct human influence; mountains; Human Influence Index (HII); global mapping; protected areas</t>
  </si>
  <si>
    <t>Mountain areas are of great importance to biodiversity conservation. Also, they have long been reputed as the last remnants of virgin, unspoiled nature. In this paper, we assess the degree of human impact on mountain ecosystems through the Human Influence Index (HII), using it as a proxy to estimate the degree of threat to mountain biodiversity. We also measured how well the least human-influenced mountain areas are protected (HII &lt; 10). Our results show that still-large proportions of mountain areas are under low or moderate human influence, as assessed by the HII. However, these results should be considered carefully, because the HII does not include some important human-made influences affecting mountain ecosystems globally, such as climate change. Finally, 34.7% of the mountain area under low human influence (HII &lt;= 10) is currently covered by nationally designated protected areas.</t>
  </si>
  <si>
    <t>[Rodriguez-Rodriguez, David] Spanish Natl Res Council IEGD CSIC, Inst Econ Geog &amp; Demog, Madrid 28037, Spain; [Bomhard, Bastian] World Conservat Monitoring Ctr, United Nations Environm Programme, Cambridge CB3 0DL, England</t>
  </si>
  <si>
    <t>Consejo Superior de Investigaciones Cientificas (CSIC); CSIC - Instituto de Economia, Geografia y Demografia (IEGD)</t>
  </si>
  <si>
    <t>Rodríguez-Rodríguez, D (corresponding author), Spanish Natl Res Council IEGD CSIC, Inst Econ Geog &amp; Demog, Albasanz 26-28, Madrid 28037, Spain.</t>
  </si>
  <si>
    <t>david.rodriguez@csic.es</t>
  </si>
  <si>
    <t>Bertzky, Bastian/I-6909-2013; Rodríguez-Rodríguez, David/ABH-3328-2020</t>
  </si>
  <si>
    <t>Bertzky, Bastian/0000-0001-7025-4733;</t>
  </si>
  <si>
    <t>INT MOUNTAIN SOC</t>
  </si>
  <si>
    <t>BERN</t>
  </si>
  <si>
    <t>STEIGERHUBELSTR 3, BERN, SWITZERLAND</t>
  </si>
  <si>
    <t>0276-4741</t>
  </si>
  <si>
    <t>1994-7151</t>
  </si>
  <si>
    <t>MT RES DEV</t>
  </si>
  <si>
    <t>Mt. Res. Dev.</t>
  </si>
  <si>
    <t>10.1659/MRD-JOURNAL-D-10-00111.1</t>
  </si>
  <si>
    <t>Environmental Sciences; Geography, Physical</t>
  </si>
  <si>
    <t>961PM</t>
  </si>
  <si>
    <t>WOS:000305478400011</t>
  </si>
  <si>
    <t>Halpern, BS; Kappel, CV; Selkoe, KA; Micheli, F; Ebert, CM; Kontgis, C; Crain, CM; Martone, RG; Shearer, C; Teck, SJ</t>
  </si>
  <si>
    <t>Halpern, Benjamin S.; Kappel, Carrie V.; Selkoe, Kimberly A.; Micheli, Fiorenza; Ebert, Colin M.; Kontgis, Caitlin; Crain, Caitlin M.; Martone, Rebecca G.; Shearer, Christine; Teck, Sarah J.</t>
  </si>
  <si>
    <t>CONSERVATION LETTERS</t>
  </si>
  <si>
    <t>Climate change; fishing; resilience; threat ranking; conservation priorities</t>
  </si>
  <si>
    <t>GLOBAL MAP; MANAGEMENT</t>
  </si>
  <si>
    <t>Quantitative assessment of the spatial patterns of all human uses of the oceans and their cumulative effects is needed for implementing ecosystem-based management, marine protected areas, and ocean zoning. Here, we apply methods developed to map cumulative impacts globally to the California Current using more comprehensive and higher-quality data for 25 human activities and 19 marine ecosystems. This analysis indicates where protection and threat mitigation are most needed in the California Current and reveals that coastal ecosystems near high human population density and the continental shelves off Oregon and Washington are the most heavily impacted, climate change is the top threat, and impacts from multiple threats are ubiquitous. Remarkably, these results were highly spatially correlated with the global results for this region (R-2 = 0.92), suggesting that the global model provides guidance to areas without local data or resources to conduct similar regional-scale analyses.</t>
  </si>
  <si>
    <t>[Halpern, Benjamin S.; Kappel, Carrie V.; Selkoe, Kimberly A.; Ebert, Colin M.] Natl Ctr Ecol Anal &amp; Synth, Santa Barbara, CA 93101 USA; [Selkoe, Kimberly A.] Univ Hawaii, Hawaii Inst Marine Biol, Kaneohe, HI 96744 USA; [Micheli, Fiorenza; Martone, Rebecca G.] Stanford Univ, Hopkins Marine Stn, Pacific Grove, CA 93950 USA; [Kontgis, Caitlin] Univ Calif Berkeley, Sch Publ Hlth, Div Environm Hlth Sci, Berkeley, CA 94720 USA; [Crain, Caitlin M.] Univ Calif Santa Cruz, Santa Cruz, CA 95060 USA; [Crain, Caitlin M.] Nat Conservancy Global Marine Initiat, Ctr Ocean Hlth, Santa Cruz, CA 95060 USA; [Shearer, Christine] Univ Calif Santa Barbara, Dept Sociol, Santa Barbara, CA 93106 USA; [Teck, Sarah J.] Univ Calif Santa Barbara, Dept Ecol Evolut &amp; Marine Biol, Santa Barbara, CA 93106 USA</t>
  </si>
  <si>
    <t>University of California System; University of California Santa Barbara; University of Hawaii System; Stanford University; University of California System; University of California Berkeley; University of California System; University of California Santa Cruz; Nature Conservancy; University of California System; University of California Santa Barbara; University of California System; University of California Santa Barbara</t>
  </si>
  <si>
    <t>Halpern, BS (corresponding author), Natl Ctr Ecol Anal &amp; Synth, 735 State St, Santa Barbara, CA 93101 USA.</t>
  </si>
  <si>
    <t>halpern@nceas.ucsb.edu</t>
  </si>
  <si>
    <t>; Kappel, Carrie/B-9534-2009; Halpern, Benjamin/J-6141-2014; Teck, Sarah/C-5179-2009</t>
  </si>
  <si>
    <t>Micheli, Fiorenza/0000-0002-6865-1438; Kappel, Carrie/0000-0003-2507-8042; Shearer, Christine/0000-0002-6003-7310;</t>
  </si>
  <si>
    <t>Gordon and Betty Moore Foundation; National Center for Ecological Analysis and Synthesis; Nature Conservancy's Global Marine Initiative; Hawaii Institute of Marine Biology-Northwestern Hawaiian Islands Coral Reef Research Partnership (National Marine Sanctuaries) [MOA 2005-008/66832]</t>
  </si>
  <si>
    <t>Gordon and Betty Moore Foundation(Gordon &amp; Betty Moore Foundation); National Center for Ecological Analysis and Synthesis; Nature Conservancy's Global Marine Initiative; Hawaii Institute of Marine Biology-Northwestern Hawaiian Islands Coral Reef Research Partnership (National Marine Sanctuaries)</t>
  </si>
  <si>
    <t>This work was generously supported by a grant from the Gordon and Betty Moore Foundation (B.S.H., K.A.S., C.V.K., F.M., and C.M.C.), the National Center for Ecological Analysis and Synthesis (B.S.H., K.A. S., and C.V.K.), The Nature Conservancy's Global Marine Initiative (C.M.C.), and the Hawaii Institute of Marine Biology-Northwestern Hawaiian Islands Coral Reef Research Partnership (National Marine Sanctuaries MOA 2005-008/66832; K.A.S.). Thanks to Noah Morales for processing the point-source pollution data and to the following for sharing data for the region: SST (K. Casey, E. Selig, and J. Bruno), commercial fisheries in Oregon, Washington, and Baja California (Sea Around Us Project), and ocean acidification (J. Guinotte).</t>
  </si>
  <si>
    <t>1755-263X</t>
  </si>
  <si>
    <t>CONSERV LETT</t>
  </si>
  <si>
    <t>Conserv. Lett.</t>
  </si>
  <si>
    <t>10.1111/j.1755-263X.2009.00058.x</t>
  </si>
  <si>
    <t>616QI</t>
  </si>
  <si>
    <t>WOS:000279223500006</t>
  </si>
  <si>
    <t>Ziegler, S; Fa, JE; Wohlfart, C; Streit, B; Jacob, S; Wegmann, M</t>
  </si>
  <si>
    <t>Ziegler, Stefan; Fa, John E.; Wohlfart, Christian; Streit, Bruno; Jacob, Stefanie; Wegmann, Martin</t>
  </si>
  <si>
    <t>GIS; hunting offtake; mammals; random forests</t>
  </si>
  <si>
    <t>CONGO BASIN; EXPLOITATION; IMPACTS; FORESTS; MAMMALS</t>
  </si>
  <si>
    <t>Hunting and trade of wild animals for their meat (bushmeat), especially mammals, is commonplace in tropical forests worldwide. In West and Central Africa, bushmeat extraction has increased substantially during recent decades. Currently, such levels of hunting pose a major threat to native wildlife. In this paper, we compiled published data on hunting offtake of mammals, from a number of studies conducted between 1990 and 2007 in Cameroon, Central African Republic, Democratic Republic of Congo, Equatorial Guinea, Gabon, and Republic of Congo. From these data sources, we estimated annual extraction rates of all hunted species and analyzed the relationship between environmental and anthropogenic variables surrounding each hunting rate and levels of bushmeat extraction. We defined hunting pressure as a function of bushmeat offtake and number of hunted species and confirm that hunting pressure is significantly correlated with road density, distance to protected areas and population density. These correlations are then used to map hunting pressure across the Congo Basin. We show that predicted risk areas show a patchy distribution throughout the study region and that many protected areas are located in high-risk areas. We suggest that such a map can be used to identify areas of greatest impact of hunting to guide large-scale conservation planning initiatives for central Africa. Resume La chasse et le commerce d'animaux sauvages pour la viande de brousse, en particulier les mammiferes, sont des activites courantes dans les forets tropicales a travers le monde. En Afrique occidentale et centrale, l'extraction de la viande de brousse a considerablement augmente au cours des dernieres decennies. Actuellement, cette pression de chasse significative constitue une menace majeure pour la faune indigene. Dans cet article, nous avons compile les donnees publiees sur le prelevement de la chasse des mammiferes, a partir d'un certain nombre d'etudes effectuees entre 1990 et 2007 au Cameroun, en Republique Centrafricaine, en Republique Democratique du Congo, en Guinee Equatoriale, au Gabon et en Republique du Congo. Au regard de ces donnees, nous avons estime les taux d'extraction annuels de toutes les especes chassees, ainsi que la relation des variables environnementales et anthropiques par rapport au taux de chasse et aux niveaux d'extraction de la viande de brousse. Nous avons defini la pression de chasse en fonction du prelevement de la viande de brousse et le nombre d'especes chassees et ainsi nous avons pu confirmer que la pression de chasse est significativement correlee avec la densite routiere, la distance aux aires protegees et la densite de population. Ces correlations ont ensuite ete utilisees pour cartographier la pression de chasse a travers le bassin du Congo. Ainsi, nous avons demontre que les zones a risque predites revelent une distribution inegale dans toute la region d'etude et que de nombreuses aires protegees sont situees dans des zones a haut risque. C'est pourquoi nous suggerons qu'une telle carte puisse etre utilisee pour identifier les zones de grand impact de la chasse afin de guider les initiatives de planification de la conservation a grande echelle pour l'Afrique centrale.</t>
  </si>
  <si>
    <t>[Ziegler, Stefan] WWF Germany, Reinhardtstr 18, D-10117 Berlin, Germany; [Ziegler, Stefan; Streit, Bruno] Goethe Univ Frankfurt, Dept Ecol &amp; Evolut, Max von Laue Str 13, D-60438 Frankfurt, Germany; [Fa, John E.] Manchester Metropolitan Univ, Div Biol &amp; Conservat Ecol, Sch Sci &amp; Environm, Manchester M1 5GD, Lancs, England; [Fa, John E.] Ctr Int Forestry Res CIFOR, CIFOR Headquarters, Bogor 16115, Indonesia; [Wohlfart, Christian] German Remote Sensing Data Ctr, Co Remote Sensing &amp; Environm Res SLU, DLR Oberpfaffenhofen, Earth Observat Ctr, D-82234 Wessling, Germany; [Jacob, Stefanie; Wegmann, Martin] Univ Wurzburg, Dept Remote Sensing, Inst Geog &amp; Geol, Oswald Kulpe Weg 86, D-97074 Wurzburg, Germany</t>
  </si>
  <si>
    <t>Goethe University Frankfurt; Manchester Metropolitan University; CGIAR; Center for International Forestry Research (CIFOR); Helmholtz Association; German Aerospace Centre (DLR); University of Wurzburg</t>
  </si>
  <si>
    <t>Fa, JE (corresponding author), Manchester Metropolitan Univ, Div Biol &amp; Conservat Ecol, Sch Sci &amp; Environm, Manchester M1 5GD, Lancs, England.;Fa, JE (corresponding author), Ctr Int Forestry Res CIFOR, CIFOR Headquarters, Bogor 16115, Indonesia.</t>
  </si>
  <si>
    <t>FA, Julia Elizabeth/0000-0002-1572-9828</t>
  </si>
  <si>
    <t>10.1111/btp.12286</t>
  </si>
  <si>
    <t>DK6WB</t>
  </si>
  <si>
    <t>WOS:000375065200015</t>
  </si>
  <si>
    <t>Petz, K; Alkemade, R; Bakkenes, M; Schulp, CJE; van der Velde, M; Leemans, R</t>
  </si>
  <si>
    <t>Petz, Katalin; Alkemade, Rob; Bakkenes, Michel; Schulp, Catharina J. E.; van der Velde, Marijn; Leemans, Rik</t>
  </si>
  <si>
    <t>GLOBAL ENVIRONMENTAL CHANGE-HUMAN AND POLICY DIMENSIONS</t>
  </si>
  <si>
    <t>Biodiversity; Net primary production; Carbon sequestration; Erosion prevention; Rangeland; Livestock production</t>
  </si>
  <si>
    <t>NET PRIMARY PRODUCTION; LAND-USE; LIVESTOCK PRODUCTION; CARBON; BIODIVERSITY; CHALLENGES; MANAGEMENT; GRASSLAND; IMPACTS; BALANCE</t>
  </si>
  <si>
    <t>Vast areas of rangelands across the world are grazed with increasing intensity, but interactions between livestock production, biodiversity and other ecosystem services are poorly studied. This study explicitly determines trade-offs and synergies between ecosystem services and livestock grazing intensity on rangelands. Grazing intensity and its effects on forage utilization by livestock, carbon sequestration, erosion prevention and biodiversity are quantified and mapped, using global datasets and models. Results show that on average 4% of the biomass produced annually is consumed by livestock. On average, erosion prevention is 10% lower in areas with a high grazing intensity compared to areas with a low grazing intensity, whereas carbon emissions are more than four times higher under high grazing intensity compared to low grazing intensity. Rangelands with the highest grazing intensity are located in the Sahel, Pakistan, West India, Middle East, North Africa and parts of Brazil. These high grazing intensities result in carbon emissions, low biodiversity values, low capacity for erosion prevention and unsustainable forage utilization. Although the applied models simplify the processes of ecosystem service supply, our study provides a global overview of the consequences of grazing for biodiversity and ecosystem services. The expected increasing future demand for livestock products likely increase pressures on rangelands. Global-scale models can help to identify targets and target areas for international policies aiming at sustainable future use of these rangelands. (C) 2014 Elsevier Ltd. All rights reserved.</t>
  </si>
  <si>
    <t>[Petz, Katalin; Alkemade, Rob; Bakkenes, Michel] PBL Netherlands Environm Assessment Agcy, NL-3720 AH Bilthoven, Netherlands; [Petz, Katalin; Alkemade, Rob; Leemans, Rik] Wageningen Univ, Environm Syst Anal Grp, NL-6700 AA Wageningen, Netherlands; [Schulp, Catharina J. E.] Vrije Univ Amsterdam, Inst Environm Studies IVM, NL-1081 HV Amsterdam, Netherlands; [van der Velde, Marijn] European Commiss, DG JRC, Inst Environm &amp; Sustainabil, I-21027 Ispra, Italy; [van der Velde, Marijn] Int Inst Appl Syst Anal, Ecosyst Serv &amp; Management Program, A-2361 Laxenburg, Austria</t>
  </si>
  <si>
    <t>Wageningen University &amp; Research; Vrije Universiteit Amsterdam; European Commission Joint Research Centre; EC JRC ISPRA Site; International Institute for Applied Systems Analysis (IIASA)</t>
  </si>
  <si>
    <t>Petz, K (corresponding author), PBL Netherlands Environm Assessment Agcy, POB 303, NL-3720 AH Bilthoven, Netherlands.</t>
  </si>
  <si>
    <t>katalin.petz@pbl.nl; rob.alkemade@pbl.nl; michel.bakkenes@pbl.nl; rob.alkemade@pbl.nl; marijn.van-der-velde@jrc.ec.europa.eu; rikleemans@wur.nl</t>
  </si>
  <si>
    <t>van der Velde, Marijn/B-3305-2009; Leemans, Rik/A-1548-2009; Alkemade, Rob/U-3663-2017; Schulp, Nynke/G-1451-2013</t>
  </si>
  <si>
    <t>van der Velde, Marijn/0000-0002-9103-7081; Leemans, Rik/0000-0002-4001-6301; Alkemade, Rob/0000-0001-8761-1768; Schulp, Nynke/0000-0002-5068-8566</t>
  </si>
  <si>
    <t>0959-3780</t>
  </si>
  <si>
    <t>1872-9495</t>
  </si>
  <si>
    <t>GLOBAL ENVIRON CHANG</t>
  </si>
  <si>
    <t>Glob. Environ. Change-Human Policy Dimens.</t>
  </si>
  <si>
    <t>10.1016/j.gloenvcha.2014.08.007</t>
  </si>
  <si>
    <t>Environmental Sciences; Environmental Studies; Geography</t>
  </si>
  <si>
    <t>Environmental Sciences &amp; Ecology; Geography</t>
  </si>
  <si>
    <t>AZ1SD</t>
  </si>
  <si>
    <t>WOS:000348017200020</t>
  </si>
  <si>
    <t>Bright, J; Lanyston, R; Bullman, R; Evans, R; Gardner, S; Pearce-Higgins, J</t>
  </si>
  <si>
    <t>Bright, Jenny; Lanyston, Rowena; Bullman, Rhys; Evans, Richard; Gardner, Sam; Pearce-Higgins, James</t>
  </si>
  <si>
    <t>Renewable energy; Wind turbine; Collision; Disturbance; Bird conservation</t>
  </si>
  <si>
    <t>HARRIER CIRCUS-CYANEUS; CORNCRAKE CREX CREX; ISLE-OF-MAN; GOLDEN EAGLE; POPULATION CONSEQUENCES; CAPRIMULGUS-EUROPAEUS; AQUILA-CHRYSAETOS; RED KITE; BRITAIN; MORTALITY</t>
  </si>
  <si>
    <t>Government targets for renewable energy have led to a huge increase in wind farm proposals. Because of its high wind resource, Scotland has more proposed wind farms than any other UK country. Scotland's upland habitats support many birds of conservation concern, leading to potential conflict with wind farms. To help reduce this conflict, a map of bird sensitivities has been created to guide the location of onshore wind farms in Scotland, based on distributions of 16 bird species of conservation priority and statutory Special Protection Areas. The likely sensitivity of each species to wind farms was assessed from literature, based on foraging ranges, collision risk and sensitivity to disturbance. This information was used to buffer species' locations to identify areas of 'high' or 'medium' sensitivity. Individual species maps were converted to 1-km square resolution, and a composite map for all species created by selecting the highest sensitivity rating for each square. The map indicates greater bird sensitivity in northwest Scotland, particularly the Highlands, Western and Northern Isles. Overall, 37% of Scotland is classified as 'high', 25% as 'medium' and 38% as 'low/unknown' sensitivity. The overlap of the mapped species with proposed and existing wind farm developments was assessed and species for which cumulative effects of multiple wind farms are of particular concern identified. Within a Scottish context, bean goose, red kite and hen harrier showed the greatest overlap. Applications and limitations of the approach are discussed. (C) 2008 Elsevier Ltd. All rights reserved.</t>
  </si>
  <si>
    <t>[Bright, Jenny; Lanyston, Rowena] Royal Soc Protect Birds, Conservat Sci, Sandy SG19 2DL, Beds, England; [Bullman, Rhys] Univ Stirling, Beta Ctr, Stirling FK9 4NF, Scotland; [Evans, Richard; Gardner, Sam; Pearce-Higgins, James] Royal Soc Protect Birds, Edinburgh EH4 3TP, Midlothian, Scotland</t>
  </si>
  <si>
    <t>Royal Society for Protection of Birds; University of Stirling; Royal Society for Protection of Birds</t>
  </si>
  <si>
    <t>Bright, J (corresponding author), Royal Soc Protect Birds, Conservat Sci, Sandy SG19 2DL, Beds, England.</t>
  </si>
  <si>
    <t>Jenny.Bright@rspb.org.uk; Rowena.Langston@rspb.org.uk; Rhys.Bullman@snh.gov.uk; Richard.Evans@rspb.org.uk; Sam.Gardner@rspb.org.uk; james.Pearce-Higgins@rspb.org.uk</t>
  </si>
  <si>
    <t>RSPB; SNH</t>
  </si>
  <si>
    <t>The authors would like to thank the RSPB and SNH for jointly funding this project. Richard Bradbury Dave Dawson, Gavin Stewart, Jeremy Wilson and two unnamed reviewers provided useful comments on an earlier draft of this paper. Ellen Wilson and Colin Campbell provided advice and technical expertise during the project.We are grateful to the following for providing data: Bean Goose Action Group, Capercaillie Biodiversity Action Plan Steering Group, Join Nature Conservation Committee, Perth-shire Black Grouse Study Group, Rare Breeding Birds Panel and Scottish Raptor Study Groups, and the many individuals who contributed data and expertise to the project, please see Bright et al., 2006 for full details.</t>
  </si>
  <si>
    <t>10.1016/j.biocon.2008.06.029</t>
  </si>
  <si>
    <t>359ZP</t>
  </si>
  <si>
    <t>WOS:000260027100017</t>
  </si>
  <si>
    <t>Mazaris, AD</t>
  </si>
  <si>
    <t>Mazaris, Antonios D.</t>
  </si>
  <si>
    <t>Hostile activities; Anti-shipping; Maritime terrorism; Piracy; Global; Maritime security</t>
  </si>
  <si>
    <t>MARINE PROTECTED AREAS; BIODIVERSITY CONSERVATION; WAR; ENVIRONMENT; WILDLIFE; IMPACTS; COSTS</t>
  </si>
  <si>
    <t>Hostile acts against ships and mariners remain a global social and political phenomenon which usually reflects a high degree of socioeconomic vulnerability. The identification of the causes and driving factors behind the deteriorating maritime security has received considerable attention. However, their potential impact upon biodiversity conservation initiatives remains poorly evaluated. In the present study the spatial overlap between biodiversity hotspots and hotspots of hostile maritime acts are explored. The majority of such hostile acts occur in economically vulnerable countries, with the operation of their Marine Protected Areas largely depending on the revenue generated by visitors. Given that hostile maritime acts could cause financial losses and increase social and political instability, they could significantly alter conservation efficiency. Thus, it is critical to consider the way of incorporating maritime security risks into conservation agendas.</t>
  </si>
  <si>
    <t>[Mazaris, Antonios D.] Aristotle Univ Thessaloniki, Sch Biol, Dept Ecol, Thessaloniki 54124, Greece</t>
  </si>
  <si>
    <t>Aristotle University of Thessaloniki</t>
  </si>
  <si>
    <t>Mazaris, AD (corresponding author), Aristotle Univ Thessaloniki, Sch Biol, Dept Ecol, Thessaloniki 54124, Greece.</t>
  </si>
  <si>
    <t>amazaris@bio.auth.gr</t>
  </si>
  <si>
    <t>Mazaris, Antonios/0000-0002-4961-5490</t>
  </si>
  <si>
    <t>10.1016/j.marpol.2017.01.003</t>
  </si>
  <si>
    <t>EL3YU</t>
  </si>
  <si>
    <t>WOS:000394557400021</t>
  </si>
  <si>
    <t>Munanura, IE; Backman, KF; Sabuhoro, E</t>
  </si>
  <si>
    <t>Munanura, Ian E.; Backman, Kenneth F.; Sabuhoro, Edwin</t>
  </si>
  <si>
    <t>CURRENT ISSUES IN TOURISM</t>
  </si>
  <si>
    <t>endangered species; Mountain Gorillas; Rwanda; stakeholders; tourism growth</t>
  </si>
  <si>
    <t>APPRECIATIVE INQUIRY; COLLABORATION THEORY; PROTECTED AREAS; BIODIVERSITY; ECOTOURISM; COMMUNITY; IMPACTS; STAKEHOLDERS</t>
  </si>
  <si>
    <t>Like other developing African countries, Rwanda has embraced nature-based tourism for its economic potential. However, tourism can cause irreversible harm, especially in fragile but popular tourist destinations such as Volcanoes National Park (VPN) in Rwanda, which is home to endangered species. Instead of focusing greater attention on this risk, park management has embarked on expanding tourism for greater revenue opportunities. Thus, this paper aims to explore tourism growth and potential resulting threats, investigate the capacity of tourism staff to manage the projected growth, and provide recommendations for management to develop tourism while considering its long-term effects. In addition to conducting interviews with senior park management, Appreciative Inquiry was utilised, which involves stages of grounding, discovery, and design to promote stakeholders' discussions on the future of tourism for VPN and GIS ArcView to map tourism use zones. The results highlight three main findings. First, tourism revenue-driven enthusiasm overshadows the park's fragility. Second, the proposed growth does not include an appropriate impact mitigation strategy. Third, human resources' skills for managing the planned tourism growth are limited. Consequently, the planned tourism growth could potentially destroy the park. Several recommendations (e. g. tourism use zoning plan) are made.</t>
  </si>
  <si>
    <t>[Munanura, Ian E.; Backman, Kenneth F.] Clemson Univ, Dept Pk Recreat &amp; Tourism Management, Clemson, SC 29634 USA; [Sabuhoro, Edwin] Private Sector Federat, Tourism Chamber, Kigali, Rwanda</t>
  </si>
  <si>
    <t>Clemson University</t>
  </si>
  <si>
    <t>Munanura, IE (corresponding author), Clemson Univ, Dept Pk Recreat &amp; Tourism Management, 263 Lehotsky Hall, Clemson, SC 29634 USA.</t>
  </si>
  <si>
    <t>imunanu@clemson.edu</t>
  </si>
  <si>
    <t>Sabuhoro, Edwin/ABC-6078-2021; Munanura, Ian/Q-6786-2019</t>
  </si>
  <si>
    <t>Sabuhoro, Edwin/0000-0002-6660-286X</t>
  </si>
  <si>
    <t>ROUTLEDGE JOURNALS, TAYLOR &amp; FRANCIS LTD</t>
  </si>
  <si>
    <t>2-4 PARK SQUARE, MILTON PARK, ABINGDON OX14 4RN, OXON, ENGLAND</t>
  </si>
  <si>
    <t>1368-3500</t>
  </si>
  <si>
    <t>1747-7603</t>
  </si>
  <si>
    <t>CURR ISSUES TOUR</t>
  </si>
  <si>
    <t>Curr. Issues Tour.</t>
  </si>
  <si>
    <t>7-8</t>
  </si>
  <si>
    <t>10.1080/13683500.2013.785483</t>
  </si>
  <si>
    <t>Hospitality, Leisure, Sport &amp; Tourism</t>
  </si>
  <si>
    <t>Social Sciences - Other Topics</t>
  </si>
  <si>
    <t>299QB</t>
  </si>
  <si>
    <t>WOS:000330409100006</t>
  </si>
  <si>
    <t>Visintin, C; Golding, N; van der Ree, R; McCarthy, MA</t>
  </si>
  <si>
    <t>Visintin, Casey; Golding, Nick; van der Ree, Rodney; McCarthy, Michael A.</t>
  </si>
  <si>
    <t>Crepuscular; Railway; Risk; Species distribution model; Temporal; WTC</t>
  </si>
  <si>
    <t>ROAD MORTALITY; MITIGATION; MODELS; SUITABILITY; VALIDATION; ANIMALS; TRENDS; FAUNA</t>
  </si>
  <si>
    <t>Understanding wildlife-vehicle collision risk is critical to mitigating its negative impacts on wildlife conservation, human health and economy. Research often focuses on collisions between wildlife and road vehicles, but collision risk factors for other types of vehicles, less examined in the literature, may also be informative. We studied spatial and temporal variation in wildlife-train collision risk in the State of Victoria, Australia. We quantified train movements in space and time, and mapped species occurrence likelihood, across the railway network. Using spatially- and temporally-resolved collision data, we fitted a model to analyse collisions between trains and kangaroos; accounting for time of day, train frequency and speed, and kangaroo occurrence. We then predicted collision rates on the passenger railway network under three management scenarios relating to train speed and occurrence of kangaroos near the railway lines. Temporal variation in animal activity was the strongest predictor of collision risk. Train speed was the second most influential variable, followed by spatial variation in likelihood of species occurrence. Reducing speeds in areas of high predicted species occurrence and during periods of peak animal activity (early morning and evening for kangaroos) was predicted to reduce collision risk the most. Our results suggest mechanisms that might improve existing wildlife-transport collision analyses. The model can help managers decide where, when and how best to mitigate collisions between animals and transport. It can also be used to predict high-risk locations or times for (a) timetable/schedule changes (b) proposals for new routes or (c) disused routes considered for reopening.</t>
  </si>
  <si>
    <t>[Visintin, Casey; Golding, Nick; McCarthy, Michael A.] Univ Melbourne, Sch BioSci, Quantitat &amp; Appl Ecol Grp, Parkville, Vic 3010, Australia; [van der Ree, Rodney] Univ Melbourne, Ecol &amp; Infrastruct Int, Parkville, Vic 3010, Australia; [van der Ree, Rodney] Univ Melbourne, Sch BioSci, Bldg 122,Rm 114, Parkville, Vic 3010, Australia</t>
  </si>
  <si>
    <t>Visintin, C (corresponding author), Univ Melbourne, Sch BioSci, Bldg 122,Rm 114, Parkville, Vic 3010, Australia.</t>
  </si>
  <si>
    <t>casey.visintin@unimelb.edu.au; nicholas.golding@unimelb.edu.au; rvdr@unimelb.edu.au; mamcca@unimelb.edu.au</t>
  </si>
  <si>
    <t>; McCarthy, Michael/O-5655-2014; Golding, Nick/HOF-5185-2023</t>
  </si>
  <si>
    <t>Visintin, Casey/0000-0003-2245-8998; McCarthy, Michael/0000-0003-1039-7980; Golding, Nick/0000-0001-8916-5570</t>
  </si>
  <si>
    <t>University of Melbourne; Australian Research Council Centre of Excellence for Environmental Decisions</t>
  </si>
  <si>
    <t>University of Melbourne(University of Melbourne); Australian Research Council Centre of Excellence for Environmental Decisions(Australian Research Council)</t>
  </si>
  <si>
    <t>We thank V/Line for their generous collaboration; in particular, Sam Parsons, who queried and provided the collision statistics used for the study. Michaela Plein provided valuable comments on the manuscript. This project was supported by a University of Melbourne International Research Scholarship and the Australian Research Council Centre of Excellence for Environmental Decisions.</t>
  </si>
  <si>
    <t>1879-2340</t>
  </si>
  <si>
    <t>10.1016/j.trd.2017.12.003</t>
  </si>
  <si>
    <t>GA1TQ</t>
  </si>
  <si>
    <t>WOS:000428100700008</t>
  </si>
  <si>
    <t>Harris, LR; Nel, R; Oosthuizen, H; Meÿer, M; Kotze, D; Anders, D; McCue, S; Bachoo, S</t>
  </si>
  <si>
    <t>Harris, Linda R.; Nel, Ronel; Oosthuizen, Herman; Meyer, Mike; Kotze, Deon; Anders, Darrell; McCue, Steven; Bachoo, Santosh</t>
  </si>
  <si>
    <t>biologging; fisheries; hydrocarbon; longlining; marine spatial planning; migratory or wide-ranging species; sea turtles</t>
  </si>
  <si>
    <t>SEA-TURTLES; SATELLITE TRACKING; ANALYSIS REVEALS; RIDLEY TURTLES; HOME-RANGE; BEHAVIOR; CONSERVATION; MANAGEMENT; TRANSPORT; FIDELITY</t>
  </si>
  <si>
    <t>Harnessing the economic potential of the oceans is key to combating poverty, enhancing food security, and strengthening economies. But the concomitant risk of intensified resource extraction to migratory species is worrying given these species contribute to important ecological processes, often underpin alternative livelihoods, and are mostly already threatened. We thus sought to quantify the potential conflict between key economic activities (5 fisheries and hydrocarbon exploitation) and sea turtle migration corridors in a region with rapid economic development: southern and eastern Africa. We satellite tracked the movement of 20 loggerhead (Caretta caretta) and 14 leatherback (Dermochelys coriacea) turtles during their postnesting migrations. We used movement-based kernel density estimation to identify migration corridors for each species. We overlaid these corridors on maps of the distribution and intensity of economic activities, quantified the extent of overlap and threat posed by each activity on each species, and compared the effects of activities. These results were compared with annual bycatch rates in the respective fisheries. Both species' 3 corridors overlapped most with longline fishing, but the effect was worse for leatherbacks: their bycatch rates of approximately 1500/year were substantial relative to the regional population size of &lt; 100 nesting females/annum. This bycatch rate is likely slowing population growth. Artisanal fisheries may be of greater concern for loggerheads than for leatherbacks, but the population appears to be withstanding the high bycatch rates because it is increasing exponentially. The hydrocarbon industry currently has a moderately low impact on both species, but mining in key areas (e.g., Southern Mozambique) may undermine &gt; 50 years of conservation, potentially affecting &gt; 80% of loggerheads, 33% of the (critically endangered) leatherbacks, and their nesting beaches. We support establishing blue economies (i.e., generating wealth from the ocean), but oceans need to be carefully zoned and responsibly managed in both space and time to achieve economic (resource extraction), ecological (conservation, maintenance of processes), and social (maintenance of alternative livelihood opportunities, alleviate poverty) objectives.</t>
  </si>
  <si>
    <t>[Harris, Linda R.; Nel, Ronel] Nelson Mandela Univ, Inst Coastal &amp; Marine Res, Dept Zool, ZA-6001 Port Elizabeth, Eastern Cape, South Africa; [Oosthuizen, Herman; Meyer, Mike; Kotze, Deon; Anders, Darrell; McCue, Steven] Branch Oceans &amp; Coasts, Dept Environm Affairs, ZA-8001 Cape Town, Western Cape, South Africa; [Bachoo, Santosh] Ezemvelo KwaZulu Natal Wildlife, Private Bag X 3, ZA-4013 Durban, KwaZulu Natal, South Africa</t>
  </si>
  <si>
    <t>Nelson Mandela University; Department of Environment, Forestry &amp; Fisheries</t>
  </si>
  <si>
    <t>Harris, LR (corresponding author), Nelson Mandela Univ, Inst Coastal &amp; Marine Res, Dept Zool, ZA-6001 Port Elizabeth, Eastern Cape, South Africa.</t>
  </si>
  <si>
    <t>harris.linda.r@gmail.com</t>
  </si>
  <si>
    <t>; Nel, Ronel/HTN-7698-2023; Harris, Linda/NJS-8008-2025</t>
  </si>
  <si>
    <t>Harris, Linda/0000-0003-4719-0481;</t>
  </si>
  <si>
    <t>Department of Environmental Affairs: Oceans and Coasts; National Research Foundation (NRF): Thuthuka grant [TTK2006051200009]; Scarce Skills Postdoctoral Fellowship; KIC Scientific Events Grant [KIC14081892587]; Wildlands Trust; Nelson Mandela Metropolitan University Science Faculty</t>
  </si>
  <si>
    <t>Department of Environmental Affairs: Oceans and Coasts; National Research Foundation (NRF): Thuthuka grant; Scarce Skills Postdoctoral Fellowship; KIC Scientific Events Grant; Wildlands Trust; Nelson Mandela Metropolitan University Science Faculty</t>
  </si>
  <si>
    <t>Funding for this project was provided by the Department of Environmental Affairs: Oceans and Coasts; National Research Foundation (NRF): Thuthuka grant (TTK2006051200009) to R.N., Scarce Skills Postdoctoral Fellowship and KIC Scientific Events Grant (KIC14081892587) to L.R.H.; Wildlands Trust; and Nelson Mandela Metropolitan University Science Faculty. We are grateful to Infield Systems Limited for allowing access to the spatial data of hydrocarbon activities in the WIO region. We also thank all those involved in satellite-tag deployment, particularly V. Chetty, R. Cotton, S. Eckert, J. Gaisford, G. Hughes, A. Laas, and J. Olbers, and to the Department of Environmental Affairs: Oceans and Coasts and Ezemvelo KwaZulu-Natal Wildlife for logistical, infrastructure, and in-kind support. We also sincerely thank S. Benhamou for providing us with a customized version of the MKDE programme. Opinions expressed and conclusions arrived at are those of the authors and are not necessarily to be attributed to the NRF.</t>
  </si>
  <si>
    <t>10.1111/cobi.12992</t>
  </si>
  <si>
    <t>GA4RV</t>
  </si>
  <si>
    <t>WOS:000428319600016</t>
  </si>
  <si>
    <t>Tulloch, V; Pirotta, V; Grech, A; Crocetti, S; Double, M; How, J; Kemper, C; Meager, J; Peddemors, V; Waples, K; Watson, M; Harcourt, R</t>
  </si>
  <si>
    <t>Tulloch, Vivitskaia; Pirotta, Vanessa; Grech, Alana; Crocetti, Susan; Double, Michael; How, Jason; Kemper, Catherine; Meager, Justin; Peddemors, Victor; Waples, Kelly; Watson, Mandy; Harcourt, Robert</t>
  </si>
  <si>
    <t>Cetacean; Dolphin; Whale; Entanglement; Fisheries; Mitigation; Australia; Bycatch; Anthropogenic pressures; Risk assessment</t>
  </si>
  <si>
    <t>NEW-SOUTH-WALES; DOLPHINS TURSIOPS-TRUNCATUS; MARINE MAMMALS; FISHING GEAR; WESTERN-AUSTRALIA; HUMPBACK DOLPHINS; HECTORS DOLPHIN; BALEEN WHALES; SITE FIDELITY; SEA LIONS</t>
  </si>
  <si>
    <t>Assessments of fisheries interactions with non-target species are crucial for quantifying anthropogenic threatening processes and informing management action. We perform the first multi-jurisdictional analysis of spatial and temporal trends, data gaps and risk assessment of cetacean interactions with fisheries gear for the entire Australian Exclusive Economic Zone. Bycatch and entanglement records dating from 1887 to 2016 were collected from across Australia (n = 1987). Since 2000 there has been a substantial increase in reported bycatch and entanglements and this is likely the result of improved monitoring or recording by some jurisdictions and fisheries as well as changing fishing effort, combined with continuing recovery of baleen whale populations after cessation of commercial whaling. A minimum of 27 cetacean species were recorded entangled, with over 30% of records involving interactions with threatened, vulnerable or endangered species. Three times the number of dolphins and toothed whales were recorded entangled compared to baleen whales. Inshore dolphins were assessed as most vulnerable to population decline as a result of entanglements, though humpback whales, common bottlenose dolphins, and short-beaked common dolphins were the most frequently caught. Only one-quarter of animals were reported to have survived entanglement, either through intervention or self-release from fishing gear. Spatial mapping of the records highlighted entanglement hotspots along the east and west coast of the continent, regions where high human population density, high fishing effort, and high density of migrating humpback whales all occur, augmented by high captures of dolphins in shark control gear along the east coast. Areas of few entanglements were more remote, highlighting substantial bias in entanglement reporting. Our gap analysis identified discrepancies in data quality and recording consistency both within and between jurisdictions. Disparities in the types of fisheries data provided for the analysis by different state agencies limited our ability to compile bycatch data in a representative and systematic way. This research highlights the need for improved standardised data recording and reporting by all agencies, and compulsory sharing of detailed fisheries interaction and effort data, as this would increase the value of entanglement and bycatch data as a conservation and management tool.</t>
  </si>
  <si>
    <t>[Tulloch, Vivitskaia; Pirotta, Vanessa; Harcourt, Robert] Macquarie Univ, Dept Biol Sci, Marine Predator Res Grp, Sydney, NSW, Australia; [Tulloch, Vivitskaia] Univ British Columbia, Dept Forest &amp; Conservat Sci, Vancouver, BC, Canada; [Grech, Alana] Macquarie Univ, Dept Environm Sci, Sydney, NSW, Australia; [Grech, Alana] James Cook Univ, ARC Ctr Excellence Coral Reef Studies, Townsville, Qld, Australia; [Crocetti, Susan] Off Environm &amp; Heritage, NSW Natl Pk &amp; Wildlife Serv, Biodivers &amp; Wildlife Unit, Coffs Harbour, Australia; [Double, Michael] Australian Marine Mammal Ctr, Australian Antarctic Div, 203 Channel Hwy, Kingston, Tas, Australia; [How, Jason] Dept Primary Ind &amp; Reg Dev, South Perth, WA, Australia; [Kemper, Catherine] South Australian Museum, North Terrace, Adelaide, SA 5000, Australia; [Meager, Justin] Queensland Dept Environm &amp; Sci, GPO Box 2454, Dutton Park, Qld 4001, Australia; [Peddemors, Victor] Sydney Inst Marine Sci, New South Wales Dept Ind, Mosman, NSW, Australia; [Waples, Kelly] Dept Biodivers Conservat &amp; Attract, Marine Sci Program, Kensington, WA, Australia; [Watson, Mandy] Dept Environm Land Water &amp; Planning, POB 500, East Melbourne, Vic, Australia</t>
  </si>
  <si>
    <t>Macquarie University; University of British Columbia; Macquarie University; James Cook University; ARC Centre of Excellence for Coral Reef Studies; Office of Environment &amp; Heritage - New South Wales; Australian Antarctic Division; Australian Marine Mammal Centre; Department of Primary Industries &amp; Regional Development NSW; South Australian Museum; Sydney Institute of Marine Science</t>
  </si>
  <si>
    <t>Tulloch, V (corresponding author), Macquarie Univ, Dept Biol Sci, Marine Predator Res Grp, Sydney, NSW, Australia.;Tulloch, V (corresponding author), Univ British Columbia, Dept Forest &amp; Conservat Sci, Vancouver, BC, Canada.</t>
  </si>
  <si>
    <t>v.tulloch@ubc.ca</t>
  </si>
  <si>
    <t>Peddemors, Victor/Q-4281-2016; Waples, Kelly/JXO-0148-2024; Pirotta, Vanessa/I-7046-2018; Tulloch, Vivitskaia/GNH-4554-2022; Meager, Justin/E-6693-2012; Grech, Alana/U-7776-2019</t>
  </si>
  <si>
    <t>Peddemors, Victor/0000-0002-8743-9782; Harcourt, Robert/0000-0003-4666-2934; Pirotta, Vanessa/0000-0003-0395-1859; Tulloch, Vivitskaia/0000-0002-7673-3716; Meager, Justin/0000-0002-3349-1841; Grech, Alana/0000-0003-4117-3779</t>
  </si>
  <si>
    <t>10.1007/s10531-019-01881-x</t>
  </si>
  <si>
    <t>KJ2CQ</t>
  </si>
  <si>
    <t>WOS:000511866200014</t>
  </si>
  <si>
    <t>Ramachandran, RM; Roy, PS; Chakravarthi, V; Sanjay, J; Joshi, PK</t>
  </si>
  <si>
    <t>Ramachandran, Reshma M.; Roy, Parth Sarathi; Chakravarthi, V.; Sanjay, J.; Joshi, Pawan K.</t>
  </si>
  <si>
    <t>Land use and land cover change; Fragmentation; Habitat suitability; RET and endemic species; Eastern Ghats; Conservation</t>
  </si>
  <si>
    <t>FOREST FRAGMENTATION; LANDSCAPE ECOLOGY; TROPICAL FORESTS; PROTECTED AREAS; CLIMATE-CHANGE; BIODIVERSITY; DIVERSITY; WILDLIFE; IMPACTS; MODELS</t>
  </si>
  <si>
    <t>Natural resources are experiencing unprecedented pressures due to land use and land cover (LULC) changes. Such changes in LULC have significantly affected the extent and condition of forests in the Eastern Ghats of India causing a decline in the forest cover as well as disturbing the habitats of several rare, endangered, threatened (RET) and endemic species. The current study attempts to determine the habitat suitability and threat of a selected group of plants viz, RET and endemic species. This is realized in light of LULC change and forest fragmentation over a period of similar to 100 years to understand the possible conservation strategies in the study area. Historical maps and satellite images from 1920 to 2015 were used to develop the LULC and fragmentation maps. MaxEnt species distribution model were used to simulate the distribution of RET and endemic species. Our study reveals that, by and large, the Eastern Ghats have lost 15.83% of its forest area over a span of similar to 100 years. For the study period from 1920 to 2015, it is estimated that about 7.92% of forest area was converted into agriculture, and up to 3.80% into scrub/grassland respectively. Also, it was found that the total number of forest patches have been increased from 1509 in 1920-9457 in 2015, core area has declined from 93461.05 sq.km in 1920-61262.11 sq.km in 2015, and edge length has increased to 2.20 sq.km in 2015 as compared to 0.82 sq.km in 1920. Best suitable habitats of RET and endemic species have reduced by 0.08% and 0.22% respectively. Habitat reduction has mainly occurred in the districts of Gajapati (Odisha state), Mahbubnagar (Telangana state) and also in Nallamalai and Kolli hill ranges. The species mostly spread across and the suitable habitats was found outside the rages of protected areas. From the present study we recommend that appropriate conservation strategies should be initiated on these threatened areas to prevent further decline in the extent and habitat quality of the RET and endemic species in Eastern Ghats.</t>
  </si>
  <si>
    <t>[Ramachandran, Reshma M.; Roy, Parth Sarathi; Chakravarthi, V.] Univ Hyderabad, Ctr Earth &amp; Space Sci, Hyderabad 500046, Andhra Pradesh, India; [Sanjay, J.] Indian Inst Trop Meteorol, Ctr Climate Change Res, Pune 411008, Maharashtra, India; [Joshi, Pawan K.] Jawaharlal Nehru Univ, Sch Environm Sci, New Delhi 110067, India</t>
  </si>
  <si>
    <t>University of Hyderabad; Ministry of Earth Sciences (MoES) - India; Indian Institute of Tropical Meteorology (IITM); Centre for Climate Change Research - India; Jawaharlal Nehru University, New Delhi</t>
  </si>
  <si>
    <t>Ramachandran, RM (corresponding author), Univ Hyderabad, Ctr Earth &amp; Space Sci, Hyderabad 500046, Andhra Pradesh, India.</t>
  </si>
  <si>
    <t>reshmamr@uohyd.ac.in; psroy13@gmail.com; vcvarthi@rediffmail.com; sanjay@troptmer.res.in; pkjoshi27@hotmail.com</t>
  </si>
  <si>
    <t>Jayanarayanan, Sanjay/AAX-2812-2020; Vishnubhotla, Chakravarthi/LBH-0282-2024; Roy, Parth/O-8586-2019</t>
  </si>
  <si>
    <t>Jayanarayanan, Sanjay/0000-0003-2996-2636;</t>
  </si>
  <si>
    <t>Ministry of Earth Sciences, Government of India; National Academy of Science</t>
  </si>
  <si>
    <t>Authors are thankful to Ministry of Earth Sciences, Government of India for sponsor the research project. PSR is also thankful to National Academy of Science for Platinum Jubilee Fellowship. We are also thankful to anonymous reviewers for providing valuable comments and suggestions to improve the quality of this research article.</t>
  </si>
  <si>
    <t>10.1016/j.ecolind.2017.10.012</t>
  </si>
  <si>
    <t>GD6QW</t>
  </si>
  <si>
    <t>WOS:000430634500003</t>
  </si>
  <si>
    <t>Bi, RJ; Jiao, Y; Bakka, H; Browder, JA</t>
  </si>
  <si>
    <t>Bi, Rujia; Jiao, Yan; Bakka, Haakon; Browder, Joan A.</t>
  </si>
  <si>
    <t>barrier model; climate influence; seabird bycatch; spatiotemporal pattern</t>
  </si>
  <si>
    <t>MITIGATION MEASURES; GAUSSIAN MODELS; SEA-TURTLE; MANAGEMENT; MORTALITY; TRAWL; TUNA; CONSERVATION; ALBATROSSES; PRIORITIES</t>
  </si>
  <si>
    <t>Seabirds are facing increasing threats in both marine and terrestrial habitats, and many populations have experienced dramatic declines over past decades. Fisheries bycatch is the most pervasive at-sea threat and is of increasing concern in fisheries management and marine conservation. We predicted spatial and temporal heterogeneities of seabird bycatch probability in the US Atlantic pelagic longline fishery (PLL) through an interactive Barrier model based on observer data from the National Marine Fisheries Service Pelagic Observer Program. The Barrier model prevents bias caused by physical barriers such as coastlines by defining the spatial correlation function as a collection of paths between points and eliminating any paths across physical barriers. The integrated nested Laplace approximations methodology and stochastic partial differential equations approach were applied to fit the model, greatly reducing execution time. Seabird bycatch had a hotspot of high bycatch probability in the mid-Atlantic bight in most years, and the hotspot varied in presence and location yearly. The inter-annual variations in bycatch hotspot are correlated with Gulf Stream meanders. Special area and time fishing restrictions predicted by relationships with Gulf Stream positions might enable the US Atlantic PLL to avoid peak areas and periods of seabird bycatch and thereby support seabird conservation.</t>
  </si>
  <si>
    <t>[Bi, Rujia; Jiao, Yan] Virginia Polytech Inst &amp; State Univ, Dept Fish &amp; Wildlife Conservat, Blacksburg, VA 24061 USA; [Bakka, Haakon] King Abdullah Univ Sci &amp; Technol, CEMSE Div, Stat Program, Thuwal 23955, Saudi Arabia; [Browder, Joan A.] NOAA, Natl Marine Fisheries Serv, Southeast Fisheries Sci Ctr, Miami, FL 33149 USA</t>
  </si>
  <si>
    <t>Virginia Polytechnic Institute &amp; State University; King Abdullah University of Science &amp; Technology; National Oceanic Atmospheric Admin (NOAA) - USA</t>
  </si>
  <si>
    <t>Bi, RJ (corresponding author), Virginia Polytech Inst &amp; State Univ, Dept Fish &amp; Wildlife Conservat, Blacksburg, VA 24061 USA.</t>
  </si>
  <si>
    <t>rbi@vt.edu</t>
  </si>
  <si>
    <t>Jiao, Yan/0000-0002-8804-5005; Bi, Rujia/0000-0002-1954-6797</t>
  </si>
  <si>
    <t>National Oceanic and Atmospheric Administration (NOAA), National Marine Fisheries Service Southeast Fisheries Science Center, as part of the NOAA Fisheries National Seabird Program</t>
  </si>
  <si>
    <t>This research was supported by a grant for Modeling Pelagic Longline Seabird Bycatch awarded to YJ by the National Oceanic and Atmospheric Administration (NOAA), National Marine Fisheries Service Southeast Fisheries Science Center, as part of the NOAA Fisheries National Seabird Program. The authors acknowledge Advanced Research Computing at Virginia Tech (http://www.arc.vt.edu) for providing computational resources and technical support that have contributed to the results reported within this article. Attention to the comments of the associate editor and anonymous reviewers led to strengthening of the article.</t>
  </si>
  <si>
    <t>10.1093/icesjms/fsz255</t>
  </si>
  <si>
    <t>LS5NG</t>
  </si>
  <si>
    <t>WOS:000536430100019</t>
  </si>
  <si>
    <t>Paniw, M; Salguero-Gómez, R; Ojeda, F</t>
  </si>
  <si>
    <t>Paniw, Maria; Salguero-Gomez, Roberto; Ojeda, Fernando</t>
  </si>
  <si>
    <t>Anthropogenic disturbances; Carnivorous plants; Drosophyllum lusitanicum; Fire suppression; Post-fire specialists; Pyrophytic species</t>
  </si>
  <si>
    <t>POPULATION VIABILITY ANALYSIS; LAND-USE; DROSOPHYLLUM-LUSITANICUM; HYPERICUM-CUMULICOLA; CARNIVOROUS PLANT; SEED-GERMINATION; CLIMATE-CHANGE; FLORIDA SCRUB; CONSERVATION; LANDSCAPE</t>
  </si>
  <si>
    <t>Fire-prone Mediterranean heathlands are biodiversity hotspots and home to a multitude of fire-dependent species. Fire-suppression policies worldwide have increased the risk of extinction of such species or have delegated relative prominence to other disturbances. This study explores how such a substitution of disturbances can alter the realized niche and population structure of a post-fire specialist. Using multimodel inference, we evaluate the relative magnitude and directionality (positive or negative) in the effect of large-scale (entire range) and local-scale (southern Spain) anthropogenic disturbances on the occurrence and abundance of Drosophyllum lusitanicum. This rare carnivorous plant is endemic to heathlands in the Southwestern Iberian Peninsula and northwestern Morocco managed under strict fire suppression policies. An increase in regional-scale anthropogenic disturbances did not affect regional-scale occurrence but significantly decreased abundance of Drosophyllum. On the other hand, local-scale anthropogenic disturbances positively affected both population occurrence and abundance. We demonstrate that non-fire anthropogenic disturbances can drive the population structure and distribution of an endemic post-fire specialist in Mediterranean heathlands, but their impacts change with their spatial scale. Although large-scale disturbances may threaten populations, small-scale disturbances may be more significant for species occurrence, and positively affect the distribution and abundances of pyrophytic species. In heathlands where fire suppression is a common practice, applying such disturbance regimes can be crucial for the preservation of fire-adapted Species. (C) 2015 Elsevier Ltd. All rights reserved.</t>
  </si>
  <si>
    <t>[Paniw, Maria; Ojeda, Fernando] Univ Cadiz, Dept Biol CeiA3, Puerto Real 11510, Spain; [Salguero-Gomez, Roberto] Univ Queensland, Sch Biol Sci, St Lucia, Qld 4072, Australia; [Salguero-Gomez, Roberto] Max Planck Inst Demog Res, Evolutionary Demog Lab, Rostock, Germany; [Salguero-Gomez, Roberto] Univ Dublin Trinity Coll, Dept Zool, Dublin 2, Ireland</t>
  </si>
  <si>
    <t>Universidad de Cadiz; University of Queensland; Max Planck Society; Trinity College Dublin</t>
  </si>
  <si>
    <t>Paniw, M (corresponding author), Univ Cadiz, Dept Biol CeiA3, Campus Rio San Pedro, Puerto Real 11510, Spain.</t>
  </si>
  <si>
    <t>maria.paniw@uca.es</t>
  </si>
  <si>
    <t>Paniw, Maria/AAH-5372-2019; Salguero-Gomez, Roberto/N-6016-2016; Ojeda, Fernando/L-1626-2014</t>
  </si>
  <si>
    <t>Paniw, Maria/0000-0002-1949-4448; Salguero-Gomez, Roberto/0000-0002-6085-4433; Ojeda, Fernando/0000-0001-5480-0925</t>
  </si>
  <si>
    <t>BREATHAL, Spanish Ministerio de Ciencia e Innovacion [CGL2011-28759/BOS]</t>
  </si>
  <si>
    <t>BREATHAL, Spanish Ministerio de Ciencia e Innovacion</t>
  </si>
  <si>
    <t>We thank M. Gil-Lopez, M. Collado, and the Botany Lab at the University of Coimbra (in particular D. Montesinos) for assisting us with fieldwork. We also thank J. Lopez Tirado, A. Gil, M. Porto, A. Julia Pereira, S. Goncalves, and J.L. Rendon for providing information on the locations of Portuguese Drosophyllum populations. Financial support was provided by the project BREATHAL (CGL2011-28759/BOS), Spanish Ministerio de Ciencia e Innovacion).</t>
  </si>
  <si>
    <t>10.1016/j.biocon.2015.04.010</t>
  </si>
  <si>
    <t>CL8ON</t>
  </si>
  <si>
    <t>WOS:000357234100009</t>
  </si>
  <si>
    <t>Garcia-de-Vinuesa, A; Sola, I; Quattrocchi, F; Maynou, F; Demestre, M</t>
  </si>
  <si>
    <t>Garcia-de-Vinuesa, Alfredo; Sola, Ivan; Quattrocchi, Federico; Maynou, Francesc; Demestre, Montserrat</t>
  </si>
  <si>
    <t>Linking trawl fleet dynamics and the spatial distribution of exploited species can help to avoid unwanted catches: the case of the NW Mediterranean fishing grounds</t>
  </si>
  <si>
    <t>unwanted catches; northwestern Mediterranean; trawl fishery; discard; VMS; MCRS</t>
  </si>
  <si>
    <t>NEPHROPS-NORVEGICUS; ECOSYSTEM APPROACH; FISHERY DISCARDS; MANAGEMENT; HABITAT; CONSERVATION; SURVIVAL; INFORM; SHELF; L.</t>
  </si>
  <si>
    <t>With the full implementation of the landing obligation on 1 January 2019, In European waters it will become mandatory for the trawling fleet to land at port all catches of certain species because, according to Article 15 of the new European Common Fisheries Policy, the species subject to the minimum conservation reference size (MCRS) cannot be discarded. Additionally. since 2005, trawlers over 15 m in length are required to carry an onboard vessel monitoring system (VMS), which generates information on fleet dynamics. The objective of this work was to provide a tool for avoiding unwanted catches by integrating the catch study of trawlers operating in the port of Blanes together with VMS data. To achieve this objective, the catches of 40 hauls were monitored, sampled and analysed together with VMS data for the years 2012-2014 integrated in a geographical information system. The results show that specimens below the MCRS were often captured in crinoid aggregation habitats, bottoms with maerl and muddy bottoms that were identified as nursery habitats of commercial species, e.g. Merluccius merluccius. Pagellus spp. and Mullus spp. VMS data showed considerable fishing pressure on areas with maerl and muddy habitats during the recruitment periods of these and other commercially relevant species. Implementing spatial or seasonal closures in habitats where species regulated by the MCRS are subject to catches could be a useful tool for preventing unwanted catches.</t>
  </si>
  <si>
    <t>[Garcia-de-Vinuesa, Alfredo; Sola, Ivan; Quattrocchi, Federico; Maynou, Francesc; Demestre, Montserrat] CSIC, Inst Ciencies Mar, P Maritim Barceloneta 37-49, E-08003 Barcelona, Spain</t>
  </si>
  <si>
    <t>Consejo Superior de Investigaciones Cientificas (CSIC); CSIC - Centro Mediterraneo de Investigaciones Marinas y Ambientales (CMIMA); CSIC - Instituto de Ciencias del Mar (ICM)</t>
  </si>
  <si>
    <t>Garcia-de-Vinuesa, A (corresponding author), CSIC, Inst Ciencies Mar, P Maritim Barceloneta 37-49, E-08003 Barcelona, Spain.</t>
  </si>
  <si>
    <t>agvinuesa@icm.csic.es; ivansolaccmar@gmail.com; Quattrocchi@icm.csic.es; maynouf@icm.csic.es; montse@icm.csic.es</t>
  </si>
  <si>
    <t>Maynou, Francesc/A-6433-2011; Sola, Iván/AAP-2530-2020; Demestre, Montserrat/M-1719-2014</t>
  </si>
  <si>
    <t>Maynou, Francesc/0000-0001-7200-6485; Quattrocchi, Federico/0000-0002-1802-8496; Sola Macia, Iván/0000-0003-2972-614X; Demestre, Montserrat/0000-0003-2866-4821</t>
  </si>
  <si>
    <t>research project MINOUW (H2020-SFS-2014-2) from European Commission [634495]</t>
  </si>
  <si>
    <t>research project MINOUW (H2020-SFS-2014-2) from European Commission</t>
  </si>
  <si>
    <t>This work was funded by the research project MINOUW (H2020-SFS-2014-2) from the European Commission (contract no 634495). We also acknowledge the help of the vessels' crew during sampling and the data provided by MAGRAMA, which were indispensable for meeting the objectives of this work.</t>
  </si>
  <si>
    <t>Editorial CSIC, C/VITRUVIO 8, 28006 MADRID, SPAIN</t>
  </si>
  <si>
    <t>10.3989/scimar.04755.17A</t>
  </si>
  <si>
    <t>HD4LC</t>
  </si>
  <si>
    <t>WOS:000452498000018</t>
  </si>
  <si>
    <t>Tulloch, VJD; Turschwell, MP; Giffin, AL; Halpern, BS; Connolly, R; Griffiths, L; Frazer, M; Brown, CJ</t>
  </si>
  <si>
    <t>Tulloch, Vivitskaia J. D.; Turschwell, Mischa P.; Giffin, Alyssa L.; Halpern, Benjamin S.; Connolly, Rod; Griffiths, Laura; Frazer, Melanie; Brown, Christopher J.</t>
  </si>
  <si>
    <t>Marine spatial planning; Anthropogenic pressures; Ecosystem-based management; Threat maps; Cumulative effects; Indicators</t>
  </si>
  <si>
    <t>MARINE PROTECTED AREAS; CLIMATE-CHANGE; INTEGRATED COASTAL; ECOSYSTEMS; IMPACTS</t>
  </si>
  <si>
    <t>Stressors to marine ecosystems are increasing, driven by human activities in the sea and on land, and climate change. Cumulative impact maps highlight regions affected by multiple human activities, but efficient conservation investment requires linking dominant pressures to management actions that best address the particular drivers of impacts. We rebuild cumulative impact maps by stressor type (climate change, marine and land) at a global scale to evaluate the expected effectiveness of various management strategies for all coastal territories. Average cumulative impact from non-marine stressors (climate and land) was double those of marine impacts at a national level. The greatest climate impacts by country were in the waters of Pacific Island and Antarctic territories; in the Caspian Sea region and East-Asia for land impacts; and in the waters of European, East-Asian and Caribbean countries for marine impacts. We developed a conservation-effectiveness indicator for the 10 worst-impacted countries in each of the three stressor categories. The indicator considered common management tools for each stressor category: ecosystem-based adaptation and disaster risk reduction (climate), marine protected areas (marine) and integrated coastal management (land). Key disparities were found between broad-scale management of marine ecosystems and the dominant stressors, with existing management in tropical island nations likely insufficient to address intense impacts from climate change. These countries also typically had low performance on governance indicators, suggesting challenges in implementing new mitigation. We highlight trade-offs in making decisions for stressor mitigation and offer strategic guidance on identifying locations to target management of marine, land, or climate impacts.</t>
  </si>
  <si>
    <t>[Tulloch, Vivitskaia J. D.; Turschwell, Mischa P.; Brown, Christopher J.] Griffith Univ Nathan, Australian Rivers Inst Coast &amp; Estuaries, Nathan, Qld 4111, Australia; [Giffin, Alyssa L.; Connolly, Rod; Griffiths, Laura] Griffith Univ, Sch Environm &amp; Sci, Australian Rivers Inst Coast &amp; Estuaries, Gold Coast, Qld 4222, Australia; [Halpern, Benjamin S.; Frazer, Melanie] Univ Calif Santa Barbara, Natl Ctr Ecol Anal &amp; Synth, Santa Barbara, CA 93101 USA; [Halpern, Benjamin S.] Univ Calif Santa Barbara, Bren Sch Environm Sci &amp; Management, Santa Barbara, CA 93106 USA; [Brown, Christopher J.] Griffith Univ, Sch Environm &amp; Sci, Nathan, Qld 4111, Australia</t>
  </si>
  <si>
    <t>Griffith University; Griffith University; University of California System; University of California Santa Barbara; University of California System; University of California Santa Barbara; Griffith University</t>
  </si>
  <si>
    <t>Tulloch, VJD (corresponding author), Univ British Columbia, Dept Forest &amp; Conservat Sci, Vancouver, BC, Canada.</t>
  </si>
  <si>
    <t>Griffiths, Laura/JDW-4919-2023; Turschwell, Mischa/A-5222-2014; Halpern, Benjamin/J-6141-2014; Tulloch, Vivitskaia/GNH-4554-2022; Connolly, Rod/C-4094-2008; Brown, Christopher/G-4287-2011</t>
  </si>
  <si>
    <t>Griffiths, Laura/0000-0001-8701-4373; Turschwell, Mischa/0000-0002-6307-9604; Connolly, Rod/0000-0001-6223-1291; Brown, Christopher/0000-0002-7271-4091</t>
  </si>
  <si>
    <t>Australian Research Council [DE160101207, DP180103124]; The Global Wetlands Project; Australian Government Scholarship</t>
  </si>
  <si>
    <t>Australian Research Council(Australian Research Council); The Global Wetlands Project; Australian Government Scholarship(Australian Government)</t>
  </si>
  <si>
    <t>CJB was supported by a Discovery Early Career Researcher Award (DE160101207) from the Australian Research Council. CJB, RC and MPT were supported by a Discovery Project from the Australian Research Council (DP180103124). VJDT, CJB, MPT and RC were supported by The Global Wetlands Project. ALG and LG were the recipient of an Australian Government Scholarship.</t>
  </si>
  <si>
    <t>10.1016/j.biocon.2020.108527</t>
  </si>
  <si>
    <t>LN3ED</t>
  </si>
  <si>
    <t>WOS:000532824200019</t>
  </si>
  <si>
    <t>Chaudhary, A; Carrasco, LR; Kastner, T</t>
  </si>
  <si>
    <t>Chaudhary, Abhishek; Carrasco, L. Roman; Kastner, Thomas</t>
  </si>
  <si>
    <t>Biodiversity; Forestry; Global trade; Land use; Sustainability; Ecosystem</t>
  </si>
  <si>
    <t>SPECIES-AREA RELATIONSHIP; LAND-COVER; TRADE; IMPACTS; DISPLACEMENT; METAANALYSIS; HOTSPOTS; DRIVES</t>
  </si>
  <si>
    <t>Identifying the global hotspots of forestry driven species, ecosystem services losses and informing the consuming nations of their environmental footprint domestically and abroad is essential to design demand side interventions and induce sustainable production methods. Here we first use countryside species area relationship model to project species extinctions of four vertebrate taxa (mammals, birds, amphibians and reptiles) due to forest land use in 174 countries. We combine the projected extinctions with a global database on the monetary value of ecosystem services provided by different biomes and with bilateral trade data of Wood products to calculate species extinctions and ecosystem services losses inflicted by national wood consumption and international wood trade. Results show that globally a total of 485 species are projected to go extinct due to current forest land use. About 32% of this projected loss can be attributed to land use devoted for export production. However, under the counterfactual scenario with the same consumption levels but no international trade of wood products, an additional 334 species are projected to go extinct. Globally, We find that losses of ecosystem services worth $1.5 trillion/year are embodied in the timber trade. Compared to high-income nations, tropical countries such as Philippines, Nicaragua, Sri Lanka, Gambia and Bolivia presented the highest net ecosystem services losses (&gt;3000 US$/ha/year) that could not be compensated through current land rents, indicating underpriced exports. Small tropical countries also gained much lower rents per species extinction suffered. These results can help internalize these costs into the global trade through financial compensation mechanisms such as REDD + or through price premiums on wood sourced from these countries. Overall the results can provide valuable insights for devising national strategies to meet several of the global Aichi 2020 biodiversity targets and can also be useful for life cycle assessment and product labelling schemes. (C) 2017 Elsevier B.V. All rights reserved.</t>
  </si>
  <si>
    <t>[Chaudhary, Abhishek] Swiss Fed Inst Technol, Inst Food Nutr &amp; Hlth, Schmelzbergstr 9, CH-8092 Zurich, Switzerland; [Carrasco, L. Roman] Natl Univ Singapore, Dept Biol Sci, 14 Sci Dr 4, Singapore 117543, Singapore; [Kastner, Thomas] Senckenberg Biodivers &amp; Climate Res Ctr BiK F, Senckenberganlage 25, D-60325 Frankfurt, Germany; [Kastner, Thomas] Alpen Adria Univ Klagenfurt, Inst Social Ecol, Schottenfeldgasse 29, A-1070 Vienna, Austria</t>
  </si>
  <si>
    <t>Swiss Federal Institutes of Technology Domain; ETH Zurich; National University of Singapore; Leibniz Association; Senckenberg Gesellschaft fur Naturforschung (SGN); Senckenberg Biodiversitat &amp; Klima- Forschungszentrum (BiK-F); University of Klagenfurt</t>
  </si>
  <si>
    <t>Chaudhary, A (corresponding author), Swiss Fed Inst Technol, Inst Food Nutr &amp; Hlth, Schmelzbergstr 9, CH-8092 Zurich, Switzerland.</t>
  </si>
  <si>
    <t>abhishek.chaudhary@hest.ethz.ch</t>
  </si>
  <si>
    <t>Kastner, Thomas/C-6346-2012; Carrasco, Luis Roman/H-8017-2012</t>
  </si>
  <si>
    <t>Kastner, Thomas/0000-0002-8155-136X; Carrasco, Luis Roman/0000-0002-2894-1473</t>
  </si>
  <si>
    <t>Singapore Ministry of Education Tier 2 project [MOE2015-T2-2-121]; Swedish Research Council Formas [231-2014-1181]</t>
  </si>
  <si>
    <t>Singapore Ministry of Education Tier 2 project(Ministry of Education, Singapore); Swedish Research Council Formas(Swedish Research Council Formas)</t>
  </si>
  <si>
    <t>L.R.C. acknowledges funding from the Singapore Ministry of Education Tier 2 project MOE2015-T2-2-121. The authors declare no conflict of interest. T.K. acknowledges support from the Swedish Research Council Formas, grant 231-2014-1181.</t>
  </si>
  <si>
    <t>10.1016/j.scitotenv.2017.02.078</t>
  </si>
  <si>
    <t>ER4HD</t>
  </si>
  <si>
    <t>WOS:000398758800093</t>
  </si>
  <si>
    <t>Samhouri, JF; Levin, PS</t>
  </si>
  <si>
    <t>Samhouri, Jameal F.; Levin, Phillip S.</t>
  </si>
  <si>
    <t>Marine ecosystem-based management; (EBM); Integrated ecosystem assessment; Ecosystem indicator; Risk assessment; Coastal conservation; Land-sea connections</t>
  </si>
  <si>
    <t>MARINE; VULNERABILITY; CONSERVATION; SUSTAINABILITY; INDICATORS; MANAGEMENT; IMPACTS; OCEAN</t>
  </si>
  <si>
    <t>The emerging science and policy arena of marine ecosystem-based management is beset with the challenging question of how to assess the urgency of problems influencing different ecosystem components. In this paper, we introduce a synthetic and efficient framework to identify land- or sea-based activities that pose the greatest risk to valued members of marine ecosystems, including mammals, fishes, and invertebrates. Ecosystem-based risk is scored along two axes of information: the exposure of a population to an activity, and the sensitivity of the population to that activity, given a particular level of exposure. Risk is illustrated in a variety of ways, including two-dimensional contour plots and maps showing regional variation in risk. We apply this risk assessment framework to regional populations of indicator species in Puget Sound, WA, USA. This case study provides insight into how risk varies for particular activity-species combinations, and, because it is applied to indicator species, it also provides an estimate of how different activities influence risk to overall ecosystem structure and function. More generally, the risk assessment approach highlights the linkages between land-based activities and risk to marine species and can be used to evaluate the potential impacts of a diversity of human activities on coastal oceans. The framework is scalable, transparent, and repeatable and can be used now to facilitate the implementation of ecosystem-based management, including integrated ecosystem assessments and coastal and marine spatial planning. Published by Elsevier Ltd.</t>
  </si>
  <si>
    <t>[Samhouri, Jameal F.; Levin, Phillip S.] NOAA, Conservat Biol Div, NW Fisheries Sci Ctr, Natl Marine Fisheries Serv, Seattle, WA 98112 USA</t>
  </si>
  <si>
    <t>National Oceanic Atmospheric Admin (NOAA) - USA</t>
  </si>
  <si>
    <t>Samhouri, JF (corresponding author), NOAA, Conservat Biol Div, NW Fisheries Sci Ctr, Natl Marine Fisheries Serv, 2725 Montlake Blvd E, Seattle, WA 98112 USA.</t>
  </si>
  <si>
    <t>jameal.samhouri@noaa.gov</t>
  </si>
  <si>
    <t>NSF CAMEO [1041454]; Directorate For Geosciences; Division Of Ocean Sciences [1041454] Funding Source: National Science Foundation</t>
  </si>
  <si>
    <t>NSF CAMEO; Directorate For Geosciences; Division Of Ocean Sciences(National Science Foundation (NSF)NSF - Directorate for Geosciences (GEO))</t>
  </si>
  <si>
    <t>We gratefully acknowledge crucial information and context provided by Jason Cope regarding the thinking behind the PSA conducted for US fisheries by Patrick et al. (2010). We are especially thankful to K. Arkema, J. Bernhardt, and J. Azose for participating in thoughtful discussions about risk assessment during the development of this work. Mark Plummer supplied PacFIN data, G. Williams identified many historical data sources, and A. Beaudreau provided guidance regarding fishing regulations in Puget Sound. C. Harvey and I. Kaplan gave their wisdom. K. Bartz, J. Davies, and T. Good kindled some of the ideas included here about stressors and spatial data. N. Hamel and S. Pearson gave their time for important conversations about threats and risk in Puget Sound, and M. Ruckelshaus directed us to much of the relevant literature for the Puget Sound case study. We thank B. Feist for creating the regional risk maps and D.P.S. for inspiration. JS was supported by an NSF CAMEO Grant # 1041454.</t>
  </si>
  <si>
    <t>10.1016/j.biocon.2011.10.021</t>
  </si>
  <si>
    <t>WOS:000301092400018</t>
  </si>
  <si>
    <t>Roger, E; Bino, G; Ramp, D</t>
  </si>
  <si>
    <t>Roger, Erin; Bino, Gilad; Ramp, Daniel</t>
  </si>
  <si>
    <t>GAMs; Habitat suitability modelling; protected areas; Road-kill; Spatial analysis; Threatening processes; Common wombat</t>
  </si>
  <si>
    <t>NEW-SOUTH-WALES; WOMBATS VOMBATUS-URSINUS; GROUND-DWELLING MAMMALS; SPECIES CONSERVATION; VEHICLE COLLISIONS; EUCALYPT FORESTS; SPATIAL-PATTERNS; COMMON; ABUNDANCE; MODELS</t>
  </si>
  <si>
    <t>Protected areas are established to conserve biodiversity and facilitate resilience to threatening processes. Yet protected areas are not isolated environmental compounds. Many threats breach their borders, including transportation infrastructure. Despite an abundance of roads in many protected areas, the impact of roads on biota within these protected areas is usually unaccounted for in threat mitigation efforts. As landscapes become further developed and the importance of protected areas increases, knowledge of how roads impact on the persistence of species at large scales and whether protected areas provide relief from this process is vital. We took a two-staged approach to analysing landscape-scale habitat use and road-kill impacts of the common wombat (Vombatus ursinus), a large, widely distributed herbivore, within New South Wales (NSW), Australia. Firstly, we modelled their state-wide distribution from atlas records and evaluated the relationship between habitat suitability and wombat road fatalities at that scale. Secondly, we used local-scale fatality data to derive an annual estimate of wombats killed within an optimal habitat area. We then combined these two approaches to derive a measure of total wombats killed on roads within the protected area network. Our results showed that common wombats have a broad distribution (290,981 km(2)), one quarter (24.9 %) of their distribution lies within protected areas, and the percentage of optimal habitat contained within protected areas is 35.6 %, far greater than the COP10 guidelines of 17 %. Problematically, optimal habitat within protected areas was not a barrier to the effects of road-kill, as we estimated that the total annual count of wombat road-kill in optimal habitat within protected areas could be as high as 13.6 % of the total NSW population. These findings suggest that although protected areas are important spatial refuges for biodiversity, greater effort should be made to evaluate how reserves confer resilience from the impacts of roads across geographic ranges.</t>
  </si>
  <si>
    <t>[Roger, Erin; Bino, Gilad] Univ New S Wales, Australian Wetlands &amp; Rivers Ctr, Sydney, NSW 2052, Australia; [Ramp, Daniel] Univ Technol Sydney, Sch Environm, Broadway, NSW 2007, Australia</t>
  </si>
  <si>
    <t>University of New South Wales Sydney; University of Technology Sydney</t>
  </si>
  <si>
    <t>Roger, E (corresponding author), Univ New S Wales, Australian Wetlands &amp; Rivers Ctr, Sydney, NSW 2052, Australia.</t>
  </si>
  <si>
    <t>; Ramp, Daniel/C-3692-2008; Bino, Gilad/KIQ-5237-2024</t>
  </si>
  <si>
    <t>Roger, Erin/0000-0002-9671-132X; Ramp, Daniel/0000-0003-3202-9898; Bino, Gilad/0000-0002-9265-4057</t>
  </si>
  <si>
    <t>10.1007/s10980-012-9769-5</t>
  </si>
  <si>
    <t>999QL</t>
  </si>
  <si>
    <t>WOS:000308329200007</t>
  </si>
  <si>
    <t>McIntyre, PB; Liermann, CAR; Revenga, C</t>
  </si>
  <si>
    <t>McIntyre, Peter B.; Liermann, Catherine A. Reidy; Revenga, Carmen</t>
  </si>
  <si>
    <t>fish diversity; subsistence fishery; fishing pressure; rivers; ecosystem services</t>
  </si>
  <si>
    <t>CLIMATE-CHANGE; AQUACULTURE; ECOSYSTEMS; IMPACTS; WEBS; HYDROGRAPHY; CHALLENGES; PROGRESS</t>
  </si>
  <si>
    <t>Fisheries are an essential ecosystem service, but catches from fresh-waters are often overlooked. Hundreds of millions of people around the world benefit from low-cost protein, recreation, and commerce provided by freshwater fisheries, particularly in regions where alternative sources of nutrition and employment are scarce. Here, we derive a gridded global map of riverine fisheries and assess its implications for biodiversity conservation, fishery sustainability, and food security. Catches increase with river discharge and human population density, and 90% of global catch comes from river basins with above-average stress levels. Fish richness and catches are positively but not causally correlated, revealing that fishing pressure is most intense in rivers where potential impacts on biodiversity are highest. Merging our catch analysis with nutritional and socioeconomic data, we find that freshwater fisheries provide the equivalent of all dietary animal protein for 158 million people. Poor and undernourished populations are particularly reliant on inland fisheries compared with marine or aquaculture sources. The spatial coincidence of productive freshwater fisheries and low food security highlights the critical role of rivers and lakes in providing locally sourced, low-cost protein. At the same time, intensive fishing in regions where rivers are already degraded by other stressors may undermine efforts to conserve biodiversity. This syndrome of poverty, nutritional deficiency, fishery dependence, and extrinsic threats to biodiverse river ecosystems underscores the high stakes for improving fishery management. Our enhanced spatial data on estimated catches can facilitate the inclusion of inland fisheries in environmental planning to protect both food security and species diversity.</t>
  </si>
  <si>
    <t>[McIntyre, Peter B.; Liermann, Catherine A. Reidy] Univ Wisconsin, Ctr Limnol, Madison, WI 53706 USA; [Revenga, Carmen] Nature Conservancy, Arlington, VA 22203 USA</t>
  </si>
  <si>
    <t>University of Wisconsin System; University of Wisconsin Madison; Nature Conservancy</t>
  </si>
  <si>
    <t>McIntyre, PB (corresponding author), Univ Wisconsin, Ctr Limnol, Madison, WI 53706 USA.</t>
  </si>
  <si>
    <t>pmcintyre@wisc.edu</t>
  </si>
  <si>
    <t>McIntyre, Peter/0000-0003-1809-7552</t>
  </si>
  <si>
    <t>University of Wisconsin; Packard Fellowship; National Science Foundation [DEB-1115025]; ICER; Directorate For Geosciences [1450554, 1450657] Funding Source: National Science Foundation</t>
  </si>
  <si>
    <t>University of Wisconsin(University of Wisconsin Madison); Packard Fellowship(The David &amp; Lucile Packard Foundation); National Science Foundation(National Science Foundation (NSF)); ICER; Directorate For Geosciences(National Science Foundation (NSF)NSF - Directorate for Geosciences (GEO))</t>
  </si>
  <si>
    <t>We thank J. D. Allan, C. Hawkins, and the P.B.M. Laboratory group for advice; G. Klever for data entry; and M. Liermann, N. Keuler, and Z. Zheng for statistical assistance. The manuscript was improved by feedback from the editor and two reviewers. Fish richness data were provided by theWorldWildlife Fund and The Nature Conservancy. Funding was provided by the University of Wisconsin, Packard Fellowship, and National Science Foundation Grant DEB-1115025. This study is a product of the bioDISCOVERY project of Future Earth.</t>
  </si>
  <si>
    <t>NOV 8</t>
  </si>
  <si>
    <t>10.1073/pnas.1521540113</t>
  </si>
  <si>
    <t>EC4CL</t>
  </si>
  <si>
    <t>WOS:000388073300086</t>
  </si>
  <si>
    <t>Fernández-Bellon, D</t>
  </si>
  <si>
    <t>Fernandez-Bellon, Dario</t>
  </si>
  <si>
    <t>Circus.sp.; Collision risk; Displacement; Grey literature; Harrier; Impact assessment</t>
  </si>
  <si>
    <t>HEN HARRIER; OPEN ACCESS; CONSERVATION; FARMS; IMPACTS; MORTALITY; RAPTORS; CIRCUS; RESEARCHERS; ISSUES</t>
  </si>
  <si>
    <t>Wind energy is a key component of climate action strategies aimed at reducing our dependence on fossil fuels. Despite providing environmental benefits, there are increasing concerns surrounding the impact of wind farms on wildlife, with research indicating that effects on wildlife can be highly variable between species, regions, and sites. In light of this variability and the accelerating growth of the wind energy sector globally, a comprehensive understanding of wind farm effects on wildlife and ease of access to this knowledge are pivotal to inform best practice if wind energy is to become a truly sustainable source of energy. This review evaluates interactions be-tween a globally distributed bird genus (harriers, Circus sp.) and wind farms to assess broader patterns in wildlife-wind energy knowledge accessibility and bias. A systematic review of grey and peer-reviewed literature across two multidisciplinary and two field-specific databases in two languages (English and Spanish) yielded 235 relevant sources, covering 12 harrier species and 31 countries. Findings indicate that harriers are considered to have high sensitivity to wind farms, with greatest impacts expected from habitat effects rather than from turbine collisions. In the broader wildlife-wind energy context, this study underscores (i) the predominance of grey literature and of sources solely documenting species-wind farm overlaps; (ii) limitations in grey literature availability and peer-reviewed publication accessibility; (iii) lack of standardized research and monitoring practices; and (iv) evidence of language, taxonomic, and geographic bias in literature sources. Overall, findings demonstrate that limited accessibility to wildlife-wind energy knowledge risks widening the research-implementation gap. Widespread implementation of open practices that allow researchers and practitioners to build on existing knowledge (e.g. national and international online repositories and databases, knowledge sharing and collaborative initiatives, open access publications) is crucial if ongoing wind energy development efforts are to be successfully aligned with conservation priorities. (C) 2020 The Author. Published by Elsevier B.V. This is an open access article under the CC BY-NC-ND license (http://creativecommons.org/licenses/by-nc-nd/4.0/).</t>
  </si>
  <si>
    <t>[Fernandez-Bellon, Dario] MKO Res, McCarthy Keville OSullivan, Tuam Rd, Galway H91 VW84, Ireland</t>
  </si>
  <si>
    <t>Fernández-Bellon, D (corresponding author), MKO Res, McCarthy Keville OSullivan, Tuam Rd, Galway H91 VW84, Ireland.</t>
  </si>
  <si>
    <t>d.fernandezbellon@umail.ucc.ie</t>
  </si>
  <si>
    <t>Fernandez-Bellon, Dario/0000-0002-8016-6515</t>
  </si>
  <si>
    <t>MKO Research</t>
  </si>
  <si>
    <t>Thanks to Louise Archer and Adam Kane for reviewing an earlier draft of this manuscript. This study was funded by MKO Research. The funders had no input into the content of the manuscript, nor required approval of the manuscript prior to submission or publication.</t>
  </si>
  <si>
    <t>OCT 1</t>
  </si>
  <si>
    <t>10.1016/j.scitotenv.2020.140238</t>
  </si>
  <si>
    <t>MR6QC</t>
  </si>
  <si>
    <t>WOS:000553716900004</t>
  </si>
  <si>
    <t>Krishna, PH; Reddy, CS; Singh, R; Jha, CS</t>
  </si>
  <si>
    <t>Krishna, P. Hari; Reddy, C. Sudhakar; Singh, Randeep; Jha, C. S.</t>
  </si>
  <si>
    <t>JOURNAL OF EARTH SYSTEM SCIENCE</t>
  </si>
  <si>
    <t>Protected areas; wildlife sanctuary; disturbance; fragmentation; remote sensing; Rajasthan; India</t>
  </si>
  <si>
    <t>BIOLOGICAL RICHNESS; WILDLIFE-SANCTUARY; DIVERSITY; GHATS; GIS</t>
  </si>
  <si>
    <t>There is an urgent need to identify the human influence on landscape as disturbance regimes was realized for prioritization of the protected areas. The present study has attempted to describe the landscape level assessment of fragmentation and disturbance index in protected areas of Rajasthan using remote sensing and GIS techniques. Geospatial analysis of disturbance regimes indicates 61.75% of the total PAs are under moderate disturbance index followed by 28.64% and 9.61% under low and high, respectively. Among the 28 protected areas National Chambal WLS, Jaisamand WLS, Kumbhalgarh WLS, Sawai Man Singh WLS, Kailadevi WLS and Bandh Baratha WLS are representing high level of disturbance. The present study has emphasized the moderate to low disturbance regimes in protected areas, which infer low biotic pressure and conservation effectiveness of PA network in Rajasthan. The spatial information generated on PAs is of valuable use for forest management and developing conseryation strategies.</t>
  </si>
  <si>
    <t>[Krishna, P. Hari; Reddy, C. Sudhakar; Jha, C. S.] Natl Remote Sensing Ctr, Forestry &amp; Ecol Grp, Hyderabad 500037, Andhra Pradesh, India; [Singh, Randeep] GB Pant Inst Himalayan Environm &amp; Dev, Almora 263643, Uttarakhand, India</t>
  </si>
  <si>
    <t>Department of Space (DoS), Government of India; Indian Space Research Organisation (ISRO); National Remote Sensing Centre (NRSC); G.B. Pant National Institute of Himalayan Environment &amp; Sustainable Development (GBPNIHESD)</t>
  </si>
  <si>
    <t>Krishna, PH (corresponding author), Natl Remote Sensing Ctr, Forestry &amp; Ecol Grp, Hyderabad 500037, Andhra Pradesh, India.</t>
  </si>
  <si>
    <t>hariknrsa@gmail.com</t>
  </si>
  <si>
    <t>Chintala, Sudhakar Reddy/C-4049-2015; HARIKRISHNA, PEDDI/ABD-8510-2020; Singh, Randeep/I-2713-2016</t>
  </si>
  <si>
    <t>Chintala, Sudhakar Reddy/0000-0002-5979-1412; Singh, Randeep/0000-0001-8461-2327</t>
  </si>
  <si>
    <t>Department of Space, Govt. of India; Department of Biotechnology, Govt. of India</t>
  </si>
  <si>
    <t>Department of Space, Govt. of India(Department of Space (DoS), Government of India); Department of Biotechnology, Govt. of India(Department of Biotechnology (DBT) India)</t>
  </si>
  <si>
    <t>Authors are thankful to Dr V K Dadhwal, Director, NRSC and Dr P S Roy, Former Director, IIRS, Dehradun for suggestions and encouragement. The present work is carried out as part of national project on 'Biodiversity characterization at landscape level using satellite remote sensing and geographical information system' with financial support of Department of Space and Department of Biotechnology, Govt. of India.</t>
  </si>
  <si>
    <t>INDIAN ACAD SCIENCES</t>
  </si>
  <si>
    <t>BANGALORE</t>
  </si>
  <si>
    <t>C V RAMAN AVENUE, SADASHIVANAGAR, P B #8005, BANGALORE 560 080, INDIA</t>
  </si>
  <si>
    <t>0253-4126</t>
  </si>
  <si>
    <t>0973-774X</t>
  </si>
  <si>
    <t>J EARTH SYST SCI</t>
  </si>
  <si>
    <t>J. Earth Syst. Sci.</t>
  </si>
  <si>
    <t>10.1007/s12040-014-0409-0</t>
  </si>
  <si>
    <t>Geosciences, Multidisciplinary; Multidisciplinary Sciences</t>
  </si>
  <si>
    <t>Geology; Science &amp; Technology - Other Topics</t>
  </si>
  <si>
    <t>AG7TP</t>
  </si>
  <si>
    <t>WOS:000335622000003</t>
  </si>
  <si>
    <t>Feist, BE; Buhle, ER; Arnold, P; Davis, JW; Scholz, NL</t>
  </si>
  <si>
    <t>Feist, Blake E.; Buhle, Eric R.; Arnold, Paul; Davis, Jay W.; Scholz, Nathaniel L.</t>
  </si>
  <si>
    <t>Landscape Ecotoxicology of Coho Salmon Spawner Mortality in Urban Streams</t>
  </si>
  <si>
    <t>LAND-USE; PETROLEUM-HYDROCARBONS; PARVICAPSULA-MINIBICORNIS; ONCORHYNCHUS-KISUTCH; SOCKEYE-SALMON; CHINOOK SALMON; STORM WATER; RUNOFF; RIVER; URBANIZATION</t>
  </si>
  <si>
    <t>In the Pacific Northwest of the United States, adult coho salmon (Oncorhynchus kisutch) returning from the ocean to spawn in urban basins of the Puget Sound region have been prematurely dying at high rates (up to 90% of the total runs) for more than a decade. The current weight of evidence indicates that coho deaths are caused by toxic chemical contaminants in land-based runoff to urban streams during the fall spawning season. Non-point source pollution in urban landscapes typically originates from discrete urban and residential land use activities. In the present study we conducted a series of spatial analyses to identify correlations between land use and land cover (roadways, impervious surfaces, forests, etc.) and the magnitude of coho mortality in six streams with different drainage basin characteristics. We found that spawner mortality was most closely and positively correlated with the relative proportion of local roads, impervious surfaces, and commercial property within a basin. These and other correlated variables were used to identify unmonitored basins in the greater Seattle metropolitan area where recurrent coho spawner die-offs may be likely. This predictive map indicates a substantial geographic area of vulnerability for the Puget Sound coho population segment, a species of concern under the U. S. Endangered Species Act. Our spatial risk representation has numerous applications for urban growth management, coho conservation, and basin restoration (e. g., avoiding the unintentional creation of ecological traps). Moreover, the approach and tools are transferable to areas supporting coho throughout western North America.</t>
  </si>
  <si>
    <t>[Feist, Blake E.; Buhle, Eric R.; Scholz, Nathaniel L.] NOAA, NW Fisheries Sci Ctr, Natl Marine Fisheries Serv, Seattle, WA 98115 USA; [Arnold, Paul; Davis, Jay W.] US Fish &amp; Wildlife Serv, Washington Fish &amp; Wildlife Off, Lacey, WA USA</t>
  </si>
  <si>
    <t>National Oceanic Atmospheric Admin (NOAA) - USA; United States Department of the Interior; US Fish &amp; Wildlife Service</t>
  </si>
  <si>
    <t>Feist, BE (corresponding author), NOAA, NW Fisheries Sci Ctr, Natl Marine Fisheries Serv, Seattle, WA 98115 USA.</t>
  </si>
  <si>
    <t>blake.feist@noaa.gov</t>
  </si>
  <si>
    <t>Feist, Blake/H-2669-2012; Scholz, Nathaniel/L-1642-2013</t>
  </si>
  <si>
    <t>Feist, Blake/0000-0001-5215-4878; Scholz, Nathaniel/0000-0001-6207-0272</t>
  </si>
  <si>
    <t>National Oceanic and Atmospheric Administration; U.S. Fish and Wildlife Service; City of Seattle (Seattle Public Utilities); U.S. Environmental Protection Agency - Region 10</t>
  </si>
  <si>
    <t>National Oceanic and Atmospheric Administration(National Oceanic Atmospheric Admin (NOAA) - USA); U.S. Fish and Wildlife Service(US Fish &amp; Wildlife Service); City of Seattle (Seattle Public Utilities); U.S. Environmental Protection Agency - Region 10(United States Environmental Protection Agency)</t>
  </si>
  <si>
    <t>This work was supported by the National Oceanic and Atmospheric Administration - Coastal Storms Program; U.S. Fish and Wildlife Service - National Contaminants Program; City of Seattle (Seattle Public Utilities); and the U.S. Environmental Protection Agency - Region 10. The funders had no role in study design, data collection and analysis, decision to publish, or preparation of the manuscript.</t>
  </si>
  <si>
    <t>185 BERRY ST, STE 1300, SAN FRANCISCO, CA 94107 USA</t>
  </si>
  <si>
    <t>AUG 17</t>
  </si>
  <si>
    <t>e23424</t>
  </si>
  <si>
    <t>10.1371/journal.pone.0023424</t>
  </si>
  <si>
    <t>810JJ</t>
  </si>
  <si>
    <t>WOS:000294121300045</t>
  </si>
  <si>
    <t>Kelly, M; Meentemeyer, RK</t>
  </si>
  <si>
    <t>Landscape dynamics of the spread of sudden oak death</t>
  </si>
  <si>
    <t>PHOTOGRAMMETRIC ENGINEERING AND REMOTE SENSING</t>
  </si>
  <si>
    <t>SPATIAL-PATTERN-ANALYSIS; DISPERSAL; MORTALITY; ECOLOGY; TREES</t>
  </si>
  <si>
    <t>Sudden Oak Death is caused by a newly discovered virulent pathogen (Phytophthora ramorum) that is killing thousands of native oak trees in California. We present a landscape-scale study on the spatio-temporal dynamics of oak mortality. Second-order spatial point-pattern analysis techniques (Ripley's K) were applied to the distribution of dead tree crowns (derived from high-resolution imagery) in Morin County, California to determine the existence and scale of mortality clustering in two years (2000 and 2001). Both years showed clustering patterns between 100 and 300 m. A classification tree model was developed to predict spatial patterns of risk for oak mortality based on several landscape-scale variables. Proximity to forest edge was the most important explanatory factor, followed by topographic moisture index, proximity to trails, abundance of Umbellularia californica, and potential summer solar radiation. This research demonstrates the utility of integrating remotely sensed imagery analysis with geographic information systems and spatial modeling for understanding the dynamics of exotic species invasions.</t>
  </si>
  <si>
    <t>Univ Calif Berkeley, Dept Environm Sci Policy &amp; Management, Berkeley, CA 94720 USA; Sonoma State Univ, Dept Geog, Rohnert Pk, CA 94928 USA</t>
  </si>
  <si>
    <t>University of California System; University of California Berkeley; California State University System; Sonoma State University</t>
  </si>
  <si>
    <t>Kelly, M (corresponding author), Univ Calif Berkeley, Dept Environm Sci Policy &amp; Management, 151 Hilgard Hall 3110, Berkeley, CA 94720 USA.</t>
  </si>
  <si>
    <t>mkelly@nature.berkeley.edu; ross.meentemeybr@sonoma.edu</t>
  </si>
  <si>
    <t>AMER SOC PHOTOGRAMMETRY</t>
  </si>
  <si>
    <t>BETHESDA</t>
  </si>
  <si>
    <t>5410 GROSVENOR LANE SUITE 210, BETHESDA, MD 20814-2160 USA</t>
  </si>
  <si>
    <t>0099-1112</t>
  </si>
  <si>
    <t>2374-8079</t>
  </si>
  <si>
    <t>PHOTOGRAMM ENG REM S</t>
  </si>
  <si>
    <t>Photogramm. Eng. Remote Sens.</t>
  </si>
  <si>
    <t>599MM</t>
  </si>
  <si>
    <t>WOS:000178338800007</t>
  </si>
  <si>
    <t>Armenteras, D; Rodríguez, N; Retana, J</t>
  </si>
  <si>
    <t>Armenteras, Dolors; Rodriguez, Nelly; Retana, Javier</t>
  </si>
  <si>
    <t>LAND-USE; FORESTS; CONSERVATION; PATTERNS; POLICY; MODIS; COCA</t>
  </si>
  <si>
    <t>Many studies have identified drivers of deforestation throughout the tropics and, in most cases, have recognised differences in the level of threat. However, only a few have also looked at the temporal and spatial dynamics by which those drivers act, which is critical for assessing the conservation of biodiversity as well as for landscape planning. In this study, we analyse land cover change between 2000 and 2009 in north-western Colombian Amazonia to identify the interactions between the use of fire, cultivation of illicit crops and establishment of pastures, and their impacts on the loss of forest in the region. Yearly analyses were undertaken at randomly selected sample areas to quantify the average areas of transition of land cover types under different landscape compositions: forest-dominated mosaics, pasture mosaics, fire mosaics, and illicit crop mosaics. Our results indicate that despite the fact that forest areas were well-preserved, deforestation occurred at a low annual rate (0.06%). Conversion to pasture was the main factor responsible for forest loss (the area of pastures tripled within forest mosaics over 8 years), and this process was independent of the landscape matrix in which the forests were located. In fire mosaics, burning is a common tool for forest clearing and conversion to pasture. Thus, forests in fire mosaics were highly disturbed and frequently transformed from primary to secondary forests. The use of fire for illicit cropping was not detected, partly due to the small size of common illicit crops. Forest regeneration from pastures and secondary vegetation was observed in areas with large amounts of natural forest. Overall, assuming the continuation of the observed pasture conversion trend and the use of forest fire, we suggest that our results should be incorporated into a spatially explicit and integrated decision support tool to target and focus land-planning activities and policies.</t>
  </si>
  <si>
    <t>[Armenteras, Dolors; Rodriguez, Nelly] Univ Nacl Colombia, Fac Ciencias, Dept Biol, Lab Ecol Paisaje &amp; Modelac Ecosistemas, Bogota, Colombia; [Retana, Javier] Univ Autonoma Barcelona, Ctr Recerca Ecol &amp; Aplicac Forestals, Bellaterra, Barcelona, Spain; [Retana, Javier] Univ Autonoma Barcelona, Unitat Ecol, Bellaterra, Barcelona, Spain</t>
  </si>
  <si>
    <t>Universidad Nacional de Colombia; Autonomous University of Barcelona; Centro de Investigacion Ecologica y Aplicaciones Forestales (CREAF-CERCA); Autonomous University of Barcelona</t>
  </si>
  <si>
    <t>Armenteras, D (corresponding author), Univ Nacl Colombia, Fac Ciencias, Dept Biol, Lab Ecol Paisaje &amp; Modelac Ecosistemas, Bogota, Colombia.</t>
  </si>
  <si>
    <t>darmenterasp@unal.edu.co</t>
  </si>
  <si>
    <t>Armenteras, Dolors/A-4000-2010; Retana, Javier/L-1214-2014</t>
  </si>
  <si>
    <t>Armenteras, Dolors/0000-0003-0922-7298; Roiguez Eraso, Nelly/0000-0001-7616-2493; Retana, Javier/0000-0002-7505-9467</t>
  </si>
  <si>
    <t>JAN 30</t>
  </si>
  <si>
    <t>e54310</t>
  </si>
  <si>
    <t>10.1371/journal.pone.0054310</t>
  </si>
  <si>
    <t>098QM</t>
  </si>
  <si>
    <t>WOS:000315563800044</t>
  </si>
  <si>
    <t>Pretorius, ME; Seoraj-Pillai, N; Pillay, N</t>
  </si>
  <si>
    <t>Pretorius, Mariette E.; Seoraj-Pillai, Nimmi; Pillay, Neville</t>
  </si>
  <si>
    <t>LIVESTOCK PREDATION; NATIONAL-PARK; CONSERVATION; POPULATION; SELECTION; ECOLOGY; ROADS; REQUIREMENTS; MOVEMENT; DYNAMICS</t>
  </si>
  <si>
    <t>Human-carnivore conflict can threaten human life and livelihoods, leading to retaliation that negatively affects carnivore conservation. The endangered African wild dog Lycaon pictus is prone to human-carnivore conflict. Therefore, it is imperative to understand which landscape features are associated with African wild dog occurrence since selection or avoidance of these features could predict the levels of conflict. We investigated resource selection in the African wild dog in relation to four anthropogenic landscape features (livestock density, agriculture, roads and human land use) within the landscape that may pose a mortality risk, as well as one natural feature (nature reserves). We compared spatio-temporal space use patterns of four African wild dog packs in north-eastern South Africa. Data were collected from one collared individual per pack. These packs constituted approximately 10% of the total remaining African wild dog population in South Africa. Two packs occurred outside of the Kruger National Park and had access to multiple areas with farmland and other anthropogenic features, whereas the remaining two packs mainly occurred within the boundaries of the Kruger National Park but made occasional forays outside of park boundaries. Utilising Resource Selection Functions and GIS analyses, we found that agricultural landscape features, roads and nature reserves were important predictors of African wild dog occurrence for all four packs. In addition to potential conflict with farmers, high odds of occurrence on roads with fast-moving traffic and road mortality was highlighted as a concern for three of the packs. While farms and areas that house livestock were readily available, pack presence occurred in areas with few farms and low livestock densities, pointing to avoidance of areas where human-carnivore conflict and resulting mortality could occur. Our study highlights potential threats to the persistence of the African wild dog, which can be used to inform future conservation efforts of the species.</t>
  </si>
  <si>
    <t>[Pretorius, Mariette E.; Seoraj-Pillai, Nimmi; Pillay, Neville] Univ Witwatersrand, Sch Anim Plants &amp; Environm Sci, Johannesburg, South Africa; [Seoraj-Pillai, Nimmi] Tshwane Univ Technol, Dept Nat Conservat, Pretoria, South Africa</t>
  </si>
  <si>
    <t>University of Witwatersrand; Tshwane University of Technology</t>
  </si>
  <si>
    <t>Pretorius, ME (corresponding author), Univ Witwatersrand, Sch Anim Plants &amp; Environm Sci, Johannesburg, South Africa.</t>
  </si>
  <si>
    <t>mariette.pretorius@africanbats.org</t>
  </si>
  <si>
    <t>; Pretorius, Mariëtte/GQB-3924-2022; Seoraj-Pillai, Nimmi/LGZ-8188-2024</t>
  </si>
  <si>
    <t>Pillay, Neville/0000-0002-0778-726X; Pretorius, Mariëtte/0000-0002-4821-1013; Seoraj-Pillai, Nimmi/0000-0002-4851-8576</t>
  </si>
  <si>
    <t>National Research Foundation (Thuthuka programme) [TTK20110815000024620]; Department of Higher Education and Training, South Africa</t>
  </si>
  <si>
    <t>National Research Foundation (Thuthuka programme); Department of Higher Education and Training, South Africa</t>
  </si>
  <si>
    <t>Please note that funding for this study was provided by the National Research Foundation (Thuthuka programme, grant number: TTK20110815000024620) URL: http://www.nrf.ac.za/content/thuthuka-2018 and the Department of Higher Education and Training, South Africa.</t>
  </si>
  <si>
    <t>MAR 22</t>
  </si>
  <si>
    <t>e0212621</t>
  </si>
  <si>
    <t>10.1371/journal.pone.0212621</t>
  </si>
  <si>
    <t>HP9GF</t>
  </si>
  <si>
    <t>WOS:000462000400004</t>
  </si>
  <si>
    <t>Scheele, BC; Driscoll, DA; Fischer, J; Fletcher, AW; Hanspach, J; Vörös, J; Hartel, T</t>
  </si>
  <si>
    <t>Scheele, B. C.; Driscoll, D. A.; Fischer, J.; Fletcher, A. W.; Hanspach, J.; Voros, J.; Hartel, T.</t>
  </si>
  <si>
    <t>ANIMAL CONSERVATION</t>
  </si>
  <si>
    <t>Batrachochytrium dendrobatidis; chytrid fungus; disease surveillance; land-use change; ponds; wildlife disease; yellow-bellied toad</t>
  </si>
  <si>
    <t>EMERGING INFECTIOUS-DISEASES; BOMBINA-VARIEGATA POPULATION; BATRACHOCHYTRIUM-DENDROBATIDIS; CHYTRIDIOMYCOSIS; RISK; EPIDEMIOLOGY; THREATS; BIODIVERSITY; EXTINCTION; MORTALITY</t>
  </si>
  <si>
    <t>Wildlife disease is an emerging threat to biodiversity. The amphibian chytrid fungus Batrachochytrium dendrobatidis (Bd), which causes the disease chytridiomycosis, has been documented in over 500 amphibian species globally. Understanding conditions under which amphibians are vulnerable to Bd is important for evaluating species risk and developing surveillance strategies. Here, we investigate the spatial distribution of Bd infection in the ephemeral pond-breeding yellow-bellied toad Bombina variegata, a species of high conservation concern in the European Union. We sampled 550 toads from 60 ponds in a traditional agricultural landscape in Southern Transylvania, Romania. Overall, Bd prevalence was low in B.variegata, but infected toads were widely dispersed through the landscape and were found in a quarter of all sampled ephemeral ponds. At the pond level, increased Bd occurrence was associated with short distances to perennial water sources and high forest cover. These findings suggest that perennial water sources may act as source habitat for Bd, with amphibian movements resulting in Bd spillover into ephemeral ponds. Increased Bd occurrence in ponds surrounded by high levels of forest cover is likely related to cooler and wetter conditions that are more favourable for Bd. Throughout the study landscape, patchy environmental suitability for Bd appears to restrict the pathogen to a subset of B.variegata habitat. Ephemeral ponds in open landscapes, without nearby perennial habitat, likely provide an environmental refuge from Bd, where the risk of infection is low. From a conservation perspective, these findings highlight the importance of maintaining ephemeral ponds in open landscapes, but these are currently threatened by land-use change.</t>
  </si>
  <si>
    <t>[Scheele, B. C.; Driscoll, D. A.] Australian Natl Univ, Fenner Sch Environm &amp; Soc, Canberra, ACT 0200, Australia; [Fischer, J.; Fletcher, A. W.; Hanspach, J.; Hartel, T.] Leuphana Univ Lueneburg, Fac Sustainabil, Luneburg, Germany; [Voros, J.] Hungarian Nat Hist Museum, Dept Zool, Budapest, Hungary; [Hartel, T.] Sapientia Hungarian Univ Transylvania, Dept Environm Sci, Cluj Napoca, Romania</t>
  </si>
  <si>
    <t>Australian National University; Leuphana University Luneburg; Sapientia Hungarian University of Transylvania</t>
  </si>
  <si>
    <t>Scheele, BC (corresponding author), Australian Natl Univ, Fenner Sch Environm &amp; Soc, Forestry Bldg 48, Canberra, ACT 0200, Australia.</t>
  </si>
  <si>
    <t>ben.scheele@anu.edu.au</t>
  </si>
  <si>
    <t>Fischer, Joern/C-6625-2012; iscoll, Don/I-1703-2013; Tibor, Hartel/B-3440-2012</t>
  </si>
  <si>
    <t>Fischer, Joern/0000-0003-3187-8978; iscoll, Don/0000-0002-1560-5235; Scheele, Benjamin/0000-0001-7284-629X; Vörös, Judit/0000-0001-9707-1443; Hanspach, Jan/0000-0002-6638-8699;</t>
  </si>
  <si>
    <t>Alexander von Humboldt Foundation; Hungarian Scientific Research Fund [OTKA K77841]; Alexander von Humboldt postdoctoral research fellowship</t>
  </si>
  <si>
    <t>Alexander von Humboldt Foundation(Alexander von Humboldt FoundationUniversity of Maryland Baltimore); Hungarian Scientific Research Fund(Orszagos Tudomanyos Kutatasi Alapprogramok (OTKA)); Alexander von Humboldt postdoctoral research fellowship(Alexander von Humboldt Foundation)</t>
  </si>
  <si>
    <t>Excellent field assistance was provided by C. Scheele and K. Martini. H. von Wehrden calculated woody vegetation cover. A. Dan provided assistance in the laboratory. C. Foster provided useful comments on an earlier draft of this manuscript. J.F. was supported through a Sofja Kovalevskaja Award by the Alexander von Humboldt Foundation. J.V. was supported by the Hungarian Scientific Research Fund (OTKA K77841). T.H. was supported by an Alexander von Humboldt postdoctoral research fellowship. Research was completed under Australian National University ethics permit A2011/51.</t>
  </si>
  <si>
    <t>1367-9430</t>
  </si>
  <si>
    <t>1469-1795</t>
  </si>
  <si>
    <t>ANIM CONSERV</t>
  </si>
  <si>
    <t>Anim. Conserv.</t>
  </si>
  <si>
    <t>10.1111/acv.12199</t>
  </si>
  <si>
    <t>CU4BO</t>
  </si>
  <si>
    <t>WOS:000363471300013</t>
  </si>
  <si>
    <t>Sieber, A; Kuemmerle, T; Prishchepov, AV; Wendland, KJ; Baumann, M; Radeloff, VC; Baskin, LM; Hostert, P</t>
  </si>
  <si>
    <t>Sieber, Anika; Kuemmerle, Tobias; Prishchepov, Alexander V.; Wendland, Kelly J.; Baumann, Matthias; Radeloff, Volker C.; Baskin, Leonid M.; Hostert, Patrick</t>
  </si>
  <si>
    <t>REMOTE SENSING OF ENVIRONMENT</t>
  </si>
  <si>
    <t>Land-use and land-cover change; Landsat; Strictly protected areas; Effectiveness of protected areas; Disturbance index; Matching statistics; Forest disturbance; Farmland abandonment; Change detection; European Russia</t>
  </si>
  <si>
    <t>FOREST DISTURBANCE; TIME-SERIES; FARMLAND ABANDONMENT; IMAGE CLASSIFICATION; GLOBAL BIODIVERSITY; DETECTING TRENDS; CONSERVATION; COVER; TRANSITION; MANAGEMENT</t>
  </si>
  <si>
    <t>Land-use and land-cover change (LULCC) is the main cause of the global biodiversity crisis and protected areas are critical to prevent habitat loss. Rapid changes in institutional and socio-economic conditions, such as the collapse of the former Soviet Union in 1991, often trigger widespread LULCC Yet, it is unclear how effective protected areas are in safeguarding habitat within them during such periods of rapid LULCC. Our goal here was to map changes in forest cover and agricultural lands from 1984 to 2010 in order to assess the effectiveness of two strictly protected areas, Olcsky and Mordovsky State Nature Reserves, in temperate European Russia. We analyzed dense time series of Landsat images for three Landsat footprints and applied a support vector machine classification and trajectory-based change detection to map forest disturbance. We then used matching statistics to quantify the effectiveness of the protected areas. Our analyses highlighted considerable post-Soviet LULCC in European Russia. The LULCC maps revealed disturbances on 5.02% of the total forest area, with strongly declining disturbance rates in post-Soviet times. We also found that 39.89% of the agricultural land used in 1988 was abandoned after 1991, leading to widespread forest regrowth. Oksky and Mordovsky State Nature Reserves had a significantly lower probability of forest disturbance (-0.1 to -3.5% lower) in comparison to their surrounding areas. This suggests that protected areas were relatively effective in limiting human-induced forest disturbance in European Russia, despite lower levels of control and an eroding infrastructure for nature protection. Moreover, we found drastic land-cover changes, particularly forest regrowth, in the surroundings of these protected areas, highlighting conservation opportunities. Protected areas can play a key role in biodiversity conservation during periods of rapid LULCC, and remote sensing coupled with matching statistics provide important tools for monitoring the success and failure of conservation efforts. (c) 2013 Elsevier Inc. All rights reserved.</t>
  </si>
  <si>
    <t>[Sieber, Anika; Kuemmerle, Tobias; Hostert, Patrick] Humboldt Univ, Dept Geog, D-10099 Berlin, Germany; [Kuemmerle, Tobias] Potsdam Inst Climate Impact Res PIK, D-14473 Potsdam, Germany; [Prishchepov, Alexander V.] Leibniz Inst Agr Dev Cent &amp; Eastern Europe IAMO, D-06120 Halle, Saale, Germany; [Wendland, Kelly J.] Univ Idaho, Dept Conservat Social Sci, Moscow, ID 83844 USA; [Baumann, Matthias; Radeloff, Volker C.] Univ Wisconsin, Dept Forest &amp; Wildlife Ecol, Madison, WI 53706 USA; [Baskin, Leonid M.] Russian Acad Sci, AN Severtsov Inst Ecol &amp; Evolut, Moscow 119071, Russia</t>
  </si>
  <si>
    <t>Humboldt University of Berlin; Potsdam Institut fur Klimafolgenforschung; Leibniz Association; Leibniz Institut fur Agrarentwicklung in Transformationsokonomien (IAMO); University of Idaho; University of Wisconsin System; University of Wisconsin Madison; Russian Academy of Sciences; Saratov Scientific Center of the Russian Academy of Sciences; Severtsov Institute of Ecology &amp; Evolution</t>
  </si>
  <si>
    <t>Sieber, A (corresponding author), Humboldt Univ, Dept Geog, Unter Linden 6, D-10099 Berlin, Germany.</t>
  </si>
  <si>
    <t>anika.sieber@geo.hu-berlin.de</t>
  </si>
  <si>
    <t>Kuemmerle, Tobias/B-4340-2008; Hostert, Patrick/F-9291-2013; Radeloff, Volker/B-6124-2016; Prishchepov, Alexander/H-6708-2012; Baumann, Matthias/K-4757-2014</t>
  </si>
  <si>
    <t>Kuemmerle, Tobias/0000-0002-9775-142X; Hostert, Patrick/0000-0002-5730-5484; Radeloff, Volker/0000-0001-9004-221X; Prishchepov, Alexander/0000-0003-2375-1651; Baumann, Matthias/0000-0003-2375-3622; Jones, Kelly/0000-0001-9664-7615</t>
  </si>
  <si>
    <t>German Science Foundation (DFG, LUCC-BIO) [32103109]; Russian Foundation for Fundamental Investigations (RFFI); Einstein Foundation; NASA Land-Cover and Land-Use Change (LCLUC) Program; Civilian Research Defense Foundation</t>
  </si>
  <si>
    <t>German Science Foundation (DFG, LUCC-BIO); Russian Foundation for Fundamental Investigations (RFFI)(Russian Foundation for Basic Research (RFBR)); Einstein Foundation; NASA Land-Cover and Land-Use Change (LCLUC) Program(National Aeronautics &amp; Space Administration (NASA)); Civilian Research Defense Foundation</t>
  </si>
  <si>
    <t>We thank M. Hampel and F. Gollnow for their help with data pre-processing and A. Rabe and S. van der Linden for implementing imageSVM and the EnMAP-Box (available at www.imagesvm.net). We are grateful to A. B. Pankov, Y. M. Markin, V. P. Ivanchev, K. E. Bugaev, and the staff of Oksky and Mordovsky State Nature Reserves for their invaluable support and background information on the reserves and their surroundings. We thank three anonymous reviewers for their very helpful comments that improved the manuscript substantially. We gratefully acknowledge the support for this research by the German Science Foundation (DFG project 32103109, LUCC-BIO), the Russian Foundation for Fundamental Investigations (RFFI), the Einstein Foundation, the NASA Land-Cover and Land-Use Change (LCLUC) Program, and the Civilian Research Defense Foundation.</t>
  </si>
  <si>
    <t>ELSEVIER SCIENCE INC</t>
  </si>
  <si>
    <t>STE 800, 230 PARK AVE, NEW YORK, NY 10169 USA</t>
  </si>
  <si>
    <t>0034-4257</t>
  </si>
  <si>
    <t>1879-0704</t>
  </si>
  <si>
    <t>REMOTE SENS ENVIRON</t>
  </si>
  <si>
    <t>Remote Sens. Environ.</t>
  </si>
  <si>
    <t>JUN 15</t>
  </si>
  <si>
    <t>10.1016/j.rse.2013.01.021</t>
  </si>
  <si>
    <t>Environmental Sciences; Remote Sensing; Imaging Science &amp; Photographic Technology</t>
  </si>
  <si>
    <t>Environmental Sciences &amp; Ecology; Remote Sensing; Imaging Science &amp; Photographic Technology</t>
  </si>
  <si>
    <t>130TD</t>
  </si>
  <si>
    <t>WOS:000317942100003</t>
  </si>
  <si>
    <t>Bax, V; Francesconi, W; Delgado, A</t>
  </si>
  <si>
    <t>Bax, Vincent; Francesconi, Wendy; Delgado, Alexi</t>
  </si>
  <si>
    <t>Mineral mining concessions; Timber concessions; Hydrocarbon concessions; Protected areas; Endemic species</t>
  </si>
  <si>
    <t>MADRE-DE-DIOS; EXTINCTION RISK; COVER CHANGE; DEFORESTATION; CHALLENGES; HOTSPOTS; REGIONS; WATER; AREA</t>
  </si>
  <si>
    <t>The exceptional endemic species richness found in the Tropical Andes is being subjected to high rates of environmental degradation and natural resources exploitation. While many forms of land-cover change and other impacts on species are difficult to control through environmental regulations, governments usually determine how and where extractive industries can take place. This study examines potential conflict between the location of extractive industry activities and biodiversity conservation in the Peruvian Andes. Using geographic information systems, we carry out overlay analyses to determine the spatial congruence between mineral mining, hydrocarbon and logging concessions, on the one hand, and the distribution of protected areas and endemic vertebrate species on the other. The results show that regional protected areas extensively overlap with resource concessions. Furthermore, 16% of endemic species hotspots concur with current concessions, while the geographical distribution of 21 endemic vertebrate species overlap by more than 90% with concession areas. To reconcile conservation and economic development objectives in the future, the geographical distribution of biodiversity, and in particular of endemic species, needs to be considered in natural resources planning and landuse/management activities.</t>
  </si>
  <si>
    <t>[Bax, Vincent] Univ Ciencias &amp; Humanidades, Ctr Interdisciplinary Sci &amp; Soc Studies, Av Univ 5175, Lima, Peru; [Francesconi, Wendy] Int Ctr Trop Agr, Av La Molina 1895, Lima 1895, Peru; [Delgado, Alexi] PUCP, Min Engn Sect, Dept Engn, Av Univ 1801, Lima 32, Peru</t>
  </si>
  <si>
    <t>Universidad de Ciencias y Humanidades; Alliance; International Center for Tropical Agriculture - CIAT; Pontificia Universidad Catolica del Peru</t>
  </si>
  <si>
    <t>Bax, V (corresponding author), Univ Ciencias &amp; Humanidades, Ctr Interdisciplinary Sci &amp; Soc Studies, Av Univ 5175, Lima, Peru.</t>
  </si>
  <si>
    <t>vbax@uch.edu.pe; w.francesconi@cgiar.org; kdelgadov@pucp.edu.pe</t>
  </si>
  <si>
    <t>; Delgado, Alexi/A-4749-2017</t>
  </si>
  <si>
    <t>Bax, Vincent/0000-0003-0690-8135; Delgado, Alexi/0000-0003-0470-8535</t>
  </si>
  <si>
    <t>Universidad de Ciencias y Humanidades</t>
  </si>
  <si>
    <t>We thank two anonymous reviewers for helpful comments. This work was supported by funding provided by Universidad de Ciencias y Humanidades.</t>
  </si>
  <si>
    <t>10.1016/j.jenvman.2018.12.016</t>
  </si>
  <si>
    <t>HN0AD</t>
  </si>
  <si>
    <t>WOS:000459845200112</t>
  </si>
  <si>
    <t>Guo, FY; Lenoir, J; Bonebrake, TC</t>
  </si>
  <si>
    <t>Guo, Fengyi; Lenoir, Jonathan; Bonebrake, Timothy C.</t>
  </si>
  <si>
    <t>tbone@hku.hk</t>
  </si>
  <si>
    <t>Bonebrake, Timothy/M-3559-2019; Lenoir, Jonathan/AAE-8441-2019</t>
  </si>
  <si>
    <t>Lenoir, Jonathan/0000-0003-0638-9582; Guo, Fengyi/0000-0002-5426-324X</t>
  </si>
  <si>
    <t>JUL 8</t>
  </si>
  <si>
    <t>10.1038/s41467-020-17319-w</t>
  </si>
  <si>
    <t>MP2ZV</t>
  </si>
  <si>
    <t>WOS:000552078000001</t>
  </si>
  <si>
    <t>RANGE SHIFTS; GLOBAL BIODIVERSITY; RESPONSES; IMPACTS; DIVERSITY; SCENARIOS; PLANTS</t>
  </si>
  <si>
    <t>Climate change is driving global species redistribution with profound social and economic impacts. However, species movement is largely constrained by habitat availability and connectivity, of which the interaction effects with climate change remain largely unknown. Here we examine published data on 2798 elevational range shifts from 43 study sites to assess the confounding effect of land-use change on climate-driven species redistribution. We show that baseline forest cover and recent forest cover change are critical predictors in determining the magnitude of elevational range shifts. Forest loss positively interacts with baseline temperature conditions, such that forest loss in warmer regions tends to accelerate species' upslope movement. Consequently, not only climate but also habitat loss stressors and, importantly, their synergistic effects matter in forecasting species elevational redistribution, especially in the tropics where both stressors will increase the risk of net lowland biotic attrition.</t>
  </si>
  <si>
    <t>[Guo, Fengyi; Bonebrake, Timothy C.] Univ Hong Kong, Sch Biol Sci, Pokfulam 999077, Hong Kong, Peoples R China; [Lenoir, Jonathan] UPJV, CNRS, UMR 7058, UR Ecol &amp; Dynam Syst Anthropises EDYSAN, 1 Rue Louvels, F-80037 Amiens 1, France</t>
  </si>
  <si>
    <t>University of Hong Kong; Universite de Picardie Jules Verne (UPJV); Centre National de la Recherche Scientifique (CNRS)</t>
  </si>
  <si>
    <t>Bonebrake, TC (corresponding author), Univ Hong Kong, Sch Biol Sci, Pokfulam 999077, Hong Kong, Peoples R China.</t>
  </si>
  <si>
    <t>Bonebrake, Timothy Carlton/M-3559-2019; Guo, Fengyi/ABX-9589-2022; Lenoir, Jonathan/AAE-8441-2019</t>
  </si>
  <si>
    <t>Bonebrake, Timothy Carlton/0000-0001-9999-2254; Guo, Fengyi/0000-0002-5426-324X; Lenoir, Jonathan/0000-0003-0638-9582</t>
  </si>
  <si>
    <t>Research Grants Council General Research Fund [HKU 760213]</t>
  </si>
  <si>
    <t>Research Grants Council General Research Fund</t>
  </si>
  <si>
    <t>This work was supported by the Research Grants Council General Research Fund (HKU 760213).</t>
  </si>
  <si>
    <t>APR 3</t>
  </si>
  <si>
    <t>10.1038/s41467-018-03786-9</t>
  </si>
  <si>
    <t>GB4BH</t>
  </si>
  <si>
    <t>WOS:000429004500008</t>
  </si>
  <si>
    <t>Desta, H; Fetene, A</t>
  </si>
  <si>
    <t>Desta, Hayal; Fetene, Aramde</t>
  </si>
  <si>
    <t>LAND USE POLICY</t>
  </si>
  <si>
    <t>Landsat; LULC change; Lake Ziway; Watershed; Ethiopia</t>
  </si>
  <si>
    <t>TROPICAL AFRICA; DRIVING FORCES; SURFACE RUNOFF; DYNAMICS; PERCEPTION; MANAGEMENT; HIGHLANDS; BASIN; AREA</t>
  </si>
  <si>
    <t>Assessing land use and land cover (LULC) change in Lake Ziway watershed is important to evaluate the degradation of ecosystems and their environmental processes caused by the ongoing increase in human pressures. The present study analyzed the long-term LULC dynamics in the Lake Ziway watershed, which covers 7300 km(2) in the Ethiopian Central Rift Valley region. Three Landsat Satellite Image Series - Landsat MSS (1973), Landsat TM (1989) and Landsat Enhanced ETM + (2018) - were the main input data from which three LULC maps were produced by employing Remote Sensing Techniques and Geographical Information Systems. The satellite data were supported by Google Earth and information gathered from informal discussions from local elderly people who are knowledgeable aboutthe area. The results over the last 45 years show that the major LULC changes in the study watershed have been the expansion of cultivated, agroforestry and settlement areas and the corresponding reduction in woodlands. Cultivation, agroforestry, and settlement LULC categories increased by 45%, 10.9%, and 141.4%, respectively. These changes are attributable to a combination of the ever increasing human population and the subsequent demands on environmental resources like agricultural lands, commercial and domestic fuelwood and charcoal. Other factors include poorly defined ownership arrangements and weak enforcement strategies on the existing land use policy. This has created open access mentalities among communities and intensified LULC changes in the watershed. Awareness raising and provision of technical training about conservation interventions should be provided to communities in the watershed.This study provides information for corrective measures to protect further degradation and irreversible losses that might happen to the biotic and abiotic resources in Lake Ziway watershed.</t>
  </si>
  <si>
    <t>[Desta, Hayal] Univ Michigan, African Studies Ctr, David M Dennison Bldg,500 Church St 500, Ann Arbor, MI 48109 USA; [Desta, Hayal; Fetene, Aramde] Addis Ababa Univ, Environm Planning Competence Ctr, EiABC, POB 518, Addis Ababa, Ethiopia</t>
  </si>
  <si>
    <t>University of Michigan System; University of Michigan; Addis Ababa University</t>
  </si>
  <si>
    <t>Desta, H (corresponding author), Addis Ababa Univ, Chair Ecosyst Planning &amp; Management, EiABC, POB 518, Addis Ababa, Ethiopia.</t>
  </si>
  <si>
    <t>hayal.desta@eiabc.edu.et</t>
  </si>
  <si>
    <t>; , Hayal Desta/AEY-3556-2022</t>
  </si>
  <si>
    <t>Fetene, Arae/0000-0002-3929-2245; , Hayal Desta/0000-0003-1783-5429</t>
  </si>
  <si>
    <t>University of Michigan African Studies Center (USA); Addis Ababa University (Ethiopia)</t>
  </si>
  <si>
    <t>University of Michigan African Studies Center (USA) is gratefully acknowledged for granting the University of Michigan African Presidential Scholarship (UMAPS) to the first (corresponding) author. The authors acknowledge the Addis Ababa University (Ethiopia) for its financial support. The authors also deeply thank the people of Lake Ziway watershed and the local administrative offices for their kind support in guidance and local language translation. The three anonymous reviewers as well as Prof. Christine Feak, University of Michigan, are gratefully acknowledged for providing constructive suggestions and comments to improve the quality of the manuscript.</t>
  </si>
  <si>
    <t>0264-8377</t>
  </si>
  <si>
    <t>1873-5754</t>
  </si>
  <si>
    <t>Land Use Pol.</t>
  </si>
  <si>
    <t>10.1016/j.landusepol.2020.104682</t>
  </si>
  <si>
    <t>LZ3TB</t>
  </si>
  <si>
    <t>WOS:000541149900011</t>
  </si>
  <si>
    <t>Mahmoud, MI; Campbell, MJ; Sloan, S; Alamgir, M; Laurance, WF</t>
  </si>
  <si>
    <t>Mahmoud, Mahmoud I.; Campbell, Mason J.; Sloan, Sean; Alamgir, Mohammed; Laurance, William F.</t>
  </si>
  <si>
    <t>Biodiversity loss; Cameroon; deforestation; Ebo Forest; equatorial Africa; logging; oil palm; roads; wildlife</t>
  </si>
  <si>
    <t>OIL PALM AGRICULTURE; ENVIRONMENTAL COSTS; DEFORESTATION; FRAGMENTATION; EXPANSION; HABITAT; PLANTATIONS; POPULATION; PATTERNS; IMPACTS</t>
  </si>
  <si>
    <t>Tropical forest regions in equatorial Africa are threatened with degradation, deforestation and biodiversity loss as a result of land-cover change. We investigated historical land-cover dynamics in unprotected forested areas of the Littoral Region in south-western Cameroon during 1975-2017, to detect changes that may influence this important biodiversity and wildlife area. Processed Landsat imagery was used to map and monitor changes in land use and land cover. From 1975 to 2017 the area of high-value forest landscapes decreased by c. 420,000 ha, and increasing forest fragmentation caused a decline of c. 12% in the largest patch index. Conversely, disturbed vegetation, cleared areas and urban areas all expanded in extent, by 32% (c. 400,000 ha), 5.6% (c. 26,800 ha) and 6.6% (c. 78,631 ha), respectively. The greatest increase was in the area converted to oil palm plantations (c. 26,893 ha), followed by logging and land clearing (c. 34,838 ha), all of which were the major factors driving deforestation in the study area. Our findings highlight the increasing threats facing the wider Littoral Region, which includes Mount Nlonako and Ebo Forest, both of which are critical areas for regional conservation and the latter a proposed National Park and the only sizable area of intact forest in the region. Intact forest in the Littoral Region, and in particular at Ebo, merits urgent protection.</t>
  </si>
  <si>
    <t>[Mahmoud, Mahmoud I.; Campbell, Mason J.; Sloan, Sean; Alamgir, Mohammed; Laurance, William F.] James Cook Univ, Coll Sci &amp; Engn, Ctr Trop Environm &amp; Sustainabil Sci, Cairns, Qld 4878, Australia</t>
  </si>
  <si>
    <t>Mahmoud, MI (corresponding author), James Cook Univ, Coll Sci &amp; Engn, Ctr Trop Environm &amp; Sustainabil Sci, Cairns, Qld 4878, Australia.</t>
  </si>
  <si>
    <t>mahmoud.mahmoud@jcu.edu.au</t>
  </si>
  <si>
    <t>Laurance, William/B-2709-2012; Campbell, Mason/G-4651-2017; Alamgir, Mohammed/G-3757-2014; Sloan, Sean/A-8630-2012; Ibrahim-Mahmoud, Mahmoud/D-3940-2017</t>
  </si>
  <si>
    <t>Ibrahim-Mahmoud, Mahmoud/0000-0002-0432-0429</t>
  </si>
  <si>
    <t>Arcus Foundation; James Cook University</t>
  </si>
  <si>
    <t>Financial support for this study was provided by the Arcus Foundation and James Cook University. We thank Pontus Olofsson for verification of the error-adjusted area estimates, and the Editor and reviewers for their comments and suggestions.</t>
  </si>
  <si>
    <t>CAMBRIDGE</t>
  </si>
  <si>
    <t>EDINBURGH BLDG, SHAFTESBURY RD, CB2 8RU CAMBRIDGE, ENGLAND</t>
  </si>
  <si>
    <t>PII S0030605318000881</t>
  </si>
  <si>
    <t>10.1017/S0030605318000881</t>
  </si>
  <si>
    <t>OK0WU</t>
  </si>
  <si>
    <t>WOS:000584374400023</t>
  </si>
  <si>
    <t>Sajeev, R; Subramanian, V</t>
  </si>
  <si>
    <t>JOURNAL OF THE GEOLOGICAL SOCIETY OF INDIA</t>
  </si>
  <si>
    <t>environmental geology; remote sensing; landuse; landcover; Ashtamudi wetlands; Kerala</t>
  </si>
  <si>
    <t>Ashtamudi estuary, the second largest wetland ecosystem of Kerala is the deepest among all the estuaries of Kerala. This wetland is under severe environmental stress due to large-scale land use / land cover conversions that occurred in and around it for the past several decades. Ashtamudi is one of the 21 notified wetlands of paramount importance in India needing special conservation measures. In the present study, land use/ land cover conversions in Ashtamudi wetland region from 1967 to 1997 is quantified using the technique of Remote Sensing and Geographic Information System (GIS). Survey of India topographic map, hard copies of IRS-1A LISS 11, IRS-1C LISS III images are used in the present work. The study shows that increasing population density, change in family system, extensive coconut husk retting and deposition of husk waste along the margin of the estuary, solid waste deposition from factories, reclamation of the estuary by local population and low profit obtained from paddy cultivation are mainly responsible for the large-scale land use/ land cover conversions in the wetland region. The study tries to correlate unscientific land use/ land cover conversions in the wetland region with its environmental degradation.</t>
  </si>
  <si>
    <t>Jawaharlal Nehru Univ, Sch Environm Sci, New Delhi 110067, India</t>
  </si>
  <si>
    <t>Jawaharlal Nehru University, New Delhi</t>
  </si>
  <si>
    <t>Sajeev, R (corresponding author), Jawaharlal Nehru Univ, Sch Environm Sci, New Delhi 110067, India.</t>
  </si>
  <si>
    <t>GEOLOGICAL SOC INDIA</t>
  </si>
  <si>
    <t>#64 12TH CROSS, BASAPPA LAYOUT P B 1922, GAVIPURAM PO, BANGALORE 560019, INDIA</t>
  </si>
  <si>
    <t>0016-7622</t>
  </si>
  <si>
    <t>J GEOL SOC INDIA</t>
  </si>
  <si>
    <t>J. Geol. Soc. India</t>
  </si>
  <si>
    <t>675GW</t>
  </si>
  <si>
    <t>WOS:000182686500008</t>
  </si>
  <si>
    <t>Soriano, M; Hilvano, N; Garcia, R; Hao, AJ; Alegre, A; Tiburan, C</t>
  </si>
  <si>
    <t>Soriano, Merlyn; Hilvano, Noba; Garcia, Ronald; Joseph Hao, Aldrin; Alegre, Aldin; Tiburan Jr, Cristino</t>
  </si>
  <si>
    <t>ENVIRONMENTS</t>
  </si>
  <si>
    <t>ecologically valuable areas; watershed; buffer zone; Mount Makiling Forest Reserve (MMFR); urban sprawl; remote sensing and GIS</t>
  </si>
  <si>
    <t>BIODIVERSITY CONSERVATION; LANDSCAPE; URBANIZATION; ACCURACY; CHINA</t>
  </si>
  <si>
    <t>Ecologically Valuable Areas play an important role in providing ecosystem services, however, human activities such as land conversion and urban sprawl pose pressures and threats to these areas. The study assessed the land use/land cover and urban sprawl in the Mount Makiling Forest Reserve (MMFR) Watersheds and Buffer Zone from 1992 to 2015 using remote sensing and Geographic Information System (GIS). Results showed that the land use/cover within the MMFR buffer zone has changed from 1992 to 2015 with built-up areas increasing by 117% despite Proclamation 1257, s. 1998 which regulates human activities in the zone. Based on the Shannon entropy analysis the land development in the MMFR buffer zone tends to be dispersed and sprawling. However, when the magnitude of change of urban sprawl in the buffer zone from 2002 to 2015 was calculated, a decrease in the entropy value was observed which implies a compacting pattern as the human settlement in the buffer zone increases over time. Proclamation 1257, s. 1998 needs to be strengthened to protect MMFR and its buffer zone from further encroachment and pressure. Moreover, remote sensing and GIS proved to be useful tools for assessing urban sprawl in ecologically valuable areas such as MMFR.</t>
  </si>
  <si>
    <t>[Soriano, Merlyn] Natl Mapping &amp; Resource Informat Author, Resource Data Anal Branch, Geospatial Integrat Div, Taguig City 1634, Philippines; [Hilvano, Noba] Eastern Samar State Univ, Environm Sci Dept, Salcedo Campus, Salcedo 6807, Eastern Samar, Philippines; [Garcia, Ronald] Southern Luzon State Univ, Coll Agr, Quezon City 4328, Philippines; [Joseph Hao, Aldrin] Univ Philippines Los Banos, Coll Arts &amp; Sci, Inst Comp Sci, Los Banos 4031, Laguna, Philippines; [Alegre, Aldin] Univ Philippines Los Banos, Coll Forestry &amp; Nat Resources, Makiling Ctr Mt Ecosyst, Los Banos 4031, Laguna, Philippines; [Tiburan Jr, Cristino] Univ Philippines Los Banos, Coll Forestry &amp; Nat Resources, Inst Renewable Nat Resources, Environm Remote Sensing &amp; Geoinformat Lab, Los Banos 4031, Laguna, Philippines</t>
  </si>
  <si>
    <t>Southern Luzon State University; University of the Philippines System; University of the Philippines Los Banos; University of the Philippines System; University of the Philippines Los Banos; University of the Philippines System; University of the Philippines Los Banos</t>
  </si>
  <si>
    <t>Soriano, M (corresponding author), Natl Mapping &amp; Resource Informat Author, Resource Data Anal Branch, Geospatial Integrat Div, Taguig City 1634, Philippines.</t>
  </si>
  <si>
    <t>mssoriano2@up.edu.ph; nobney@gmail.com; rcualag2@gmail.com; ajhao@up.edu.ph; acalegre2@up.edu.ph; cltiburan@up.edu.ph</t>
  </si>
  <si>
    <t>Alegre, Aldin/0000-0002-0587-9419; Garcia, Ronald/0000-0002-9270-9660; hao, alin joseph/0000-0002-5428-5991</t>
  </si>
  <si>
    <t>Philippines Commission on Higher Education (CHED)</t>
  </si>
  <si>
    <t>Philippines Commission on Higher Education (CHED)(Commission on Higher Education (CHED), Philippines)</t>
  </si>
  <si>
    <t>The authors wish to express their gratitude to UPLB-MCME for the MMFR digital maps, NAMRIA for the provision of software (e.g., ENVI and ArcGIS), USGS for the free-access and downloadable Landsat satellite images, and Rico Ancog for his valuable insights. Also, to the Philippines Commission on Higher Education (CHED) for sponsoring the conference registration fee on the 2018 International Conference on Sustainable Environmental Technologies (ICSET) and for funding the publication fee, and to the ICSET organizer for facilitating the publication of this paper.</t>
  </si>
  <si>
    <t>2076-3298</t>
  </si>
  <si>
    <t>10.3390/environments6020009</t>
  </si>
  <si>
    <t>HO2JT</t>
  </si>
  <si>
    <t>WOS:000460741500001</t>
  </si>
  <si>
    <t>Rao, KS; Pant, R</t>
  </si>
  <si>
    <t>AGRICULTURE ECOSYSTEMS &amp; ENVIRONMENT</t>
  </si>
  <si>
    <t>natural resource mapping; land used; landscape patterns; natural resource policies; central Himalayas; India; forest cover</t>
  </si>
  <si>
    <t>TRADITIONAL CROP DIVERSITY; FORESTS; DEFORESTATION; IMPACTS; FUEL; FOOD</t>
  </si>
  <si>
    <t>The amount, the rate and the intensity of land use and land cover change are very high in developing countries. The human impacts upon the land are still very great and increasing. This study analyses the process of human-induced landscape transformation in a micro watershed in mid elevation zone of central Himalaya of India in 1963, 1986 and 1996. The watershed (about 80 km(2) in size) comprises a small mountainous valley with steep slopes and deep cut ravines, typical of the landscape pattern in high population intensity mid elevation zone of central Himalaya. The spatial and temporal change patterns of land use were quantified by interpreting remote sensing (RS) data and use a geographical information system (GIS). During the last 33 years, the vegetal cover was altered drastically with increasing population pressure (both human and animal), agricultural activities and industrial wood/raw material extraction activities. The traditional rain fed agriculture on raised terraces has passed through a process of agricultural intensification but this in turn reduced crop species diversity. Restriction on agricultural expansion by transferring large parts of vegetated areas to conservation forestry under government control and unrestrained agricultural expansion on community lands which supported fuel. fodder and manure requirements has resulted in a unbalanced land use. This in turn led to deforestation and environmental degradation. Some limiting factors such as socio-economic and policy forces caused these changes in natural resource management practices and the resulting land use patterns. The study showed that although development interventions such as World Bank aided Integrated Watershed Development Programme, etc., showed promising results in regenerating the resources, the lack of follow-up required after programme withdrawal might cause the deterioration of resources accrued during such regeneration activities. Such local impacts need to be considered in national policies and especially when time bound international aid based programmes are to be implemented, (C) 2001 Elsevier Science B.V. All rights reserved.</t>
  </si>
  <si>
    <t>GB Pant Inst Himalayan Environm &amp; Dev, Kosi Katarmal 263643, Almora, India</t>
  </si>
  <si>
    <t>G.B. Pant National Institute of Himalayan Environment &amp; Sustainable Development (GBPNIHESD)</t>
  </si>
  <si>
    <t>Rao, KS (corresponding author), GB Pant Inst Himalayan Environm &amp; Dev, Kosi Katarmal 263643, Almora, India.</t>
  </si>
  <si>
    <t>srkottapalli@yahoo.com</t>
  </si>
  <si>
    <t>Rao, K S/I-7548-2012</t>
  </si>
  <si>
    <t>0167-8809</t>
  </si>
  <si>
    <t>1873-2305</t>
  </si>
  <si>
    <t>AGR ECOSYST ENVIRON</t>
  </si>
  <si>
    <t>Agric. Ecosyst. Environ.</t>
  </si>
  <si>
    <t>10.1016/S0167-8809(00)00274-7</t>
  </si>
  <si>
    <t>Agriculture, Multidisciplinary; Ecology; Environmental Sciences</t>
  </si>
  <si>
    <t>457DF</t>
  </si>
  <si>
    <t>WOS:000170121300001</t>
  </si>
  <si>
    <t>Chaudhary, A; Kastner, T</t>
  </si>
  <si>
    <t>Chaudhary, Abhishek; Kastner, Thomas</t>
  </si>
  <si>
    <t>Biodiversity; Agriculture; Global trade; Land use; Sustainability; Consumption</t>
  </si>
  <si>
    <t>SPECIES-AREA MODELS; ENVIRONMENTAL IMPACTS; FOOTPRINT; EXTINCTION; HOTSPOTS; DRIVES; LIFE</t>
  </si>
  <si>
    <t>Agricultural land use to meet the demands of a growing population, changing diets, lifestyles and biofuel production is a significant driver of biodiversity loss. Globally applicable methods are needed to assess biodiversity impacts hidden in internationally traded food items. We used the countryside species area relationship (SAR) model to estimate the mammals, birds, amphibians and reptiles species lost (i.e. species 'committed to extinction') due to agricultural land use within each of the 804 terrestrial ecoregion. These species lost estimates were combined with high spatial resolution global maps of crop yields to calculate species lost per ton for 170 crops in 184 countries. Finally, the impacts per ton were linked with the bilateral trade data of crop products between producing and consuming countries from FAO, to calculate the land use biodiversity impacts embodied in international crop trade and consumption. We found that 83% of total species loss is incurred due to agriculture land use devoted for domestic consumption whereas 17% is due to export production. Exports from Indonesia to USA and China embody highest impacts (20 species lost at the regional level each). In general, industrialized countries with high per capita GDP tend to be major net importers of biodiversity impacts from developing tropical countries. Results show that embodied land area is not a good proxy for embodied biodiversity impacts in trade flows, as crops occupying little global area such as sugarcane, palm oil, rubber and coffee have disproportionately high biodiversity impacts. (C) 2016 Elsevier Ltd. All rights reserved.</t>
  </si>
  <si>
    <t>[Chaudhary, Abhishek] ETH, Inst Environm Engn, CH-8093 Zurich, Switzerland; [Kastner, Thomas] Alpen Adria Univ Klagenfurt, Inst Social Ecol Vienna, Schottenfeldgasse 29, A-1070 Vienna, Austria</t>
  </si>
  <si>
    <t>Swiss Federal Institutes of Technology Domain; ETH Zurich; University of Klagenfurt</t>
  </si>
  <si>
    <t>Chaudhary, A (corresponding author), ETH, Inst Environm Engn, CH-8093 Zurich, Switzerland.</t>
  </si>
  <si>
    <t>abhishek@ifu.baug.ethz.ch</t>
  </si>
  <si>
    <t>Kastner, Thomas/C-6346-2012</t>
  </si>
  <si>
    <t>Kastner, Thomas/0000-0002-8155-136X</t>
  </si>
  <si>
    <t>European Research Council Starting Grant LUISE [263522]; National Research Programme Resource Wood by the Swiss National Science Foundation [NRP 66, 136612]; European Research Council (ERC) [263522] Funding Source: European Research Council (ERC)</t>
  </si>
  <si>
    <t>European Research Council Starting Grant LUISE(European Research Council (ERC)); National Research Programme Resource Wood by the Swiss National Science Foundation; European Research Council (ERC)</t>
  </si>
  <si>
    <t>TIC acknowledges funding by the European Research Council Starting Grant LUISE (263522). AC was funded within the National Research Programme Resource Wood (NRP 66) by the Swiss National Science Foundation (project no. 136612).</t>
  </si>
  <si>
    <t>10.1016/j.gloenvcha.2016.03.013</t>
  </si>
  <si>
    <t>DL8IS</t>
  </si>
  <si>
    <t>WOS:000375886300018</t>
  </si>
  <si>
    <t>Paffetti, D; Travaglini, D; Labriola, M; Buonamici, A; Bottalico, F; Materassi, A; Fasano, G; Nocentini, S; Vettori, C</t>
  </si>
  <si>
    <t>Paffetti, Donatella; Travaglini, Davide; Labriola, Mariaceleste; Buonamici, Anna; Bottalico, Francesca; Materassi, Alessandro; Fasano, Gianni; Nocentini, Susanna; Vettori, Cristina</t>
  </si>
  <si>
    <t>Cross-pollination; Gene flow; Genetic diversity conservation; Land management; Populus spp.; Spatial genetic structure</t>
  </si>
  <si>
    <t>POPULUS-NIGRA L.; MULTILOCUS GENOTYPE DATA; GENE FLOW; MICROSATELLITE MARKERS; HABITAT FRAGMENTATION; CONSERVATION; INTROGRESSION; INFERENCE; COMMUNITY; CONSEQUENCES</t>
  </si>
  <si>
    <t>Deforestation and intensive land use managementwith plantations of fast-growing tree species, like Populus spp., may endanger native trees not only by eliminating or reducing their habitats, but also by diminishing their species integrity via hybridization and introgression. The genus Populus has persistent natural hybrids because clonal and sexual reproduction is common. The objective of this studywas to assess the effect of land use management of poplar plantations on the spatial genetic structure and species composition in poplar stands. Specifically, we studied the potential breeding between natural and cultivated poplar populations in the Mediterranean environment to gain insight into spontaneous hybridization events between exotic and native poplars; we also used a GIS-based model to evaluate the potential threats related to an intensive land use management. Two study areas, both near to poplar plantations (P. x euramericana), were designated in the native mixed stands of P. alba, P. nigra and P. x canescens within protected areas. We found that the spatial genetic structure differed between the two stands and their differences depended on their environmental features. We detected a hybridization event with P. x canescens that was made possible by the synchrony of flowering between the poplar plantation and P. x canescens and facilitated by the wind intensity and direction favoring the spread of pollen. Taken together, our results indicate that natural and artificial barriers are crucial to mitigate the threats, and so they should be explicitly considered in land use planning. For example, our results suggest the importance of conserving rows of trees and shrubs along rivers and in agricultural landscapes. In sum, it is necessary to understand, evaluate, and monitor the spread of exotic species and geneticmaterial to ensure effective land use management and mitigation of their impact on native tree populations. (C) 2017 Elsevier B.V. All rights reserved.</t>
  </si>
  <si>
    <t>[Paffetti, Donatella; Labriola, Mariaceleste] Univ Florence, Agr Genet Sect, Dept Agr Food &amp; Environm Sci, Ple Cascine 28, I-50144 Florence, Italy; [Travaglini, Davide; Bottalico, Francesca; Nocentini, Susanna] Univ Florence, Dept Agr Food &amp; Forestry Syst, Via San Bonaventura 13, I-50145 Florence, Italy; [Labriola, Mariaceleste; Buonamici, Anna; Vettori, Cristina] Natl Res Council CNR, Inst Biosci &amp; Bioresources IBBR, Via Madonna del Piano 10, I-50019 Sesto Fiorentino, FI, Italy; [Materassi, Alessandro; Fasano, Gianni] Natl Res Council CNR, Inst Biometeorol IBIMET, Via Caproni 8, I-50145 Florence, Italy</t>
  </si>
  <si>
    <t>University of Florence; University of Florence; Consiglio Nazionale delle Ricerche (CNR); Istituto di Bioscienze e Biorisorse (IBBR-CNR); Consiglio Nazionale delle Ricerche (CNR); Istituto di Biometeorologia (IBIMET-CNR)</t>
  </si>
  <si>
    <t>Vettori, C (corresponding author), Natl Res Council CNR, Inst Biosci &amp; Bioresources IBBR, Via Madonna del Piano 10, I-50019 Sesto Fiorentino, FI, Italy.</t>
  </si>
  <si>
    <t>donatella.paffetti@unifi.it; davide.travaglini@unifi.it; mariaceleste.labriola@ibbr.cnr.it; anna.buonamici@ibbr.cnr.it; francesca.bottalico@unifi.it; a.materassi@ibimet.cnr.it; g.fasano@ibimet.cnr.it; susanna.nocentini@unifi.it; cristina.vettori@cnr.it</t>
  </si>
  <si>
    <t>nocentini, susanna/I-4563-2018; Vettori, Cristina/L-4651-2013; Travaglini, Davide/F-1845-2013</t>
  </si>
  <si>
    <t>nocentini, susanna/0000-0003-1600-1000; Vettori, Cristina/0000-0003-2475-773X;</t>
  </si>
  <si>
    <t>European LIFE program [LIFE08 NAT/IT/342]</t>
  </si>
  <si>
    <t>European LIFE program</t>
  </si>
  <si>
    <t>This work was supported by the European LIFE program [grant numbers LIFE08 NAT/IT/342] (http://www.pdc.minambiente.it/progetti/demetra-sviluppo-di-una-metodologia-lanalisi-dellimpatto-ambientale-degli-ogm).</t>
  </si>
  <si>
    <t>JAN 1</t>
  </si>
  <si>
    <t>10.1016/j.scitotenv.2017.08.238</t>
  </si>
  <si>
    <t>FI3VI</t>
  </si>
  <si>
    <t>WOS:000411897700143</t>
  </si>
  <si>
    <t>Grecchi, RC; Gwyn, QHJ; Bénié, GB; Formaggio, AR; Fahl, FC</t>
  </si>
  <si>
    <t>Grecchi, Rosana Cristina; Gwyn, Q. Hugh J.; Benie, Goze Bertin; Formaggio, Antonio Roberto; Fahl, Fernando Cesar</t>
  </si>
  <si>
    <t>Land-use and land-cover changes; Environmental indicators; Remote sensing; Erosion risks; Cerrado biome</t>
  </si>
  <si>
    <t>FOREST COVER; LANDSCAPE; EROSION; GIS; FRAGMENTATION; CONSERVATION; ECOSYSTEMS; PATTERNS; SCIENCE</t>
  </si>
  <si>
    <t>Expansion of agricultural lands have shaped Brazilian Cerrado landscapes in recent decades; however, the environmental consequences of these transformations are still poorly assessed. This paper presents a multidisciplinary approach used to assess historical land-use and land-cover (LULC) changes and their impacts on the environment in southeast Mato Grosso State, a region where the Cerrado has been intensively converted into agricultural lands. The methodology encompassed three main stages: (1) quantifying LULC changes using remote sensing data, (2) assessing LULC change impacts on vulnerable lands (e.g. erosion prone areas and wetlands), and (3) summarizing preceding information into key environmental indicators, assessed within the Pressure-State-Response framework (PSR) of the Organization for Economic Co-operation and Development (OECD). The results indicated a drastic landscape transformation in the selected area, which evolved from predominantly vegetated to a consolidated agricultural region. Crops expanded at high rates from 1985 to 1995, occupying the majority of the lands suited for agriculture. In the following decade, crops continued to expand and encroached into fragile environments (e.g. wetlands and more erodible soils). As a result, from 1985 to 2005, the area lost approximately 42% of its natural vegetation and erosion risks increased significantly. Our integration of land-use change information with intrinsic environmental vulnerabilities allowed a deeper understanding of LULC changes consequences and provided environmental indicators. This offered a synoptic view of how LULC changes occurred and how they affected the environment at a landscape scale. Furthermore, the assessment of the indicators using the PSR framework, helped to clarify cause-effect relationships thus furnishing key information of value to decision-makers and future comparisons with other areas. (C) 2014 Elsevier Ltd. All rights reserved.</t>
  </si>
  <si>
    <t>[Grecchi, Rosana Cristina; Gwyn, Q. Hugh J.; Benie, Goze Bertin] Univ Sherbrooke, Ctr Applicat &amp; Rech Teledetect CARTEL, Sherbrooke, PQ J1K 2R1, Canada; [Grecchi, Rosana Cristina; Formaggio, Antonio Roberto] Brazilian Natl Inst Space Res INPE, Sao Jose Dos Campos, SP, Brazil</t>
  </si>
  <si>
    <t>University of Sherbrooke; Instituto Nacional de Pesquisas Espaciais (INPE)</t>
  </si>
  <si>
    <t>Grecchi, RC (corresponding author), Brazilian Natl Inst Space Res INPE, Ave Astronautas 1758, Sao Jose Dos Campos, SP, Brazil.</t>
  </si>
  <si>
    <t>rogrecchi@hotmail.com</t>
  </si>
  <si>
    <t>Fahl, Fernando/0000-0002-5264-4081; Grecchi, Rosana/0000-0002-4306-0332</t>
  </si>
  <si>
    <t>10.1016/j.apgeog.2014.09.014</t>
  </si>
  <si>
    <t>AX4GL</t>
  </si>
  <si>
    <t>WOS:000346891500029</t>
  </si>
  <si>
    <t>Parmenter, AW; Hansen, A; Kennedy, RE; Cohen, W; Langner, U; Lawrence, R; Maxwell, B; Gallant, A; Aspinall, R</t>
  </si>
  <si>
    <t>classification and regression tree analysis; exurban development; fire; Greater Yellowstone Ecosystem; land use and land cover change; remote sensing; urbanization</t>
  </si>
  <si>
    <t>LODGEPOLE PINE; NATIONAL-PARK; FIRE; CLASSIFICATION; PRODUCTIVITY; BIODIVERSITY</t>
  </si>
  <si>
    <t>Shifts in the demographic and economic character of the Greater Yellowstone Ecosystem (GYE) are driving patterns of land cover and land use change in the region. Such changes may have important consequences for ecosystem functioning. The objective of this paper is to quantify the trajectories and rates of change in land cover and use across the GYE for the period 1975-1995 using satellite imagery. Spectral and geographic variables were used as inputs to classification tree regression analysis (CART) to find rules which defined land use and land cover classes on the landscape. The resulting CART functions were used to map land cover and land use across seven Landsat TM scenes for 1995. We then used a thresholding technique to identify locations that differed in spectral properties between the 1995 and 1985 time periods. These changed locations were classified using CART functions derived from spectral and geographic data from 1985. This was similarly done for the year 1975 based on Landsat MSS data. Differences between the 1975, 1985, and 1995 maps. were considered change in land cover and use. We calibrated and tested the accuracy of our models using data acquired through manual interpretation of aerial photos. Elevation and vegetative indices derived from the remotely sensed satellite imagery explained the most variance in the land use and land cover classes (i.e., defined the rules most often). Overall accuracies from our study were good, ranging from 94% at the coarsest level of detail to 74% at the finest. The largest changes over the study period were the increases in burned, urban, and mixed conifer-herbaceous classes and decreases in woody deciduous, mixed woody deciduous-herbaceous, and conifer habitats. These changes have important implications for ecological function and biodiversity. The expansion of mixed conifer classes may increase fuel loads and enhance risk to the growing number of rural homes. The reduction of woody deciduous cover types is likely reducing population sizes for the numerous plant and animal species that specialize on this habitat type. Some of these species are also negatively influenced by the increase of rural homes in and near woody deciduous habitats.</t>
  </si>
  <si>
    <t>Montana State Univ, Dept Ecol, Bozeman, MT 59717 USA; Oregon State Univ, Dept Forest Sci, Corvallis, OR 97331 USA; USDA, Forest Sci Lab, Pacific NW Res Stn, Forestry Sci Lab, Corvallis, OR 97331 USA; Montana State Univ, Dept Land Resource &amp; Environm Sci, Bozeman, MT 59717 USA; USGS, EROS Data Ctr, Sioux Falls, SD 57198 USA; Montana State Univ, Dept Earth Sci, Bozeman, MT 59717 USA</t>
  </si>
  <si>
    <t>Montana State University System; Montana State University Bozeman; Oregon State University; United States Department of Agriculture (USDA); Montana State University System; Montana State University Bozeman; United States Department of the Interior; United States Geological Survey; Montana State University System; Montana State University Bozeman</t>
  </si>
  <si>
    <t>Parmenter, AW (corresponding author), Cornell Univ, Ctr Environm, 306 Rice Hall, Ithaca, NY 14853 USA.</t>
  </si>
  <si>
    <t>awp9@cornell.edu</t>
  </si>
  <si>
    <t>Hansen, Andrew/B-8080-2018; Aspinall, Richard/E-4924-2013</t>
  </si>
  <si>
    <t>10.1890/1051-0761(2003)013[0687:LUALCC]2.0.CO;2</t>
  </si>
  <si>
    <t>707TA</t>
  </si>
  <si>
    <t>WOS:000184524900010</t>
  </si>
  <si>
    <t>Garrard, R; Kohler, T; Price, MF; Byers, AC; Sherpa, AR; Maharjan, GR</t>
  </si>
  <si>
    <t>Garrard, Rodney; Kohler, Thomas; Price, Martin F.; Byers, Alton C.; Sherpa, Ang Rita; Maharjan, Gyanu Raja</t>
  </si>
  <si>
    <t>Sagarmatha National Park; UNESCO World Heritage Site; land use; land cover; satellite imagery; perceptions</t>
  </si>
  <si>
    <t>CLIMATE-CHANGE; PERCEPTIONS; REGION; TOOLS</t>
  </si>
  <si>
    <t>Land use and land cover (LULC) changes that occurred during 19922011 in Sagarmatha National Park, a United Nations Educational, Scientific, and Cultural Organization World Heritage Site in the Himalayas of eastern Nepal, were evaluated using multitemporal satellite imagery in combination with land use data and sociological information gathered from semistructured interviews and workshops. We asked study participants about LULC changes, the causes of each change, and the likely duration of its effects, and used this information to produce high-resolution maps of local perceptions of LULC change. Satellite image analysis revealed that above 6000 m there has been a decrease in the area covered by snow and ice and a consequent expansion of glacial lakes and areas covered by rock and soil. Between 3000 and 6000 m, forest and farmland are decreasing, and areas under grazing, settlement, and shrubland are increasing. Such LULC changes within the protected area clearly indicate the prevailing danger of land degradation. Results from the interviews and workshops suggest that people tended to detect LULC change that was acute and direct, but were less aware of slower changes that could be identified by satellite imagery analysis. Most study participants said that land use changes were a result of rapid economic development and the consequent pressure on natural resources, especially in the tourism industry and especially below 6000 m elevation, as well as limitations to protected area management and a period of civil war. Human influence coupled with climate change may explain the changes at higher elevations, whereas anthropogenic activities are solely responsible in lower areas. Although global factors cannot be mitigated locally, many of the local drivers of LULC change could be addressed with improved management practices that aid local conservation and development in this high mountain ecosystem. A broader interdisciplinary approach to LULC change should include a mix of satellite image analysis and local observations.</t>
  </si>
  <si>
    <t>[Garrard, Rodney; Kohler, Thomas] Univ Bern, Ctr Dev &amp; Environm, Inst Geog GIUB, Integrat AIG Univ Bern, Hallerstr 10, CH-3012 Bern, Switzerland; [Price, Martin F.] Perth Coll UHI, Ctr Mt Studies, Webster Bldg,Crieff Rd, Perth PH1 2NX, Scotland; [Byers, Alton C.; Sherpa, Ang Rita] Mountain Inst, 3000 Connecticut Ave NW, Washington, DC 20008 USA; [Maharjan, Gyanu Raja] Tribhuvan Univ, Tribhuvan Univ Rd, Kathmandu 44618, Kirtipur, Nepal</t>
  </si>
  <si>
    <t>University of Bern; University of the Highlands &amp; Islands; Tribhuvan University</t>
  </si>
  <si>
    <t>Garrard, R (corresponding author), Univ Bern, Ctr Dev &amp; Environm, Inst Geog GIUB, Integrat AIG Univ Bern, Hallerstr 10, CH-3012 Bern, Switzerland.</t>
  </si>
  <si>
    <t>rodney.garrard@cde.unibe.ch</t>
  </si>
  <si>
    <t>Centre for Development and Environment; University of Bern; European Outdoor Conservation Authority, Zug, Switzerland</t>
  </si>
  <si>
    <t>The authors wish to thank study participants and the entire community of the Khumbu; the Department of National Parks, Kathmandu; the International Centre for Integrated Mountain Development, Kathmandu; and the Ev-K2-CNR Association, Kathmandu. This research was funded by the Centre for Development and Environment, University of Bern, and the European Outdoor Conservation Authority, Zug, Switzerland. The research was supported by research assistants Sonam Futi and Gyanu Raja Maharjan, and benefited from discussions with Dr Sandra Eckert. High-resolution field maps were produced by Jurg Krauer and Elias Hodel. We would also like to thank the 2 anonymous reviewers for their suggestions and comments.</t>
  </si>
  <si>
    <t>MOUNTAIN RESEARCH &amp; DEVELOPMENT</t>
  </si>
  <si>
    <t>BUSINESS OFFICE, 810 E 10TH ST, PO BOX 1897, LAWRENCE, KANSAS 66044-8897 USA</t>
  </si>
  <si>
    <t>10.1659/MRD-JOURNAL-D-15-00005.1</t>
  </si>
  <si>
    <t>DX8NB</t>
  </si>
  <si>
    <t>WOS:000384644700005</t>
  </si>
  <si>
    <t>Loosen, AE; Morehouse, AT; Boyce, MS</t>
  </si>
  <si>
    <t>Loosen, Anne E.; Morehouse, Andrea T.; Boyce, Mark S.</t>
  </si>
  <si>
    <t>American black bear; habitat; hunting; population estimation; resource-selection function; spatially explicit capture-recapture; Ursus americanus</t>
  </si>
  <si>
    <t>EXPLICIT CAPTURE-RECAPTURE; GLACIER NATIONAL-PARK; GRIZZLY BEARS; HABITAT SELECTION; GENETIC-STRUCTURE; POPULATIONS; HETEROGENEITY; RESTORATION; DEMOGRAPHY</t>
  </si>
  <si>
    <t>Global biodiversity is decreasing rapidly. Parks and protected lands, while designed to conserve wildlife, often cannot provide the habitat protection needed for wide-ranging animals such as the American black bear (Ursus americanus). Conversely, private lands are often working landscapes (e.g., farming) that have high human footprints relative to protected lands. In southwestern Alberta, road densities are highest on private lands and black bears can be hunted year-round. On protected lands, road densities are lowest, and hunting is prohibited. On public lands under the jurisdiction of the provincial government (Crown lands), seasonal hunting is permitted. Population estimates are needed to calculate sustainable harvest levels and to monitor population trends. In our study area, there has never been a robust estimate of black bear density and spatial drivers of black bear density are poorly understood. We used non-invasive genetic sampling and indices of habitat productivity and human disturbance to estimate density and abundance for male and female black bears in 2013 and 2014 using two methods: spatially explicit capture-recapture (SECR) and resource-selection functions (RSF). Land tenure best explained spatial variation in black bear density. Black bear densities for females and males were highest on parkland and lowest on Crown lands. Sex ratios were female-biased on private lands, likely a result of lower harvests and movement of females out of areas with high male density. Synthesis and application: Both SECR and RSF methods clearly indicate spatial structuring of black bear density, with a strong influence based on how lands are managed. Land tenure influences the distribution of available foods and risk from humans. We emphasize the need for improved harvest reporting, particularly for non-licensed hunting on private land, to estimate the extent of black bear harvest mortality.</t>
  </si>
  <si>
    <t>[Loosen, Anne E.; Morehouse, Andrea T.; Boyce, Mark S.] Univ Alberta, Dept Biol Sci, Edmonton, AB, Canada</t>
  </si>
  <si>
    <t>Loosen, AE (corresponding author), 80 Ole Evenstadsvei, N-2480 Koppang, Norway.</t>
  </si>
  <si>
    <t>annie.loosen@gmail.com</t>
  </si>
  <si>
    <t>; Boyce, Mark/A-2620-2014</t>
  </si>
  <si>
    <t>Loosen, Anne/0000-0002-6145-4044; Morehouse, Anea/0000-0002-2015-9938; Boyce, Mark/0000-0001-5811-325X</t>
  </si>
  <si>
    <t>Alberta Fish and Game Association [MSL 2014 NS-9, MSL 2015 NS-12]; Safari Club International Northern Alberta Chapter; International Association for Bear Research and Management; Alberta Conservation Association [030-00-90-252]; TD Friends of the Environment Foundation [491374]; Parks Canada; Riversdale Resources; Wildlife Society; Alberta Professional Outfitters Society; Alberta Parks; Alberta Environment and Parks</t>
  </si>
  <si>
    <t>Alberta Fish and Game Association; Safari Club International Northern Alberta Chapter; International Association for Bear Research and Management; Alberta Conservation Association; TD Friends of the Environment Foundation; Parks Canada; Riversdale Resources; Wildlife Society; Alberta Professional Outfitters Society; Alberta Parks; Alberta Environment and Parks</t>
  </si>
  <si>
    <t>Alberta Fish and Game Association, Grant/Award Number: MSL 2014 NS-9 and MSL 2015 NS-12; Safari Club International Northern Alberta Chapter; International Association for Bear Research and Management; Alberta Conservation Association, Grant/Award Number: 030-00-90-252; TD Friends of the Environment Foundation, Grant/Award Number: 491374; Parks Canada; Riversdale Resources; The Wildlife Society; Alberta Professional Outfitters Society; Alberta Parks; Alberta Environment and Parks</t>
  </si>
  <si>
    <t>10.1002/ece3.4617</t>
  </si>
  <si>
    <t>HK0VV</t>
  </si>
  <si>
    <t>WOS:000457622300007</t>
  </si>
  <si>
    <t>Chee, SY; Othman, AG; Sim, YK; Adam, ANM; Firth, LB</t>
  </si>
  <si>
    <t>Chee, Su Yin; Othman, Abdul Ghapar; Sim, Yee Kwang; Adam, Amni Nabilah Mat; Firth, Louise B.</t>
  </si>
  <si>
    <t>Coastal management; Ecological engineering; Erosion; Mangrove; Ocean sprawl; Sustainable coastal development; Urbanisation</t>
  </si>
  <si>
    <t>COASTAL DEFENSE; OCEAN SPRAWL; REEF; URBAN; BIODIVERSITY; DESIGN; HABITATS; INFRASTRUCTURE; URBANIZATION; RESTORATION</t>
  </si>
  <si>
    <t>Coastal developments worldwide have put entire shoreline ecosystems at risk. Recently, land reclamation has been extended to the construction of whole new islands; a phenomenon that is particularly common in Asia and the Middle East and is recognised as a global conservation issue. Using Penang Island, Malaysia as a case study, we illustrate the relationship between rapid population growth and the simultaneous increase in urbanisation, land reclamation and extent of artificial shorelines; and decrease in the quality and extent of natural coastal habitats. Our goal was to provide an up-to-date assessment of the state of coastal habitats around Penang, identify knowledge gaps and identify locations that may be potentially suitable for eco-engineering. Comparisons of historical and current topographic maps revealed that land formerly consisting of coastal swamp and forest, mangrove forests, sandy beaches, and rubber and oil plantations have been lost to large-scale land reclamation and urbanisation. Between 1960 and 2015, there were increases in urbanised area, reclaimed land, and artificial shoreline extent. The total extent of mangrove forests has remained relatively stable but this balance is characterised by significant losses on the east coast coupled with increases on the west coast. Coastal development on the island is still on-going with plans for the construction of five artificial islands and another two coastal reclamation projects are either underway or scheduled for the near future. If the plans for future land reclamations are fully realized, 32.3 km(2) of the 321.8 km(2) island (10%) will be reclaimed land and the associated negative effects on the island's natural coastal habitats will be inevitable. This study highlights sections of the coast of Penang Island in need of effective monitoring, conservation and management and explores the possibility of incorporating ecological engineering into development projects, either prospectively or retrospectively, to create more environmentally-friendly urban environments and to promote educational, amenity and economic activities. With coastal development taking place on a global scale, opportunities to balance development needs with conservation strategies abound and should be integrated into present and subsequent projects to protect these coastal ecosystems for future generations. (C) 2017 The Authors. Published by Elsevier B.V.</t>
  </si>
  <si>
    <t>[Chee, Su Yin; Sim, Yee Kwang; Adam, Amni Nabilah Mat] Univ Sains Malaysia, Ctr Marine &amp; Coastal Studies, Minden 11800, Malaysia; [Othman, Abdul Ghapar] Univ Sains Malaysia, Sch Housing Bldg &amp; Planning, Minden 11800, Malaysia; [Firth, Louise B.] Plymouth Univ, Sch Biol &amp; Marine Sci, Plymouth PL4 8AA, Devon, England</t>
  </si>
  <si>
    <t>Universiti Sains Malaysia; Universiti Sains Malaysia; University of Plymouth</t>
  </si>
  <si>
    <t>Chee, SY (corresponding author), Univ Sains Malaysia, Ctr Marine &amp; Coastal Studies, Minden 11800, Malaysia.</t>
  </si>
  <si>
    <t>suyinchee@usm.my</t>
  </si>
  <si>
    <t>Chee, Su Yin/E-2977-2018</t>
  </si>
  <si>
    <t>Chee, Su Yin/0000-0001-5239-0563; Firth, Louise/0000-0002-6620-8512</t>
  </si>
  <si>
    <t>Universiti Sains Malaysia [304/PPANTAI/6313144, 1001/ PPANTAI/811341]; British Ecological Society Small Grant [5546-6590]; Royal Society International Exchanges Grant [IE150435]</t>
  </si>
  <si>
    <t>Universiti Sains Malaysia(Universiti Sains Malaysia); British Ecological Society Small Grant; Royal Society International Exchanges Grant(Royal Society UK)</t>
  </si>
  <si>
    <t>This study was supported by the research grant number: 304/PPANTAI/6313144 (Short Term Research Grant) and 1001/ PPANTAI/811341 (Research University Grant) from Universiti Sains Malaysia awarded to Chee Su Yin. Louise Firth was supported by a British Ecological Society Small Grant (5546-6590) and a Royal Society International Exchanges Grant (IE150435). We thank the staff, students and volunteers at the Centre for Marine and Coastal Studies for their invaluable assistance in data collection. Special thanks to Hong ChernWern for drone image of Gurney Drive. The authors would also like to thank Mr Shan Lewin for creating the schematic diagram of the artificial islands.</t>
  </si>
  <si>
    <t>10.1016/j.gecco.2017.08.005</t>
  </si>
  <si>
    <t>FX8OV</t>
  </si>
  <si>
    <t>WOS:000426355300008</t>
  </si>
  <si>
    <t>Fernández, GFC; Obermeier, WA; Gerique, A; Sandoval, MFL; Lehnert, LW; Thies, B; Bendix, J</t>
  </si>
  <si>
    <t>Fernandez, Giulia F. Curatola; Obermeier, Wolfgang A.; Gerique, Andres; Lopez Sandoval, Maria Fernanda; Lehnert, Lukas W.; Thies, Boris; Bendix, Joerg</t>
  </si>
  <si>
    <t>Land Cover Change in the Andes of Southern Ecuador-Patterns and Drivers</t>
  </si>
  <si>
    <t>RELATIVE RADIOMETRIC NORMALIZATION; TOPOGRAPHIC CORRECTION METHODS; TROPICAL DEFORESTATION; OUT-MIGRATION; LANDSCAPE FRAGMENTATION; SMALLHOLDER AGRICULTURE; FOREST FRAGMENTATION; ECONOMIC-CRISIS; DRIVING FORCES; TM DATA</t>
  </si>
  <si>
    <t>In the megadiverse tropical mountain forest in the Andes of southern Ecuador, a global biodiversity hotspot, the use of fire to clear land for cattle ranching is leading to the invasion of an aggressive weed, the bracken fern, which is threatening diversity and the provisioning of ecosystem services. To find sustainable land use options adapted to the local situation, a profound knowledge of the long-term spatiotemporal patterns of land cover change and its drivers is necessary, but hitherto lacking. The complex topography and the high cloud frequency make the use of remote sensing in this area a challenge. To deal with these conditions, we pursued specific pre-processing steps before classifying five Landsat scenes from 1975 to 2001. Then, we quantified land cover changes and habitat fragmentation, and we investigated landscape changes in relation to key spatial elements (altitude, slope, and distance from roads). Good classification results were obtained with overall accuracies ranging from 94.5% to 98.5% and Kappa statistics between 0.75 and 0.98. Forest was strongly fragmented due to the rapid expansion of the arable frontier and the even more rapid invasion by bracken. Unexpectedly, more bracken-infested areas were converted to pastures than vice versa, a practice that could alleviate pressure on forests if promoted. Road proximity was the most important spatial element determining forest loss, while for bracken the altitudinal range conditioned the degree of invasion in deforested areas. The annual deforestation rate changed notably between periods: ~1.5% from 1975 to 1987, ~0.8% from 1987 to 2000, and finally a very high rate of ~7.5% between 2000 and 2001. We explained these inconstant rates through some specific interrelated local and national political and socioeconomic drivers, namely land use policies, credit and tenure incentives, demography, and in particular, a severe national economic and bank crisis.</t>
  </si>
  <si>
    <t>[Fernandez, Giulia F. Curatola; Obermeier, Wolfgang A.; Lehnert, Lukas W.; Thies, Boris; Bendix, Joerg] Univ Marburg, Fac Geog, Lab Climatol &amp; Remote Sensing, D-35032 Marburg, Germany; [Gerique, Andres] Univ Erlangen Nurnberg, Inst Geog, D-91058 Erlangen, Germany; [Lopez Sandoval, Maria Fernanda] Latin Amer Fac Social Sci FLASCO Ecuador, Dept Dev Environm &amp; Terr, Quito 170516, Ecuador</t>
  </si>
  <si>
    <t>Philipps University Marburg; University of Erlangen Nuremberg; FLACSO Ecuador</t>
  </si>
  <si>
    <t>Fernández, GFC (corresponding author), Univ Marburg, Fac Geog, Lab Climatol &amp; Remote Sensing, Deutschhausstr 12, D-35032 Marburg, Germany.</t>
  </si>
  <si>
    <t>gcuratola@pucp.edu.pe; wolfgang.obermeier@geo.uni-marburg.de; andres.gerique-zipfel@fau.de; maflopez@flacso.edu.ec; lukas.lehnert@staff.uni-marburg.de; thies@staff.uni-marburg.de; bendix@mailer.uni-marburg.de</t>
  </si>
  <si>
    <t>Curatola Fernández, Giulia Floriana/IWU-9968-2023; Obermeier, Wolfgang/AFP-8492-2022; Lehnert, Lukas/D-9376-2013; Lopez-Sandoval, Maria/MVU-5619-2025</t>
  </si>
  <si>
    <t>Curatola Fernández, Giulia Floriana/0000-0002-6874-3383; Lehnert, Lukas/0000-0002-5229-2282; Obermeier, Wolfgang/0000-0002-7094-8011; Gerique, Anes/0000-0001-5869-2810; Lopez-Sandoval, Maria/0000-0002-3234-4276</t>
  </si>
  <si>
    <t>10.3390/rs70302509</t>
  </si>
  <si>
    <t>CH0BZ</t>
  </si>
  <si>
    <t>WOS:000353685200012</t>
  </si>
  <si>
    <t>Zhang, QQ; Zhang, TZ</t>
  </si>
  <si>
    <t>Zhang, Qiuqin; Zhang, Tianzhu</t>
  </si>
  <si>
    <t>Land Consolidation Design Based on an Evaluation of Ecological Sensitivity</t>
  </si>
  <si>
    <t>ecological sensitivity; ecological sensitivity evaluation; land consolidation; ecological value; Guanling</t>
  </si>
  <si>
    <t>SCALE; PATTERNS; INDEXES; POLICY; CHINA</t>
  </si>
  <si>
    <t>Land consolidation engineering inevitably interferes with terrestrial ecosystems, leading to natural capital loss. Therefore, conducting an ecological sensitivity evaluation of a project area before consolidation engineering is very important for reducing unnecessary human interference. Conservation of terrestrial ecosystems and the biodiversity therein to the greatest possible extent is urgently needed. This research analyzes the interference by human activities caused by land consolidation engineering in terrestrial ecosystems. GIS technology, ecological values, landscape pattern indexes, and an ecological risk evaluation were used to construct an ecological sensitivity evaluation index. The coefficient of variation method and a comprehensive sensitivity rating evaluation were used to calculate the weights and results. The project area was divided into sensitivity zones according to the results, and the results and suggestions are as follows: In the highly eco-sensitive zone, where bare rocks, gravel, and grass-covered areas compose the main landscape type, vegetation should be restored, and forests should be planted. In the medium eco-sensitivity zone, where irrigated paddy fields and arid land compose the main landscape type, land parcels should be merged, and agricultural infrastructure should be constructed or improved. In the low eco-sensitivity zone, where forests compose the main landscape type, roads should be closed, natural habitat should be restored, and buffer zones should be created. This study provides suggestions for future land management decisions.</t>
  </si>
  <si>
    <t>[Zhang, Qiuqin] Beijing City Univ, Beijing 100083, Peoples R China; [Zhang, Qiuqin; Zhang, Tianzhu] Tsinghua Univ, Sch Environm, Beijing 100084, Peoples R China</t>
  </si>
  <si>
    <t>Tsinghua University</t>
  </si>
  <si>
    <t>Zhang, QQ (corresponding author), Beijing City Univ, Beijing 100083, Peoples R China.;Zhang, QQ (corresponding author), Tsinghua Univ, Sch Environm, Beijing 100084, Peoples R China.</t>
  </si>
  <si>
    <t>zhangqiuqin2002@ruc.edu.cn; zhangtz@mail.tsinghua.edu.cn</t>
  </si>
  <si>
    <t>Key RAMP;D programs from the Ministry of science and technology of China Urban agglomeration metabolism modeling and ecological risk prediction and early warning technology [2016YFC0502802]</t>
  </si>
  <si>
    <t>Key RAMP;D programs from the Ministry of science and technology of China Urban agglomeration metabolism modeling and ecological risk prediction and early warning technology</t>
  </si>
  <si>
    <t>This research was funded by [Key R&amp;D programs from the Ministry of science and technology of China Urban agglomeration metabolism modeling and ecological risk prediction and early warning technology] grant number [(2016YFC0502802)].</t>
  </si>
  <si>
    <t>10.3390/su10103736</t>
  </si>
  <si>
    <t>GY4UB</t>
  </si>
  <si>
    <t>WOS:000448559400378</t>
  </si>
  <si>
    <t>Riskas, KA; Fuentes, MMPB; Hamann, M</t>
  </si>
  <si>
    <t>Riskas, Kimberly A.; Fuentes, Mariana M. P. B.; Hamann, Mark</t>
  </si>
  <si>
    <t>Bycatch; Marine megafauna; Cumulative impact; Commercial fisheries; Australia</t>
  </si>
  <si>
    <t>OLIVE RIDLEY TURTLE; SEA-TURTLE; LEPIDOCHELYS-OLIVACEA; LONGLINE FISHERY; USA FISHERIES; POPULATION; IMPACT; CONSERVATION; MORTALITY</t>
  </si>
  <si>
    <t>Bycatch of non-target species in commercial fisheries is a major source of anthropogenic injury and mortality for marine megafauna, including marine turtles. Their long life histories and large-scale habitat use increase the risk of interaction with multiple fleets and gear types, with consequences for population decline or collapse. However, assessment of bycatch species rarely extends beyond a single-fishery management approach, without considering the impacts of additional bycatch incurred in other fisheries. To demonstrate the need for cross-jurisdictional assessment of turtle bycatch, we evaluate the cumulative patterns of turtle bycatch in Australian commercial fisheries. We sourced logbook bycatch records from multiple fisheries in three separate management jurisdictions over the period 2000-2013. The highest bycatch per unit effort values were reported in pelagic gillnets, otter trawls and pelagic longlines. Spatial analysis revealed a bycatch 'hotspot' in the Gulf of Carpentaria, where commercial fisheries impact multiple turtle species and genetic stocks. Our results illustrate the need to set cumulative bycatch quotas for marine turtles, and to evaluate turtle bycatch at the population level instead of separately within individual fisheries. We stress the need for timely collaboration between management agencies in order to implement effective, biologically relevant management strategies for marine turtles and other vulnerable taxa. (C) 2016 Elsevier Ltd. All rights reserved.</t>
  </si>
  <si>
    <t>[Riskas, Kimberly A.; Fuentes, Mariana M. P. B.; Hamann, Mark] James Cook Univ, Coll Marine &amp; Environm Sci, Townsville, Qld 4811, Australia; [Fuentes, Mariana M. P. B.] Florida State Univ, Dept Earth Ocean &amp; Atmospher Sci, Tallahassee, FL 32306 USA</t>
  </si>
  <si>
    <t>James Cook University; State University System of Florida; Florida State University</t>
  </si>
  <si>
    <t>Riskas, KA (corresponding author), James Cook Univ, Coll Marine &amp; Environm Sci, Townsville, Qld 4811, Australia.</t>
  </si>
  <si>
    <t>kimberly.riskas@my.jcu.edu.au</t>
  </si>
  <si>
    <t>Hamann, Mark/ABG-5857-2020; Fuentes, Mariana/A-3700-2013</t>
  </si>
  <si>
    <t>Hamann, Mark/0000-0003-4588-7955; Riskas, Kimberly Anne/0000-0002-8204-4191; Fuentes, Mariana/0000-0002-2789-824X</t>
  </si>
  <si>
    <t>10.1016/j.biocon.2016.02.001</t>
  </si>
  <si>
    <t>WOS:000375365300006</t>
  </si>
  <si>
    <t>McCauley, LA; Jenkins, DG; Quintana-Ascencio, PF</t>
  </si>
  <si>
    <t>McCauley, Lisa A.; Jenkins, David G.; Quintana-Ascencio, Pedro F.</t>
  </si>
  <si>
    <t>Isolated Wetland Loss and Degradation Over Two Decades in an Increasingly Urbanized Landscape</t>
  </si>
  <si>
    <t>WETLANDS</t>
  </si>
  <si>
    <t>Cypress dome; Florida; Fragmentation; Habitat loss; Southeastern US; Urbanization</t>
  </si>
  <si>
    <t>DEPRESSIONAL WETLANDS; GENETIC DIVERSITY; BIODIVERSITY; TAXODIUM; SIZE</t>
  </si>
  <si>
    <t>Urbanization is a leading cause of species loss in the United States because of habitat destruction and fragmentation. Wetlands can be affected by urbanization and the condition of wetlands can be compared across land use categories. Cypress domes are isolated wetlands dominated by cypress (Taxodium distichum) and often remain in urban areas. The purpose of this study was to quantify the effects of urbanization on cypress dome number, size and spatial pattern through two decades of rapid urbanization in Orlando, Florida, a large city in the southeastern US. Over 3,000 cypress domes, in a region typical of urban growth in the cypress range, were identified in images from 1984. Over a 20-year period, 26 % were destroyed or degraded (i.e., no longer cypress-dominated) and almost half in managed forests were degraded, destroyed, or became surrounded by urban or agricultural land uses. The smallest and largest cypress domes were lost, leaving only medium-sized wetlands and decreasing landscape-level diversity. Despite the fact that these wetlands are common and partially protected by legislation, cypress in isolated wetlands may be at risk from urbanization.</t>
  </si>
  <si>
    <t>[McCauley, Lisa A.; Jenkins, David G.; Quintana-Ascencio, Pedro F.] Univ Cent Florida, Dept Biol, Orlando, FL 32816 USA</t>
  </si>
  <si>
    <t>State University System of Florida; University of Central Florida</t>
  </si>
  <si>
    <t>McCauley, LA (corresponding author), S Dakota State Univ, US Geol Survey, No Prairie Wildlife Res Ctr, 8711 37th St SE, Jamestown, ND 58401 USA.</t>
  </si>
  <si>
    <t>lmccauley@usgs.gov</t>
  </si>
  <si>
    <t>Quintana-Ascencio, Pedro/F-7263-2013</t>
  </si>
  <si>
    <t>Jenkins, David/0000-0002-0363-2260</t>
  </si>
  <si>
    <t>Florida Native Plant Society Endowment Research Grant</t>
  </si>
  <si>
    <t>We thank K. A. Medley for reviewing this manuscript and K.C. Ewel for advice and support. We would like to thank anonymous reviewers for their assistance and advice while reviewing this manuscript. This project was partially funded by the Florida Native Plant Society Endowment Research Grant. We thank the Ying Family Foundation for their continuing support.</t>
  </si>
  <si>
    <t>0277-5212</t>
  </si>
  <si>
    <t>1943-6246</t>
  </si>
  <si>
    <t>10.1007/s13157-012-0357-x</t>
  </si>
  <si>
    <t>086ZF</t>
  </si>
  <si>
    <t>WOS:000314728600009</t>
  </si>
  <si>
    <t>Asner, GP; Knapp, DE; Kennedy-Bowdoin, T; Jones, MO; Martin, RE; Boardman, J; Hughes, RF</t>
  </si>
  <si>
    <t>Asner, Gregory P.; Knapp, David E.; Kennedy-Bowdoin, Ty; Jones, Matthew O.; Martin, Roberta E.; Boardman, Joseph; Hughes, R. Flint</t>
  </si>
  <si>
    <t>airborne visible and infrared imaging spectrometer; AVIRIS; carnegie airborne observatory; CAO; Hawaii; invasive species; light detection and ranging; tropical forest</t>
  </si>
  <si>
    <t>BIOLOGICAL INVASION; MYRICA-FAYA; ISLANDS; FIRE; LEAF; SOIL</t>
  </si>
  <si>
    <t>Remote sensing of invasive species is a critical component of conservation and management efforts, but reliable methods for the detection of invaders have not been widely established. In Hawaiian forests, we recently found that invasive trees often have hyperspectral signatures unique from that of native trees, but mapping based on spectral reflectance properties alone is confounded by issues of canopy senescence and mortality, intra- and inter-canopy gaps and shadowing, and terrain variability. We deployed a new hybrid airborne system combining the Carnegie Airborne Observatory (CAO) small-footprint light detection and ranging (LiDAR) system with the Airborne Visible and Infrared Imaging Spectrometer (AVIRIS) to map the three-dimensional spectral and structural properties of Hawaiian forests. The CAO-AVIRIS systems and data were fully integrated using in-flight and post-flight fusion techniques, facilitating an analysis of forest canopy properties to determine the presence and abundance of three highly invasive tree species in Hawaiian rainforests. The LiDAR sub-system was used to model forest canopy height and top-of-canopy surfaces; these structural data allowed for automated masking of forest gaps, intra- and inter-canopy shadows, and minimum vegetation height in the AVIRIS images. The remaining sunlit canopy spectra were analyzed using spatially-constrained spectral mixture analysis. The results of the combined LiDAR-spectroscopic analysis highlighted the location and fractional abundance of each invasive tree species throughout the rainforest sites. Field validation studies demonstrated &lt;6.8% and &lt;18.6% error rates in the detection of invasive tree species at similar to 7 m(2) and similar to 2 m(2) minimum canopy cover thresholds. Our results show that full integration of imaging spectroscopy and LiDAR measurements provides enormous flexibility and analytical potential for studies of terrestrial ecosystems and the species contained within them. (C) 2008 Elsevier Inc. All rights reserved.</t>
  </si>
  <si>
    <t>[Asner, Gregory P.; Knapp, David E.; Kennedy-Bowdoin, Ty; Jones, Matthew O.; Martin, Roberta E.] Carnegie Inst, Dept Global Ecol, Stanford, CA 94305 USA; [Boardman, Joseph] Analyt Imaging &amp; Geophys LLC, Boulder, CO 80302 USA; [Hughes, R. Flint] US Forest Serv, USDA, Inst Pacific Isl Forestry, Hilo, HI 96720 USA</t>
  </si>
  <si>
    <t>Carnegie Institution for Science; United States Department of Agriculture (USDA); United States Forest Service</t>
  </si>
  <si>
    <t>Asner, GP (corresponding author), Carnegie Inst, Dept Global Ecol, 260 Panama St, Stanford, CA 94305 USA.</t>
  </si>
  <si>
    <t>gpa@stanford.edu</t>
  </si>
  <si>
    <t>Asner, Gregory/G-9268-2013; Martin, Roberta/A-5073-2015</t>
  </si>
  <si>
    <t>Asner, Gregory/0000-0001-7893-6421; Martin, Roberta/0000-0003-3509-8530</t>
  </si>
  <si>
    <t>10.1016/j.rse.2007.11.016</t>
  </si>
  <si>
    <t>293YG</t>
  </si>
  <si>
    <t>WOS:000255370700004</t>
  </si>
  <si>
    <t>Moody, KN; Gagne, RB; Heim-Ballew, H; Alda, F; Hain, EF; Lisi, PJ; Walter, RP; Higashi, GR; Hogan, JD; Mcintyre, PB; Gilliam, JF; Blum, MJ</t>
  </si>
  <si>
    <t>Moody, Kristine N.; Gagne, Roderick B.; Heim-Ballew, Heidi; Alda, Fernando; Hain, Ernie F.; Lisi, Peter J.; Walter, Ryan P.; Higashi, Glenn R.; Hogan, J. Derek; Mcintyre, Peter B.; Gilliam, James F.; Blum, Michael J.</t>
  </si>
  <si>
    <t>CYBIUM</t>
  </si>
  <si>
    <t>Non-native species introductions; Urbanization; Native species loss; Oceanic islands</t>
  </si>
  <si>
    <t>BIOLOGICAL INVASIONS; SPECIES-DIVERSITY; CLIMATE-CHANGE; FISH INVASIONS; HOT-SPOTS; LAND-USE; BIODIVERSITY; EXTINCTION; COMMUNITIES; ISLANDS</t>
  </si>
  <si>
    <t>Species introductions are a widely recognized threat to global freshwater biodiversity. The proliferation of non-native species can result in the loss of native species through direct and indirect interactions with predators, competitors, pathogens and parasites. Thus identifying invasion hotspots and understanding the capacity of vulnerable ecosystems to absorb new invasions is fundamental to conserving native biodiversity and preventing further introductions. Here, we assess whether endemic biodiversity, land-use and human population density predict the location of invasion hotspots and ecological saturation in streams across the Hawaiian archipelago. We found that non-native fishes, mollusks, crustaceans, and insects are prevalent in Hawaiian streams across the archipelago, whereas the distributions of native species appear to be constrained by urbanization and habitat alteration. We detected a strong link between invasion hotspots and human population densities, and we found a positive relationship between the number of non-native species and native species present in watersheds, suggesting that Hawaiian streams are not ecologically saturated. Though native species richness explained more than half of the variance in non-native mollusks and crustaceans, it explained a low proportion of the variance in non-native fish and insect richness, indicating that a compilation of factors influence total non-native species richness in Hawaiian streams. Our findings reveal that Hawaiian streams remain vulnerable to further species introductions, and that conservation of endemic Hawaiian stream fauna can be improved by addressing interactions between introductions and degradation that can arise from human habitation.</t>
  </si>
  <si>
    <t>[Moody, Kristine N.; Blum, Michael J.] Tulane Univ, ByWater Inst, New Orleans, LA 70118 USA; [Gagne, Roderick B.] Univ Wyoming, Dept Vet Sci, Wildlife Genom &amp; Dis Ecol Lab, Laramie, WY 82070 USA; [Heim-Ballew, Heidi; Hogan, J. Derek] Texas A&amp;M Univ, Dept Life Sci, 6300 Ocean Dr, Corpus Christi, TX 78412 USA; [Alda, Fernando] Louisiana State Univ, Dept Biol Sci, Museum Nat Sci, Baton Rouge, LA 70803 USA; [Hain, Ernie F.] North Carolina State Univ, Ctr Geospatial Analyt, Raleigh, NC 27695 USA; [Lisi, Peter J.; Mcintyre, Peter B.] Univ Wisconsin, Ctr Limnol, 680 N Pk St, Madison, WI 53706 USA; [Walter, Ryan P.] Calif State Univ Fullerton, Dept Biol Sci, Fullerton, CA 92834 USA; [Higashi, Glenn R.] Dept Land &amp; Nat Resources, Div Aquat Resources, Honolulu, HI 96813 USA; [Gilliam, James F.] North Carolina State Univ, Dept Biol, Raleigh, NC 27695 USA; [Blum, Michael J.] Tulane Univ, Dept Ecol &amp; Evolutionary Biol, New Orleans, LA 70118 USA</t>
  </si>
  <si>
    <t>Tulane University; University of Wyoming; Texas A&amp;M University System; Louisiana State University System; Louisiana State University; North Carolina State University; University of Wisconsin System; University of Wisconsin Madison; California State University System; California State University Fullerton; North Carolina State University; Tulane University</t>
  </si>
  <si>
    <t>Moody, KN (corresponding author), Tulane Univ, ByWater Inst, New Orleans, LA 70118 USA.</t>
  </si>
  <si>
    <t>kmoody3@tulane.edu; rgagne@uwyo.edu; hballew@islander.tamucc.edu; fernandoalda@lsu.edu; ernie_hain@ncsu.edu; pjlisi@wisc.edu; rwalter@exchange.fullerton.edu; Glenn.R.Higashi@hawaii.gov; jfgzo@ncsu.edu; pmcintyre@wisc.edu; james.hogan@tamucc.edu; mjblum@tulane.edu</t>
  </si>
  <si>
    <t>Gilliam, James/D-5605-2013; Moody, Kristine/AAB-3913-2019; Alda, Fernando/LFT-8748-2024</t>
  </si>
  <si>
    <t>Gagne, Roderick/0000-0002-4901-5081; McIntyre, Peter/0000-0003-1809-7552; Alda, Fernando/0000-0002-6858-9566</t>
  </si>
  <si>
    <t>US Department of Defense Strategic Environmental Research and Development Program (SERDP) [RC-1646, RC-2447]</t>
  </si>
  <si>
    <t>US Department of Defense Strategic Environmental Research and Development Program (SERDP)(United States Department of Defense)</t>
  </si>
  <si>
    <t>This work was funded by the US Department of Defense Strategic Environmental Research and Development Program (SERDP) as part of projects RC-1646 and RC-2447.</t>
  </si>
  <si>
    <t>SOC FRANCAISE D ICHTYOLOGIE</t>
  </si>
  <si>
    <t>PARIS</t>
  </si>
  <si>
    <t>MUSEUM NATL D HISTOIRE NATURELLE, 43 RUE CUVIER, 75231 PARIS, FRANCE</t>
  </si>
  <si>
    <t>0399-0974</t>
  </si>
  <si>
    <t>2101-0315</t>
  </si>
  <si>
    <t>EZ9QH</t>
  </si>
  <si>
    <t>WOS:000405064400006</t>
  </si>
  <si>
    <t>Bangs, MR; Oswald, KJ; Greig, TW; Leitner, JK; Rankin, DM; Quattro, JM</t>
  </si>
  <si>
    <t>Bangs, Max R.; Oswald, Kenneth J.; Greig, Thomas W.; Leitner, Jean K.; Rankin, Daniel M.; Quattro, Joseph M.</t>
  </si>
  <si>
    <t>CONSERVATION GENETICS</t>
  </si>
  <si>
    <t>Hybridization; Introgression; Micropterus; Savannah River; Invasive species</t>
  </si>
  <si>
    <t>SPOTTED BASS; REDEYE BASS; SOFTWARE PACKAGE; FISHES TELEOSTEI; SMALLMOUTH BASS; BLACK BASS; HOMOGENIZATION; CONSERVATION; POPULATION; MARKERS</t>
  </si>
  <si>
    <t>Invasive species threaten native taxa with extirpation and extinction via several biological mechanisms. One such mechanism, hybridization and subsequent introgression of invasive alleles into native genomes is a serious concern, especially for taxa displaying weak reproductive barriers, as is the case for black basses. Black basses introduced outside of their native ranges thus pose elevated threats to endemic congeners, particularly in the southern United States where restricted ranges preclude refuge from introgression. The recently delineated Bartram's bass (M. sp. cf M. coosae) is endemic to the upper regions of the Savannah River basin, throughout which anthropogenic modification, including impoundment, has been extensive. Non-native Alabama bass (M. henshalli) and smallmouth bass (M. dolomieu) have been introduced into this system on multiple occasions and now threaten Bartram's bass via introgression. In this study we sampled four reservoirs (Jocassee, Keowee, Hartwell, and Russell) in the upper Savannah River during 2004 and 2010. Results from three codominant nuclear loci and one mitochondrial locus revealed extensive introgression between Alabama and Bartram's bass. Results show that Alabama bass have replaced Bartram's bass in lakes Keowee and Russell, where they were first introduced, while the frequencies of hybrids in lakes Jocassee and Hartwell are increasing. Hybridization involving Bartram's bass with native largemouth bass and introduced smallmouth bass was detected in very low frequencies. Results highlight the importance of continual study over geographic and temporal scales to inform management and conservation of rare fishes threatened with extinction via interspecific hybridization.</t>
  </si>
  <si>
    <t>[Bangs, Max R.; Quattro, Joseph M.] Univ South Carolina, Dept Biol Sci, Marine Sci Program, Columbia, SC 29208 USA; [Oswald, Kenneth J.] Ohio Northern Univ, Dept Biol &amp; Allied Hlth Sci, Ada, OH 45810 USA; [Greig, Thomas W.] Ctr Coastal Environm Hlth &amp; Biomol Res Charleston, Charleston, SC 29412 USA; [Leitner, Jean K.] South Carolina Dept Nat Resources, Freshwater Fisheries Res, Eastover, SC 29044 USA; [Rankin, Daniel M.] South Carolina Dept Nat Resources, Freshwater Fisheries Reg 1, Pendleton, SC 29670 USA; [Bangs, Max R.] Auburn Univ, Sch Fisheries Aquaculture &amp; Aquat Sci, Auburn, AL 36849 USA; [Bangs, Max R.] Univ Arkansas, Dept Biol Sci, Fayetteville, AR 72701 USA</t>
  </si>
  <si>
    <t>University of South Carolina System; University of South Carolina Columbia; University System of Ohio; Ohio Northern University; Auburn University System; Auburn University; University of Arkansas System; University of Arkansas Fayetteville</t>
  </si>
  <si>
    <t>Bangs, MR (corresponding author), Univ South Carolina, Dept Biol Sci, Marine Sci Program, Columbia, SC 29208 USA.;Bangs, MR (corresponding author), Auburn Univ, Sch Fisheries Aquaculture &amp; Aquat Sci, Auburn, AL 36849 USA.;Bangs, MR (corresponding author), Univ Arkansas, Dept Biol Sci, Fayetteville, AR 72701 USA.</t>
  </si>
  <si>
    <t>maxbangs@gmail.com</t>
  </si>
  <si>
    <t>Bangs, Max/0000-0002-9506-2815</t>
  </si>
  <si>
    <t>1566-0621</t>
  </si>
  <si>
    <t>1572-9737</t>
  </si>
  <si>
    <t>CONSERV GENET</t>
  </si>
  <si>
    <t>Conserv. Genet.</t>
  </si>
  <si>
    <t>10.1007/s10592-017-1018-7</t>
  </si>
  <si>
    <t>Biodiversity Conservation; Genetics &amp; Heredity</t>
  </si>
  <si>
    <t>Biodiversity &amp; Conservation; Genetics &amp; Heredity</t>
  </si>
  <si>
    <t>FT1ZT</t>
  </si>
  <si>
    <t>WOS:000422938300005</t>
  </si>
  <si>
    <t>Hernout, BV; Gibson, LJ; Walmsley, AJ; Arnold, KE</t>
  </si>
  <si>
    <t>Hernout, Beatrice, V; Gibson, Louise J.; Walmsley, Adam J.; Arnold, Kathryn E.</t>
  </si>
  <si>
    <t>Avian populations; Trace-metal toxicity risk; Invertebrate prey; GIS modelling framework; Environmental risk assessment</t>
  </si>
  <si>
    <t>FLYCATCHERS FICEDULA-HYPOLEUCA; GREAT TIT NESTLINGS; LIFE LEAD-EXPOSURE; OXIDATIVE STRESS; PARUS-MAJOR; HEAVY-METALS; BIRDS; TOXICITY; POLLUTION; ACCUMULATION</t>
  </si>
  <si>
    <t>Many wild animals can be adversely affected by trace metals around point sources but little is known about the risks to birds across their ranges. Trace metals in the soil are ubiquitously, if heterogeneously distributed, across the world due to natural and anthropogenic sources. Here, we built, parameterized and applied a spatially explicit modelling framework to determine the risks of soil-associated metals to 30 invertebrate-consuming passerine species across their spatial distribution in England and Wales. The model uses a risk characterization approach to assess the risks of soil-associated metals. Various monitoring datasets were used as input parameters: soil metal concentrations in England and Wales, bird spatial distribution; bird diet, bioaccumulation and toxicity data were extracted from the literature. Our model highlights significant differences in toxicity risks from Cd, Cu. Pb and Zn across the UK distributions of different species: Pb and Zn posed risks to all species across most of species' distributions, with more localised risks to some species of conservation concern from Cd and Cu. No single taxa of invertebrate prey drove avian exposure to metal toxicity. Adults were found to be at higher risk from Pb and Zn toxicity across their distributions than nestlings. This risk was partially driven by diet, with age differences in diets identified. Our spatially explicit model allowed us to identify areas of each species' national distribution in which the population was at risk. Overall, we determined that for all species studied an average of 32.7 +/- 02%, 8.0 +/- 0.1%, 86.1 +/- 0.1% and 93.2 +/- 0.1% of the songbird spatial distributions in the UK were characterized at risk of Cd, Cu, Pb and Zn, respectively. Despite some limitations, our spatially explicit model helps in understanding the risks of metals to wildlife and provides an efficient method of prioritising areas, contaminants and species for environmental risk assessments. The model could be further evaluated using a targeted monitoring dataset of metal concentration in bird tissues. Our model can assess and communicate to stakeholders the potential risks of environmental contaminants to wildlife species at a national and potentially international scale. (C) 2018 Elsevier B.V. All rights reserved.</t>
  </si>
  <si>
    <t>[Hernout, Beatrice, V; Gibson, Louise J.; Walmsley, Adam J.; Arnold, Kathryn E.] Univ York, Environm Dept, York YO10 5NG, N Yorkshire, England; [Hernout, Beatrice, V] Dept Marine Biol, Texas A&amp;M Galveston Campus,1001 Texas Clipper Rd, Galveston, TX 77554 USA; [Walmsley, Adam J.] Ribble Rivers Trust, Clitheroe, Lancs, England</t>
  </si>
  <si>
    <t>University of York - UK</t>
  </si>
  <si>
    <t>Arnold, KE (corresponding author), Univ York, Environm Dept, York YO10 5NG, N Yorkshire, England.</t>
  </si>
  <si>
    <t>Kathryn.Arnold@york.ac.uk</t>
  </si>
  <si>
    <t>Hernout, Beatrice/AAG-6196-2020; Arnold, Kathryn/F-8683-2016</t>
  </si>
  <si>
    <t>Arnold, Kathryn/0000-0002-6485-6065</t>
  </si>
  <si>
    <t>Royal Society University; University of York; European Union [PITN-GA-2009-238148]</t>
  </si>
  <si>
    <t>Royal Society University(Royal Society UK); University of York; European Union(European Union (EU))</t>
  </si>
  <si>
    <t>Thank you to the National Soil Resources Institute, UK, for providing data on soil metal concentrations in England and Wales and Peter Lack from the British Trust for Ornithology for providing the avian distribution data. KEA was funded by a Royal Society University Research Fellowship and University of York. BVH was funded by the European Union under the 7th Framework Programme (project acronym CREAM, contract number PITN-GA-2009-238148).</t>
  </si>
  <si>
    <t>10.1016/j.scitotenv.2018.05.390</t>
  </si>
  <si>
    <t>GN8JE</t>
  </si>
  <si>
    <t>WOS:000439405600068</t>
  </si>
  <si>
    <t>Burdett, CL; Crooks, KR; Theobald, DM; Wilson, KR; Boydston, EE; Lyren, LM; Fisher, RN; Vickers, TW; Morrison, SA; Boyce, WM</t>
  </si>
  <si>
    <t>Burdett, Christopher L.; Crooks, Kevin R.; Theobald, David M.; Wilson, Kenneth R.; Boydston, Erin E.; Lyren, Lisa M.; Fisher, Robert N.; Vickers, T. Winston; Morrison, Scott A.; Boyce, Walter M.</t>
  </si>
  <si>
    <t>California; carnivore; exurban; generalized-linear-mixed model; habitat loss; human development; human-wildlife conflict; Puma concolor</t>
  </si>
  <si>
    <t>RESOURCE SELECTION; PROTECTED AREAS; MOUNTAIN LION; SPACE-USE; UNITED-STATES; HOME-RANGE; CONSERVATION; LAND; POPULATIONS; EXTINCTION</t>
  </si>
  <si>
    <t>The impact of human land uses on ecological systems typically differ relative to how extensively natural conditions are modified. Exurban development is intermediate-intensity residential development that often occurs in natural landscapes. Most species-habitat models do not evaluate the effects of such intermediate levels of human development and even fewer predict how future development patterns might affect the amount and configuration of habitat. We addressed these deficiencies by interfacing a habitat model with a spatially-explicit housing-density model to study the effect of human land uses on the habitat of pumas (Puma concolor) in southern California. We studied the response of pumas to natural and anthropogenic features within their home ranges and how mortality risk varied across a gradient of human development. We also used our housing-density model to estimate past and future housing densities and model the distribution of puma habitat in 1970, 2000, and 2030. The natural landscape for pumas in our study area consisted of riparian areas, oak woodlands, and open, conifer forests embedded in a chaparral matrix. Pumas rarely incorporated suburban or urban development into their home ranges, which is consistent with the hypothesis that the behavioral decisions of individuals can be collectively manifested as population-limiting factors at broader spatial scales. Pumas incorporated rural and exurban development into their home ranges, apparently perceiving these areas as modified, rather than non-habitat. Overall, pumas used exurban areas less than expected and showed a neutral response to rural areas. However, individual pumas that selected for or showed a neutral response to exurban areas had a higher risk of mortality than pumas that selected against exurban habitat. Exurban areas are likely hotspots for puma-human conflict in southern California. Approximately 10% of our study area will transform from exurban, rural, or undeveloped areas to suburban or urban by 2030, and 35% of suitable puma habitat on private land in 1970 will have been lost by 2030. These land-use changes will further isolate puma populations in southern California, but the ability to visualize these changes had provided a new tool for developing proactive conservation solutions.</t>
  </si>
  <si>
    <t>[Burdett, Christopher L.; Crooks, Kevin R.; Wilson, Kenneth R.] Colorado State Univ, Dept Fish Wildlife &amp; Conservat Biol, Ft Collins, CO 80523 USA; [Theobald, David M.] Colorado State Univ, Dept Human Dimens Nat Resources, Ft Collins, CO 80523 USA; [Theobald, David M.] Colorado State Univ, Nat Resources Ecol Lab, Ft Collins, CO 80523 USA; [Boydston, Erin E.] US Geol Survey, Western Ecol Res Ctr, Thousand Oaks, CA 91360 USA; [Lyren, Lisa M.] US Geol Survey, Western Ecol Res Ctr, Carlsbad, CA 92011 USA; [Fisher, Robert N.] US Geol Survey, Western Ecol Res Ctr, San Diego, CA 92101 USA; [Vickers, T. Winston; Boyce, Walter M.] Univ Calif Davis, Wildlife Hlth Ctr, Davis, CA 95616 USA; [Morrison, Scott A.] Nature Conservancy, Calif Program, San Francisco, CA 94105 USA</t>
  </si>
  <si>
    <t>Colorado State University System; Colorado State University Fort Collins; Colorado State University System; Colorado State University Fort Collins; Colorado State University System; Colorado State University Fort Collins; United States Department of the Interior; United States Geological Survey; United States Department of the Interior; United States Geological Survey; United States Department of the Interior; United States Geological Survey; University of California System; University of California Davis; Nature Conservancy</t>
  </si>
  <si>
    <t>Burdett, CL (corresponding author), Colorado State Univ, Dept Fish Wildlife &amp; Conservat Biol, Ft Collins, CO 80523 USA.</t>
  </si>
  <si>
    <t>cburdett@warnercnr.colostate.edu</t>
  </si>
  <si>
    <t>Wilson, Kenneth/P-8692-2019; Fisher, Robert/AAA-7301-2022</t>
  </si>
  <si>
    <t>Summerlee Foundation; Nature Conservancy; Irvine Company; California Department of Parks and Recreation; California Department of Fish and Game</t>
  </si>
  <si>
    <t>This research was conducted with funding and support from the Summerlee Foundation, The Nature Conservancy, The Irvine Company, California Department of Parks and Recreation, and California Department of Fish and Game. We thank Trish Smith at The Nature Conservancy for her assistance with the field research, and the many technicians who conducted the field work, including Jim Bauer, Carole Bell, Gillian Geye, Sam Yamomoto, Stacie Hathaway, Ken Logan, Barry Martin, Blue Milsap, Mike Puzzo, Linda Sweanor, Greta Turschak, Cliff Wiley, Susan Winston, and Eric York. We especially recognize the legacy of Eric York, 1970-2007, who was an inspiration to felid researchers throughout the world. The use of trade, product, or firm names in this publication is for descriptive purposes only and does not imply endorsement by the U.S. Government.</t>
  </si>
  <si>
    <t>10.1890/ES10-00005.1</t>
  </si>
  <si>
    <t>V30IN</t>
  </si>
  <si>
    <t>WOS:000208809800004</t>
  </si>
  <si>
    <t>Lavorel, S; Rey, PL; Grigulis, K; Zawada, M; Byczek, C</t>
  </si>
  <si>
    <t>Lavorel, Sandra; Rey, Pierre-Louis; Grigulis, Karl; Zawada, Megane; Byczek, Coline</t>
  </si>
  <si>
    <t>Cultural ecosystem services; Iconic biodiversity; Physical and psychological experiences; Supporting identities; Nature protection; Seasonality; Ecosystem service maps</t>
  </si>
  <si>
    <t>CULTURAL ECOSYSTEM SERVICES; NATURE-BASED TOURISM; LANDSCAPE; MANAGEMENT; DISTRIBUTIONS; WILDLIFE; INSIGHTS</t>
  </si>
  <si>
    <t>Protected areas manage synergies and trade-offs associated with core missions of nature protection while supporting education, recreation and tourism. In this paper we demonstrate how spatial modelling co-produced with managers can support the assessment of interactions between two cultural services: outdoor recreation and iconic terrestrial vertebrates. In two French national parks (Ecrins and Vanoise) we showed clear seasonal differentiation in spatial patterns for potential iconic vertebrate diversity, recreation opportunities and their interactions. Our first hypothesis that limited access and mobility of recreationists during winter would increase potential wildlife refugia was largely validated for Ecrins. Our second hypothesis that lower but spatially diffuse pressure from recreationists in Ecrins would increase potential interference as compared to more intense but directed activity in Vanoise was consistent with patterns in summer. For winter the spatial concentration of recreation around ski resorts of Vanoise was highly impactful. Across both parks concerns about the expansion of winter activities are legitimate, especially for climate-sensitive species. We also showed the critical role of refuge areas in high valleys (summer) and lower slopes away from tracks (winter), highlighting threats from off-track practices. Beyond regulation our results will support dialogue with the public and professionals based on communication and education.</t>
  </si>
  <si>
    <t>[Lavorel, Sandra; Grigulis, Karl; Zawada, Megane; Byczek, Coline] Univ Savoie Mt Blanc, Lab Ecol Alpine, CNRS, Univ Grenoble Alpes, F-38000 Grenoble, France; [Rey, Pierre-Louis] Univ Lausanne, Dept Ecol &amp; Evolut, Lausanne, Switzerland; [Lavorel, Sandra] Manaaki Whenua Landcare Res, Lincoln, New Zealand</t>
  </si>
  <si>
    <t>Communaute Universite Grenoble Alpes; Universite Grenoble Alpes (UGA); Centre National de la Recherche Scientifique (CNRS); Universite Savoie Mont Blanc; University of Lausanne; Landcare Research - New Zealand</t>
  </si>
  <si>
    <t>Lavorel, S (corresponding author), Univ Savoie Mt Blanc, Lab Ecol Alpine, CNRS, Univ Grenoble Alpes, F-38000 Grenoble, France.;Lavorel, S (corresponding author), Manaaki Whenua Landcare Res, Lincoln, New Zealand.</t>
  </si>
  <si>
    <t>sandra.lavorel@univ-grenoble-alpes.fr</t>
  </si>
  <si>
    <t>Lavorel, Sandra/AGM-2903-2022; Rey, Pierre-Louis/HMV-5333-2023</t>
  </si>
  <si>
    <t>Rey, Pierre-Louis/0000-0002-8101-0627</t>
  </si>
  <si>
    <t>Ecrins and Vanoise National Parks</t>
  </si>
  <si>
    <t>This research was carried out as part of LTSER Zone Atelier Alpes and the Sentinelles des Alpes - Refuges Sentinelles Programme, with joint funding from the Ecrins and Vanoise National Parks. This publication contributes to ANR Investissements d'Avenir CDP Trajectories (ANR-15-IDEX-02). We thank Richard Bonet, Ludovic Imberty and Camille Montchicourt from PNE, Vincent Auge, Jerome Cavailhes, Justine Coulombier and Claire Lagaye from PNV and Julien Renaud at LECA for interactions and support during the development, implementation and interpretation of this work. We are indebted to skitour, vtt tour and camptocamp for sharing crowd-sourced data on outdoor recreation in the French Alps.</t>
  </si>
  <si>
    <t>10.1016/j.ecoser.2020.101155</t>
  </si>
  <si>
    <t>OH3JN</t>
  </si>
  <si>
    <t>WOS:000582464800008</t>
  </si>
  <si>
    <t>Brown, CJ; Saunders, MI; Possingham, HP; Richardson, AJ</t>
  </si>
  <si>
    <t>Brown, Christopher J.; Saunders, Megan I.; Possingham, Hugh P.; Richardson, Anthony J.</t>
  </si>
  <si>
    <t>biodiversity prioritization; Antagonistic threats; seagrass; ecosystem stress mapping; multiple stressors; synergistic threats; threat mapping</t>
  </si>
  <si>
    <t>CLIMATE-CHANGE; WATER-QUALITY; OCEAN ACIDIFICATION; SEAGRASS; RESILIENCE; HEALTH; LIGHT; RISK</t>
  </si>
  <si>
    <t>Aim Cumulative impact maps are used to identify the spatial distribution of multiple human impacts to species and ecosystems. Impacts can be caused by local stressors which can be managed, such as eutrophication, and by global stressors that cannot be managed, such as climate change. Cumulative impact maps typically assume that there are no interactive effects between stressors on biodiversity. However, the benefits of managing the ecosystem are affected by interactions between stressors. Our aim was to determine whether the assumption of no interactions in impact maps leads to incorrect identification of sites for management. Location General, Australasia. Methods We used the additive effects model to incorporate the effects of interactions into an interactive impact map. Seagrass meadows in Australasia threatened by a local stressor, nutrient inputs, and a global stressor, warming, were used as a case study. The reduction in the impact index was quantified for reductions in the nutrient stressor. We examined the outcomes for three scenarios: no interactions, antagonistic interactions or synergistic interactions. Results Cumulative impact maps imply that reducing a local stressor will give equivalent reductions in the impact index everywhere, regardless of spatial variability in a global stressor. We show that reductions in the impact index were greatest in refuges from warming if there was an antagonistic interaction between stressors, and greatest in areas of high warming stress if there was a synergistic interaction. Reducing the nutrient stressor in refuges from warming always reduced the impact index, regardless of the interaction. Main conclusions Interactions between local and global stressors should be considered when using cumulative impact maps to identify sites where management of a local stressor will provide the greatest impact reduction. If the interaction type is unknown, impact maps can be used to identify refuges from global stressors, as sites for management.</t>
  </si>
  <si>
    <t>[Brown, Christopher J.; Possingham, Hugh P.] Univ Queensland, Sch Biol Sci, St Lucia, Qld 4072, Australia; [Brown, Christopher J.; Saunders, Megan I.] Univ Queensland, Global Change Inst, St Lucia, Qld 4072, Australia; [Possingham, Hugh P.] Univ London Imperial Coll Sci Technol &amp; Med, Dept Life Sci, Ascot SL5 7PY, Berks, England; [Richardson, Anthony J.] Ecosci Precinct, Climate Adaptat Flagship, CSIRO Marine &amp; Atmospher Res, Dutton Park, Qld 4102, Australia; [Richardson, Anthony J.] Univ Queensland, Sch Math &amp; Phys, Ctr Applicat Nat Resource Math, St Lucia, Qld 4067, Australia</t>
  </si>
  <si>
    <t>University of Queensland; University of Queensland; Imperial College London; Commonwealth Scientific &amp; Industrial Research Organisation (CSIRO); University of Queensland</t>
  </si>
  <si>
    <t>Brown, CJ (corresponding author), Univ Queensland, Global Change Inst Bldg, St Lucia, Qld 4072, Australia.</t>
  </si>
  <si>
    <t>c.brown5@uq.edu.au</t>
  </si>
  <si>
    <t>Richardson, Anthony/B-3649-2010; Possingham, Hugh/B-1337-2008; Brown, Christopher/G-4287-2011; Saunders, Megan/I-7731-2012</t>
  </si>
  <si>
    <t>Richardson, Anthony/0000-0002-9289-7366; Possingham, Hugh/0000-0001-7755-996X; Brown, Christopher/0000-0002-7271-4091; Saunders, Megan/0000-0002-8549-5609</t>
  </si>
  <si>
    <t>Australian Research Council Centre of Excellence for Environmental Decisions; University of Queensland; ARC Super Science Postdoctoral Fellowship; ARC Future Fellowship [FT0991722]; ARC Discovery Grant [DP0879365]; Australian Research Council [DP0879365, FT0991722] Funding Source: Australian Research Council</t>
  </si>
  <si>
    <t>Australian Research Council Centre of Excellence for Environmental Decisions(Australian Research Council); University of Queensland(University of Queensland); ARC Super Science Postdoctoral Fellowship(Australian Research Council); ARC Future Fellowship(Australian Research Council); ARC Discovery Grant(Australian Research Council); Australian Research Council(Australian Research Council)</t>
  </si>
  <si>
    <t>C.J.B.'s contribution was supported by the Australian Research Council Centre of Excellence for Environmental Decisions and by a University of Queensland Postdoctoral Fellowship. M.I.S. was supported by an ARC Super Science Postdoctoral Fellowship. A.J.R. was supported by an ARC Future Fellowship FT0991722. This work forms part of the ARC Discovery Grant DP0879365. We thank G. Griffith for discussions and two anonymous referees for their helpful comments.</t>
  </si>
  <si>
    <t>10.1111/ddi.12159</t>
  </si>
  <si>
    <t>WOS:000333926300005</t>
  </si>
  <si>
    <t>Revuelta, O; Domènech, F; Fraija-Fernández, N; Gozalbes, P; Novillo, O; Penadés-Suay, J; Tomás, J</t>
  </si>
  <si>
    <t>Revuelta, O.; Domenech, F.; Fraija-Fernandez, N.; Gozalbes, P.; Novillo, O.; Penades-Suay, J.; Tomas, J.</t>
  </si>
  <si>
    <t>Artisanal fisheries; Bottlenose dolphin; Tursiops truncatus; Mediterranean Sea; Local Ecological Knowledge (LEK)</t>
  </si>
  <si>
    <t>INTERVIEW SURVEY; BYCATCH; ABUNDANCE; COAST; CONSERVATION; CETACEANS; KNOWLEDGE; SARDINIA; MONTAGU; WATERS</t>
  </si>
  <si>
    <t>Coastal waters of the Valencia region are important habitats for bottlenose dolphins, but also important fishing grounds for artisanal fisheries. No studies have been carried out here to investigate the overlap and interactions between the fishing grounds and dolphin habitat. The present study aims to assess the potential occurrence of interactions between artisanal fisheries and bottlenose dolphins in these waters. Face to face interviews were conducted to investigate for the first time artisanal fishermen's perceptions of their interactions with bottlenose dolphins. A total of 131 fishermen (40.1% of the artisanal fleet for the Valencia region) participated of research. Among the interviewed fishermen, 86.1% perceived that dolphins damaged fishing gear as they attempted to feed, and they also detected significant direct damage to fish. Of all fishermen reporting a negative interaction with bottlenose dolphins, 76.3% also reported financial loss (2907.1 +/- 2512.7 (sic)/year (100-12,000). Despite the high level of interaction with dolphins reported, fishermen do not consider bycatch to be an important threat for bottlenose dolphins. Our results show geographical differences in fishermen's perceptions of damage caused by dolphins: while dolphins were considered to be the second cause of economic loss in the southernmost ports, fishermen from the northern ports considered interaction with bottom trawl boats to be more harmful than interaction with dolphins. The more intense interaction reported by fishermen in fishing ports in the southern study area may be associated with higher presence of bottlenose dolphin in these zones. Our study provides a useful insight into fishermen's perceptions of interaction between bottlenose dolphins and artisanal fisheries in this key area for the species in the western Mediterranean Sea. It also highlights the need for future work including direct observations of interactions and damage to gather reliable data to assess the need for conservation measures.</t>
  </si>
  <si>
    <t>[Revuelta, O.; Domenech, F.; Fraija-Fernandez, N.; Gozalbes, P.; Novillo, O.; Penades-Suay, J.; Tomas, J.] Univ Valencia, Cavanilles Inst Biodivers &amp; Evolutionary Biol, Marine Zool Unit, Valencia 46980, Spain</t>
  </si>
  <si>
    <t>University of Valencia</t>
  </si>
  <si>
    <t>Revuelta, O (corresponding author), Univ Valencia, Cavanilles Inst Biodivers &amp; Evolutionary Biol, Marine Zool Unit, Valencia 46980, Spain.</t>
  </si>
  <si>
    <t>ohiana.revuelta@uv.es</t>
  </si>
  <si>
    <t>Novillo Sanjuan, Olga/NVL-9411-2025; Tomás, Jesús/AAA-4561-2019; Fraija-Fernández, Natalia/F-1031-2017</t>
  </si>
  <si>
    <t>Novillo Sanjuan, Olga/0000-0001-8348-5813; Tomás, Jesús/0000-0003-0120-7006; Fraija-Fernández, Natalia/0000-0001-6341-4276; Revuelta, Ohiana/0000-0002-1025-7040; Penadés-Suay, Jaime/0000-0002-5488-904X</t>
  </si>
  <si>
    <t>Asociacion Chelonia; U.S. Fish and Wildlife Service Division of International Conservation; Generalitat Valenciana [2015-018]; University of Valencia [UV-INV-PREDOC15-265927]</t>
  </si>
  <si>
    <t>Asociacion Chelonia; U.S. Fish and Wildlife Service Division of International Conservation; Generalitat Valenciana(Center for Forestry Research &amp; Experimentation (CIEF)); University of Valencia</t>
  </si>
  <si>
    <t>We would like to thank fishermen's associations and all fishermen who participated in interviews. We also thank the support of the Asociacion Chelonia (through their projects from Environment agencies of the Spanish Government, 2008-2011, and Program VolCAM of Caja de Ahorros del Mediterraneo), and the U.S. Fish and Wildlife Service Division of International Conservation. We also thank to the Dr. Daniel Gabaldon Estevan from the department of Sociology and Social Anthropology of the University of Valencia for his advice with interviews design. Especial thanks are given to Juan Eymar and the Conselleria d'Infrastructures, Territori i Medi Ambient of the Valencia region government (Generalitat Valenciana) for helping us in contacting with fishermen' associations). We thank the anonymous reviewers for their insightful comments and suggestions. JT is supported by project Prometeo II (2015-018) of the Generalitat Valenciana. FD is supported by a predoctoral grant UV-INV-PREDOC15-265927 of the University of Valencia. We are also grateful to the staff of the Marine Zoology Unit of the Cavanilles Research Institute of Biodiversity and Evolutionary Biology (University of Valencia). The authors declare no conflict of interest.</t>
  </si>
  <si>
    <t>NOV 1</t>
  </si>
  <si>
    <t>10.1016/j.ocecoaman.2018.08.001</t>
  </si>
  <si>
    <t>HA0JO</t>
  </si>
  <si>
    <t>WOS:000449894500012</t>
  </si>
  <si>
    <t>Marzolf, N; Golladay, S; McCormick, P; Covich, A; Wilde, S</t>
  </si>
  <si>
    <t>Marzolf, Nicholas; Golladay, Stephen; McCormick, Paul; Covich, Alan; Wilde, Susan</t>
  </si>
  <si>
    <t>HYDROBIOLOGIA</t>
  </si>
  <si>
    <t>Pomacea; Invasive species; Reservoir; Ecosystem function; Invasion wave</t>
  </si>
  <si>
    <t>FLINT RIVER-BASIN; POMACEA-PALUDOSA; P. MACULATA; FLORIDA; AMPULLARIIDAE; CANALICULATA; DEMOGRAPHY; IMPACTS; CONSUMPTION; APPLESNAILS</t>
  </si>
  <si>
    <t>The introduction and spread of non-native species represents a significant threat to freshwaters. Non-native Pomacea are a recent and detrimental gastropod invader, altering habitats, biodiversity, and ecological function. Despite large size, adult Pomacea spp. may be cryptic but their egg masses, which are species specific in color and size, appear useful in determining presence and spatial distribution within invaded areas. We used a combination of annual (2013-2016) and monthly (April 2016-March 2017) shoreline transect surveys to determine the distribution of Pomacea spp. egg masses, along with habitat and water quality data, in Lake Seminole, GA, USA. Surveys identified invasive P. maculata and native P. paludosa, and provided evidence for rapid dispersal of P. maculata. Egg masses of both species occupied a wide range of emergent surfaces across the lake. Physicochemical measures suggest elevated specific conductivity corresponds with Pomacea presence. Temperature correlated with monthly variation of egg mass; however, egg masses were observed at water temperatures of 11.3 A degrees C, below reported limits. Pomacea maculata dispersal throughout Lake Seminole is rapid, and shoreline classification and physicochemical conditions are influencing the on-going dispersal. Continued expansion of this invasive herbivore could have ecosystem-level consequences in Lake Seminole and other invaded waters across the southeast US.</t>
  </si>
  <si>
    <t>[Marzolf, Nicholas; Golladay, Stephen; McCormick, Paul] Joseph W Jones Ecol Res Ctr, Newton, GA 39870 USA; [Marzolf, Nicholas; Covich, Alan] Univ Georgia, Odum Sch Ecol, 140 E Green St, Athens, GA 30602 USA; [Wilde, Susan] Warnell Sch Forestry &amp; Nat Resources, 180 E Green St, Athens, GA 30602 USA</t>
  </si>
  <si>
    <t>University System of Georgia; University of Georgia</t>
  </si>
  <si>
    <t>Marzolf, N (corresponding author), Joseph W Jones Ecol Res Ctr, Newton, GA 39870 USA.</t>
  </si>
  <si>
    <t>nmarzolf91@gmail.com; sgollada@jonesctr.org; PMcCormick@mwdh2o.com; alanc@uga.edu; swilde@uga.edu</t>
  </si>
  <si>
    <t>; Marzolf, Nicholas/AAK-4821-2020</t>
  </si>
  <si>
    <t>Wilde, Susan/0000-0002-5388-9582; Marzolf, Nicholas/0000-0001-9146-1643</t>
  </si>
  <si>
    <t>Joseph W. Jones Ecological Research Center; Odum School of Ecology at the University of Georgia</t>
  </si>
  <si>
    <t>This study was funded by the Joseph W. Jones Ecological Research Center and the Odum School of Ecology at the University of Georgia. Brian Clayton was essential in field surveys. Many field technicians helped count egg masses on hot July days and their help was vital: Eric Conner, Chelsea Smith, Skylar McHenry, and Denzell Cross. Stephen Shivers was instrumental in starting and designing field surveys, and provided insight throughout the study. Jean Brock assisted in collecting spatial data. Chelsea Smith assisted with statistical approaches. Big Jim's Country Store provided essential field nutrition for researchers and respite from the lake. We appreciate the comments of anonymous reviewers and editorial staff for improving previous versions of this manuscript.</t>
  </si>
  <si>
    <t>0018-8158</t>
  </si>
  <si>
    <t>1573-5117</t>
  </si>
  <si>
    <t>10.1007/s10750-017-3475-x</t>
  </si>
  <si>
    <t>FY7YZ</t>
  </si>
  <si>
    <t>WOS:000427080900013</t>
  </si>
  <si>
    <t>Luizza, MW; Evangelista, PH; Jarnevich, CS; West, A; Stewart, H</t>
  </si>
  <si>
    <t>Luizza, Matthew W.; Evangelista, Paul H.; Jarnevich, Catherine S.; West, Amanda; Stewart, Heather</t>
  </si>
  <si>
    <t>Alaska; Aquatic invasion; Elodea spp.; Ensemble modeling; SNAP climate data; Subsistence</t>
  </si>
  <si>
    <t>CLIMATE-CHANGE; ECOLOGICAL-IMPACT; GLOBAL CLIMATE; MANAGEMENT; KNOWLEDGE; PLANTS; RANGE; LAKE; MACROPHYTES; NUTTALLII</t>
  </si>
  <si>
    <t>Alaska has one of the most rapidly changing climates on earth and is experiencing an accelerated rate of human disturbance, including resource extraction and transportation infrastructure development. Combined, these factors increase the state's vulnerability to biological invasion, which can have acute negative impacts on ecological integrity and subsistence practices. Of growing concern is the spread of Alaska's first documented freshwater aquatic invasive plant Elodea spp. (elodea). In this study, we modeled the suitable habitat of elodea using global and state-specific species occurrence records and environmental variables, in concert with an ensemble of model algorithms. Furthermore, we sought to incorporate local subsistence concerns by using Native Alaskan knowledge and available statewide subsistence harvest data to assess the potential threat posed by elodea to Chinook salmon (Oncorhynchus tshawytscha) and whitefish (Coregonus nelsonii) subsistence. State models were applied to future climate (2040-2059) using five general circulation models best suited for Alaska. Model evaluations indicated that our results had moderate to strong predictability, with area under the receiver-operating characteristic curve values above 0.80 and classification accuracies ranging from 66 to 89 %. State models provided a more robust assessment of elodea habitat suitability. These ensembles revealed different levels of management concern statewide, based on the interaction of fish subsistence patterns, known spawning and rearing sites, and elodea habitat suitability, thus highlighting regions with additional need for targeted monitoring. Our results suggest that this approach can hold great utility for invasion risk assessments and better facilitate the inclusion of local stakeholder concerns in conservation planning and management.</t>
  </si>
  <si>
    <t>[Luizza, Matthew W.; Evangelista, Paul H.; West, Amanda] Colorado State Univ, Nat Resource Ecol Lab, Ft Collins, CO 80523 USA; [Jarnevich, Catherine S.] US Geol Survey, Ft Collins Sci Ctr, 2150 Ctr Ave Bldg C, Ft Collins, CO 80526 USA; [Stewart, Heather] Alaska Dept Nat Resources, Div Agr, 1800 Glenn Hwy,Suite 12, Palmer, AK 99645 USA</t>
  </si>
  <si>
    <t>Colorado State University System; Colorado State University Fort Collins; United States Department of the Interior; United States Geological Survey</t>
  </si>
  <si>
    <t>Luizza, MW (corresponding author), Colorado State Univ, Nat Resource Ecol Lab, Ft Collins, CO 80523 USA.</t>
  </si>
  <si>
    <t>mwluizza@rams.colostate.edu</t>
  </si>
  <si>
    <t>; Evangelista, Paul/D-2315-2016</t>
  </si>
  <si>
    <t>Luizza, Matthew W/0000-0001-8952-5345; West, Amanda/0000-0002-9318-7139;</t>
  </si>
  <si>
    <t>National Needs Fellowship program of the National Institute of Food and Agriculture; U.S. Department of Agriculture; Colorado State University's Graduate Degree Program in Ecology Small Grants for Graduate Research Award</t>
  </si>
  <si>
    <t>National Needs Fellowship program of the National Institute of Food and Agriculture; U.S. Department of Agriculture(United States Department of Agriculture (USDA)); Colorado State University's Graduate Degree Program in Ecology Small Grants for Graduate Research Award</t>
  </si>
  <si>
    <t>We wish to acknowledge the U.S. Geological Survey Fort Collins Science Center for use of their Resource for Advanced Modeling facilities. Special thanks to the Native Alaskan community members and Alaska land mangers whose insights, experiences, and stories helped shape the questions and goals of this research. Additional thanks to the Alaska Department of Natural Resources and Alaska Natural Heritage Program for providing critical elodea survey data and to the Yukon River Intertribal Watershed Council for facilitating part of this study at their 2013 biennial summit. We wish to also acknowledge Dr. Christina Kuroiwa for assisting with informal interview data collection at the summit. Additional thanks to the two anonymous reviewers, John Morton and Mark Bertram from the U.S. Fish and Wildlife Service, and Helen Sofaer of the U.S. Geological Survey for providing important feedback, which has greatly improved this manuscript. Funding for this research was provided by the National Needs Fellowship program of the National Institute of Food and Agriculture, the U.S. Department of Agriculture, and Colorado State University's Graduate Degree Program in Ecology Small Grants for Graduate Research Award. Any use of trade, product, or firm names is for descriptive purposes only and does not imply endorsement by the US Government or Colorado State University.</t>
  </si>
  <si>
    <t>10.1007/s00267-016-0692-4</t>
  </si>
  <si>
    <t>DQ4FO</t>
  </si>
  <si>
    <t>WOS:000379159600011</t>
  </si>
  <si>
    <t>Lawler, JJ; White, D; Master, LL</t>
  </si>
  <si>
    <t>anthropogenic factors; biodiversity; conservation planning; irreplaceability; optimization; reserve selection; site ranking; species composition; threats; vulnerability</t>
  </si>
  <si>
    <t>RESERVE SELECTION ALGORITHMS; NETWORKS; THREATS; IRREPLACEABILITY; CONNECTIVITY; GEOGRAPHY; DESIGN; MODEL</t>
  </si>
  <si>
    <t>Reserves protect biodiversity by ameliorating the threats to the persistence of populations. Methods for efficient, systematic reserve selection have generally been designed to maximize the protection of biodiversity while minimizing the costs of reserves. These techniques have not directly addressed the factors threatening species at specific sites By incorporating measures of site vulnerability into reserve selection procedures, conservation planners can prioritize sites based on both representing biodiversity and the immediacy of factors threatening it. Here we develop two complementary approaches for identifying areas for conservation based on species composition and potential threats facing the species. These approaches build on two established methods of systematic reserve selection. The first approach involves mapping irreplaceability (a statistic derived from reserve selection theory that measures the potential importance of a site for protecting all species) and the degree to which the area is vulnerable to threats from three basic anthropogenic factors (the percentages of a site devoted to agriculture, to urban and suburban development, and to open mines). We classified areas with respect to both irreplaceability and the three indicators of vulnerability, producing a continuous ranking of all sites based on these factors. Our second approach was to incorporate site vulnerability into a reserve selection algorithm. This approach allowed us to locate those sets of sites that protected all species and were most likely to be threatened by human activities. These two analyses can provide regional-scale guidance for conservation in the Mid-Atlantic region of the United States, and them demonstrate two potential tools for solving complex conservation-planning problems.</t>
  </si>
  <si>
    <t>US EPA, Natl Res Council Associateship Program, Corvallis, OR 97333 USA; NatureServe, Boston, MA 02111 USA</t>
  </si>
  <si>
    <t>Lawler, JJ (corresponding author), US EPA, Natl Res Council Associateship Program, 200 SW 35Th St, Corvallis, OR 97333 USA.</t>
  </si>
  <si>
    <t>Lawler.Joshua@epa.gov</t>
  </si>
  <si>
    <t>10.1890/02-5337</t>
  </si>
  <si>
    <t>758DC</t>
  </si>
  <si>
    <t>WOS:000187616400020</t>
  </si>
  <si>
    <t>Patrizzi, NS; Dobrovolski, R</t>
  </si>
  <si>
    <t>Patrizzi, Nayla S.; Dobrovolski, Ricardo</t>
  </si>
  <si>
    <t>Ecological niche modeling; Marine protected areas; Conservation planning; Climate change; Human impact; Zonation</t>
  </si>
  <si>
    <t>PROTECTED AREAS; CONSERVATION; DISTRIBUTIONS; BIODIVERSITY; UNCERTAINTIES; PRIORITIES; RESPONSES; ECOLOGY; NUMBERS; TARGETS</t>
  </si>
  <si>
    <t>Network expansion of marine protected areas in a changing world is a difficult task for conservation planners. Brazil experiences a combination of low and uneven protection of marine environmets, increasing anthropogenic pressures, climate change, and gaps in information regarding the geographical distribution of many species (Wallacean shortfall). Here, we addressed these issues and present a strategy for identifying priority marine areas for conservation in Brazil that would contribute to increasing species representation and achievement of conservation targets. Within this strategy, we accounted for (i) species range shifts due to climate change and their influence on species distribution, (ii) the lack of species geographical distribution data, and (iii) anthropic pressures on oceans. First, we built ecological niche models (ENMs) for 12 threatened starfish species in both present and future (2100) times using Maxent. We also quantified and mapped species range shifts. Second, we developed three conservation spatial solutions and compared the 10% top-ranked areas. The results showed that ENMs had a good performance in representing the distribution of species, even those that had few occurrence records. Our models forecasted a significant range expansion for the majority of species (10 out 12) by 2100. We found that the priority sites covering the top-ranked 10% in the study area identified in ours conservation spatial solutions would protect between 10.41% and 15.88%, on average, of suitable areas for the starfish species. Our results indicated priority sites for conservation less affected by anthropic pressures (similar to 2%) when data on human impacts on oceans were incorporated into the spatial prioritization process. We identified a network of priority marine sites for conservation that minimized human influence and considered the effects of climate change on species distribution. We used threatened starfish species as a case study for illustrating our approach; however, such an approach could be applied to any taxonomic group, which supports the development of more effective conservation actions that represent biodiversity under such threats.</t>
  </si>
  <si>
    <t>[Patrizzi, Nayla S.; Dobrovolski, Ricardo] Univ Fed Bahia UFBA, Inst Biol, Lab Ecol &amp; Conservacao, BR-40140115 Salvador, BA, Brazil</t>
  </si>
  <si>
    <t>Patrizzi, NS (corresponding author), Univ Fed Bahia UFBA, Inst Biol, Lab Ecol &amp; Conservacao, BR-40140115 Salvador, BA, Brazil.</t>
  </si>
  <si>
    <t>nayla.bio@gmail.com; rdobrovolski@ufba.br</t>
  </si>
  <si>
    <t>Patrizzi, Nayla/D-9709-2019; Dobrovolski, Ricardo/B-2580-2013</t>
  </si>
  <si>
    <t>Dobrovolski, Ricardo/0000-0002-8775-5486</t>
  </si>
  <si>
    <t>MCTIC/CNPq/FAPEG [465610/2014-5]; CNPq [461665/2014-0]; FAPESB [JCB0051/2016]; CAPES</t>
  </si>
  <si>
    <t>MCTIC/CNPq/FAPEG; CNPq(Conselho Nacional de Desenvolvimento Cientifico e Tecnologico (CNPQ)); FAPESB(Fundacao de Amparo a Pesquisa do Estado da Bahia (FAPESB)); CAPES(Coordenacao de Aperfeicoamento de Pessoal de Nivel Superior (CAPES))</t>
  </si>
  <si>
    <t>This paper is a contribution of the INCT in Ecology, Evolution and Biodiversity Conservation founded by MCTIC/CNPq/FAPEG (465610/2014-5). RD is supported by CNPq (461665/2014-0), and FAPESB (JCB0051/2016). NSP was supported by CAPES.</t>
  </si>
  <si>
    <t>10.1016/j.ocecoaman.2018.05.003</t>
  </si>
  <si>
    <t>GL3RJ</t>
  </si>
  <si>
    <t>WOS:000437057200019</t>
  </si>
  <si>
    <t>Han, YH; Dong, SK; Wu, XY; Liu, SL; Su, XK; Zhang, Y; Zhao, HD; Zhang, XL; Swift, D</t>
  </si>
  <si>
    <t>Han, Yuhui; Dong, Shikui; Wu, Xiaoyu; Liu, Shiliang; Su, Xukun; Zhang, Yong; Zhao, Haidi; Zhang, Xiaolei; Swift, David</t>
  </si>
  <si>
    <t>Ecosystem risk assessment; Habitat status; Human disturbance; Climate change; Sanjiangyuan</t>
  </si>
  <si>
    <t>BIODIVERSITY HOTSPOTS; CLIMATE-CHANGE; TIBETAN PLATEAU; DIVERSITY; DISTRIBUTIONS; INDICATORS; RESPONSES; IMPACTS; RESERVE</t>
  </si>
  <si>
    <t>Sanjiangyuan, called the Water tower of Asia, is critically important in the ecological services of water pro- vision and regulation and in biodiversity conservation. To strengthen protection in this eco-region, The Chinese government established the Sanjiangyuan National Nature Reserve (SNNR) in 2001 and Sanjiangyuan National Park (SNP) in 2014. To assess the effectiveness of these two conservation practices, on the endangered plant species, we used an integrated method to identify the priority areas of the endangered plant species in the Sanjiangyuan Area which showed if some areas need more conservation efforts. After identifying the potential habitats of high-valued species in Sanjiangyuan with MaxENT, a model that combined the hotspots of en- dangered plant species richness (H), vegetation condition (V), soil condition (S), human disturbance (D) and climate change impact (C) was used to calculate ecosystem risk (ER) associated with each habitat. Projections of climate modeling show that the distribution of endangered plants in Sangjiangyuan will expand to the west and north with the warmer and wetter climate in the future. In both current and future scenarios, the habitats in the northeast of the SNNR are at the highest ecosystem risk and need to be protected strictly. However, most of the high ecosystem risk/conservation priority regions we identified - either current or predicted future status (in 2070 under RCP 2.6) were not protected by SNNR or SNP. Identified conservation gaps call for the well-targeted planning and delineated scientific interventions for protecting the key habitats of these endangered plant species. Conservation priority should be given to eastern Xinghai County and northeastern Tongde County in the east of SNNR, where the habitats are at high ecosystem risk and have high conservation priority.</t>
  </si>
  <si>
    <t>[Han, Yuhui; Dong, Shikui; Wu, Xiaoyu; Liu, Shiliang; Su, Xukun; Zhang, Yong; Zhao, Haidi; Zhang, Xiaolei] Beijing Normal Univ, Sch Environm, 19 Xinjiekouwai St, Beijing 100875, Peoples R China; [Swift, David] Colorado State Univ, Nat Resource Ecol Lab, Ft Collins, CO 80523 USA</t>
  </si>
  <si>
    <t>Beijing Normal University; Colorado State University System; Colorado State University Fort Collins</t>
  </si>
  <si>
    <t>Dong, SK (corresponding author), Beijing Normal Univ, Sch Environm, 19 Xinjiekouwai St, Beijing 100875, Peoples R China.</t>
  </si>
  <si>
    <t>dongshikui@sina.com</t>
  </si>
  <si>
    <t>liu, shiliang/N-1885-2019; Dong, Shikui/GQA-6626-2022; wu, 晓煜/HIK-3475-2022</t>
  </si>
  <si>
    <t>liu, shiliang/0000-0002-2995-265X; Han, Yuhui/0000-0002-0141-7292</t>
  </si>
  <si>
    <t>National Key R&amp;D Program of China [2016YFC0501906]; Qinghai Provincial Key R&amp;D program in Qinghai Province [2019-SF-145, 2018-NK-A2]; Qinghai innovation platform construction project [2017-ZJ-Y20]</t>
  </si>
  <si>
    <t>National Key R&amp;D Program of China; Qinghai Provincial Key R&amp;D program in Qinghai Province; Qinghai innovation platform construction project</t>
  </si>
  <si>
    <t>This research was financially supported by the grants from the National Key R&amp;D Program of China (2016YFC0501906), Qinghai Provincial Key R&amp;D program in Qinghai Province (2019-SF-145 &amp; 2018-NK-A2), Qinghai innovation platform construction project (2017-ZJ-Y20). The authors would also thank the anonymous reviewers for their helpful comments. The endeavor of editors and reviewers was also appreciated.</t>
  </si>
  <si>
    <t>10.1016/j.ecolind.2019.05.064</t>
  </si>
  <si>
    <t>JE3DM</t>
  </si>
  <si>
    <t>WOS:000490574200006</t>
  </si>
  <si>
    <t>Leclerc, C; Courchamp, F; Bellard, C</t>
  </si>
  <si>
    <t>Leclerc, Camille; Courchamp, Franck; Bellard, Celine</t>
  </si>
  <si>
    <t>IUCN RED LIST; EXTINCTION RATES; BIODIVERSITY; ISLAND; CONSERVATION; PATTERNS; ECOLOGY; BIRD</t>
  </si>
  <si>
    <t>The global loss of biodiversity can be attributed to numerous threats. While pioneer studies have investigated their relative importance, the majority of those studies are restricted to specific geographic regions and/or taxonomic groups and only consider a small subset of threats, generally in isolation despite their frequent interaction. Here, we investigated 11 major threats responsible for species decline on islands worldwide. We applied an innovative method of network analyses to disentangle the associations of multiple threats on vertebrates, invertebrates, and plants in 15 insular regions. Biological invasions, wildlife exploitation, and cultivation, either alone or in association, were found to be the three most important drivers of species extinction and decline on islands. Specifically, wildlife exploitation and cultivation are largely associated with the decline of threatened plants and terrestrial vertebrates, whereas biological invasions mostly threaten invertebrates and freshwater fish. Furthermore, biodiversity in the Indian Ocean and near the Asian coasts is mostly affected by wildlife exploitation and cultivation compared to biological invasions in the Pacific and Atlantic insular regions. We highlighted specific associations of threats at different scales, showing that the analysis of each threat in isolation might be inadequate for developing effective conservation policies and managements.</t>
  </si>
  <si>
    <t>[Leclerc, Camille; Courchamp, Franck] Univ Paris Saclay, Univ Paris Sud, CNRS, AgroParisTech,Ecol Systemat Evolut, F-91400 Orsay, France; [Bellard, Celine] UCL, Ctr Biodivers &amp; Environm &amp; Res, Dept Genet Evolut &amp; Environm, London WC1E 6BT, England; [Bellard, Celine] Univ Antilles, Univ Caen Normandie,IRD,BOREA,UMR 7208, Univ Pierre &amp; Marie Curie,CNRS,Museum Natl Hist N, Sorbonne Univ,Unite Biol Organismes &amp; Ecosyst Aqu, F-75005 Paris, France</t>
  </si>
  <si>
    <t>Universite Paris Saclay; AgroParisTech; Centre National de la Recherche Scientifique (CNRS); University of London; University College London; Universite de Caen Normandie; Centre National de la Recherche Scientifique (CNRS); CNRS - Institute of Ecology &amp; Environment (INEE); Institut de Recherche pour le Developpement (IRD); Museum National d'Histoire Naturelle (MNHN); Sorbonne Universite</t>
  </si>
  <si>
    <t>Leclerc, C (corresponding author), Univ Paris Saclay, Univ Paris Sud, CNRS, AgroParisTech,Ecol Systemat Evolut, F-91400 Orsay, France.</t>
  </si>
  <si>
    <t>camille.leclerc@u-psud.fr</t>
  </si>
  <si>
    <t>Courchamp, Franck/ABE-7204-2020; Leclerc, Camille/AAD-5707-2019; Céline, Bellard/J-8157-2014</t>
  </si>
  <si>
    <t>Courchamp, Franck/0000-0001-7605-4548; Leclerc, Camille/0000-0001-5830-1787; Céline, Bellard/0000-0003-2012-1160</t>
  </si>
  <si>
    <t>Fondation BNP Paribas (INVACOST); ANR [14-CE02-0021-01]</t>
  </si>
  <si>
    <t>Fondation BNP Paribas (INVACOST); ANR(Agence Nationale de la Recherche (ANR))</t>
  </si>
  <si>
    <t>This work is supported by the Fondation BNP Paribas (INVACOST) and the ANR grant (14-CE02-0021-01). We gratefully acknowledge Janet Scott of the IUCN Red List Unit for sending us the assessment database. We also thank D. Zarzoso-Lacoste and J-Y. Meyer for our fruitful discussions. We are grateful to Victoria Grace for English corrections on the last version of manuscript. We thank the assistant editor and the two anonymous reviewers whose comments have contributed to improving the previous version of this manuscript.</t>
  </si>
  <si>
    <t>10.1038/s41598-018-24733-0</t>
  </si>
  <si>
    <t>GD5IB</t>
  </si>
  <si>
    <t>WOS:000430539500029</t>
  </si>
  <si>
    <t>Sloan, S; Campbell, MJ; Alamgir, M; Collier-Baker, E; Nowak, MG; Usher, G; Laurance, WF</t>
  </si>
  <si>
    <t>Sloan, Sean; Campbell, Mason J.; Alamgir, Mohammed; Collier-Baker, Emma; Nowak, Matthew G.; Usher, Graham; Laurance, William F.</t>
  </si>
  <si>
    <t>Connectivity; Deforestation; Spatial planning; Primary forest; Secondary forest; Roads; Indonesia</t>
  </si>
  <si>
    <t>REDD PLUS; POLICY; DEFORESTATION; CONCESSIONS; MORATORIUM; CONVERSION; EMISSIONS; STRATEGY; SUMATRA; BORNEO</t>
  </si>
  <si>
    <t>The Leuser Ecosystem in northern Sumatra, Indonesia is a globally-significant landscape for biodiversity conservation and ecosystem services. It is however increasingly threatened by infrastructure development, enabled by discordant forest governance amongst central and regional governments. Here we identify these infrastructure threats and related shortcomings in forest management and conservation planning. Environment-development conflicts were mapped across the Leuser Ecosystem, in addition to unofficial and official roads as well as planned road, electrical generation, and electrical transmission developments. We find that conflicts concentrate in the Leuser Ecosystem, where many protected forests were formerly degraded and are now undergoing de facto conversion. Unofficial roads, not observed within government maps, were nearly double the length of official roads within the Leuser Ecosystem (6818 km vs 3597 km). Approximately half of all roads occurred in forests, particularly historically-exploited forests. Consequently, small forest patches and narrow forest corridors comprise 27% of the Leuser Ecosystem, and most are subject to ongoing degradation and conversion. We identify eight conservation priority areas where concentrations of road developments have produced particularly vulnerable forests. Planned infrastructure developments would directly impact these priority areas and bisect the Leuser Ecosystem, contradicting national conservation planning directives. These trends are framed by an assertive decentralisation by regional governments, aggravating the legal-administrative volatility surrounding the Leuser Ecosystem and empowering development interests. Such volatility is poised to become more common in Indonesia at a time of rapidly expanding development pressures within remaining natural environments.</t>
  </si>
  <si>
    <t>[Sloan, Sean; Campbell, Mason J.; Alamgir, Mohammed; Laurance, William F.] James Cook Univ, Coll Sci &amp; Engn, Ctr Trop Environm &amp; Sustainabil Sci, Cairns, Qld 4870, Australia; [Collier-Baker, Emma] Univ Queensland, St Lucia, Qld, Australia; [Nowak, Matthew G.] Southern Illinois Univ, Dept Anthropol, Carbondale, IL USA; [Nowak, Matthew G.; Usher, Graham] PanEco Fdn, Sumatran Orangutan Conservat Programme, Berg Am Irchel, Switzerland</t>
  </si>
  <si>
    <t>James Cook University; University of Queensland; Southern Illinois University System; Southern Illinois University</t>
  </si>
  <si>
    <t>Sloan, S; Laurance, WF (corresponding author), James Cook Univ, Coll Sci &amp; Engn, Ctr Trop Environm &amp; Sustainabil Sci, Cairns, Qld 4870, Australia.</t>
  </si>
  <si>
    <t>sean.sloan@jcu.edu.au; bill.laurance@jcu.edu.au</t>
  </si>
  <si>
    <t>Laurance, William/B-2709-2012; Campbell, Mason/G-4651-2017; Alamgir, Mohammed/G-3757-2014; Sloan, Sean/A-8630-2012; Sloan, Sean/A-8630-2012</t>
  </si>
  <si>
    <t>Campbell, Mason/0000-0001-6803-271X; Sloan, Sean/0000-0002-7834-0203; Sloan, Sean/0000-0002-7834-0203</t>
  </si>
  <si>
    <t>10.1016/j.landusepol.2018.05.043</t>
  </si>
  <si>
    <t>GQ9DW</t>
  </si>
  <si>
    <t>WOS:000442067100029</t>
  </si>
  <si>
    <t>Auerbach, NA; Tulloch, AIT; Possingham, HP</t>
  </si>
  <si>
    <t>Auerbach, Nancy A.; Tulloch, Ayesha I. T.; Possingham, Hugh P.</t>
  </si>
  <si>
    <t>Informed actions: where to cost effectively manage multiple threats to species to maximize return on investment</t>
  </si>
  <si>
    <t>Australia; biodiversity; cost effectiveness; decision support; multiple species; multiple threats; natural resource management; regional-scale management; return on investment; spatial prioritization; species richness; threatened species</t>
  </si>
  <si>
    <t>CONSERVATION INVESTMENTS; CONSERVING BIODIVERSITY; INTEGRATING ECONOMICS; OPPORTUNITY COSTS; PRIORITIES; AUSTRALIA; SELECTION; RESTORATION; EXTINCTION; EFFICIENCY</t>
  </si>
  <si>
    <t>Conservation practitioners, faced with managing multiple threats to biodiversity and limited funding, must prioritize investment in different management actions. From an economic perspective, it is routine practice to invest where the highest rate of return is expected. This return-on-investment (ROI) thinking can also benefit species conservation, and researchers are developing sophisticated approaches to support decision-making for cost-effective conservation. However, applied use of these approaches is limited. Managers may be wary of black-box'' algorithms or complex methods that are difficult to explain to funding agencies. As an alternative, we demonstrate the use of a basic ROI analysis for determining where to invest in cost-effective management to address threats to species. This method can be applied using basic geographic information system and spreadsheet calculations. We illustrate the approach in a management action prioritization for a biodiverse region of eastern Australia. We use ROI to prioritize management actions for two threats to a suite of threatened species: habitat degradation by cattle grazing, and predation by invasive red foxes (Vulpes vulpes). We show how decisions based on cost-effective threat management depend upon how expected benefits to species are defined and how benefits and costs co-vary. By considering a combination of species richness, restricted habitats, species vulnerability, and costs of management actions, small investments can result in greater expected benefit compared with management decisions that consider only species richness. Furthermore, a landscape management strategy that implements multiple actions is more efficient than managing only for one threat, or more traditional approaches that don't consider ROI. Our approach provides transparent and logical decision support for prioritizing different actions intended to abate threats associated with multiple species; it is of use when managers need a justifiable and repeatable approach to investment.</t>
  </si>
  <si>
    <t>[Auerbach, Nancy A.; Tulloch, Ayesha I. T.; Possingham, Hugh P.] Univ Queensland, Ctr Biodivers &amp; Conservat Sci, Natl Environm Res Program NERP Environm Decis Hub, Australian Res Council ARC Ctr Excellence Environ, Brisbane, Qld 4072, Australia; [Possingham, Hugh P.] Univ London Imperial Coll Sci Technol &amp; Med, Dept Life Sci, Ascot SL5 7PY, Berks, England</t>
  </si>
  <si>
    <t>University of Queensland; Imperial College London</t>
  </si>
  <si>
    <t>Auerbach, NA (corresponding author), Univ Queensland, Ctr Biodivers &amp; Conservat Sci, Natl Environm Res Program NERP Environm Decis Hub, Australian Res Council ARC Ctr Excellence Environ, Brisbane, Qld 4072, Australia.</t>
  </si>
  <si>
    <t>n.auerbach@uq.edu.au</t>
  </si>
  <si>
    <t>Tulloch, Ayesha/KCY-9059-2024; Possingham, Hugh/B-1337-2008</t>
  </si>
  <si>
    <t>Tulloch, Ayesha/0000-0002-5866-1923; Possingham, Hugh/0000-0001-7755-996X</t>
  </si>
  <si>
    <t>Australian Government's National Environmental Research Program; Australian Research Council Centre of Excellence for Environmental Decisions; Australia Postgraduate Award scholarship</t>
  </si>
  <si>
    <t>Australian Government's National Environmental Research Program(Australian Government); Australian Research Council Centre of Excellence for Environmental Decisions(Australian Research Council); Australia Postgraduate Award scholarship</t>
  </si>
  <si>
    <t>This research was conducted with support from the Australian Government's National Environmental Research Program, the Australian Research Council Centre of Excellence for Environmental Decisions, and an Australia Postgraduate Award scholarship. The Queensland Government provided species presence data (WILDNET (DERM 2010b) and HERBRECS (DERM 2011) databases) used in species distribution modeling for this research. We appreciate the suggestions by the anonymous reviewers, which improved the research. We thank Rachel Lyons for her interest in, and discussions about, the case study research.</t>
  </si>
  <si>
    <t>10.1890/13-0711.1</t>
  </si>
  <si>
    <t>AO9YE</t>
  </si>
  <si>
    <t>WOS:000341715800009</t>
  </si>
  <si>
    <t>Romero-Muñoz, A; Benítez-López, A; Zurell, D; Baumann, M; Camino, M; Decarre, J; del Castillo, H; Giordano, AJ; Gómez-Valencia, B; Levers, C; Noss, AJ; Quiroga, V; Thompson, JJ; Torres, R; Velilla, M; Weiler, A; Kuemmerle, T</t>
  </si>
  <si>
    <t>Romero-Munoz, Alfredo; Benitez-Lopez, Ana; Zurell, Damaris; Baumann, Matthias; Camino, Micaela; Decarre, Julieta; del Castillo, Hugo; Giordano, Anthony J.; Gomez-Valencia, Bibiana; Levers, Christian; Noss, Andrew J.; Quiroga, Veronica; Thompson, J. Jeffrey; Torres, Ricardo; Velilla, Marianela; Weiler, Andrea; Kuemmerle, Tobias</t>
  </si>
  <si>
    <t>conservation planning; defaunation; deforestation; habitat loss; land-use change; overexploitation</t>
  </si>
  <si>
    <t>ANTHROPOGENIC DISTURBANCE; BIODIVERSITY LOSS; EUROPEAN BISON; LAND-USE; CONSERVATION; FOREST; WILDLIFE; EXPANSION; FRAGMENTATION; ECOREGIONS</t>
  </si>
  <si>
    <t>Habitat destruction and overexploitation are the main threats to biodiversity and where they co-occur, their combined impact is often larger than their individual one. Yet, detailed knowledge of the spatial footprints of these threats is lacking, including where they overlap and how they change over time. These knowledge gaps are real barriers for effective conservation planning. Here, we develop a novel approach to reconstruct the individual and combined footprints of both threats over time. We combine satellite-based land-cover change maps, habitat suitability models and hunting pressure models to demonstrate our approach for the community of larger mammals (48 species &gt; 1 kg) across the 1.1 million km(2) Gran Chaco region, a global deforestation hotspot covering parts of Argentina, Bolivia and Paraguay. This provides three key insights. First, we find that the footprints of habitat destruction and hunting pressure expanded considerably between 1985 and 2015, across 40% of the entire Chaco - twice the area affected by deforestation. Second, both threats increasingly acted together within the ranges of larger mammals in the Chaco (17% increase on average, +/- 20% SD, cumulative increase of co-occurring threats across 465 000 km(2)), suggesting large synergistic effects. Conversely, core areas of high-quality habitats declined on average by 38%. Third, we identified remaining priority areas for conservation in the northern and central Chaco, many of which are outside the protected area network. We also identify hotspots of high threat impacts in central Paraguay and northern Argentina, providing a spatial template for threat-specific conservation action. Overall, our findings suggest increasing synergistic effects between habitat destruction and hunting pressure in the Chaco, a situation likely common in many tropical deforestation frontiers. Our work highlights how threats can be traced in space and time to understand their individual and combined impact, even in situations where data are sparse.</t>
  </si>
  <si>
    <t>[Romero-Munoz, Alfredo; Zurell, Damaris; Baumann, Matthias; Levers, Christian; Kuemmerle, Tobias] Humboldt Univ, Geog Dept, Berlin, Germany; [Levers, Christian] Univ British Columbia, IRES, Vancouver, BC, Canada; [Levers, Christian] UFZ Helmholtz Ctr Environm Res, Dept Computat Landscape Ecol, Leipzig, Germany; [Kuemmerle, Tobias] IRI THESys, Berlin, Germany; [Benitez-Lopez, Ana] Radboud Univ Nijmegen, Inst Wetland &amp; Water Res, Dept Environm Sci, Nijmegen, Netherlands; [Benitez-Lopez, Ana] CSIC, EBD, Integrat Ecol Grp, Seville, Spain; [Camino, Micaela] Proyecto Quimilero, Resistencia, Argentina; [Decarre, Julieta] INTA, Inst Recursos Biol, Buenos Aires, DF, Argentina; [del Castillo, Hugo] Guyra Paraguay, Asuncion, Paraguay; [Thompson, J. Jeffrey; Velilla, Marianela] Guyra Paraguay CONACYT, Asuncion, Paraguay; [Thompson, J. Jeffrey; Velilla, Marianela] Inst Saite, Asuncion, Paraguay; [Velilla, Marianela] Univ Arizona, Sch Nat Resources &amp; Environm, Tucson, AZ USA; [Giordano, Anthony J.] SPECIES, Ventura, CA USA; [Giordano, Anthony J.] Univ Calif Los Angeles, Inst Environm &amp; Sustainabil, Ctr Trop Res, Los Angeles, CA USA; [Gomez-Valencia, Bibiana] Inst Invest Recursos Biol Alexander van Humboldt, Bogota, Colombia; [Gomez-Valencia, Bibiana] Univ Buenos Aires, Fac Ciencias Exactas &amp; Nat, Grp Estudios Sistemas Ecol Ambientes Agr, Buenos Aires, DF, Argentina; [Noss, Andrew J.] Univ Florida, Dept Geog, Gainesville, FL 32611 USA; [Quiroga, Veronica; Torres, Ricardo] Univ Nacl Cordoba, Ctr Zool Aplicada, CONICET, IDEA, Cordoba, Argentina; [Quiroga, Veronica] Ctr Invest Bosque Atlantico, Proyecto Yaguarete, Puerto Iguazu, Misiones, Argentina; [Torres, Ricardo] Univ Nacl Cordoba, Museo Zool, Cordoba, Argentina; [Weiler, Andrea] Univ Nacl Asuncion, Dept Biol, San Lorenzo, Paraguay</t>
  </si>
  <si>
    <t>Humboldt University of Berlin; University of British Columbia; Helmholtz Association; Helmholtz Center for Environmental Research (UFZ); Radboud University Nijmegen; Consejo Superior de Investigaciones Cientificas (CSIC); CSIC - Estacion Biologica de Donana (EBD); Instituto Nacional de Tecnologia Agropecuaria (INTA); University of Arizona; University of California System; University of California Los Angeles; University of Buenos Aires; State University System of Florida; University of Florida; National University of Cordoba; Consejo Nacional de Investigaciones Cientificas y Tecnicas (CONICET); National University of Cordoba; Universidad Nacional de Asuncion</t>
  </si>
  <si>
    <t>Romero-Muñoz, A (corresponding author), Humboldt Univ, Geog Dept, Berlin, Germany.</t>
  </si>
  <si>
    <t>alfredo.romero@geo.hu-berlin.de</t>
  </si>
  <si>
    <t>Zurell, Damaris/E-2439-2012; Thompson, Jeffrey/AAA-4637-2019; Kuemmerle, Tobias/B-4340-2008; Benítez López, Ana/O-3396-2014; Baumann, Matthias/K-4757-2014; Giordano, Anthony/D-2641-2012; Levers, Christian/L-9204-2013</t>
  </si>
  <si>
    <t>Zurell, Damaris/0000-0002-4628-3558; Thompson, Jeffrey/0000-0002-5632-1466; Torres, Ricardo/0000-0001-7114-6996; Weiler de Albertini, Anea/0000-0003-2914-5759; Kuemmerle, Tobias/0000-0002-9775-142X; Quiroga, Veronica Anea/0000-0001-5770-3151; Romero-Muñoz, Alfredo/0000-0002-7905-6087; CAMINO, MICAELA/0000-0002-7375-6277; Benítez López, Ana/0000-0002-6432-1837; Baumann, Matthias/0000-0003-2375-3622;</t>
  </si>
  <si>
    <t>German Research Foundation (DFG) [KU 2458/5-1]; German Ministry of Education and Research (BMBF) [031B0034A]; Spanish Ministry of Science, Innovation and Universities (Juan de la Cierva-Incorporacion grant) [IJCI2017-31419]</t>
  </si>
  <si>
    <t>German Research Foundation (DFG)(German Research Foundation (DFG)); German Ministry of Education and Research (BMBF)(Federal Ministry of Education &amp; Research (BMBF)); Spanish Ministry of Science, Innovation and Universities (Juan de la Cierva-Incorporacion grant)</t>
  </si>
  <si>
    <t>We gratefully acknowledge funding by the German Research Foundation (DFG, project KU 2458/5-1), the German Ministry of Education and Research (BMBF, project PASANOA, 031B0034A) and the Spanish Ministry of Science, Innovation and Universities (Juan de la Cierva-Incorporacion grant, IJCI2017-31419).</t>
  </si>
  <si>
    <t>10.1111/ecog.05053</t>
  </si>
  <si>
    <t>ME2KE</t>
  </si>
  <si>
    <t>Green Submitted, Green Accepted, gold</t>
  </si>
  <si>
    <t>WOS:000526161000001</t>
  </si>
  <si>
    <t>Etter, A; McAlpine, CA; Seabrook, L; Wilson, KA</t>
  </si>
  <si>
    <t>Etter, A.; McAlpine, C. A.; Seabrook, L.; Wilson, K. A.</t>
  </si>
  <si>
    <t>Biophysical vulnerability; Human impact; Landscape transformation; Land use intensity; Monitoring</t>
  </si>
  <si>
    <t>LAND-USE; HUMAN APPROPRIATION; AGRICULTURAL LAND; HABITAT; IMPACT; SUSTAINABILITY; DEFORESTATION; BIODIVERSITY; FEEDBACKS; PATTERNS</t>
  </si>
  <si>
    <t>Land use is a pervasive influence on most terrestrial ecosystems. Humans are converting natural ecosystems and appropriating an increasingly large portion of the net primary productivity of the Earth's ecosystems, leaving a rapidly expanding footprint on the environment and threatening the functioning of ecosystems and the ecological services they provide. Understanding the impacts of human activities on the environment from a local to a global scale requires an adequate representation of human modified landscapes and an explanation of the relationships between socioeconomic and biophysical factors. A first step towards this objective is the development of a quantitative measure of the spatial footprint of humans on landscapes, which can then be used as an analytical and monitoring tool for global change, biodiversity and ecosystem studies. Existing approaches have been based mainly on geographic proxies of human influence such as population density, land transformation, accessibility and infrastructure. In this paper, we developed a more comprehensive and spatially-explicit footprint index based on three dimensions: land use intensity, intervention time, and biophysical vulnerability, which we then applied to Colombia as a case study. We found the inclusion of the vulnerability index provided an effective means to address regional variability in biophysical responses to land use impacts. Accounting for the duration of human intervention provided new insights into the relative capacity of ecosystems to recover or be restored. From this knowledge, more appropriate land use policies can be developed. (C) 2011 Elsevier Ltd. All rights reserved.</t>
  </si>
  <si>
    <t>[Etter, A.] Univ Javeriana, Dept Ecol &amp; Terr, Bogota, Colombia; [McAlpine, C. A.; Seabrook, L.] Univ Queensland, Ctr Spatial Environm Res, Sch Geog Planning &amp; Environm Management, Brisbane, Qld 4072, Australia; [Wilson, K. A.] Univ Queensland, Sch Biol Sci, Brisbane, Qld 4072, Australia</t>
  </si>
  <si>
    <t>Pontificia Universidad Javeriana; University of Queensland; University of Queensland</t>
  </si>
  <si>
    <t>Etter, A (corresponding author), Univ Javeriana, Fac Estudios Ambientales &amp; Rurales, Tr 4,42-00,Piso 8, Bogota, Colombia.</t>
  </si>
  <si>
    <t>aetter@javeriana.edu.co</t>
  </si>
  <si>
    <t>Wilson, Kerrie/W-4181-2019; Seabrook, Leonie/D-2992-2009; Etter, Anes/E-1860-2011; McAlpine, Clive/A-3907-2010</t>
  </si>
  <si>
    <t>Wilson, Kerrie/0000-0002-0092-935X; Seabrook, Leonie/0000-0001-5602-5168; Etter, Anes/0000-0003-0665-9300; McAlpine, Clive/0000-0003-0457-8144</t>
  </si>
  <si>
    <t>Javeriana University</t>
  </si>
  <si>
    <t>This research received funds from the Javeriana University Research Fund. We acknowledge valuable inputs from reviewers that helped improve the manuscript.</t>
  </si>
  <si>
    <t>10.1016/j.biocon.2011.02.004</t>
  </si>
  <si>
    <t>WOS:000292668200041</t>
  </si>
  <si>
    <t>Wessels, KJ; Reyers, B; Van Jaarsveld, AS</t>
  </si>
  <si>
    <t>RESERVE SELECTION; BIOLOGICAL DIVERSITY; PROTECTION STATUS; CONSERVATION; PATTERNS; GRASSLAND; LANDSCAPE; NETWORKS; VULNERABILITY; FRAGMENTATION</t>
  </si>
  <si>
    <t>Anthropogenic natural habitat transformation presents the single most important threat to global biodiversity. Land cover data, based on Landsat Thematic Mapper (TM) imagery, were used to derive land use information for the Gauteng, Mpumalanga and Northern provinces of South Africa. The assessment integrated land use data with species presence data (15 x 15 minute grid cell resolution) for butterflies, mammals, birds and endemic vascular plants. The objectives of the present study were: (1) to identify areas at a regional scale where there is a possible conflict between biodiversity conservation interests and current land uses; (2) to investigate the influence of incorporating a land use constraint (LUC) into a conservation area selection algorithm, while taking cognizance of the existing reserve system; (3) to investigate the circumstances of species recorded within these conflict areas. Many grid cells identified as species richness hotspots, rarity hotspots or as part of the complementary network selected by the unconstrained algorithm were in reality largely transformed or modified. These areas should thus be avoided when striving to identify a viable conservation network. Although the LUC algorithm selected more grid cells to represent all species, it succeeded in increasing the percentage of natural vegetation within the selected conservation network and highlighted areas where potential conflicts should be thoroughly investigated at a local scale.</t>
  </si>
  <si>
    <t>Agr Res Council, Inst Soil Climate &amp; Water, GeoInformat Div, ZA-0001 Pretoria, South Africa; Univ Pretoria, Dept Zool &amp; Entomol, ZA-0002 Pretoria, South Africa</t>
  </si>
  <si>
    <t>Agricultural Research Council of South Africa; Institute for Soil, Climate and Water, Agricultural Research Council; University of Pretoria</t>
  </si>
  <si>
    <t>Wessels, KJ (corresponding author), Private Bag X79, ZA-0001 Pretoria, South Africa.</t>
  </si>
  <si>
    <t>k_wessels@igkw2.agric.za</t>
  </si>
  <si>
    <t>van Jaarsveld, Albert/H-5368-2013; Reyers, Belinda/AAF-6225-2019</t>
  </si>
  <si>
    <t>Reyers, Belinda/0000-0002-2194-8656</t>
  </si>
  <si>
    <t>10.1111/j.1469-1795.2000.tb00088.x</t>
  </si>
  <si>
    <t>344KE</t>
  </si>
  <si>
    <t>WOS:000088757100008</t>
  </si>
  <si>
    <t>Taylor, AT; Papes, M; Long, JM</t>
  </si>
  <si>
    <t>Taylor, Andrew T.; Papes, Monica; Long, James M.</t>
  </si>
  <si>
    <t>ecological niche model; land use; Maxent; riverscape fragmentation; shoal bass; species distribution model</t>
  </si>
  <si>
    <t>ALTERED FLOW REGIMES; ADULT SHOAL BASS; FRESH-WATER; FLINT RIVER; RELATIVE ABUNDANCE; POPULATION BIOLOGY; CURRENT KNOWLEDGE; HOMOGENIZATION; RESTORATION; LANDSCAPE</t>
  </si>
  <si>
    <t>Fluvial fishes face increased imperilment from anthropogenic activities, but the specific factors contributingmost to range declines are often poorly understood. For example, the range of the fluvial-specialist shoal bass (Micropterus cataractae) continues to decrease, yet how perceived threats have contributed to range loss is largely unknown. We used species distribution models to determine which factors contributed most to shoal bass range loss. We estimated a potential distribution based on natural abiotic factors and a series of currently occupied distributions that incorporated variables characterizing land cover, non-native species, and river fragmentation intensity (no fragmentation, dams only, and dams and large impoundments). We allowed interspecific relationships between non-native congeners and shoal bass to vary across fragmentation intensities. Results from the potential distribution model estimated shoal bass presence throughout much of their native basin, whereas models of currently occupied distribution showed that range loss increased as fragmentation intensified. Response curves from models of currently occupied distribution indicated a potential interaction between fragmentation intensity and the relationship between shoal bass and non-native congeners, wherein non-natives may be favored at the highest fragmentation intensity. Response curves also suggested that &gt;100 km of interconnected, free-flowing stream fragments were necessary to support shoal bass presence. Model evaluation, including an independent validation, suggested that models had favorable predictive and discriminative abilities. Similar approaches that use readily available, diverse, geospatial data sets may deliver insights into the biology and conservation needs of other fluvial species facing similar threats.</t>
  </si>
  <si>
    <t>[Taylor, Andrew T.] Oklahoma State Univ, Dept Nat Resource Ecol &amp; Management, 007 Agr Hall, Stillwater, OK 74078 USA; [Papes, Monica] Oklahoma State Univ, Dept Integrat Biol, Stillwater, OK 74078 USA; [Long, James M.] Oklahoma State Univ, Oklahoma Cooperat Fish &amp; Wildlife Res Unit, Dept Nat Resource Ecol &amp; Management, US Geol Survey, 007 Agr Hall, Stillwater, OK 74078 USA</t>
  </si>
  <si>
    <t>Oklahoma State University System; Oklahoma State University - Stillwater; Oklahoma State University System; Oklahoma State University - Stillwater; Oklahoma State University System; Oklahoma State University - Stillwater; United States Department of the Interior; United States Geological Survey</t>
  </si>
  <si>
    <t>Taylor, AT (corresponding author), Oklahoma State Univ, Dept Nat Resource Ecol &amp; Management, 007 Agr Hall, Stillwater, OK 74078 USA.</t>
  </si>
  <si>
    <t>andrew.t.taylor@okstate.edu</t>
  </si>
  <si>
    <t>Taylor, Anew/O-8962-2019</t>
  </si>
  <si>
    <t>Taylor, Anew/0000-0002-8491-9967; Papeș, Monica/0009-0007-9662-5580</t>
  </si>
  <si>
    <t>National Park Service, Chattahoochee River National Recreation Area through the Great Plains Cooperative Ecosystems Studies Unit [P14AC00125]; Oklahoma Department of Wildlife Conservation, U.S. Geological Survey; Wildlife Management Institute; U.S. Fish and Wildlife Service</t>
  </si>
  <si>
    <t>National Park Service, Chattahoochee River National Recreation Area through the Great Plains Cooperative Ecosystems Studies Unit; Oklahoma Department of Wildlife Conservation, U.S. Geological Survey; Wildlife Management Institute; U.S. Fish and Wildlife Service(US Fish &amp; Wildlife Service)</t>
  </si>
  <si>
    <t>Financial support for this publication was provided by the National Park Service, Chattahoochee River National Recreation Area through the Great Plains Cooperative Ecosystems Studies Unit, task order P14AC00125. K. Hoenke with the Southeastern Aquatic Resource Partnership provided several relevant data sets and assisted in creating fragmentation networks. S. Brewer, M. Tringali, B. Albanese, and several anonymous reviewers provided comments that improved this manuscript. The Oklahoma Cooperative Fish and Wildlife Research Unit is supported by the Oklahoma Department of Wildlife Conservation, U.S. Geological Survey, the Wildlife Management Institute, and the U.S. Fish and Wildlife Service. Any use of trade, firm, or product names is for descriptive purposes only and does not imply endorsement by the U.S. Government.</t>
  </si>
  <si>
    <t>10.1111/cobi.13024</t>
  </si>
  <si>
    <t>WOS:000419240100017</t>
  </si>
  <si>
    <t>Serra-Varela, MJ; Alía, R; Pórtoles, J; Gonzalo, J; Soliño, M; Grivet, D; Raposo, R</t>
  </si>
  <si>
    <t>Jesus Serra-Varela, Maria; Alia, Ricardo; Portoles, Javier; Gonzalo, Julian; Solino, Mario; Grivet, Delphine; Raposo, Rosa</t>
  </si>
  <si>
    <t>Incorporating exposure to pitch canker disease to support management decisions of Pinus pinaster Ait. in the face of climate change</t>
  </si>
  <si>
    <t>SPECIES DISTRIBUTION MODELS; FUSARIUM-CIRCINATUM; POTENTIAL DISTRIBUTION; BIOTIC INTERACTIONS; FOREST MANAGEMENT; RANGE SHIFTS; PART I; DISTRIBUTIONS; NICHE; CONSERVATION</t>
  </si>
  <si>
    <t>Climate change is gravely affecting forest ecosystems, resulting in large distribution shifts as well as in increasing infection diseases and biological invasions. Accordingly, forest management requires an evaluation of exposure to climate change that should integrate both its abiotic and biotic components. Here we address the implications of climate change in an emerging disease by analysing both the host species (Pinus pinaster, Maritime pine) and the pathogen's (Fusarium circinatum, pitch canker) environmental suitability i.e. estimating the host's risk of habitat loss and the disease's future environmental range. We constrained our study area to the Spanish Iberian Peninsula, where accurate climate and pitch canker occurrence databases were available. While P. pinaster is widely distributed across the study area, the disease has only been detected in its north-central and north-western edges. We fitted species distribution models for the current distribution of the conifer and the disease. Then, these models were projected into nine Global Climate Models and two different climatic scenarios which totalled to 18 different future climate predictions representative of 2050. Based on the level of agreement among them, we created future suitability maps for the pine and for the disease independently, which were then used to assess exposure of current populations of P. pinaster to abiotic and biotic effects of climate change. Almost the entire distribution of P. pinaster in the Spanish Iberian Peninsula will be subjected to abiotic exposure likely to be driven by the predicted increase in drought events in the future. Furthermore, we detected a reduction in exposure to pitch canker that will be concentrated along the north-western edge of the study area. Setting up breeding programs is recommended in highly exposed and productive populations, while silvicultural methods and monitoring should be applied in those less productive, but still exposed, populations.</t>
  </si>
  <si>
    <t>[Jesus Serra-Varela, Maria] Univ Valladolid, Dept Plant Prod &amp; Forest Resources, Palencia, Spain; [Jesus Serra-Varela, Maria; Alia, Ricardo; Gonzalo, Julian; Solino, Mario; Grivet, Delphine; Raposo, Rosa] Univ Valladolid, Sustainable Forest Management Res Inst, INIA, Palencia, Spain; [Jesus Serra-Varela, Maria; Alia, Ricardo; Solino, Mario; Grivet, Delphine; Raposo, Rosa] Forest Res Ctr, INIA, Madrid, Spain; [Portoles, Javier] Fdn Invest Clima, Madrid, Spain</t>
  </si>
  <si>
    <t>Universidad de Valladolid; Universidad de Valladolid; Instituto Nacional Investigacion Tecnologia Agraria Alimentaria (INIA)</t>
  </si>
  <si>
    <t>Serra-Varela, MJ (corresponding author), Univ Valladolid, Dept Plant Prod &amp; Forest Resources, Palencia, Spain.;Serra-Varela, MJ (corresponding author), Univ Valladolid, Sustainable Forest Management Res Inst, INIA, Palencia, Spain.;Serra-Varela, MJ (corresponding author), Forest Res Ctr, INIA, Madrid, Spain.</t>
  </si>
  <si>
    <t>maje.serra@gmail.com</t>
  </si>
  <si>
    <t>Raposo, Rosa/A-3185-2012; Alia, Ricardo/B-5160-2011; Grivet, Delphine/G-9708-2012; Soliño, Mario/A-5648-2012; Pórtoles, Javier/L-4612-2014</t>
  </si>
  <si>
    <t>Raposo, Rosa/0000-0002-4893-6874; Grivet, Delphine/0000-0001-8168-4456; Soliño, Mario/0000-0001-7065-7348; Pórtoles, Javier/0000-0002-5207-8825</t>
  </si>
  <si>
    <t>Spanish Ministry of Agriculture, Food and Environment; Spanish National Research Plan AdapCon [CGL2011-30182-C02-01]; TipTree (BiodivERsA-ERANET); INIA Spanish Ministry of Economy and Competitiveness [RTA2013-00048-C03-01]; FPU from the Spanish Ministry of Education, Culture and Sport; Ramon y Cajal fellowship from the Spanish Ministry of Science and Innovation</t>
  </si>
  <si>
    <t>Spanish Ministry of Agriculture, Food and Environment(Spanish Government); Spanish National Research Plan AdapCon; TipTree (BiodivERsA-ERANET); INIA Spanish Ministry of Economy and Competitiveness; FPU from the Spanish Ministry of Education, Culture and Sport; Ramon y Cajal fellowship from the Spanish Ministry of Science and Innovation(Spanish Government)</t>
  </si>
  <si>
    <t>We thank the Scientific research for the adaptation of Pinus pinaster Ait. and Pinus halapensis Mill. to climate change project, funded by the Spanish Ministry of Agriculture, Food and Environment, for enabling the collaboration between the different groups involved, as well as the Spanish National Research Plan AdapCon (CGL2011-30182-C02-01), and the TipTree (BiodivERsA-ERANET) which have supported the development of this paper. This study is framed within the project Integrated Production in Spanish Pine Forests: From the Diversity of Species to Genetic Improvement Programs, funded by the the INIA Spanish Ministry of Economy and Competitiveness (RTA2013-00048-C03-01). MJSV was supported by a FPU from the Spanish Ministry of Education, Culture and Sport. D.G. was supported by a Ramon y Cajal fellowship from the Spanish Ministry of Science and Innovation.We are grateful to Jesus Martinez Fernandez for his collaboration during the analysis stage and to Felipe Bravo-Oviedo for insightful discussion. We acknowledge the World Climate Research Programme's Working Group on Coupled Modelling, which is responsible for the 5th Coupled Model Intercomparison Project CMIP, and we thank the climate modelling groups (listed in able 2 of this article) for producing and making available their model output. Thanks are extended to the Spanish Meteorological Agency (AEMET) for providing the climatic observational data, and to Gerardo Sanchez Pena at Spanish Ministry of Agriculture, Food and Environment for providing records of Fusarium circinatum. We also thank Grant&amp;Co. Language Services, for kindly revising the language through the text. We thank the Scientific research for the adaptation of Pinus pinaster Ait. and Pinus halapensis Mill. to climate change project, funded by the Spanish Ministry of Agriculture, Food and Environment, for enabling the collaboration between the different groups involved, as well as the Spanish National Research Plan AdapCon (CGL2011-30182-C02-01), and the TipTree (BiodivERsA-ERANET) which have supported the development of this paper. This study is framed within the project Integrated Production in Spanish Pine Forests: From the Diversity of Species to Genetic Improvement Programs, funded by the INIA Spanish Ministry of Economy and Competitiveness (RTA2013-00048-C03-01). MJSV was supported by a FPU from the Spanish Ministry of Education, Culture and Sport. D.G. was supported by a Ramon y Cajal fellowship from the Spanish Ministry of Science and Innovation.</t>
  </si>
  <si>
    <t>FEB 13</t>
  </si>
  <si>
    <t>e0171549</t>
  </si>
  <si>
    <t>10.1371/journal.pone.0171549</t>
  </si>
  <si>
    <t>EL2AZ</t>
  </si>
  <si>
    <t>WOS:000394423800029</t>
  </si>
  <si>
    <t>Farella, G; Menegon, S; Fadini, A; Depellegrin, D; Manea, E; Perini, L; Barbanti, A</t>
  </si>
  <si>
    <t>Farella, Giulio; Menegon, Stefano; Fadini, Amedeo; Depellegrin, Daniel; Manea, Elisabetta; Perini, Luisa; Barbanti, Andrea</t>
  </si>
  <si>
    <t>Marine ecosystem services; Cumulative effects assessment; Marine conservation; Adriatic sea; MSP</t>
  </si>
  <si>
    <t>MARINE PROTECTED AREAS; MEDITERRANEAN SEA; PO RIVER; IMPACT; FISHERIES; TOOLS; RESERVES; NORTHERN; BYCATCH; TRAWL</t>
  </si>
  <si>
    <t>Multiple anthropogenic activities can exert adverse effects on marine vulnerable ecological components and the ecosystem services they provide to human well-being. Emilia-Romagna (E-R) Region belongs to one of the most industrialized coastal and sea areas of the Italian Northern Adriatic Sea, requiring adequate decision support instruments able to assist authorities to enforce ecosystem-based Marine Spatial Planning (MSP). In this research we combine Cumulative Effects Assessment (CEA) model with marine ecosystem services capacity (MESCap) assessment of multiple ecological components (seabed habitats, essential fish habitats, marine mammals and turtles). The geospatial instruments were used for E-R Region's sea space to support the selection of spatially explicit measures to address two marine conservation objectives, i.e. A. preservation of essential fish habitats and B. protection of species of high conservation value, namely marine mammals and turtles, proposed within an MSP pilot study for the region. Results show that cumulative effects are mainly generated from trawling activities, maritime transport (e.g. Port of Ravenna), and by the influence of land-based activities (i.e. inputs from Po river and other minor rivers). Highest threats to marine ecosystem services (ES) were related to supporting ES (e.g. habitat and nursery provisioning) and to cultural ES. We discuss the contribution of the presented approach towards an ecosystem-based management in the region and the potential benefits that the integration of the ES concept can have in the designing of planning measures with the aim of reducing the cumulative effects and of maintaining marine ecological resources and services.</t>
  </si>
  <si>
    <t>[Farella, Giulio; Menegon, Stefano; Fadini, Amedeo; Manea, Elisabetta; Barbanti, Andrea] ISMAR Inst Marine Sci, CNR Natl Res Council Italy, Venice, Italy; [Depellegrin, Daniel] Univ Exeter, Coll Engn Math &amp; Phys Sci, Renewable Energy Grp, Cornwall Campus, Penryn, England; [Perini, Luisa] Emilia Romagna Reg Geol Seism &amp; Soil Survey, Ferrara, Italy</t>
  </si>
  <si>
    <t>Consiglio Nazionale delle Ricerche (CNR); Istituto di Scienze Marine (ISMAR-CNR); University of Exeter</t>
  </si>
  <si>
    <t>Farella, G (corresponding author), ISMAR Inst Marine Sci, CNR Natl Res Council Italy, Venice, Italy.</t>
  </si>
  <si>
    <t>giulio.farella@ve.ismar.cnr.it</t>
  </si>
  <si>
    <t>Farella, Giulio/HSH-4232-2023; Depellegrin, Daniel/E-4788-2012; Fadini, Amedeo/HMP-1422-2023; Barbanti, Anea/AAL-1470-2021; MANEA, ELISABETTA/ABG-1374-2020; Menegon, Stefano/AAK-4256-2021</t>
  </si>
  <si>
    <t>Farella, Giulio/0000-0001-5710-911X; Depellegrin, Daniel/0000-0002-6493-9506; Fadini, Amedeo/0000-0002-1621-9168; Barbanti, Anea/0000-0002-4871-7874;</t>
  </si>
  <si>
    <t>Flagship Project RITMARE - Italian Research for the Sea; Italian Ministry of Education, University and Research</t>
  </si>
  <si>
    <t>Flagship Project RITMARE - Italian Research for the Sea; Italian Ministry of Education, University and Research(Ministry of Education, Universities and Research (MIUR))</t>
  </si>
  <si>
    <t>This work was supported by the Flagship Project RITMARE - Italian Research for the Sea (www.ritmare.it), coordinated by the Italian National Research Council and funded by the Italian Ministry of Education, University and Research within the National Research Program 2012-2016. The authors would like to thank Fabio Grati, Luca Bolognini and Anna Nora Tassetti (CNR-IRBIM) for their support on data and analysis regarding fisheries, and Samantha Lorito and Lorenzo Calabrese (Emilia-Romagna Region) for their support on data collection and processing. Special thanks go to two anonymous reviewers for their suggestions and comments that contributed to the overall improvement of the manuscript.</t>
  </si>
  <si>
    <t>AUG 1</t>
  </si>
  <si>
    <t>10.1016/j.ocecoaman.2020.105230</t>
  </si>
  <si>
    <t>MA2JD</t>
  </si>
  <si>
    <t>WOS:000541741600007</t>
  </si>
  <si>
    <t>Underwood, JG; Francis, J; Gerber, LR</t>
  </si>
  <si>
    <t>Underwood, Jared G.; Francis, Joyce; Gerber, Leah R.</t>
  </si>
  <si>
    <t>Biodiversity; Conservation planning; Land-use planning; Smart growth; Wildlife</t>
  </si>
  <si>
    <t>SPECIES DISTRIBUTION; SENSITIVITY; HOTSPOTS</t>
  </si>
  <si>
    <t>Smart growth land use planning seeks to balance the infrastructure needs of a growing human population and protection for the environment. Unfortunately, the data required to adequately incorporate biodiversity objectives into land use plans is often not available to planners. One problem is that there are few documented methods that detail how biodiversity data held by resource management agencies can be converted to a format useful for inclusion into smart growth plans. Here we demonstrate an approach that allows for state, provincial, or federal resource management agencies to disseminate data on (1) biodiversity conservation, and (2) conservation of wildlife of recreational value for incorporation into local land use plans. Our approach uses modeled threats and species richness data to identify high priority conservation areas and areas more suitable for future development. This approach provides a transparent mechanism to facilitate inclusion of biodiversity objectives into smart growth planning. (C) 2010 Elsevier B.V. All rights reserved.</t>
  </si>
  <si>
    <t>[Underwood, Jared G.; Francis, Joyce] Arizona State Univ, Sch Life Sci, Tempe, AZ 85287 USA; [Underwood, Jared G.; Francis, Joyce] Arizona Game &amp; Fish Dept, Phoenix, AZ 85086 USA</t>
  </si>
  <si>
    <t>Arizona State University; Arizona State University-Tempe</t>
  </si>
  <si>
    <t>Underwood, JG (corresponding author), Arizona State Univ, Sch Life Sci, POB 874601,Coll &amp; Univ Dr, Tempe, AZ 85287 USA.</t>
  </si>
  <si>
    <t>jared.underwood@asu.edu; jfrancis@azgfd.gov; leah.gerber@asu.edu</t>
  </si>
  <si>
    <t>Underwood, Jared/0000-0002-8608-190X; Gerber, Leah/0000-0002-6763-6842</t>
  </si>
  <si>
    <t>Arizona Department of Tourism; Arizona Game and Fish Department; Arizona Nongame Wildlife Checkoff</t>
  </si>
  <si>
    <t>This study was supported by grants from the Arizona Department of Tourism, Arizona Game and Fish Department Heritage Fund, and the Arizona Nongame Wildlife Checkoff. We gratefully acknowledge the contributions of all members of the Arizona Areas of Conservation Priority Team, especially D. Cox, J. Scott, S. Lantz and M. Bullock for their extensive work coordinating different aspects of the project. We also acknowledge C.D'Agrosa, D. Pearson, A. Smith, and E. Wentz for their insightful reviews.</t>
  </si>
  <si>
    <t>MAR 30</t>
  </si>
  <si>
    <t>10.1016/j.landurbplan.2010.11.014</t>
  </si>
  <si>
    <t>735LW</t>
  </si>
  <si>
    <t>WOS:000288417100014</t>
  </si>
  <si>
    <t>Nath, A; Sinha, A; Lahkar, BP; Brahma, N</t>
  </si>
  <si>
    <t>Nath, Anukul; Sinha, Alolika; Lahkar, Bibhuti P.; Brahma, Namita</t>
  </si>
  <si>
    <t>Invasive species; Distribution; Monitoring; Niche overlap; Protected area; SDM; World Heritage Site</t>
  </si>
  <si>
    <t>AMARKANTAK BIOSPHERE RESERVE; LAND-COVER CHANGE; PLANT INVASIONS; SPECIES DISTRIBUTIONS; DISTRIBUTION MODELS; HABITAT; PREDICTION; FOREST; NICHE; CONSEQUENCES</t>
  </si>
  <si>
    <t>Protected areas are essential for both conservation of biodiversity and provisioning of dynamic ecosystem services. In recent years, invasive plant species have had devastating impacts on the sustenance of natural habitat for the in-situ conservation of threatened species. In the present study, we investigated the distribution pattern of Chromolaena odorata and Mikania micrantha and factors governing their spread in the grassland of Manas National Park. We carried out extensive field sampling and modeled the distribution of invasives using a suite of algorithms. Model predictions differed with respect to AUC, sensitivity, specificity and TSS range, largely in classification performance. Final risk maps were produced averaging the model outputs of Random Forest and MaxEnt for both the species. Subsequently, we also emphasized that the niche/SDM modelling studies should instigate by testing a suite of algorithms for predictive ability under the specific conditions of the study since no single optimization approach would be best under all circumstances. Proximity to the road and human settlement, elevation, fire occurrence and precipitation of driest quarter were the key predictors for both the invasive. The potential area invaded by the C. odorata was 74.87 sq. km and M. micarantha 81.82 sq. km, and a high degree of overlap found between the distributions of both the species. Invasion risk maps can be used as an early detection tool for the management of invasive species, which could help in minimizing the ecological significance and economic cost of invasions. The findings of the present study will help the forest authorities to manage, take the necessary steps in the identified area to chalk out a comprehensive strategy for control of invasive.</t>
  </si>
  <si>
    <t>[Nath, Anukul; Sinha, Alolika; Lahkar, Bibhuti P.; Brahma, Namita] Aaranyak, Gauhati, Assam, India; [Nath, Anukul] Wildlife Inst India, Dehra Dun, Uttarakhand, India; [Brahma, Namita] Tata Inst Social Sci, Guwahati Campus, Gauhati, Assam, India</t>
  </si>
  <si>
    <t>Wildlife Institute of India; Tata Institute of Social Sciences</t>
  </si>
  <si>
    <t>Nath, A (corresponding author), Wildlife Inst India, Dehra Dun, Uttarakhand, India.</t>
  </si>
  <si>
    <t>anukul@wii.gov.in</t>
  </si>
  <si>
    <t>Brahma, Namita/ABD-4774-2021</t>
  </si>
  <si>
    <t>Brahma, Namita/0000-0002-5066-779X</t>
  </si>
  <si>
    <t>Rhino and Tiger Conservation Fund, USFWS</t>
  </si>
  <si>
    <t>Assam Forest Department for providing necessary permission, Park authorities for all kind of support and Rhino and Tiger Conservation Fund, USFWS for funding the work. We thank Ramanuj Barla, Dipen Deka, Krishna Rabha and Ranjit Urang for assisting during the field work. We would also like to thank Aashna Sharma (Wildlife Institute of India) for her valuable comments on the manuscript.</t>
  </si>
  <si>
    <t>10.1016/j.ecoleng.2019.02.012</t>
  </si>
  <si>
    <t>HU8SM</t>
  </si>
  <si>
    <t>WOS:000465560700003</t>
  </si>
  <si>
    <t>De Alban, JDT; Jamaludin, J; de Wen, DW; Than, MM; Webb, EL</t>
  </si>
  <si>
    <t>De Alban, Jose Don T.; Jamaludin, Johanness; Wong de Wen, Donovan; Than, Maung Maung; Webb, Edward L.</t>
  </si>
  <si>
    <t>ENVIRONMENTAL RESEARCH LETTERS</t>
  </si>
  <si>
    <t>agricultural expansion; mangrove deforestation; mangrove restoration; land cover change; Google Earth Engine; intensity analysis; systematic transition</t>
  </si>
  <si>
    <t>FOREST COVER; INTENSITY ANALYSIS; SOUTHEAST-ASIA; PRESENT STATE; LAND CHANGES; BIODIVERSITY; AQUACULTURE; MANAGEMENT; DYNAMICS; DRIVERS</t>
  </si>
  <si>
    <t>Mangroves are one of the world's most threatened ecosystems, and Myanmar is regarded as the current mangrove deforestation hotspot globally. Here, we use multi-sensor satellite data and Intensity Analysis to quantify and explain patterns of net and gross mangrove cover change (loss, gain, persistence) for the 1996-2016 period across all of Myanmar. Net national mangrove cover declined by 52% over 20 years, with annual net loss rates of 3.60%-3.87%. Gross mangrove deforestation was more profound: 63% of the 1996 mangrove extent had been temporarily or permanently converted by 2016. Rice, oil palm, and rubber expansion accounted for most conversion; however, our analysis revealed targeted systematic transitions of mangroves to water (presumably aquaculture) and built-up areas indicated emerging threats for mangroves from those land uses. Restoration programmes facilitated mangrove gains and represent a critical area for investment alongside protection. This study demonstrates the importance of multi-sensor satellite data for national-level mangrove change assessments, along with gross land cover transition analyses to assess landscape dynamics as well as prioritise threats and interventions in an effort to develop holistic strategies that aim to conserve important habitats.</t>
  </si>
  <si>
    <t>[De Alban, Jose Don T.; Jamaludin, Johanness; Wong de Wen, Donovan; Webb, Edward L.] Natl Univ Singapore, Dept Biol Sci, Singapore 117543, Singapore; [Than, Maung Maung] Ctr People &amp; Forests RECOFTC Myanmar, Naypyitaw 15013, Myanmar</t>
  </si>
  <si>
    <t>National University of Singapore</t>
  </si>
  <si>
    <t>De Alban, JDT; Webb, EL (corresponding author), Natl Univ Singapore, Dept Biol Sci, Singapore 117543, Singapore.</t>
  </si>
  <si>
    <t>dondealban@gmail.com; ted.webb@nus.edu.sg</t>
  </si>
  <si>
    <t>Webb, Edward/E-8343-2011; De Alban, Jose Don/C-7742-2019; Jamaludin, Johanness/AHA-5236-2022</t>
  </si>
  <si>
    <t>De Alban, Jose Don/0000-0002-1671-5786; Jamaludin, Johanness/0000-0001-7043-4814</t>
  </si>
  <si>
    <t>Singapore Ministry of Education [MOE2015-T2-1-131]; MOE</t>
  </si>
  <si>
    <t>Singapore Ministry of Education(Ministry of Education, Singapore); MOE(Ministry of Higher Education &amp; Scientific Research (MHESR))</t>
  </si>
  <si>
    <t>This research was supported by Singapore Ministry of Education Academic Research Grant Tier 2 MOE2015-T2-1-131 and MOE Tier 1 to ELW. We thank three anonymous reviewers for providing helpful comments to improve an earlier version of this manuscript. We thank the Smithsonian Institution, Fauna &amp; Flora International, and EcoDev/ALARM for providing some of the field data for this study. We are grateful to the many contributors and members of the Google Earth Engine Developers group for maintaining a discussion platform for an ever-growing user community.</t>
  </si>
  <si>
    <t>IOP Publishing Ltd</t>
  </si>
  <si>
    <t>BRISTOL</t>
  </si>
  <si>
    <t>TEMPLE CIRCUS, TEMPLE WAY, BRISTOL BS1 6BE, ENGLAND</t>
  </si>
  <si>
    <t>1748-9326</t>
  </si>
  <si>
    <t>ENVIRON RES LETT</t>
  </si>
  <si>
    <t>Environ. Res. Lett.</t>
  </si>
  <si>
    <t>10.1088/1748-9326/ab666d</t>
  </si>
  <si>
    <t>Environmental Sciences; Meteorology &amp; Atmospheric Sciences</t>
  </si>
  <si>
    <t>KS8WP</t>
  </si>
  <si>
    <t>WOS:000518589500001</t>
  </si>
  <si>
    <t>Potter, KM; Escanferla, ME; Jetton, RM; Man, G</t>
  </si>
  <si>
    <t>Potter, Kevin M.; Escanferla, Maria E.; Jetton, Robert M.; Man, Gary</t>
  </si>
  <si>
    <t>Important Insect and Disease Threats to United States Tree Species and Geographic Patterns of Their Potential Impacts</t>
  </si>
  <si>
    <t>FORESTS</t>
  </si>
  <si>
    <t>forest health; gene conservation; genetic resistance; insects and disease; invasive species; threatened species</t>
  </si>
  <si>
    <t>CLIMATE-CHANGE; SPATIOTEMPORAL PATTERNS; FOREST INVENTORY; CONSEQUENCES; PATHOGENS; PESTS; DISTURBANCES; MORTALITY; INVASIONS; POLICY</t>
  </si>
  <si>
    <t>Diseases and insects, particularly those that are non-native and invasive, arguably pose the most destructive threat to North American forests. Currently, both exotic and native insects and diseases are producing extensive ecological damage and economic impacts. As part of an effort to identify United States tree species and forests most vulnerable to these epidemics, we compiled a list of the most serious insect and disease threats for 419 native tree species and assigned a severity rating for each of the 1378 combinations between mature tree hosts and 339 distinct insect and disease agents. We then joined this list with data from a spatially unbiased and nationally consistent forest inventory to assess the potential ecological impacts of insect and disease infestations. Specifically, potential host species mortality for each host/agent combination was used to weight species importance values on approximately 132,000 Forest Inventory and Analysis (FIA) plots across the conterminous 48 United States. When summed on each plot, these weighted importance values represent an estimate of the proportion of the plot's existing importance value at risk of being lost. These plot estimates were then used to identify statistically significant geographic hotspots and coldspots and of potential forest impacts associated with insects and diseases in total, and for different agent types. In general, the potential impacts of insects and diseases were greater in the West, where there are both fewer agents and less diverse forests. The impact of non-native invasive agents, however, was potentially greater in the East. Indeed, the impacts of current exotic pests could be greatly magnified across much of the Eastern United States if these agents are able to reach the entirety of their hosts' ranges. Both the list of agent/host severities and the spatially explicit results can inform species-level vulnerability assessments and broad-scale forest sustainability reporting efforts, and should provide valuable information for decision-makers who need to determine which tree species and locations to target for monitoring efforts and pro-active management activities.</t>
  </si>
  <si>
    <t>[Potter, Kevin M.] North Carolina State Univ, Dept Forestry &amp; Environm Resources, 3041 Cornwallis Rd, Res Triangle Pk, NC 27709 USA; [Escanferla, Maria E.] North Carolina State Univ, Dept Forestry &amp; Environm Resources, Campus Box 8008, Raleigh, NC 27695 USA; [Jetton, Robert M.] North Carolina State Univ, Dept Forestry &amp; Environm Resources, Camcore, Campus Box 8008, Raleigh, NC 27695 USA; [Man, Gary] US Forest Serv, Forest Hlth Protect, USDA, Washington, DC 20024 USA</t>
  </si>
  <si>
    <t>North Carolina State University; North Carolina State University; North Carolina State University; United States Department of Agriculture (USDA); United States Forest Service</t>
  </si>
  <si>
    <t>Potter, KM (corresponding author), North Carolina State Univ, Dept Forestry &amp; Environm Resources, 3041 Cornwallis Rd, Res Triangle Pk, NC 27709 USA.</t>
  </si>
  <si>
    <t>kpotter@ncsu.edu; biomaria.eugenia@gmail.com; rmjetton@ncsu.edu; Fuhuiman@verizon.net</t>
  </si>
  <si>
    <t>; Potter, Kevin/I-4455-2019</t>
  </si>
  <si>
    <t>Jetton, Robert/0000-0003-2839-4446; Potter, Kevin/0000-0002-7330-5345</t>
  </si>
  <si>
    <t>U.S. Department of Agriculture, Forest Service, Southern Research Station [13-JV-11330110-072, 18-CS-11330110-026]; North Carolina State University [13-JV-11330110-072, 18-CS-11330110-026]; NSF Macrosystems Biology grant [DEB-1638702]</t>
  </si>
  <si>
    <t>U.S. Department of Agriculture, Forest Service, Southern Research Station(United States Department of Agriculture (USDA)United States Forest Service); North Carolina State University; NSF Macrosystems Biology grant</t>
  </si>
  <si>
    <t>This work was supported by in part through Research Joint Venture Agreement 13-JV-11330110-072 and Cost Share Agreement 18-CS-11330110-026 between the U.S. Department of Agriculture, Forest Service, Southern Research Station, and North Carolina State University, and by NSF Macrosystems Biology grant DEB-1638702.</t>
  </si>
  <si>
    <t>1999-4907</t>
  </si>
  <si>
    <t>10.3390/f10040304</t>
  </si>
  <si>
    <t>HX3PH</t>
  </si>
  <si>
    <t>WOS:000467303600012</t>
  </si>
  <si>
    <t>Liermann, CR; Nilsson, C; Robertson, J; Ng, RY</t>
  </si>
  <si>
    <t>Liermann, Catherine Reidy; Nilsson, Christer; Robertson, James; Ng, Rebecca Y.</t>
  </si>
  <si>
    <t>dams; ecoregions; fish; rivers</t>
  </si>
  <si>
    <t>FLOW REGULATION; CLIMATE-CHANGE; RIVER SYSTEMS; LONG-TERM; BIODIVERSITY; CONSERVATION; HABITAT; HOMOGENIZATION; INVASIONS; THREATS</t>
  </si>
  <si>
    <t>Dams are obstructing rivers worldwide, impairing habitat and migration opportunities for many freshwater fish species; however, global data linking dam and fish distributions have been limited. Here, we quantify dam obstruction at the biogeographic scale of freshwater ecoregion, which provides the spatial framework necessary to assess the risk of fish species loss due to dams and allows us to identify both ecoregions and genera at risk. Nearly 50% of the 397 assessed freshwater ecoregions are obstructed by large- and medium-size dams, and approximately 27% face additional downstream obstruction. A synthesis of obstruction data and fish traits indicates that taxa such as lampreys (Lampetra spp.), eels (Anguilla spp.), and shads (Alosa spp.) are at particular risk of species loss. Threatened ecoregions with heavy dam obstruction and above-average counts of total, diadromous, or endemic species are found on all continents and include the Murray-Darling Province, Southern Italy, the Lower and Middle Indus Basin, West Korea, the South Atlantic region of the United States, the Upper Parana, and Mobile Bay ecoregions.</t>
  </si>
  <si>
    <t>[Liermann, Catherine Reidy; Nilsson, Christer] Umea Univ, Dept Ecol &amp; Environm Sci, Landscape Ecol Grp, S-90187 Umea, Sweden; [Robertson, James] Nature Conservancy, Boulder, CO USA; [Ng, Rebecca Y.] World Wide Fund Nat, Washington, DC USA</t>
  </si>
  <si>
    <t>Umea University; Nature Conservancy; World Wildlife Fund</t>
  </si>
  <si>
    <t>Liermann, CR (corresponding author), Umea Univ, Dept Ecol &amp; Environm Sci, Landscape Ecol Grp, S-90187 Umea, Sweden.</t>
  </si>
  <si>
    <t>cathyrl@u.washington.edu</t>
  </si>
  <si>
    <t>Nilsson, Christer/AAI-1354-2019</t>
  </si>
  <si>
    <t>Nilsson, Christer/0000-0003-1186-8115</t>
  </si>
  <si>
    <t>Swedish Research Council; World Wide Fund for Nature; Nature Conservancy</t>
  </si>
  <si>
    <t>Swedish Research Council(Swedish Research Council); World Wide Fund for Nature; Nature Conservancy</t>
  </si>
  <si>
    <t>We thank Angela Arthington and Julian Olden for valuable comments on the manuscript. Martin Liermann provided technical and statistical support. The study was supported by the Swedish Research Council, the World Wide Fund for Nature, and The Nature Conservancy.</t>
  </si>
  <si>
    <t>1525-3244</t>
  </si>
  <si>
    <t>10.1525/bio.2012.62.6.5</t>
  </si>
  <si>
    <t>958TB</t>
  </si>
  <si>
    <t>WOS:000305262500005</t>
  </si>
  <si>
    <t>Harik, G; Alameddine, I; Maroun, R; Rachid, G; Bruschi, D; Garcia, DA; El-Fadel, M</t>
  </si>
  <si>
    <t>Harik, G.; Alameddine, I.; Maroun, R.; Rachid, G.; Bruschi, D.; Garcia, D. Astiaso; El-Fadel, M.</t>
  </si>
  <si>
    <t>Coastal zone management; Mediterranean coastlines; Stress and vulnerability indices; Anthropogenic pollution</t>
  </si>
  <si>
    <t>SEA-LEVEL RISE; MULTI-HAZARD-ASSESSMENT; EAST-COAST; RESILIENCE; STATE; METHODOLOGY; FRAMEWORK; INDIA</t>
  </si>
  <si>
    <t>In this study, a multi-criteria index was developed to assess anthropogenic stressors along the Mediterranean coastline. The index aimed at geo-locating pollution hotspots for informed decision making related to coastal zone management. The index was integrated in a Geographical Information System based geodatabase implemented at several pilot areas along the Northern (Italy and France), Eastern (Lebanon), and Southern (Tunisia) Mediterranean coastlines. The generated stressor maps were coupled with a biodiversity richness index and an environmental sensitivity index to produce vulnerability maps that can form the basis for prioritizing management and mitigation interventions towards the identification of pollution hotspots and the promotion of sustainable coastal zone management. The results identified significant differences between the two assessment methods, which can bias prioritization in decision making and policy planning depending on stakeholders' interests. The discrepancies emphasize the need for transparency and understanding of the underlying foundations behind vulnerability indices and mapping development. (C) 2016 Elsevier Ltd. All rights reserved.</t>
  </si>
  <si>
    <t>[Harik, G.; Alameddine, I.; Maroun, R.; Rachid, G.; El-Fadel, M.] Amer Univ Beirut, Dept Civil &amp; Environm Engn, Beirut, Lebanon; [Bruschi, D.; Garcia, D. Astiaso] Sapienza Univ Rome, Dept Astronaut Elect &amp; Energet Engn, Rome, Italy</t>
  </si>
  <si>
    <t>American University of Beirut; Sapienza University Rome</t>
  </si>
  <si>
    <t>El-Fadel, M (corresponding author), Amer Univ Beirut, Dept Civil &amp; Environm Engn, Beirut, Lebanon.</t>
  </si>
  <si>
    <t>mfadel@aub.edu.lb</t>
  </si>
  <si>
    <t>; Alameddine, Ibrahim/D-9365-2013; Garcia, Davide/H-6478-2019; Harik, Ghinwa/KQV-3816-2024</t>
  </si>
  <si>
    <t>Alameddine, Ibrahim/0000-0002-8974-1985; Astiaso Garcia, Davide/0000-0003-0752-2146</t>
  </si>
  <si>
    <t>European Union (ENPI CBC Mediterranean Sea Basin Programme) through the European Neighborhood and Partnership Instrument [39/2377]</t>
  </si>
  <si>
    <t>European Union (ENPI CBC Mediterranean Sea Basin Programme) through the European Neighborhood and Partnership Instrument(European Union (EU))</t>
  </si>
  <si>
    <t>The work presented in this article was developed within the GREAT Med project financed by the European Union (ENPI CBC Mediterranean Sea Basin Programme) through the European Neighborhood and Partnership Instrument under the Grant Agreement no. 39/2377.</t>
  </si>
  <si>
    <t>10.1016/j.jenvman.2016.11.038</t>
  </si>
  <si>
    <t>EH8QN</t>
  </si>
  <si>
    <t>WOS:000392037500021</t>
  </si>
  <si>
    <t>Mo, WB; Wang, Y; Zhang, YX; Zhuang, DF</t>
  </si>
  <si>
    <t>Mo, Wenbo; Wang, Yong; Zhang, Yingxue; Zhuang, Dafang</t>
  </si>
  <si>
    <t>Road network; Landscape ecological risk; Kernel density spatial analysis; Beijing</t>
  </si>
  <si>
    <t>LAND-COVER CHANGE; SPATIAL-PATTERNS; REGION; CITY; FRAGMENTATION; RESTORATION; DISTURBANCE; SOUTHWEST; PROVINCE; METALS</t>
  </si>
  <si>
    <t>Road networks affect the spatial structure of urban landscapes, and with continuous expansion, it will also exert more widespread influences on the regional ecological environment. With the support of geographic information system (GIS) technology, based on the application of various spatial analysis methods, this study analyzed the spatiotemporal changes of road networks and landscape ecological risk in the research area of Beijing to explore the impacts of road network expansion on ecological risk in the urban landscape. The results showed the following: 1) In the dynamic processes of change in the overall landscape pattern, the changing differences in landscape indices of various landscape types were obvious and were primarily related to land-use type. 2) For the changes in a time series, the expansion of the road kernel area was consistent with the extension of the sub-low-risk area in the urban center, but some differences were observed during different stages of development. 3) For the spatial position, the expanding changes in the road kernel area were consistent with the grade changes of the urban central ecological risk, primarily because both had a certain spatial correlation with the expressways. 4) The influence of road network expansion on the ecological risk in the study area had obvious spatial differences, which may be closely associated with the distribution of ecosystem types. (C) 2016 The Authors. Published by Elsevier B.V.</t>
  </si>
  <si>
    <t>[Mo, Wenbo; Zhang, Yingxue] Changsha Univ Sci &amp; Technol, Sch Traff &amp; Transportat Engn, Changsha 410004, Hunan, Peoples R China; [Wang, Yong; Zhuang, Dafang] Chinese Acad Sci, State Key Lab Resources &amp; Environm Informat Syst, Inst Geog Sci &amp; Nat Resources Res, Beijing 100101, Peoples R China</t>
  </si>
  <si>
    <t>Changsha University of Science &amp; Technology; Chinese Academy of Sciences; Institute of Geographic Sciences &amp; Natural Resources Research, CAS</t>
  </si>
  <si>
    <t>Wang, Y (corresponding author), Chinese Acad Sci, State Key Lab Resources &amp; Environm Informat Syst, Inst Geog Sci &amp; Nat Resources Res, Beijing 100101, Peoples R China.</t>
  </si>
  <si>
    <t>wangy@igsnrr.ac.cn</t>
  </si>
  <si>
    <t>; Wang, Yong/M-5175-2015</t>
  </si>
  <si>
    <t>Wang, Yong/0000-0002-0821-6549;</t>
  </si>
  <si>
    <t>High Resolution Earth Observation Systems of National Science and Technology [10-Y30B11-9001-14/16]</t>
  </si>
  <si>
    <t>High Resolution Earth Observation Systems of National Science and Technology</t>
  </si>
  <si>
    <t>This study was partially funded by the High Resolution Earth Observation Systems of National Science and Technology Major Projects (10-Y30B11-9001-14/16). The funders had no role in study design, data collection and analysis, decision to publish, or preparation of the manuscript The authors mainly thank Qian Ding of Institute of Geographical Sciences and Natural Resources Research, Chinese Academy of Sciences, China for her help in data processing.</t>
  </si>
  <si>
    <t>10.1016/j.scitotenv.2016.09.048</t>
  </si>
  <si>
    <t>ED7ZA</t>
  </si>
  <si>
    <t>WOS:000389090100095</t>
  </si>
  <si>
    <t>Pena, JCD; Goulart, F; Fernandes, GW; Hoffmann, D; Leite, FSF; dos Santos, NB; Soares, B; Sobral-Souza, T; Vancine, MH; Rodrigues, M</t>
  </si>
  <si>
    <t>de Castro Pena, Joao Carlos; Goulart, Fernando; Wilson Fernandes, G.; Hoffmann, Diego; Leite, Felipe S. F.; dos Santos, Natalia Britto; Soares-Filho, Britaldo; Sobral-Souza, Thadeu; Vancine, Mauricio Humberto; Rodrigues, Marcos</t>
  </si>
  <si>
    <t>PERSPECTIVES IN ECOLOGY AND CONSERVATION</t>
  </si>
  <si>
    <t>Anurans; Birds; Conservation; Ecological Niche Models; Extinction Risk; Mineral exploitation; Rupestrian grasslands</t>
  </si>
  <si>
    <t>PRESENCE-ONLY DATA; EXTINCTION RISK; CLIMATE-CHANGE; RANGE; CONSERVATION; THRESHOLDS; PLANTS; AREAS</t>
  </si>
  <si>
    <t>Mining causes profound impacts on biodiversity. In Brazil, mining pressure is intense, especially in highly biodiverse regions such as the Espinhaco range. We analyzed the direct and indirect effects of mining on the potential geographic range of 32 anuran and eight bird species endemic to the eastern Brazil mountaintops. We also assessed the mining impacts on the local biodiversity rate of both species groups. Currently, 36.44% and 28.80% of the median potential distribution of the anuran and bird species, respectively, are affected directly or indirectly by mining. More than half of the range for eight anuran species and more than 40% of two birds species's ranges are influenced by this anthropogenic activity. Regions with suitable environmental characteristics for more than one species are highly affected by mining: 67% of the pixels that are suitable for 16 species (2109 km(2)) are currently impacted by mining. These results indicate that mining activities present a considerable threat to both anurans and birds endemic of the eastern Brazil mountaintops. We discuss many aspects related to the loss of potential habitat for these species, and call for management strategies to avert the ongoing wave of mining impacts. (c) 2017 Associacao Brasileira de Ciencia Ecologica e Conservacao. Published by Elsevier Editora Ltda.</t>
  </si>
  <si>
    <t>[de Castro Pena, Joao Carlos; Rodrigues, Marcos] Univ Fed Minas Gerais, Inst Ciencias Biol, Dept Zool, Lab Ornitol, Belo Horizonte, MG, Brazil; [de Castro Pena, Joao Carlos; dos Santos, Natalia Britto] Univ Fed Minas Geraisl, Inst Ciencia Biol, Programa Posgrad Ecol Conservacao &amp; Manejo Vida S, Belo Horizonte, MG, Brazil; [Goulart, Fernando; Soares-Filho, Britaldo] Univ Fed Minas Gerais, Inst Geociencias, Ctr Sensoriamento Remoto, Mestrado Anal &amp; Modelagem Sistemas Ambientais, Belo Horizonte, MG, Brazil; [Wilson Fernandes, G.] Univ Fed Minas Gerais, ICB, Ecol Evolut &amp; Biodiversidade DBG, Belo Horizonte, MG, Brazil; [Wilson Fernandes, G.] Stanford Univ, Dept Biol, Stanford, CA 94305 USA; [Hoffmann, Diego] Univ Fed Espirito Santo, Dept Ciencias Agr &amp; Biol, CEUNES, Sao Mateus, ES, Brazil; [Leite, Felipe S. F.] Univ Fed Vicosa, Campus Florestal, Florestal, MG, Brazil; [Sobral-Souza, Thadeu; Vancine, Mauricio Humberto] Sao Paulo State Univ, UNESP, Inst Biosci, Spatial Ecol &amp; Conservat Lab LEEC, Rio Claro, SP, Brazil; [Sobral-Souza, Thadeu] Univ Metropolitana Santos, UNIMES, Curso Ciencias Biol, Dept Educ, Santos, SP, Brazil; [de Castro Pena, Joao Carlos] Embrapa Recursos Genet &amp; Biotecnol, Lab Ecol &amp; Conservacao, Brasilia, DF, Brazil</t>
  </si>
  <si>
    <t>Universidade Federal de Minas Gerais; Universidade Federal de Minas Gerais; Universidade Federal de Minas Gerais; Stanford University; Universidade Federal do Espirito Santo; Universidade Federal de Vicosa; Universidade Estadual Paulista; Empresa Brasileira de Pesquisa Agropecuaria (EMBRAPA); EMBRAPA Genetic Resources &amp; Biotechnology</t>
  </si>
  <si>
    <t>Pena, JCD (corresponding author), Univ Fed Minas Gerais, Inst Ciencias Biol, Dept Zool, Lab Ornitol, Belo Horizonte, MG, Brazil.;Pena, JCD (corresponding author), Univ Fed Minas Geraisl, Inst Ciencia Biol, Programa Posgrad Ecol Conservacao &amp; Manejo Vida S, Belo Horizonte, MG, Brazil.;Pena, JCD (corresponding author), Embrapa Recursos Genet &amp; Biotecnol, Lab Ecol &amp; Conservacao, Brasilia, DF, Brazil.</t>
  </si>
  <si>
    <t>joaocpena@gmail.com</t>
  </si>
  <si>
    <t>Leite, Felipe/H-9179-2012; Castro Pena, João Carlos/S-6798-2016; Goulart, Fernando/N-5602-2018; Hoffmann, Diego/D-9930-2013; Vancine, Maurício Humberto/F-7305-2016; Fernandes, Geraldo/AAN-5602-2021; Sobral Souza, Thadeu/O-1068-2017</t>
  </si>
  <si>
    <t>Castro Pena, João Carlos/0000-0003-1368-1805; Goulart, Fernando/0000-0002-6327-5285; Hoffmann, Diego/0000-0001-7542-5933; Vancine, Maurício Humberto/0000-0001-9650-7575; Fernandes, Geraldo/0000-0003-1559-6049; Britto dos Santos, Natalia/0000-0002-3075-7085; Sobral Souza, Thadeu/0000-0002-2367-2315</t>
  </si>
  <si>
    <t>Brazilian National Research Council (CNPq) [503168/2012-2, 150319/2017-7, 500995/2011-7 PDJ]; Fundo de Amparo a Pesquisa do Estado de Minas Gerais (FAPEMIG); Coordenacao de Aperfeicoamento de Pessoal de Nivel Superiorfor (CAPES)</t>
  </si>
  <si>
    <t>Brazilian National Research Council (CNPq)(Conselho Nacional de Desenvolvimento Cientifico e Tecnologico (CNPQ)); Fundo de Amparo a Pesquisa do Estado de Minas Gerais (FAPEMIG); Coordenacao de Aperfeicoamento de Pessoal de Nivel Superiorfor (CAPES)(Coordenacao de Aperfeicoamento de Pessoal de Nivel Superior (CAPES))</t>
  </si>
  <si>
    <t>This work was supported by the Brazilian National Research Council (CNPq) [MR (grant number 503168/2012-2), TSS (grant number 150319/2017-7), DH (grant number 500995/2011-7 PDJ) and GWF]; the Fundo de Amparo a Pesquisa do Estado de Minas Gerais (FAPEMIG) (MR and GWF); the Coordenacao de Aperfeicoamento de Pessoal de Nivel Superiorfor (CAPES) (GWF, JCCP, MHV). We also thank the Vellozia Reserve. TSS thanks Unimes for the logistic support. We thank A. Mastin, U. Oliveira, G. Ziv and L. Budello for the important contributions to the manuscript.</t>
  </si>
  <si>
    <t>2530-0644</t>
  </si>
  <si>
    <t>PERSPECT ECOL CONSER</t>
  </si>
  <si>
    <t>Perspect. Ecol. Conserv.</t>
  </si>
  <si>
    <t>JUL-SEP</t>
  </si>
  <si>
    <t>10.1016/j.pecon.2017.07.005</t>
  </si>
  <si>
    <t>FQ6TM</t>
  </si>
  <si>
    <t>WOS:000418496900005</t>
  </si>
  <si>
    <t>Xu, LT; Chen, SS; Xu, Y; Li, GY; Su, WZ</t>
  </si>
  <si>
    <t>Xu, Liting; Chen, Sophia Shuang; Xu, Yu; Li, Guangyu; Su, Weizhong</t>
  </si>
  <si>
    <t>habitat quality; InVEST model; land use and land cover change; hotspots; Taihu Lake Basin</t>
  </si>
  <si>
    <t>MULTIPLE ECOSYSTEM SERVICES; LANDSCAPE PATTERN; RIVER DELTA; TRADE-OFFS; BIODIVERSITY CONSERVATION; CHINA; WATER; URBANIZATION; MODEL; AREA</t>
  </si>
  <si>
    <t>Habitat quality (HQ) is of great significance to regional sustainable development, which is a key link for regional ecological security and human welfare. Assessing the temporal and spatial evolution of HQ caused by land-use change could provide a scientific basis for regional ecological protection and land management. Here, based on the ArcGIS platform and the InVEST model, this study quantified the spatial and temporal evolutions of land use, landscape patterns, and HQ from 1985 to 2015, in Taihu Lake Basin (TLB). Hotspot analysis tools were used to identify the spatial agglomeration and evolution characteristics of HQ in TLB. The results showed that, (1) the land use and landscape pattern in TLB experienced dramatic change process during 1985-2015, with the dominating conversion being from farmland to construction land, which led to an increase in landscape heterogeneity and fragmentation. (2) The HQ was generally reduced in the past 30 years. In particular, the decline of HQ was extremely severe in the peripheral area of cities and roads, due to urban sprawl. (3) Regarding the spatial distribution of HQ, the northern and eastern areas were generally higher, while the western and southern areas were generally lower. The hotspots areas were mainly located in the southwestern mountain area and west-central lake area, while the cold spots areas were mainly located in urban areas in the north and the east. (4) The area and degree of habitat degradation were both increased significantly due to land-use change, and the degradation of the Taihu Lake was highlighted. Strengthening the ecological environment management and reducing the threat of urban expansion to the HQ is urgently required. This study could help understand HQ of the TLB and provide a scientific basis for decision-makers.</t>
  </si>
  <si>
    <t>[Xu, Liting; Chen, Sophia Shuang; Su, Weizhong] Chinese Acad Sci, Key Lab Watershed Geog Sci, Nanjing Inst Geog &amp; Limnol, Nanjing 210008, Jiangsu, Peoples R China; [Xu, Liting; Chen, Sophia Shuang; Xu, Yu; Su, Weizhong] Univ Chinese Acad Sci, Coll Resources &amp; Environm, Beijing 100049, Peoples R China; [Xu, Yu] Chinese Acad Sci, Key Lab Land Surface Pattern &amp; Simulat, Inst Geog Sci &amp; Nat Resources Res, Beijing 100101, Peoples R China; [Li, Guangyu] Chinese Res Inst Environm Sci, Beijing 100012, Peoples R China</t>
  </si>
  <si>
    <t>Chinese Academy of Sciences; Nanjing Institute of Geography &amp; Limnology, CAS; Chinese Academy of Sciences; University of Chinese Academy of Sciences, CAS; Chinese Academy of Sciences; Institute of Geographic Sciences &amp; Natural Resources Research, CAS; Chinese Research Academy of Environmental Sciences</t>
  </si>
  <si>
    <t>Chen, SS (corresponding author), Chinese Acad Sci, Key Lab Watershed Geog Sci, Nanjing Inst Geog &amp; Limnol, Nanjing 210008, Jiangsu, Peoples R China.;Chen, SS (corresponding author), Univ Chinese Acad Sci, Coll Resources &amp; Environm, Beijing 100049, Peoples R China.</t>
  </si>
  <si>
    <t>schens@niglas.ac.cn</t>
  </si>
  <si>
    <t>; chen, shuang/OMQ-3134-2025</t>
  </si>
  <si>
    <t>chen, shuang/0000-0001-6308-0958;</t>
  </si>
  <si>
    <t>National Natural Science Foundation of China [41771140]; Jiangsu Natural Science Foundation [BK20181105]</t>
  </si>
  <si>
    <t>National Natural Science Foundation of China(National Natural Science Foundation of China (NSFC)); Jiangsu Natural Science Foundation(Natural Science Foundation of Jiangsu Province)</t>
  </si>
  <si>
    <t>This research was funded by the National Natural Science Foundation of China (Grant No. 41771140) and the Jiangsu Natural Science Foundation (Grant No. BK20181105).</t>
  </si>
  <si>
    <t>10.3390/su11133513</t>
  </si>
  <si>
    <t>IL1IB</t>
  </si>
  <si>
    <t>WOS:000477051900018</t>
  </si>
  <si>
    <t>Woodcock, P; Edwards, DP; Newton, RJ; Khen, CV; Bottrell, SH; Hamer, KC</t>
  </si>
  <si>
    <t>Woodcock, Paul; Edwards, David P.; Newton, Rob J.; Khen, Chey Vun; Bottrell, Simon H.; Hamer, Keith C.</t>
  </si>
  <si>
    <t>FOOD-CHAIN LENGTH; ECOSYSTEM SIZE; STABLE-ISOTOPES; EXTINCTION RISK; WEB; DISTURBANCE; DYNAMICS; CONSERVATION; POSITION; ECOLOGY</t>
  </si>
  <si>
    <t>Trophic organisation defines the flow of energy through ecosystems and is a key component of community structure. Widespread and intensifying anthropogenic disturbance threatens to disrupt trophic organisation by altering species composition and relative abundances and by driving shifts in the trophic ecology of species that persist in disturbed ecosystems. We examined how intensive disturbance caused by selective logging affects trophic organisation in the biodiversity hotspot of Sabah, Borneo. Using stable nitrogen isotopes, we quantified the positions in the food web of 159 leaf-litter ant species in unlogged and logged rainforest and tested four predictions: (i) there is a negative relationship between the trophic position of a species in unlogged forest and its change in abundance following logging, (ii) the trophic positions of species are altered by logging, (iii) disturbance alters the frequency distribution of trophic positions within the ant assemblage, and (iv) disturbance reduces food chain length. We found that ant abundance was 30% lower in logged forest than in unlogged forest but changes in abundance of individual species were not related to trophic position, providing no support for prediction (i). However, trophic positions of individual species were significantly higher in logged forest, supporting prediction (ii). Consequently, the frequency distribution of trophic positions differed significantly between unlogged and logged forest, supporting prediction (iii), and food chains were 0.2 trophic levels longer in logged forest, the opposite of prediction (iv). Our results demonstrate that disturbance can alter trophic organisation even without trophically-biased changes in community composition. Nonetheless, the absence of any reduction in food chain length in logged forest suggests that species-rich arthropod food webs do not experience trophic downgrading or a related collapse in trophic organisation despite the disturbance caused by logging. These food webs appear able to bend without breaking in the face of some forms of anthropogenic disturbance.</t>
  </si>
  <si>
    <t>[Woodcock, Paul; Edwards, David P.; Hamer, Keith C.] Univ Leeds, Sch Biol, Leeds, W Yorkshire, England; [Edwards, David P.] James Cook Univ, Sch Trop &amp; Marine Biol, Cairns, Australia; [Newton, Rob J.; Bottrell, Simon H.] Univ Leeds, Sch Earth &amp; Environm, Leeds, W Yorkshire, England; [Khen, Chey Vun] Sepilok Forest Res Ctr, Sabah Forestry Dept, Sandakan, Malaysia</t>
  </si>
  <si>
    <t>University of Leeds; James Cook University; University of Leeds; Pusat Penyelidikan Hutan</t>
  </si>
  <si>
    <t>Woodcock, P (corresponding author), Univ Leeds, Sch Biol, Leeds, W Yorkshire, England.</t>
  </si>
  <si>
    <t>p.woodcock@bangor.ac.uk</t>
  </si>
  <si>
    <t>; Newton, Robert/B-2599-2009; Edwards, David/AAC-5091-2019</t>
  </si>
  <si>
    <t>Woodcock, Paul/0000-0002-2178-5447; Newton, Robert/0000-0003-0144-6867; Edwards, David/0000-0001-8562-3853</t>
  </si>
  <si>
    <t>Earth and Biosphere Institute studentship from the University of Leeds; Leverhulme Trust</t>
  </si>
  <si>
    <t>Earth and Biosphere Institute studentship from the University of Leeds; Leverhulme Trust(Leverhulme Trust)</t>
  </si>
  <si>
    <t>PW was supported by an Earth and Biosphere Institute studentship from the University of Leeds and the work was additionally supported by a grant from the Leverhulme Trust. The funders had no role in study design, data collection and analysis, decision to publish, or preparation of the manuscript.</t>
  </si>
  <si>
    <t>e60756</t>
  </si>
  <si>
    <t>10.1371/journal.pone.0060756</t>
  </si>
  <si>
    <t>123IQ</t>
  </si>
  <si>
    <t>WOS:000317382000024</t>
  </si>
  <si>
    <t>Gül, MR; Griffen, BD</t>
  </si>
  <si>
    <t>Gul, Mustafa R.; Griffen, Blaine D.</t>
  </si>
  <si>
    <t>OFF-ROAD VEHICLES; OCYPODE-QUADRATA FABRICIUS; NATIONAL SEASHORE; RAPID ASSESSMENT; BEACHES; ARCHITECTURE; ORVS; CERATOPHTHALMA; ENVIRONMENTS; CONSERVATION</t>
  </si>
  <si>
    <t>Ghost crabs have been widely used as a bio-indicator species of human impacts on sandy beaches to obtain reliable biological data for management and conservation purposes. Ghost crab population densities and individual sizes decline dramatically under human pressure. However, distribution within a beach and the factors that determine this distribution of ghost crabs is still an open question. These factors may provide valuable information for understanding human impacts on sandy beaches. Here we examine ghost crab burrows on 20 sandy beaches of South Carolina, USA under various levels of human impacts to understand the response in terms of spatial distribution of this species to human impacts. We also examine the burrow characteristics and environmental properties of the burrows to determine whether these factors alter burrow characteristics. We show that crabs on heavily impacted beaches altered their spatial distribution to mostly occupy the edges of impacted beaches. Further, this change in spatial distribution was influenced by the size distribution of the population on a beach (i.e. larger individuals occupy upper parts on the beaches). We also found that ghost crabs altered the morphology of their burrows on heavily impacted beaches. Ghost crabs create deeper, steeper and smaller burrows under human impacts. These patterns were also influenced by physical characteristics of the beach. Our results suggest that human impacts can directly influence the spatial distribution of ghost crab populations within a beach and therefore sampling at upper parts of the beaches overestimates the population density and individual sizes. Our results support the use of ghost crabs as indicator species in effective beach management, but suggest that assessments would benefit from examining the morphology and distribution of burrows as opposed to simply using burrow counts to assess the health of sandy shores.</t>
  </si>
  <si>
    <t>[Gul, Mustafa R.] Univ South Carolina, Marine Sci Program, Sch Earth Ocean &amp; Environm, Columbia, SC 29208 USA; [Griffen, Blaine D.] Brigham Young Univ, Dept Biol, Provo, UT 84602 USA</t>
  </si>
  <si>
    <t>University of South Carolina System; University of South Carolina Columbia; Brigham Young University</t>
  </si>
  <si>
    <t>Gül, MR (corresponding author), Univ South Carolina, Marine Sci Program, Sch Earth Ocean &amp; Environm, Columbia, SC 29208 USA.</t>
  </si>
  <si>
    <t>mremzigul@gmail.com</t>
  </si>
  <si>
    <t>Gul, Mustafa/ACM-6100-2022; Griffen, Blaine/AAC-6384-2021</t>
  </si>
  <si>
    <t>Gul, Mustafa/0000-0002-2864-273X;</t>
  </si>
  <si>
    <t>Ministry of National Education, Republic of Turkey</t>
  </si>
  <si>
    <t>Ministry of National Education, Republic of Turkey(Ministry of National Education - Turkey)</t>
  </si>
  <si>
    <t>This work was supported by the Ministry of National Education, Republic of Turkey (awarded to MRG). The funder had no role in study design, data collection and analysis, decision to publish, or preparation of the manuscript.</t>
  </si>
  <si>
    <t>e0209977</t>
  </si>
  <si>
    <t>10.1371/journal.pone.0209977</t>
  </si>
  <si>
    <t>HG0IO</t>
  </si>
  <si>
    <t>WOS:000454627200119</t>
  </si>
  <si>
    <t>Wallace, BP; Kot, CY; DiMatteo, AD; Lee, T; Crowder, LB; Lewison, RL</t>
  </si>
  <si>
    <t>Wallace, Bryan P.; Kot, Connie Y.; DiMatteo, Andrew D.; Lee, Tina; Crowder, Larry B.; Lewison, Rebecca L.</t>
  </si>
  <si>
    <t>Impacts of fisheries bycatch on marine turtle populations worldwide: toward conservation and research priorities</t>
  </si>
  <si>
    <t>bycatch rates; distinct population segments; fisheries bycatch; fisheries mortality; longlines; marine megafauna; marine turtle; nets; regional management units; stock assessment; trawls</t>
  </si>
  <si>
    <t>LOGGERHEAD SEA-TURTLES; LEPIDOCHELYS-OLIVACEA; INCIDENTAL CAPTURE; DELAYED MORTALITY; SPATIAL-PATTERNS; CARETTA-CARETTA; USA FISHERIES; REDUCTION; AID</t>
  </si>
  <si>
    <t>Fisheries bycatch is considered the most serious threat globally to long-lived marine megafauna (e. g., mammals, birds, turtles, elasmobranchs). However, bycatch assessments to date have not evaluated population-level bycatch impacts across fishing gears. Here, we provide the first global, multi-gear evaluation of population-level fisheries bycatch impacts for marine turtles. To compare bycatch impacts of multiple gears within and among marine turtle populations (or regional management units, RMUs), we compiled more than 1,800 records from over 230 sources of reported marine turtle bycatch in longline, net, and trawl fisheries worldwide that were published between 1990-2011. The highest bycatch rates and levels of observed effort for each gear category occurred in the East Pacific, Northwest and Southwest Atlantic, and Mediterranean regions, which were also the regions of highest data availability. Overall, available data were dominated by longline records (nearly 60% of all records), and were non-uniformly distributed, with significant data gaps around Africa, in the Indian Ocean, and Southeast Asia. We found that bycatch impact scores-which integrate information on bycatch rates, fishing effort, mortality rates, and body sizes (i.e., proxies for reproductive values) of turtles taken as bycatch-as well as mortality rates in particular, were significantly lower in longline fishing gear than in net and trawl fishing gears. Based on bycatch impact scores and RMU-specific population metrics, we identified the RMUs most and least threatened by bycatch globally, and found wide variation among species, regions, and gears within these classifications. The lack of regional or species-specific patterns in bycatch impacts across fishing gears suggests that gear types and RMUs in which bycatch has the highest impact depend on spatially-explicit overlaps of fisheries (e. g., gear characteristics, fishing practices, target species), marine turtle populations (e. g., conservation status, aggregation areas), and underlying habitat features (e. g., oceanographic conditions). Our study provides a blueprint both for prioritizing limited conservation resources toward managing fishing gears and practices with the highest population impacts on sea turtles and for enhancing data collection and reporting efforts.</t>
  </si>
  <si>
    <t>[Wallace, Bryan P.; Lee, Tina] Conservat Int, Global Marine Div, Arlington, VA 22202 USA; [Wallace, Bryan P.] Duke Univ, Nicholas Sch, Div Marine Sci &amp; Conservat, Marine Lab, Beaufort, NC 25816 USA; [Kot, Connie Y.] Duke Univ, Nicholas Sch Environm, Marine Geospatial Ecol Lab, Marine Lab, Beaufort, NC 28516 USA; [DiMatteo, Andrew D.] USDA, Naval Facil Engn Command Atlantic, Norfolk, VA 23508 USA; [Crowder, Larry B.] Stanford Univ, Ctr Ocean Solut, Monterey, CA 93940 USA; [Lewison, Rebecca L.] San Diego State Univ, Dept Biol, San Diego, CA 92182 USA</t>
  </si>
  <si>
    <t>Conservation International; Duke University; Duke University; United States Department of Agriculture (USDA); Stanford University; California State University System; San Diego State University</t>
  </si>
  <si>
    <t>Wallace, BP (corresponding author), Ocean Soc, Marine Flagship Species Program, 624 Keefer Pl NW, Washington, DC 20010 USA.</t>
  </si>
  <si>
    <t>wallace@oceanicsociety.org</t>
  </si>
  <si>
    <t>; Kot, Connie/AAZ-5974-2021</t>
  </si>
  <si>
    <t>Lewison, Rebecca L/0000-0003-3065-2926; Kot, Connie/0000-0002-4900-5289</t>
  </si>
  <si>
    <t>National Fish and Wildlife Foundation; Trott Family Foundation; Offield Family Foundation; Goldring Family Foundation</t>
  </si>
  <si>
    <t>National Fish and Wildlife Foundation provided financial support for this work. T. L. was sponsored by a grant from the Trott Family Foundation to Conservation International. We also acknowledge the support of the Offield Family Foundation and the Goldring Family Foundation. We recognize and are grateful to S. Kelez, R. Bjorkland, S. McDonald, T. McDonald, E. Finkbeiner, and S. Helmbrecht for their efforts in compiling the database and in previous analyses. This study was initiated under Project GloBAL (Global Bycatch Assessment of Long-lived species) at Duke University.</t>
  </si>
  <si>
    <t>10.1890/ES12-00388.1</t>
  </si>
  <si>
    <t>256JV</t>
  </si>
  <si>
    <t>WOS:000327307300009</t>
  </si>
  <si>
    <t>Kano, Y; Dudgeon, D; Nam, S; Samejima, H; Watanabe, K; Grudpan, C; Grudpan, J; Magtoon, W; Musikasinthorn, P; Nguyen, PT; Praxaysonbath, B; Sato, T; Shibukawa, K; Shimatani, Y; Suvarnaraksha, A; Tanaka, W; Thach, P; Tran, DD; Yamashita, T; Utsugi, K</t>
  </si>
  <si>
    <t>Kano, Yuichi; Dudgeon, David; Nam, So; Samejima, Hiromitsu; Watanabe, Katsutoshi; Grudpan, Chaiwut; Grudpan, Jarungjit; Magtoon, Wichan; Musikasinthorn, Prachya; Phuong Thanh Nguyen; Praxaysonbath, Bounthob; Sato, Tomoyuki; Shibukawa, Koichi; Shimatani, Yukihiro; Suvarnaraksha, Apinun; Tanaka, Wataru; Thach, Phanara; Dac Dinh Tran; Yamashita, Tomomi; Utsugi, Kenzo</t>
  </si>
  <si>
    <t>Impacts of Dams and Global Warming on Fish Biodiversity in the Indo-Burma Hotspot</t>
  </si>
  <si>
    <t>FRESH-WATER BIODIVERSITY; CLIMATE-CHANGE; FUTURE; FLOW; HYDROPOWER; SCENARIOS; SECURITY; PATTERNS; THREATS; WORLDS</t>
  </si>
  <si>
    <t>Both hydropower dams and global warming pose threats to freshwater fish diversity. While the extent of global warming may be reduced by a shift towards energy generation by large dams in order to reduce fossil-fuel use, such dams profoundly modify riverine habitats. Furthermore, the threats posed by dams and global warming will interact: for example, dams constrain range adjustments by fishes that might compensate for warming temperatures. Evaluation of their combined or synergistic effects is thus essential for adequate assessment of the consequences of planned water-resource developments. We made projections of the responses of 363 fish species within the Indo-Burma global biodiversity hotspot to the separate and joint impacts of dams and global warming. The hotspot encompasses the Lower Mekong Basin, which is the world's largest freshwater capture fishery. Projections for 81 dam-building scenarios revealed progressive impacts upon projected species richness, habitable area, and the proportion of threatened species as generating capacity increased. Projections from 126 global-warming scenarios included a rise in species richness, a reduction in habitable area, and an increase in the proportion of threatened species; however, there was substantial variation in the extent of these changes among warming projections. Projections from scenarios that combined the effects of dams and global warming were derived either by simply adding the two threats, or by combining them in a synergistic manner that took account of the likelihood that habitat shifts under global warming would be constrained by river fragmentation. Impacts on fish diversity under the synergistic projections were 10-20% higher than those attributable to additive scenarios, and were exacerbated as generating capacity increased-particularly if CO2 emissions remained high. The impacts of dams, especially those on river mainstreams, are likely to be greater, more predictable and more immediately pressing for fishes than the consequences of global warming. Limits upon dam construction should therefore be a priority action for conserving fish biodiversity in the Indo-Burma hotspot. This would minimize synergistic impacts attributable to dams plus global warming, and help ensure the continued provision of ecosystem services represented by the Lower Mekong fishery.</t>
  </si>
  <si>
    <t>[Kano, Yuichi; Shimatani, Yukihiro; Yamashita, Tomomi] Kyushu Univ, Inst Decis Sci Sustainable Soc, Fukuoka, Fukuoka, Japan; [Dudgeon, David] Univ Hong Kong, Sch Biol Sci, Hong Kong, Hong Kong, Peoples R China; [Nam, So; Thach, Phanara] Inland Fisheries Res &amp; Dev Inst Fisheries Adm, Phnom Penh, Cambodia; [Samejima, Hiromitsu] Inst Global Environm Strategies, Hayama, Kanagawa, Japan; [Samejima, Hiromitsu; Shimatani, Yukihiro] Kyushu Univ, Dept Urban &amp; Environm Engn, Fukuoka, Fukuoka, Japan; [Watanabe, Katsutoshi] Kyoto Univ, Dept Zool, Kyoto, Kyoto, Japan; [Grudpan, Chaiwut; Grudpan, Jarungjit] Ubon Ratchathani Univ, Dept Fisheries, Ubon Ratchathani, Thailand; [Magtoon, Wichan] Mahasakham Univ, Dept Biol, Maha Sarakham, Thailand; [Musikasinthorn, Prachya] Kasetsart Univ, Fac Fisheries, Bangkok, Thailand; [Phuong Thanh Nguyen; Dac Dinh Tran] Can Tho Univ, Dept Fisheries Management &amp; Econ, Chan Tho, Vietnam; [Praxaysonbath, Bounthob] Natl Univ Laos, Fac Sci, Viangchan, Laos; [Sato, Tomoyuki] Siem Reap Freshwater Fishes Lab, Siem Reap, Cambodia; [Shibukawa, Koichi; Utsugi, Kenzo] Nagao Nat Environm Fdn, Tokyo, Japan; [Shibukawa, Koichi] Museum Nat &amp; Environm Hist, Shizuoka, Shizuoka, Japan; [Suvarnaraksha, Apinun] Maejo Univ, Fac Fisheries Technol &amp; Aquat Resources, Chiang Mai, Thailand; [Tanaka, Wataru] Kyushu Univ, Grad Educ &amp; Res Training Program Decis Sci Sustai, Fukuoka, Fukuoka, Japan</t>
  </si>
  <si>
    <t>Kyushu University; University of Hong Kong; Kyushu University; Kyoto University; Ubon Ratchathani University; Kasetsart University; Can Tho University; Maejo University; Kyushu University</t>
  </si>
  <si>
    <t>Kano, Y (corresponding author), Kyushu Univ, Inst Decis Sci Sustainable Soc, Fukuoka, Fukuoka, Japan.</t>
  </si>
  <si>
    <t>kano@species.jp</t>
  </si>
  <si>
    <t>; shimatani, yukihiro/OEN-5119-2025; Nguyen, Phuc/LQK-9349-2024</t>
  </si>
  <si>
    <t>Kano, Yuichi/0000-0001-7158-753X; Nguyen, Phuong-Thanh/0000-0001-7810-430X;</t>
  </si>
  <si>
    <t>Environment Research and Technology Development Fund of the Ministry of the Environment, Japan [S9-4-7]; JSPS KAKENHI Grant [26304007]; JSPS Program for Leading Graduate Schools (Graduate Education and Research Training Program in Decision Science for a Sustainable Society); Grants-in-Aid for Scientific Research [26304007] Funding Source: KAKEN</t>
  </si>
  <si>
    <t>Environment Research and Technology Development Fund of the Ministry of the Environment, Japan(Ministry of the Environment, Japan); JSPS KAKENHI Grant(Ministry of Education, Culture, Sports, Science and Technology, Japan (MEXT)Japan Society for the Promotion of ScienceGrants-in-Aid for Scientific Research (KAKENHI)); JSPS Program for Leading Graduate Schools (Graduate Education and Research Training Program in Decision Science for a Sustainable Society); Grants-in-Aid for Scientific Research(Ministry of Education, Culture, Sports, Science and Technology, Japan (MEXT)Japan Society for the Promotion of ScienceGrants-in-Aid for Scientific Research (KAKENHI))</t>
  </si>
  <si>
    <t>This research was financially supported, in part, by grants from the Environment Research and Technology Development Fund (S9-4-7) of the Ministry of the Environment, Japan, JSPS KAKENHI Grant Number 26304007, and JSPS Program for Leading Graduate Schools (Graduate Education and Research Training Program in Decision Science for a Sustainable Society). The funders had no role in study design, data collection and analysis, decision to publish, or preparation of the manuscript. There was no additional external funding received for this study. We declare all the funding or sources of support received during this study.</t>
  </si>
  <si>
    <t>e0160151</t>
  </si>
  <si>
    <t>10.1371/journal.pone.0160151</t>
  </si>
  <si>
    <t>DT4YN</t>
  </si>
  <si>
    <t>WOS:000381487600025</t>
  </si>
  <si>
    <t>Barbarossa, V; Schmitt, RJP; Huijbregts, MAJ; Zarfl, C; King, H; Schipper, AM</t>
  </si>
  <si>
    <t>Barbarossa, Valerio; Schmitt, Rafael J. P.; Huijbregts, Mark A. J.; Zarfl, Christiane; King, Henry; Schipper, Aafke M.</t>
  </si>
  <si>
    <t>habitat fragmentation; hydropower; river management; migratory fish; biodiversity</t>
  </si>
  <si>
    <t>SMALL HYDROPOWER PLANTS; HABITAT FRAGMENTATION; EXTINCTION RISK; FOOD SECURITY; BIODIVERSITY; CLIMATE; SCIENCE; AMAZON; SIZE; MAP</t>
  </si>
  <si>
    <t>Dams contribute to water security, energy supply, and flood protection but also fragment habitats of freshwater species. Yet, a global species-level assessment of dam-induced fragmentation is lacking. Here, we assessed the degree of fragmentation of the occurrence ranges of similar to 10,000 lotic fish species worldwide due to similar to 40,000 existing large dams and similar to 3,700 additional future large hydropower dams. Per river basin, we quantified a connectivity index (CI) for each fish species by combining its occurrence range with a high-resolution hydrography and the locations of the dams. Ranges of nondiadromous fish species were more fragmented (less connected) (CI = 73 +/- 28%; mean +/- SD) than ranges of di-adromous species (CI = 86 +/- 19%). Current levels of fragmentation were highest in the United States, Europe, South Africa, India, and China. Increases in fragmentation due to future dams were especially high in the tropics, with declines in CI of similar to 20 to 40 percentage points on average across the species in the Amazon, Niger, Congo, Salween, and Mekong basins. Our assessment can guide river management at multiple scales and in various domains, including strategic hydropower planning, identification of species and basins at risk, and prioritization of restoration measures, such as dam removal and construction of fish bypasses.</t>
  </si>
  <si>
    <t>[Barbarossa, Valerio; Huijbregts, Mark A. J.; Schipper, Aafke M.] Radboud Univ Nijmegen, Inst Water &amp; Wetland Res, Dept Environm Sci, NL-6500 GL Nijmegen, Netherlands; [Barbarossa, Valerio; Schipper, Aafke M.] PBL Netherlands Environm Assessment Agcy, Dept Nat &amp; Rural Areas, NL-2500 GH The Hague, Netherlands; [Schmitt, Rafael J. P.] Stanford Univ, Nat Capital Project, Stanford, CA 94305 USA; [Schmitt, Rafael J. P.] Stanford Univ, Woods Inst Environm, Stanford, CA 94305 USA; [Zarfl, Christiane] Eberhard Karls Univ Tubingen, Ctr Appl Geosci, D-72074 Tubingen, Germany; [King, Henry] Unilever, Unilever R&amp;D, Safety &amp; Environm Assurance Ctr, Sharnbrook MK44 1LQ, Beds, England</t>
  </si>
  <si>
    <t>Radboud University Nijmegen; Stanford University; Stanford University; Eberhard Karls University of Tubingen; Unilever</t>
  </si>
  <si>
    <t>Barbarossa, V (corresponding author), Radboud Univ Nijmegen, Inst Water &amp; Wetland Res, Dept Environm Sci, NL-6500 GL Nijmegen, Netherlands.;Barbarossa, V (corresponding author), PBL Netherlands Environm Assessment Agcy, Dept Nat &amp; Rural Areas, NL-2500 GH The Hague, Netherlands.</t>
  </si>
  <si>
    <t>v.barbarossa@fnwi.ru.nl</t>
  </si>
  <si>
    <t>Barbarossa, Valerio/U-9561-2019; Schipper, Aafke/C-2758-2011; Huijbregts, Mark/LSL-2248-2024</t>
  </si>
  <si>
    <t>Barbarossa, Valerio/0000-0002-0519-6968; Schipper, Aafke/0000-0002-5667-0893; Huijbregts, Mark/0000-0002-7037-680X; Schmitt, Rafael J P/0000-0002-5394-3649</t>
  </si>
  <si>
    <t>European Union [641459]; GLOBIO project; Netherlands Organisation for Scientific Research [016.Vici.170.190]; Marie Curie Actions (MSCA) [641459] Funding Source: Marie Curie Actions (MSCA)</t>
  </si>
  <si>
    <t>European Union(European Union (EU)); GLOBIO project; Netherlands Organisation for Scientific Research(Netherlands Organization for Scientific Research (NWO)); Marie Curie Actions (MSCA)(Marie Curie Actions)</t>
  </si>
  <si>
    <t>This project has received funding from the European Union's Horizon 2020 research and innovation programme under Marie Sklodowska-Curie grant agreement 641459 and from the GLOBIO project (https://www.globio.info/).The contribution of M.A.J.H. is financed by Netherlands Organisation for Scientific Research project no. 016.Vici.170.190. The authors would like to thank Juan Carvajal-Quintero for providing useful information to compile the custom geographical ranges.</t>
  </si>
  <si>
    <t>FEB 18</t>
  </si>
  <si>
    <t>10.1073/pnas.1912776117</t>
  </si>
  <si>
    <t>KM4JX</t>
  </si>
  <si>
    <t>WOS:000514096400047</t>
  </si>
  <si>
    <t>Onmus, O; Siki, M</t>
  </si>
  <si>
    <t>Onmus, Ortac; Siki, Mehmet</t>
  </si>
  <si>
    <t>TURKISH JOURNAL OF ZOOLOGY</t>
  </si>
  <si>
    <t>Waterbirds; Breeding Bird Survey; threats; urbanization; industrialization; pollution; disturbance; Important Bird Area; Key Biodiversity Area; Gediz Delta</t>
  </si>
  <si>
    <t>IMPORTANT BIRD AREAS; GEDIZ DELTA; LAND-COVER; BIODIVERSITY; THREATS; CONSERVATION; POPULATION; EXTINCTION; WETLAND; DISTRIBUTIONS</t>
  </si>
  <si>
    <t>We investigated the effects of threats on breeding waterbirds in the Gediz Delta, Turkey. Breeding Bird Surveys were conducted in 2002 and 2006. The survey area comprised 305 UTM grids of 1 x 1 km(2). Populations and distributions of breeding birds were compared between 2002 and 2006 for the UTM grids under threat and without any threat using paired samples t-test, Wilcoxon signed-rank test, and GIS. Urbanization, industrialization, pollution, overgrazing, disturbance, and illegal reed cutting and burning were identified in 151 (49.5%) of 305 grids in 2002. The mean total number of breeding birds per UTM grid slightly decreased in areas under threat, but significantly increased (P &lt; 0.05) in areas without threat. The mean total number of breeding waterbirds significantly decreased (P &lt; 0.05) in both the grids under and without threat. Out of 30 waterbirds breeding in grids under threat, 23 shifted their breeding locations. The total number of breeding pairs of 9 waterbirds decreased, 7 species increased, and 6 species were stable. The maximum breeding code of 6, maximum number of breeding pairs of 11, total number of observed birds of 11, and frequency of occurrence of 15 species significantly decreased in UTM grids under threat. Threats have significantly affected (P &lt; 0.05) the breeding populations of bird species even in a short period of 4 years.</t>
  </si>
  <si>
    <t>[Onmus, Ortac; Siki, Mehmet] Ege Univ, Nat Hist Museum Res &amp; Applicat Ctr, Fac Sci, Dept Biol, TR-35100 Izmir, Turkey</t>
  </si>
  <si>
    <t>Onmus, O (corresponding author), Ege Univ, Nat Hist Museum Res &amp; Applicat Ctr, Fac Sci, Dept Biol, TR-35100 Izmir, Turkey.</t>
  </si>
  <si>
    <t>ortac.onmus@ege.edu.tr</t>
  </si>
  <si>
    <t>Onmus, Ortac/I-4717-2015</t>
  </si>
  <si>
    <t>Tubitak Scientific &amp; Technological Research Council Turkey</t>
  </si>
  <si>
    <t>ANKARA</t>
  </si>
  <si>
    <t>ATATURK BULVARI NO 221, KAVAKLIDERE, TR-06100 ANKARA, TURKIYE</t>
  </si>
  <si>
    <t>1300-0179</t>
  </si>
  <si>
    <t>1303-6114</t>
  </si>
  <si>
    <t>TURK J ZOOL</t>
  </si>
  <si>
    <t>Turk. J. Zool.</t>
  </si>
  <si>
    <t>10.3906/zoo-1211-34</t>
  </si>
  <si>
    <t>175KF</t>
  </si>
  <si>
    <t>WOS:000321228900001</t>
  </si>
  <si>
    <t>Patthey, P; Wirthner, S; Signorell, N; Arlettaz, R</t>
  </si>
  <si>
    <t>Patthey, Patrick; Wirthner, Sven; Signorell, Natalina; Arlettaz, Raphael</t>
  </si>
  <si>
    <t>AIC; alpine ecosystems; habitat quality; human disturbance; hunting; ski lifts; Tetrao tetrix; winter recreation</t>
  </si>
  <si>
    <t>GROUSE TETRAO-TETRIX; HUMAN DISTURBANCE; ENERGY DEVELOPMENT; STRESS-RESPONSE; CAIRN-GORM; SKI-RUNS; WILDLIFE; ECOLOGY; CONSEQUENCES; COLONIZATION</t>
  </si>
  <si>
    <t>1. Tourism and leisure activities have increased continuously all over the world during the past decades, exerting a growing pressure upon naturally fragile ecosystems, such as mountainous habitats. Recent studies have established that disturbance by outdoor winter sports (e.g. skiing, snowboarding and snowshoeing) is a source of stress for wildlife. This may in turn affect its abundance, but we still lack quantitative evidence. 2. We tested the effect of outdoor winter sports (ski lifts and related recreational activities) on the abundance of the alpine black grouse Tetrao tetrix, a vulnerable indicator species of the timberline ecosystem, the favoured habitat for outdoor winter sports in the European Alps. 3. Generalized linear models and a model selection approach were used to rank environmental factors influencing black grouse abundance and to make predictions about population status in the theoretical absence of ski resorts. We modelled the number of displaying cocks along census transects in spring, as a function of habitat characteristics (vegetation structure and typology), ski lift density and hunting pressure at 15 natural sites (none or a very low level of anthropogenic disturbance) and 15 ski resorts in the south-western Swiss Alps. 4. Ski lift density and habitat typology were the principal determinants of black grouse abundance, whereas hunting pressure had no discernable effect. Ski lifts and related winter sport activities had a strong negative effect on the number of displaying cocks, which may have led to a mean 36% reduction of local abundance in ski lift areas, as determined after controlling for the confounding effect of habitat type. 5. Synthesis and applications. Conservation action plans for black grouse should aim at reducing the multiple negative effects generated by outdoor winter sports (ski facilities and related winter sport activities). First, vegetation patchiness (i.e. a mosaic of grassy shrubland with scattered trees) should be maintained along ski runs. Secondly, wintering preserves where human access is banned or strictly limited should be promoted within ski resorts. Spatially explicit human-wildlife conflict maps can be constructed from the present model to allow delineation of those areas likely to become effective protection areas.</t>
  </si>
  <si>
    <t>[Patthey, Patrick; Wirthner, Sven; Signorell, Natalina; Arlettaz, Raphael] Univ Bern, Inst Zool, Div Conservat Biol, CH-3012 Bern, Switzerland; [Arlettaz, Raphael] Nat Ctr, Valais Field Stn, Swiss Ornithol Inst, CH-3970 Salgesch, Switzerland; [Arlettaz, Raphael] Univ Queensland, Ctr Ecol, Brisbane, Qld 4072, Australia</t>
  </si>
  <si>
    <t>University of Bern; Swiss Ornithological Institute; University of Queensland</t>
  </si>
  <si>
    <t>Arlettaz, R (corresponding author), Univ Bern, Inst Zool, Div Conservat Biol, Baltzerstr 6, CH-3012 Bern, Switzerland.</t>
  </si>
  <si>
    <t>raphael.arlettaz@nat.unibe.ch</t>
  </si>
  <si>
    <t>Arlettaz, Raphaël/O-2182-2016</t>
  </si>
  <si>
    <t>Arlettaz, Raphaël/0000-0001-6360-5339</t>
  </si>
  <si>
    <t>Swiss National Science Foundation; Swiss Federal Office for the Environment; Cantons of Valais and Vaud; European Interreg IIIa</t>
  </si>
  <si>
    <t>Swiss National Science Foundation(Swiss National Science Foundation (SNSF)); Swiss Federal Office for the Environment; Cantons of Valais and Vaud; European Interreg IIIa(Interreg Europe)</t>
  </si>
  <si>
    <t>We thank S. Mettaz and J. Beguin for field assistance. The Game and Wildlife services of Valais and Vaud provided the information about harvest. M. Menz and A. Popa made a thorough appraisal of the English. We acknowledge M. Hebblewhite, R. Moss and two anonymous reviewers for their valuable comments. This research was funded by a grant from the Swiss National Science Foundation to R. Arlettaz. Additional funding was obtained from the Swiss Federal Office for the Environment, the Cantons of Valais and Vaud, as well as a European Interreg IIIa grant.</t>
  </si>
  <si>
    <t>10.1111/j.1365-2664.2008.01547.x</t>
  </si>
  <si>
    <t>363HG</t>
  </si>
  <si>
    <t>WOS:000260257800018</t>
  </si>
  <si>
    <t>Fraschetti, S; Guarnieri, G; Gambi, C; Bevilacqua, S; Terlizzi, A; Danovaro, R</t>
  </si>
  <si>
    <t>Fraschetti, S.; Guarnieri, G.; Gambi, C.; Bevilacqua, S.; Terlizzi, A.; Danovaro, R.</t>
  </si>
  <si>
    <t>Benthic ecology; Offshore structures; Nematodes; Community function; Spatial variability</t>
  </si>
  <si>
    <t>GULF-OF-MEXICO; BOTTOM BENTHIC COMMUNITIES; DEEP-SEA; MACROFAUNA ASSEMBLAGES; TAXONOMIC COMPOSITION; MEIOFAUNA RESPONSE; MEDITERRANEAN SEA; ADRIATIC SEA; DIVERSITY; DISTURBANCE</t>
  </si>
  <si>
    <t>The Mediterranean Sea hosts hundreds of offshore gas platforms, whose activity represents a potential threat to marine ecosystems. Evidence from several studies indicates that nematodes can be highly sensitive to changes in the environmental quality. Here, we investigated the response of nematode assemblages to the presence of offshore gas platforms (located in the central Mediterranean Sea) in terms of spatial heterogeneity, structural and functional diversity. Since the effect of the investigated offshore platforms on macrofaunal assemblages were previously assessed by Terlizzi et al. (2008), the study provided also the opportunity to compare the response of different benthic compartments to the same impact related to fossil fuel extraction on marine environments. The platforms had a significant impact on nematode assemblages up to 1000 m distance from the structure. The effects were evident in term of: a) more homogeneous spatial distribution of nematode assemblages, b) increased trophic diversity of deposit feeders and c) changes in life strategies with an increase of opportunistic species in sediments closer to the platforms. Such effects seemed to be related to the dimension of the platform structures, rather than to chemical pollution or changes in food availability. These findings suggest that the platforms exert a physical alteration of the surrounding environment that is reflected by altered structural and functional traits of nematode biodiversity. The use of nematodes for monitoring the effects of the platforms only partially matched with the results obtained using macrofauna, providing further insights on potential outcomes on the functional response of marine assemblages to fossil fuel extraction. (C) 2016 Elsevier Ltd. All rights reserved.</t>
  </si>
  <si>
    <t>[Fraschetti, S.; Guarnieri, G.; Bevilacqua, S.; Terlizzi, A.] Univ Salento, Dept Biol &amp; Environm Sci &amp; Technol, CoNISMa, I-73100 Lecce, Italy; [Gambi, C.; Danovaro, R.] Polytech Univ Marche, Dept Life &amp; Environm Sci, Via Brecce Bianche, I-60131 Ancona, Italy; [Danovaro, R.] Stn Zool Anton Dohrn, I-80121 Naples, Italy</t>
  </si>
  <si>
    <t>CoNISMa; University of Salento; Marche Polytechnic University; Stazione Zoologica Anton Dohrn</t>
  </si>
  <si>
    <t>Fraschetti, S (corresponding author), Univ Salento, Dept Biol &amp; Environm Sci &amp; Technol, CoNISMa, I-73100 Lecce, Italy.</t>
  </si>
  <si>
    <t>simona.fraschetti@unisalento.it</t>
  </si>
  <si>
    <t>; Gambi, Cristina/MXK-2158-2025; Bevilacqua, Stanislao/I-1393-2019; Fraschetti, Simonetta/R-8716-2019; Terlizzi, Antonio/B-6131-2015</t>
  </si>
  <si>
    <t>Guarnieri, Giuseppe/0000-0002-7334-9030; Bevilacqua, Stanislao/0000-0002-6417-7134; Fraschetti, Simonetta/0000-0002-1780-1651; Terlizzi, Antonio/0000-0001-5968-4548</t>
  </si>
  <si>
    <t>MIUR (TETRIS) [2010PBMAXP_002]; European Union within the 7th Framework Programme under for the project PERSEUS [287600]; European Union within the 7th Framework Programme under for the project DEVOTES [308392]; European Union within the 7th Framework Programme under for the project COCONET [287844]; ENI</t>
  </si>
  <si>
    <t>MIUR (TETRIS)(Ministry of Education, Universities and Research (MIUR)); European Union within the 7th Framework Programme under for the project PERSEUS; European Union within the 7th Framework Programme under for the project DEVOTES(European Union (EU)); European Union within the 7th Framework Programme under for the project COCONET(European Union (EU)); ENI</t>
  </si>
  <si>
    <t>We thanks Peter Mackelworth for the useful comments on an early draft of the ms. This study was carried out within the framework of projects funded by MIUR (TETRIS, 2010PBMAXP_002) and ENI. D. Fiorentino provided invaluable assistance during fieldwork. The support of the European Union within the 7th Framework Programme under for the projects PERSEUS (Grant agreement no. 287600), DEVOTES (Grant Agreement no308392) and COCONET (Grant Agreement No. 287844) is also acknowledged.</t>
  </si>
  <si>
    <t>10.1016/j.marenvres.2016.02.001</t>
  </si>
  <si>
    <t>WOS:000372557500007</t>
  </si>
  <si>
    <t>Hull, V; Zhang, JD; Zhou, SQ; Huang, JY; Viña, A; Liu, W; Tuanmu, MN; Li, RG; Liu, D; Xu, WH; Huang, Y; Ouyang, ZY; Zhang, HM; Liu, JG</t>
  </si>
  <si>
    <t>Hull, Vanessa; Zhang, Jindong; Zhou, Shiqiang; Huang, Jinyan; Vina, Andres; Liu, Wei; Tuanmu, Mao-Ning; Li, Rengui; Liu, Dian; Xu, Weihua; Huang, Yan; Ouyang, Zhiyun; Zhang, Hemin; Liu, Jianguo</t>
  </si>
  <si>
    <t>China; Horses; Nature reserves; Protected area</t>
  </si>
  <si>
    <t>WOLONG NATURE-RESERVE; WILDLIFE HABITAT; SPATIOTEMPORAL DYNAMICS; FUELWOOD COLLECTION; COMPETITION; COMPLEXITY; SELECTION; POLICIES; FOREST; CATTLE</t>
  </si>
  <si>
    <t>Livestock production is one of the greatest threats to biodiversity worldwide. However, impacts of livestock on endangered species have been understudied, particularly across the livestock-wildlife interface in forested protected areas. We investigated the impact of an emerging livestock sector in China's renowned Wolong Nature Reserve for giant pandas. We integrated empirical data from field surveys, remotely sensed imagery, and GPS collar tracking to analyze (1) the spatial distribution of horses in giant panda habitat, (2) space use and habitat selection patterns of horses and pandas, and (3) the impact of horses on pandas and bamboo (panda's main food source). We discovered that the horse distribution overlapped with suitable giant panda habitat. Horses had smaller home ranges than pandas but both species showed similarities in habitat selection. Horses consumed considerable amounts of bamboo, and may have resulted in a decline in panda habitat use. Our study highlights the need to formulate policies to address this emerging threat to the endangered giant panda. It also has implications for understanding livestock impacts in other protected areas across the globe. (C) 2014 Elsevier GmbH. All rights reserved.</t>
  </si>
  <si>
    <t>[Hull, Vanessa; Zhang, Jindong; Vina, Andres; Liu, Wei; Tuanmu, Mao-Ning; Liu, Jianguo] Michigan State Univ, Ctr Syst Integrat &amp; Sustainabil, Dept Fisheries &amp; Wildlife, E Lansing, MI 48823 USA; [Zhang, Jindong; Xu, Weihua; Ouyang, Zhiyun] Chinese Acad Sci, Ecoenvironm Sci Res Ctr, State Key Lab Urban &amp; Reg Ecol, Beijing 100085, Peoples R China; [Zhou, Shiqiang; Huang, Jinyan; Li, Rengui; Liu, Dian; Huang, Yan; Zhang, Hemin] Wolong Nat Reserve, China Conservat &amp; Res Ctr Giant Panda, Sichuan 623006, Peoples R China; [Liu, Wei] Int Inst Appl Syst Anal, A-2361 Laxenburg, Austria</t>
  </si>
  <si>
    <t>Michigan State University; Chinese Academy of Sciences; Research Center for Eco-Environmental Sciences (RCEES), CAS; International Institute for Applied Systems Analysis (IIASA)</t>
  </si>
  <si>
    <t>Hull, V (corresponding author), Michigan State Univ, Ctr Syst Integrat &amp; Sustainabil, 1405 South Harrison Rd,Suite 115 Manly Miles Bldg, E Lansing, MI 48823 USA.</t>
  </si>
  <si>
    <t>hullvane@msu.edu</t>
  </si>
  <si>
    <t>Viña, Andrés/KIE-0168-2024; Tuanmu, Mao-Ning/ABI-5979-2020; Zhang, Jindong/NUP-7170-2025; Liu, Jianguo/G-5211-2015; Shiqiang, Zhou/G-1331-2019; Liu, Wei/A-1649-2010</t>
  </si>
  <si>
    <t>Viña, Andrés/0000-0001-6240-6610; Tuanmu, Mao-Ning/0000-0002-8233-2935; Liu, Jianguo/0000-0001-6344-0087;</t>
  </si>
  <si>
    <t>National Science Foundation (NSF); National Aeronautics and Space Administration (NASA); Michigan State University Distinguished Fellowship Program; William and Evelyn Taylor International Engagement Program; International Association for Bear Research and Management Research and Conservation Grant; National Natural Science Foundation of China [40901289]; State Key Laboratory of Urban and Regional Ecology; Research Center for Eco-Environmental Sciences; Chinese Academy of Sciences [SKLURE2008-1]; Giant Panda International Collaboration Fund [SD0681]</t>
  </si>
  <si>
    <t>National Science Foundation (NSF)(National Science Foundation (NSF)); National Aeronautics and Space Administration (NASA)(National Aeronautics &amp; Space Administration (NASA)); Michigan State University Distinguished Fellowship Program(Michigan State University); William and Evelyn Taylor International Engagement Program; International Association for Bear Research and Management Research and Conservation Grant; National Natural Science Foundation of China(National Natural Science Foundation of China (NSFC)); State Key Laboratory of Urban and Regional Ecology; Research Center for Eco-Environmental Sciences; Chinese Academy of Sciences(Chinese Academy of Sciences); Giant Panda International Collaboration Fund</t>
  </si>
  <si>
    <t>We gratefully acknowledge the ongoing support of the Wolong Nature Reserve Administration and the staff and veterinarians at the China Conservation and Research Center for the Giant Panda (CCRCGP). We thank Shumin Fan and Wenbin Yang for their ambitious efforts in conducting field work for this project. We also thank the local horse herders for their cooperation with this work. We thank the National Science Foundation (NSF), the National Aeronautics and Space Administration (NASA), the Michigan State University Distinguished Fellowship Program, the William and Evelyn Taylor International Engagement Program, an International Association for Bear Research and Management Research and Conservation Grant, the National Natural Science Foundation of China (40901289), the State Key Laboratory of Urban and Regional Ecology, Research Center for Eco-Environmental Sciences, Chinese Academy of Sciences (SKLURE2008-1), and the Giant Panda International Collaboration Fund (Grant SD0681). We thank Wu Yang and Chiara Zuccarino-Crowe for providing valuable feedback on earlier drafts of this paper.</t>
  </si>
  <si>
    <t>10.1016/j.jnc.2014.02.003</t>
  </si>
  <si>
    <t>AF5PO</t>
  </si>
  <si>
    <t>WOS:000334765600009</t>
  </si>
  <si>
    <t>Bailey, AM; Ober, HK; Sovie, AR; McCleery, RA</t>
  </si>
  <si>
    <t>Bailey, Amanda M.; Ober, Holly K.; Sovie, Adia R.; McCleery, Robert A.</t>
  </si>
  <si>
    <t>acoustics; Chiroptera; conservation; endangered species; Florida; occupancy</t>
  </si>
  <si>
    <t>INSECTIVOROUS BATS; EUMOPS-FLORIDANUS; LANDSCAPE; MOLOSSIDAE; HABITAT; WEATHER; DESIGN; ROOST</t>
  </si>
  <si>
    <t>Understanding the distributions and environmental associations of rare species is a critical 1st step in their conservation and management. Federally endangered Florida bonneted bats (Eumops floridanus) are endemic to southern Florida and are believed to have one of the most limited geographic distributions of any bat in the United States. We conducted a large-scale acoustic survey of 330 points spread across approximately 38,000 km(2) over a 2-year period and used a hierarchical Bayesian approach accounting for imperfect detection to model the distribution and environmental associations of the Florida bonneted bat. Bat occupancy was negatively correlated with the amount of developed land within 5 km of the sampling point and positively correlated with the amount of crop-based agriculture within 5 km of the sampling point. Bat occupancy probabilities increased with the 30-year mean for minimum spring temperature and levels of annual precipitation, and decreased with the 30-year mean for levels of spring precipitation. Bat detection was positively influenced by Julian date and minimum temperature of the survey night. This study offers new insight into the habitat use of this endangered species. Results confirm that predicted changes in land cover and climate will be threats to the Florida bonneted bat.</t>
  </si>
  <si>
    <t>[Bailey, Amanda M.] New York State Dept Environm Conservat, Div Fish &amp; Wildlife, 625 Broadway, Albany, NY 12233 USA; [Bailey, Amanda M.; Sovie, Adia R.; McCleery, Robert A.] Univ Florida, Dept Wildlife Ecol &amp; Conservat, Gainesville, FL 32611 USA; [Ober, Holly K.] Univ Florida, Dept Wildlife Ecol &amp; Conservat, North Florida Res &amp; Educ Ctr, Quincy, FL 32351 USA</t>
  </si>
  <si>
    <t>State University System of Florida; University of Florida; State University System of Florida; University of Florida</t>
  </si>
  <si>
    <t>Bailey, AM (corresponding author), New York State Dept Environm Conservat, Div Fish &amp; Wildlife, 625 Broadway, Albany, NY 12233 USA.;Bailey, AM (corresponding author), Univ Florida, Dept Wildlife Ecol &amp; Conservat, Gainesville, FL 32611 USA.</t>
  </si>
  <si>
    <t>ambailey401@gmail.com</t>
  </si>
  <si>
    <t>Ober, Holly/OUH-2704-2025</t>
  </si>
  <si>
    <t>Ober, Holly/0000-0003-3780-6297; McCleery, Robert/0000-0001-7018-005X</t>
  </si>
  <si>
    <t>Florida State Wildlife Grants Program; U.S. Fish and Wildlife Service; Bat Conservation International</t>
  </si>
  <si>
    <t>Florida State Wildlife Grants Program; U.S. Fish and Wildlife Service(US Fish &amp; Wildlife Service); Bat Conservation International</t>
  </si>
  <si>
    <t>This work would not have been possible without the assistance of J. Gore, K. Smith, T. Doonan, L. Alderman, R. Arwood, C. Kupferman, J. Powell, and C. Marks. We also thank the numerous biologists and individuals from Florida Fish and Wildlife Conservation Commission, U.S. Fish and Wildlife Service, National Park Service, Florida Forest Service, Florida State Parks, and numerous private landowners who provided access to their properties and assistance with setup. Finally, we thank the Florida State Wildlife Grants Program, the U.S. Fish and Wildlife Service, and Bat Conservation International for their generous financial support of this project.</t>
  </si>
  <si>
    <t>DEC 1</t>
  </si>
  <si>
    <t>10.1093/jmammal/gyx117</t>
  </si>
  <si>
    <t>FO9UF</t>
  </si>
  <si>
    <t>WOS:000417241500008</t>
  </si>
  <si>
    <t>Epa, UPK; Mohotti, CRWC</t>
  </si>
  <si>
    <t>Epa, Udaya Priyantha Kankanamge; Mohotti, Chamari Ruvandika Waniga Chinthamanie</t>
  </si>
  <si>
    <t>REVISTA DE BIOLOGIA TROPICAL</t>
  </si>
  <si>
    <t>exotic plant; Tephrosia candida; fish poisoning; Sinharaja forest</t>
  </si>
  <si>
    <t>FRESH-WATER FISHES; WESTERN-GHATS; EXTINCTION RISK; LIFE-HISTORY; CONSERVATION; BIODIVERSITY; THREATS; RIVER; PLANTS; INDIA</t>
  </si>
  <si>
    <t>Local communities in some Asian, African and American countries, use plant toxins in fish poisoning for fishing activities; however, the effects of this practice on the particular wild fish assemblages is unknown. This study was conducted with the aim to investigate the effects of fish poisoning using Tephrosia candida, on freshwater fish diversity and abundance in streams at the boundary of the World Natural Heritage site, Sinharaja Forest Reserve, Sri Lanka. A total of seven field trips were undertaken on a bimonthly basis, from May 2013 to June 2014. We surveyed five streams with similar environmental and climatological conditions at the boundary of Sinharaja forest. We selected three streams with active fish poisoning practices as treatments, and two streams with no fish poisoning as controls. Physico-chemical parameters and flow rate of water in selected streams were also measured at bimonthly intervals. Fish were sampled by electrofishing and nets in three randomly selected confined locations (6 x 2 m stretch) along every stream. Fish species were identified, their abundances were recorded, and Shannon-Weiner diversity index was calculated for each stream. Streams were clustered based on the Bray-Curtis similarity matrix for fish composition and abundance. Physico-chemical parameters of water were not significantly different among streams (P &gt; 0.05). A total of 15 fish species belonging to four different orders Cypriniformes, Cyprinodontiformes, Perciformes and Siluriformes were collected; nine species (60 %) were endemic, and six (40 %) were native species. From these, 13 fish species were recorded in streams with no poisoning, while five species were recorded in streams where poisoning was practiced. Four endemic and one native fish species were locally extinct in streams where fish poisoning was active. Fish abundance was significantly higher in control streams (32-39/m(2)) when compared to treatment streams (5-9/ m(2)) (P &lt; 0.05). We concluded that fish poisoning with T. candida may have resulted in a significant reduction in species richness, total abundance and Shannon-Weiner diversity index of fish species in the studied streams at the boundary of Sinharaja forest. We recommend that this fishing practice should be strictly regulated, and to inform local communities about the legal status of fish poisoning, its consequences and the importance of fish diversity for local livelihoods and conservation purposes.</t>
  </si>
  <si>
    <t>[Epa, Udaya Priyantha Kankanamge; Mohotti, Chamari Ruvandika Waniga Chinthamanie] Univ Kelaniya, Fac Sci, Dept Zool &amp; Environm Management, Kelaniya 11600, Sri Lanka</t>
  </si>
  <si>
    <t>University Kelaniya</t>
  </si>
  <si>
    <t>Epa, UPK (corresponding author), Univ Kelaniya, Fac Sci, Dept Zool &amp; Environm Management, Kelaniya 11600, Sri Lanka.</t>
  </si>
  <si>
    <t>epa@kln.ac.lk; chamarimohotti@gmail.com</t>
  </si>
  <si>
    <t>Kankanamge Epa, Udaya Priyantha/IXN-1069-2023</t>
  </si>
  <si>
    <t>Kankanamge Epa, Udaya Priyantha/0000-0001-9359-9603</t>
  </si>
  <si>
    <t>University of Kelaniya</t>
  </si>
  <si>
    <t>University of Kelaniya is acknowledged for the financial support to carry out the study. T. W. J. T. De Silva is acknowledged for the support in field sampling of fish. Comments from anonymous reviewers to improve the quality of the manuscript are deeply appreciated.</t>
  </si>
  <si>
    <t>SAN JOSE</t>
  </si>
  <si>
    <t>UNIVERSIDAD DE COSTA RICA CIUDAD UNIVERSITARIA, SAN JOSE, 00000, COSTA RICA</t>
  </si>
  <si>
    <t>0034-7744</t>
  </si>
  <si>
    <t>2215-2075</t>
  </si>
  <si>
    <t>REV BIOL TROP</t>
  </si>
  <si>
    <t>Rev. Biol. Trop.</t>
  </si>
  <si>
    <t>DW2JE</t>
  </si>
  <si>
    <t>WOS:000383467900017</t>
  </si>
  <si>
    <t>Hammouda, RF; Huguenin, J; Julien, L; Nedjraoui, D</t>
  </si>
  <si>
    <t>Hammouda, R. F.; Huguenin, J.; Julien, L.; Nedjraoui, D.</t>
  </si>
  <si>
    <t>RANGELAND JOURNAL</t>
  </si>
  <si>
    <t>drylands; grazing pressure; herd management; land access; pastoral map; regressive succession; vegetation dynamics; vegetation map</t>
  </si>
  <si>
    <t>CLIMATE-CHANGE; DESERTIFICATION; RESTORATION; MANAGEMENT; COMMUNITY; PATTERNS; REGION</t>
  </si>
  <si>
    <t>The decline in steppe vegetation in Algeria was first reported in the mid-20th century, and for many years was attributed to recurrent droughts. Hypotheses suggesting that this decline was a consequence of human activities emerged in the 1970s - a time of major socioeconomic trends in the region. Changes such as strong population growth, sedentarisation, herd size increases and use of pasture land for crops, all had considerable impact on rangeland vegetation. The aim of the present work was to identify heterogeneity in the pasture vegetation of a given territory' (in the sense of a terroir'), or biophysical environment (including meteorological), taking into account rangeland distribution, land use changes and herd management in the Aflou region of Algeria. Characterisation and mapping of the vegetation and its environment in the study area led to the hypothesis that, apart from some very slight soil differences, heterogeneity in rangeland vegetation appeared mainly related to human impacts. Bertin's Semiology of Graphics was used to analyse the results, and indicated a major decline in vegetation productivity and biodiversity in the steppe rangelands of the study zone. Beyond this general trend in the municipal territory studied, areas were found with contrasting flora communities, with some showing relatively stable plant communities, while other areas had some plant communities that had undergone regressive succession. Grazing conditions and the proximity of ploughed land were responsible for these different vegetation situations.</t>
  </si>
  <si>
    <t>[Hammouda, R. F.; Nedjraoui, D.] Univ Sci &amp; Technol Houari Boumed, Fac Biol Sci, Lab Plant Ecol &amp; Environm LEVE, BP 32 El Alia, Algiers 1611, Algeria; [Huguenin, J.; Julien, L.] CIRAD, UMR SELMET, F-34398 Montpellier, France; [Huguenin, J.; Julien, L.] Univ Montpellier, SELMET, CIRAD, INRA,Montpellier SupAgro, Montpellier, France</t>
  </si>
  <si>
    <t>University Science &amp; Technology Houari Boumediene; CIRAD; CIRAD; INRAE; Institut Agro; Montpellier SupAgro; Universite de Montpellier</t>
  </si>
  <si>
    <t>Huguenin, J (corresponding author), CIRAD, UMR SELMET, F-34398 Montpellier, France.;Huguenin, J (corresponding author), Univ Montpellier, SELMET, CIRAD, INRA,Montpellier SupAgro, Montpellier, France.</t>
  </si>
  <si>
    <t>johann.huguenin@cirad.fr</t>
  </si>
  <si>
    <t>1036-9872</t>
  </si>
  <si>
    <t>1834-7541</t>
  </si>
  <si>
    <t>RANGELAND J</t>
  </si>
  <si>
    <t>Rangeland J.</t>
  </si>
  <si>
    <t>10.1071/RJ18081</t>
  </si>
  <si>
    <t>HY2QP</t>
  </si>
  <si>
    <t>WOS:000467968200001</t>
  </si>
  <si>
    <t>Gutiérrez, J; Velázquez, J; García-Abril, A; Hernando, A; Sánchez, B; Gomez, I</t>
  </si>
  <si>
    <t>Gutierrez, J.; Velazquez, J.; Garcia-Abril, A.; Hernando, A.; Sanchez, B.; Gomez, I</t>
  </si>
  <si>
    <t>Connectivity; Protected areas; Habitat; Planning; Urban development</t>
  </si>
  <si>
    <t>BUSTARDS OTIS-TARDA; HABITAT SELECTION; PROTECTED AREAS; LARGE-SCALE; LANDSCAPE; CONNECTIVITY; CONSERVATION; EUROPE; SPAIN; FRAGMENTATION</t>
  </si>
  <si>
    <t>Urbanization is one of the agents that contribute most to habitat fragmentation and is therefore a threat to biodiversity conservation. Connectivity improvement is the adaptation strategy most often cited to address species conservation in a changing environment. Many studies of protection at local and regional level zones usually show separate portions of habitat, defining the protected area, but they do not provide guidance on where and how to act to preserve the habitat quality and connectivity of the populations, on a consistent scale with planning units. In this paper, the analysis of fragmentation-connectivity focuses on cereal steppes of the Jarama and Henares rivers (Spain) to study the habitat and connectivity of steppic birds populations into protected areas of the Natura 2000 network, quantifying the effect on this protected area and on the species of interest caused by the massive development of infrastructure and urbanization due to the expansion of Madrid metropolitan area. In this sense, the Great Bustard (Otis tarda) was used as a bioindicator, due to its high demand for habitat quality. The proposed methodology only needs to be based on data from wildlife sightings and land use. Once the variables (density, biophysics and urbanization) were defined, it was possible to determine the values of influence, applying them to generate the map of areas of probability of presence and movement of the Great Bustard. This can be used to support conservation plans based on habitat connectivity.</t>
  </si>
  <si>
    <t>[Gutierrez, J.; Velazquez, J.; Hernando, A.; Sanchez, B.; Gomez, I] Catholic Univ Avila, Avila, Spain; [Velazquez, J.; Garcia-Abril, A.; Hernando, A.] Univ Politecn Madrid, ETS Ingenieros Montes, SILVANET Res Grp, Madrid, Spain</t>
  </si>
  <si>
    <t>Santa Teresa Jesus Catholic University of Avila; Universidad Politecnica de Madrid</t>
  </si>
  <si>
    <t>Velázquez, J (corresponding author), Catholic Univ Avila, Avila, Spain.</t>
  </si>
  <si>
    <t>javier.velazquez@ucavila.es</t>
  </si>
  <si>
    <t>; Sánchez, Beatriz/AAA-1590-2019; Velázquez, Javier/I-8762-2019; Hernando, Ana/AAH-3778-2021; García Abril, Antonio Damián/F-7267-2016</t>
  </si>
  <si>
    <t>Sánchez Reyes, Beatriz/0000-0001-7695-1628; Velázquez, Javier/0000-0002-9188-3827; García Abril, Antonio Damián/0000-0002-5040-7867</t>
  </si>
  <si>
    <t>10.1016/j.landusepol.2019.104256</t>
  </si>
  <si>
    <t>JW5LQ</t>
  </si>
  <si>
    <t>WOS:000503093800024</t>
  </si>
  <si>
    <t>Grenouillet, G; Comte, L</t>
  </si>
  <si>
    <t>Grenouillet, Gael; Comte, Lise</t>
  </si>
  <si>
    <t>climate change; colonization; distribution shifts; drivers; extirpation; lag; range limits; stream fish</t>
  </si>
  <si>
    <t>CLIMATE-CHANGE; DISTRIBUTION MODELS; ELEVATIONAL SHIFTS; EXTINCTION RISK; RESPONSES; DISTRIBUTIONS; EXPANSION; MARINE; METAPOPULATIONS; FRAGMENTATION</t>
  </si>
  <si>
    <t>Species' range shifts in response to ongoing climate change have been widely documented, but although complex spatial patterns in species' responses are expected to be common, comprehensive comparisons of species' ranges over time have undergone little investigation. Here, we outline a modeling framework based on historical and current species distribution records for disentangling different drivers (i.e. climatic vs. nonclimatic) and assessing distinct facets (i.e. colonization, extirpation, persistence, and lags) of species' range shifts. We used extensive monitoring data for stream fish assemblages throughout France to assess range shifts for 32 fish species between an initial period (1980-1992) and a contemporary one (2003-2009). Our results provide strong evidence that the responses of individual species varied considerably and exhibited complex mosaics of spatial rearrangements. By dissociating range shifts in climatically suitable and unsuitable habitats, we demonstrated that patterns in climate-driven colonization and extirpation were less marked than those attributed to nonclimatic drivers, although this situation could rapidly shift in the near future. We also found evidence that range shifts could be related to some species' traits and that the traits involved varied depending on the facet of range shift considered. The persistence of populations in climatically unsuitable areas was greater for short-lived species, whereas the extent of the lag behind climate change was greater for long-lived, restricted-range, and low-elevation species. We further demonstrated that nonclimatic extirpations were primarily related to the size of the species' range, whereas climate-driven extirpations were better explained by thermal tolerance. Thus, the proposed framework demonstrated its potential for markedly improving our understanding of the key processes involved in range shifting and also offers a template for informing management decisions. Conservation strategies would greatly benefit from identifying both the geographical patterns and the species' traits associated with complex modifications of species' distributions in response to global changes.</t>
  </si>
  <si>
    <t>[Grenouillet, Gael; Comte, Lise] UPS, CNRS, Lab Evolut &amp; Diversite Biol, ENFA,EDB,UMR5174, F-31062 Toulouse, France; [Grenouillet, Gael; Comte, Lise] Univ Toulouse, UPS, EDB UMR5174, F-31062 Toulouse, France</t>
  </si>
  <si>
    <t>Centre National de la Recherche Scientifique (CNRS); CNRS - Institute of Ecology &amp; Environment (INEE); Institut de Recherche pour le Developpement (IRD); Universite de Toulouse; Universite Federale Toulouse Midi-Pyrenees (ComUE); Universite Toulouse III - Paul Sabatier; Ecole Nationale Formation Agronomique (ENSFEA); Centre National de la Recherche Scientifique (CNRS); CNRS - Institute of Ecology &amp; Environment (INEE); Universite de Toulouse; Universite Toulouse III - Paul Sabatier</t>
  </si>
  <si>
    <t>Grenouillet, G (corresponding author), UPS, CNRS, Lab Evolut &amp; Diversite Biol, ENFA,EDB,UMR5174, 118 Route Narbonne, F-31062 Toulouse, France.</t>
  </si>
  <si>
    <t>gael.grenouillet@univ-tlse3.fr</t>
  </si>
  <si>
    <t>Comte, Lise/AAS-5036-2021; Grenouillet, Gaël/E-6518-2019</t>
  </si>
  <si>
    <t>Comte, Lise/0000-0001-8030-0019; Grenouillet, Gaël/0000-0003-3588-3694</t>
  </si>
  <si>
    <t>[ANR-09-PEXT-008-01]</t>
  </si>
  <si>
    <t>EDB is part of the 'Laboratoire d'Excellence' (LABEX) entitled TULIP (ANR-10-LABX-41). This research was supported by grant ANR-09-PEXT-008-01. We are indebted to the French National Agency for Water and Aquatic Environment (Onema) for providing fish data; we thank the many fieldworkers who contributed to the fish records. We also thank Monika Ghosh for correcting the English text, and Christine Lauzeral who helped with the analyses.</t>
  </si>
  <si>
    <t>10.1111/gcb.12570</t>
  </si>
  <si>
    <t>AP6DU</t>
  </si>
  <si>
    <t>WOS:000342168500008</t>
  </si>
  <si>
    <t>Kauano, ÉE; Silva, JMC; Michalski, F</t>
  </si>
  <si>
    <t>Kauano, Erico E.; Silva, Jose M. C.; Michalski, Fernanda</t>
  </si>
  <si>
    <t>Illegal activities; Protected areas; Conservation; Natural resources; Amazon</t>
  </si>
  <si>
    <t>RANDOMIZED-RESPONSE; MARINE RESERVES; DEFORESTATION; CONSERVATION; BIODIVERSITY; POPULATION; INSIGHTS; MODELS; POLICY; PARKS</t>
  </si>
  <si>
    <t>Background. The Brazilian Amazon is the world's largest rainforest regions and plays a key role in biodiversity conservation as well as climate adaptation and mitigation. The government has created a network of protected areas (PAs) to ensure long-term conservation of the region. However, despite the importance of and positive advances in the establishment of PAs, natural resource depletion in the Brazilian Amazon is pervasive. Methods. We evaluated a total of 4,243 official law enforcement records generated between 2010 and 2015 to understand the geographical distribution of the illegal use of resources in federal PAs in the Brazilian Amazon. We classified illegal activities into ten categories and used generalized additive models (GAMs) to evaluate the relationship between illegal use of natural resources inside PAs with management type, age of PAs, population density, and accessibility. Results. We found 27 types of illegal use of natural resources that were grouped into 10 categories of illegal activities. Most infractions were related to suppression and degradation of vegetation (37.40%), followed by illegal fishing (27.30%) and hunting activities (18.20%). The explanatory power of the GAMs was low for all categories of illegal activity, with a maximum explained variation of 41.2% for illegal activities as a whole, and a minimum of 14.6% for hunting activities. Discussion. These findings demonstrate that even though PAs are fundamental for nature conservation in the Brazilian Amazon, the pressures and threats posed by human activities include a broad range of illegal uses of natural resources. Population density up to 50 km from a PA is a key variable, influencing illegal activities. These threats endanger long-term conservation and many efforts are still needed to maintain PAs that are large enough and sufficiently intact to maintain ecosystem functions and protect biodiversity.</t>
  </si>
  <si>
    <t>[Kauano, Erico E.; Silva, Jose M. C.; Michalski, Fernanda] Univ Fed Amapa, Programa Posgrad Biodiversidade Trop, Macapa, Amapa, Brazil; [Kauano, Erico E.] Inst Chico Mendes Conservacao Biodiversidade, Parque Nacl Montanhas Tumucumaque, Macapa, Amapa, Brazil; [Silva, Jose M. C.] Univ Miami, Dept Geog Geog &amp; Reg Studies, Coral Gables, FL 33124 USA; [Michalski, Fernanda] Univ Fed Amapa, Lab Ecol &amp; Conservacao Vertebrados, Macapa, Amapa, Brazil; [Michalski, Fernanda] Inst Procarnivoros, Sao Paulo, Brazil</t>
  </si>
  <si>
    <t>Fundacao Universidade Federal do Amapa; University of Miami; Fundacao Universidade Federal do Amapa</t>
  </si>
  <si>
    <t>Kauano, ÉE (corresponding author), Univ Fed Amapa, Programa Posgrad Biodiversidade Trop, Macapa, Amapa, Brazil.;Kauano, ÉE (corresponding author), Inst Chico Mendes Conservacao Biodiversidade, Parque Nacl Montanhas Tumucumaque, Macapa, Amapa, Brazil.</t>
  </si>
  <si>
    <t>ericokauano@gmail.com</t>
  </si>
  <si>
    <t>Kauano, Erico/N-8273-2013; da Silva, José/K-3479-2016; Michalski, Fernanda/J-4691-2012</t>
  </si>
  <si>
    <t>Kauano, Erico/0000-0002-4016-4005; Michalski, Fernanda/0000-0002-8074-9964</t>
  </si>
  <si>
    <t>CNPq [301562/2015-6]; University of Miami; Swift Action Fund; Instituto Chico Mendes de Conservacao da Biodiversidade; CAPES Foundation; Ministry of Education of Brazil [88881.030414/2013-01]</t>
  </si>
  <si>
    <t>CNPq(Conselho Nacional de Desenvolvimento Cientifico e Tecnologico (CNPQ)); University of Miami; Swift Action Fund; Instituto Chico Mendes de Conservacao da Biodiversidade; CAPES Foundation(Coordenacao de Aperfeicoamento de Pessoal de Nivel Superior (CAPES)); Ministry of Education of Brazil</t>
  </si>
  <si>
    <t>Fernanda Michalski received a productivity scholarship from CNPq (Process 301562/2015-6). Jose Maria Cardoso da Silva was supported by the University of Miami and Swift Action Fund. Erico Emed Kauano was supported by Instituto Chico Mendes de Conservacao da Biodiversidade. This work was funded by a research grant from the CAPES Foundation, Ministry of Education of Brazil (Project 88881.030414/2013-01). There was no additional external funding received for this study. The funders had no role in study design, data collection and analysis, decision to publish, or preparation of the manuscript.</t>
  </si>
  <si>
    <t>e3902</t>
  </si>
  <si>
    <t>10.7717/peerj.3902</t>
  </si>
  <si>
    <t>FJ7ZR</t>
  </si>
  <si>
    <t>WOS:000412980400001</t>
  </si>
  <si>
    <t>González-Andrés, C; Sánchez-Lizaso, JL; Cortés, J; Pennino, MG</t>
  </si>
  <si>
    <t>Gonzalez-Andres, Cristina; Luis Sanchez-Lizaso, Jose; Cortes, Jorge; Grazia Pennino, Maria</t>
  </si>
  <si>
    <t>Costa Rica; Illegal fishing; Marine reserve; Spatial-temporal model; Shark; Yellowfin tuna</t>
  </si>
  <si>
    <t>GENERALIZED ADDITIVE-MODELS; PACIFIC; TUNA; BIODIVERSITY; MANAGEMENT; SEAMOUNTS; OCEAN</t>
  </si>
  <si>
    <t>The Isla del Coco National Park, located on the Pacific coast of Costa Rica, is rich in biodiversity and has a high concentration of pelagic species. This high marine biodiversity makes the Isla del Coco National Park (PNIC) a very attractive place for illegal fishers. We analyzed a dataset covering 8 years (2003-2010) of patrol records from PNIC with the aim of determining, a) the spatial-temporal distribution of illegal fishing, b) other areas that could be prone to illegal fishing but are currently undetected, c) the most profitable areas for this activity and d) the economic trade-offs of this illegal activity in relation to potential gains and the costs. Residuals Autocovariate Generalized Additive Models (RAC-GAMs) were used to model the illegal fishing activity's spatial distribution in relation to topographic, biological and temporal (quarter of the year) variables. The final RAC-GAM showed that bathymetry, distance from the coast, slope of the seabed, and yellowfin tuna and silky shark abundance were the most important predictors of this activity. Predictive maps suggest a major trend in the abundance of illegal fishing between the second and third quarters of the year in waters surrounding a seamount within the Park. Maps of the most profitable areas highlighted a specific risk location that should be intensively monitored. Overall, the potential gains from this activity outweigh the potential costs of being caught. Our findings provide useful information that can be used to optimize enforcement, deter illegal fishing and, consequently, increasing the conservation of the protected species.</t>
  </si>
  <si>
    <t>[Gonzalez-Andres, Cristina; Luis Sanchez-Lizaso, Jose] Univ Alicante, Dept Ciencias Marinas &amp; Biol Aplicada, Carretera San Vicente del Raspeig S-N, Alicante 03690, Spain; [Gonzalez-Andres, Cristina; Grazia Pennino, Maria] Univ Valencia, Dept Estadist &amp; Invest Operat, Stat Modeling Ecol Grp SMEG, Av Blasco Ibanez 13, Valencia 46010, Spain; [Cortes, Jorge] Univ Costa Rica, Ctr Invest Ciencias Mar &amp; Limnol CIMAR, San Jose 115012060, Costa Rica; [Grazia Pennino, Maria] Inst Espanol Oceanog Ctr Oceanog Vigo, Subida Radio Faro 50-52, Vigo 36390, Pontevedra, Spain</t>
  </si>
  <si>
    <t>Universitat d'Alacant; University of Valencia; Universidad Costa Rica</t>
  </si>
  <si>
    <t>González-Andrés, C (corresponding author), Univ Alicante, Dept Ciencias Marinas &amp; Biol Aplicada, Carretera San Vicente del Raspeig S-N, Alicante 03690, Spain.</t>
  </si>
  <si>
    <t>cristinacap80@hotmail.com</t>
  </si>
  <si>
    <t>pennino, maria grazia/JDW-8804-2023; Sánchez Lizaso, José Luis/J-4939-2017</t>
  </si>
  <si>
    <t>pennino, maria grazia/0000-0002-7577-2617; Sánchez Lizaso, José Luis/0000-0002-3927-5699</t>
  </si>
  <si>
    <t>10.1016/j.marpol.2020.104023</t>
  </si>
  <si>
    <t>NH5CX</t>
  </si>
  <si>
    <t>WOS:000564689000006</t>
  </si>
  <si>
    <t>Foden, WB; Butchart, SHM; Stuart, SN; Vié, JC; Akçakaya, HR; Angulo, A; DeVantier, LM; Gutsche, A; Turak, E; Cao, L; Donner, SD; Katariya, V; Bernard, R; Holland, RA; Hughes, AF; O'Hanlon, SE; Garnett, ST; Sekercioglu, CH; Mace, GM</t>
  </si>
  <si>
    <t>Foden, Wendy B.; Butchart, Stuart H. M.; Stuart, Simon N.; Vie, Jean-Christophe; Akcakaya, H. Resit; Angulo, Ariadne; DeVantier, Lyndon M.; Gutsche, Alexander; Turak, Emre; Cao, Long; Donner, Simon D.; Katariya, Vineet; Bernard, Rodolphe; Holland, Robert A.; Hughes, Adrian F.; O'Hanlon, Susannah E.; Garnett, Stephen T.; Sekercioglu, Cagan H.; Mace, Georgina M.</t>
  </si>
  <si>
    <t>GLOBAL BIODIVERSITY; POPULATION DECLINES; CONSERVATION; ENVELOPE; IMPACTS; RANGE; ADAPTATION; SCENARIOS; MODELS; RATES</t>
  </si>
  <si>
    <t>Climate change will have far-reaching impacts on biodiversity, including increasing extinction rates. Current approaches to quantifying such impacts focus on measuring exposure to climatic change and largely ignore the biological differences between species that may significantly increase or reduce their vulnerability. To address this, we present a framework for assessing three dimensions of climate change vulnerability, namely sensitivity, exposure and adaptive capacity; this draws on species' biological traits and their modeled exposure to projected climatic changes. In the largest such assessment to date, we applied this approach to each of the world's birds, amphibians and corals (16,857 species). The resulting assessments identify the species with greatest relative vulnerability to climate change and the geographic areas in which they are concentrated, including the Amazon basin for amphibians and birds, and the central Indo-west Pacific (Coral Triangle) for corals. We found that high concentration areas for species with traits conferring highest sensitivity and lowest adaptive capacity differ from those of highly exposed species, and we identify areas where exposure-based assessments alone may over or under-estimate climate change impacts. We found that 608-851 bird (6-9%), 670-933 amphibian (11-15%), and 47-73 coral species (6-9%) are both highly climate change vulnerable and already threatened with extinction on the IUCN Red List. The remaining highly climate change vulnerable species represent new priorities for conservation. Fewer species are highly climate change vulnerable under lower IPCC SRES emissions scenarios, indicating that reducing greenhouse emissions will reduce climate change driven extinctions. Our study answers the growing call for a more biologically and ecologically inclusive approach to assessing climate change vulnerability. By facilitating independent assessment of the three dimensions of climate change vulnerability, our approach can be used to devise species and area-specific conservation interventions and indices. The priorities we identify will strengthen global strategies to mitigate climate change impacts.</t>
  </si>
  <si>
    <t>[Foden, Wendy B.; Katariya, Vineet; Hughes, Adrian F.] Int Union Conservat Nat, Global Species Programme, Cambridge, England; [Foden, Wendy B.] Univ Witwatersrand, Johannesburg, South Africa; [Butchart, Stuart H. M.] BirdLife Int, Science, Cambridge, England; [Stuart, Simon N.] Int Union Conservat Nat, Species Survival Commiss, Gland, Switzerland; [Stuart, Simon N.] World Conservat Monitoring Ctr, United Nations Environm Programme, Cambridge, England; [Stuart, Simon N.] Ain Wildlife Pk &amp; Resort, Al Ain, U Arab Emirates; [Stuart, Simon N.] Univ Bath, Dept Biol &amp; Biochem, Bath BA2 7AY, Somerset, England; [Vie, Jean-Christophe; Angulo, Ariadne] Int Union Conservat Nat, Global Species Programme, Gland, Switzerland; [Akcakaya, H. Resit] SUNY Stony Brook, Dept Ecol &amp; Evolut, Stony Brook, NY USA; Leibniz Inst Res Evolut &amp; Biodivers, Museum Nat Kunde, Berlin, Germany; [Turak, Emre] James Cook Univ, Catchment Reef Res Grp, Ctr Trop Water &amp; Aquat Ecosyst Res, Townsville, Qld, Australia; [Turak, Emre] Zhejiang Univ, Dept Earth Sci, Hangzhou 310027, Peoples R China; [Donner, Simon D.] Univ British Columbia, Dept Geog, Vancouver, BC, Canada; [Katariya, Vineet] Univ London Imperial Coll Sci Technol &amp; Med, Ctr Populat Biol, Ascot SL5 7PY, Berks, England; [Holland, Robert A.] Univ Southampton, Ctr Biol Sci, Southampton, Hants, England; [O'Hanlon, Susannah E.] Anglia Ruskin Univ, Dept Life Sci, Cambridge, England; [Garnett, Stephen T.] Charles Darwin Univ, Res Inst Environm &amp; Livelihoods, Darwin, NT 0909, Australia; [Sekercioglu, Cagan H.] Univ Utah, Dept Biol, Salt Lake City, UT 84112 USA; [Mace, Georgina M.] UCL, Dept Genet Evolut &amp; Environm, Ctr Biodivers &amp; Environm Res, London, England</t>
  </si>
  <si>
    <t>University of Witwatersrand; BirdLife International; University of Bath; State University of New York (SUNY) System; Stony Brook University; Leibniz Institut fur Evolutions und Biodiversitatsforschung; James Cook University; Zhejiang University; University of British Columbia; Imperial College London; University of Southampton; Anglia Ruskin University; Charles Darwin University; Utah System of Higher Education; University of Utah; University of London; University College London</t>
  </si>
  <si>
    <t>Foden, WB (corresponding author), Int Union Conservat Nat, Global Species Programme, Cambridge, England.</t>
  </si>
  <si>
    <t>fodenw@gmail.com</t>
  </si>
  <si>
    <t>Garnett, Stephen/M-3877-2013; Butchart, Stuart/Y-2711-2018; Mace, Georgina/I-3072-2016; Holland, Robert/C-1928-2012; Şekercioğlu, Çağan H/A-2331-2013; Holland, Robert/C-1928-2012; Akcakaya, H./A-7830-2008</t>
  </si>
  <si>
    <t>Garnett, Stephen/0000-0002-0724-7060; Hughes, Aian/0000-0002-0807-6646; Butchart, Stuart/0000-0002-1140-4049; Mace, Georgina/0000-0001-8965-5211; Holland, Robert/0000-0002-3038-9227; Şekercioğlu, Çağan H/0000-0003-3193-0377; Holland, Robert/0000-0002-5927-9160;</t>
  </si>
  <si>
    <t>John D. and Catherine T. MacArthur Foundation [06-87945-000-GSS]</t>
  </si>
  <si>
    <t>John D. and Catherine T. MacArthur Foundation</t>
  </si>
  <si>
    <t>This study was funded by the John D. and Catherine T. MacArthur Foundation. Grant number: 06-87945-000-GSS (http://www.macfound.org/). In kind contributions were also made by Imperial College London and Conservation International. The funders had no role in study design, data collection and analysis, decision to publish, or preparation of the manuscript.</t>
  </si>
  <si>
    <t>JUN 12</t>
  </si>
  <si>
    <t>e65427</t>
  </si>
  <si>
    <t>10.1371/journal.pone.0065427</t>
  </si>
  <si>
    <t>163FW</t>
  </si>
  <si>
    <t>WOS:000320322400025</t>
  </si>
  <si>
    <t>Noble, MM; Harasti, D; Fulton, CJ; Doran, B</t>
  </si>
  <si>
    <t>Noble, Mae M.; Harasti, David; Fulton, Christopher J.; Doran, Bruce</t>
  </si>
  <si>
    <t>GIS fuzzy-set spatial modelling; Iconic species; Marine Protected Areas; Participatory mapping; Species distribution models; Traditional and Local Ecological Knowledge</t>
  </si>
  <si>
    <t>MULLOWAY ARGYROSOMUS-JAPONICUS; TAILOR POMATOMUS SALTATRIX; TURTLES CHELONIA-MYDAS; HOME-RANGE; MULTICRITERIA EVALUATION; INTEGRATED COASTAL; ABIOTIC SURROGATES; PARTICIPATORY GIS; CLIMATE-CHANGE; MIXED-METHODS</t>
  </si>
  <si>
    <t>Marine Protected Areas (MPAs) can be an effective spatial approach to conservation, especially when they involve genuine consultation that considers the diversity of stakeholders. Participatory mapping and semi structured interviews were conducted with 52 stakeholders and 22 managers and scientists to identify ecological priorities and concerns across a large temperate MPA in Port Stephens-Great Lakes Marine Park, Australia. There were 19 iconic species of fish, dolphins, whales, and sea turtles that were the focus of ecological priorities and stakeholder interactions with the marine environment. Effectiveness of the current MPA management plan for addressing stakeholder priority and concerns, was assessed using GIS spatial modelling that created fuzzy-set species distribution models (SDMs) based on Traditional and Local Ecological Knowledge as well as scientific and citizen-science survey data. These spatial models for the iconic species across the MPA were then overlaid with ecological concerns of the stakeholders to create a spatial understanding of local threats, and priority areas for targeted management. Poor water quality from terrestrial primary sources was the main concern of stakeholders, more so than in-water threats such as poor fishing practices or impacts to iconic species. While local managers and scientists were relatively reluctant to answer interview questions, there was a general misalignment in approaches to iconic species management, especially for mobile and migratory species, and misunderstanding of stakeholder perceptions of threats. Participatory mapping of social-ecological values provides a method for stakeholders and decision-makers to better understand, discuss, and adapt marine spatial management approaches that support a diversity of conservation and management priorities.</t>
  </si>
  <si>
    <t>[Noble, Mae M.; Doran, Bruce] Australian Natl Univ, Fenner Sch Environm &amp; Soc, 141 Linneaus Way, Canberra, ACT 2601, Australia; [Harasti, David] NSW Dept Primary Ind, Fisheries Res, Locked Bag 1, Taylors Beach, NSW 2315, Australia; [Fulton, Christopher J.] Australian Natl Univ, Res Sch Biol, 46 Sullivans Creek Rd, Canberra, ACT 2601, Australia</t>
  </si>
  <si>
    <t>Australian National University; Department of Primary Industries &amp; Regional Development NSW; Australian National University</t>
  </si>
  <si>
    <t>Noble, MM (corresponding author), Australian Natl Univ, Fenner Sch Environm &amp; Soc, 141 Linneaus Way, Canberra, ACT 2601, Australia.</t>
  </si>
  <si>
    <t>mae.noble@anu.edu.au</t>
  </si>
  <si>
    <t>Doran, Bruce/A-4946-2008; Fulton, Christopher/A-5971-2008; Harasti, David/I-1266-2019</t>
  </si>
  <si>
    <t>Lesslie Research Scholarship in Landscape Conservation and Ecology grant; Fenner School of Environment and Society; Australian National University; Australian Government Research Training Program Scholarship</t>
  </si>
  <si>
    <t>Lesslie Research Scholarship in Landscape Conservation and Ecology grant; Fenner School of Environment and Society; Australian National University(Australian National University); Australian Government Research Training Program Scholarship(Australian GovernmentDepartment of Industry, Innovation and Science)</t>
  </si>
  <si>
    <t>Thank you to the Lesslie Research Scholarship in Landscape Conservation and Ecology grant, the Fenner School of Environment and Society, Australian National University, and the Australian Government Research Training Program Scholarship for funding this research project.</t>
  </si>
  <si>
    <t>10.1016/j.biocon.2020.108709</t>
  </si>
  <si>
    <t>NM1OE</t>
  </si>
  <si>
    <t>WOS:000567872700004</t>
  </si>
  <si>
    <t>Beaudry, F; Demaynadier, PG; Hunter, ML</t>
  </si>
  <si>
    <t>Beaudry, Frederic; deMaynadier, Phillip G.; Hunter, Malcolm L., Jr.</t>
  </si>
  <si>
    <t>Clemmys guttata; Emydoidea blandingii; Gravity model; Mitigation; Spatially explicit population viability; analysis; Tortuosity</t>
  </si>
  <si>
    <t>POPULATION VIABILITY ANALYSIS; LONG-DISTANCE DISPERSAL; ORNATE BOX TURTLE; BODY-SIZE; HABITAT FRAGMENTATION; SEXUAL-MATURITY; CHRYSEMYS-PICTA; GRAVITY MODEL; GENE FLOW; LOCOMOTOR PERFORMANCE</t>
  </si>
  <si>
    <t>Prioritizing sites for localized mitigation measures, and forecasting the effect of interventions on an endangered population, requires an understanding of the spatial scales at which threat processes operate. Road mortality is among the greatest threats to semi-terrestrial freshwater turtles due to the group's life-history traits. Declining throughout much of their range, spotted (Clemmys guttata) and Blanding's turtles (Emydoidea blandingii) are exposed to high road densities and traffic volumes in the northeastern United States. We examine the distribution of roadkill risk for spotted and Blanding's turtles at three spatial scales. Tortuosity during upland movements was used to predict road-crossing locations at the single-movement scale. A gravity model of wetland-to-wetland interactions was then developed to identify road mortality hot spots at a broader road segment scale. Finally, road-crossing risk was assessed at the scale of focal areas that support distinct populations, using a population viability analysis to evaluate the consequences of road mortality on resident populations. The observed spatial variability of road mortality risk was high for single road crossing movements, limiting the effectiveness of static mitigation measures conducted at this scale. At the broader road segment scale, road mortality hotspots were evident. The demographic risk associated with roads varied widely among discrete populations, with probabilities of extinction over 100-year projections reaching 5.1% for spotted turtles, and 58.8% for Blanding's turtles. We conclude that conservation interventions are most likely to be effective in mitigating the effects of road mortality when implemented at the road segment and population scales. (c) 2008 Elsevier Ltd. All rights reserved.</t>
  </si>
  <si>
    <t>[Beaudry, Frederic; Hunter, Malcolm L., Jr.] Univ Maine, Dept Wildlife Ecol, Orono, ME 04469 USA; [deMaynadier, Phillip G.] Maine Dept Inland Fisheries &amp; Wildlife, Wildlife Resource Assessment Sect, Bangor, ME 04401 USA</t>
  </si>
  <si>
    <t>University of Maine System; University of Maine Orono</t>
  </si>
  <si>
    <t>Beaudry, F (corresponding author), Univ Wisconsin, Dept Forest &amp; Wildlife Ecol, 1630 Linden Dr, Madison, WI 53690 USA.</t>
  </si>
  <si>
    <t>frederic.beaudry@umit.maine.edu; phillip.demaynadier@maine.gov; hunter@umenfa.maine.edu</t>
  </si>
  <si>
    <t>Hunter Jr, Malcolm/KHU-3556-2024</t>
  </si>
  <si>
    <t>Maine Department of inland Fisheries Wildlife; Maine Agricultural &amp; Forest Experimental Station; Maine Department of Transportation; US Fish &amp; Wildlife Service; US Environmental Protection Agency; Maine Outdoor Heritage Fund; Nature Conservancy; A.V. Stout Fund; Maine Association of Wetland Scientists</t>
  </si>
  <si>
    <t>Maine Department of inland Fisheries Wildlife; Maine Agricultural &amp; Forest Experimental Station; Maine Department of Transportation; US Fish &amp; Wildlife Service(US Fish &amp; Wildlife Service); US Environmental Protection Agency(United States Environmental Protection Agency); Maine Outdoor Heritage Fund; Nature Conservancy; A.V. Stout Fund; Maine Association of Wetland Scientists</t>
  </si>
  <si>
    <t>This project was supported financially by the Maine Department of inland Fisheries &amp; Wildlife, the Maine Agricultural &amp; Forest Experimental Station, the Maine Department of Transportation, the US Fish &amp; Wildlife Service, the US Environmental Protection Agency, and the Maine Outdoor Heritage Fund. Additional support was provided by The Nature Conservancy, the A.V. Stout Fund, and the Maine Association of Wetland Scientists. Housing for the field work was generously provided by J. Brissette, US Forest Service, Northern Research Station. This research benefited from discussions with D. Patrick, J. Skinner, S. Blomquist, L. Seward, L. Robinson, B. Compton, S. Campbell, and E. Simons. We are grateful for the hard work provided in the field by J. Haskins, M. Ward, J. MacNeil, B. Wasserman, W, Hoffman, N. Munkwitz, L. Leighton, and D. Scarpiti. We thank J. Rhymer, D. Harrison, and D. Hiebeler and two anonymous reviewers for helpful comments on previous drafts of the manuscript. Maine Agricultural and Forest Experiment Station Publication No. 3018.</t>
  </si>
  <si>
    <t>10.1016/j.biocon.2008.07.016</t>
  </si>
  <si>
    <t>367QW</t>
  </si>
  <si>
    <t>WOS:000260568300012</t>
  </si>
  <si>
    <t>Syxaiyakhamthor, K; Ngoprasert, D; Asensio, N; Savini, T</t>
  </si>
  <si>
    <t>Syxaiyakhamthor, Khamkeo; Ngoprasert, Dusit; Asensio, Norberto; Savini, Tommaso</t>
  </si>
  <si>
    <t>Density estimation; Lao; Nam Et-Phou Louey National Protected Area; N-mixture model; Nomascus leucogenys; northern white-cheeked gibbon</t>
  </si>
  <si>
    <t>YAI NATIONAL-PARK; N-MIXTURE MODELS; HYLOBATES-LAR; SABANGAU CATCHMENT; CENTRAL KALIMANTAN; OCCUPANCY; DENSITY; BIODIVERSITY; FOREST; LANDSCAPE</t>
  </si>
  <si>
    <t>All gibbon species are declining throughout South and South-east Asia because of habitat loss and human activities such as hunting. Lao still contains a relatively large area of forest habitat suitable for gibbons, but their status in the country remains poorly known. Here we present the first density estimate of the Critically Endangered northern white-cheeked gibbon Nomascus leucogenys in Nam Et-Phou Louey National Protected Area, northern Lao. We conducted gibbon surveys using an auditory sampling technique during May-August 2014 and May 2015, at 40 sites, covering 125.6 km(2). We applied N-mixture models to analyse group counts, investigating which landscape and human disturbance covariates influenced the spatial variation of gibbon abundance across the study area. We estimated the average gibbon density to be 0.4 groups/km(2). Gibbon density was higher in mixed deciduous forest (0.74 groups/km(2)) than in evergreen forest (0.09 groups/km(2)), which could be a result of long-term hunting in evergreen forest areas. Thus, future gibbon protection plans should consider not only evergreen forest as priority habitat, but also deciduous forest, which tends to receive less attention in conservation planning. We also highlight key areas containing gibbons where law enforcement patrols should be focussed, to limit threats such as poaching. Future forest management plans should aim to maximize the size and connectivity of suitable gibbon habitat, to enable exchange between subpopulations.</t>
  </si>
  <si>
    <t>[Syxaiyakhamthor, Khamkeo; Ngoprasert, Dusit; Savini, Tommaso] King Mongkuts Univ Technol Thonburi, Conservat Ecol Program, Sch Bioresources &amp; Technol, Bangkok 10150, Thailand; [Asensio, Norberto] Univ Basque Country, Dept Social Psychol &amp; Methodol Behav Sci, Donostia San Sebastian, Spain</t>
  </si>
  <si>
    <t>King Mongkuts University of Technology Thonburi; University of Basque Country</t>
  </si>
  <si>
    <t>Savini, T (corresponding author), King Mongkuts Univ Technol Thonburi, Conservat Ecol Program, Sch Bioresources &amp; Technol, Bangkok 10150, Thailand.</t>
  </si>
  <si>
    <t>tommasosavini@gmail.com</t>
  </si>
  <si>
    <t>Asensio, Norberto/I-2526-2017</t>
  </si>
  <si>
    <t>Asensio, Norberto/0000-0003-4536-5073</t>
  </si>
  <si>
    <t>Ocean Park Conservation Foundation Hong Kong; Wildlife Conservation Society Lao Programme</t>
  </si>
  <si>
    <t>We thank Nam Et-Phou Louey National Protected Area for providing permission to conduct this research, GIS data and survey field assistants; Paul Eshoo for his advice; all field survey teams comprising Nam Et-Phou Louey National Protected Area officers, rangers, and local villagers for their assistance; Camille Coudrat and Chanthalaphone (Project Anoulak) for field training; Greg Irving for language editing, and two anonymous reviewers for their critiques. We acknowledge funding from the Ocean Park Conservation Foundation Hong Kong and the Wildlife Conservation Society Lao Programme.</t>
  </si>
  <si>
    <t>PII S0030605318001515</t>
  </si>
  <si>
    <t>10.1017/S0030605318001515</t>
  </si>
  <si>
    <t>WOS:000584374400008</t>
  </si>
  <si>
    <t>Martins, CCA; Andriolo, A; Engel, MH; Kinas, PG; Saito, CH</t>
  </si>
  <si>
    <t>Martins, C. C. A.; Andriolo, A.; Engel, M. H.; Kinas, P. G.; Saito, C. H.</t>
  </si>
  <si>
    <t>MARINE PROTECTED AREAS; SPATIAL DATA-ANALYSIS; GIS; VESSELS</t>
  </si>
  <si>
    <t>One of the humpback whales' stocks uses the Brazilian Coast as breeding and calving ground during the austral winter. The species is recovering from commercial hunting and re-occupying previous breeding areas. Aerial surveys conducted to estimate the species density and abundance along the continental shelf of the Eastern Brazilian Coast revealed important core areas at the southern portion of the Abrolhos Bank. The rapid growth of human activities in these coastal areas motivated the use of Geographic Information Systems as a tool to guide the identification of priority areas for the species conservation. The species distribution was modelled using a kernel density estimator. The corresponding layer was used to identify areas of overlay with components of maritime traffic and with hydrocarbon exploitation areas. The resulting risk map was overlaid with existent Marine Protected Areas, allowing the cartography of areas where management measures still need to be undertaken to ensure habitat protection. These areas were identified as priorities for the species conservation as they encompass important breeding concentrations that were completely overlain by areas used to hydrocarbon exploitation and/or as navigation corridors. The present work gives support to an ecosystem-based management and ocean zoning of this portion of the Brazilian coast. (C) 2013 Elsevier Ltd. All rights reserved.</t>
  </si>
  <si>
    <t>[Martins, C. C. A.; Saito, C. H.] Univ Brasilia, Dept Ecol, BR-70904970 Brasilia, DF, Brazil; [Martins, C. C. A.; Engel, M. H.] Humpback Whale Inst, Inst Baleia Jubarte, BR-45900000 Caravelas, BA, Brazil; [Andriolo, A.] Univ Fed Juiz de Fora, Inst Ciencias Biol, Dept Zool, BR-36036330 Juiz De Fora, MG, Brazil; [Kinas, P. G.] Fundacao Univ Fed Rio Grande, Dept Matemat, BR-96200970 Rio Grande, RS, Brazil</t>
  </si>
  <si>
    <t>Universidade de Brasilia; Universidade Federal de Juiz de Fora; Universidade Federal do Rio Grande</t>
  </si>
  <si>
    <t>Martins, CCA (corresponding author), 664 Rue Moulin A Baude,CP 451, Tadoussac, PQ G0T2A0, Canada.</t>
  </si>
  <si>
    <t>albuquerquecris@gmail.com</t>
  </si>
  <si>
    <t>Martins, Cristiane/S-3879-2016; Andriolo, Artur/K-5624-2013; Saito, Carlos/N-8471-2013</t>
  </si>
  <si>
    <t>Martins, Cristiane/0000-0002-1525-6995; Saito, Carlos/0000-0002-5757-9629</t>
  </si>
  <si>
    <t>CNPq; CAPES; Projeto Baleia Jubarte/Instituto Baleia Jubarte; Aracruz; Veracel Celulose Ltda</t>
  </si>
  <si>
    <t>CNPq(Conselho Nacional de Desenvolvimento Cientifico e Tecnologico (CNPQ)); CAPES(Coordenacao de Aperfeicoamento de Pessoal de Nivel Superior (CAPES)); Projeto Baleia Jubarte/Instituto Baleia Jubarte; Aracruz; Veracel Celulose Ltda</t>
  </si>
  <si>
    <t>The authors would like to thank all observers that worked on data collection during the aerial surveys from 2001 to 2003. Leonardo L. Wedekin and three anonymous reviewers provided valuable comments that helped to improve the manuscript. C.C.A. Martins received financial support of CNPq and CAPES. Petrobras is the official sponsorship of Projeto Baleia Jubarte/Instituto Baleia Jubarte and the aerial surveys were sponsored by Aracruz and Veracel Celulose Ltda.</t>
  </si>
  <si>
    <t>10.1016/j.ocecoaman.2013.02.006</t>
  </si>
  <si>
    <t>123GY</t>
  </si>
  <si>
    <t>WOS:000317377600007</t>
  </si>
  <si>
    <t>Choquette, JD; Macpherson, MR; Corry, RC</t>
  </si>
  <si>
    <t>Choquette, Jonathan D.; Macpherson, Matthew R.; Corry, Robert C.</t>
  </si>
  <si>
    <t>urban ecosystem; wildlife corridor; potential connectivity pathway; conservation biology; herpetology; Massasauga; Ojibway Prairie</t>
  </si>
  <si>
    <t>EASTERN MASSASAUGA RATTLESNAKE; ROAD MORTALITY; HABITAT USE; MOVEMENT; WILDLIFE; AREAS; CONSERVATION; RESPONSES; PATTERNS; REPTILES</t>
  </si>
  <si>
    <t>In the face of ongoing habitat loss and fragmentation, maintaining an adequate level of landscape connectivity is needed to both encourage dispersal between habitat patches and to reduce the extinction risk of fragmented wildlife populations. In a developing region of southwestern Ontario, Canada, a declining population of Eastern Massasauga rattlesnakes (Sistrurus catenatus) persists in fragmented remnants of tallgrass prairie in an urban park system. The goal of this study was to identify potential connectivity pathways between habitat patches for this species by using a GIS least-cost permeability swath model, and to evaluate the outputs with snake road mortality data. Results identified seven pathways between five core habitat blocks, a subset of which were validated with aerial imagery and mortality data. Four high-ranking pathways intersected roads through or near road mortality hotspots. This research will guide conservation interventions aimed at recovering endangered reptiles in a globally rare ecosystem, and will inform the use of permeability swaths for the identification of locations most suitable for connectivity interventions in dynamic, urbanizing landscapes.</t>
  </si>
  <si>
    <t>[Choquette, Jonathan D.; Corry, Robert C.] Univ Guelph, Sch Environm Design &amp; Rural Dev, Guelph, ON N1G 2W1, Canada; [Choquette, Jonathan D.; Macpherson, Matthew R.] Wildlife Preservat Canada, 5420 Highway 6 North, Guelph, ON N1H 6J2, Canada</t>
  </si>
  <si>
    <t>University of Guelph</t>
  </si>
  <si>
    <t>Choquette, JD (corresponding author), Univ Guelph, Sch Environm Design &amp; Rural Dev, Guelph, ON N1G 2W1, Canada.;Choquette, JD (corresponding author), Wildlife Preservat Canada, 5420 Highway 6 North, Guelph, ON N1H 6J2, Canada.</t>
  </si>
  <si>
    <t>jchoquette@wildlifepreservation.ca; Ojibwayreptiles@wildlifepreservation.ca; rcorry@uoguelph.ca</t>
  </si>
  <si>
    <t>; Corry, Robert/B-9205-2008</t>
  </si>
  <si>
    <t>Choquette, Jonathan D/0000-0002-9965-4359;</t>
  </si>
  <si>
    <t>Province of Ontario's Species at Risk Stewardship Fund; Government of Canada's Science Horizons Youth Internship Program</t>
  </si>
  <si>
    <t>Funding for the collection of road mortality data is reported by Choquette and Valliant [46]. Preparation and publication of this manuscript was partially funded by the Province of Ontario's Species at Risk Stewardship Fund, and the Government of Canada's Science Horizons Youth Internship Program.</t>
  </si>
  <si>
    <t>10.3390/land9090313</t>
  </si>
  <si>
    <t>OF7JI</t>
  </si>
  <si>
    <t>WOS:000581378600001</t>
  </si>
  <si>
    <t>Erbe, C</t>
  </si>
  <si>
    <t>Erbe, C.</t>
  </si>
  <si>
    <t>Erbe, Christine/AAA-3801-2021</t>
  </si>
  <si>
    <t>Erbe, Christine/0000-0002-7884-9907</t>
  </si>
  <si>
    <t>e114362</t>
  </si>
  <si>
    <t>10.1371/journal.pone.0114362</t>
  </si>
  <si>
    <t>WOS:000349145400115</t>
  </si>
  <si>
    <t>Erbe, C; Williams, R; Sandilands, D; Ashe, E</t>
  </si>
  <si>
    <t>Erbe, Christine; Williams, Rob; Sandilands, Doug; Ashe, Erin</t>
  </si>
  <si>
    <t>Identifying Modeled Ship Noise Hotspots for Marine Mammals of Canada's Pacific Region</t>
  </si>
  <si>
    <t>PORPOISE PHOCOENA-PHOCOENA; CUMULATIVE SOUND EXPOSURE; ORCINUS-ORCA; UNDERWATER NOISE; TONAL SIGNALS; DELPHINAPTERUS-LEUCAS; BEHAVIORAL-RESPONSES; DETECTION THRESHOLDS; HEARING SENSITIVITY; OCEAN MEASUREMENTS</t>
  </si>
  <si>
    <t>The inshore, continental shelf waters of British Columbia (BC), Canada are busy with ship traffic. South coast waters are heavily trafficked by ships using the ports of Vancouver and Seattle. North coast waters are less busy, but expected to get busier based on proposals for container port and liquefied natural gas development and expansion. Abundance estimates and density surface maps are available for 10 commonly seen marine mammals, including northern resident killer whales, fin whales, humpback whales, and other species with at-risk status under Canadian legislation. Ship noise is the dominant anthropogenic contributor to the marine soundscape of BC, and it is chronic. Underwater noise is now being considered in habitat quality assessments in some countries and in marine spatial planning. We modeled the propagation of underwater noise from ships and weighted the received levels by species-specific audiograms. We overlaid the audiogram-weighted maps of ship audibility with animal density maps. The result is a series of so-called hotspot'' maps of ship noise for all 10 marine mammal species, based on cumulative ship noise energy and average distribution in the boreal summer. South coast waters (Juan de Fuca and Haro Straits) are hotspots for all species that use the area, irrespective of their hearing sensitivity, simply due to ubiquitous ship traffic. Secondary hotspots were found on the central and north coasts (Johnstone Strait and the region around Prince Rupert). These maps can identify where anthropogenic noise is predicted to have above-average impact on species-specific habitat, and where mitigation measures may be most effective. This approach can guide effective mitigation without requiring fleet-wide modification in sites where no animals are present or where the area is used by species that are relatively insensitive to ship noise.</t>
  </si>
  <si>
    <t>[Erbe, Christine] Curtin Univ, Ctr Marine Sci &amp; Technol, Perth, WA 6845, Australia; [Williams, Rob; Ashe, Erin] Univ St Andrews, Sea Mammal Res Unit, St Andrews, Fife, Scotland; [Sandilands, Doug] Provincetown Ctr Coastal Studies, Provincetown, MA USA</t>
  </si>
  <si>
    <t>Curtin University; University of St Andrews</t>
  </si>
  <si>
    <t>Erbe, C (corresponding author), Curtin Univ, Ctr Marine Sci &amp; Technol, Perth, WA 6845, Australia.</t>
  </si>
  <si>
    <t>Christine.Erbe@curtin.edu.au</t>
  </si>
  <si>
    <t>; Erbe, Christine/AAA-3801-2021; Willia, Rob/C-5882-2011</t>
  </si>
  <si>
    <t>Ashe, Erin/0000-0001-9918-1419; Erbe, Christine/0000-0002-7884-9907; Willia, Rob/0000-0001-7496-453X</t>
  </si>
  <si>
    <t>Marie Curie International Incoming Fellowship within the 7th European Community [PIIF-GA-2009-253407]; Marisla Foundation</t>
  </si>
  <si>
    <t>Marie Curie International Incoming Fellowship within the 7th European Community(European Union (EU)); Marisla Foundation</t>
  </si>
  <si>
    <t>RW was supported by a Marie Curie International Incoming Fellowship within the 7th European Community Framework Programme (Project CONCEAL, FP7, PIIF-GA-2009-253407). These analyses were funded by a grant to RW and EA from Marisla Foundation. The funders had no role in study design, data collection and analysis, decision to publish, or preparation of the manuscript.</t>
  </si>
  <si>
    <t>MAR 5</t>
  </si>
  <si>
    <t>e89820</t>
  </si>
  <si>
    <t>10.1371/journal.pone.0089820</t>
  </si>
  <si>
    <t>AC4GP</t>
  </si>
  <si>
    <t>WOS:000332479400029</t>
  </si>
  <si>
    <t>Seidler, RG; Long, RA; Berger, J; Bergen, S; Beckmann, JP</t>
  </si>
  <si>
    <t>Seidler, Renee G.; Long, Ryan A.; Berger, Joel; Bergen, Scott; Beckmann, Jon P.</t>
  </si>
  <si>
    <t>Brownian bridge movement model; Greater Yellowstone; highway; long-distance migration; natural gas; pronghorn; resource utilization function; stopover; apeadero; autopista; berrendo; funcion del uso de los recursos; gas natural; Gran Yellowstone; migracion a larga distancia; modelo de movimiento de puente browniano</t>
  </si>
  <si>
    <t>WINTER HABITAT SELECTION; MULE DEER; PATTERNS; UNGULATE; ELK</t>
  </si>
  <si>
    <t>In much of the world, the persistence of long-distance migrations by mammals is threatened by development. Even where human population density is relatively low, there are roads, fencing, and energy development that present barriers to animal movement. If we are to conserve species that rely on long-distance migration, then it is critical that we identify existing migration impediments. To delineate stopover sites associated with anthropogenic development, we applied Brownian bridge movement models to high-frequency locations of pronghorn (Antilocapra americana) in the Greater Yellowstone Ecosystem. We then used resource utilization functions to assess the threats to long-distance migration of pronghorn that were due to fences and highways. Migrating pronghorn avoided dense developments of natural gas fields. Highways with relatively high volumes of traffic and woven-wire sheep fence acted as complete barriers. At crossings with known migration bottlenecks, use of high-quality forage and shrub habitat by pronghorn as they approached the highway was lower than expected based on availability of those resources. In contrast, pronghorn consistently utilized high-quality forage close to the highway at crossings with no known migration bottlenecks. Our findings demonstrate the importance of minimizing development in migration corridors in the future and of mitigating existing pressure on migratory animals by removing barriers, reducing the development footprint, or installing crossing structures. Identificacion de los Impedimentos para las Migraciones de Larga Distancia de Mamiferos Resumen En la mayor parte del mundo, la persistencia de las migraciones de larga distancia de los mamiferos esta amenazada por el desarrollo. Incluso donde la densidad de poblacion humana es relativamente baja existen caminos, cercas y desarrollo de energias que presentan barreras para el movimiento animal. Si deseamos conservar a las especies que dependen de la migracion de larga distancia, entonces es critico que identifiquemos los impedimentos que existen para que esta se lleve a cabo. Para delinear sitios de apeadero asociados con el desarrollo antropogenico aplicamos modelos de movimiento de puente browniano a las localidades con alta frecuencia de berrendos (Antilocapra americana) en el Ecosistema del Gran Yellowstone. Despues utilizamos funciones de uso de recurso para evaluar las amenazas a la migracion de larga distancia del berrendo que se debieran a las cercas y carreteras. Los berrendos en migracion evitaron desarrollos densos de campos de gas natural. Las carreteras con volumenes relativamente altos de trafico y cercas de malla ciclon funcionaron como barreras completas. En los cruces con cuellos de botella migratorios conocidos, el uso de forraje de alta calidad y el habitat arbustivo por parte de los berrendos conforme se aproximaban a la carretera fue mas bajo de lo esperado con base en la disponibilidad de estos recursos.En contraste, los berrendos usaron constantemente el forraje de alta calidad cercano a la carretera en los cruces sin cuellos de botella migratorios conocidos. Nuestros hallazgos demuestran la importancia de minimizar el desarrollo en los corredores migratorios en el futuro y mitigar la presion existente sobre los animales migratorios al remover barreras, reducir la huella del desarrollo o al instalar estructuras de cruce.</t>
  </si>
  <si>
    <t>[Seidler, Renee G.] Wildlife Conservat Soc, North Amer Program, Teton Field Off, Driggs, ID 83422 USA; [Long, Ryan A.] Princeton Univ, Dept Ecol &amp; Evolutionary Biol, Princeton, NJ 08544 USA; [Berger, Joel] Univ Montana, Wildlife Conservat Soc, Northern Rockies Field Off, Missoula, MT 59812 USA; [Berger, Joel] Univ Montana, Missoula, MT 59812 USA; [Bergen, Scott] Wildlife Landscape Res, Idaho Dept Fish &amp; Game, Pocatello, ID 83204 USA; [Beckmann, Jon P.] Wildlife Conservat Soc, North Amer Program, Bozeman, MT 59715 USA</t>
  </si>
  <si>
    <t>Wildlife Conservation Society; Princeton University; Wildlife Conservation Society; University of Montana System; University of Montana; University of Montana System; University of Montana; Wildlife Conservation Society</t>
  </si>
  <si>
    <t>Seidler, RG (corresponding author), Wildlife Conservat Soc, North Amer Program, Teton Field Off, POB 936, Driggs, ID 83422 USA.</t>
  </si>
  <si>
    <t>rseidler@wcs.org</t>
  </si>
  <si>
    <t>Long, Ryan/B-6472-2012</t>
  </si>
  <si>
    <t>Long, Ryan/0000-0002-0124-7641; Beckmann, Jon P/0000-0002-4406-7667</t>
  </si>
  <si>
    <t>Shell Exploration and Production Company; Ultra Petroleum; Questar; National Fish and Wildlife Foundation</t>
  </si>
  <si>
    <t>Financial support for this project was provided by Shell Exploration and Production Company (A. Davison, J.R. Justus, J. Bickley, D. McMullen, F. Palmer, D. Sinclair), Ultra Petroleum (B. Salinas, C. McKee), Questar (P. Guernsey), and the National Fish and Wildlife Foundation (C. Vynne). We thank Advanced Telemetry Systems (J. Rosenberg, J. Roth), Jensen Air (T. Jensen), Sky Aviation (D. Stinson, K. Overfield), the National Park Service (S. Cain, S. Dewey), Quicksilver Air (R. and S. Swisher, P. Johnson, J. Zachowski, D. Rivers, L. Shelton), and Skytruth (J. Amos) for their expertise. The Wyoming Game &amp; Fish Department facilitated permits and offered key advice and help with logistics, particularly B. Holz, D. Clause, B. Rudd, T. Ryder, S. Smith, V. Stelter, D. Stroud, S. Werbelow, T. Hartman, and the WGFD Pronghorn Working Group. A. Bontrager assisted with acquiring GIS layers and creating hand-digitized disturbance layers. M. Smith, J. Burrell, A. Merenlender, and 3 anonymous reviewers provided insightful review of the manuscript. We thank L. Doucette for final edits.</t>
  </si>
  <si>
    <t>10.1111/cobi.12376</t>
  </si>
  <si>
    <t>CA2AX</t>
  </si>
  <si>
    <t>WOS:000348712400013</t>
  </si>
  <si>
    <t>Preece, HJ</t>
  </si>
  <si>
    <t>Oxley, L; Kulasiri, D</t>
  </si>
  <si>
    <t>Identifying Hotspots for Threats to Koalas Using Spatial Analysis</t>
  </si>
  <si>
    <t>MODSIM 2007: INTERNATIONAL CONGRESS ON MODELLING AND SIMULATION: LAND, WATER AND ENVIRONMENTAL MANAGEMENT: INTEGRATED SYSTEMS FOR SUSTAINABILITY</t>
  </si>
  <si>
    <t>International Congress on Modelling and Simulation (MODSIM07)</t>
  </si>
  <si>
    <t>DEC 10-13, 2007</t>
  </si>
  <si>
    <t>Christchurch, NEW ZEALAND</t>
  </si>
  <si>
    <t>Lincoln Univ,HEMA Consulting Pty Ltd,Modelling and Simulat Soc Australia &amp; New Zealand (MSSANZ),Univ Canterbury,SGI,Lincoln Ventures Ltd,Hoare Res Software Ltd,IMACS,IEMSS,Environm Modelling &amp; Software,IBM</t>
  </si>
  <si>
    <t>Koala; forest fragmentation; habitat; hotspot; threatzone; GIS; spatial modelling</t>
  </si>
  <si>
    <t>FRAGMENTATION; FOREST; POPULATION</t>
  </si>
  <si>
    <t>Wildlife populations throughout the world are under pressure as human activities expand into previously natural ecosystems. Human population growth is resulting in the rapid development of sensitive coastal regions that frequently coincide with areas of high biodiversity and significant populations of fauna - such as koalas (Phascolarctos cinereus). As a consequence, these wildlife populations are increasingly faced with a range of threats associated with anthropogenic activity. While land clearing for urban development results in direct impacts on wildlife populations through habitat loss, the associated effects, including habitat fragmentation and elevated levels of anthropogenic mortality are indirect, insidious and much more difficult to detect or quantify. Habitat loss has long been regarded as the single biggest threat to the persistence of many species, and the main factor responsible for declining koala populations. Clearing not only results in net loss of habitat, but the fragmentation of the remaining habitat also contributes to a permanent decrease in population size and reduced long term population viability. Degradation of habitat is often associated with fragmentation through edge effects, or through logging regimes, thinning; destruction of mid-storey shelter trees; fire regimes; excessive nutrient input; or introduction of weeds (ANZECC 1998). As a consequence of urban development, koala populations have to contend with the additional threats posed by vehicles, dogs and disease, which are frequently regarded as the main agents of injury and mortality of koalas in or near urban areas (Martin and Handasyde 1999). This study relates the spatial pattern of threats to wildlife populations with landscape processes culminating in localised extinctions. By examining both habitat fragmentation effects and the major causes of koala mortality (vehicle, dog and disease) the study provides information and techniques to develop management options for wildlife populations in rapidly urbanising areas. In the Koala Coast region of South East Queensland, threats to koalas were modelled spatially by integrating a forest fragmentation model derived from Landsat TM satellite imagery with threat surface models derived from koala mortality reports. To determine whether the spatial patterns could be related to ecological processes, evidence of localised koala extinctions was also investigated. The fragmentation model identified and mapped six categories of fragmentation and also provided valuable contextual and descriptive information, essential for assessing potential impacts and management decisions. The Koala Coast was found to be highly fragmented, with only 21% of the study area classified as interior forest which represents the most suitable habitat for koalas. By identifying hotspots, or spatial concentrations of threats from the surface models using GIS, it was possible to estimate that the anthropogenic mortality risk in the high threat zone (4.5 koala 100ha(-1) yr(-1)) was 7.5 times higher than the low threat zone. These threats are already impacting on koala population viability, with 18% +/- 5% of the Koala Coast affected by localised extinctions. It is concluded that human-influenced mortality and not habitat loss per se, is the greatest threat to koala population viability in these rapidly urbanising areas. [GRAPHICS] .</t>
  </si>
  <si>
    <t>Harriet.Preece@epa.qld.gov.au</t>
  </si>
  <si>
    <t>MODELLING &amp; SIMULATION SOC AUSTRALIA &amp; NEW ZEALAND INC</t>
  </si>
  <si>
    <t>CHRISTCHURCH</t>
  </si>
  <si>
    <t>MSSANZ, CHRISTCHURCH, 00000, NEW ZEALAND</t>
  </si>
  <si>
    <t>978-0-9758400-4-7</t>
  </si>
  <si>
    <t>Computer Science, Information Systems; Ecology; Environmental Sciences; Multidisciplinary Sciences</t>
  </si>
  <si>
    <t>Computer Science; Environmental Sciences &amp; Ecology; Science &amp; Technology - Other Topics</t>
  </si>
  <si>
    <t>BUQ25</t>
  </si>
  <si>
    <t>WOS:000290030701050</t>
  </si>
  <si>
    <t>Kirol, CP; Beck, JL; Huzurbazar, SV; Holloran, MJ; Miller, SN</t>
  </si>
  <si>
    <t>Kirol, Christopher P.; Beck, Jeffrey L.; Huzurbazar, Snehalata V.; Holloran, Matthew J.; Miller, Scott N.</t>
  </si>
  <si>
    <t>Atlantic Rim Project Area; Centrocercus urophasianus; energy development; fitness; Greater Sage-Grouse; habitat quality; productivity; resource selection functions; source-sink habitats; south-central Wyoming, USA; survival functions; survival modeling</t>
  </si>
  <si>
    <t>SURVIVAL ANALYSIS; MODEL SELECTION; NESTING HABITAT; WINTER; REGRESSION; ECOLOGY; SCALE; POPULATIONS; OCCUPANCY; FITNESS</t>
  </si>
  <si>
    <t>Conserving a declining species that is facing many threats, including overlap of its habitats with energy extraction activities, depends upon identifying and prioritizing the value of the habitats that remain. In addition, habitat quality is often compromised when source habitats are lost or fragmented due to anthropogenic development. Our objective was to build an ecological model to classify and map habitat quality in terms of source or sink dynamics for Greater Sage-Grouse (Centrocercus urophasianus) in the Atlantic Rim Project Area (ARPA), a developing coalbed natural gas field in south-central Wyoming, USA. We used occurrence and survival modeling to evaluate relationships between environmental and anthropogenic variables at multiple spatial scales and for all female summer life stages, including nesting, brood-rearing, and non-brooding females. For each life stage, we created resource selection functions (RSFs). We weighted the RSFs and combined them to form a female summer occurrence map. We modeled survival also as a function of spatial variables for nest, brood, and adult female summer survival. Our survival models were mapped as survival probability functions individually and then combined with fixed vital rates in a fitness metric model that, when mapped, predicted habitat productivity (productivity map). Our results demonstrate a suite of environmental and anthropogenic variables at multiple scales that were predictive of occurrence and survival. We created a source-sink map by overlaying our female summer occurrence map and productivity map to predict habitats contributing to population surpluses (source habitats) or deficits (sink habitat) and low-occurrence habitats on the landscape. The source-sink map predicted that of the Sage-Grouse habitat within the ARPA, 30% was primary source, 29% was secondary source, 4% was primary sink, 6% was secondary sink, and 31% was low occurrence. Our results provide evidence that energy development and avoidance of energy infrastructure were probably reducing the amount of source habitat within the ARPA landscape. Our source-sink map provides managers with a means of prioritizing habitats for conservation planning based on source and sink dynamics. The spatial identification of high value (i.e., primary source) as well as suboptimal (i.e., primary sink) habitats allows for informed energy development to minimize effects on local wildlife populations.</t>
  </si>
  <si>
    <t>[Kirol, Christopher P.; Beck, Jeffrey L.; Miller, Scott N.] Univ Wyoming, Dept Ecosyst Sci &amp; Management, Laramie, WY 82071 USA; [Huzurbazar, Snehalata V.] Stat &amp; Appl Math Sci Inst, Res Triangle Pk, NC 27709 USA; [Holloran, Matthew J.] Wyoming Wildlife Consultants LLC, Ft Collins, CO 80521 USA; [Huzurbazar, Snehalata V.] N Carolina State Univ, Dept Stat, Raleigh, NC 27695 USA; [Huzurbazar, Snehalata V.] Univ Wyoming, Dept Stat, Laramie, WY 82071 USA</t>
  </si>
  <si>
    <t>University of Wyoming; North Carolina State University; University of Wyoming</t>
  </si>
  <si>
    <t>Kirol, CP (corresponding author), Univ Wyoming, Dept Ecosyst Sci &amp; Management, Laramie, WY 82071 USA.</t>
  </si>
  <si>
    <t>ckirol@uwyo.edu</t>
  </si>
  <si>
    <t>Huzurbazar, Snehalata/0000-0001-9637-5445</t>
  </si>
  <si>
    <t>Anadarko Petroleum Corporation; Wyoming Game and Fish Department; South Central Local Sage-Grouse Work Group; School of Energy Resources at the University of Wyoming</t>
  </si>
  <si>
    <t>We thank Anadarko Petroleum Corporation, Wyoming Game and Fish Department, South Central Local Sage-Grouse Work Group, and the School of Energy Resources at the University of Wyoming for providing funding to support our research. We thank Tom Clayson, Regulatory Affairs Advisor for Anadarko Petroleum Corporation in Casper, Wyoming, for providing logistical support. Frank Blomquist, Charles Morton, Lynn McCarthy, Cade Powell, Rhen Etzelmiller, and many others at the Rawlins BLM Field Office provided field support during the collaring effort, relocated radio-marked grouse from the air, and provided us with house trailers for our study. We thank Drs. Anna Baron, Cameron Aldridge, Kenneth Gerow, Kevin Doherty, Matt Kauffman, and David Legg for their valuable input on many facets of the study including spatial modeling, research design, and statistical analyses. We thank our field technicians, George Bowman, Jessica Boyd, Valerie Burd, Mike Evans, Hillary Jones, Jessica Julien, Nathan Schmitz, and Kurt Smith, and volunteers, Phil Baigas, Leah Burgess, and Joyce Evans. We appreciate the cooperation of many landowners in both study areas to access private lands to collect field data.</t>
  </si>
  <si>
    <t>10.1890/13-1152.1</t>
  </si>
  <si>
    <t>WOS:000355191900008</t>
  </si>
  <si>
    <t>Di Tullio, JC; Fruet, PF; Secchi, ER</t>
  </si>
  <si>
    <t>Di Tullio, J. C.; Fruet, P. F.; Secchi, E. R.</t>
  </si>
  <si>
    <t>PATOS LAGOON ESTUARY; GENETIC DIVERSITY; POPULATION-STRUCTURE; HABITAT PREFERENCES; FISH ABUNDANCE; EL-NINO; BRAZIL; MANAGEMENT; MOVEMENTS; PATTERNS</t>
  </si>
  <si>
    <t>Many anthropogenic actions have an impact on coastal dolphins, with bycatch being one of the main threats. We describe the distribution patterns of common bottlenose dolphins Tursiops truncatus and periods of higher entanglement risk by the artisanal gillnet fishery in the Patos Lagoon estuary and along the adjacent coast of southern Brazil. A total of 136 dolphin groups and 187 gillnets were encountered in 69 surveys conducted between September 2006 and July 2009. Data were analyzed in relation to environmental, spatial and temporal variables using generalized additive models and a spatially adaptive local smoothing algorithm for model selection. In both areas, dolphin densities increased as distance to the estuary mouth decreased. For the estuary area, water salinity and temperature influenced dolphin distribution. Along the adjacent coast, dolphin densities were higher with distance to shore as well as in the north area during the warm period. Patterns of dolphin distribution were probably a response to the presence of preferred prey or avoidance of human-related disturbance. Kernel density showed that fishing effort was distributed along the entire surveyed area inside the estuary, while along the adjacent coast it was higher in the south compared to the north area in the warm period. The overlap between gillnets and dolphins increased considerably from the cold (33.8%) to the warm (48.6%) period. Seasonal variation in fishing effort and distribution affect the overlap and the risk of dolphin entanglement. Based on the findings of this study, a fishing exclusion area aimed at reducing bycatch was established by the Brazilian Environmental Agency.</t>
  </si>
  <si>
    <t>[Di Tullio, J. C.; Fruet, P. F.; Secchi, E. R.] Univ Fed Rio Grande, Inst Oceanog, Lab Ecol &amp; Conservacao Megafauna Marinha ECOMEGA, BR-96201900 Rio Grande, RS, Brazil; [Di Tullio, J. C.; Fruet, P. F.; Secchi, E. R.] Univ Fed Rio Grande, Museu Oceanog Prof Eliezer de C Rios, BR-96200970 Rio Grande, RS, Brazil</t>
  </si>
  <si>
    <t>Universidade Federal do Rio Grande; Universidade Federal do Rio Grande</t>
  </si>
  <si>
    <t>Di Tullio, JC (corresponding author), Univ Fed Rio Grande, Inst Oceanog, Lab Ecol &amp; Conservacao Megafauna Marinha ECOMEGA, Caixa Postal 474, BR-96201900 Rio Grande, RS, Brazil.</t>
  </si>
  <si>
    <t>ditullio.juliana@gmail.com</t>
  </si>
  <si>
    <t>Fruet, Pedro/B-5493-2017; Secchi, Eduardo/D-5038-2013</t>
  </si>
  <si>
    <t>Fruet, Peo/0000-0001-8656-3477; Secchi, Eduardo/0000-0001-9087-9909</t>
  </si>
  <si>
    <t>Conservation of South American Aquatic Mammals (YAQU PACHA); Cetacean Society International; Rufford Small Grants; Idea Wild; CNPQ [PQ 307846/2014]; Coordenacao de Aperfeicoamento de Pessoal de Nivel Superior (CAPES)</t>
  </si>
  <si>
    <t>Conservation of South American Aquatic Mammals (YAQU PACHA); Cetacean Society International; Rufford Small Grants; Idea Wild; CNPQ(Conselho Nacional de Desenvolvimento Cientifico e Tecnologico (CNPQ)); Coordenacao de Aperfeicoamento de Pessoal de Nivel Superior (CAPES)(Coordenacao de Aperfeicoamento de Pessoal de Nivel Superior (CAPES))</t>
  </si>
  <si>
    <t>We thank the Organization for the Conservation of South American Aquatic Mammals (YAQU PACHA), Cetacean Society International, Rufford Small Grants and Idea Wild for the financial support. This study was made possible thanks to logistical support provided by the staff, students of the Museu Oceanografico 'Prof. Eliezer C. Rios', Laboratorio de Ecologia e Conservacao da Megafauna Marinha - Universidade Federal do Rio Grande (ECOMEGA-FURG) and the National Council for Scientific and Technological Development (CNPq) under the framework of the Brazilian Long-Term Ecological Research (BRLTER). We are especially grateful to R. Genoves for field assistances and S. Botta for comments on the early drafts of the manuscript. We thank Pablo Bech for the photograph of tourists in Cassino beach. The CNPQ provided a scholarships to J.C.D.T., a research fellowship to E.R.S. (PQ 307846/2014) and Coordenacao de Aperfeicoamento de Pessoal de Nivel Superior (CAPES) scholarship to P.F.F. This is a contribution of the Research Group 'Ecologia e Conservacao da Megafauna Marinha (EcoMega-CNPq).</t>
  </si>
  <si>
    <t>10.3354/esr00698</t>
  </si>
  <si>
    <t>CX4VY</t>
  </si>
  <si>
    <t>WOS:000365699600004</t>
  </si>
  <si>
    <t>Cunningham, SJ; Kruger, AC; Nxumalo, MP; Hockey, PAR</t>
  </si>
  <si>
    <t>Cunningham, Susan J.; Kruger, Andries C.; Nxumalo, Mthobisi P.; Hockey, Philip A. R.</t>
  </si>
  <si>
    <t>Identifying Biologically Meaningful Hot-Weather Events Using Threshold Temperatures That Affect Life-History</t>
  </si>
  <si>
    <t>CLIMATE-CHANGE; MORTALITY; EXTREMES; FITNESS; RANGE; BIRDS</t>
  </si>
  <si>
    <t>Increases in the frequency, duration and intensity of heat waves are frequently evoked in climate change predictions. However, there is no universal definition of a heat wave. Recent, intense hot weather events have caused mass mortalities of birds, bats and even humans, making the definition and prediction of heat wave events that have the potential to impact populations of different species an urgent priority. One possible technique for defining biologically meaningful heat waves is to use threshold temperatures (T-thresh) above which known fitness costs are incurred by species of interest. We set out to test the utility of this technique using T-thresh values that, when exceeded, affect aspects of the fitness of two focal southern African bird species: the southern pied babbler Turdiodes bicolor (T-thresh = 35.5 degrees C) and the common fiscal Lanius collaris (T-thresh = 33 degrees C). We used these T-thresh values to analyse trends in the frequency, duration and intensity of heat waves of magnitude relevant to the focal species, as well as the annual number of hot days (maximum air temperature &gt; T-thresh), in north-western South Africa between 1961 and 2010. Using this technique, we were able to show that, while all heat wave indices increased during the study period, most rapid increases for both species were in the annual number of hot days and in the maximum intensity (and therefore intensity variance) of biologically meaningful heat waves. Importantly, we also showed that warming trends were not uniform across the study area and that geographical patterns in warming allowed both areas of high risk and potential climate refugia to be identified. We discuss the implications of the trends we found for our focal species, and the utility of the T-thresh technique as a conservation tool.</t>
  </si>
  <si>
    <t>[Cunningham, Susan J.; Hockey, Philip A. R.] Univ Cape Town, DST NRF Ctr Excellence, Percy FitzPatrick Inst, ZA-7700 Rondebosch, South Africa; [Kruger, Andries C.; Nxumalo, Mthobisi P.] South African Weather Serv, Climate Serv, Pretoria, South Africa</t>
  </si>
  <si>
    <t>National Research Foundation - South Africa; University of Cape Town; South African Weather Service (SAWS)</t>
  </si>
  <si>
    <t>Cunningham, SJ (corresponding author), Univ Cape Town, DST NRF Ctr Excellence, Percy FitzPatrick Inst, ZA-7700 Rondebosch, South Africa.</t>
  </si>
  <si>
    <t>susie.j.c@gmail.com</t>
  </si>
  <si>
    <t>Cunningham, Susan/AAR-3915-2020</t>
  </si>
  <si>
    <t>Cunningham, Susan/0000-0001-9934-2585; Kruger, Anies/0000-0002-9815-570X</t>
  </si>
  <si>
    <t>DST/NRF Centre of Excellence grant</t>
  </si>
  <si>
    <t>DST/NRF Centre of Excellence grant(Department of Science &amp; Technology (India))</t>
  </si>
  <si>
    <t>The work was supported by DST/NRF Centre of Excellence grant to PARH and SJC. www.fitzpatrick.uct.ac.za. The funders had no role in study design, data collection and analysis, decision to publish, or preparation of the manuscript.</t>
  </si>
  <si>
    <t>DEC 4</t>
  </si>
  <si>
    <t>e82492</t>
  </si>
  <si>
    <t>10.1371/journal.pone.0082492</t>
  </si>
  <si>
    <t>265KD</t>
  </si>
  <si>
    <t>WOS:000327949300156</t>
  </si>
  <si>
    <t>Dzialak, MR; Olson, CV; Harju, SM; Webb, SL; Mudd, JP; Winstead, JB; Hayden-Wing, LD</t>
  </si>
  <si>
    <t>Dzialak, Matthew R.; Olson, Chad V.; Harju, Seth M.; Webb, Stephen L.; Mudd, James P.; Winstead, Jeffrey B.; Hayden-Wing, L. D.</t>
  </si>
  <si>
    <t>Identifying and Prioritizing Greater Sage-Grouse Nesting and Brood-Rearing Habitat for Conservation in Human-Modified Landscapes</t>
  </si>
  <si>
    <t>RESOURCE SELECTION FUNCTIONS; FEMALE SPRUCE GROUSE; ENERGY DEVELOPMENT; CENTROCERCUS-UROPHASIANUS; SPATIAL-PATTERN; MONO COUNTY; PREDATION; SURVIVAL; MOVEMENTS; FIDELITY</t>
  </si>
  <si>
    <t>Background: Balancing animal conservation and human use of the landscape is an ongoing scientific and practical challenge throughout the world. We investigated reproductive success in female greater sage-grouse (Centrocercus urophasianus) relative to seasonal patterns of resource selection, with the larger goal of developing a spatially-explicit framework for managing human activity and sage-grouse conservation at the landscape level. Methodology/Principal Findings: We integrated field-observation, Global Positioning Systems telemetry, and statistical modeling to quantify the spatial pattern of occurrence and risk during nesting and brood-rearing. We linked occurrence and risk models to provide spatially-explicit indices of habitat-performance relationships. As part of the analysis, we offer novel biological information on resource selection during egg-laying, incubation, and night. The spatial pattern of occurrence during all reproductive phases was driven largely by selection or avoidance of terrain features and vegetation, with little variation explained by anthropogenic features. Specifically, sage-grouse consistently avoided rough terrain, selected for moderate shrub cover at the patch level (within 90 m(2)), and selected for mesic habitat in mid and late brood-rearing phases. In contrast, risk of nest and brood failure was structured by proximity to anthropogenic features including natural gas wells and human-created mesic areas, as well as vegetation features such as shrub cover. Conclusions/Significance: Risk in this and perhaps other human-modified landscapes is a top-down (i.e., human-mediated) process that would most effectively be minimized by developing a better understanding of specific mechanisms (e.g., predator subsidization) driving observed patterns, and using habitat-performance indices such as those developed herein for spatially-explicit guidance of conservation intervention. Working under the hypothesis that industrial activity structures risk by enhancing predator abundance or effectiveness, we offer specific recommendations for maintaining high-performance habitat and reducing low-performance habitat, particularly relative to the nesting phase, by managing key high-risk anthropogenic features such as industrial infrastructure and water developments.</t>
  </si>
  <si>
    <t>[Dzialak, Matthew R.; Olson, Chad V.; Harju, Seth M.; Webb, Stephen L.; Mudd, James P.; Winstead, Jeffrey B.; Hayden-Wing, L. D.] Hayden Wing Associates LLC, Nat Resource Consultants, Laramie, WY USA</t>
  </si>
  <si>
    <t>Dzialak, MR (corresponding author), Hayden Wing Associates LLC, Nat Resource Consultants, Laramie, WY USA.</t>
  </si>
  <si>
    <t>matt@haydenwing.com</t>
  </si>
  <si>
    <t>Webb, Stephen/B-6473-2009</t>
  </si>
  <si>
    <t>Webb, Stephen/0000-0001-6034-5164</t>
  </si>
  <si>
    <t>ConocoPhillips Company; Encana Corporation; Noble Energy</t>
  </si>
  <si>
    <t>This study was funded by ConocoPhillips Company, Encana Corporation and Noble Energy. Hayden-Wing Associates LLC provided in-kind contributions to support travel costs associated with dissemination of this work and the materials associated with data collection and analysis including: Radio-telemetry equipment, GPS devices and statistical analysis software. The authors are employed by Hayden-Wing Associates LLC and, therefore, played a role in the study. The other funders had no role in study design, data collection and analysis, decision to publish, or preparation of the manuscript.</t>
  </si>
  <si>
    <t>OCT 13</t>
  </si>
  <si>
    <t>e26273</t>
  </si>
  <si>
    <t>10.1371/journal.pone.0026273</t>
  </si>
  <si>
    <t>834QT</t>
  </si>
  <si>
    <t>WOS:000295978600048</t>
  </si>
  <si>
    <t>Lagabrielle, E; Rouget, M; Payet, K; Wistebaar, N; Durieux, L; Baret, S; Lombard, A; Strasberg, D</t>
  </si>
  <si>
    <t>Lagabrielle, Erwann; Rouget, Mathieu; Payet, Karine; Wistebaar, Nokuthula; Durieux, Laurent; Baret, Stephane; Lombard, Amanda; Strasberg, Dominique</t>
  </si>
  <si>
    <t>Integrated conservation planning; Biological processes; Island biogeography; Corridors; Land use modelling; Socio-economic cost</t>
  </si>
  <si>
    <t>MASCARENE-ISLANDS; REAL-WORLD; DIVERSITY; PATTERN; AREAS; BIRDS; MODEL; SCALE; IMPLEMENTATION; EXTINCTION</t>
  </si>
  <si>
    <t>Over the last century, island biodiversity has become one of the most threatened in the world. Although many island conservation plans address biodiversity requirements at the species level, few plans address the spatial requirements of the biodiversity processes that underpin the persistence of these species. Using systematic conservation planning principles, we map the spatial components of biodiversity processes (SCBPs) and use these to design broad-scale conservation corridors for Reunion Island. Our method is based upon a literature review, expert knowledge, spatially explicit base data, conservation planning software, and spatial modelling. We combine a target-driven algorithm with least-cost path analyses to delineate optimal corridors for Capturing key biodiversity processes while simultaneously considering biodiversity pattern targets, conservation opportunities, and future threats. We identify five SCBPs: the oceanic-terrestrial interface; riverine corridors: macrohabitat interfaces; the boundaries of isolated topographic units; and lowland-upland gradients. A large proportion of the SCBPs (81.3%) is currently untransformed, whereas 3% is irreversibly transformed by urbanisation and 15.7% is transformed but restorable. However, SCBPs are almost fully disrupted by urbanisation in the lowlands, thereby compromising functional corridors along full altitudinal gradients. This study is a contribution toward the reconciliation of conservation versus development objectives on Reunion Island but we believe that the delineation method is sufficiently general to be applied to other islands. Our results highlight the need for integrating marine, coastal and terrestrial conservation planning as a matter of urgency, given the rapid transformation of coastal areas on islands. (C) 2009 Elsevier Ltd. All rights reserved.</t>
  </si>
  <si>
    <t>[Lagabrielle, Erwann; Lombard, Amanda] Nelson Mandela Metropolitan Univ, Dept Bot, Saasveld Campus,Private Bag X6531, ZA-6530 George, South Africa; [Lagabrielle, Erwann; Payet, Karine; Wistebaar, Nokuthula; Strasberg, Dominique] Univ Reunion, UMR PVBMT, F-97410 St Pierre, Reunion, France; [Rouget, Mathieu] Univ Cambridge, Dept Zool, Conservat Sci Grp, Cambridge CB2 3EJ, England; [Rouget, Mathieu; Payet, Karine; Wistebaar, Nokuthula] S African Natl Biodivers Inst, Biodivers Planning Unit, ZA-0001 Pretoria, South Africa; [Payet, Karine] Univ Stellenbosch, Fac AgriSci, Dept Conservat Ecol &amp; Entomol, ZA-7602 Matieland, South Africa; [Durieux, Laurent; Baret, Stephane] IRD Bresil, Unite Espace S140, Inst Res &amp; Dev IRD, BR-71619970 Brasilia, DF, Brazil; [Baret, Stephane] Parc Natl Reunion, F-97400 St Denis, Reunion, France; [Baret, Stephane] Natl Bot Conservatory Mascarin, F-97436 St Leu, France</t>
  </si>
  <si>
    <t>Nelson Mandela University; University of La Reunion; University of Cambridge; South African National Biodiversity Institute; Stellenbosch University</t>
  </si>
  <si>
    <t>Lagabrielle, E (corresponding author), Nelson Mandela Metropolitan Univ, Dept Bot, Saasveld Campus,Private Bag X6531, ZA-6530 George, South Africa.</t>
  </si>
  <si>
    <t>erwann.lagabrielle@gmail.com; rouget@sanbi.org; karine.kp@gmail.com; wistebaar@sanbi.org; laurent.durieux@ird.fr; stephane.baret@reunion-parcnational.fr; mandy.lombard@nmmu.ac.za</t>
  </si>
  <si>
    <t>Lombard, Amanda Talita/AAE-4649-2019; Lagabrielle, Erwann/AAM-9635-2020; Durieux, Laurent/E-5502-2014; Rouget, Mathieu/B-7249-2008</t>
  </si>
  <si>
    <t>Lombard, Amanda Talita/0000-0002-4323-1170; Lagabrielle, Erwann/0000-0002-8333-2750; Durieux, Laurent/0000-0001-5523-8102; Rouget, Mathieu/0000-0002-6172-3152; Baret, Stéphane J-M/0000-0002-3380-5724; Strasberg, Dominique/0000-0003-3012-252X</t>
  </si>
  <si>
    <t>Regional council of Reunion Island; European Development Fund FEDER; ANR BIOTAS</t>
  </si>
  <si>
    <t>Regional council of Reunion Island; European Development Fund FEDER(European Union (EU)); ANR BIOTAS(Agence Nationale de la Recherche (ANR))</t>
  </si>
  <si>
    <t>This research was funded by the Regional council of Reunion Island, the European Development Fund FEDER (APIC-bio project) and the ANR BIOTAS. It involved the following institutions: CIRAD, University of Reunion Island, South African National Biodiversity Institute, Mission Parc National de la Reunion and the Nelson Mandela Metropolitan University. We thank Lucien Tron and Jean-Cyrille Notter (Mission Parc National de la Reunion), Vincent Boullet (Conservatoire Botanique National de Mascarin), Jean-Michel Probst (Association Nature et Patrimoine), Marc Salamolard (Societe d'Etudes Ornithologiques de La Reunion) and Mathieu Le Corre (Universite de La Reunion) for their excellent advice. We are grateful to two anonymous reviewers for their constructive comments on a previous version of this manuscript.</t>
  </si>
  <si>
    <t>10.1016/j.biocon.2009.02.022</t>
  </si>
  <si>
    <t>455IP</t>
  </si>
  <si>
    <t>WOS:000266752500029</t>
  </si>
  <si>
    <t>Shrestha, S; Miranda, I; Kumar, A; Pardo, MLE; Dahal, S; Rashid, T; Remillard, C; Mishra, DR</t>
  </si>
  <si>
    <t>Shrestha, Shanti; Miranda, Isabel; Kumar, Abhishek; Pardo, Maria Luisa Escobar; Dahal, Subash; Rashid, Taufiq; Remillard, Caren; Mishra, Deepak R.</t>
  </si>
  <si>
    <t>INTERNATIONAL JOURNAL OF APPLIED EARTH OBSERVATION AND GEOINFORMATION</t>
  </si>
  <si>
    <t>Bhitarkanika; MODIS; Landsat; Remote Sensing; Leaf Area Index; Leaf Chlorophyll; Gross Primary Productivity; TerrSet; Land Change Modeler; Google Earth Engine; NASA Giovanni; Climate; Image Classification; Southeast Asia</t>
  </si>
  <si>
    <t>FORESTS; VEGETATION; DYNAMICS; COVER; COAST; PHENOLOGY; ORISSA; FUTURE; IMAGE; INDIA</t>
  </si>
  <si>
    <t>Mangroves are one of the most productive ecosystems known for provisioning of various ecosystem goods and services. They help in sequestering large amounts of carbon, protecting coastline against erosion, and reducing impacts of natural disasters such as hurricanes. Bhitarkanika Wildlife Sanctuary in Odisha harbors the second largest mangrove ecosystem in India. This study used Terra, Landsat and Sentinel-1 satellite data for spatio-temporal monitoring of mangrove forest within Bhitarkanika Wildlife Sanctuary between 2000 and 2016. Three biophysical parameters were used to assess mangrove ecosystem health: leaf chlorophyll (CHL), Leaf Area Index (LAI), and Gross Primary Productivity (GPP). A long-term analysis of meteorological data such as precipitation and temperature was performed to determine an association between these parameters and mangrove biophysical characteristics. The correlation between meteorological parameters and mangrove biophysical characteristics enabled forecasting of mangrove health and productivity for year 2050 by incorporating IPCC projected climate data. A historical analysis of land cover maps was also performed using Landsat 5 and 8 data to determine changes in mangrove area estimates in years 1995, 2004 and 2017. There was a decrease in dense mangrove extent with an increase in open mangroves and agricultural area. Despite conservation efforts, the current extent of dense mangrove is projected to decrease up to 10% by the year 2050. All three biophysical characteristics including GPP, LAI and CHL, are projected to experience a net decrease of 7.7%, 20.83% and 25.96% respectively by 2050 compared to the mean annual value in 2016. This study will help the Forest Department, Government of Odisha in managing and taking appropriate decisions for conserving and sustaining the remaining mangrove forest under the changing climate and developmental activities.</t>
  </si>
  <si>
    <t>[Shrestha, Shanti] Univ Georgia, Warnell Sch Forestry &amp; Nat Resources, Athens, GA 30602 USA; [Kumar, Abhishek; Remillard, Caren; Mishra, Deepak R.] Univ Georgia, Dept Geog, Athens, GA 30602 USA; [Miranda, Isabel; Pardo, Maria Luisa Escobar] Clark Univ, Dept Geog, Worcester, MA 01610 USA; [Rashid, Taufiq] Univ Georgia, Coll Engn, Athens, GA 30602 USA; [Dahal, Subash] Univ Georgia, Dept Crop &amp; Soil Sci, Athens, GA 30602 USA; [Shrestha, Shanti; Miranda, Isabel; Kumar, Abhishek; Pardo, Maria Luisa Escobar; Dahal, Subash; Rashid, Taufiq; Remillard, Caren] Univ Georgia, NASA DEVELOP Program, Athens, GA 30602 USA</t>
  </si>
  <si>
    <t>University System of Georgia; University of Georgia; University System of Georgia; University of Georgia; Clark University; University System of Georgia; University of Georgia; University System of Georgia; University of Georgia; University System of Georgia; University of Georgia</t>
  </si>
  <si>
    <t>Mishra, DR (corresponding author), Univ Georgia, Dept Geog, Athens, GA 30602 USA.</t>
  </si>
  <si>
    <t>dmishra@uga.edu</t>
  </si>
  <si>
    <t>; kumar, abhishek/I-4691-2019; Dahal, Subash/AAB-7374-2020; Mishra, Deepak/Q-1250-2018; Kumar, Abhishek/I-4691-2019</t>
  </si>
  <si>
    <t>Shrestha, Shanti/0000-0003-1807-9768; kumar, abhishek/0000-0002-6022-3068; Dahal, Subash/0000-0002-0548-9103; Mishra, Deepak/0000-0001-8192-7681; Kumar, Abhishek/0000-0002-0956-1766</t>
  </si>
  <si>
    <t>NASA DEVELOP National Program; Geography Department at University of Georgia; NASA [NNL16AA05C, NNX14AB60A]; NASA [NNX14AB60A, 686579] Funding Source: Federal RePORTER</t>
  </si>
  <si>
    <t>NASA DEVELOP National Program; Geography Department at University of Georgia; NASA(National Aeronautics &amp; Space Administration (NASA)); NASA(National Aeronautics &amp; Space Administration (NASA))</t>
  </si>
  <si>
    <t>The authors would like to thank the NASA DEVELOP National Program and the Geography Department at University of Georgia for funding and supporting this project. We thank NASA DEVELOP team members at University of Georgia-Maria Jose Rivera Araya, Roger Bledsoe, Christopher Cameron, Jessica Staley, Austin Stone and Patricia Stupp for their past contributions to the project. We would like to thank NASA DEVELOP Lead Science Advisor, Dr. Marguerite Madden, at the University of Georgia for providing insight and expertise throughout the project. We would also like to acknowledge scientists at the Government of Odisha's Chilika Development Authority, especially Dr. Gurdeep Rastogi for their involvement with this work. We would also like to express our gratitude to Dr. Kenton Ross, National Science Advisor from the NASA DEVELOP National Program Office for editing and helping us improve this manuscript. The authors also thank Peter Hawman for assistance in improving the graphics during revision process. Finally, we would like to acknowledge two anonymous reviewers for their constructive comments and suggestions that helped in improving the manuscript. This material is based upon work supported by NASA through contract NNL16AA05C and cooperative agreement NNX14AB60A.</t>
  </si>
  <si>
    <t>1569-8432</t>
  </si>
  <si>
    <t>1872-826X</t>
  </si>
  <si>
    <t>INT J APPL EARTH OBS</t>
  </si>
  <si>
    <t>Int. J. Appl. Earth Obs. Geoinf.</t>
  </si>
  <si>
    <t>10.1016/j.jag.2018.09.017</t>
  </si>
  <si>
    <t>GZ1KK</t>
  </si>
  <si>
    <t>WOS:000449126800026</t>
  </si>
  <si>
    <t>Wessels, KJ; Reyers, B; van Jaarsveld, AS; Rutherford, MC</t>
  </si>
  <si>
    <t>land transformation; biodiversity risk; arable land; conservation; species richness</t>
  </si>
  <si>
    <t>RESERVE SELECTION; INDICATORS; CLASSIFICATION; VULNERABILITY; ASSESSMENTS; PATTERNS; IMPACT; WALES</t>
  </si>
  <si>
    <t>Transformation of natural vegetation to other land-uses, such as crop cultivation and urban development, presents the most important threat to biodiversity. Plant and animal species distribution data were employed to identify areas of high biodiversity value in the major summer crop production region in north-eastern South Africa. These areas of biodiversity conservation importance were then evaluated in terms of their (1) potential overlap with areas currently transformed by land-uses in the region and (2) potential co-occurrence with areas of natural vegetation cover likely to become cultivated. Integrating species distribution, land-cover and land capability data allowed for potential conflict areas, i.e. areas with a high biodiversity value facing large current or future land transformation threats to be identified. Areas of potential conflict appear to be central Gauteng, the KwaZulu-Natal coastline, Maputuland and the escarpment of Mpumalanga. Most of the arable areas, that are not currently under some form of land-use, are marginal lands where the physical land characteristics demand high input costs, give rise to low yields and are thus not suitable for full scale commercial cultivation. As the results indicate some of these areas have a high biodiversity value, land reform programs should therefore refrain from promoting cultivation on marginal lands in these conflict areas, as they provide the last. safe havens for many species. The proportion of bird, butterfly, mammal and plant species' ranges remaining in an untransformed state was quantified. Animal species with less than 60% of their natural range remaining, referred to as impacted species, comprised 63 bird, 207 butterfly and 15 mammal species. The grid cells containing these impacted species were identified as additional potential conflict areas. This study presents evidence that there is significant overlap between areas of biodiversity conservation interest and transformed or arable land in this region of South Africa and that there is an urgent need for the formulation of appropriate policies to promote biodiversity conservation on private farmland. (C) 2002 Elsevier Science B.V. All rights reserved.</t>
  </si>
  <si>
    <t>ARC ISCW, Geoinformat Div, ZA-0001 Pretoria, South Africa; Univ Pretoria, Dept Zool &amp; Entomol, ZA-0002 Pretoria, South Africa; Univ Pretoria, Ctr Environm Studies, ZA-0002 Pretoria, South Africa; Natl Bot Res Inst, ZA-7735 Cape Town, South Africa</t>
  </si>
  <si>
    <t>University of Pretoria; University of Pretoria</t>
  </si>
  <si>
    <t>Wessels, KJ (corresponding author), Univ Maryland, Dept Geog, 2181 LeFrak Hall, College Pk, MD 20742 USA.</t>
  </si>
  <si>
    <t>wessels@geog.umd.edu</t>
  </si>
  <si>
    <t>PII S0167-8809(02)00102-0</t>
  </si>
  <si>
    <t>10.1016/S0167-8809(02)00102-0</t>
  </si>
  <si>
    <t>658CM</t>
  </si>
  <si>
    <t>WOS:000181704100015</t>
  </si>
  <si>
    <t>Nelson, K; Burnside, NG</t>
  </si>
  <si>
    <t>Nelson, Kathryn; Burnside, Niall G.</t>
  </si>
  <si>
    <t>Coastal zone; Fisheries management; GIS; Multi-criteria modelling; Priority modelling</t>
  </si>
  <si>
    <t>ECOSYSTEM SERVICES; FISHING EFFORT; CLIMATE-CHANGE; CONSERVATION; COASTAL; LANDSCAPE; FISHERIES; HABITATS; RISK; BIODIVERSITY</t>
  </si>
  <si>
    <t>There is a global issue of balancing resource exploitation with environmental protection. In particular, the marine environment is subject to many anthropogenic pressures which are most severe in coastal zones. Authorities managing these pressures have limited time and resources, so it is essential that they have access to data and modelling tools which help them prioritise their efforts. This study presents a spatial modelling approach which draws together a range of key criteria into a single framework to identify marine areas which should be prioritised for management and monitoring. The study area, Sussex coastal waters (southern UK), was assessed through quantification and modelling of relative environmental score and fishing pressure score. Environmental score was assessed by combining ecosystem services provision, habitat diversity and sensitivity, based on seabed habitat data. Fishing pressure was assessed by combining fishing benefits, impacts and effort for specific local fisheries. The marine priority assessment was compared to the location of Marine Protected Areas to understand the relationship with existing management measures. High and very high priority classes covered just 5% of the study area, with the highest priority area between Selsey and Bognor Regis. These habitats were ones found to have high environmental score (rocky reefs and seaweed-dominated sediment) concurrent with high fishing pressure. This modelling approach suggests that these areas should be the focus of further research, monitoring and potentially management measures. There was no significant difference between the priority score inside the MPAs and those outside, however, the environmental score was significantly higher inside MPAs. These findings suggest current MPAs are protecting valuable and/or sensitive habitats and management within these sites may have resulted in less fishing pressure. Each multi-criteria element of the study individually advances our understanding of the value of this marine environment and the importance of fisheries in Sussex coastal waters. Together, the multi-criteria approach strengthens the knowledge of processes and interactions, building a robust evidence base for management decision making. A framework has been developed which, with the use of different or additional datasets, could be applied to many scenarios supporting environmental managers worldwide.</t>
  </si>
  <si>
    <t>[Nelson, Kathryn] 12A Riverside Business Ctr, Sussex Inshore Fisheries &amp; Conservat Author, Brighton Rd, Shoreham By Sea BN43 6RE, W Sussex, England; [Burnside, Niall G.] Univ Brighton, Sch Environm &amp; Technol, Ctr Aquat Environm, Lewes Rd, Brighton BN2 4GJ, E Sussex, England</t>
  </si>
  <si>
    <t>University of Brighton</t>
  </si>
  <si>
    <t>Burnside, NG (corresponding author), Univ Brighton, Sch Environm &amp; Technol, Ctr Aquat Environm, Lewes Rd, Brighton BN2 4GJ, E Sussex, England.</t>
  </si>
  <si>
    <t>K.nelson@sussex-ifca.gov.uk; N.G.Burnside@Brighton.ac.uk</t>
  </si>
  <si>
    <t>Burnside, Niall/0000-0002-0416-1608</t>
  </si>
  <si>
    <t>Sussex Inshore Fisheries and Conservation Authority</t>
  </si>
  <si>
    <t>This work was supported by Sussex Inshore Fisheries and Conservation Authority. The authors also thank Prof Andrew Candy for his comments on earlier drafts, and three anonymous reviewers for their constructive feedback.</t>
  </si>
  <si>
    <t>APR 15</t>
  </si>
  <si>
    <t>10.1016/j.ocecoaman.2019.02.002</t>
  </si>
  <si>
    <t>HR0EO</t>
  </si>
  <si>
    <t>WOS:000462801300007</t>
  </si>
  <si>
    <t>Dimobe, K; Ouédraogo, A; Soma, S; Goetze, D; Porembski, S; Thiombiano, A</t>
  </si>
  <si>
    <t>Dimobe, Kangbeni; Ouedraogo, Amade; Soma, Soungalo; Goetze, Dethardt; Porembski, Stefan; Thiombiano, Adjima</t>
  </si>
  <si>
    <t>Bontioli reserve; Land use; Diachronic analysis; Land degradation drivers; Biodiversity conservation; Sustainable use</t>
  </si>
  <si>
    <t>In Africa, protected areas can play an important role in mitigating the effects of climate change through carbon sequestration but they are threatened due to increasing land degradation and deforestation (LDD). The Total Wildlife Reserve of Bontioli (TWRB) in Burkina Faso is one of the country's refuges with high biodiversity. This reserve is seriously threatened by human activities, and little information is available about the on-site causes of degradation extent. This study was carried out to investigate drivers and extent of LDD in the TWRB. Household surveys, focus group discussions and field observations were used to identify socio-economic factors that influence land use and land cover (LULC) changes. The socio-economic data were analyzed using rankings and binary logistic regression techniques. Logistic regression model was used to establish the relationship between socio-economic drivers and land cover change. Remote sensing and GIS techniques were used to analyze land use and LULC changes over 29 years, employing Landsat images of 1984, 2001 and 2013. We performed a supervised classification based on the maximum likelihood algorithm to derive vegetation maps. The results revealed significant (p &lt; 0.05) LULC change from one class of LULC to another. From 1984 to 2001, tree savannas, bare soils and agricultural lands increased by 17.55%, 18.79% and 21778.79%, respectively, while woodland, gallery forest, shrub savannas and water bodies decreased by 22.02%, 5.03%, 40.08% and 31.2%, respectively. From 2001 to 2013, gallery forests decreased by 14.33%, tree savannas by 22.30% and shrub savannas by 5.14%, while agricultural lands increased by 167.87% and woodlands by 3.21%. LDD occurred at a higher rate in areas bordering the reserve compared to the core-protected area and the inaccessible areas. Agricultural expansion and wood cutting activities were the main direct causes of LDD. Extensive land utilization for agriculture is a major threat to the conservation of biodiversity in this reserve. The research highlighted the soundness of GIS and remote sensing practical application to assess vegetation change extent in Burkina Faso. Understanding the signal extent of vegetation change is particularly important to support efforts by policy makers to halt or at least to slow down the deforestation in the country. There is a need to control the immediate causes of LULC dynamics by limiting agricultural land expansion and wood cutting in the study area. (C) 2015 The Authors. Published by Elsevier B.V.</t>
  </si>
  <si>
    <t>[Dimobe, Kangbeni] Univ Lome, Lab Bot &amp; Plant Ecol, Fac Sci, Dept Bot, Lome, Togo; [Dimobe, Kangbeni; Ouedraogo, Amade; Soma, Soungalo; Thiombiano, Adjima] Univ Ouagadougou, UFR SVT, Lab Plant Biol &amp; Ecol, 03 BP 7021, Ouagadougou 03, Burkina Faso; [Dimobe, Kangbeni; Soma, Soungalo; Goetze, Dethardt; Porembski, Stefan] Univ Rostock, Dept Bot, Inst Biol Sci, D-18051 Rostock, Germany</t>
  </si>
  <si>
    <t>University of Lome; University of Rostock</t>
  </si>
  <si>
    <t>Dimobe, K (corresponding author), Univ Ouagadougou, UFR SVT, Lab Plant Biol &amp; Ecol, 03 BP 7021, Ouagadougou 03, Burkina Faso.</t>
  </si>
  <si>
    <t>kangbenidimobe@yahoo.fr</t>
  </si>
  <si>
    <t>Dimobe, Kangbéni/AFP-4490-2022</t>
  </si>
  <si>
    <t>Dimobe, Kangbéni/0000-0001-5536-9700</t>
  </si>
  <si>
    <t>German Federal Ministry of Education and Research (BMBF) through the programme WASCAL (West African Science Service Center on Climate Change and Adapted Land Use)</t>
  </si>
  <si>
    <t>German Federal Ministry of Education and Research (BMBF) through the programme WASCAL (West African Science Service Center on Climate Change and Adapted Land Use)(Federal Ministry of Education &amp; Research (BMBF))</t>
  </si>
  <si>
    <t>The authors express their acknowledgments to the German Federal Ministry of Education and Research (BMBF) through the programme WASCAL (West African Science Service Center on Climate Change and Adapted Land Use, www.wascal.org) for funding this research. The authors are very grateful to the field assistants and local populations who helped in data collection. The authors thank the anonymous reviewers for their critical and constructive comments, which helped to bring the manuscript to its current form.</t>
  </si>
  <si>
    <t>10.1016/j.gecco.2015.10.006</t>
  </si>
  <si>
    <t>VB6AC</t>
  </si>
  <si>
    <t>WOS:000416220800052</t>
  </si>
  <si>
    <t>Marignani, M; Bruschi, D; Garcia, DA; Frondoni, R; Carli, E; Pinna, MS; Cumo, F; Gugliermetti, F; Saatkamp, A; Doxa, A; Queller, EM; Chaieb, M; Dagher-Kharrat, MB; El Zein, R; El Jeitani, S; Khater, C; Mansour, S; Al-Shami, A; Harik, G; Alameddine, I; el-Fadel, M; Blasi, C</t>
  </si>
  <si>
    <t>Marignani, Michela; Bruschi, Daniele; Garcia, Davide Astiaso; Frondoni, Raffaella; Carli, Emanuela; Pinna, Maria Silvia; Cumo, Fabrizio; Gugliermetti, Franco; Saatkamp, Arne; Doxa, Aggeliki; Queller, Emi Martin; Chaieb, Mohamed; Dagher-Kharrat, Magda Bou; El Zein, Rana; El Jeitani, Sarah; Khater, Carla; Mansour, Sophie; Al-Shami, Anwar; Harik, Ghinwa; Alameddine, Ibrahim; el-Fadel, Mutasem; Blasi, Carlo</t>
  </si>
  <si>
    <t>Hazard analysis; Plant diversity; Risk assessment; Habitat fragmentation; GREAT Med project</t>
  </si>
  <si>
    <t>MULTI-HAZARD; ALIEN PLANTS; MANAGEMENT; VULNERABILITY; SCALE; IMPLEMENTATION; METHODOLOGY; QUALITY; IMPACT; SPILL</t>
  </si>
  <si>
    <t>Interdisciplinarity and transdisciplinarity are the cornerstone for the future management of coastal ecosystems with many vulnerability and hazard indexes developed for this purpose, especially in the engineering literature, but with limited studies that considered ecological implications within a risk assessment. Similarly, the concept of prioritization of sites has been widely examined in biodiversity conservation studies, but only recently as an instrument for territory management. Considering coastal plant diversity at the species and community levels, and their vulnerability to three main potential hazards threatening coastal areas (oil spills, Hazardous and Noxious Substances pollution, fragmentation of natural habitats), the objective of this paper is to define an easy-to-use approach to locate and prioritize the areas more susceptible to those stressors, in order to have a practical instrument for risk management in the ordinary and extra-ordinary management of the coastline. The procedure has been applied at pilot areas in four Mediterranean countries (Italy, France, Lebanon and Tunisia). This approach can provide policy planners, decision makers and local communities an easy-to-use instrument able to facilitate the implementation of the ICZM (Integrated Coastal Zone Management) process in their territory. (C) 2017 Elsevier B.V. All rights reserved.</t>
  </si>
  <si>
    <t>[Marignani, Michela; Bruschi, Daniele; Garcia, Davide Astiaso; Frondoni, Raffaella; Carli, Emanuela; Pinna, Maria Silvia; Cumo, Fabrizio; Gugliermetti, Franco; Blasi, Carlo] Sapienza Univ Rome, Piazzale Aldo Moro 5, I-00185 Rome, Italy; [Marignani, Michela; Pinna, Maria Silvia] Univ Cagliari, DISVA, Viale S Ignazio 13, I-09123 Cagliari, Italy; [Saatkamp, Arne; Doxa, Aggeliki; Queller, Emi Martin] Avignon Univ, Aix Marseille Univ, CNRS,IRD,Fac St Jerome, Inst Mediterraneen Biodiversite &amp; Ecol Marine &amp; C, F-13397 Marseille 20, France; [Chaieb, Mohamed] Univ Sfax, Res Unit Plant Biodivers &amp; Ecosyst Dynam Arid Env, Route Soukra Km 3-5 BP 1171, Sfax 3000, Tunisia; [Dagher-Kharrat, Magda Bou; El Zein, Rana; El Jeitani, Sarah] St Joseph Univ, Lab Caracterisat Genom Plantes, Rue Damas BP 17-5208 Mar Mikhael, Beirut 11042020, Lebanon; [Khater, Carla; Mansour, Sophie] Natl Council Sci Res Lebanon, POB 11-8281, Beirut 11072260, Lebanon; [Al-Shami, Anwar; Harik, Ghinwa; Alameddine, Ibrahim; el-Fadel, Mutasem] Amer Univ Beirut, Dept Civil &amp; Environm Engn, POB 11-0236, Beirut 11072020, Lebanon</t>
  </si>
  <si>
    <t>Sapienza University Rome; University of Cagliari; Centre National de la Recherche Scientifique (CNRS); Aix-Marseille Universite; Avignon Universite; Institut de Recherche pour le Developpement (IRD); Universite de Sfax; Centre National de la Recherche Scientifique (CNRS) - Lebanon; American University of Beirut</t>
  </si>
  <si>
    <t>Marignani, M (corresponding author), Univ Cagliari, DISVA, Viale S Ignazio 13, I-09123 Cagliari, Italy.</t>
  </si>
  <si>
    <t>marignani@unica.it; daniele.bruschi@uniroma1.it; davide.astiasogarcia@uniroma1.it; raffaella.frondoni@uniroma1.it; emanuela.carli@uniroma1.it; m.silviapinna@gmail.com; fabrizio.cumo@uniroma1.it; franco.gugliermetti@uniroma1.it; arne.saatkamp@imbe.fr; aggeliki.doxa@imbe.fr; emilia.queller@imbe.fr; magda.boudagher@usj.edu.lb; sarah.jeitani@net.usj.edu.lb; age08@aub.edu.lb; ghx00@aub.edu.lb; ibrahim.alameddine@aub.edu.lb; mfadel@aub.edu.lb; carlo.blasi@uniroma1.it</t>
  </si>
  <si>
    <t>Harik, Ghinwa/KQV-3816-2024; Saatkamp, Arne/AAE-9829-2020; Bou Dagher Kharrat, Magda/JFS-7087-2023; cumo, fabrizio/H-6478-2019; Chaieb, Mohamed/AAM-9869-2020; Alameddine, Ibrahim/D-9365-2013; CARLI, Emanuela/MSX-4108-2025; PINNA, MARIA SILVIA/ABA-6128-2020; Astiaso Garcia, Davide/H-6478-2019; Marignani, Michela/AAC-4763-2020; Bou Dagher Kharrat, Magda/E-8473-2017</t>
  </si>
  <si>
    <t>Doxa, Aggeliki/0000-0003-4279-1499; cumo, fabrizio/0000-0003-4348-2305; BLASI, Carlo/0000-0003-3016-0091; Alameddine, Ibrahim/0000-0002-8974-1985; CARLI, Emanuela/0000-0003-2074-0973; FRONDONI, Raffaella/0000-0002-7371-0957; PINNA, MARIA SILVIA/0000-0003-2034-4823; Astiaso Garcia, Davide/0000-0003-0752-2146; Marignani, Michela/0000-0002-8420-5454; Bou Dagher Kharrat, Magda/0000-0001-7969-1673</t>
  </si>
  <si>
    <t>The GREAT Med project was financed by the European Union (ENPI CBC Mediterranean Sea Basin Programme) through the European Neighborhood and Partnership Instrument. Its Grant Agreement is no. 39/2377.</t>
  </si>
  <si>
    <t>JUL 15</t>
  </si>
  <si>
    <t>10.1016/j.scitotenv.2017.02.221</t>
  </si>
  <si>
    <t>ES4NK</t>
  </si>
  <si>
    <t>WOS:000399511800056</t>
  </si>
  <si>
    <t>Hamilton, RJ; Almany, GR; Stevens, D; Bode, M; Pita, J; Peterson, NA; Choat, JH</t>
  </si>
  <si>
    <t>Hamilton, Richard J.; Almany, Glenn R.; Stevens, Don; Bode, Michael; Pita, John; Peterson, Nate A.; Choat, J. Howard</t>
  </si>
  <si>
    <t>Aggregations; Bolbometopon muricatum; Coral reef fisheries; Data-poor assessments; Hyperstability; Collapse</t>
  </si>
  <si>
    <t>SPAWNING AGGREGATIONS; ECOLOGICAL KNOWLEDGE; REEF FISHES; MANAGEMENT; CONSERVATION; RESILIENCE; DEMOGRAPHY; DENSITY; MARINE</t>
  </si>
  <si>
    <t>Bolbometopon muricatum, the largest species of parrotfish, is a functionally important species that is characterised by the formation of aggregations for foraging, reproductive, and sleeping behaviours. Aggregations are restricted to shallow reef habitats, the locations of which are often known to local fishers. Bolbometopon muricatum fisheries are therefore vulnerable to overfishing and are likely to exhibit hyperstability, the maintenance of high catch per unit effort (CPUE) while population abundance declines. In this study, we provide a clear demonstration of hyperstable dynamics in a commercial B. muricatum fishery in Isabel Province, Solomon Islands. Initially, we used participatory mapping to demarcate the Kia fishing grounds into nine zones that had experienced different historic levels of fishing pressure. We then conducted comprehensive underwater visual census (UVC) and CPUE surveys across these zones over a 21-month period in 2012-2013. The individual sites for replicate UVC surveys were selected using a generalised random tessellation stratified variable probability design, while CPUE surveys involved trained provincial fisheries officers and local spearfishers. A comparison of fishery-independent abundance data and fishery-dependent CPUE data indicate extreme hyperstability, with CPUE maintained as B. muricatum abundance declines towards zero. Hyperstability may explain the sudden collapses of many B. muricatum spear fisheries across the Pacific and highlights the limitations of using data-poor fisheries assessment methods to evaluate the status of commercially valuable coral reef fishes that form predicable aggregations.</t>
  </si>
  <si>
    <t>[Hamilton, Richard J.; Peterson, Nate A.] Nature Conservancy, Asia Pacific Resource Ctr, 48 Montague Rd, South Brisbane, Qld 4101, Australia; [Hamilton, Richard J.; Almany, Glenn R.; Bode, Michael] James Cook Univ, ARC Ctr Excellence Coral Reef Studies, Townsville, Qld 4811, Australia; [Almany, Glenn R.] UPVD, CRIOBE, USR 3278, CNRS,EPHE,Lab Excellence,CORAIL, 58 Ave Paul Alduy, F-66860 Perpignan, France; [Stevens, Don] Stevens Environm Stat, 6200 W Starr Rd, Wasilla, AK 99654 USA; [Bode, Michael] Univ Melbourne, Sch BioSci, ARC Ctr Excellence Environm Decis, Parkville, Vic 3010, Australia; [Pita, John] Nature Conservancy, Isabel Environm Off, Buala, Isabel Province, Solomon Islands; [Choat, J. Howard] James Cook Univ, Coll Marine &amp; Environm Studies, Townsville, Qld 4811, Australia</t>
  </si>
  <si>
    <t>Nature Conservancy; James Cook University; ARC Centre of Excellence for Coral Reef Studies; Centre National de la Recherche Scientifique (CNRS); CNRS - Institute of Ecology &amp; Environment (INEE); Universite PSL; Ecole Pratique des Hautes Etudes (EPHE); University of Melbourne; James Cook University</t>
  </si>
  <si>
    <t>Hamilton, RJ (corresponding author), Nature Conservancy, Asia Pacific Resource Ctr, 48 Montague Rd, South Brisbane, Qld 4101, Australia.</t>
  </si>
  <si>
    <t>rhamilton@tnc.org</t>
  </si>
  <si>
    <t>; Bode, Michael/P-1333-2019</t>
  </si>
  <si>
    <t>Hamilton, Richard/0000-0002-0076-4276; Bode, Michael/0000-0002-5886-4421</t>
  </si>
  <si>
    <t>Asian Development Bank (ADB) [TA-7753]</t>
  </si>
  <si>
    <t>Asian Development Bank (ADB)</t>
  </si>
  <si>
    <t>We thank the Kia House of Chiefs, Isabel Provincial Government, Solomon Islands Ministry of Fisheries and Marine Resources and Solomon Islands Ministry of Environment, Climate Change, Disaster Management and Meteorology for supporting this work. Special acknowledgments go to all of the Kia district spearfishers who partook in this research; this study would have been impossible without your interest and support. We thank W. Dolava, M. Giningele, P. Kame, A. Kokoe, H. Kokoe, and M. Vaka for assisting with data collection. We also thank C. Gereniu, W. Enota, P. Jay, F. Kavali, T. Leve, P. Lomae, L. Madada, D. Motui, J. Pai, G. Tavake, J. Ulo, and R. Zama for partaking in the UVC survey. Finally, we thank B. Erisman, Y. Sadovy de Mitcheson, S. Lindfield, and an anonymous reviewer for making improvements on an earlier version of this manuscript. The bumphead parrotfish study was completed with support from The Asian Development Bank (ADB TA-7753).</t>
  </si>
  <si>
    <t>10.1007/s00338-016-1441-0</t>
  </si>
  <si>
    <t>DU2CU</t>
  </si>
  <si>
    <t>WOS:000382019400001</t>
  </si>
  <si>
    <t>Barilani, M; Bernard-Laurent, A; Mucci, N; Tabarroni, C; Kark, S; Garrido, JAP; Randi, E</t>
  </si>
  <si>
    <t>Barilani, Marina; Bernard-Laurent, Ariane; Mucci, Nadia; Tabarroni, Cristiano; Kark, Salit; Perez Garrido, Jose Antonio; Randi, Ettore</t>
  </si>
  <si>
    <t>alectoris; introgression; outbreeding depression; admixture analysis; mtDNA control-region; microsatellites; partridge conservation genetics</t>
  </si>
  <si>
    <t>MITOCHONDRIAL-DNA; CONTROL REGION; HYBRID ZONE; PHYLOGEOGRAPHY; EVOLUTION; DUCKS; MICROSATELLITES; AMPLIFICATION; INFERENCE; DISTANCE</t>
  </si>
  <si>
    <t>The decline of over-hunted red-legged (Alectoris rufa) and rock (A. graeca) partridge populations has been contrasted with massive releases of captive-reared birds, often hybrids with non-indigenous A. chukar. Released interspecific hybrids raise the risks of introgressive hybridisation, and can contribute to further depress the fitness of native populations. Aiming to assess the extent of hybridisation, we genotyped the mtDNA control-region and eight nuclear microsatellites in 671 red-legged, rock and chukar partridges and hybrids, identified by phenotypic traits. Results reveal a diffuse occurrence of hybridisation: (1) 39 samples (6.2%) show mtDNA haplotypes discordant with their phenotypes, indicating red-legged and chukar mtDNA introgression in native rock partridges; (2) admixture analyses of the microsatellite genotypes identified 32 additional rock partridges (5.1%) hybridised mainly with chukars. We analysed also 39 samples collected from a presumed natural red-legged x rock partridge hybrid zone in the French Alps. Surprisingly, 28% birds showed typical chukar mtDNAs, indicating hybridisation with introduced chukars or hybrids. This hybrid zone led to an introgression cline of chukar alleles into neighbouring Alpine rock partridges detectable up to 100 km, which was shorter than expected by neutral genetic theory, and that suggested natural selection against hybrids. These findings indicate that introgressive hybridisation may disrupt local adaptations in natural red-legged partridge and rock partridge populations, and call for strict control of farming and restocking operations. (c) 2007 Elsevier Ltd. All rights reserved.</t>
  </si>
  <si>
    <t>Ist Nazl Fauna Selvat INFS, I-40064 Ozzano Dell Emilia, BO, Italy; CADAM, CNERA Faune Montagne, Off Natl Chasse &amp; Faune Sauvage ONCFS, F-06286 Nice 3, France; Casalecchio Reno, Bologna, Italy; Hebrew Univ Jerusalem, Inst Life Sci, Dept Evolut Systemat &amp; Ecol, Biodivers Res Grp, IL-91904 Jerusalem, Israel; Univ Leon, Fac Vet, Dept Prod Anim 2, E-24071 Leon, Spain</t>
  </si>
  <si>
    <t>Hebrew University of Jerusalem; Universidad de Leon</t>
  </si>
  <si>
    <t>Randi, E (corresponding author), Ist Nazl Fauna Selvat INFS, Via Ca Fornacetta 9, I-40064 Ozzano Dell Emilia, BO, Italy.</t>
  </si>
  <si>
    <t>marinab11@libero.it; a.bernard@oncfs.gouv.fr; nadia.mucci@infs.it; cristiano.tabarroni@iperbole.bo.it; salit@cc.huji.ac.il; dp2jpg@unileon.es; met0217@iperbole.bo.it</t>
  </si>
  <si>
    <t>Randi, Ettore/HOC-4300-2023; Kark, Salit/C-6795-2016; Preatoni, Damiano/A-8621-2010; Garrido, Jose/K-7491-2015</t>
  </si>
  <si>
    <t>Kark, Salit/0000-0002-7183-3988; Preatoni, Damiano/0000-0001-8760-1316;</t>
  </si>
  <si>
    <t>10.1016/j.biocon.2007.01.014</t>
  </si>
  <si>
    <t>183OZ</t>
  </si>
  <si>
    <t>WOS:000247583400006</t>
  </si>
  <si>
    <t>Velho, N; Karanth, KK; Laurance, WF</t>
  </si>
  <si>
    <t>Velho, Nandini; Karanth, Krithi K.; Laurance, William F.</t>
  </si>
  <si>
    <t>Arunachal Pradesh; Bushmeat; Hotspot; Himalayas; Hunting; India; Poaching; Western Ghats; Wildlife</t>
  </si>
  <si>
    <t>NAMDAPHA-NATIONAL-PARK; LARGE MAMMALS; ARUNACHAL-PRADESH; FORENSIC IDENTIFICATION; TROPICAL FORESTS; SEED DISPERSAL; TIGER RESERVE; WESTERN-GHATS; WILDLIFE; ABUNDANCE</t>
  </si>
  <si>
    <t>Hunting is one of the greatest conservation challenges facing tropical wildlife. Wildlife in Indian tropical forests are vulnerable to hunting, although data on hunting impacts from the region are limited. We use a meta-analysis of 143 hunting studies from India to identify the species and geographic regions most at risk, and to assess their legal protection. We found evidence of hunting in 114 mammal species, with larger-bodied mammals being particularly vulnerable. Although 75% of all studies focused on mammals, few actually quantified hunting impacts. Further, among studies of all terrestrial vertebrates where hunting was mentioned, only 6% focused exclusively on hunting. With further research, we expect that the suite of species known to be exploited by hunters will increase. We conclude that the Eastern Himalaya and Indo-Myanmar biodiversity-hotspot complex is particularly vulnerable to hunting. Quantitative studies of hunting impacts are urgently needed across India, especially in this biodiversity-hotspot complex. (C) 2012 Elsevier Ltd. All rights reserved.</t>
  </si>
  <si>
    <t>[Velho, Nandini; Laurance, William F.] James Cook Univ, Ctr Trop Environm &amp; Sustainabil Sci TESS, Cairns, Qld 4870, Australia; [Velho, Nandini; Laurance, William F.] James Cook Univ, Sch Marine &amp; Trop Biol, Cairns, Qld 4870, Australia; [Velho, Nandini] Natl Ctr Biol Sci, Bangalore 560065, Karnataka, India; [Karanth, Krithi K.] Ctr Wildlife Studies, Bangalore 560001, Karnataka, India; [Karanth, Krithi K.] Duke Univ, Nicholas Sch Environm, Durham, NC 27708 USA</t>
  </si>
  <si>
    <t>James Cook University; James Cook University; Tata Institute of Fundamental Research (TIFR); National Centre for Biological Sciences (NCBS); Duke University</t>
  </si>
  <si>
    <t>Laurance, WF (corresponding author), James Cook Univ, Ctr Trop Environm &amp; Sustainabil Sci TESS, Cairns, Qld 4870, Australia.</t>
  </si>
  <si>
    <t>nandinivelho@gmail.com; bill.laurance@jcu.edu.au</t>
  </si>
  <si>
    <t>Laurance, William/B-2709-2012</t>
  </si>
  <si>
    <t>10.1016/j.biocon.2012.01.022</t>
  </si>
  <si>
    <t>926OG</t>
  </si>
  <si>
    <t>WOS:000302840100022</t>
  </si>
  <si>
    <t>Harrison, ME; Cheyne, SM; Darma, F; Ribowo, DA; Limin, SH; Struebig, MJ</t>
  </si>
  <si>
    <t>Harrison, Mark E.; Cheyne, Susan M.; Darma, Fiteria; Ribowo, Dwi Angan; Limin, Suwido H.; Struebig, Matthew J.</t>
  </si>
  <si>
    <t>Pteropus vampyrus; Hunting; Emerging infectious disease; Wildlife trade; Henipavirus; Bat</t>
  </si>
  <si>
    <t>PTEROPUS-VAMPYRUS-NATUNAE; NIPAH VIRUS; HOME-RANGE; CONSERVATION; BATS; CHIROPTERA; PTEROPODIDAE; KALIMANTAN; LANDSCAPE; DIVERSITY</t>
  </si>
  <si>
    <t>Widespread hunting of flying foxes has generated concern regarding population declines and the spread of emerging infectious diseases. To investigate the potential impacts of this trade, we conducted questionnaires in 45 settlements across 12 population centres within Central Kalimantan, Indonesia, a region previously identified as a hunting hotspot. By combining results from 63 hunter and 88 vendor interviews, we highlight two population centres (Palangka Raya and Buntok/Tamiang Layang) with higher hunting rates than other areas, which act as flying fox trading hubs. Flying fox populations were perceived to be declining province-wide: declines in captures and sales were reported by 81% of hunters and 60% of market vendors, who also reported availability as the key factor underlying temporal variations in trade. There was substantial risk of zoonotic disease transmission between bats, hunters and traders: the vast majority of respondents were unaware that flying foxes carry potentially fatal viruses, and so few people protected themselves from physical contact. Moreover, both hunters and vendors were frequently bitten and the majority of bites drew blood. Most hunters (58%) also reported unintentional by-catches that included keystone bird species and slow lorises. The scale of hunting over Central Kalimantan represents a serious threat to the long-term viability of flying fox populations (and potentially those of other species), and could have serious public health implications. Reducing or eliminating hunting and trade would mitigate the risk of disease transmission, while maintaining the economic and ecosystem benefits that flying foxes provide, in terms of pollination and seed dispersal. (C) 2011 Elsevier Ltd. All rights reserved.</t>
  </si>
  <si>
    <t>[Struebig, Matthew J.] Univ Kent, Durrell Inst Conservat &amp; Ecol, Sch Anthropol &amp; Conservat, Canterbury CT2 7NR, Kent, England; [Harrison, Mark E.] Univ Cambridge, Wildlife Res Grp, Sch Anat, Cambridge CB2 3DY, England; [Harrison, Mark E.; Cheyne, Susan M.] Univ Palangka Raya, Orangutan Trop Pearland Project, Ctr Int Cooperat Sustainable Management Trop Peat, Palangka Raya 73112, Central Kaliman, Indonesia; [Cheyne, Susan M.] Univ Oxford, Wildlife Conservat Res Unit WildCRU, Dept Zool, Tubney OX13 5QL, Oxon, England; [Darma, Fiteria; Limin, Suwido H.] Univ Palangka Raya, Ctr Int Cooperat Trop Peatlands, Palangka Raya 73112, Central Kaliman, Indonesia; [Ribowo, Dwi Angan] Univ Mulawarman, Fac Forestry, Samarinda 75117, East Kalimantan, Indonesia; [Struebig, Matthew J.] Queen Mary Univ London, Sch Biol &amp; Chem Sci, London E1 4NS, England</t>
  </si>
  <si>
    <t>University of Kent; University of Cambridge; Universitas Palangka Raya (UPR); University of Oxford; Universitas Palangka Raya (UPR); Universitas Mulawarman; University of London; Queen Mary University London</t>
  </si>
  <si>
    <t>Struebig, MJ (corresponding author), Univ Kent, Durrell Inst Conservat &amp; Ecol, Sch Anthropol &amp; Conservat, Canterbury CT2 7NR, Kent, England.</t>
  </si>
  <si>
    <t>M.J.Struebig@kent.ac.uk</t>
  </si>
  <si>
    <t>; Cheyne, Susan/P-2404-2019; Harrison, Mark/AGK-9693-2022</t>
  </si>
  <si>
    <t>struebig, matthew/0000-0003-2058-8502; Cheyne, Susan/0000-0002-9180-3356;</t>
  </si>
  <si>
    <t>Lubee Bat Conservancy; Columbus Zoo; P.T. Starling Asia; International Animal Rescue; Orang-utan Tropical Peatland Project (OuTrop); Leverhulme Trust</t>
  </si>
  <si>
    <t>Lubee Bat Conservancy; Columbus Zoo; P.T. Starling Asia; International Animal Rescue; Orang-utan Tropical Peatland Project (OuTrop); Leverhulme Trust(Leverhulme Trust)</t>
  </si>
  <si>
    <t>We thank the Indonesian Institute of Sciences (LIPI), the State Ministry of Research and Technology (RISTEK), the Directorate General of Forest Protection and Nature Conservation (PHKA) and CIMTROP for research permissions. Funding was provided by the Lubee Bat Conservancy, Columbus Zoo, P.T. Starling Asia and International Animal Rescue. The write-up was supported by the Orang-utan Tropical Peatland Project (OuTrop) and a Leverhulme Trust Early Career fellowship awarded to MJS. The following people provided additional information on hunting and/or trade in Kalimantan: Grace Blackham, Hendra, Simon Husson, Krisno, Stanislav Lhota, Godwin Limberg, Sephy Noerfahmy, Rajinda Puri, Indrawati Sendow, Betsy Yaap and Yulianton. Ian Singleton and Gabriella Fredriksson provided information on the trade in flying foxes in northern Sumatra. Finally, we would like to thank four anonymous reviewers, and all of the hunters and market vendors in Kalimantan who openly shared their experience of the flying fox trade. This research was conducted as part of the OuTrop-CIMTROP multi-disciplinary research project.</t>
  </si>
  <si>
    <t>10.1016/j.biocon.2011.06.021</t>
  </si>
  <si>
    <t>823HE</t>
  </si>
  <si>
    <t>WOS:000295112300007</t>
  </si>
  <si>
    <t>Mellin, C; Mouillot, D; Kulbicki, M; McClanahan, TR; Vigliola, L; Bradshaw, CJA; Brainard, RE; Chabanet, P; Edgar, GJ; Fordham, DA; Friedlander, AM; Parravicini, V; Sequeira, AMM; Stuart-Smith, RD; Wantiez, L; Caley, MJ</t>
  </si>
  <si>
    <t>Mellin, C.; Mouillot, D.; Kulbicki, M.; McClanahan, T. R.; Vigliola, L.; Bradshaw, C. J. A.; Brainard, R. E.; Chabanet, P.; Edgar, G. J.; Fordham, D. A.; Friedlander, A. M.; Parravicini, V.; Sequeira, A. M. M.; Stuart-Smith, R. D.; Wantiez, L.; Caley, M. J.</t>
  </si>
  <si>
    <t>MARINE PROTECTED AREAS; EXTINCTION RISK; GLOBAL PATTERNS; HUMAN IMPACT; SIZE; ABUNDANCE; DIVERSITY; VULNERABILITY; BIODIVERSITY; PREDICTORS</t>
  </si>
  <si>
    <t>Coral reefs are among the most species-rich and threatened ecosystems on Earth, yet the extent to which human stressors determine species occurrences, compared with biogeography or environmental conditions, remains largely unknown. With ever-increasing human-mediated disturbances on these ecosystems, an important question is not only how many species can inhabit local communities, but also which biological traits determine species that can persist (or not) above particular disturbance thresholds. Here we show that human pressure and seasonal climate variability are disproportionately and negatively associated with the occurrence of large-bodied and geographically small-ranging fishes within local coral reef communities. These species are 67% less likely to occur where human impact and temperature seasonality exceed critical thresholds, such as in the marine biodiversity hotspot: the Coral Triangle. Our results identify the most sensitive species and critical thresholds of human and climatic stressors, providing opportunity for targeted conservation intervention to prevent local extinctions.</t>
  </si>
  <si>
    <t>[Mellin, C.; Caley, M. J.] Australian Inst Marine Sci, PMB 3, Townsville, Qld 4810, Australia; [Mellin, C.; Bradshaw, C. J. A.; Fordham, D. A.] Univ Adelaide, Inst Environm, Adelaide, SA 5005, Australia; [Mellin, C.; Bradshaw, C. J. A.; Fordham, D. A.] Univ Adelaide, Sch Biol Sci, Adelaide, SA 5005, Australia; [Mouillot, D.] Univ Montpellier, IRD CNRS IFREMER UM, UMR MARBEC 9190, F-34095 Montpellier, France; [Mouillot, D.; Parravicini, V.] James Cook Univ, Australian Res Council Ctr Excellence Coral Reef, Townsville, Qld 4811, Australia; [Kulbicki, M.] Univ Perpignan, LABEX Corail, UMR Entropie, Inst Rech Dev, F-66000 Perpignan, France; [McClanahan, T. R.] Wildlife Conservat Soc, Marine Programs, Bronx, NY 10460 USA; [Vigliola, L.] Inst Rech Dev, UMR Entropie, LABEX Corail, BP A5, Noumea 98848, New Caledonia; [Brainard, R. E.] NOAA, Natl Marine Fisheries Serv, Pacific Isl Fisheries Sci Ctr, 1125B Ala Moana Blvd, Honolulu, HI 96814 USA; [Chabanet, P.] IRD, UMR Entropie, LABEX Corail, BP 50172,CS 41095, FR-97495 Ste Clotilde, Reunion, France; [Edgar, G. J.; Stuart-Smith, R. D.] Univ Tasmania, Inst Marine &amp; Antarctic Studies, Private Bag 49, Hobart, Tas 7001, Australia; [Friedlander, A. M.] Natl Geog Soc, Pristine Seas, Washington, DC 20036 USA; [Friedlander, A. M.] Univ Hawaii Manoa, Fisheries Ecol Res Lab, Honolulu, HI USA; [Parravicini, V.] Fdn Rech Biodiversite, Ctr Synth &amp; Anal Biodiversite, F-13100 Aix En Provence, France; [Parravicini, V.] Univ Perpignan, LABEX Corail, USR CNRS EPHE UPVD 3278, CRIOBE, F-66860 Perpignan, France; [Sequeira, A. M. M.] Univ Western Australia, Sch Anim Biol, IOMRC, M470,35 Stirling Highway, Crawley, WA 6009, Australia; [Sequeira, A. M. M.] Univ Western Australia, Sch Anim Biol, UWA Oceans Inst, M470,35 Stirling Highway, Crawley, WA 6009, Australia; [Sequeira, A. M. M.] Univ Western Australia, Ctr Marine Futures, M470,35 Stirling Highway, Crawley, WA 6009, Australia; [Wantiez, L.] Univ New Caledonia, Res Unit LIVE EA4243, Noumea, New Caledonia</t>
  </si>
  <si>
    <t>Australian Institute of Marine Science; Adelaide University; University of Adelaide; Adelaide University; University of Adelaide; Universite de Montpellier; Ifremer; James Cook University; Universite Perpignan Via Domitia; Institut de Recherche pour le Developpement (IRD); Wildlife Conservation Society; Institut de Recherche pour le Developpement (IRD); National Aeronautics &amp; Space Administration (NASA); National Oceanic Atmospheric Admin (NOAA) - USA; Institut de Recherche pour le Developpement (IRD); University of Tasmania; National Geographic Society; University of Hawaii System; University of Hawaii Manoa; Universite PSL; Ecole Pratique des Hautes Etudes (EPHE); Universite Perpignan Via Domitia; Centre National de la Recherche Scientifique (CNRS); CNRS - Institute of Ecology &amp; Environment (INEE); University of Western Australia; University of Western Australia; University of Western Australia; Universite Nouvelle Caledonie</t>
  </si>
  <si>
    <t>Mellin, C (corresponding author), Australian Inst Marine Sci, PMB 3, Townsville, Qld 4810, Australia.;Mellin, C (corresponding author), Univ Adelaide, Inst Environm, Adelaide, SA 5005, Australia.;Mellin, C (corresponding author), Univ Adelaide, Sch Biol Sci, Adelaide, SA 5005, Australia.</t>
  </si>
  <si>
    <t>Caley, Julian/A-4042-2008; Mouillot, David/HCH-5670-2022; Vigliola, Laurent/J-7107-2016; McClanahan, Tim/K-4998-2019; Sequeira, Ana/AAE-9741-2021; Wantiez, Laurent/L-3343-2013; Parravicini, Valeriano/A-8539-2011; Mellin, Camille/X-9161-2019; Fordham, Damien/E-9255-2013; Edgar, Graham/AAY-3797-2020; Chabanet, Pascale/L-9470-2017; Bradshaw, Corey/A-1311-2008; Stuart-Smith, Rick/M-1829-2013</t>
  </si>
  <si>
    <t>Vigliola, Laurent/0000-0003-4715-7470; Sequeira, Ana/0000-0001-6906-799X; Wantiez, Laurent/0000-0001-5024-2057; Parravicini, Valeriano/0000-0002-3408-1625; Mellin, Camille/0000-0002-7369-2349; Fordham, Damien/0000-0003-2137-5592; Edgar, Graham/0000-0003-0833-9001; Chabanet, Pascale/0000-0001-7600-943X; Bradshaw, Corey/0000-0002-5328-7741; Stuart-Smith, Rick/0000-0002-8874-0083</t>
  </si>
  <si>
    <t>ARC Grant [DE140100701]; Indian Ocean Marine Research Centre; Australian Government's National Environmental Research Program (NERP); European Development Funds (EDF); Western Indian Ocean Marine Science Association (WIOMSA); John D. and Catherine T. MacArthur Foundation; Fondation pour la Recherche en Biodiversite (FRB) within the CESAB structure; Australian Research Council [DE140100701] Funding Source: Australian Research Council</t>
  </si>
  <si>
    <t>ARC Grant(Australian Research Council); Indian Ocean Marine Research Centre; Australian Government's National Environmental Research Program (NERP)(Australian Government); European Development Funds (EDF); Western Indian Ocean Marine Science Association (WIOMSA); John D. and Catherine T. MacArthur Foundation; Fondation pour la Recherche en Biodiversite (FRB) within the CESAB structure(Fondation pour la Recherche Medicale); Australian Research Council(Australian Research Council)</t>
  </si>
  <si>
    <t>We thank C. Mora, B. Halpern and A. MacNeil for sharing ideas, and many staff from the authors' institutions for contributing to data collection, in particular R. Galzin and M. Harmelin-Vivien. CM was funded by an ARC Grant (DE140100701). AMMS was supported by a Collaborative Post-doctoral Fellowship (AIMS, CSIRO and UWA) from the Indian Ocean Marine Research Centre. This work was done within the Marine Biodiversity Hub, a collaborative partnership supported through funding from the Australian Government's National Environmental Research Program (NERP) (www.nerpmarine.edu.au). The PROCFish data set was collected under the COFish and PROCFish-C programs implemented by the Secretariat of the Pacific Community (SPC) through funding by European Development Funds (EDF). TRM and the Western Indian Ocean data collection were supported by the Western Indian Ocean Marine Science Association (WIOMSA) and the John D. and Catherine T. MacArthur Foundation. Life-history traits and species distributions were accessed through the GASPAR programme financed by the Fondation pour la Recherche en Biodiversite (FRB) within the CESAB structure.</t>
  </si>
  <si>
    <t>10.1038/ncomms10491</t>
  </si>
  <si>
    <t>DF0EP</t>
  </si>
  <si>
    <t>WOS:000371012100003</t>
  </si>
  <si>
    <t>Meager, JJ; Schlacher, TA; Nielsen, T</t>
  </si>
  <si>
    <t>Meager, Justin J.; Schlacher, Thomas A.; Nielsen, Tara</t>
  </si>
  <si>
    <t>Conservation; habitat selection; human impacts; shorebirds; spatial scale</t>
  </si>
  <si>
    <t>HUMAN DISTURBANCE; MIGRATORY SHOREBIRDS; BEHAVIORAL-RESPONSES; SOUTHERN CALIFORNIA; SCALE; CONSERVATION; DISTRIBUTIONS; POPULATIONS; VEGETATION; ECOSYSTEMS</t>
  </si>
  <si>
    <t>Aim Resource-selection functions (RSFs) can quantify and predict the density of animal populations across heterogeneous landscapes and are important conservation tools in areas subject to human disturbance. Sandy beach ecosystems have comparatively low habitat heterogeneity and structural relief in the intertidal zone, but intense human use. We aimed to develop predictive RSFs for birds on ocean-exposed sandy beaches at two spatial scales, 25 ha (local scale) and 250 ha (landscape scale), and to test whether habitat selection of birds that commonly use the surfbeachdune interface is influenced by the rates of human activities. Location Moreton and North Stradbroke Island, eastern Australia. Methods Avifauna and human activities were mapped on three sandy beaches covering 79 km of coastline for 15 months. Habitat characteristics of the surfbeach-dune interface were derived from remote sensing and ground surveys. RSFs were developed for 12 species of birds at two spatial scales: 25 ha (local scale) and 250 ha (landscape scale). Results At local (25 ha) and landscape scales (250 ha), dune dimensions and the extent and type of vegetation structure were important predictors of bird density. Adding the frequency of human activities improved the predictive power of RSFs, suggesting that habitat selection of birds on beaches is modified by human use of these environments. Human activities occurred mostly in the mid-to lower intertidal zone of the beach, overlapping closely with the preferred habitats of Silver Gulls (Larus novaehollandiae), Pied Oystercatchers (Haematopus longirostris), Red-capped Plovers (Charadrius ruficapillus) and endangered Little Terns (Sternula albifrons). Main conclusions In addition to demonstrating the appropriateness of RSFs to the surf-beach-dune interface, our results stress the need for systematic conservation planning for these ecosystems, where ecological values have traditionally been subsidiary to the maintenance of sand budgets and erosion control.</t>
  </si>
  <si>
    <t>[Meager, Justin J.; Schlacher, Thomas A.; Nielsen, Tara] Univ Sunshine Coast, Fac Sci Hlth &amp; Educ, Maroochydore, Qld 4558, Australia</t>
  </si>
  <si>
    <t>University of the Sunshine Coast</t>
  </si>
  <si>
    <t>Meager, JJ (corresponding author), Univ Sunshine Coast, Fac Sci Hlth &amp; Educ, Maroochydore, Qld 4558, Australia.</t>
  </si>
  <si>
    <t>justin.meager@gmail.com</t>
  </si>
  <si>
    <t>Meager, Justin/E-6693-2012; Schlacher, Thomas/J-4614-2016</t>
  </si>
  <si>
    <t>Meager, Justin/0000-0002-3349-1841; Schlacher, Thomas/0000-0003-2184-9217</t>
  </si>
  <si>
    <t>Department of Environment and Resource Management; Redlands City Council; Queensland Wader Study Group</t>
  </si>
  <si>
    <t>The work presented here benefited greatly from the remote-sensing and image classification expertise of Sanjeev Srivastava - thank you. This study was partly funded by a grant from the Department of Environment and Resource Management (formerly the EPA) to T. A. Schlacher and financial assistance from Redlands City Council and the Queensland Wader Study Group. We appreciate the efforts of individuals within these organizations who championed the shorebird work: Dave Rissik (DERM/EPA), Daniel Carter (Redlands) and Dave Milton (QLD Wader Study Group). To the students and friends who helped with shorebird counts - Leah Byrne, Rudi de Jaeger, and Stewart McLeod - we owe an ale or two. We also thank three anonymous reviewers for helpful comments on the manuscript.</t>
  </si>
  <si>
    <t>10.1111/j.1472-4642.2011.00873.x</t>
  </si>
  <si>
    <t>889BC</t>
  </si>
  <si>
    <t>WOS:000300047500008</t>
  </si>
  <si>
    <t>Schlacher, TA; Lucrezi, S; Connolly, RM; Peterson, CH; Gilby, BL; Maslo, B; Olds, AD; Walker, SJ; Leon, JX; Huijbers, CM; Weston, MA; Turra, A; Hyndes, GA; Holt, RA; Schoeman, DS</t>
  </si>
  <si>
    <t>Schlacher, Thomas A.; Lucrezi, Serena; Connolly, Rod M.; Peterson, Charles H.; Gilby, Ben L.; Maslo, Brooke; Olds, Andrew D.; Walker, Simon J.; Leon, Javier X.; Huijbers, Chantal M.; Weston, Michael A.; Turra, Alexander; Hyndes, Glenn A.; Holt, Rebecca A.; Schoeman, David S.</t>
  </si>
  <si>
    <t>Meta-analysis; Ecological indicator species; Sandy shores; Coastal dunes; Impact assessments; Hoplocypode; Ocypode</t>
  </si>
  <si>
    <t>OFF-ROAD VEHICLES; OCYPODE-QUADRATA FABRICIUS; TURTLE NESTING BEACHES; SPATIAL-DISTRIBUTION; CLIMATE-CHANGE; OIL-SPILL; BURROW ARCHITECTURE; OCEAN ACIDIFICATION; TEMPORAL-CHANGES; RAPID ASSESSMENT</t>
  </si>
  <si>
    <t>Beach and coastal dune systems are increasingly subjected to a broad range of anthropogenic pressures that on many shorelines require significant conservation and mitigation interventions. But these interventions require reliable data on the severity and frequency of adverse ecological impacts. Such evidence is often obtained by measuring the response of 'indicator species'. Ghost crabs are the largest invertebrates inhabiting tropical and subtropical sandy shores and are frequently used to assess human impacts on ocean beaches. Here we present the first global meta analysis of these impacts, and analyse the design properties and metrics of studies using ghost-crabs in their assessment. This was complemented by a gap analysis to identify thematic areas of anthropogenic pressures on sandy beach ecosystems that are under-represented in the published literature. Our meta-analysis demonstrates a broad geographic reach, encompassing studies on shores of the Pacific, Indian, and Atlantic Oceans, as well as the South China Sea. It also reveals what are, arguably, two major limitations: i) the near-universal use of proxies (i.e. burrow counts to estimate abundance) at the cost of directly measuring biological traits and bio-markers in the organism itself; and ii) descriptive or correlative study designs that rarely extend beyond a simple 'compare and contrast approach', and hence fail to identify the mechanistic cause(s) of observed contrasts. Evidence for a historically narrow range of assessed pressures (i.e., chiefly urbanisation, vehicles, beach nourishment, and recreation) is juxtaposed with rich opportunities for the broader integration of ghost crabs as a model taxon in studies of disturbance and impact assessments on ocean beaches. Tangible advances will most likely occur where ghost crabs provide foci for experiments that test specific hypotheses associated with effects of chemical, light and acoustic pollution, as well as the consequences of climate change (e.g. species range shifts). (C) 2015 Elsevier Ltd. All rights reserved.</t>
  </si>
  <si>
    <t>[Schlacher, Thomas A.; Gilby, Ben L.; Olds, Andrew D.; Walker, Simon J.; Leon, Javier X.; Huijbers, Chantal M.; Schoeman, David S.] Univ Sunshine Coast, Sch Sci &amp; Engn, Q-4558, Maroochydore, Australia; [Lucrezi, Serena] North West Univ, TREES, Potchefstroom, South Africa; [Connolly, Rod M.; Holt, Rebecca A.] Griffith Univ, Australian Rivers Inst Coast &amp; Estuaries, Gold Coast Campus, Nathan, Qld 4222, Australia; [Connolly, Rod M.; Holt, Rebecca A.] Griffith Univ, Sch Environm, Gold Coast Campus, Nathan, Qld 4222, Australia; [Peterson, Charles H.] Univ N Carolina, Inst Marine Sci, Morehead City, NC 28557 USA; [Maslo, Brooke] Rutgers State Univ, Dept Ecol Evolut &amp; Nat Resources, Piscataway, NJ 08855 USA; [Weston, Michael A.] Deakin Univ, Sch Life &amp; Environm Sci, Ctr Integrat Ecol, Burwood, Vic 3125, Australia; [Turra, Alexander] Univ Sao Paulo, Inst Oceanog, Dept Oceanog Biol, Praca Oceanog 191, BR-05508120 Sao Paulo, SP, Brazil; [Hyndes, Glenn A.] Edith Cowan Univ, Ctr Marine Ecosyst Res, Churchlands, WA 6018, Australia</t>
  </si>
  <si>
    <t>University of the Sunshine Coast; North West University - South Africa; Griffith University; Griffith University; University of North Carolina; University of North Carolina Chapel Hill; Rutgers University System; Rutgers University New Brunswick; Deakin University; Universidade de Sao Paulo; Edith Cowan University</t>
  </si>
  <si>
    <t>Schlacher, TA (corresponding author), Univ Sunshine Coast, Sch Sci &amp; Engn, Q-4558, Maroochydore, Australia.</t>
  </si>
  <si>
    <t>tschlach@usc.edu.au; duratta@hotmail.com; r.connolly@griffith.edu.au; cpeters@email.unc.edu; bgilby@usc.edu.au; brooke.maslo@rutgers.edu; aolds@usc.edu.au; swalker@ecosp.com.au; jleon@usc.edu.au; c.huijbers@griffith.edu.au; mike.weston@deakin.edu.au; turra@usp.br; g.hyndes@ecu.edu.au; rebecca.holt@griffith.edu.au; dschoema@usc.edu.au</t>
  </si>
  <si>
    <t>; Huijbers, Chantal/J-5176-2014; Weston, Michael/IVH-3564-2023; Olds, Anew/KUD-4421-2024; Leon, Javier/J-3971-2012; Connolly, Rod/C-4094-2008; Turra, Alexander/G-1352-2012; Schlacher, Thomas/J-4614-2016; Holt, Rebecca/K-1839-2016; Hyndes, Glenn/AAB-6619-2019</t>
  </si>
  <si>
    <t>Schoeman, David/0000-0003-1258-0885; Huijbers, Chantal/0000-0001-5206-3415; Weston, Michael/0000-0002-8717-0410; Olds, Anew/0000-0002-8027-3599; Leon, Javier/0000-0002-4201-5804; Connolly, Rod/0000-0001-6223-1291; Turra, Alexander/0000-0003-2225-8371; Schlacher, Thomas/0000-0003-2184-9217; Hyndes, Glenn/0000-0002-3525-1665</t>
  </si>
  <si>
    <t>FEB 5</t>
  </si>
  <si>
    <t>10.1016/j.ecss.2015.11.025</t>
  </si>
  <si>
    <t>DE8KJ</t>
  </si>
  <si>
    <t>Green Published</t>
  </si>
  <si>
    <t>WOS:000370884600008</t>
  </si>
  <si>
    <t>Nickel, BA; Suraci, JP; Allen, ML; Wilmers, CC</t>
  </si>
  <si>
    <t>Nickel, Barry A.; Suraci, Justin P.; Allen, Maximilian L.; Wilmers, Christopher C.</t>
  </si>
  <si>
    <t>Camera trap; Community ecology; Occupancy model; Wildlife nocturnality; Anthropogenic disturbance; Recreation ecology</t>
  </si>
  <si>
    <t>ESTIMATING SITE OCCUPANCY; LARGE CARNIVORES; MODEL SELECTION; PROTECTED AREAS; RECREATION; URBAN; DISTURBANCE; LANDSCAPE; ECOLOGY; PREDATORS</t>
  </si>
  <si>
    <t>Human impacts on wildlife stem from both our footprint on the landscape and the presence of people in wildlife habitat. Each may influence wildlife at very different spatial and temporal scales, yet efforts to disentangle these two classes of anthropogenic disturbance in their effects on wildlife have remained limited, as have efforts to predict the spatial extent of human presence and its impacts independently of human footprint. We used camera trap data from a 1400-km(2) grid spanning wildlands and residential development in central California to compare the effects of human presence (human detections on camera) and footprint (building density) on mammalian predators. We then developed a model predicting the spatial extent of human presence and its impacts across the broader landscape. Occupancy modeling and temporal activity analyses showed that human presence and footprint had non-equivalent and often opposing effects on wildlife. Larger predators (pumas Puma concolor, bobcats Lynx rufus, coyotes Canis latrans) were less active where human footprint was high but avoided high human presence temporally rather than spatially. Smaller predators (striped skunks Mephitis mephitis, Virginia opossums Didelphis virginiana) preferred developed areas but exhibited reduced activity where human presence was high. A spatial model, based on readily available landscape covariates (parking lots, trails, topography), performed well in predicting human activity outside of developed areas, and revealed high human presence even in remote protected areas that provide otherwise intact wildlife habitat. This work highlights the need to integrate multiple disturbance types when evaluating the impacts of anthropogenic activity on wildlife.</t>
  </si>
  <si>
    <t>[Nickel, Barry A.; Suraci, Justin P.; Wilmers, Christopher C.] Univ Calif Santa Cruz, Ctr Integrated Spatial Res, Environm Studies Dept, Santa Cruz, CA 95064 USA; [Allen, Maximilian L.] Univ Illinois, Illinois Nat Hist Survey, Prairie Res Inst, Champaign, IL 61820 USA</t>
  </si>
  <si>
    <t>University of California System; University of California Santa Cruz; University of Illinois System; University of Illinois Urbana-Champaign; Illinois Natural History Survey</t>
  </si>
  <si>
    <t>Suraci, JP (corresponding author), Univ Calif Santa Cruz, Ctr Integrated Spatial Res, Environm Studies Dept, Santa Cruz, CA 95064 USA.</t>
  </si>
  <si>
    <t>justin.suraci@gmail.com</t>
  </si>
  <si>
    <t>Allen, Maximilian/ABG-9307-2020</t>
  </si>
  <si>
    <t>Gordon and Betty Moore Foundation; National Science Foundation [1255913, 0963022]; Blue Foundation; Peninsula Open Space Trust; Resources Legacy Fund; Direct For Biological Sciences; Div Of Biological Infrastructure [0963022] Funding Source: National Science Foundation</t>
  </si>
  <si>
    <t>Gordon and Betty Moore Foundation(Gordon &amp; Betty Moore Foundation); National Science Foundation(National Science Foundation (NSF)); Blue Foundation; Peninsula Open Space Trust; Resources Legacy Fund; Direct For Biological Sciences; Div Of Biological Infrastructure(National Science Foundation (NSF)NSF - Directorate for Biological Sciences (BIO))</t>
  </si>
  <si>
    <t>We thank P. Houghtaling, R. King, and K. Briner for help in the field, A. Nisi for data management assistances, and multiple undergraduate volunteers for help scoring camera trap images. We are grateful to the many Santa Cruz Mountains property owners who provided access to their land. Funding was provided by the Gordon and Betty Moore Foundation, National Science Foundation (grants 1255913 and 0963022 to CCW), the Blue Foundation, Peninsula Open Space Trust and Resources Legacy Fund.</t>
  </si>
  <si>
    <t>10.1016/j.biocon.2019.108383</t>
  </si>
  <si>
    <t>KT0IV</t>
  </si>
  <si>
    <t>WOS:000518695100021</t>
  </si>
  <si>
    <t>Syphard, AD; Radeloff, VC; Keeley, JE; Hawbaker, TJ; Clayton, MK; Stewart, SI; Hammer, RB</t>
  </si>
  <si>
    <t>Syphard, Alexandra D.; Radeloff, Volker C.; Keeley, Jon E.; Hawbaker, Todd J.; Clayton, Murray K.; Stewart, Susan I.; Hammer, Roger B.</t>
  </si>
  <si>
    <t>California; USA; fire; fire history; housing density; nonlinear effects; regression; wildland-urban interface</t>
  </si>
  <si>
    <t>WILDLAND-URBAN INTERFACE; NORTHERN WISCONSIN; CLIMATE-CHANGE; FORESTS; RISK; STRATEGIES; MANAGEMENT; WILDFIRES; PATTERN; EVENTS</t>
  </si>
  <si>
    <t>Periodic wildfire maintains the integrity and species composition of many ecosystems, including the mediterranean-climate shrublands of California. However, human activities alter natural fire regimes, which can lead to cascading ecological effects. Increased human ignitions at the wildland-urban interface (WUI) have recently gained attention, but fire activity and risk are typically estimated using only biophysical variables. Our goal was to determine how humans influence fire in California and to examine whether this influence was linear, by relating contemporary (2000) and historic (1960-2000) fire data to both human and biophysical variables. Data for the human variables included fine-resolution maps of the WUI produced using housing density and land cover data. Interface WUI, where development abuts wildland vegetation, was differentiated from intermix WUI, where development intermingles with wildland vegetation. Additional explanatory variables included distance to WUI, population density, road density, vegetation type, and ecoregion. All data were summarized at the county level and analyzed using bivariate and multiple regression methods. We found highly significant relationships between humans and fire on the contemporary landscape, and our models explained fire frequency (R-2 = 0.72) better than area burned (R-2 = 0.50). Population density, intermix WUI, and distance to WUI explained the most variability in fire frequency, suggesting that the spatial pattern of development may be an important variable to consider when estimating fire risk. We found nonlinear effects such that fire frequency and area burned were highest at intermediate levels of human activity, but declined beyond certain thresholds. Human activities also explained change in fire frequency and area burned (1960 2000), but our models had greater explanatory power during the years 1960-980, when there was more dramatic change in fire frequency. Understanding wildfire as a function of the spatial arrangement of ignitions and fuels on the landscape, in addition to nonlinear relationships, will be important to fire managers and conservation planners because fire risk may be related to specific levels of housing density that can be accounted for in land use planning. With more fires occurring in close proximity to human infrastructure, there may also be devastating ecological impacts if development continues to grow farther into wildland vegetation.</t>
  </si>
  <si>
    <t>Univ Wisconsin, Dept Forest Ecol &amp; Management, Madison, WI 53706 USA; US Geol Survey, Western Ecol Res Ctr, Sequoia Field Stn, Three Rivers, CA 93271 USA; Univ Wisconsin, Dept Plant Pathol &amp; Stat, Madison, WI 53706 USA; USDA, Forest Serv, No Res Stn, Evanston, IL 60201 USA; Oregon State Univ, Dept Sociol, Corvallis, OR 97331 USA</t>
  </si>
  <si>
    <t>University of Wisconsin System; University of Wisconsin Madison; United States Department of the Interior; United States Geological Survey; University of Wisconsin System; University of Wisconsin Madison; United States Department of Agriculture (USDA); United States Forest Service; Oregon State University</t>
  </si>
  <si>
    <t>Syphard, AD (corresponding author), Univ Wisconsin, Dept Forest Ecol &amp; Management, Madison, WI 53706 USA.</t>
  </si>
  <si>
    <t>asyphard@yahoo.com</t>
  </si>
  <si>
    <t>Radeloff, Volker/B-6124-2016; Hawbaker, Todd/ISS-4733-2023</t>
  </si>
  <si>
    <t>Radeloff, Volker/0000-0001-9004-221X; Syphard, Alexana/0000-0003-3070-0596; Hawbaker, Todd/0000-0003-0930-9154</t>
  </si>
  <si>
    <t>10.1890/06-1128.1</t>
  </si>
  <si>
    <t>193HS</t>
  </si>
  <si>
    <t>WOS:000248265700011</t>
  </si>
  <si>
    <t>Munguía, M; Trejo, I; González-Salazar, C; Pérez-Maqueo, O</t>
  </si>
  <si>
    <t>Munguia, Mariana; Trejo, I.; Gonzalez-Salazar, C.; Perez-Maqueo, O.</t>
  </si>
  <si>
    <t>Land-use change; Traits; Conservation biogeography; Habitat loss; Degradation</t>
  </si>
  <si>
    <t>CO-INERTIA ANALYSIS; FUNCTIONAL RICHNESS; SPECIES TRAITS; BODY-SIZE; ECOSYSTEM; EXTINCTION; URBANIZATION; CONSEQUENCES; DIVERSITY; HOMOGENIZATION</t>
  </si>
  <si>
    <t>Drastic changes have been caused by human influence in natural landscapes, which may exert an intensive effect on species loss. However, species loss from human pressure is not random but depends on a series of environmentally associated factors. Linking species traits to environmental attributes may allow us to detect the ecological impacts of habitat so that meaningful habitat degradation gradients can be identified. The relationships between environmental factors and species traits provide the basis for identifying those biological traits that make species more sensitive to disturbance. These relationships are also helpful to detect the geographic distribution of latent risk to reveal areas where biodiversity is threatened. Here, we identify a Human Impact Gradient for Biodiversity (HIGB)'' based on a three-table ordination method (RLQ analysis) and fourth-corner analysis to identify key species traits that are associated with environmental gradient. Species distribution and environmental geographic data were gathered nationwide to analyze 68 localities, which represent 27% of Mexico's surface, including 211 species of mammals. Nine environmental variables (including biophysical, geophysical and landuse impacts) were analyzed by using the Geographic Information System. Three types of species' traits were evaluated: locomotion, trophic habit and body size. We identified a human impact gradient, which was mainly determined by the percentage of the area that was covered by seedlings, the plant richness, the understory coverage percentage and the human settlement index. The most important species traits that are associated with non-human-impacted sites were carnivores, frugivores-herbivores and a body size that was greater than 17.8 kg; 25 species were selected by the decision criteria framework for species that were sensitive to degradation based on ecological function information. Conversely, granivores, fossorial and semifossorial traits were associated with highly impacted sites. The environmental attributes were mapped to highlight the spatial patterns of human risk for species. Finally, we highlighted the need to apply science-based monitoring to future research based on the decision criteria framework for selecting species that are sensitive to degradation. (C) 2016 Comision Nacional para el Conocimiento y Uso de la Biodiversidad. Published by Elsevier B. V.</t>
  </si>
  <si>
    <t>[Munguia, Mariana; Trejo, I.; Gonzalez-Salazar, C.] Comis Nacl El Conocimiento Uso Biodiversidad, Liga Perifer Insurgentes 4903, Mexico City, DF, Mexico; [Gonzalez-Salazar, C.] Univ Nacl Autonoma Mexico, Ctr Ciencias Complejidad C3, Mexico City 04510, DF, Mexico; [Perez-Maqueo, O.] Inst Ecol AC, Xalapa, Ver, Mexico</t>
  </si>
  <si>
    <t>Universidad Nacional Autonoma de Mexico; Instituto de Ecologia - Mexico</t>
  </si>
  <si>
    <t>Munguía, M (corresponding author), Comis Nacl El Conocimiento Uso Biodiversidad, Liga Perifer Insurgentes 4903, Mexico City, DF, Mexico.</t>
  </si>
  <si>
    <t>mmunguia@conabio.gob.mx</t>
  </si>
  <si>
    <t>Pérez-Maqueo, Octavio/Q-8107-2018; González-Salazar, Constantino/M-3913-2015</t>
  </si>
  <si>
    <t>Pérez-Maqueo, Octavio/0000-0002-4528-3548; Munguía-Carrara, Mariana/0000-0003-3514-3397; González-Salazar, Constantino/0000-0001-7347-714X</t>
  </si>
  <si>
    <t>National Commission for Knowledge and Use of Biodiversity (CONABIO); Instituto Nacional de Ecologa A. C.</t>
  </si>
  <si>
    <t>We thank the National Commission for Knowledge and Use of Biodiversity (CONABIO) and Instituto Nacional de Ecologa A. C. for data and funding. We also thank F. Mora for his participation and comments on early version of the manuscript; V. Rodriguez, Y. Zepeda, J. Equihua, A. Molina, P. Rodriguez and A. M. Dominguez for their help during final edition. Finally we thank the anonymous reviewers for their constructive comments.</t>
  </si>
  <si>
    <t>10.1016/j.gecco.2016.01.004</t>
  </si>
  <si>
    <t>FK1XI</t>
  </si>
  <si>
    <t>WOS:000413276500008</t>
  </si>
  <si>
    <t>Li, SC; Wu, JS; Gong, J; Li, SW</t>
  </si>
  <si>
    <t>Li, Shicheng; Wu, Jianshuang; Gong, Jian; Li, Shaowei</t>
  </si>
  <si>
    <t>Human impact; Spatial layout; Management effectiveness; Nature reserves; Conservation planning; Yarlung Zangbo Grand Canyon</t>
  </si>
  <si>
    <t>ECOSYSTEM SERVICES; PROTECTED AREAS; LAND-USE; HUMAN PRESSURE; GREEN RAILWAY; CONSERVATION; PLATEAU; CHINA; BIODIVERSITY; DISTURBANCE</t>
  </si>
  <si>
    <t>Humanity is causing dramatic changes to the Earth, and we may be entering a human-dominated era referred to as the Anthropocene. Mapping the human footprint and assessing the spatial layout and effectiveness of protected areas facilitate sustainable development. As the core region of the third pole, Tibet is an important area for biodiversity and the provision of ecosystem services. In this study, five categories of human pressure were summed cumulatively to map the human footprint in Tibet for 1990 and 2010, and the spatial relationship between the human footprint and national and provincial nature reserves (NRs) in Tibet was analyzed. In addition, the human footprint map was also used to evaluate the effectiveness of national and provincial NRs for reducing the impact of human activities. A comprehensive assessment was undertaken for the Yarlung Zangbo Grand Canyon (YZGC) NR. There were several key findings from this study. First, the human footprint scores (HFS) in Tibet for 1990 and 2010 were low, and increased by 32.35% during 1990-2010, which was greater than the global value of 9% for 1993-2009, indicating that Tibet is seriously threatened by human pressure. Grazing intensity and road disturbance intensity contributed significantly to the increase in the HFS. Second, the average HFS for 1990 in NRs was lower than that for the entire Tibet, but the spatial layout and extent of some reserves (e.g., the Qomolangma NR) needs to be optimized further. Third, the establishment of NRs in Tibet was effective in reducing human activities. No leakage phenomena were identified in the regions surrounding the YZGC reserve. However, the management of NRs in Tibet is still challenging in terms of reducing human activities. (C) 2017 Elsevier B.V. All rights reserved.</t>
  </si>
  <si>
    <t>[Li, Shicheng; Gong, Jian] China Univ Geosci, Sch Publ Adm, Dept Land Resource Management, Wuhan 430074, Hubei, Peoples R China; [Li, Shicheng; Li, Shaowei] Chinese Acad Sci, Inst Geog Sci &amp; Nat Resources Res, Beijing 100101, Peoples R China; [Wu, Jianshuang] Free Univ Berlin, Inst Biol, Biodivers Theoret Ecol, Altensteinstr 34, D-14195 Berlin, Germany; [Gong, Jian] Minist Land &amp; Resources, Key Labs Law Evaluat, Wuhan 430074, Hubei, Peoples R China</t>
  </si>
  <si>
    <t>China University of Geosciences; Chinese Academy of Sciences; Institute of Geographic Sciences &amp; Natural Resources Research, CAS; Free University of Berlin; Ministry of Natural Resources of the People's Republic of China</t>
  </si>
  <si>
    <t>Li, SC (corresponding author), 388 Lumo Rd, Wuhan 430074, Hubei, Peoples R China.</t>
  </si>
  <si>
    <t>lisc@cug.edu.cn; wujs07s@zedat.fu-berlin.de; gongjian@cug.edu.cn; leesw@igsnrr.ac.cn</t>
  </si>
  <si>
    <t>Wu, Jianshuang/N-4694-2015; Li, Shicheng/N-6789-2014</t>
  </si>
  <si>
    <t>Wu, Jianshuang/0000-0002-6768-8255; Li, Shicheng/0000-0001-6296-636X</t>
  </si>
  <si>
    <t>National Natural Science Foundation of China [41701228]; National Social Science Fund [14BJY057]; Fundamental Research Funds for the Central Universities, China University of Geosciences (Wuhan) [G1323531777, G1323531735]</t>
  </si>
  <si>
    <t>National Natural Science Foundation of China(National Natural Science Foundation of China (NSFC)); National Social Science Fund; Fundamental Research Funds for the Central Universities, China University of Geosciences (Wuhan)(Fundamental Research Funds for the Central Universities)</t>
  </si>
  <si>
    <t>We are grateful to three anonymous reviewers for their valuable comments and suggestions to improve this study and Prof. Wenwu Tang from the University of North Carolina at Charlotte and Dr. Cheng Liu from China University of Geosciences for polishing the language. This research is supported by the National Natural Science Foundation of China (Grant No. 41701228), National Social Science Fund (14BJY057), and the Fundamental Research Funds for the Central Universities, China University of Geosciences (Wuhan) (G1323531777 and G1323531735).</t>
  </si>
  <si>
    <t>10.1016/j.scitotenv.2017.11.216</t>
  </si>
  <si>
    <t>FU9SJ</t>
  </si>
  <si>
    <t>WOS:000424196800003</t>
  </si>
  <si>
    <t>Weinzettel, J; Vackár, D; Medková, H</t>
  </si>
  <si>
    <t>Weinzettel, Jan; Vackar, David; Medkova, Helena</t>
  </si>
  <si>
    <t>NET PRIMARY PRODUCTION; LAND-USE CHANGE; HUMAN APPROPRIATION; HUMAN CONSUMPTION; GLOBALIZATION; DISPLACEMENT; DRIVES</t>
  </si>
  <si>
    <t>Natural ecosystems are disappearing at an increasing rate, and disappearing along with them is the immense biodiversity they contain. In addition to direct factors influencing the conversion of natural ecosystems to agriculture, international trade and consumption of products in wealthy countries have also been implicated as drivers of ecosystem change. We used quantitatively advanced methods to connect loss of potential net primary production (NPP) in global biodiversity hotspots to its ultimate driver - final consumption (eg consumption by households and government) - and identified the origins of agricultural products through global supply chains to quantify spatial impacts on the potential photosynthetic production of natural ecosystems. Using embodied potential NPP equivalents, we estimated the footprint of final consumption on ecosystems in the most threatened biodiversity hotspots. Our results contribute to the identification of conservation priorities from the perspective of consumer responsibility.</t>
  </si>
  <si>
    <t>[Weinzettel, Jan; Vackar, David; Medkova, Helena] Charles Univ Prague, Ctr Environm, Prague, Czech Republic</t>
  </si>
  <si>
    <t>Charles University Prague</t>
  </si>
  <si>
    <t>Weinzettel, J (corresponding author), Charles Univ Prague, Ctr Environm, Prague, Czech Republic.</t>
  </si>
  <si>
    <t>weinzettel@seznam.cz</t>
  </si>
  <si>
    <t>Medková, Helena/AAM-1088-2020; Weinzettel, Jan/A-3422-2010; Vačkářová, Davina/G-2128-2014</t>
  </si>
  <si>
    <t>Weinzettel, Jan/0000-0001-8977-8385; Vačkářová, Davina/0000-0002-6185-200X</t>
  </si>
  <si>
    <t>Czech Science Foundation [14-05292S]</t>
  </si>
  <si>
    <t>Czech Science Foundation(Grant Agency of the Czech Republic)</t>
  </si>
  <si>
    <t>This work was supported by the Czech Science Foundation under grant number 14-05292S.</t>
  </si>
  <si>
    <t>10.1002/fee.1825</t>
  </si>
  <si>
    <t>GV3QS</t>
  </si>
  <si>
    <t>WOS:000446011400006</t>
  </si>
  <si>
    <t>Watson, FGR; Becker, MS; Milanzi, J; Nyirenda, M</t>
  </si>
  <si>
    <t>Watson, Fred G. R.; Becker, Matthew S.; Milanzi, James; Nyirenda, Moses</t>
  </si>
  <si>
    <t>Remote sensing; Encroachment; Zambia; Transfrontier; Community conservation; Luangwa; Kafue; KAZA; Wildlife</t>
  </si>
  <si>
    <t>LAND-COVER CHANGES; SAVANNA ECOSYSTEMS; AFRICAN ELEPHANTS; POPULATION-GROWTH; SOUTHERN AFRICA; MARA ECOSYSTEM; EASTERN ZAMBIA; SERENGETI; CONNECTIVITY; CORRIDORS</t>
  </si>
  <si>
    <t>Large carnivores are declining globally, with strong direct and indirect ecological impacts on protected area networks (PANs). Human encroachment on ecosystems is a global threat for large carnivores, particularly in savanna Africa, where increasing human resource demands continue to degrade the connectivity and viability PANs. Zambia has a regionally significant role in large carnivore conservation, given that it borders eight countries, includes three transfrontier conservation areas (TFCAs), and manages nearly 40 % of its land for wildlife. Deforestation in general and encroachment in particular are recognized problems in Zambian natural resource management. However, specific impacts on PANs are poorly understood owing to a lack of adequate mapping of encroachment, deriving from widespread difficulty in mapping cultivation and clearing in fire-prone savannas, and severe inaccuracy in several previous land cover data sets. Using simple manual interpretation of diverse and carefully chosen remote sensing imagery, we evaluated land use change from 1965 to 2011 in Zambia, primarily in the Luangwa Valley. We found widespread encroachment extending toward national parks from major roads as fast as 2 km/year and averaging 18 hectares per hour of daylight throughout a 159,805 km(2) study area, eliminating designated buffer zones in some areas, decreasing connectivity, and potentially eliminating viable TFCAs. At current rates, Zambia's PANs would be expected to be reduced into small isolated pockets primarily centered on national parks, with substantial human edge effects threatening the viability of wildlife populations in the region, particularly wide-ranging, low density, and threatened large carnivores such as African wild dogs, cheetah, and lion. It is thus critical that encroachment is accurately mapped across the entire region and that land use plans are developed, implemented, revised where necessary, and enforced with strong governmental support, enabling protection of these areas and the communities that depend upon them.</t>
  </si>
  <si>
    <t>[Watson, Fred G. R.] Calif State Univ Monterey Bay, Div Sci &amp; Environm Policy, Seaside, CA 93955 USA; [Watson, Fred G. R.; Becker, Matthew S.] Zambian Carnivore Programme, Mfuwe, Zambia; [Becker, Matthew S.] Montana State Univ, Dept Ecol, Bozeman, MT 59717 USA; [Milanzi, James] Zambia Wildlife Author, Chilanga, Zambia; [Nyirenda, Moses] Worldwide Fund Nat, Zambia Country Off, Lusaka, Zambia</t>
  </si>
  <si>
    <t>California State University System; California State University Monterey Bay; Montana State University System; Montana State University Bozeman</t>
  </si>
  <si>
    <t>Watson, FGR (corresponding author), Calif State Univ Monterey Bay, Div Sci &amp; Environm Policy, 100 Campus Ctr, Seaside, CA 93955 USA.</t>
  </si>
  <si>
    <t>fwatson@csumb.edu</t>
  </si>
  <si>
    <t>Worldwide Fund for Nature, The Netherlands; Painted Dog Conservation Inc.; National Geographic's Big Cats Initiative; National Science Foundation Animal Behavior Program [IOS-1145749]</t>
  </si>
  <si>
    <t>Worldwide Fund for Nature, The Netherlands; Painted Dog Conservation Inc.; National Geographic's Big Cats Initiative(National Geographic Society); National Science Foundation Animal Behavior Program</t>
  </si>
  <si>
    <t>We thank the Zambia Wildlife Authority for permission and collaboration with this research. This work was funded through grants by Worldwide Fund for Nature, The Netherlands, Painted Dog Conservation Inc., National Geographic's Big Cats Initiative, and National Science Foundation Animal Behavior Program under IOS-1145749. Fieldwork was supported by R. McRobb, B. Kanyembo, B. Banda, K. Chulu, and M. Phiri.</t>
  </si>
  <si>
    <t>10.1007/s10113-014-0629-5</t>
  </si>
  <si>
    <t>AY6XE</t>
  </si>
  <si>
    <t>WOS:000347705300017</t>
  </si>
  <si>
    <t>Patino, JE; Estupinan-Suarez, LM</t>
  </si>
  <si>
    <t>Patino, Jorge E.; Estupinan-Suarez, Lina M.</t>
  </si>
  <si>
    <t>Wetland loss; Hotspot; Wetland change; Change drivers; Colombia</t>
  </si>
  <si>
    <t>ECOSYSTEM SERVICE; MANAGEMENT; PATTERNS</t>
  </si>
  <si>
    <t>Wetlands are among the most productive ecosystems on the planet and they are being subjected to heavy pressure by human activities. Changes in wetlands due to human impacts have increased, and it is estimated that half of the global wetland area has been lost during the last century. Documented cases of wetland transformation confirm the trend in Colombia. We used official nationwide wetland maps and land cover maps to quantify the areas within wetlands with non-natural land cover, such as pasture or cropland; and we used spatial analysis tools to identify the regions of the country where greater wetland transformations have occurred. Approximately 24 % of the area of mapped wetlands has land cover types related to intensive rural land use. Pastures and other types of land cover related to raising cattle account for 4 million ha and cover 50 % of the transformed wetland areas. There are 14 different regions where wetland loss is the most critical in Colombia. We analyzed the wetland areas related to raising cattle, agriculture, deforestation, and mining separately and found different spatial patterns for each activity. Hence, different conservation policies should be implemented across the country to account for spatial differences in the drivers of change.</t>
  </si>
  <si>
    <t>[Patino, Jorge E.; Estupinan-Suarez, Lina M.] Alexander von Humboldt Inst Res Biol Resources, Bogota, Bogota DC, Colombia</t>
  </si>
  <si>
    <t>Patino, JE (corresponding author), Alexander von Humboldt Inst Res Biol Resources, Bogota, Bogota DC, Colombia.</t>
  </si>
  <si>
    <t>jpatinoq@eafit.edu.co; lestupinan@humboldt.org.co</t>
  </si>
  <si>
    <t>; Patino, Jorge E/AAB-6129-2020</t>
  </si>
  <si>
    <t>Estupinan-Suarez, Lina M/0000-0002-2359-9496; Patino, Jorge E/0000-0002-1591-9138</t>
  </si>
  <si>
    <t>Fondo Adaptacion del Ministerio de Hacienda</t>
  </si>
  <si>
    <t>This research was undertaken as part of the project Ecosistemas Estrategicos Paramos y Humedales funded by Fondo Adaptacion del Ministerio de Hacienda, and conducted by Alexander von Humboldt Institute for Research on Biological Resources (Convention no 008 of 2013). We are grateful to the Paramos y Humedales coordinators, team, and the director at Humboldt Institute. Our acknowledge to Ministry of Environment and Sustainable Development of Colombia MADS, IDEAM, JAXA, K&amp;C, Wageningen University and SarVision that collaborated generating inputs used on this study.</t>
  </si>
  <si>
    <t>10.1007/s13157-016-0806-z</t>
  </si>
  <si>
    <t>DY5SF</t>
  </si>
  <si>
    <t>WOS:000385162100014</t>
  </si>
  <si>
    <t>Allan, JR; Watson, JEM; Di Marco, M; O'Bryan, CJ; Possingham, HP; Atkinson, SC; Venter, O</t>
  </si>
  <si>
    <t>Allan, James R.; Watson, James E. M.; Di Marco, Moreno; O'Bryan, Christopher J.; Possingham, Hugh P.; Atkinson, Scott C.; Venter, Oscar</t>
  </si>
  <si>
    <t>PLOS BIOLOGY</t>
  </si>
  <si>
    <t>Di Marco, Moreno/J-4285-2012; Watson, James/D-8779-2013; O'Bryan, Christopher/AAW-8056-2021; Venter, Oscar/ABE-1477-2021; Allan, James/C-6680-2017; Atkinson, Scott/F-8406-2016; Possingham, Hugh/B-1337-2008</t>
  </si>
  <si>
    <t>Di Marco, Moreno/0000-0002-8902-4193; Watson, James/0000-0003-4942-1984; O'Bryan, Christopher/0000-0002-6472-6957; Venter, Oscar/0000-0003-1719-8474;</t>
  </si>
  <si>
    <t>1544-9173</t>
  </si>
  <si>
    <t>1545-7885</t>
  </si>
  <si>
    <t>PLOS BIOL</t>
  </si>
  <si>
    <t>PLoS. Biol.</t>
  </si>
  <si>
    <t>e3000598</t>
  </si>
  <si>
    <t>10.1371/journal.pbio.3000598</t>
  </si>
  <si>
    <t>Biochemistry &amp; Molecular Biology; Biology</t>
  </si>
  <si>
    <t>Biochemistry &amp; Molecular Biology; Life Sciences &amp; Biomedicine - Other Topics</t>
  </si>
  <si>
    <t>NA2SO</t>
  </si>
  <si>
    <t>WOS:000559665300004</t>
  </si>
  <si>
    <t>GLOBAL BIODIVERSITY LOSS; HUMAN FOOTPRINT; CONSERVATION; LAND; MAP; WORLDS; RISK; REDUCTIONS; DIVERSITY; PRESSURE</t>
  </si>
  <si>
    <t>Conserving threatened species requires identifying where across their range they are being impacted by threats, yet this remains unresolved across most of Earth. Here, we present a global analysis of cumulative human impacts on threatened species by using a spatial framework that jointly considers the co-occurrence of eight threatening processes and the distribution of 5,457 terrestrial vertebrates. We show that impacts to species are widespread, occurring across 84% of Earth's surface, and identify hotspots of impacted species richness and coolspots of unimpacted species richness. Almost one-quarter of assessed species are impacted across &gt;90% of their distribution, and approximately 7% are impacted across their entire range. These results foreshadow localised extirpations and potential extinctions without conservation action. The spatial framework developed here offers a tool for defining strategies to directly mitigate the threats driving species' declines, providing essential information for future national and global conservation agendas. Author summary The biggest drivers of global biodiversity loss are hunting, harvesting, and the conversion of natural habitats for agriculture, urbanisation, and other industrial activity. However, our understanding of where these threats' actually impact sensitive species is extremely limited across Earth. Here, we map the distribution of threats within the known ranges of 5,457 terrestrial birds, mammals, and amphibians globally. We map only those threats within a species range that are known to specifically endanger that species. We show that threats are extensive across the majority of species' ranges, severely limiting the area within which species can survive. Concerningly, 1,237 species (almost one-quarter of those assessed) are impacted by threats across &gt;90% of their distribution, and 395 species are impacted by threats across their entire range. These species will almost certainly face extinction without conservation intervention to remove threats. We identify global hotspots of impacted species richness and also coolspots' that act as refuges from threats, providing essential information for conservation planning and action.</t>
  </si>
  <si>
    <t>[Allan, James R.; Watson, James E. M.; Di Marco, Moreno; O'Bryan, Christopher J.] Univ Queensland, Sch Earth &amp; Environm Sci, Brisbane, Qld, Australia; [Allan, James R.; Watson, James E. M.; O'Bryan, Christopher J.; Possingham, Hugh P.; Atkinson, Scott C.] Univ Queensland, Ctr Biodivers &amp; Conservat Sci, Brisbane, Qld, Australia; [Watson, James E. M.] Wildlife Conservat Soc, Global Conservat Program, New York, NY USA; [Di Marco, Moreno] CSIRO Land &amp; Water, EcoSci Precinct, Brisbane, Qld, Australia; [Possingham, Hugh P.] Nature Conservancy, 1815 N Lynn St, Arlington, VA USA; [Atkinson, Scott C.] UNDP, New York, NY USA; [Venter, Oscar] Univ British Columbia, Nat Resource &amp; Environm Studies Inst, Prince George, BC, Canada</t>
  </si>
  <si>
    <t>University of Queensland; University of Queensland; Wildlife Conservation Society; Commonwealth Scientific &amp; Industrial Research Organisation (CSIRO); CSIRO Land &amp; Water; Nature Conservancy; University of British Columbia</t>
  </si>
  <si>
    <t>Allan, JR (corresponding author), Univ Queensland, Sch Earth &amp; Environm Sci, Brisbane, Qld, Australia.;Allan, JR (corresponding author), Univ Queensland, Ctr Biodivers &amp; Conservat Sci, Brisbane, Qld, Australia.</t>
  </si>
  <si>
    <t>j.allan2@uq.edu.au</t>
  </si>
  <si>
    <t>Atkinson, Scott Consaul/F-8406-2016; Di Marco, Moreno/J-4285-2012; O'Bryan, Christopher/AAW-8056-2021; Watson, James/D-8779-2013; Venter, Oscar/ABE-1477-2021; Possingham, Hugh/B-1337-2008; Allan, James/C-6680-2017</t>
  </si>
  <si>
    <t>Atkinson, Scott Consaul/0000-0001-5995-0199; Di Marco, Moreno/0000-0002-8902-4193; O'Bryan, Christopher/0000-0002-6472-6957; Watson, James/0000-0003-4942-1984; Venter, Oscar/0000-0003-1719-8474;</t>
  </si>
  <si>
    <t>e3000158</t>
  </si>
  <si>
    <t>10.1371/journal.pbio.3000158</t>
  </si>
  <si>
    <t>HR2UU</t>
  </si>
  <si>
    <t>WOS:000462993700019</t>
  </si>
  <si>
    <t>Böhm, M; Cook, D; Ma, H; Davidson, AD; García, A; Tapley, B; Pearce-Kelly, P; Carr, J</t>
  </si>
  <si>
    <t>Bohm, Monika; Cook, Daniel; Ma, Heidi; Davidson, Ana D.; Garcia, Andres; Tapley, Benjamin; Pearce-Kelly, Paul; Carr, Jamie</t>
  </si>
  <si>
    <t>Climate change; Exposure; Sensitivity; Adaptability; IUCN Red List; Herpetology</t>
  </si>
  <si>
    <t>EXTINCTION RISK; SPECIES EXTINCTIONS; LIFE-HISTORY; DUNG BEETLES; CONSERVATION; RESPONSES; IMPACTS; THREATS; SHIFTS</t>
  </si>
  <si>
    <t>One-fifth of the world's reptiles are currently estimated as threatened with extinction, primarily due to the immediate threats of habitat loss and overexploitation. Climate change presents an emerging slow-acting threat. However, few IUCN Red List assessments for reptiles explicitly consider the potential role of climate change as a threat. Thus, climate change vulnerability assessments can complement existing Red List assessments and highlight further, emerging priorities for conservation action. Here we present the first trait-based global climate change vulnerability assessment for reptiles to estimate the climate change vulnerability of a random representative sample of 1498 species of reptiles. We collected species specific traits relating to three dimensions of climate change, sensitivity, low adaptability, and exposure, which we combined to assess overall vulnerability. We found 80.5% of species highly sensitive to climate change, primarily due to habitat specialisation, while 48% had low adaptability and' 58% had high exposure. Overall, 22% of species assessed were highly vulnerable to climate change. Hotspots of climate change vulnerability did not always overlap with hotspots of threatened species richness, with most of the vulnerable species found in northwestern South America, southwestern USA, Sri Lanka, the Himalayan Arc, Central Asia and southern India. Most families were found to be significantly more vulnerable to climate change than expected by chance. Our findings build on previous work on reptile extinction risk to provide an overview of the risk posed to reptiles by climate change. Despite significant data gaps for a number of traits, we recommend that these findings are integrated into reassessments of species' extinction risk, to monitor both immediate and slow-acting threats to reptiles. (C) 2016 Elsevier Ltd. All rights reserved.</t>
  </si>
  <si>
    <t>[Bohm, Monika; Cook, Daniel; Ma, Heidi] Zool Soc London, Inst Zool, Regents Pk, London NW1 4RY, England; [Davidson, Ana D.] SUNY Stony Brook, Dept Ecol &amp; Evolut, Stony Brook, NY 11794 USA; [Garcia, Andres] Univ Nacl Autonoma Mexico, Inst Biol, Estn Biol Chamela, Mexico City, DF, Mexico; [Tapley, Benjamin; Pearce-Kelly, Paul] Zool Soc London, Regents Pk, London NW1 4RY, England; [Carr, Jamie] Int Union Conservat Nat, Global Species Programme, Cambridge, England</t>
  </si>
  <si>
    <t>Zoological Society of London; State University of New York (SUNY) System; Stony Brook University; Universidad Nacional Autonoma de Mexico; Zoological Society of London</t>
  </si>
  <si>
    <t>monika.bohm@ioz.ac.uk; daniel.cook@ioz.ac.uk; davidson610@gmail.com; ben.tapley@zsl.org; paul.pearce-kelly@zsl.org; Jamie.Carr@iucn.org</t>
  </si>
  <si>
    <t>García, Andrés/KCY-7203-2024; Böhm, Monika/E-1153-2018</t>
  </si>
  <si>
    <t>Tapley, Benjamin/0000-0002-9787-3793; Ma, Heidi/0000-0001-9883-4377; Pearce-Kelly, Paul/0000-0003-2356-7061</t>
  </si>
  <si>
    <t>Zoological Society of London's Mission Opportunities Fund; Rufford Foundation; NSF [DEB-1136586]</t>
  </si>
  <si>
    <t>Zoological Society of London's Mission Opportunities Fund; Rufford Foundation; NSF(National Science Foundation (NSF))</t>
  </si>
  <si>
    <t>This project is funded by the Zoological Society of London's Mission Opportunities Fund. MB is supported by a generous grant from the Rufford Foundation. ADD was supported by NSF grant DEB-1136586.</t>
  </si>
  <si>
    <t>10.1016/j.biocon.2016.06.002</t>
  </si>
  <si>
    <t>EF9CZ</t>
  </si>
  <si>
    <t>WOS:000390629600005</t>
  </si>
  <si>
    <t>Clavero, M; Garcia-Berthou, E</t>
  </si>
  <si>
    <t>Clavero, Miguel; Garcia-Berthou, Emili</t>
  </si>
  <si>
    <t>biological invasions; biotic homogenization; introduced fish; invasive species</t>
  </si>
  <si>
    <t>BIOTIC HOMOGENIZATION; DIFFERENTIATION; ECOLOGY; FAUNAS; LAKE</t>
  </si>
  <si>
    <t>Normative invasive species are one of the main global threats to biodiversity. The understanding of the traits characterizing successful invaders and invasion-prone ecosystems is increasing, but our predictive ability is still limited. Quantitative information on biotic homogenization and particularly its temporal dynamics is even scarcer. We used freshwater fish distribution data in the Iberian Peninsula in four periods (before human intervention, 1991, 1995, and 2001) to assess the temporal dynamics of biotic homogenization among river basins. The percentage of introduced species among fish faunas has increased in recent times (from 41.8% in 1991 to 52.5% in 2001), leading to a clear increase in the similarity of community composition among basins. The mean Jaccard's index increase (a measure of biotic homogenization) from the pristine situation to the present (17.1%) was similar to that for Californian fish but higher than for other studies. However, biotic homogenization was found to be a temporally dynamic process, with finer temporal grain analyses detecting transient stages of biotic differentiation. Introduced species assemblages were spatially structured along a latitudinal gradient in the Iberian Peninsula, with species related to sport fishing being characteristic of northern basins. Although the comparison of fish distributions in the Iberian Peninsula and France showed significant and generalized biotic homogenization, normative assemblages of northeastern Iberian basins were more similar to those of France than to those of the rest of the Iberian Peninsula, indicating a main introduction route. Species introduced to the Iberian Peninsula tended to be mainly piscivores or widely introduced species that previously had been introduced to France., Our results indicate that the simultaneous analysis of the spatial distribution of introduced assemblages (excluding native species that reflect other biogeographical patterns) and their specific traits can be an effective tool to detect introduction and invasion routes and to predict future invaders from donor regions.</t>
  </si>
  <si>
    <t>Univ Girona, Inst Aquat Ecol, E-17071 Girona, Spain</t>
  </si>
  <si>
    <t>Universitat de Girona</t>
  </si>
  <si>
    <t>Clavero, M (corresponding author), Univ Girona, Inst Aquat Ecol, E-17071 Girona, Spain.</t>
  </si>
  <si>
    <t>miguel.clavero@udg.es</t>
  </si>
  <si>
    <t>García-Berthou, Emili/A-5392-2008; Clavero, Miguel/A-9040-2015</t>
  </si>
  <si>
    <t>García-Berthou, Emili/0000-0001-8412-741X; Clavero, Miguel/0000-0002-5186-0153</t>
  </si>
  <si>
    <t>10.1890/1051-0761(2006)016[2313:HDAIRO]2.0.CO;2</t>
  </si>
  <si>
    <t>117CC</t>
  </si>
  <si>
    <t>WOS:000242849300020</t>
  </si>
  <si>
    <t>Kumagai, NH; Yamano, H</t>
  </si>
  <si>
    <t>Kumagai, Naoki H.; Yamano, Hiroya</t>
  </si>
  <si>
    <t>Comm Sango-Map-Project</t>
  </si>
  <si>
    <t>Degree heating weeks; Global warming; Coral reefs; Conservation biology; Citizen science; UV radiation; Adaptive measures; Terrestrial runoff</t>
  </si>
  <si>
    <t>CLIMATE-CHANGE; RYUKYU ISLANDS; IMPACTS; FUTURE; DISTURBANCES; CONSERVATION; PREDICTION; RESISTANCE; RESPONSES; ECOLOGY</t>
  </si>
  <si>
    <t>Coral reefs are one of the world's most threatened ecosystems, with global and local stressors contributing to their decline. Excessive sea-surface temperatures (SSTs) can cause coral bleaching, resulting in coral death and decreases in coral cover. A SST threshold of 1 degrees C over the climatological maximum is widely used to predict coral bleaching. In this study, we refined thermal indices predicting coral bleaching at high-spatial resolution (1 km) by statistically optimizing thermal thresholds, as well as considering other environmental influences on bleaching such as ultraviolet (UV) radiation, water turbidity, and cooling effects. We used a coral bleaching dataset derived from the web-based monitoring system Sango Map Project, at scales appropriate for the local and regional conservation of Japanese coral reefs. We recorded coral bleaching events in the years 2004-2016 in Japan. We revealed the influence of multiple factors on the ability to predict coral bleaching, including selection of thermal indices, statistical optimization of thermal thresholds, quantification of multiple environmental influences, and use of multiple modeling methods (generalized linear models and random forests). After optimization, differences in predictive ability among thermal indices were negligible. Thermal index, UV radiation, water turbidity, and cooling effects were important predictors of the occurrence of coral bleaching. Predictions based on the best model revealed that coral reefs in Japan have experienced recent and widespread bleaching. A practical method to reduce bleaching frequency by screening UV radiation was also demonstrated in this paper.</t>
  </si>
  <si>
    <t>[Kumagai, Naoki H.; Yamano, Hiroya; Comm Sango-Map-Project] Natl Inst Environm Studies, Ctr Environm Biol &amp; Ecosyst Studies, Tsukuba, Ibaraki, Japan</t>
  </si>
  <si>
    <t>National Institute for Environmental Studies - Japan</t>
  </si>
  <si>
    <t>Kumagai, NH (corresponding author), Natl Inst Environm Studies, Ctr Environm Biol &amp; Ecosyst Studies, Tsukuba, Ibaraki, Japan.</t>
  </si>
  <si>
    <t>nh.kuma@gmail.com</t>
  </si>
  <si>
    <t>Yamano, Hiroya/0000-0002-1549-2429</t>
  </si>
  <si>
    <t>SOUSEI; TOUGOU Program of the Ministry of Education, Culture, Sports, Science, and Technology in Japan (MEXT); Ministry of the Environment, Japan</t>
  </si>
  <si>
    <t>SOUSEI; TOUGOU Program of the Ministry of Education, Culture, Sports, Science, and Technology in Japan (MEXT); Ministry of the Environment, Japan(Ministry of the Environment, Japan)</t>
  </si>
  <si>
    <t>This work was supported by the SOUSEI and TOUGOU Program of the Ministry of Education, Culture, Sports, Science, and Technology in Japan (MEXT) and by the Environment Research and Technology Development Fund (S15) of the Ministry of the Environment, Japan. The funders had no role in study design, data collection and analysis, decision to publish, or preparation of the manuscript.</t>
  </si>
  <si>
    <t>FEB 16</t>
  </si>
  <si>
    <t>e4382</t>
  </si>
  <si>
    <t>10.7717/peerj.4382</t>
  </si>
  <si>
    <t>FW5NA</t>
  </si>
  <si>
    <t>WOS:000425362900004</t>
  </si>
  <si>
    <t>Silva, I; Crane, M; Savini, T</t>
  </si>
  <si>
    <t>Silva, I; Crane, M.; Savini, T.</t>
  </si>
  <si>
    <t>road ecology; road mortality; roadkill; wildlife-vehicle collisions; Thailand</t>
  </si>
  <si>
    <t>NATIONAL-PARK; MORTALITY; ROADS; DIVERSITY; PATTERNS; MOVEMENT; IMPACTS; INFRASTRUCTURE; VULNERABILITY; BIODIVERSITY</t>
  </si>
  <si>
    <t>Road networks are increasing globally, and as such incur increased pressure on wildlife communities. Large-scale road expansion and infrastructure development occurring throughout Asia (i.e. Belt and Road Initiative) will affect hundreds of threatened species, leading to an increase in wildlife-vehicle collisions. However, only a limited number of studies have quantified road mortality within this threatened landscape. To rectify this, we monitored the spatial-temporal patterns of vertebrate roadkill in the Dong Phayayen-Khao Yai forest complex, an UNESCO World Heritage Site located in Thailand, considered a refuge for many globally threatened species. We ran 100 standardized road surveys between 2015 and 2017, on a 47.8-km highway transect currently being expanded, and recorded a total of 1395 casualties from 124 species. After correcting for removal time and detection probability, we estimated an average of 9688 vertebrate mortalities per year. We observed a mortality peak during the dry season for almost all taxonomic groups, due to a combination of high bird and bat mortality events. All taxa showed significant spatial clustering, highlighting high-risk road sections. We modelled the road and landscape features most likely to lead to higher mortality rates, disentangling small-scale (250-500 m from road) from large-scale effects (1000-2500 m). We recorded lower mortality rates and species diversity near forest sites in protected areas, representing either lower crossing events due to habitat quality or an already depleted environment. Spatial analyses provided information on hotspots and landscape factors, which can be used to inform future mitigations at multiple scales throughout the Southeast Asia region. Our study provides a baseline of the direct road impacts on vertebrate species in a tropical biodiversity hotspot, and we suggest that more studies be conducted to fully assess the direct road effects on the many threatened species in this landscape.</t>
  </si>
  <si>
    <t>[Silva, I; Crane, M.; Savini, T.] King Mongkuts Univ Technol Thonburi, Sch Bioresources &amp; Technol, Conservat Ecol Program, Bangkok 10150, Thailand</t>
  </si>
  <si>
    <t>King Mongkuts University of Technology Thonburi</t>
  </si>
  <si>
    <t>Silva, I (corresponding author), King Mongkuts Univ Technol Thonburi, Sch Bioresources &amp; Technol, Conservat Ecol Program, Bangkok 10150, Thailand.</t>
  </si>
  <si>
    <t>imss.silva@gmail.com</t>
  </si>
  <si>
    <t>Silva, Inês/AAG-2861-2020</t>
  </si>
  <si>
    <t>Silva, Inês/0000-0003-4850-6193; Crane, Matthew/0000-0001-9197-5484</t>
  </si>
  <si>
    <t>Thailand Institute of Scientific and Technological Research; Sakaerat Environmental Research Station; Petchra Pra Jom Klao Doctoral Scholarship from King Mongkut's University of Technology Thonburi (KMUTT); National Geographic's Young Explorer Grant [NG Asia 48-16]</t>
  </si>
  <si>
    <t>Thailand Institute of Scientific and Technological Research; Sakaerat Environmental Research Station; Petchra Pra Jom Klao Doctoral Scholarship from King Mongkut's University of Technology Thonburi (KMUTT); National Geographic's Young Explorer Grant</t>
  </si>
  <si>
    <t>We thank the National Research Council of Thailand, and the Department of National Parks, Wildlife and Plant Conservation, for providing the research permits necessary to conduct this work (NRCT 2017/032). We are grateful to the Thailand Institute of Scientific and Technological Research and Sakaerat Environmental Research Station for supporting our work. We thank fieldwork assistants Gabrielle Blanchette, Hannah Bottomley, and Samantha Klein. This work was supported by the Petchra Pra Jom Klao Doctoral Scholarship from King Mongkut's University of Technology Thonburi (KMUTT), and by the National Geographic's Young Explorer Grant (NG Asia 48-16).</t>
  </si>
  <si>
    <t>10.1111/acv.12560</t>
  </si>
  <si>
    <t>JAN 2020</t>
  </si>
  <si>
    <t>NF0MB</t>
  </si>
  <si>
    <t>WOS:000505964200001</t>
  </si>
  <si>
    <t>Pertierra, LR; Hughes, KA; Vega, GC; Olalla-Tárraga, MA</t>
  </si>
  <si>
    <t>Pertierra, Luis R.; Hughes, Kevin A.; Vega, Greta C.; Olalla-Tarraga, Miguel A.</t>
  </si>
  <si>
    <t>Hughes, Kevin/JVZ-0793-2024; Carrete Vega, Greta/E-8666-2016; R Pertierra, Luis/K-3727-2017; Olalla-Tárraga, Miguel Ángel/ABE-7880-2020</t>
  </si>
  <si>
    <t>, Greta/0000-0001-5115-0146; R Pertierra, Luis/0000-0002-2232-428X; Olalla-Tárraga, Miguel Ángel/0000-0001-5346-4528</t>
  </si>
  <si>
    <t>MAR 3</t>
  </si>
  <si>
    <t>e0173649</t>
  </si>
  <si>
    <t>10.1371/journal.pone.0173649</t>
  </si>
  <si>
    <t>EN5BR</t>
  </si>
  <si>
    <t>WOS:000396021100098</t>
  </si>
  <si>
    <t>High Resolution Spatial Mapping of Human Footprint across Antarctica and Its Implications for the Strategic Conservation of Avifauna</t>
  </si>
  <si>
    <t>INVASION; IMPACTS; GOALS</t>
  </si>
  <si>
    <t>Human footprint models allow visualization of human spatial pressure across the globe. Up until now, Antarctica has been omitted from global footprint models, due possibly to the lack of a permanent human population and poor accessibility to necessary datasets. Yet Antarctic ecosystems face increasing cumulative impacts from the expanding tourism industry and national Antarctic operator activities, the management of which could be improved with footprint assessment tools. Moreover, Antarctic ecosystem dynamics could be modelled to incorporate human drivers. Here we present the first model of estimated human footprint across predominantly ice-free areas of Antarctica. To facilitate integration into global models, the Antarctic model was created using methodologies applied elsewhere with land use, density and accessibility features incorporated. Results showed that human pressure is clustered predominantly in the Antarctic Peninsula, southern Victoria Land and several areas of East Antarctica. To demonstrate the practical application of the footprint model, it was used to investigate the potential threat to Antarctica's avifauna by local human activities. Relative footprint values were recorded for all 204 of Antarctica's Important Bird Areas (IBAs) identified by BirdLife International and the Scientific Committee on Antarctic Research (SCAR). Results indicated that formal protection of avifauna under the Antarctic Treaty System has been unsystematic and is lacking for penguin and flying bird species in some of the IBAs most vulnerable to human activity and impact. More generally, it is hoped that use of this human footprint model may help Antarctic Treaty Consultative Meeting policy makers in their decision making concerning avifauna protection and other issues including cumulative impacts, environmental monitoring, non-native species and terrestrial area protection.</t>
  </si>
  <si>
    <t>[Pertierra, Luis R.; Vega, Greta C.; Olalla-Tarraga, Miguel A.] Univ Rey Juan Carlos, Area Biodiversidad &amp; Conservac, Mostoles, Spain; [Hughes, Kevin A.] Natl Environm Res Council, British Antarctic Survey, Madingley Rd, Cambridge, England</t>
  </si>
  <si>
    <t>Universidad Rey Juan Carlos; UK Research &amp; Innovation (UKRI); Natural Environment Research Council (NERC); NERC British Antarctic Survey</t>
  </si>
  <si>
    <t>Pertierra, LR (corresponding author), Univ Rey Juan Carlos, Area Biodiversidad &amp; Conservac, Mostoles, Spain.</t>
  </si>
  <si>
    <t>luis.pertierra@gmail.com</t>
  </si>
  <si>
    <t>Olalla-Tárraga, Miguel Ángel/ABE-7880-2020; Hughes, Kevin/JVZ-0793-2024; Carrete Vega, Greta/E-8666-2016; R Pertierra, Luis/K-3727-2017</t>
  </si>
  <si>
    <t>Olalla-Tárraga, Miguel Ángel/0000-0001-5346-4528; , Greta/0000-0001-5115-0146; R Pertierra, Luis/0000-0002-2232-428X</t>
  </si>
  <si>
    <t>Ministerio de Economia y Competitividad (Spain) [CTM2013-47381-P]; National Environment Research Council (NERC) core funding; NERC [bas010011] Funding Source: UKRI; Natural Environment Research Council [bas010011] Funding Source: researchfish</t>
  </si>
  <si>
    <t>Ministerio de Economia y Competitividad (Spain); National Environment Research Council (NERC) core funding; NERC(UK Research &amp; Innovation (UKRI)Natural Environment Research Council (NERC)); Natural Environment Research Council(UK Research &amp; Innovation (UKRI)Natural Environment Research Council (NERC))</t>
  </si>
  <si>
    <t>This research was funded by Ministerio de Economia y Competitividad (Spain) under project CTM2013-47381-P. KH was supported by National Environment Research Council (NERC) core funding to the British Antarctic Survey's programme 'Environment Office - Long Term Monitoring and Survey' (EOLTMS).</t>
  </si>
  <si>
    <t>JAN 13</t>
  </si>
  <si>
    <t>e0168280</t>
  </si>
  <si>
    <t>10.1371/journal.pone.0168280</t>
  </si>
  <si>
    <t>EH7SJ</t>
  </si>
  <si>
    <t>WOS:000391972600005</t>
  </si>
  <si>
    <t>Malinowski, CR</t>
  </si>
  <si>
    <t>Malinowski, C. R.</t>
  </si>
  <si>
    <t>Florida; Atlantic; Gulf of Mexico; Bioaccumulation; Conservation; Toxicant</t>
  </si>
  <si>
    <t>FRESH-WATER FISH; INDIAN RIVER LAGOON; EPINEPHELUS-ITAJARA; AQUATIC ENVIRONMENT; TRACE-ELEMENTS; FLORIDA; METHYLMERCURY; SIZE; ACCUMULATION; PATTERNS</t>
  </si>
  <si>
    <t>The Atlantic Goliath Grouper Epinephelus itajara is currently a protected species in the southeastern United States waters of the Atlantic and the Gulf of Mexico and is considered vulnerable throughout its geographic range. In this study, I evaluated mercury concentrations in their tissues (muscle, liver), which revealed high concentrations (ug/g ww) of mercury (mean +/- SE) in liver (6.18 +/- 0.86) and muscle (1.12 +/- 0.06) tissue that increased with size and age. Mercury concentrations were highest in fish caught off Florida's Atlantic coast, but varied on a finer regional scale. Mercury concentrations in muscle tissue were generally greater near urbanized areas with known mercury sources and environmental conditions appropriate for higher methylation rates. This suggests that management should consider improving the water quality in these areas to reduce the risk of health effects to human consumers and to the fish themselves.</t>
  </si>
  <si>
    <t>[Malinowski, C. R.] Florida State Univ, Coastal &amp; Marine Lab, 3618 Coastal Highway 98, St Teresa, FL 32358 USA; [Malinowski, C. R.] Florida State Univ, Dept Biol Sci, 319 Stadium Dr, Tallahassee, FL 32306 USA</t>
  </si>
  <si>
    <t>State University System of Florida; Florida State University; State University System of Florida; Florida State University</t>
  </si>
  <si>
    <t>Malinowski, CR (corresponding author), Florida State Univ, Coastal &amp; Marine Lab, 3618 Coastal Highway 98, St Teresa, FL 32358 USA.</t>
  </si>
  <si>
    <t>crmalino@purdue.edu</t>
  </si>
  <si>
    <t>U.S. National Oceanic and Atmospheric Administration [NA11NMF4330123]; Guy Harvey Ocean Foundation</t>
  </si>
  <si>
    <t>U.S. National Oceanic and Atmospheric Administration(National Oceanic Atmospheric Admin (NOAA) - USA); Guy Harvey Ocean Foundation</t>
  </si>
  <si>
    <t>U.S. National Oceanic and Atmospheric Administration grant NA11NMF4330123; Guy Harvey Ocean Foundation.</t>
  </si>
  <si>
    <t>10.1016/j.marpolbul.2019.04.006</t>
  </si>
  <si>
    <t>IF5LB</t>
  </si>
  <si>
    <t>WOS:000473121200011</t>
  </si>
  <si>
    <t>Burton, AC; Sam, MK; Balangtaa, C; Brashares, JS</t>
  </si>
  <si>
    <t>Burton, A. Cole; Sam, Moses K.; Balangtaa, Cletus; Brashares, Justin S.</t>
  </si>
  <si>
    <t>Hierarchical Multi-Species Modeling of Carnivore Responses to Hunting, Habitat and Prey in a West African Protected Area</t>
  </si>
  <si>
    <t>ESTIMATING SITE OCCUPANCY; COMMUNITY STRUCTURE; SPATIAL AUTOCORRELATION; SPECIES DISTRIBUTION; PANTHERA-PARDUS; SPOTTED HYENAS; NATIONAL-PARK; CONSERVATION; EXTINCTION; BIODIVERSITY</t>
  </si>
  <si>
    <t>Protected areas (PAs) are a cornerstone of global efforts to shield wildlife from anthropogenic impacts, yet their effectiveness at protecting wide-ranging species prone to human conflict - notably mammalian carnivores - is increasingly in question. An understanding of carnivore responses to human-induced and natural changes in and around PAs is critical not only to the conservation of threatened carnivore populations, but also to the effective protection of ecosystems in which they play key functional roles. However, an important challenge to assessing carnivore communities is the often infrequent and imperfect nature of survey detections. We applied a novel hierarchical multi-species occupancy model that accounted for detectability and spatial autocorrelation to data from 224 camera trap stations (sampled between October 2006 and January 2009) in order to test hypotheses about extrinsic influences on carnivore community dynamics in a West African protected area (Mole National Park, Ghana). We developed spatially explicit indices of illegal hunting activity, law enforcement patrol effort, prey biomass, and habitat productivity across the park, and used a Bayesian model selection framework to identify predictors of site occurrence for individual species and the entire carnivore community. Contrary to our expectation, hunting pressure and edge proximity did not have consistent, negative effects on occurrence across the nine carnivore species detected. Occurrence patterns for most species were positively associated with small prey biomass, and several species had either positive or negative associations with riverine forest (but not with other habitat descriptors). Influences of sampling design on carnivore detectability were also identified and addressed within our modeling framework (e. g., road and observer effects), and the multi-species approach facilitated inference on even the rarest carnivore species in the park. Our study provides insight for the conservation of these regionally significant carnivore populations, and our approach is broadly applicable to the robust assessment of communities of rare and elusive species subject to environmental change.</t>
  </si>
  <si>
    <t>[Burton, A. Cole; Brashares, Justin S.] Univ Calif Berkeley, Dept Environm Sci Policy &amp; Management, Berkeley, CA 94720 USA; [Burton, A. Cole] Univ Alberta, Alberta Biodivers Monitoring Inst, Edmonton, AB, Canada; [Sam, Moses K.; Balangtaa, Cletus] Forestry Commiss Ghana, Wildlife Div, Accra, Ghana</t>
  </si>
  <si>
    <t>University of California System; University of California Berkeley; University of Alberta</t>
  </si>
  <si>
    <t>Burton, AC (corresponding author), Univ Calif Berkeley, Dept Environm Sci Policy &amp; Management, Berkeley, CA 94720 USA.</t>
  </si>
  <si>
    <t>acburton@ualberta.ca</t>
  </si>
  <si>
    <t>Burton, Cole/AAF-9234-2019</t>
  </si>
  <si>
    <t>Burton, Cole/0000-0002-8799-3847</t>
  </si>
  <si>
    <t>Panthera/Wildlife Conservation Society Kaplan Awards Program; Safari Club International; Hellman Family Fund; College of Natural Resources of the University of California, Berkeley; U.S. National Science Foundation; Natural Sciences and Engineering Research Council of Canada; Directorate For Geosciences [1115057] Funding Source: National Science Foundation</t>
  </si>
  <si>
    <t>Panthera/Wildlife Conservation Society Kaplan Awards Program; Safari Club International; Hellman Family Fund; College of Natural Resources of the University of California, Berkeley; U.S. National Science Foundation(National Science Foundation (NSF)); Natural Sciences and Engineering Research Council of Canada(Natural Sciences and Engineering Research Council of Canada (NSERC)CGIAR); Directorate For Geosciences(National Science Foundation (NSF)NSF - Directorate for Geosciences (GEO))</t>
  </si>
  <si>
    <t>Funding was received from the Panthera/Wildlife Conservation Society Kaplan Awards Program, Safari Club International, Hellman Family Fund, and College of Natural Resources of the University of California, Berkeley. ACB was supported by fellowships from the U.S. National Science Foundation and the Natural Sciences and Engineering Research Council of Canada. The funders had no role in study design, data collection and analysis, decision to publish, or preparation of the manuscript.</t>
  </si>
  <si>
    <t>MAY 30</t>
  </si>
  <si>
    <t>e38007</t>
  </si>
  <si>
    <t>10.1371/journal.pone.0038007</t>
  </si>
  <si>
    <t>959YF</t>
  </si>
  <si>
    <t>WOS:000305353400068</t>
  </si>
  <si>
    <t>Schwartz, CC; Haroldson, MA; White, GC</t>
  </si>
  <si>
    <t>Schwartz, Charles C.; Haroldson, Mark A.; White, Gary C.</t>
  </si>
  <si>
    <t>Hazards Affecting Grizzly Bear Survival in the Greater Yellowstone Ecosystem</t>
  </si>
  <si>
    <t>Demography; Greater Yellowstone Ecosystem; grizzly bear; hazard models; known-fate analysis; road density; secure habitat; source-sink dynamics; survival; Ursus arctos</t>
  </si>
  <si>
    <t>WHITEBARK-PINE; CUTTHROAT TROUT; HABITAT; MORTALITY; CONSEQUENCES; MOUNTAINS; RECOVERY; ROADS</t>
  </si>
  <si>
    <t>During the past 2 decades, the grizzly bear (Ursus arctos) population in the Greater Yellowstone Ecosystem (GYE) has increased in numbers and expanded its range. Early efforts to model grizzly bear mortality were principally focused within the United States Fish and Wildlife Service Grizzly Bear Recovery Zone, which currently represents only about 61% of known bear distribution in the GYE. A more recent analysis that explored one spatial covariate that encompassed the entire GYE suggested that grizzly bear survival was highest in Yellowstone National Park, followed by areas in the grizzly bear Recovery Zone outside the park, and lowest outside the Recovery Zone. Although management differences within these areas partially explained differences in grizzly bear survival, these simple spatial covariates did not capture site-specific reasons why bears die at higher rates outside the Recovery Zone. Here, we model annual survival of grizzly bears in the GYE to 1) identify landscape features (i.e., foods, land management policies, or human disturbances factors) that best describe spatial heterogeneity among bear mortalities, 2) spatially depict the differences in grizzly bear survival across the GYE, and 3) demonstrate how our spatially explicit model of survival can be linked with demographic parameters to identify source and sink habitats. We used recent data from radiomarked bears to estimate survival (1983-2003) using the known-fate data type in Program MARK. Our top models suggested that survival of independent (age &gt;= 2 yr) grizzly bears was best explained by the level of human development of the landscape within the home ranges of bears. Survival improved as secure habitat and elevation increased but declined as road density, number of homes, and site developments increased. Bears living in areas open to fall ungulate hunting suffered higher rates of mortality than bears living in areas closed to hunting. Our top model strongly supported previous research that identified roads and developed sites as hazards to grizzly bear survival. We also demonstrated that rural homes and ungulate hunting negatively affected survival, both new findings. We illustrate how our survival model, when linked with estimates of reproduction and survival of dependent young, can be used to identify demographically the source and sink habitats in the GYE. Finally, we discuss how this demographic model constitutes one component of a habitat-based framework for grizzly bear conservation. Such a framework can spatially depict the areas of risk in otherwise good habitat, providing a focus for resource management in the GYE.</t>
  </si>
  <si>
    <t>[Schwartz, Charles C.; Haroldson, Mark A.] Montana State Univ, US Geol Survey, No Rocky Mt Sci Ctr, Interagcy Grizzly Bear Study Team,Forestry Sci La, Bozeman, MT 59717 USA; [White, Gary C.] Colorado State Univ, Dept Fish Wildlife &amp; Conservat Biol, Ft Collins, CO 80523 USA</t>
  </si>
  <si>
    <t>Montana State University System; Montana State University Bozeman; United States Department of the Interior; United States Geological Survey; Colorado State University System; Colorado State University Fort Collins</t>
  </si>
  <si>
    <t>Schwartz, CC (corresponding author), Montana State Univ, US Geol Survey, No Rocky Mt Sci Ctr, Interagcy Grizzly Bear Study Team,Forestry Sci La, Bozeman, MT 59717 USA.</t>
  </si>
  <si>
    <t>chuck_schwartz@usgs.gov</t>
  </si>
  <si>
    <t>White, Gary/CAG-1290-2022</t>
  </si>
  <si>
    <t>10.2193/2009-206</t>
  </si>
  <si>
    <t>591MT</t>
  </si>
  <si>
    <t>WOS:000277305800005</t>
  </si>
  <si>
    <t>Fabrizio, M; Di Febbraro, M; D'Amico, M; Frate, L; Roscioni, F; Loy, A</t>
  </si>
  <si>
    <t>Fabrizio, Mauro; Di Febbraro, Mirko; D'Amico, Marcello; Frate, Ludovico; Roscioni, Federica; Loy, Anna</t>
  </si>
  <si>
    <t>EUROPEAN JOURNAL OF WILDLIFE RESEARCH</t>
  </si>
  <si>
    <t>Habitat generalist; Habitat suitability; Landscape connectivity; Roadkill; Eurasian badger Meles meles</t>
  </si>
  <si>
    <t>SPECIES DISTRIBUTION MODELS; CITIZEN SCIENCE DATA; SETT SITE SELECTION; HOME-RANGE SIZE; SPATIAL-DISTRIBUTION; CONSERVATION; MORTALITY; WILDLIFE; POPULATIONS; ECOLOGY</t>
  </si>
  <si>
    <t>Collisions between wildlife and vehicles represent the main conflict between infrastructures and ecosystems. Road mortality is the largest single cause of death for many vertebrates, representing a growing phenomenon of remarkable dimension. Most studies in road ecology investigated spatial roadkill patterns, showing that roadkill probability is often higher near optimal habitat for a large amount of species. Landscape connectivity has been less often considered in roadkill research, and only few studies considered habitat suitability and landscape connectivity at the same time. The purpose of the present study was to evaluate the relative importance of habitat suitability and landscape connectivity in determining roadkill risk for a habitat-generalist carnivore, namely, the Eurasian badger in the Abruzzo region (Central Italy). We collected occurrence data of living individuals from camera trapping and roadkill data of through a Citizen Science initiative. We used the occurrence data to produce a habitat suitability model (HSM) and a landscape connectivity model (LCM). Both HSM and LCM were then used as predictors in combination with road characteristics to fit a roadkill risk model. We found that landscape connectivity was more important than habitat suitability in determining roadkill risk for the Eurasian badger. Overall, the density of regional roads was the most important variable. Our finding highlighted how important is to consider landscape connectivity in planning mitigation measures aimed to preserve habitat-generalist species.</t>
  </si>
  <si>
    <t>[Fabrizio, Mauro; Di Febbraro, Mirko; Frate, Ludovico; Roscioni, Federica; Loy, Anna] Univ Molise, Dept Biosci &amp; Terr, Contrada Fonte Lappone, I-86090 Pesche, Isernia, Italy; [D'Amico, Marcello] Univ Porto, CIBIO InBIO, REN Biodivers Chair, Vairao Campus, P-4485661 Vairao, Portugal; [D'Amico, Marcello] Univ Lisbon, CEABN InBIO, Sch Agr, Tapada Ajuda Campus, P-1349017 Lisbon, Portugal; [D'Amico, Marcello] CSIC, Dept Environm Chem, Inst Environm Assessment &amp; Water Res IDAEA CSIC, C Jordi Girona 18-26, ES-08034 Barcelona, Spain</t>
  </si>
  <si>
    <t>University of Molise; Universidade do Porto; Universidade de Lisboa; Consejo Superior de Investigaciones Cientificas (CSIC); CSIC - Centro de Investigacion y Desarrollo Pascual Vila (CID-CSIC); CSIC - Instituto de Diagnostico Ambiental y Estudios del Agua (IDAEA)</t>
  </si>
  <si>
    <t>Fabrizio, M (corresponding author), Univ Molise, Dept Biosci &amp; Terr, Contrada Fonte Lappone, I-86090 Pesche, Isernia, Italy.</t>
  </si>
  <si>
    <t>maurofabrizio75@gmail.com</t>
  </si>
  <si>
    <t>D'Amico, Marcello/B-5322-2016; Roscioni, Federica/AAD-8675-2022; Frate, Ludovico/N-2737-2013; Di Febbraro, Mirko/GQA-4462-2022</t>
  </si>
  <si>
    <t>D'Amico, Marcello/0000-0002-0573-9184; Fabrizio, Mauro/0000-0002-7008-1315; Di Febbraro, Mirko/0000-0001-8898-7046</t>
  </si>
  <si>
    <t>REN Biodiversity Chair postdoctoral grant by REN (Redes Energeticas Nacionais); FCT (Fundacao para a Ciencia e a Tecnologia); Juan de la Cierva-Formacion postdoctoral grant by MINECO (Ministerio de Economia y Empresa)</t>
  </si>
  <si>
    <t>REN Biodiversity Chair postdoctoral grant by REN (Redes Energeticas Nacionais); FCT (Fundacao para a Ciencia e a Tecnologia)(Fundacao para a Ciencia e a Tecnologia (FCT)); Juan de la Cierva-Formacion postdoctoral grant by MINECO (Ministerio de Economia y Empresa)</t>
  </si>
  <si>
    <t>MD was supported by a REN Biodiversity Chair postdoctoral grant by REN (Redes Energeticas Nacionais) and FCT (Fundacao para a Ciencia e a Tecnologia) and a Juan de la Cierva-Formacion postdoctoral grant by MINECO (Ministerio de Economia y Empresa).</t>
  </si>
  <si>
    <t>1612-4642</t>
  </si>
  <si>
    <t>1439-0574</t>
  </si>
  <si>
    <t>EUR J WILDLIFE RES</t>
  </si>
  <si>
    <t>Eur. J. Wildl. Res.</t>
  </si>
  <si>
    <t>10.1007/s10344-018-1241-7</t>
  </si>
  <si>
    <t>HG2NE</t>
  </si>
  <si>
    <t>WOS:000454799300003</t>
  </si>
  <si>
    <t>Gomez, JJ; Túnez, JI; Fracassi, N; Cassini, MH</t>
  </si>
  <si>
    <t>Gomez, Jonatan J.; Tunez, Juan I.; Fracassi, Natalia; Cassini, Marcelo H.</t>
  </si>
  <si>
    <t>flooding pulse; poaching; wetland; wildlife conservation</t>
  </si>
  <si>
    <t>SPECIES DISTRIBUTION MODELS; CARNIVORA; KNOWLEDGE; WETLANDS; DIET</t>
  </si>
  <si>
    <t>The Neotropical river otter Lontra longicaudis is a top predator in many South and Central American aquatic freshwater systems. Its current category in the International Union for Conservation of Nature is data deficient, which makes it imperative to determine the appropriate conservation status. We applied species distribution models to build a map of habitat suitabilities, and to identify possible anthropogenic factors that affect the presence of L. longicaudis in the Lower Delta of the Parana River in the Southern Cone of South America. Presence/absence of L. longicaudis was obtained using 3 methodologies (sign surveys, camera traps, and interviews) and 15 environmental predictors. Habitat suitability was higher in areas with polders built for forestry, and lower in areas with human settlements and boat traffic. At present, geographic isolation and control of access on private land and reserves appear to be effective at protecting wildlife in the Parana. Delta. Our study demonstrates that species distribution models can be used for rapidly evaluating potential threats to wildlife.</t>
  </si>
  <si>
    <t>[Gomez, Jonatan J.; Tunez, Juan I.; Cassini, Marcelo H.] Univ Nacl Lujan, Dept Ciencias Basicas, Grp Estudios Ecol Mamiferos, RA-6700 Lujan, Argentina; [Gomez, Jonatan J.; Cassini, Marcelo H.] Inst Biol &amp; Med Expt, Lab Biol Comportamiento, RA-1463 Buenos Aires, DF, Argentina; [Fracassi, Natalia] Inst Nacl Tecnol Agr, Estn Expt Agr Delta, Area Recursos Nat, Buenos Aires, DF, Argentina</t>
  </si>
  <si>
    <t>Universidad Nacional de Lujan; Consejo Nacional de Investigaciones Cientificas y Tecnicas (CONICET); Institute of Biology &amp; Experimental Medicine; Instituto Nacional de Tecnologia Agropecuaria (INTA)</t>
  </si>
  <si>
    <t>Gomez, JJ (corresponding author), Univ Nacl Lujan, Dept Ciencias Basicas, Grp Estudios Ecol Mamiferos, Rutas 5 &amp; 7, RA-6700 Lujan, Argentina.</t>
  </si>
  <si>
    <t>gomezjonatanjose@yahoo.com.ar</t>
  </si>
  <si>
    <t>Consejo Nacional de Investigaciones Cientificas y Tecnicas (CONICET, Argentina); Consejo Nacional de Investigaciones Cientfficas y Tecnicas [PIP 0367 Res. 845/1]; University of Lujan (Fondos Finalidad) [3.5]; National Institute of Agricultural Technology</t>
  </si>
  <si>
    <t>Consejo Nacional de Investigaciones Cientificas y Tecnicas (CONICET, Argentina)(Consejo Nacional de Investigaciones Cientificas y Tecnicas (CONICET)); Consejo Nacional de Investigaciones Cientfficas y Tecnicas(Consejo Nacional de Investigaciones Cientificas y Tecnicas (CONICET)); University of Lujan (Fondos Finalidad); National Institute of Agricultural Technology</t>
  </si>
  <si>
    <t>This work was supported by grants from Consejo Nacional de Investigaciones Cientificas y Tecnicas (CONICET, Argentina, and PIP 0367 Res. 845/1), the University of Lujan (Fondos Finalidad 3.5), and the National Institute of Agricultural Technology. MHC and ill are researchers of the CONICET. B. Lartigau kindly provided data on 5 locations of otters. M. Gaute provided the information on the polders.</t>
  </si>
  <si>
    <t>AUG 22</t>
  </si>
  <si>
    <t>10.1644/13-MAMM-A-265</t>
  </si>
  <si>
    <t>AO1IG</t>
  </si>
  <si>
    <t>WOS:000341065200013</t>
  </si>
  <si>
    <t>Romero-Muñoz, A; Torres, R; Noss, AJ; Giordano, AJ; Quiroga, V; Thompson, JJ; Baumann, M; Altrichter, M; McBride, R; Velilla, M; Arispe, R; Kuemmerle, T</t>
  </si>
  <si>
    <t>Romero-Munoz, Alfredo; Torres, Ricardo; Noss, Andrew J.; Giordano, Anthony J.; Quiroga, Veronica; Thompson, Jeffrey J.; Baumann, Matthias; Altrichter, Mariana; McBride, Roy, Jr.; Velilla, Marianela; Arispe, Rosario; Kuemmerle, Tobias</t>
  </si>
  <si>
    <t>human-wildlife conflicts; land use change; large carnivores; persecution; poaching; protected areas; resource deterioration; retaliation hunting; source/sink habitats; species distribution models</t>
  </si>
  <si>
    <t>PROTECTED AREAS; PANTHERA-ONCA; LAND-USE; ATLANTIC FOREST; EUROPEAN BISON; LARGE MAMMALS; TOP PREDATOR; CONSERVATION; POPULATIONS; FRAGMENTATION</t>
  </si>
  <si>
    <t>Aim Understanding how habitat loss and overhunting impact large carnivores is important for broad-scale conservation planning. We aimed to assess how these threats interacted to affect jaguar habitat (Panthera onca) between 1985-2013 in the Gran Chaco, a deforestation hotspot. Location Gran Chaco ecoregion in Argentina, Paraguay and Bolivia. Methods We modelled jaguar habitat change from 1985-2013 using a time-calibrated species distribution model that uses all occurrence data available for that period. We modelled habitat as a function of resource availability and hunting threats, which allowed us to separate core (high resource availability and low hunting threat), refuge (low resources but safe), attractive sink (high resources but risky) and sink (low resources and risky) habitat for 1985, 2000 and 2013. Results Jaguar core areas contracted by 33% (82,400 km(2)) from 1985-2013, mainly due to an expansion of hunting threats. Sink and attractive sink habitat covered 58% of the jaguar range in 2013 and most confirmed jaguar kill sites occurred in these areas. Furthermore, habitat loss and hunting threats co-occurred in 29% of jaguars' range in 2013. Hunting threats also deteriorated core areas within protected areas, but 95% of all core areas loss occurred outside protected lands. About 68% of the remaining core areas in 2013 remained unprotected, mostly close to international borders. Main conclusions Our study highlights the synergistic effects that habitat loss and hunting threats exert on large carnivores, even inside protected areas, emphasizing the need to consider the geography of threats in conservation planning. Our results also point to the importance of areas along international borders as havens for wildlife and thus the urgent need for cross-border planning to prevent the imminent extinction of jaguars from the Chaco. Opportunities lie in reducing jaguar mortality over the widespread attractive sinks, particularly in corridors connecting core areas.</t>
  </si>
  <si>
    <t>[Romero-Munoz, Alfredo; Baumann, Matthias; Kuemmerle, Tobias] Humboldt Univ, Dept Geog, Berlin, Germany; [Torres, Ricardo] Univ Nacl Cordoba, Fac Ciencias Exactas Fis &amp; Nat, Museo Zool, Cordoba, Argentina; [Torres, Ricardo; Quiroga, Veronica] Univ Nacl Cordoba, CONICET, IDEA, Cordoba, Argentina; [Noss, Andrew J.] Univ Florida, Dept Geog, Gainesville, FL 32611 USA; [Giordano, Anthony J.] SPECIES, Ventura, CA USA; [Giordano, Anthony J.] Univ Calif Los Angeles, Inst Environm &amp; Sustainabil, Ctr Trop Res, Los Angeles, CA USA; [Quiroga, Veronica] Ctr Invest Bosque Atlantico CeIBA, Puerto Iguazu, Misiones, Argentina; [Thompson, Jeffrey J.; Velilla, Marianela] Guyra Paraguay, Asuncion, Paraguay; [Thompson, Jeffrey J.; Velilla, Marianela] Consejo Nacl Ciencia &amp; Tecnol CONACYT, Asuncion, Paraguay; [Thompson, Jeffrey J.; Velilla, Marianela] Inst Saite, Asuncion, Paraguay; [Altrichter, Mariana] Prescott Coll, Dept Environm Studies, Prescott, AZ USA; [McBride, Roy, Jr.] Faro Moro Eco Res, Dept Boqueron, Asuncion, Paraguay; [Arispe, Rosario] Museo Hist Nat Noel Kempff Mercado, Santa Cruz, Bolivia; [Kuemmerle, Tobias] Integrat Res Inst Transformat Human Environm Syst, Berlin, Germany</t>
  </si>
  <si>
    <t>Humboldt University of Berlin; National University of Cordoba; Consejo Nacional de Investigaciones Cientificas y Tecnicas (CONICET); National University of Cordoba; State University System of Florida; University of Florida; University of California System; University of California Los Angeles</t>
  </si>
  <si>
    <t>Romero-Muñoz, A (corresponding author), Humboldt Univ, Conservat Biogeog Grp, Dept Geog, Berlin, Germany.</t>
  </si>
  <si>
    <t>; Thompson, Jeffrey/AAA-4637-2019; Kuemmerle, Tobias/B-4340-2008; Baumann, Matthias/K-4757-2014; Giordano, Anthony/D-2641-2012</t>
  </si>
  <si>
    <t>Quiroga, Veronica Anea/0000-0001-5770-3151; Torres, Ricardo/0000-0001-7114-6996; Romero-Muñoz, Alfredo/0000-0002-7905-6087; Thompson, Jeffrey/0000-0002-5632-1466; Kuemmerle, Tobias/0000-0002-9775-142X; Baumann, Matthias/0000-0003-2375-3622;</t>
  </si>
  <si>
    <t>German Ministry of Education and Research [031B0034A]; German Research Foundation [KU 2458/5-1]</t>
  </si>
  <si>
    <t>German Ministry of Education and Research(Federal Ministry of Education &amp; Research (BMBF)); German Research Foundation(German Research Foundation (DFG))</t>
  </si>
  <si>
    <t>German Ministry of Education and Research, Grant/Award Number: 031B0034A; German Research Foundation, Grant/Award Number: KU 2458/5-1</t>
  </si>
  <si>
    <t>10.1111/ddi.12843</t>
  </si>
  <si>
    <t>HI9RU</t>
  </si>
  <si>
    <t>WOS:000456796100002</t>
  </si>
  <si>
    <t>Santora, JA; Mantua, NJ; Schroeder, ID; Field, JC; Hazen, EL; Bograd, SJ; Sydeman, WJ; Wells, BK; Calambokidis, J; Saez, L; Lawson, D; Forney, KA</t>
  </si>
  <si>
    <t>Santora, Jarrod A.; Mantua, Nathan J.; Schroeder, Isaac D.; Field, John C.; Hazen, Elliott L.; Bograd, Steven J.; Sydeman, William J.; Wells, Brian K.; Calambokidis, John; Saez, Lauren; Lawson, Dan; Forney, Karin A.</t>
  </si>
  <si>
    <t>EL-NINO; FISHERIES MANAGEMENT; OCEAN CONDITIONS; HUMPBACK WHALES; CLIMATE-CHANGE; MONTEREY BAY; WEST-COAST; CALIFORNIA; SEABIRD; US</t>
  </si>
  <si>
    <t>Climate change and increased variability and intensity of climate events, in combination with recovering protected species populations and highly capitalized fisheries, are posing new challenges for fisheries management. We examine socio-ecological features of the unprecedented 2014-2016 northeast Pacific marine heatwave to understand the potential causes for record numbers of whale entanglements in the central California Current crab fishery. We observed habitat compression of coastal upwelling, changes in availability of forage species (krill and anchovy), and shoreward distribution shift of foraging whales. We propose that these ecosystem changes, combined with recovering whale populations, contributed to the exacerbation of entanglements throughout the marine heatwave. In 2016, domoic acid contamination prompted an unprecedented delay in the opening of California's Dungeness crab fishery that inadvertently intensified the spatial overlap between whales and crab fishery gear. We present a retroactive assessment of entanglements to demonstrate that cooperation of fishers, resource managers, and scientists could mitigate future entanglement risk by developing climate-ready fisheries approaches, while supporting thriving fishing communities.</t>
  </si>
  <si>
    <t>[Santora, Jarrod A.] Univ Calif Santa Cruz, Dept Appl Math, 1156 High St, Santa Cruz, CA 95064 USA; [Santora, Jarrod A.; Mantua, Nathan J.; Field, John C.; Wells, Brian K.] Natl Marine Fisheries Serv, Fisheries Ecol Div, Southwest Fisheries Sci Ctr, NOAA, 110 McAllister Way, Santa Cruz, CA 95060 USA; [Schroeder, Isaac D.; Hazen, Elliott L.; Bograd, Steven J.] Natl Marine Fisheries Serv, Environm Res Div, Southwest Fisheries Sci Ctr, NOAA, 99 Pacific St, Monterey, CA 93940 USA; [Sydeman, William J.] Farallon Inst, 101 H St,Suite Q, Petaluma, CA 94952 USA; [Calambokidis, John] Cascadia Res Collect, 218 1-2 4th Ave, Washington, DC 98501 USA; [Saez, Lauren; Lawson, Dan] Natl Marine Fisheries Serv, Protected Resources Div, Southwest Reg Off, NOAA, 501 West Ocean Blvd, Long Beach, CA 90802 USA; [Forney, Karin A.] Natl Marine Fisheries Serv, Southwest Fisheries Sci Ctr, NOAA, Moss Landing, CA USA; [Forney, Karin A.] Moss Landing Marine Labs, Pob 450, Moss Landing, CA 95039 USA</t>
  </si>
  <si>
    <t>University of California System; University of California Santa Cruz; National Oceanic Atmospheric Admin (NOAA) - USA; National Oceanic Atmospheric Admin (NOAA) - USA; National Oceanic Atmospheric Admin (NOAA) - USA; National Aeronautics &amp; Space Administration (NASA); National Oceanic Atmospheric Admin (NOAA) - USA; Moss Landing Marine Laboratories</t>
  </si>
  <si>
    <t>Santora, JA (corresponding author), Univ Calif Santa Cruz, Dept Appl Math, 1156 High St, Santa Cruz, CA 95064 USA.;Santora, JA (corresponding author), Natl Marine Fisheries Serv, Fisheries Ecol Div, Southwest Fisheries Sci Ctr, NOAA, 110 McAllister Way, Santa Cruz, CA 95060 USA.</t>
  </si>
  <si>
    <t>; Hazen, Elliott/G-4149-2014; Bograd, Steven/AAA-4824-2021</t>
  </si>
  <si>
    <t>Saez, Lauren/0000-0003-4988-4655; sydeman, william/0000-0003-1902-4654; Hazen, Elliott/0000-0002-0412-7178;</t>
  </si>
  <si>
    <t>CA Ocean Protection Council; US Marine Biodiversity Observation Network (MBON); NOAA; NASA; National Oceanographic Partnership Program [NNX14AP62A]</t>
  </si>
  <si>
    <t>CA Ocean Protection Council; US Marine Biodiversity Observation Network (MBON); NOAA(National Oceanic Atmospheric Admin (NOAA) - USA); NASA(National Aeronautics &amp; Space Administration (NASA)); National Oceanographic Partnership Program</t>
  </si>
  <si>
    <t>The project was supported in part from the CA Ocean Protection Council (to JAS) and by the US Marine Biodiversity Observation Network (MBON), jointly funded by NOAA, NASA, and the National Oceanographic Partnership Program (NNX14AP62A). We thank the California Dungeness Crab Whale Entanglement Working Group, Ocean Protection Council, and the Nature Conservancy. We thank the NOAA-NMFS Southwest Fisheries Science Center and the dedicated researchers maintaining the Rockfish Recruitment and Ecosystem Assessment Survey. We thank the NOAA California Current Integrated Ecosystem Assessment team and Su Kim for preparation of Fig. 5. J.A.S. thanks Richard Ogg and John Mellor for their insight and guidance. We also thank the many dedicated people that are working diligently to disentangle whales.</t>
  </si>
  <si>
    <t>JAN 27</t>
  </si>
  <si>
    <t>10.1038/s41467-019-14215-w</t>
  </si>
  <si>
    <t>KK1WI</t>
  </si>
  <si>
    <t>WOS:000512539500006</t>
  </si>
  <si>
    <t>Proctor, MF; Nielsen, SE; Kasworm, WF; Servheen, C; Radandt, TG; Machutchon, AG; Boyce, MS</t>
  </si>
  <si>
    <t>Proctor, Michael F.; Nielsen, Scott E.; Kasworm, Wayne F.; Servheen, Chris; Radandt, Thomas G.; Machutchon, A. Grant; Boyce, Mark S.</t>
  </si>
  <si>
    <t>Grizzly Bear Connectivity Mapping in the Canada-United States Trans-Border Region</t>
  </si>
  <si>
    <t>circuit theory; GPS telemetry; grizzly bear; population fragmentation; resource selection function; RSF; trans-border; Ursus arctos</t>
  </si>
  <si>
    <t>WEST-CENTRAL ALBERTA; BANFF NATIONAL-PARK; HABITAT SELECTION; RESOURCE SELECTION; BROWN BEARS; GPS COLLAR; BRITISH-COLUMBIA; SWAN MOUNTAINS; AMERICAN BLACK; HOME-RANGE</t>
  </si>
  <si>
    <t>Fragmentation is a growing threat to wildlife worldwide and managers need solutions to reverse its impacts on species' populations. Populations of grizzly bears (Ursus arctos), often considered an umbrella and focal species for large mammal conservation, are fragmented by human settlement and major highways in the trans-border region of southern British Columbia, northern Montana, Idaho, and northeastern Washington. To improve prospects for bear movement among 5 small fragmented grizzly bear subpopulations, we asked 2 inter-related questions: Are there preferred linkage habitats for grizzly bears across settled valleys with major highways in the fragmented trans-border region, and if so, could we predict them using a combination of resource selection functions and human settlement patterns? We estimated a resource selection function (RSF) to identify high quality backcountry core habitat and to predict front-country linkage areas using global positioning system (GPS) telemetry locations representing an average of 12 relocations per day from 27 grizzly bears (13F, 14M). We used RSF models and data on human presence (building density) to inform cost surfaces for connectivity network analyses identifying linkage areas based on least-cost path, corridor, and circuit theory methods. We identified 60 trans-border (Canada-USA) linkage areas across all major highways and settlement zones in the Purcell, Selkirk, and Cabinet Mountains encompassing 24% of total highway length. We tested the correspondence of the core and linkage areas predicted from models with grizzly bear use based on bear GPS telemetry locations and movement data. Highway crossings were relatively rare; however, 88% of 122 crossings from 13 of our bears were within predicted linkage areas (mean=8.3 crossings/bear, SE=2.8, range 1-31, 3 bears with 1 crossing) indicating bears use linkage habitat that could be predicted with an RSF. Long-term persistence of small fragmented grizzly bear populations will require management of connectivity with larger populations. Linkage areas identified here could inform such efforts. (c) 2015 The Wildlife Society.</t>
  </si>
  <si>
    <t>[Proctor, Michael F.] Birchdale Ecol Ltd, Kaslo, BC V0G 1M0, Canada; [Nielsen, Scott E.] Univ Alberta, Dept Renewable Resources, Edmonton, AB T6G 2E9, Canada; [Kasworm, Wayne F.; Radandt, Thomas G.] US Fish &amp; Wildlife Serv, Libby, MT 59923 USA; [Servheen, Chris] Univ Montana, Coll Forestry &amp; Conservat, US Fish &amp; Wildlife Serv, Missoula, MT 59812 USA; [Boyce, Mark S.] Univ Alberta, Dept Biol Sci, Edmonton, AB T6G 2E9, Canada</t>
  </si>
  <si>
    <t>University of Alberta; United States Department of the Interior; US Fish &amp; Wildlife Service; University of Montana System; University of Montana; United States Department of the Interior; US Fish &amp; Wildlife Service; University of Alberta</t>
  </si>
  <si>
    <t>Proctor, MF (corresponding author), Birchdale Ecol Ltd, POB 606, Kaslo, BC V0G 1M0, Canada.</t>
  </si>
  <si>
    <t>mproctor@netidea.com</t>
  </si>
  <si>
    <t>Boyce, Mark/A-2620-2014; Nielsen, Scott/O-7482-2019</t>
  </si>
  <si>
    <t>Boyce, Mark/0000-0001-5811-325X;</t>
  </si>
  <si>
    <t>Alberta Ingenuity; BC Habitat Conservation Trust Foundation; Fish and Wildlife Compensation Program; Wilburforce Foundation; Nature Conservancy Canada; Yellowstone to Yukon Conservation Initiative; Creston Valley Wildlife Management Area; Kootenay National Forest; Montana Department of Fish, Wildlife and Parks</t>
  </si>
  <si>
    <t>We thank the many funders for supporting this project, including Alberta Ingenuity for their Post Doctoral Fellowship, BC Habitat Conservation Trust Foundation, Fish and Wildlife Compensation Program, Wilburforce Foundation, Nature Conservancy Canada, Yellowstone to Yukon Conservation Initiative, Creston Valley Wildlife Management Area, Kootenay National Forest, and Montana Department of Fish, Wildlife and Parks. We also appreciate the United States Fish and Wildlife Service (USFWS), Liz Claiborne &amp; Art Ortenberg Foundation, Great Northern Landscape Conservation Cooperative, the United States Federal Highway Administration, and the National Fish and Wildlife Foundation for supporting ecological and conservation efforts in Canada. We thank Parks Canada personnel B. Fyten, S. Michel, J. Flaa, G. Skinner, T. Winkler, and B. Burley and USFWS field biologists H. Carriles, M. Gould, M. McCollister, A. Welander, and R. Williamson, for help in trapping bears.</t>
  </si>
  <si>
    <t>10.1002/jwmg.862</t>
  </si>
  <si>
    <t>CG3YW</t>
  </si>
  <si>
    <t>WOS:000353217100004</t>
  </si>
  <si>
    <t>Kirk, DA; Hébert, K; Goldsmith, FB</t>
  </si>
  <si>
    <t>Kirk, David Anthony; Hebert, Katherine; Goldsmith, Frank Barrie</t>
  </si>
  <si>
    <t>Beta diversity; Mediterranean maquis vegetation; Conservation management; North Africa; Goat grazing; Biotic homogenization</t>
  </si>
  <si>
    <t>MEDITERRANEAN ECOSYSTEMS; SPECIES COMPOSITION; BETA DIVERSITY; CLIMATE-CHANGE; CONSERVATION; VEGETATION; VARIABILITY; MANAGEMENT; INTENSITY; COMMUNITY</t>
  </si>
  <si>
    <t>Mediterranean maquis vegetation is highly biodiverse, but widespread grazing poses a challenge for management and conservation. We sampled woody and herbaceous plants separately on a limestone mountain with strong mesic-xeric gradients in Tunisia's Parc National de L'Ichkeul, assessed grazing pressure (on a scale of 1-3), and asked whether grazing had a significant effect on plant compositional abundance before and after controlling for environmental covariates. Sites on the more mesic lakeside face of the mountain were most compositionally unique, and forbs contributed most to the herbaceous beta-diversity on the mountain. We used variance partitioning to separate the collective and individual effects of the abiotic environment, grazing, human activity, and space on herbaceous and woody beta-diversity. However, the individual effect of grazing on overall plant community composition was confounded with space, due to the spatially autocorrelated grazing pressure on the mountain. Importantly, we found that herbaceous and woody communities responded differently to increasing levels of grazing intensity: herbaceous beta-diversity was highest between sites with no grazing pressure, while woody beta-diversity peaked under light grazing. Herbaceous community composition was sensitive to any intensity of grazing pressure, and biotic homogenization occured under moderate-to-high grazing pressure. On the other hand, woody community composition remained relatively similar under no to light grazing pressure, but differed under moderate-to-heavy grazing. Using a one-way permutational analysis of variance analysis, we showed that grazing had a significant effect when controlling for abiotic and spatial covariates. Our findings offer insight into the effects of grazing on maquis vegetation at Jebel Ichkeul, acting as a microcosm of similar conservation and management issues elsewhere in the Mediterranean. We suggest that a combination of monitoring and carefully controlled grazing may enhance plant diversity and maintain the region's biodiverse maquis vegetation, potentially maintaining a key climate refugium for vulnerable endemic species. Importantly, our study provides a useful baseline of the plant assemblages at Jebel Ichkeul with which to compare future vegetation changes.</t>
  </si>
  <si>
    <t>[Kirk, David Anthony] Univ London, Univ Coll London, Dept Geog, London, England; [Hebert, Katherine] Univ Sherbrooke, Dept Biol, Fac Sci, Sherbrooke, PQ, Canada; [Goldsmith, Frank Barrie] Univ London, Univ Coll London, Dept Biol, London, England; [Kirk, David Anthony] Aquila Conservat &amp; Environm Consulting, Ottawa, ON, Canada</t>
  </si>
  <si>
    <t>University of London; University College London; University of Sherbrooke; University of London; University College London</t>
  </si>
  <si>
    <t>Kirk, DA (corresponding author), Univ London, Univ Coll London, Dept Geog, London, England.;Kirk, DA (corresponding author), Aquila Conservat &amp; Environm Consulting, Ottawa, ON, Canada.</t>
  </si>
  <si>
    <t>david@aquilaecology.com</t>
  </si>
  <si>
    <t>KIRK, DAVID ANTHONY/AAA-7465-2021; Hébert, Katherine/ABF-7030-2022</t>
  </si>
  <si>
    <t>KIRK, DAVID ANTHONY/0000-0002-3080-1058; Hébert, Katherine/0000-0001-7866-6775</t>
  </si>
  <si>
    <t>Natural Environment Research Council (UK); FQRNT doctoral research scholarship</t>
  </si>
  <si>
    <t>Natural Environment Research Council (UK)(UK Research &amp; Innovation (UKRI)Natural Environment Research Council (NERC)); FQRNT doctoral research scholarship</t>
  </si>
  <si>
    <t>This work was supported by the Natural Environment Research Council (UK). Funding for the manuscript for DAK was provided by Ivan and Thelma Kirk. KH was supported by an FQRNT doctoral research scholarship. The funders had no role in study design, data collection and analysis, decision to publish, or preparation of the manuscript.</t>
  </si>
  <si>
    <t>e7296</t>
  </si>
  <si>
    <t>10.7717/peerj.7296</t>
  </si>
  <si>
    <t>IQ3JE</t>
  </si>
  <si>
    <t>WOS:000480647100001</t>
  </si>
  <si>
    <t>Cinner, JE; Maire, E; Huchery, C; MacNeil, MA; Graham, NAJ; Mora, C; Barnes, ML; Kittinger, JN; Hicks, CC; D'Agata, S; Hoey, AS; Gurney, GG; Feary, DA; Williams, ID; Kulbicki, M; Vigliola, L; Wantiez, L; Edgar, GJ; Stuart-Smith, RD; Sandin, SA; Green, A; Hardt, MJ; Beger, M; Friedlander, AM; Wilson, SK; Brokovich, E; Brooks, AJ; Cruz-Motta, JJ; Booth, DJ; Chabanet, P; Gough, C; Tupper, M; Ferse, SCA; Sumaila, UR; Pardede, S; Mouillot, D</t>
  </si>
  <si>
    <t>Cinner, Joshua E.; Maire, Eva; Huchery, Cindy; MacNeil, M. Aaron; Graham, Nicholas A. J.; Mora, Camilo; Barnes, Michele L.; Kittinger, John N.; Hicks, Christina C.; D'Agata, Stephanie; Hoey, Andrew S.; Gurney, Georgina G.; Feary, David A.; Williams, Ivor D.; Kulbicki, Michel; Vigliola, Laurent; Wantiez, Laurent; Edgar, Graham J.; Stuart-Smith, Rick D.; Sandin, Stuart A.; Green, Alison; Hardt, Marah J.; Beger, Maria; Friedlander, Alan M.; Wilson, Shaun K.; Brokovich, Eran; Brooks, Andrew J.; Cruz-Motta, Juan J.; Booth, David J.; Chabanet, Pascale; Gough, Charlotte; Tupper, Mark; Ferse, Sebastian C. A.; Sumaila, U. Rashid; Pardede, Shinta; Mouillot, David</t>
  </si>
  <si>
    <t>marine reserves; fisheries; coral reefs; social-ecological; socioeconomic</t>
  </si>
  <si>
    <t>MARINE PROTECTED AREAS; HUMAN DIMENSIONS; CLIMATE-CHANGE; RESERVES; RESILIENCE; FISH; MANAGEMENT; RECOVERY; HARVEST; PEOPLE</t>
  </si>
  <si>
    <t>Coral reefs provide ecosystem goods and services for millions of people in the tropics, but reef conditions are declining worldwide. Effective solutions to the crisis facing coral reefs depend in part on understanding the context under which different types of conservation benefits can be maximized. Our global analysis of nearly 1,800 tropical reefs reveals how the intensity of human impacts in the surrounding seascape, measured as a function of human population size and accessibility to reefs (gravity), diminishes the effectiveness of marine reserves at sustaining reef fish biomass and the presence of top predators, even where compliance with reserve rules is high. Critically, fish biomass in high-compliance marine reserves located where human impacts were intensive tended to be less than a quarter that of reserves where human impacts were low. Similarly, the probability of encountering top predators on reefs with high human impacts was close to zero, even in high-compliance marine reserves. However, we find that the relative difference between openly fished sites and reserves (what we refer to as conservation gains) are highest for fish biomass (excluding predators) where human impacts are moderate and for top predators where human impacts are low. Our results illustrate critical ecological trade-offs in meeting key conservation objectives: reserves placed where there are moderate-to-high human impacts can provide substantial conservation gains for fish biomass, yet they are unlikely to support key ecosystem functions like higher-order predation, which is more prevalent in reserve locations with low human impacts.</t>
  </si>
  <si>
    <t>[Cinner, Joshua E.; Maire, Eva; Huchery, Cindy; Graham, Nicholas A. J.; Kittinger, John N.; D'Agata, Stephanie; Gurney, Georgina G.; Mouillot, David] James Cook Univ, Australian Res Council Ctr Excellence Coral Reef, Townsville, Qld 4811, Australia; [Maire, Eva; Hoey, Andrew S.; Mouillot, David] Univ Montpellier, Marine Biodivers Explorat &amp; Conservat, UMR Inst Rech Dev, CNRS,UM,Inst Francais Rech Exploitat Mer 9190, F-34095 Montpellier, France; [MacNeil, M. Aaron] Australian Inst Marine Sci, Townsville, Qld 4810, Australia; [MacNeil, M. Aaron] Dalhousie Univ, Dept Biol, Halifax, NS B3H 3J5, Canada; [Graham, Nicholas A. J.; D'Agata, Stephanie] Univ Lancaster, Lancaster Environm Ctr, Lancaster LA1 4YQ, England; [Mora, Camilo] Univ Hawaii Manoa, Dept Geog, Honolulu, HI 96822 USA; [Barnes, Michele L.; Pardede, Shinta] Wildlife Conservat Soc, Global Marine Program, Bronx, NY 10460 USA; [Kittinger, John N.] Univ Hawaii Manoa, Dept Bot, Honolulu, HI 96822 USA; [Hicks, Christina C.] Ctr Oceans Conservat Int, Honolulu, HI 96825 USA; [Hicks, Christina C.] Arizona State Univ, Julie Ann Wrigley Global Inst Sustainabil, Life Sci Ctr, Ctr Biodivers Outcomes, Tempe, AZ 85281 USA; [Hoey, Andrew S.; Vigliola, Laurent] Inst Rech Dev, Lab Excellence LABEX CORAIL, UMR Inst Rech Dev UR CNRS ENTROPIE, BP A5, Noumea 98848, New Caledonia; [Feary, David A.] Univ Nottingham, Sch Life Sci, Nottingham NG7 2RD, England; [Williams, Ivor D.] NOAA, Pacific Isl Fisheries Sci Ctr, Coral Reef Ecosyst Program, Honolulu, HI 96818 USA; [Kulbicki, Michel] Univ Perpignan, Labex Corail, Inst Rech Dev, UMR Entropie, F-66000 Perpignan, France; [Wantiez, Laurent] Univ New Caledonia, LIVE EA4243, BPR4 98851, Noumea, New Caledonia; [Edgar, Graham J.; Stuart-Smith, Rick D.] Univ Tasmania, Inst Marine &amp; Antarctic Studies, Hobart, Tas 7001, Australia; [Sandin, Stuart A.] Univ Calif San Diego, Scripps Inst Oceanog, San Diego, CA 92093 USA; [Green, Alison] Nature Conservancy, Brisbane, Qld 4101, Australia; [Hardt, Marah J.] Future Fish, Bethesda, MD 20814 USA; [Beger, Maria] Univ Queensland, Ctr Biodivers &amp; Conservat Sci, Australian Res Council, Ctr Excellence Environm Decis, St Lucia, Qld 4074, Australia; [Beger, Maria] Univ Leeds, Fac Biol Sci, Sch Biol, Leeds LS2 9JT, W Yorkshire, England; [Friedlander, Alan M.] Univ Hawaii, Dept Biol, Fisheries Ecol Res Lab, Honolulu, HI 96822 USA; [Friedlander, Alan M.] Natl Geog Soc, Pristine Seas Program, Washington, DC 20036 USA; [Wilson, Shaun K.] Dept Pk &amp; Wildlife, S Perth, WA 6151, Australia; [Wilson, Shaun K.] Univ Western Australia, Oceans Inst, Crawley, WA 6009, Australia; [Brokovich, Eran] Israel Soc Ecol &amp; Environm Sci, IL-6775323 Tel Aviv, Israel; [Brooks, Andrew J.] Univ Calif Santa Barbara, Marine Sci Inst, Santa Barbara, CA 93106 USA; [Cruz-Motta, Juan J.] Univ Puerto Rico, Recinto Univ Mayaguez, Dept Ciencias Marinas, Mayaguez, PR 00680 USA; [Booth, David J.] Univ Technol Sydney, Sch Life Sci, Sydney, NSW 2007, Australia; [Chabanet, Pascale] Inst Rech Dev, Lab Excellence LABEX CORAIL, UMR ENTROPIE, CS 41095, F-97495 St Clotilde, La Reunion, France; [Gough, Charlotte] Blue Ventures Conservat, Omnibus Business Ctr, London N7 9DP, England; [Tupper, Mark] Univ Trinidad &amp; Tobago, Adv Ctr Coastal &amp; Ocean Res &amp; Dev, Chaguaramas, Trinidad Tobago; [Ferse, Sebastian C. A.] Leibniz Ctr Trop Marine Res, D-28359 Bremen, Germany; [Sumaila, U. Rashid] Univ British Columbia, Fisheries Econ Res Unit, Inst Oceans &amp; Fisheries, Vancouver, BC V6T 1Z4, Canada; [Sumaila, U. Rashid] Univ British Columbia, Liu Inst Global Studies, Vancouver, BC V6T 1Z4, Canada</t>
  </si>
  <si>
    <t>James Cook University; Ifremer; Centre National de la Recherche Scientifique (CNRS); Universite de Montpellier; Australian Institute of Marine Science; Dalhousie University; Lancaster University; University of Hawaii System; University of Hawaii Manoa; Wildlife Conservation Society; University of Hawaii System; University of Hawaii Manoa; Arizona State University; Arizona State University-Tempe; Institut de Recherche pour le Developpement (IRD); University of Nottingham; National Oceanic Atmospheric Admin (NOAA) - USA; Universite Perpignan Via Domitia; Institut de Recherche pour le Developpement (IRD); Universite Nouvelle Caledonie; University of Tasmania; University of California System; University of California San Diego; Scripps Institution of Oceanography; Nature Conservancy; University of Queensland; University of Leeds; University of Hawaii System; National Geographic Society; University of Western Australia; University of California System; University of California Santa Barbara; University of Puerto Rico; University of Puerto Rico Mayaguez; University of Technology Sydney; Institut de Recherche pour le Developpement (IRD); Leibniz Association; Leibniz Zentrum fur Marine Tropenforschung (ZMT); University of British Columbia; University of British Columbia</t>
  </si>
  <si>
    <t>Cinner, JE (corresponding author), James Cook Univ, Australian Res Council Ctr Excellence Coral Reef, Townsville, Qld 4811, Australia.</t>
  </si>
  <si>
    <t>Joshua.Cinner@jcu.edu.au</t>
  </si>
  <si>
    <t>Ferse, Sebastian/AAH-8048-2021; Vigliola, Laurent/J-7107-2016; Graham, Nicholas/C-8360-2014; Sumaila, U./ABE-6475-2020; D'agata, Stephanie/AAN-3692-2020; Hicks, Christina/M-6182-2015; Hoey, Anew/B-5457-2015; Cinner, Joshua/E-8966-2011; Edgar, Graham/AAY-3797-2020; Barnes, Michele L/ABE-7497-2020; MacNeil, Aaron/E-8196-2017; Mouillot, David/HCH-5670-2022; Wilson, Shaun/K-8597-2019; Wantiez, Laurent/L-3343-2013; Chabanet, Pascale/L-9470-2017; Booth, David/A-5783-2010; Stuart-Smith, Rick/M-1829-2013; Gurney, Georgina/X-9336-2019; Maire, Eva/T-1934-2019; Beger, Maria/ABC-5975-2022; Tupper, Mark/HZL-8362-2023</t>
  </si>
  <si>
    <t>Ferse, Sebastian/0000-0003-0930-5356; Vigliola, Laurent/0000-0003-4715-7470; Graham, Nicholas/0000-0002-0304-7467; Cruz Motta, Juan Jose/0000-0001-6117-9014; D'agata, Stephanie/0000-0001-6941-8489; Hicks, Christina/0000-0002-7399-4603; Hoey, Anew/0000-0002-4261-5594; Cinner, Joshua/0000-0003-2675-9317; Edgar, Graham/0000-0003-0833-9001; Barnes, Michele L/0000-0002-1151-4037; Wilson, Shaun/0000-0002-4590-0948; Wantiez, Laurent/0000-0001-5024-2057; Chabanet, Pascale/0000-0001-7600-943X; Booth, David/0000-0002-8256-1412; Stuart-Smith, Rick/0000-0002-8874-0083; Gurney, Georgina/0000-0002-4884-7468; Gough, Charlotte/0000-0002-5313-4868; Maire, Eva/0000-0002-1032-3394; Beger, Maria/0000-0003-1363-3571; Tupper, Mark/0000-0002-6157-7714; Sandin, Stuart/0000-0003-1714-4492</t>
  </si>
  <si>
    <t>Australian Research Council Centre of Excellence for Coral Reef Studies; Pew Charitable Trusts</t>
  </si>
  <si>
    <t>Australian Research Council Centre of Excellence for Coral Reef Studies(Australian Research Council); Pew Charitable Trusts</t>
  </si>
  <si>
    <t>We thank J. Zamborian Mason and A. Fordyce for assistance with analyses and figures, and to numerous scientists who collected data used in the research. The Australian Research Council Centre of Excellence for Coral Reef Studies and The Pew Charitable Trusts funded working group meetings.</t>
  </si>
  <si>
    <t>E6116</t>
  </si>
  <si>
    <t>E6125</t>
  </si>
  <si>
    <t>10.1073/pnas.1708001115</t>
  </si>
  <si>
    <t>GL4GH</t>
  </si>
  <si>
    <t>WOS:000437107000006</t>
  </si>
  <si>
    <t>Walentowitz, AJ; Irl, SDH; Rodríguez, AJA; Palomares-Martínez, A; Vetter, V; Zennaro, B; Medina, FM; Beierkuhnlein, C</t>
  </si>
  <si>
    <t>Walentowitz, Anna J.; Irl, Severin D. H.; Acevedo Rodriguez, Aurelio Jesus; Palomares-Martinez, Angel; Vetter, Vanessa; Zennaro, Barbara; Medina, Felix M.; Beierkuhnlein, Carl</t>
  </si>
  <si>
    <t>Graminoid Invasion in an Insular Endemism Hotspot and Its Protected Areas</t>
  </si>
  <si>
    <t>DIVERSITY-BASEL</t>
  </si>
  <si>
    <t>alien; biodiversity; African fountain grass; non-native; Pennisetum setaceum; species distribution modeling; invasibility; exotic; invasive; endemism</t>
  </si>
  <si>
    <t>GRASS PENNISETUM-SETACEUM; CLIMATIC NICHE SHIFTS; FOUNTAIN GRASS; PLANT INVASION; CANARY-ISLANDS; LA-PALMA; VEGETATION; FIRE; VALIDATION; PREDICTION</t>
  </si>
  <si>
    <t>Invasive plant species are increasingly altering species composition and the functioning of ecosystems from a local to a global scale. The grass species Pennisetum setaceum has recently raised concerns as an invader on different archipelagos worldwide. Among these affected archipelagos are the Canary Islands, which are a hotspot of endemism. Consequently, conservation managers and stakeholders are interested in the potential spreading of this species in the archipelago. We identify the current extent of the suitable habitat for P. setaceum on the island of La Palma to assess how it affects island ecosystems, protected areas (PAs), and endemic plant species richness. We recorded in situ occurrences of P. setaceum from 2010 to 2018 and compiled additional ones from databases at a 500 m x 500 m resolution. To assess the current suitable habitat and possible distribution patterns of P. setaceum on the island, we built an ensemble model. We projected habitat suitability for island ecosystems and PAs and identified risks for total as well as endemic plant species richness. The suitable habitat for P. setaceum is calculated to cover 34.7% of the surface of La Palma. In open ecosystems at low to mid elevations, where native ecosystems are already under pressure by land use and human activities, the spread of the invader will likely lead to additional threats to endemic plant species. Forest ecosystems (e.g., broadleaved evergreen and coniferous forests) are not likely to be affected by the spread of P. setaceum because of its heliophilous nature. Our projection of suitable habitat of P. setaceum within ecosystems and PAs on La Palma supports conservationists and policymakers in prioritizing management and control measures and acts as an example for the potential threat of this graminoid invader on other islands.</t>
  </si>
  <si>
    <t>[Walentowitz, Anna J.; Zennaro, Barbara; Beierkuhnlein, Carl] Univ Bayreuth, Bayreuth Ctr Ecol &amp; Environm Res, Dept Biogeog, Univ Str 30, D-95440 Bayreuth, Germany; [Irl, Severin D. H.] Goethe Univ Frankfurt, Inst Phys Geog, Biogeog &amp; Biodivers Lab, Altenhoferallee 1, D-60438 Frankfurt, Germany; [Acevedo Rodriguez, Aurelio Jesus] Calle Barrial Abajo 13A, La Palma 38750, Canary Island, Spain; [Palomares-Martinez, Angel] Parque Nacl Caldera Taburiente,Ctra Gen Padron 47, El Paso 38750, Spain; [Vetter, Vanessa] Univ Bayreuth, Disturbance Ecol, Univ Str 30, D-95440 Bayreuth, Germany; [Vetter, Vanessa] Univ Landau, Inst Environm Sci, Geoecol Phys Geog, Fortstr 7, D-76829 Landau, Germany; [Medina, Felix M.] Cabildo Insular La Palma, Serv Medio Ambiente, Ave Los Indianos 20, Santa Cruz De La Palma 38700, Canary Islands, Spain; [Medina, Felix M.] CSIC, IPNA, Isl Ecol &amp; Evolut Res Grp, Astrofis Francisco Sanchez 3, Tenerife 38206, Canary Islands, Spain</t>
  </si>
  <si>
    <t>University of Bayreuth; Goethe University Frankfurt; University of Bayreuth; RPTU University Kaiserslautern; Consejo Superior de Investigaciones Cientificas (CSIC); CSIC - Instituto de Productos Naturales y Agrobiologia (IPNA)</t>
  </si>
  <si>
    <t>Walentowitz, AJ (corresponding author), Univ Bayreuth, Bayreuth Ctr Ecol &amp; Environm Res, Dept Biogeog, Univ Str 30, D-95440 Bayreuth, Germany.</t>
  </si>
  <si>
    <t>anna.walentowitz@uni-bayreuth.de; Irl@geo.uni-frankfurt.de; aurelioacevedo@hotmail.com; apalmar@gobiernodecanarias.org; vanessa.vetter@uni-bayreuth.de; zennaroprojects@gmail.com; felix.medina@cablapalma.es; carl.beierkuhnlein@uni-bayreuth.de</t>
  </si>
  <si>
    <t>; Beierkuhnlein, Carl/ABF-9693-2021; Vetter, Vanessa Maria Sabrina/AAF-4478-2019; Zennaro, Barbara/HSE-8704-2023; Walentowitz, Anna/AGZ-9724-2022</t>
  </si>
  <si>
    <t>Irl, Severin/0000-0002-1734-8607; Beierkuhnlein, Carl/0000-0002-6456-4628; Medina, Félix Manuel/0000-0002-5905-448X; Vetter, Vanessa Maria Sabrina/0000-0003-2082-9177; Walentowitz, Anna/0000-0001-9720-9078</t>
  </si>
  <si>
    <t>European Union's Horizon 2020 research and innovation program ECOPOTENTIAL [641762]; German Research Foundation (DFG); University of Bayreuth</t>
  </si>
  <si>
    <t>European Union's Horizon 2020 research and innovation program ECOPOTENTIAL; German Research Foundation (DFG)(German Research Foundation (DFG)); University of Bayreuth</t>
  </si>
  <si>
    <t>This project has received funding from the European Union's Horizon 2020 research and innovation program ECOPOTENTIAL under grant agreement No 641762. This publication was funded by the German Research Foundation (DFG) and the University of Bayreuth in the funding program Open Access Publishing.</t>
  </si>
  <si>
    <t>1424-2818</t>
  </si>
  <si>
    <t>Diversity-Basel</t>
  </si>
  <si>
    <t>10.3390/d11100192</t>
  </si>
  <si>
    <t>JJ8TV</t>
  </si>
  <si>
    <t>WOS:000494425500023</t>
  </si>
  <si>
    <t>Almodóvar, A; Nicola, GG; Ayllón, D; Elvira, B</t>
  </si>
  <si>
    <t>Almodovar, Ana; Nicola, Graciela G.; Ayllon, Daniel; Elvira, Benigno</t>
  </si>
  <si>
    <t>carrying capacity; climate change; marginal populations; regional temperature models; salmonids; suitable habitat</t>
  </si>
  <si>
    <t>CHARR SALVELINUS-ALPINUS; SALMON SALMO-SALAR; CLIMATE-CHANGE; STREAM TEMPERATURE; WATER TEMPERATURE; POPULATIONS; HABITAT; TRUTTA; IMPACT; GROWTH</t>
  </si>
  <si>
    <t>Current climate change exacerbates the environmental restrictions on temperate species inhabiting low latitude edges of their geographical ranges. We examined how temperature variations due to current and future climate change are likely to affect populations persistence of stream-dwelling brown trout Salmo trutta at the vulnerable southern periphery of its range. Analysis of 33 years of air temperature data (19752007) by time-series models indicated a significant upward trend and a pronounced shift in air temperature around 1986-1987. This warming is associated with an ongoing population decline of brown trout, most likely caused by a loss of suitable thermal habitat in lower latitudes since the 1980s. Population decrease may not be attributed to physical habitat modification or angler pressure, as carrying capacity remained stable and populations were not overexploited. We developed regional temperature models, which predicted that unsuitable thermal habitat for brown trout increased by 93% when comparing climate conditions between 19751986 and 19932004. Predictions from climate envelope models showed that current climate change may be rendering unsuitable 12% of suitable thermal habitat each decade, resulting in an overall population decrease in the lower reaches of around 6% per year. Furthermore, brown trout catches markedly decreased 20% per year. Projections of thermal habitat loss under the ecologically friendly B2 SRES scenario showed that brown trout may lose half of their current suitable habitat within the study area by 2040 and become almost extinct by 2100. In parallel to the upstream movement of brown trout thermal habitat, warm water species are increasing their relative abundance in salmonid waters. Empirical evidence was provided of how current climate change threatens some of the most healthy native brown trout populations in Southern Europe and how forthcoming climate change is expected to further decrease the conservation status of the species.</t>
  </si>
  <si>
    <t>[Almodovar, Ana; Ayllon, Daniel; Elvira, Benigno] Univ Complutense Madrid, Dept Zool, Fac Biol, E-28040 Madrid, Spain; [Nicola, Graciela G.] Univ Castilla La Mancha, Dept Environm Sci, E-45071 Toledo, Spain</t>
  </si>
  <si>
    <t>Complutense University of Madrid; Universidad de Castilla-La Mancha</t>
  </si>
  <si>
    <t>Almodóvar, A (corresponding author), Univ Complutense Madrid, Dept Zool, Fac Biol, Jose Antonio Novais 2, E-28040 Madrid, Spain.</t>
  </si>
  <si>
    <t>aalmodovar@bio.ucm.es</t>
  </si>
  <si>
    <t>Elvira, Benigno/A-9273-2009; , GRACIELA G NICOLA/ABE-5362-2021; Almodóvar, Ana/L-5400-2014; Ayllon, Daniel/K-6862-2019</t>
  </si>
  <si>
    <t>Elvira, Benigno/0000-0002-6127-5302; , GRACIELA G NICOLA/0009-0009-0601-0609; Almodóvar, Ana/0000-0003-1465-3857; Ayllon Fernandez, Daniel/0000-0001-7539-5287;</t>
  </si>
  <si>
    <t>Study of brown trout populations of Navarre</t>
  </si>
  <si>
    <t>This study was supported and funded by the project 'Study of brown trout populations of Navarre' in the framework of the agreement between Complutense University of Madrid and Navarre Government.</t>
  </si>
  <si>
    <t>10.1111/j.1365-2486.2011.02608.x</t>
  </si>
  <si>
    <t>922JP</t>
  </si>
  <si>
    <t>WOS:000302543500008</t>
  </si>
  <si>
    <t>Khaliq, I; Hof, C; Prinzinger, R; Böhning-Gaese, K; Pfenninger, M</t>
  </si>
  <si>
    <t>Khaliq, Imran; Hof, Christian; Prinzinger, Roland; Boehning-Gaese, Katrin; Pfenninger, Markus</t>
  </si>
  <si>
    <t>biodiversity; macrophysiology; global change; birds; mammals; macroecology</t>
  </si>
  <si>
    <t>BODY-TEMPERATURE; EXTINCTION RISK; LAND-USE; NICHE; IMPACTS; DIVERSITY; RESPONSES; PATTERNS; RANGE; BIRDS</t>
  </si>
  <si>
    <t>The relationships among species' physiological capacities and the geographical variation of ambient climate are of key importance to understanding the distribution of life on the Earth. Furthermore, predictions of how species will respond to climate change will profit from the explicit consideration of their physiological tolerances. The climatic variability hypothesis, which predicts that climatic tolerances are broader in more variable climates, provides an analytical framework for studying these relationships between physiology and biogeography. However, direct empirical support for the hypothesis is mostly lacking for endotherms, and fewstudies have tried to integrate physiological data into assessments of species' climatic vulnerability at the global scale. Here, we test the climatic variability hypothesis for endotherms, with a comprehensive dataset on thermal tolerances derived from physiological experiments, and use these data to assess the vulnerability of species to projected climate change. We find the expected relationship between thermal tolerance and ambient climatic variability in birds, but not in mammals-a contrast possibly resulting from different adaptation strategies to ambient climate via behaviour, morphology or physiology. We show that currently most of the species are experiencing ambient temperatures well within their tolerance limits and that in the future many species may be able to tolerate projected temperature increases across significant proportions of their distributions. However, our findings also underline the high vulnerability of tropical regions to changes in temperature and other threats of anthropogenic global changes. Our study demonstrates that a better understanding of the interplay among species' physiology and the geography of climate change will advance assessments of species' vulnerability to climate change.</t>
  </si>
  <si>
    <t>[Khaliq, Imran; Hof, Christian; Boehning-Gaese, Katrin; Pfenninger, Markus] Biodivers &amp; Climate Res Ctr BiK F, D-60325 Frankfurt, Germany; [Khaliq, Imran; Hof, Christian; Boehning-Gaese, Katrin; Pfenninger, Markus] Senckenberg Gesell Nat Forsch, D-60325 Frankfurt, Germany; [Prinzinger, Roland; Boehning-Gaese, Katrin; Pfenninger, Markus] Goethe Univ Frankfurt, Dept Biol Sci, Inst Ecol Evolut &amp; Divers, D-60438 Frankfurt, Germany</t>
  </si>
  <si>
    <t>Senckenberg Biodiversitat &amp; Klima- Forschungszentrum (BiK-F); Leibniz Association; Senckenberg Gesellschaft fur Naturforschung (SGN); Leibniz Association; Senckenberg Gesellschaft fur Naturforschung (SGN); Goethe University Frankfurt</t>
  </si>
  <si>
    <t>Hof, C (corresponding author), Biodivers &amp; Climate Res Ctr BiK F, Senckenberganlage 25, D-60325 Frankfurt, Germany.</t>
  </si>
  <si>
    <t>christian.hof@senckenberg.de</t>
  </si>
  <si>
    <t>Khaliq, Imran/E-5053-2010; Hof, Christian/J-8888-2014; Böhning-Gaese, Katrin/W-2601-2019</t>
  </si>
  <si>
    <t>Hof, Christian/0000-0002-7763-1885; Böhning-Gaese, Katrin/0000-0003-0477-5586</t>
  </si>
  <si>
    <t>Higher Education Commission of Pakistan; German Academic Exchange Service (DAAD); programme 'LOEWE-Landes-Offensive zur Entwicklung Wissenschaftlich-okonomischer Exzellenz' of Hesse's Ministry of Higher Education, Research and the Arts</t>
  </si>
  <si>
    <t>Higher Education Commission of Pakistan(Higher Education Commission of Pakistan); German Academic Exchange Service (DAAD)(Deutscher Akademischer Austausch Dienst (DAAD)); programme 'LOEWE-Landes-Offensive zur Entwicklung Wissenschaftlich-okonomischer Exzellenz' of Hesse's Ministry of Higher Education, Research and the Arts</t>
  </si>
  <si>
    <t>I.K. is supported by the Higher Education Commission of Pakistan and the German Academic Exchange Service (DAAD). This work was supported by the research funding programme 'LOEWE-Landes-Offensive zur Entwicklung Wissenschaftlich-okonomischer Exzellenz' of Hesse's Ministry of Higher Education, Research and the Arts.</t>
  </si>
  <si>
    <t>10.1098/rspb.2014.1097</t>
  </si>
  <si>
    <t>AL5HM</t>
  </si>
  <si>
    <t>WOS:000339164400027</t>
  </si>
  <si>
    <t>Vergara-Tabares, DL; Cordier, JM; Landi, MA; Olah, G; Nori, J</t>
  </si>
  <si>
    <t>Vergara-Tabares, David L.; Cordier, Javier M.; Landi, Marcos A.; Olah, George; Nori, Javier</t>
  </si>
  <si>
    <t>anthropogenic threat; deforestation; IUCN; protected areas; Psittaciformes; temporal analysis; timber extraction</t>
  </si>
  <si>
    <t>PROTECTED AREA NETWORK; EXTINCTION RISK; LAND; BIODIVERSITY; BIRDS; SCENARIOS; SELECTION; IMPACTS; FORESTS; TRADE</t>
  </si>
  <si>
    <t>Human advance on natural habitats is a major cause of biodiversity loss. This transformation process represents a profound change in wooded environments, disrupting original communities of flora and fauna. Many species are highly dependent on forests, especially parrots (Psittaciformes) with almost a third of their species threatened by extinction. Most parrot species occur in tropical and subtropical forests, and given the forest dependence of most species, this is the main reason why habitat loss has been highlighted as the main threat for the group. Such habitat loss acts in synergy with other important threats (e.g., logging and poaching), which become especially problematic in certain developing countries along tropical latitudes. In this study, we used available information on parrot distributions, species traits, IUCN assessment, habitat loss and timber extraction for different periods, and distribution of protected areas, to determine conservation hotspots for the group, and analyze potential changes in the conservation status of these species. We detected four conservation hotspots for parrots: two in the Neotropics and two in Oceania, all of them facing different degrees of threat in regard of current habitat loss and agricultural trends. Our results suggest that the future of the group is subject to policymaking in specific regions, especially in the northeastern Andes and the Atlantic Forest. In addition, we predicted that agricultural expansion will have a further negative effect on the conservation status of parrots, pushing many parrot species to the edge of extinction in the near future. Our results have conservation implications by recommending protected areas in specific parrot conservation hotspots. Our recommendations to mitigate conservation risks to this group of umbrella species would also benefit many other coexisting species as well.</t>
  </si>
  <si>
    <t>[Vergara-Tabares, David L.; Cordier, Javier M.; Landi, Marcos A.; Nori, Javier] Inst Diversidad &amp; Ecol Anim UNC CONICET, Rondeau 798,X5000AVP, Cordoba, Argentina; [Vergara-Tabares, David L.; Cordier, Javier M.; Landi, Marcos A.; Nori, Javier] Ctr Zool Aplicada UNC, Rondeau 798,X5000AVP, Cordoba, Argentina; [Olah, George] Wildlife Messengers, Richmond, VA USA; [Olah, George] Australian Natl Univ, Fenner Sch Environm &amp; Soc, Canberra, ACT, Australia</t>
  </si>
  <si>
    <t>Australian National University</t>
  </si>
  <si>
    <t>Nori, J (corresponding author), Inst Diversidad &amp; Ecol Anim UNC CONICET, Rondeau 798,X5000AVP, Cordoba, Argentina.;Nori, J (corresponding author), Ctr Zool Aplicada UNC, Rondeau 798,X5000AVP, Cordoba, Argentina.</t>
  </si>
  <si>
    <t>javiernori@gmail.com</t>
  </si>
  <si>
    <t>; Olah, George/J-1409-2014; Landi, Marcos/ADZ-2022-2022</t>
  </si>
  <si>
    <t>Vergara-Tabares, David/0000-0001-7493-7910; Olah, George/0000-0002-7935-8843; Nori, Javier/0000-0002-7127-7934</t>
  </si>
  <si>
    <t>FONCyT [PICT-2017-2666]; SECyT-UNC; CONICET doctoral fellowship</t>
  </si>
  <si>
    <t>FONCyT(FONCyT); SECyT-UNC(Secretaria de Ciencia y Tecnologia (SECYT)); CONICET doctoral fellowship</t>
  </si>
  <si>
    <t>J.N. thanks FONCyT (PICT-2017-2666) and SECyT-UNC for financial support. D.L.V-T. is a postdoctoral fellow at CONICET. M.C. is a CONICET doctoral fellowship holder. J.N. is a researcher at CONICET. We thank Suzi Bond and two anonymous reviewers for reading drafts of the manuscript and Linda Alpern for her participation in the design of the graphical abstract.</t>
  </si>
  <si>
    <t>10.1111/gcb.15135</t>
  </si>
  <si>
    <t>MJ7UA</t>
  </si>
  <si>
    <t>WOS:000535629300001</t>
  </si>
  <si>
    <t>Vörösmarty, CJ; McIntyre, PB; Gessner, MO; Dudgeon, D; Prusevich, A; Green, P; Glidden, S; Bunn, SE; Sullivan, CA; Liermann, CR; Davies, PM</t>
  </si>
  <si>
    <t>Voeroesmarty, C. J.; McIntyre, P. B.; Gessner, M. O.; Dudgeon, D.; Prusevich, A.; Green, P.; Glidden, S.; Bunn, S. E.; Sullivan, C. A.; Liermann, C. Reidy; Davies, P. M.</t>
  </si>
  <si>
    <t>NATURE</t>
  </si>
  <si>
    <t>Bunn, Stuart/B-9065-2008; Sullivan, Caroline A/T-8668-2017; Davies, Peter/KLZ-9236-2024</t>
  </si>
  <si>
    <t>Prusevich, Alexander/0000-0002-9529-443X; McIntyre, Peter/0000-0003-1809-7552; Sullivan, Caroline A/0000-0001-8486-0523;</t>
  </si>
  <si>
    <t>0028-0836</t>
  </si>
  <si>
    <t>10.1038/nature09549</t>
  </si>
  <si>
    <t>678DG</t>
  </si>
  <si>
    <t>WOS:000284051000057</t>
  </si>
  <si>
    <t>AMERICAN FRESH-WATER; MARINE; VULNERABILITY; INDICATORS; RESOURCES; MAP</t>
  </si>
  <si>
    <t>Protecting the world's freshwater resources requires diagnosing threats over a broad range of scales, from global to local. Here we present the first worldwide synthesis to jointly consider human and biodiversity perspectives on water security using a spatial framework that quantifies multiple stressors and accounts for downstream impacts. We find that nearly 80% of the world's population is exposed to high levels of threat to water security. Massive investment in water technology enables rich nations to offset high stressor levels without remedying their underlying causes, whereas less wealthy nations remain vulnerable. A similar lack of precautionary investment jeopardizes biodiversity, with habitats associated with 65% of continental discharge classified as moderately to highly threatened. The cumulative threat framework offers a tool for prioritizing policy and management responses to this crisis, and underscores the necessity of limiting threats at their source instead of through costly remediation of symptoms in order to assure global water security for both humans and freshwater biodiversity.</t>
  </si>
  <si>
    <t>[Voeroesmarty, C. J.; Green, P.] CUNY City Coll, Environm CrossRd Initiat, New York, NY 10035 USA; [McIntyre, P. B.] Univ Michigan, Sch Nat Resources &amp; Environm, Ann Arbor, MI 48109 USA; [Gessner, M. O.] Swiss Fed Inst Technol, Eawag Swiss Fed Inst Aquat Sci &amp; Technol, Dept Aquat Ecol, CH-8600 Dubendorf, Switzerland; [Gessner, M. O.] Swiss Fed Inst Technol, Inst Integrat Biol IBZ, CH-8600 Dubendorf, Switzerland; [Gessner, M. O.] Leibniz Inst Freshwater Ecol &amp; Inland Fisheries I, D-16775 Stechlin, Germany; [Dudgeon, D.] Univ Hong Kong, Sch Biol Sci, Div Ecol &amp; Biodivers, Hong Kong, Hong Kong, Peoples R China; [Prusevich, A.; Glidden, S.] Univ New Hampshire, Water Syst Anal Grp, Durham, NH 03824 USA; [Bunn, S. E.] Griffith Univ, Australian Rivers Inst, Nathan, Qld 4111, Australia; [Sullivan, C. A.] So Cross Univ, Sch Environm Sci &amp; Management, Lismore, NSW 2480, Australia; [Liermann, C. Reidy] Univ Washington, Sch Aquat &amp; Fishery Sci, Seattle, WA 98195 USA; [Davies, P. M.] Univ Western Australia, Ctr Excellence Nat Resource Management, Albany 6330, Australia</t>
  </si>
  <si>
    <t>City University of New York (CUNY) System; City College of New York (CUNY); University of Michigan System; University of Michigan; Swiss Federal Institutes of Technology Domain; Swiss Federal Institute of Aquatic Science &amp; Technology (EAWAG); ETH Zurich; Swiss Federal Institutes of Technology Domain; ETH Zurich; Leibniz Association; Leibniz Institut fur Gewasserokologie und Binnenfischerei (IGB); University of Hong Kong; University System Of New Hampshire; University of New Hampshire; Griffith University; Southern Cross University; University of Washington; University of Washington Seattle; University of Western Australia</t>
  </si>
  <si>
    <t>Vörösmarty, CJ (corresponding author), CUNY City Coll, Environm CrossRd Initiat, New York, NY 10035 USA.</t>
  </si>
  <si>
    <t>contact@riverthreat.net</t>
  </si>
  <si>
    <t>Davies, Peter/C-3518-2013; Green, Pamela/JGD-9430-2023; Bunn, Stuart/B-9065-2008; Sullivan, Caroline A/T-8668-2017</t>
  </si>
  <si>
    <t>Gessner, Mark O/0000-0003-2516-7416; Green, Pamela/0009-0006-7803-8182; Prusevich, Alexander/0000-0002-9529-443X; Bunn, Stuart/0000-0002-6540-3586; McIntyre, Peter/0000-0003-1809-7552; Sullivan, Caroline A/0000-0001-8486-0523</t>
  </si>
  <si>
    <t>NASA [NNX07AF28G]; NSF Division of Earth Sciences [0854957]; Global Environment Facility [UPI 00345306]; D.H. Smith Fellowship; Directorate For Geosciences; Division Of Earth Sciences [0854957] Funding Source: National Science Foundation</t>
  </si>
  <si>
    <t>NASA(National Aeronautics &amp; Space Administration (NASA)); NSF Division of Earth Sciences(National Science Foundation (NSF)NSF - Directorate for Geosciences (GEO)); Global Environment Facility; D.H. Smith Fellowship; Directorate For Geosciences; Division Of Earth Sciences(National Science Foundation (NSF)NSF - Directorate for Geosciences (GEO))</t>
  </si>
  <si>
    <t>We thank A. DeSherbinin, L. Poff, C. Revenga, J. Melillo and O. Young for comments on the manuscript; D. Allan, R. Abell, J. Bogardi, M. Meybeck, W. Wollheim, R. F. Wright, D. Boswell, R. Lacey, N. Schneider and D. Vorosmarty for advice; and D. Dube and B. Fekete for technical support. Grant support for database and tool development was from NASA Inter-Disciplinary Science Program Grant NNX07AF28G, with additional support from the NSF Division of Earth Sciences (Hydrologic Sciences Program Award #0854957) and Global Environment Facility (UPI 00345306). P.B.M. was supported by a D.H. Smith Fellowship. Financial and logistical support for expert group meetings and communications was from the Global Water System Project (Bonn), DIVERSITAS-freshwaterBIODIVERSITY (Paris), NSF BestNet, and Australian Agency for International Development (AusAID) through the Australian Water Research Facility. Conference facilities were provided by the Swiss Federal Institute of Science &amp; Technology (Eawag) and The City College of New York/CUNY.</t>
  </si>
  <si>
    <t>1476-4687</t>
  </si>
  <si>
    <t>10.1038/nature09440</t>
  </si>
  <si>
    <t>655TT</t>
  </si>
  <si>
    <t>WOS:000282273100031</t>
  </si>
  <si>
    <t>Masocha, M; Dube, T</t>
  </si>
  <si>
    <t>Masocha, Mhosisi; Dube, Timothy</t>
  </si>
  <si>
    <t>JOURNAL OF ARID ENVIRONMENTS</t>
  </si>
  <si>
    <t>Biodiversity hotspot; Cactus; Invasion; Species distribution modelling; Terrestrial biomes</t>
  </si>
  <si>
    <t>OPUNTIA-FICUS-INDICA; KRUGER-NATIONAL-PARK; PRICKLY PEAR CACTUS; BIOLOGICAL-CONTROL; CLIMATIC NICHE; ALIEN PLANTS; SOUTH-AFRICA; ECOLOGICAL THEORY; STRICTA; DISTRIBUTIONS</t>
  </si>
  <si>
    <t>Cacti invasion of natural ecosystems and grazing lands threaten native biodiversity and reduces economic output from infested grazing lands. Yet, few studies exist about potential hotspots of cacti invasion on a global scale. We used maximum entropy, boosted regression model and generalised additive models, calibrated using geo-referenced data from both the native and introduced ranges to construct ecological niche models for four invasive alien cacti species: Opuntia ficus-indica (the sweet prickly pear), Opuntia stricta (the sour prickly pear), Cylindropuntia imbricata (the tree cholla) and Cylindropuntia fulgida (the jumping cholla). The models were combined, using the average weighted method approach and projected onto the geographic space to predict terrestrial biomes, as well as areas of special conservation concern at risk of cacti invasion. The results indicate that the Mediterranean, tropical savanna and desert and xeric shrubland biomes are the most susceptible to cacti invasion. Eleven global biodiversity hotspots including the Mediterranean basin, Cape floristic region and Southwest Australia were associated with high risk of cacti invasion. The global maps of potential cacti distribution presented in this work have the potential to serve as an important contribution towards the implementation of a global policy to avoid the negative consequences of cacti invasion.</t>
  </si>
  <si>
    <t>[Masocha, Mhosisi] Univ Zimbabwe, Dept Geog &amp; Environm Sci, Box MP 167, Harare, Zimbabwe; [Dube, Timothy] Univ Western Cape, Dept Earth Sci, Private Bag X17, ZA-7535 Bellville, South Africa</t>
  </si>
  <si>
    <t>University of Zimbabwe; University of the Western Cape</t>
  </si>
  <si>
    <t>Masocha, M (corresponding author), Univ Zimbabwe, Dept Geog &amp; Environm Sci, Box MP 167, Harare, Zimbabwe.</t>
  </si>
  <si>
    <t>mmasocha@science.uz.ac.zw</t>
  </si>
  <si>
    <t>Dube, Timothy/O-5006-2019</t>
  </si>
  <si>
    <t>Dube, Timothy/0000-0003-3456-8991</t>
  </si>
  <si>
    <t>Environmental Management Agency of Zimbabwe (EMA); University of Zimbabwe</t>
  </si>
  <si>
    <t>We thank the Environmental Management Agency of Zimbabwe (EMA) and the University of Zimbabwe for providing funds to collect data on the occurrence of alien cacti in Zimbabwe. We are also grateful to Amkela Sidange, Maxwell Maturire, Tawanda Chinogwenya of EMA, and Christopher Chapano of the National Herbarium and Botanic Garden, Zimbabwe for field help.</t>
  </si>
  <si>
    <t>0140-1963</t>
  </si>
  <si>
    <t>1095-922X</t>
  </si>
  <si>
    <t>J ARID ENVIRON</t>
  </si>
  <si>
    <t>J. Arid. Environ.</t>
  </si>
  <si>
    <t>10.1016/j.jaridenv.2018.05.006</t>
  </si>
  <si>
    <t>GO1CG</t>
  </si>
  <si>
    <t>WOS:000439682400010</t>
  </si>
  <si>
    <t>Queiroz, N; Humphries, NE; Couto, A; Vedor, M; Costa, I; Sequeira, AMM; Mucientes, G; Santos, AM; Abascal, FJ; Abercrombie, DL; Abrantes, K; Acuna-Marrero, D; Afonso, AS; Afonso, P; Anders, D; Araujo, G; Arauz, R; Bach, P; Barnett, A; Bernal, D; Berumen, ML; Lion, SB; Bezerra, NPA; Blaison, AV; Block, BA; Bond, ME; Bonfil, R; Bradford, RW; Braun, CD; Brooks, EJ; Brooks, A; Brown, J; Bruce, BD; Byrne, ME; Campana, SE; Carlisle, AB; Chapman, DD; Chapple, TK; Chisholm, J; Clarke, CR; Clua, EG; Cochran, JEM; Crochelet, EC; Dagorn, L; Daly, R; Cortes, DD; Doyle, TK; Drew, M; Duffy, CAJ; Erikson, T; Espinoza, E; Ferreira, LC; Ferretti, F; Filmalter, JD; Fischer, GC; Fitzpatrick, R; Fontes, J; Forget, F; Fowler, M; Francis, MP; Gallagher, AJ; Gennari, E; Goldsworthy, SD; Gollock, MJ; Green, JR; Gustafson, JA; Guttridge, TL; Guzman, HM; Hammerschlag, N; Harman, L; Hazin, FHV; Heard, M; Hearn, AR; Holdsworth, JC; Holmes, BJ; Howey, LA; Hoyos, M; Hueter, RE; Hussey, NE; Huveneers, C; Irion, DT; Jacoby, DMP; Jewell, OJD; Johnson, R; Jordan, LKB; Jorgensen, SJ; Joyce, W; Daly, CAK; Ketchum, JT; Klimley, AP; Kock, AA; Koen, P; Ladino, F; Lana, FO; Lea, JSE; Llewellyn, F; Lyon, WS; MacDonnell, A; Macena, BCL; Marshall, H; McAllister, JD; McAuley, R; Meÿer, MA; Morris, JJ; Nelson, ER; Papastamatiou, YP; Patterson, TA; Peñaherrera-Palma, C; Pepperell, JG; Pierce, SJ; Poisson, F; Quintero, LM; Richardson, AJ; Rogers, PJ; Rohner, CA; Rowat, DRL; Samoilys, M; Semmens, JM; Sheaves, M; Shillinger, G; Shivji, M; Singh, S; Skomal, GB; Smale, MJ; Snyders, LB; Soler, G; Soria, M; Stehfest, KM; Stevens, JD; Thorrold, SR; Tolotti, MT; Towner, A; Travassos, P; Tyminski, JP; Vandeperre, F; Vaudo, JJ; Watanabe, YY; Weber, SB; Wetherbee, BM; White, TD; Williams, S; Zárate, PM; Harcourt, R; Hays, GC; Meekan, MG; Thums, M; Irigoien, X; Eguiluz, VM; Duarte, CM; Sousa, LL; Simpson, SJ; Southall, EJ; Sims, DW</t>
  </si>
  <si>
    <t>Queiroz, Nuno; Humphries, Nicolas E.; Couto, Ana; Vedor, Marisa; da Costa, Ivo; Sequeira, Ana M. M.; Mucientes, Gonzalo; Santos, Antonio M.; Abascal, Francisco J.; Abercrombie, Debra L.; Abrantes, Katya; Acuna-Marrero, David; Afonso, Andre S.; Afonso, Pedro; Anders, Darrell; Araujo, Gonzalo; Arauz, Randall; Bach, Pascal; Barnett, Adam; Bernal, Diego; Berumen, Michael L.; Lion, Sandra Bessudo; Bezerra, Natalia P. A.; Blaison, Antonin V.; Block, Barbara A.; Bond, Mark E.; Bonfil, Ramon; Bradford, Russell W.; Braun, Camrin D.; Brooks, Edward J.; Brooks, Annabelle; Brown, Judith; Bruce, Barry D.; Byrne, Michael E.; Campana, Steven E.; Carlisle, Aaron B.; Chapman, Demian D.; Chapple, Taylor K.; Chisholm, John; Clarke, Christopher R.; Clua, Eric G.; Cochran, Jesse E. M.; Crochelet, Estelle C.; Dagorn, Laurent; Daly, Ryan; Cortes, Daniel Devia; Doyle, Thomas K.; Drew, Michael; Duffy, Clinton A. J.; Erikson, Thor; Espinoza, Eduardo; Ferreira, Luciana C.; Ferretti, Francesco; Filmalter, John D.; Fischer, G. Chris; Fitzpatrick, Richard; Fontes, Jorge; Forget, Fabien; Fowler, Mark; Francis, Malcolm P.; Gallagher, Austin J.; Gennari, Enrico; Goldsworthy, Simon D.; Gollock, Matthew J.; Green, Jonathan R.; Gustafson, Johan A.; Guttridge, Tristan L.; Guzman, Hector M.; Hammerschlag, Neil; Harman, Luke; Hazin, Fabio H. V.; Heard, Matthew; Hearn, Alex R.; Holdsworth, John C.; Holmes, Bonnie J.; Howey, Lucy A.; Hoyos, Mauricio; Hueter, Robert E.; Hussey, Nigel E.; Huveneers, Charlie; Irion, Dylan T.; Jacoby, David M. P.; Jewell, Oliver J. D.; Johnson, Ryan; Jordan, Lance K. B.; Jorgensen, Salvador J.; Joyce, Warren; Daly, Clare A. Keating; Ketchum, James T.; Klimley, A. Peter; Kock, Alison A.; Koen, Pieter; Ladino, Felipe; Lana, Fernanda O.; Lea, James S. E.; Llewellyn, Fiona; Lyon, Warrick S.; MacDonnell, Anna; Macena, Bruno C. L.; Marshall, Heather; McAllister, Jaime D.; McAuley, Rory; Meyer, Michael A.; Morris, John J.; Nelson, Emily R.; Papastamatiou, Yannis P.; Patterson, Toby A.; Penaherrera-Palma, Cesar; Pepperell, Julian G.; Pierce, Simon J.; Poisson, Francois; Quintero, Lina Maria; Richardson, Andrew J.; Rogers, Paul J.; Rohner, Christoph A.; Rowat, David R. L.; Samoilys, Melita; Semmens, Jayson M.; Sheaves, Marcus; Shillinger, George; Shivji, Mahmood; Singh, Sarika; Skomal, Gregory B.; Smale, Malcolm J.; Snyders, Laurenne B.; Soler, German; Soria, Marc; Stehfest, Kilian M.; Stevens, John D.; Thorrold, Simon R.; Tolotti, Mariana T.; Towner, Alison; Travassos, Paulo; Tyminski, John P.; Vandeperre, Frederic; Vaudo, Jeremy J.; Watanabe, Yuuki Y.; Weber, Sam B.; Wetherbee, Bradley M.; White, Timothy D.; Williams, Sean; Zarate, Patricia M.; Harcourt, Robert; Hays, Graeme C.; Meekan, Mark G.; Thums, Michele; Irigoien, Xabier; Eguiluz, Victor M.; Duarte, Carlos M.; Sousa, Lara L.; Simpson, Samantha J.; Southall, Emily J.; Sims, David W.</t>
  </si>
  <si>
    <t>IMPROVING LIGHT; PELAGIC SHARKS; PATTERNS; GEOLOCATION; TRACKING; CONSERVATION; TEMPERATURE; MOVEMENTS; BYCATCH; MODEL</t>
  </si>
  <si>
    <t>Effective ocean management and the conservation of highly migratory species depend on resolving the overlap between animal movements and distributions, and fishing effort. However, this information is lacking at a global scale. Here we show, using a big-data approach that combines satellite-tracked movements of pelagic sharks and global fishing fleets, that 24% of the mean monthly space used by sharks falls under the footprint of pelagic longline fisheries. Space-use hotspots of commercially valuable sharks and of internationally protected species had the highest overlap with longlines (up to 76% and 64%, respectively), and were also associated with significant increases in fishing effort. We conclude that pelagic sharks have limited spatial refuge from current levels of fishing effort in marine areas beyond national jurisdictions (the high seas). Our results demonstrate an urgent need for conservation and management measures at high-seas hotspots of shark space use, and highlight the potential of simultaneous satellite surveillance of megafauna and fishers as a tool for near-real-time, dynamic management.</t>
  </si>
  <si>
    <t>[Queiroz, Nuno; Couto, Ana; Vedor, Marisa; da Costa, Ivo; Mucientes, Gonzalo; Santos, Antonio M.] Univ Porto, Campus Agr Vairao, Res Network Biodivers &amp; Evolutionary Biol, Ctr Invest Biodiversidade &amp; Recursos Genet, Vairao, Portugal; [Queiroz, Nuno; Humphries, Nicolas E.; Sousa, Lara L.; Simpson, Samantha J.; Southall, Emily J.; Sims, David W.] Marine Biol Assoc UK, Plymouth, Devon, England; [Vedor, Marisa; Santos, Antonio M.] Univ Porto, Fac Ciencias, Dept Biol, Porto, Portugal; [Sequeira, Ana M. M.] Univ Western Australia, Indian Ocean Marine Res Ctr, UWA Oceans Inst, Crawley, WA, Australia; [Sequeira, Ana M. M.] Univ Western Australia, Sch Biol Sci, Crawley, WA, Australia; [Abascal, Francisco J.] Spanish Inst Oceanog, Santa Cruz De Tenerife, Spain; [Abercrombie, Debra L.] Port Jefferson Stn, Abercrombie &amp; Fish, Jefferson, NY USA; [Abrantes, Katya; Barnett, Adam; Fitzpatrick, Richard; Sheaves, Marcus] James Cook Univ, Coll Sci &amp; Engn, Marine Biol &amp; Aquaculture Unit, Cairns, Qld, Australia; [Acuna-Marrero, David] Massey Univ, Sch Nat &amp; Computat Sci, Palmerston North, New Zealand; [Afonso, Andre S.; Bezerra, Natalia P. A.; Hazin, Fabio H. V.; Macena, Bruno C. L.; Travassos, Paulo] Univ Fed Rural Pernambuco UFRPE, Dept Pesca &amp; Aquicultura, Recife, PE, Brazil; [Afonso, Andre S.] Inst Politecn Leiria, Marine &amp; Environm Sci Ctr, MARE, Peniche, Portugal; [Afonso, Pedro; Fontes, Jorge; Vandeperre, Frederic] Univ Lisbon, Fac Ciencias, Lab Maritimo Guia, MARE, Cascais, Portugal; [Afonso, Pedro; Fontes, Jorge; Macena, Bruno C. L.; Vandeperre, Frederic] Univ Acores, Dept Oceanog &amp; Pescas, Inst Marine Res IMAR, Horta, Portugal; [Afonso, Pedro; Fontes, Jorge; Vandeperre, Frederic] Univ Acores, Dept Oceanogr &amp; Pescas, Okeanos, Horta, Portugal; [Anders, Darrell; Meyer, Michael A.; Singh, Sarika; Snyders, Laurenne B.] Oceans &amp; Coasts Res, Dept Environm Affairs, Cape Town, South Africa; [Araujo, Gonzalo] Large Marine Vertebrates Res Inst Philippines, Jagna, Philippines; [Arauz, Randall] Fins Attached Marine Res &amp; Conservat, Colorado Springs, CO USA; [Arauz, Randall] Programa Restaurac Tortugas Marinas PRETOMA, San Jose, Costa Rica; [Arauz, Randall; Lion, Sandra Bessudo; Espinoza, Eduardo; Hearn, Alex R.; Hoyos, Mauricio; Ketchum, James T.; Klimley, A. Peter; Penaherrera-Palma, Cesar; Shillinger, George; Soler, German; Zarate, Patricia M.] MigraMar, Olema, CA USA; [Bach, Pascal; Blaison, Antonin V.; Dagorn, Laurent; Filmalter, John D.; Forget, Fabien; Poisson, Francois; Soria, Marc; Tolotti, Mariana T.] Univ Montpellier, CNRS, IFREMER, IRD,UMR MARBEC, Sete, France; [Bernal, Diego; Marshall, Heather] Univ Massachusetts, Biol Dept, Dartmouth, MA USA; [Berumen, Michael L.; Cochran, Jesse E. M.; Duarte, Carlos M.] King Abdullah Univ Sci &amp; Technol, Div Biol &amp; Environm Sci &amp; Engn, Red Sea Res Ctr, Thuwal, Saudi Arabia; [Lion, Sandra Bessudo; Ladino, Felipe; Quintero, Lina Maria; Soler, German] Fdn Malpelo &amp; Otros Ecosistemas Marinos, Bogota, Colombia; [Block, Barbara A.; Chapple, Taylor K.; Ferretti, Francesco; Shillinger, George; White, Timothy D.] Stanford Univ, Hopkins Marine Stn, Pacific Grove, CA 93950 USA; [Bond, Mark E.; Chapman, Demian D.; Papastamatiou, Yannis P.] Florida Int Univ, Dept Biol Sci, N Miami, FL USA; [Bonfil, Ramon] Oceanos Vivientes, Mexico City, DF, Mexico; [Bradford, Russell W.; Bruce, Barry D.; Patterson, Toby A.; Stevens, John D.] CSIRO Oceans &amp; Atmosphere, Hobart, Tas, Australia; [Braun, Camrin D.] MIT, Woods Hole Oceanog Inst, Joint Program Oceanog Appl Ocean Sci &amp; Engn, 77 Massachusetts Ave, Cambridge, MA 02139 USA; [Brooks, Edward J.; Brooks, Annabelle; Williams, Sean] Cape Eleuthera Inst, Shark Res &amp; Conservat Program, Eleuthera, Bahamas; [Brooks, Annabelle] Univ Exeter, Exeter, Devon, England; [Byrne, Michael E.; Shivji, Mahmood; Vaudo, Jeremy J.; Wetherbee, Bradley M.] Nova Southeastern Univ, Guy Harvey Res Inst, Dept Biol Sci, Dania, FL USA; [Byrne, Michael E.] Univ Missouri, Sch Nat Resources, Columbia, MO USA; [Campana, Steven E.] Univ Iceland, Life &amp; Environm Sci, Reykjavik, Iceland; [Carlisle, Aaron B.] Univ Delaware, Sch Marine Sci &amp; Policy, Lewes, DE 19958 USA; [Chisholm, John; Skomal, Gregory B.] Massachusetts Div Marine Fisheries, New Bedford, MA USA; [Clarke, Christopher R.; Lea, James S. E.] Marine Res Facil, Jeddah, Saudi Arabia; [Clua, Eric G.] UPVD, CNRS, USR3278, EPHE,PSL,Labex CORAIL,CRIOBE, Papetoai, French Polynesi, France; [Crochelet, Estelle C.] Agence Rech Biodiversite Reun ARBRE, Marseille, France; [Crochelet, Estelle C.] Inst Rech Dev, ESPACE DEV, UMR 228, Marseille, France; [Daly, Ryan; Daly, Clare A. Keating] SOSF, DRC, Geneva, Switzerland; [Daly, Ryan; Filmalter, John D.; Gennari, Enrico; Kock, Alison A.] SAIAB, Grahamstown, South Africa; [Cortes, Daniel Devia] Inst Fomento Pesquero IFOP, Fisheries Res Div, Dept Fisheries Evaluat, Valparaiso, Chile; [Doyle, Thomas K.; Harman, Luke] Univ Coll Cork, Sch Biol Earth &amp; Environm Sci, Cork, Ireland; [Doyle, Thomas K.] Univ Coll Cork, Environm Res Inst, MaREI Ctr, Cork, Ireland; [Drew, Michael; Heard, Matthew; Huveneers, Charlie] Flinders Univ S Australia, Coll Sci &amp; Engn, Adelaide, SA, Australia; [Duffy, Clinton A. J.] Dept Conservat, Auckland, New Zealand; [Erikson, Thor] SAIAB, Geol Sci, Durban, South Africa; [Espinoza, Eduardo] Direcc Parque Nacl Galapagos, Puerto Ayora, Ecuador; [Ferreira, Luciana C.; Meekan, Mark G.; Thums, Michele] Indian Ocean Marine Res Ctr UWA, Australian Inst Marine Sci, Crawley, WA, Australia; [Fischer, G. Chris] OCEARCH, Park City, UT USA; [Fowler, Mark; Joyce, Warren; MacDonnell, Anna] Bedford Inst Oceanog, Dartmouth, NS, Canada; [Francis, Malcolm P.; Lyon, Warrick S.] Natl Inst Water &amp; Atmospher Res, Wellington, New Zealand; [Gallagher, Austin J.] Beneath Waves, Herndon, VA USA; [Gallagher, Austin J.; Hammerschlag, Neil; Nelson, Emily R.] Univ Miami, Rosenstiel Sch Marine &amp; Atmospher Sci, 4600 Rickenbacker Causeway, Miami, FL 33149 USA; [Gennari, Enrico] Oceans Res, Mossel Bay, South Africa; [Gennari, Enrico; Towner, Alison] Rhodes Univ, Dept Ichthyol &amp; Fisheries Sci, Grahamstown, South Africa; [Goldsworthy, Simon D.; Rogers, Paul J.] SARDI Aquat Sci, Adelaide, SA, Australia; [Gollock, Matthew J.; Llewellyn, Fiona] Zool Soc London, London, England; [Green, Jonathan R.] Galapagos Whale Shark Project, Puerto Ayora, Galapagos Islan, Ecuador; [Gustafson, Johan A.] Griffith Univ, Sch Engn, Griffith Ctr Coastal Management, Gold Coast, Qld, Australia; [Guttridge, Tristan L.] Bimini Biol Field Stn, South Bimini, Bahamas; [Guzman, Hector M.] Smithsonian Trop Res, Panama City, Panama; [Hammerschlag, Neil] Univ Miami, Leonard &amp; Jayne Abess Ctr Ecosyst Sci &amp; Policy, Coral Gables, FL 33124 USA; [Hearn, Alex R.] Galapagos Sci Ctr, San Cristobal, Ecuador; [Hearn, Alex R.] Univ San Francisco Quito, Quito, Ecuador; [Holdsworth, John C.] Blue Water Marine Res, Tutukaka, New Zealand; [Holmes, Bonnie J.] Univ Queensland, Brisbane, Qld, Australia; [Howey, Lucy A.; Jordan, Lance K. B.] Microwave Telemetry, Columbia, MD USA; [Hoyos, Mauricio; Ketchum, James T.] Pelagios Kakunja, La Paz, Mexico; [Hueter, Robert E.; Morris, John J.; Tyminski, John P.] Mote Marine Lab, Ctr Shark Res, Sarasota, FL 34236 USA; [Hussey, Nigel E.] Univ Windsor, Biol Sci, Windsor, ON, Canada; [Irion, Dylan T.] Cape Res &amp; Div Dev, Simonstown, South Africa; [Jacoby, David M. P.] Zool Soc London, Inst Zool, London, England; [Jewell, Oliver J. D.] Murdoch Univ, Harry Butler Inst, Ctr Sustainable Aquat Ecosyst, Perth, WA, Australia; [Jewell, Oliver J. D.; Towner, Alison] Dyer Isl Conservat Trust, Kleinbaai, South Africa; [Johnson, Ryan] Blue Wilderness Res Unit, Scottburgh, South Africa; [Jorgensen, Salvador J.] Monterey Bay Aquarium, Monterey, CA USA; [Klimley, A. Peter] Univ Calif Davis, Davis, CA 95616 USA; [Kock, Alison A.] South African Natl Parks, Cape Res Ctr, Steenberg, South Africa; [Kock, Alison A.] Shark Spotters, Fish Hoek, South Africa; [Kock, Alison A.] Univ Cape Town, Dept Biol Sci, Inst Communities &amp; Wildlife Africa, Cape Town, South Africa; [Koen, Pieter] Western Cape Dept Agr, Vet Serv, Elsenburg, South Africa; [Lana, Fernanda O.] Univ Fed Fluminense, Dept Biol Marinha, Niteroi, RJ, Brazil; [Lea, James S. E.] Univ Cambridge, Dept Zool, Cambridge, England; [Marshall, Heather] Atlantic White Shark Conservancy, Chatham, MA USA; [McAllister, Jaime D.; Semmens, Jayson M.; Soler, German; Stehfest, Kilian M.] Univ Tasmania, Inst Marine &amp; Antarct Studies, Fisheries &amp; Aquaculture Ctr, Hobart, Tas, Australia; [McAuley, Rory] Govt Western Australia, Dept Fisheries, Perth, WA, Australia; [McAuley, Rory] Flourishing Oceans Initiat, Minderoo Fdn, Perth, WA, Australia; [Penaherrera-Palma, Cesar] Pontificia Univ Catolica Ecuador Sede Manabi, Portoviejo, Ecuador; [Pepperell, Julian G.] Pepperell Res &amp; Consulting, Noosa, Qld, Australia; [Pierce, Simon J.; Rohner, Christoph A.] Marine Megafauna Fdn, Truckee, CA USA; [Richardson, Andrew J.] Ascens Isl Govt, Conservat &amp; Fisheries Dept, Georgetown, Guyana; [Richardson, Andrew J.] Conservat &amp; Fisheries Dept, Georgetown, Ascension Isl, England; [Rowat, David R. L.] Marine Conservat Soc Seychelles, Victoria, Seychelles; [Samoilys, Melita] CORDIO, Mombasa, Kenya; [Shillinger, George] Upwell, Monterey, CA USA; [Smale, Malcolm J.] Nelson Mandela Univ, Dept Zool, Port Elizabeth, South Africa; [Shillinger, George; Smale, Malcolm J.] Nelson Mandela Univ, Inst Coastal &amp; Marine Res, Port Elizabeth, South Africa; [Thorrold, Simon R.] Woods Hole Oceanog Inst, Dept Biol, Woods Hole, MA 02543 USA; [Watanabe, Yuuki Y.] Natl Inst Polar Res, Tachikawa, Tokyo, Japan; [Watanabe, Yuuki Y.] Grad Univ Adv Studies, SOKENDAI, Dept Polar Sci, Tachikawa, Tokyo, Japan; [Weber, Sam B.] Univ Exeter, Ctr Ecol &amp; Conservat, Penryn, England; [Wetherbee, Bradley M.] Univ Rhode Isl, Dept Biol Sci, Kingston, RI 02881 USA; [Zarate, Patricia M.] Inst Fomento Pesquero IFOP, Fisheries Res Div, Dept Oceanog &amp; Environm, Valparaiso, Chile; [Harcourt, Robert] Macquarie Univ, Dept Biol Sci, Sydney, NSW, Australia; [Hays, Graeme C.] Deakin Univ, Sch Life &amp; Environm Sci, Geelong, Vic, Australia; [Irigoien, Xabier] AZTI Marine Res, Pasaia, Spain; [Irigoien, Xabier] Basque Fdn Sci, IKERBASQUE, Bilbao, Spain; [Eguiluz, Victor M.] Univ Balearic Isl, CSIC, Inst Fis Interdisciplinar &amp; Sistemas Complejos, Palma de Mallorca, Spain; [Sousa, Lara L.] Univ Oxford, Dept Zool, Wildlife Conservat Res Unit, Tubney, England; [Simpson, Samantha J.; Sims, David W.] Univ Southampton, Natl Oceanog Ctr Southampton, Ocean &amp; Earth Sci, Southampton, Hants, England; [Sims, David W.] Univ Southampton, Ctr Biol Sci, Southampton, Hants, England</t>
  </si>
  <si>
    <t>Universidade do Porto; Marine Biological Association United Kingdom; Universidade do Porto; University of Western Australia; University of Western Australia; Spanish Institute of Oceanography; James Cook University; Massey University; Universidade Federal Rural de Pernambuco (UFRPE); Polytechnic Institute of Leiria; Universidade de Lisboa; Universidade dos Acores; Universidade dos Acores; Department of Environment, Forestry &amp; Fisheries; Centre National de la Recherche Scientifique (CNRS); Ifremer; Universite de Montpellier; Institut de Recherche pour le Developpement (IRD); University of Massachusetts System; University Massachusetts Dartmouth; King Abdullah University of Science &amp; Technology; Stanford University; State University System of Florida; Florida International University; Commonwealth Scientific &amp; Industrial Research Organisation (CSIRO); CSIRO Oceans &amp; Atmosphere; Woods Hole Oceanographic Institution; Massachusetts Institute of Technology (MIT); University of Exeter; Nova Southeastern University; University of Missouri System; University of Missouri Columbia; University of Iceland; University of Delaware; Massachusetts Division of Marine Fisheries; Centre National de la Recherche Scientifique (CNRS); CNRS - Institute of Ecology &amp; Environment (INEE); Universite PSL; Ecole Pratique des Hautes Etudes (EPHE); Institut de Recherche pour le Developpement (IRD); National Research Foundation - South Africa; South African Institute for Aquatic Biodiversity; Instituto de Fomento Pesquero (Valparaiso); University College Cork; University College Cork; Flinders University; National Research Foundation - South Africa; South African Institute for Aquatic Biodiversity; University of Western Australia; Australian Institute of Marine Science; Bedford Institute of Oceanography; Earth Sciences New Zealand; National Institute of Water &amp; Atmospheric Research (NIWA) - New Zealand; University of Miami; Rhodes University; Zoological Society of London; Griffith University; Smithsonian Institution; Smithsonian Tropical Research Institute; University of Miami; Universidad San Francisco de Quito; Universidad San Francisco de Quito; University of Queensland; Mote Marine Laboratory &amp; Aquarium; University of Windsor; Zoological Society of London; Murdoch University; Monterey Bay Aquarium Research Institute; University of California System; University of California Davis; University of Cape Town; Universidade Federal Fluminense; University of Cambridge; University of Tasmania; Minderoo Foundation; Pontificia Universidad Catolica del Ecuador; Nelson Mandela University; Nelson Mandela University; Woods Hole Oceanographic Institution; Research Organization of Information &amp; Systems (ROIS); National Institute of Polar Research (NIPR) - Japan; Graduate University for Advanced Studies - Japan; University of Exeter; University of Rhode Island; Instituto de Fomento Pesquero (Valparaiso); Macquarie University; Deakin University; AZTI; Basque Foundation for Science; Consejo Superior de Investigaciones Cientificas (CSIC); Universitat de les Illes Balears; CSIC-UIB - Instituto de Fisica Interdisciplinar y Sistemas Complejos (IFISC); University of Oxford; University of Southampton; NERC National Oceanography Centre; University of Southampton</t>
  </si>
  <si>
    <t>Sims, DW (corresponding author), Marine Biol Assoc UK, Plymouth, Devon, England.;Sims, DW (corresponding author), Univ Southampton, Natl Oceanog Ctr Southampton, Ocean &amp; Earth Sci, Southampton, Hants, England.;Sims, DW (corresponding author), Univ Southampton, Ctr Biol Sci, Southampton, Hants, England.</t>
  </si>
  <si>
    <t>; Bradford, Russell/N-3442-2015; CLUA, Eric/D-7820-2013; Queiroz, Nuno/G-3850-2010; Bonfil, Ramon/K-1226-2012; Humphries, Nicolas/LSJ-0961-2024; Vaudo, Jeremy/AAE-6613-2020; TRAVASSOS, PAULO/AAX-5734-2020; Eguíluz, Víctor M/B-9655-2008; Fontes, Jorge/KDP-1808-2024; Berumen, Michael/F-7745-2011; Braun, Camrin/G-8718-2012; Hearn, Alex/AAK-6461-2020; Abascal, Francisco/I-4222-2015; Mucientes Sandoval, Gonzalo/A-1057-2009; Afonso, André/AFL-1497-2022; Southall, Emily J/AGP-5395-2022; Bach, Pascal/E-9370-2013; Afonso, Peo/MFK-1866-2025; Hazin, Fábio/A-8402-2013; Vedor, Marisa/D-9038-2015; L Sousa, Lara/L-7774-2013; Rohner, Christoph/AAJ-1661-2020; Ferretti, Francesco/AAR-2545-2020; Patterson, Toby/B-3836-2011; Duarte, Carlos M/A-7670-2013; Sequeira, Ana/AAE-9741-2021; Holmes, Bonnie/AAZ-5413-2021; Campana, Steven/L-7918-2019; Sheaves, Marcus/G-4283-2012; Rogers, Paul/MZQ-2909-2025; Pierce, Simon/A-7621-2010; Sandoval, Gonzalo/A-1057-2009; Bruce, barry/LVS-2906-2024; Lyon, Warrick/JTS-3460-2023; Dagorn, Laurent/K-1002-2016; Shivji, Mahmood/G-4080-2013; Macena, Bruno C.L./ABD-2959-2021; Thums, Michele/A-3850-2013; Araujo, Gonzalo/AAR-6416-2020; Hussey, Nigel/F-9699-2015; Thorrold, Simon/B-7565-2012; Sims, David/MVU-4533-2025; Santos, António/M-3515-2013; Williams, Sean/KIC-4728-2024; Ketchum, James/LTY-8051-2024; Irigoien, Xabier/B-8171-2009; Ferreira, Luciana/OJV-2522-2025</t>
  </si>
  <si>
    <t>Couto, Ana/0000-0003-3050-7219; Bradford, Russell/0000-0003-0291-3180; Barnett, Adam/0000-0001-7430-8428; CLUA, Eric/0000-0001-7629-2685; Queiroz, Nuno/0000-0002-3860-7356; Bonfil, Ramon/0000-0002-5753-464X; Jewell, Oliver/0000-0001-7680-8960; Cerqueira Ferreira, Luciana/0000-0001-6755-2799; Doyle, Thomas/0000-0003-1616-5590; Gennari, Enrico/0000-0002-4334-727X; Humphries, Nicolas/0000-0003-3741-1594; Jacoby, David/0000-0003-2729-3811; Huveneers, Charlie/0000-0001-8937-1358; Vaudo, Jeremy/0000-0002-6826-3822; TRAVASSOS, PAULO/0000-0001-8667-5292; Crochelet, Estelle/0000-0002-2791-2443; Goldsworthy, Simon/0000-0003-4988-9085; Soria, Marc/0000-0001-7409-5872; Zarate Bustamante, Patricia/0000-0002-9236-6936; Eguíluz, Víctor M/0000-0003-1133-1289; Keating, Clare/0009-0001-6952-3948; Fontes, Jorge/0000-0002-8451-5532; Carlisle, Aaron/0000-0003-0796-6564; Berumen, Michael/0000-0003-2463-2742; Costa, Ivo/0000-0001-6534-4603; Braun, Camrin/0000-0002-9317-9489; abrantes, katya/0000-0001-8648-8817; Irion, Dylan/0000-0002-1075-3458; Abercrombie, Debra/0000-0002-2572-1862; Hearn, Alex/0000-0002-4986-098X; Abascal, Francisco/0000-0002-8550-8617; Mucientes Sandoval, Gonzalo/0000-0001-6650-3020; Byrne, Michael/0000-0002-9464-9534; Afonso, André/0000-0001-9129-278X; Southall, Emily J/0000-0001-7246-278X; Meekan, Mark/0000-0002-3067-9427; Guzman, Hector M/0000-0001-9928-8523; Si, David/0000-0002-0916-7363; Bach, Pascal/0000-0003-0804-8466; Afonso, Peo/0000-0002-4618-2589; Hazin, Fábio/0000-0003-3755-5379; Vedor, Marisa/0000-0001-7336-3732; Smale, Malcolm/0000-0002-1135-8687; Harcourt, Robert/0000-0003-4666-2934; L Sousa, Lara/0000-0002-4392-3572; Rohner, Christoph/0000-0001-8760-8972; Ferretti, Francesco/0000-0001-9510-3552; Semmens, Jayson/0000-0003-1742-6692; Patterson, Toby/0000-0002-7150-9205; Duarte, Carlos M/0000-0002-1213-1361; de Oliveira Lana, Fernanda/0000-0001-7235-069X; Sequeira, Ana/0000-0001-6906-799X; Holmes, Bonnie/0000-0002-8559-9950; Campana, Steven/0000-0002-7453-3761; Papastamatiou, Yannis/0000-0002-6091-6841; Vandeperre, Frederic/0000-0002-3947-6917;</t>
  </si>
  <si>
    <t>Marine Biological Association (MBA); UK Natural Environment Research Council (NERC) [NE/R00997X/1]; Save Our Seas Foundation; NERC Oceans 2025 Strategic Research Programme; MBA Senior Research Fellowship; European Regional Development Fund (FEDER) via the Programa Operacional Competitividade e Internacionalizacao (COMPETE); Fundacao para a Ciencia e a Tecnologia (FCT) [PTDC/MAR/100345/2008, COMPETE FCOMP-01-0124-FEDER-010580]; Norte Portugal Regional Operational Programme (NORTE 2020) under the PORTUGAL 2020 Partnership Agreement through the European Regional Development Fund (ERDF) in project MarInfo [NORTE-01-0145-FEDER-000031]; FCT [IF/01611/2013, PD/BD/52603/2014, PTDC/MAR-BIO/4458/2012]; Xunta de Galicia - Isabel Barreto Program 2009-2012; Australian Research Council (ARC) [DE170100841]; Australian Institute for Marine Science (AIMS); NERC [NE/R00997X/1] Funding Source: UKRI; Fundação para a Ciência e a Tecnologia [PD/BD/52603/2014, PTDC/MAR/100345/2008, PTDC/MAR-BIO/4458/2012] Funding Source: FCT; Australian Research Council [DE170100841] Funding Source: Australian Research Council</t>
  </si>
  <si>
    <t>Marine Biological Association (MBA); UK Natural Environment Research Council (NERC)(UK Research &amp; Innovation (UKRI)Natural Environment Research Council (NERC)); Save Our Seas Foundation; NERC Oceans 2025 Strategic Research Programme; MBA Senior Research Fellowship; European Regional Development Fund (FEDER) via the Programa Operacional Competitividade e Internacionalizacao (COMPETE)(European Union (EU)); Fundacao para a Ciencia e a Tecnologia (FCT)(Fundacao para a Ciencia e a Tecnologia (FCT)); Norte Portugal Regional Operational Programme (NORTE 2020) under the PORTUGAL 2020 Partnership Agreement through the European Regional Development Fund (ERDF) in project MarInfo; FCT(Fundacao para a Ciencia e a Tecnologia (FCT)); Xunta de Galicia - Isabel Barreto Program 2009-2012(Xunta de Galicia); Australian Research Council (ARC)(Australian Research Council); Australian Institute for Marine Science (AIMS); NERC(UK Research &amp; Innovation (UKRI)Natural Environment Research Council (NERC)); Fundação para a Ciência e a Tecnologia(Fundacao para a Ciencia e a Tecnologia (FCT)); Australian Research Council(Australian Research Council)</t>
  </si>
  <si>
    <t>We thank all who were involved in fieldwork and data collection (full details are given in the Supplementary Information). Data analysis was funded in part by the Marine Biological Association (MBA) and the UK Natural Environment Research Council (NERC) (NE/R00997X/1) (to D.W.S.) with additional research support from the Save Our Seas Foundation and the NERC Oceans 2025 Strategic Research Programme, in which D.W.S. was a principal investigator. D.W.S. was supported by an MBA Senior Research Fellowship, N.Q. by European Regional Development Fund (FEDER) via the Programa Operacional Competitividade e Internacionalizacao (COMPETE), National Funds via Fundacao para a Ciencia e a Tecnologia (FCT) under PTDC/MAR/100345/2008 and COMPETE FCOMP-01-0124-FEDER-010580 (to N.Q. and D.W.S.), and Norte Portugal Regional Operational Programme (NORTE 2020) under the PORTUGAL 2020 Partnership Agreement through the European Regional Development Fund (ERDF) in project MarInfo (NORTE-01-0145-FEDER-000031). Additional support was provided by an FCT Investigator Fellowship IF/01611/2013 (N.Q.), FCT Doctoral Fellowship PD/BD/52603/2014 (M.V.), PTDC/MAR-BIO/4458/2012, Xunta de Galicia - Isabel Barreto Program 2009-2012 (G.M.), Australian Research Council (ARC) grant DE170100841 and operational funds from the Australian Institute for Marine Science (AIMS) (both to A.M.M.S.). We thank Stanford University, the Tagging of Pacific Predators programme and Global Fishing Watch for making data freely available. We thank M. Dando for creating the shark images. This research contributes to the Global Shark Movement Project (GSMP).</t>
  </si>
  <si>
    <t>10.1038/s41586-019-1444-4</t>
  </si>
  <si>
    <t>IS5UZ</t>
  </si>
  <si>
    <t>WOS:000482219600033</t>
  </si>
  <si>
    <t>Halpern, BS; Ebert, CM; Kappel, CV; Madin, EMP; Micheli, F; Perry, M; Selkoe, KA; Walbridge, S</t>
  </si>
  <si>
    <t>Halpern, Benjamin S.; Ebert, Colin M.; Kappel, Carrie V.; Madin, Elizabeth M. P.; Micheli, Fiorenza; Perry, Matthew; Selkoe, Kimberly A.; Walbridge, Shaun</t>
  </si>
  <si>
    <t>Hotspots; nutrient runoff; land-based pollution; watersheds; ecosystem-based management</t>
  </si>
  <si>
    <t>HUMAN IMPACT; TERRESTRIAL; NITROGEN; SEDIMENT; HUMANS; INPUTS; RIVERS</t>
  </si>
  <si>
    <t>Coastal marine ecosystems rank among the most productive ecosystems on earth but are also highly threatened by the exposure to both ocean-and land-based human activities. Spatially explicit information on the distributions of land-based impacts is critical for managers to identify where the effects of land-based activities on ecosystem condition are greatest and, therefore, where they should prioritize mitigation of land-based impacts. Here, we quantify the global cumulative impact of four of the most pervasive land-based impacts on coastal ecosystems-nutrient input, organic and inorganic pollution, and the direct impact of coastal populations (e. g., coastal engineering and trampling)-and identify hotspots of land-based impact using a variety of metrics. These threat hotspots were primarily in Europe and Asia, with the top three adjacent to the Mississippi, Ganges, and Mekong rivers. We found that 95% of coastal and shelf areas (&lt;200 m depth) and 40% of the global coastline experience little to no impact from land-based human activities, suggesting that marine conservation and resource management in these areas can focus on managing current ocean activities and preventing future spread of land-based stressors. These results provide guidance on where coordination between marine and terrestrial management is most critical and where a focus on ocean-based impacts is instead needed.</t>
  </si>
  <si>
    <t>[Halpern, Benjamin S.; Ebert, Colin M.; Kappel, Carrie V.; Perry, Matthew; Selkoe, Kimberly A.; Walbridge, Shaun] Natl Ctr Ecol Anal &amp; Synth, Santa Barbara, CA 93101 USA; [Madin, Elizabeth M. P.] Univ Calif Santa Barbara, Dept Ecol Evolut &amp; Marine Biol, Santa Barbara, CA 93106 USA; [Micheli, Fiorenza] Stanford Univ, Hopkins Marine Stn, Pacific Grove, CA 93950 USA; [Selkoe, Kimberly A.] Univ Hawaii, Hawaii Inst Marine Biol, Kaneohe, HI 96744 USA</t>
  </si>
  <si>
    <t>University of California System; University of California Santa Barbara; University of California System; University of California Santa Barbara; Stanford University; University of Hawaii System</t>
  </si>
  <si>
    <t>; Kappel, Carrie/B-9534-2009; Halpern, Benjamin/J-6141-2014</t>
  </si>
  <si>
    <t>Micheli, Fiorenza/0000-0002-6865-1438; Walbridge, Shaun/0000-0001-6369-8088; Kappel, Carrie/0000-0003-2507-8042;</t>
  </si>
  <si>
    <t>National Center for Ecological Analysis and Synthesis (NCEAS), National Science Foundation; David and Lucile Packard Foundation; National Marine Sanctuaries [MOA 2005-008/66832]; National Science Foundation</t>
  </si>
  <si>
    <t>National Center for Ecological Analysis and Synthesis (NCEAS), National Science Foundation(National Science Foundation (NSF)); David and Lucile Packard Foundation(The David &amp; Lucile Packard Foundation); National Marine Sanctuaries; National Science Foundation(National Science Foundation (NSF))</t>
  </si>
  <si>
    <t>Thanks to R. Watson, B. Steneck, R. Myers, D. Heinnemann, R. Fujita, H. Fox, and M. Spalding for initial input into the approach used in this project, J. Harrison for input and nutrient validation data from the Global-NEWS project, and J. Hutton at the United Nations Environment Programme (UNEP) for sharing ecosystem data layers. This work was funded by the National Center for Ecological Analysis and Synthesis (NCEAS), which is supported by the National Science Foundation, a grant from the David and Lucile Packard Foundation to the NCEAS to evaluate ecosystem-based management in coastal oceans (B. S. H., C. V. K., and S. W.), support from the National Marine Sanctuaries MOA 2005-008/66832 (K. A. S), and an National Science Foundation Graduate Research Fellowship (E. M. P. M.).</t>
  </si>
  <si>
    <t>10.1111/j.1755-263X.2009.00060.x</t>
  </si>
  <si>
    <t>616QJ</t>
  </si>
  <si>
    <t>WOS:000279223600006</t>
  </si>
  <si>
    <t>Gumbs, R; Gray, CL; Böhm, M; Hoffmann, M; Grenyer, R; Jetz, W; Meiri, S; Roll, U; Owen, NR; Rosindell, J</t>
  </si>
  <si>
    <t>Gumbs, Rikki; Gray, Claudia L.; Bohm, Monika; Hoffmann, Michael; Grenyer, Richard; Jetz, Walter; Meiri, Shai; Roll, Uri; Owen, Nisha R.; Rosindell, James</t>
  </si>
  <si>
    <t>EXTINCTION RISK; EVOLUTIONARY HISTORY; CLIMATE-CHANGE; THREAT; PATTERNS; ENDEMISM; REVEALS; RATES; LAND; TREE</t>
  </si>
  <si>
    <t>Phylogenetic diversity measures are increasingly used in conservation planning to represent aspects of biodiversity beyond that captured by species richness. Here we develop two new metrics that combine phylogenetic diversity and the extent of human pressure across the spatial distribution of species - one metric valuing regions and another prioritising species. We evaluate these metrics for reptiles, which have been largely neglected in previous studies, and contrast these results with equivalent calculations for all terrestrial vertebrate groups. We find that regions under high human pressure coincide with the most irreplaceable areas of reptilian diversity, and more than expected by chance. The highest priority reptile species score far above the top mammal and bird species, and reptiles include a disproportionate number of species with insufficient extinction risk data. Data Deficient species are, in terms of our species-level metric, comparable to Critically Endangered species and therefore may require urgent conservation attention. In addition to species richness, evolutionary measures of biodiversity are important considerations for conservation. Here, Gumbs et al. develop new biodiversity metrics incorporating phylogenetic diversity and human pressure and highlight conservation priorities in a global analysis of reptiles.</t>
  </si>
  <si>
    <t>[Gumbs, Rikki; Rosindell, James] Imperial Coll London, Dept Life Sci, Silwood Pk Campus, Ascot SL5 7PY, Berks, England; [Gumbs, Rikki] Imperial Coll London, Grantham Inst, Sci &amp; Solut Changing Planet DTP, Exhibit Rd, London SW7 2AZ, England; [Gumbs, Rikki; Gray, Claudia L.] Zool Soc London, EDGE Existence Programme, Regents Pk, London NW1 4RY, England; [Bohm, Monika] Zool Soc London, Inst Zool, Regents Pk, London NW1 4RY, England; [Hoffmann, Michael] Zool Soc London, Conservat &amp; Policy, Regents Pk, London NW1 4RY, England; [Grenyer, Richard] Univ Oxford, Sch Geog &amp; Environm, Oxford OX1 3QY, England; [Jetz, Walter] Yale Univ, Ecol &amp; Evolutionary Biol Dept, 165 Prospect St, New Haven, CT 06511 USA; [Jetz, Walter] Yale Univ, Ctr Biodivers &amp; Global Change, 165 Prospect St, New Haven, CT 06511 USA; [Meiri, Shai] Tel Aviv Univ, Sch Zool, IL-6997801 Tel Aviv, Israel; [Meiri, Shai] Tel Aviv Univ, Steinhardt Museum Nat Hist, IL-6997801 Tel Aviv, Israel; [Roll, Uri] Ben Gurion Univ Negev, Mitrani Dept Desert Ecol, IL-8499000 Midreshet Ben Gurion, Israel; [Owen, Nisha R.] EDGE Conservat, 152a Walton St, London SW3 2JJ, England</t>
  </si>
  <si>
    <t>Imperial College London; Imperial College London; Zoological Society of London; Zoological Society of London; Zoological Society of London; University of Oxford; Yale University; Yale University; Tel Aviv University; Tel Aviv University; Ben-Gurion University of the Negev</t>
  </si>
  <si>
    <t>Gumbs, R (corresponding author), Imperial Coll London, Dept Life Sci, Silwood Pk Campus, Ascot SL5 7PY, Berks, England.;Gumbs, R (corresponding author), Imperial Coll London, Grantham Inst, Sci &amp; Solut Changing Planet DTP, Exhibit Rd, London SW7 2AZ, England.;Gumbs, R (corresponding author), Zool Soc London, EDGE Existence Programme, Regents Pk, London NW1 4RY, England.</t>
  </si>
  <si>
    <t>r.gumbs@imperial.ac.uk</t>
  </si>
  <si>
    <t>; Hoffmann, Michael/E-6419-2010; Roll, Uri/GLN-7974-2022; Meiri, Shai/D-2403-2010; Böhm, Monika/E-1153-2018; Jetz, Walter/ABF-1517-2020</t>
  </si>
  <si>
    <t>Gum, Rikki/0000-0003-4157-8549; Hoffmann, Michael/0000-0003-4785-2254; Roll, Uri/0000-0002-5418-1164; Meiri, Shai/0000-0003-3839-6330; Rosindell, James/0000-0002-5060-9346; Jetz, Walter/0000-0002-1971-7277</t>
  </si>
  <si>
    <t>NERC Science and Solutions for a Changing Planet Doctoral Training Programme [NE/L002515/1]; Zoological Society of London; Individual Research Fellowship from the Natural Environment Research Council (NERC) [NE/L011611/1]; NSF [DEB 1441737, 1558568]; NERC [NE/L011611/1] Funding Source: UKRI; Natural Environment Research Council [NE/L011611/1] Funding Source: researchfish; Division Of Environmental Biology; Direct For Biological Sciences [1558568] Funding Source: National Science Foundation</t>
  </si>
  <si>
    <t>NERC Science and Solutions for a Changing Planet Doctoral Training Programme(UK Research &amp; Innovation (UKRI)Natural Environment Research Council (NERC)); Zoological Society of London; Individual Research Fellowship from the Natural Environment Research Council (NERC)(UK Research &amp; Innovation (UKRI)Natural Environment Research Council (NERC)); NSF(National Science Foundation (NSF)); NERC(UK Research &amp; Innovation (UKRI)Natural Environment Research Council (NERC)); Natural Environment Research Council(UK Research &amp; Innovation (UKRI)Natural Environment Research Council (NERC)); Division Of Environmental Biology; Direct For Biological Sciences(National Science Foundation (NSF)NSF - Directorate for Biological Sciences (BIO))</t>
  </si>
  <si>
    <t>This study is a contribution to Imperial College's Grand Challenges in Ecosystems and the Environment initiative. R.G. was funded by the NERC Science and Solutions for a Changing Planet Doctoral Training Programme (grant number NE/L002515/1), the CASE component of which is funded by the Zoological Society of London. J.R. ?was funded by an Individual Research Fellowship from the Natural Environment Research Council (NERC) (NE/L011611/1). This work was supported by NSF grants DEB 1441737 and 1558568 (VertLife) to W.J. We thank R.A. Pyron for his work addressing the lepidosaur phylogeny and for discussions.</t>
  </si>
  <si>
    <t>10.1038/s41467-020-16410-6</t>
  </si>
  <si>
    <t>LW0AT</t>
  </si>
  <si>
    <t>WOS:000538809900006</t>
  </si>
  <si>
    <t>Parsons, MB; Gillespie, TR; Lonsdorf, EV; Travis, D; Lipende, I; Gilagiza, B; Kamenya, S; Pintea, L; Vazquez-Prokopec, GM</t>
  </si>
  <si>
    <t>Parsons, Michele B.; Gillespie, Thomas R.; Lonsdorf, Elizabeth V.; Travis, Dominic; Lipende, Iddi; Gilagiza, Baraka; Kamenya, Shadrack; Pintea, Lilian; Vazquez-Prokopec, Gonzalo M.</t>
  </si>
  <si>
    <t>Global Positioning System Data-Loggers: A Tool to Quantify Fine-Scale Movement of Domestic Animals to Evaluate Potential for Zoonotic Transmission to an Endangered Wildlife Population</t>
  </si>
  <si>
    <t>IMPENETRABLE NATIONAL-PARK; CRYPTOSPORIDIUM-PARVUM; GIARDIA; VIRUS; RISK; INFECTION; PARASITES; PATTERNS; DISEASES; HABITAT</t>
  </si>
  <si>
    <t>Domesticated animals are an important source of pathogens to endangered wildlife populations, especially when anthropogenic activities increase their overlap with humans and wildlife. Recent work in Tanzania reports the introduction of Cryptosporidium into wild chimpanzee populations and the increased risk of ape mortality associated with SIVcpz-Cryptosporidium co-infection. Here we describe the application of novel GPS technology to track the mobility of domesticated animals (27 goats, 2 sheep and 8 dogs) with the goal of identifying potential routes for Cryptosporidium introduction into Gombe National Park. Only goats (5/27) and sheep (2/2) were positive for Cryptosporidium. Analysis of GPS tracks indicated that a crop field frequented by both chimpanzees and domesticated animals was a potential hotspot for Cryptosporidium transmission. This study demonstrates the applicability of GPS data-loggers in studies of fine-scale mobility of animals and suggests that domesticated animal-wildlife overlap should be considered beyond protected boundaries for long-term conservation strategies.</t>
  </si>
  <si>
    <t>[Parsons, Michele B.; Gillespie, Thomas R.; Vazquez-Prokopec, Gonzalo M.] Emory Univ, Program Populat Biol Ecol &amp; Evolut, Atlanta, GA 30322 USA; [Parsons, Michele B.; Gillespie, Thomas R.; Vazquez-Prokopec, Gonzalo M.] Emory Univ, Dept Environm Sci, Atlanta, GA 30322 USA; [Parsons, Michele B.; Gillespie, Thomas R.; Vazquez-Prokopec, Gonzalo M.] Emory Univ, Dept Environm Hlth, Atlanta, GA 30322 USA; [Parsons, Michele B.] Ctr Dis Control &amp; Prevent, Div Foodborne Waterborne &amp; Environm Dis, Atlanta, GA USA; [Lonsdorf, Elizabeth V.] Franklin &amp; Marshall Coll, Dept Psychol, Lancaster, PA 17604 USA; [Travis, Dominic] Univ Minnesota, Coll Vet Med, Minneapolis, MN 55455 USA; [Lipende, Iddi; Gilagiza, Baraka; Kamenya, Shadrack; Pintea, Lilian] Jane Goodall Inst, Kigoma, Tanzania</t>
  </si>
  <si>
    <t>Emory University; Emory University; Emory University; Centers for Disease Control &amp; Prevention - USA; Franklin &amp; Marshall College; University of Minnesota System; University of Minnesota Twin Cities</t>
  </si>
  <si>
    <t>Gillespie, TR (corresponding author), Emory Univ, Program Populat Biol Ecol &amp; Evolut, Atlanta, GA 30322 USA.</t>
  </si>
  <si>
    <t>thomas.gillespie@emory.edu; gmvazqu@emory.edu</t>
  </si>
  <si>
    <t>Gillespie, Thomas/A-5132-2010</t>
  </si>
  <si>
    <t>Gillespie, Thomas/0000-0002-7901-7248</t>
  </si>
  <si>
    <t>Morris Animal Foundation [MAF D09ZO-041, MAF D09ZO-634]; Emory University Global Health Institute; Arcus Foundation; Leo S. Guthman Foundation; National Institutes of Health [R01 AI58715]</t>
  </si>
  <si>
    <t>Morris Animal Foundation; Emory University Global Health Institute; Arcus Foundation; Leo S. Guthman Foundation; National Institutes of Health(United States Department of Health &amp; Human ServicesNational Institutes of Health (NIH) - USA)</t>
  </si>
  <si>
    <t>Funding for this study comes from the Morris Animal Foundation (MAF D09ZO-041 and MAF D09ZO-634), the Emory University Global Health Institute, the Arcus Foundation, the Leo S. Guthman Foundation and the National Institutes of Health (R01 AI58715). QuickBird satellite imagery was kindly contributed to the Jane Goodall Institute at no cost by DigitalGlobe. The funders had no role in study design, data collection and analysis, decision to publish, or preparation of</t>
  </si>
  <si>
    <t>NOV 3</t>
  </si>
  <si>
    <t>e110984</t>
  </si>
  <si>
    <t>10.1371/journal.pone.0110984</t>
  </si>
  <si>
    <t>AU4DB</t>
  </si>
  <si>
    <t>WOS:000345558100040</t>
  </si>
  <si>
    <t>Kamp, J; Oppel, S; Ananin, AA; Durnev, YA; Gashev, SN; Hölzel, N; Mishchenko, AL; Pessa, J; Smirenski, SM; Strelnikov, EG; Timonen, S; Wolanska, K; Chan, S</t>
  </si>
  <si>
    <t>Kamp, Johannes; Oppel, Steffen; Ananin, Alexandr A.; Durnev, Yurii A.; Gashev, Sergey N.; Hoelzel, Norbert; Mishchenko, Alexandr L.; Pessa, Jorma; Smirenski, Sergey M.; Strelnikov, Evgenii G.; Timonen, Sami; Wolanska, Kolja; Chan, Simba</t>
  </si>
  <si>
    <t>extinction; illegal hunting; population model; population trend; Southeast Asia; Vortex; wildlife consumption; Yellow-breasted Bunting Emberiza aureola</t>
  </si>
  <si>
    <t>EXTINCTION; DECLINES; TRENDS; TRADE; RISK</t>
  </si>
  <si>
    <t>Persecution and overexploitation by humans are major causes of species extinctions. Rare species, often confined to small geographic ranges, are usually at highest risk, whereas extinctions of superabundant species with very large ranges are rare. The Yellow-breasted Bunting (Emberiza aureola) used to be one of the most abundant songbirds of the Palearctic, with a very large breeding range stretching from Scandinavia to the Russian Far East. Anecdotal information about rapid population declines across the range caused concern about unsustainable trapping along the species' migration routes. We conducted a literature review and used long-term monitoring data from across the species' range to model population trend and geographical patterns of extinction. The population declined by 84.3-94.7% between 1980 and 2013, and the species' range contracted by 5000 km. Quantitative evidence from police raids suggested rampant illegal trapping of the species along its East Asian flyway in China. A population model simulating an initial harvest level of 2% of the population, and an annual increase of 0.2% during the monitoring period produced a population trajectory that matched the observed decline. We suggest that trapping strongly contributed to the decline because the consumption of Yellow-breasted Bunting and other songbirds has increased as a result of economic growth and prosperity in East Asia. The magnitude and speed of the decline is unprecedented among birds with a comparable range size, with the exception of the Passenger Pigeon (Ectopistes migratorius), which went extinct in 1914 due to industrial-scale hunting. Our results demonstrate the urgent need for an improved monitoring of common and widespread species' populations, and consumption levels throughout East Asia.</t>
  </si>
  <si>
    <t>[Kamp, Johannes; Hoelzel, Norbert; Wolanska, Kolja] Univ Munster, Inst Landscape Ecol, D-48149 Munster, Germany; [Oppel, Steffen] RSPB, RSPB Ctr Conservat Sci, Sandy SG19 2DL, Beds, England; [Ananin, Alexandr A.] State Nat Biosphere Reserve Barguzinskii, Ulan Ude 670045, Russia; [Durnev, Yurii A.] Ctr Ecol Educ Baikalbirds, Kuchuk 665904, Irkutsk Provinc, Russia; [Gashev, Sergey N.] Tyumen State Univ, Tyumen 625003, Russia; [Mishchenko, Alexandr L.] Russian Soc Bird Conservat &amp; Study Birds Russia, Moscow 125009, Russia; [Pessa, Jorma; Timonen, Sami] Ctr Econ Dev Transport &amp; Environm ELY, Oulu 90130, Finland; [Smirenski, Sergey M.] Muraviovka Pk Sustainable Land Use, Blagoveshchensk 67500, Amur Province, Russia; [Strelnikov, Evgenii G.] Yugansk State Nat Reserve, Surgut Region 628458, Khanty Mansiisk, Russia; [Chan, Simba] BirdLife Int Asia Div, Chiyoda Ku, Tokyo 1010061, Japan</t>
  </si>
  <si>
    <t>University of Munster; Royal Society for Protection of Birds; Tyumen State University; BirdLife International</t>
  </si>
  <si>
    <t>Kamp, J (corresponding author), Univ Munster, Inst Landscape Ecol, Heisenbergstr 2, D-48149 Munster, Germany.</t>
  </si>
  <si>
    <t>johannes.kamp@uni-muenster.de</t>
  </si>
  <si>
    <t>Oppel, Steffen/H-2771-2019; Hölzel, Norbert/H-8753-2013; Gashev, Sergey/H-3379-2013</t>
  </si>
  <si>
    <t>Oppel, Steffen/0000-0002-8220-3789; Hölzel, Norbert/0000-0002-6367-3400;</t>
  </si>
  <si>
    <t>German Government, Federal Ministry of Education and Research [01LL0906A]; German Academic Exchange Service (DAAD)</t>
  </si>
  <si>
    <t>German Government, Federal Ministry of Education and Research; German Academic Exchange Service (DAAD)(Deutscher Akademischer Austausch Dienst (DAAD))</t>
  </si>
  <si>
    <t>The Let Birds Fly Fund, China, contributed data on illegal trapping. A. Symes moderated a discussion on BirdLife Internationals' Globally Threatened Bird Forum, in the course of which T. Gray, J. W. Duckworth, R. Aye, M. Zhang, F. Goes, C. Inskipp, H. Sagar Baral, and W. Heim commented on the status of the study species. N. Batbayar, H. Ponkka, and M. Leivo made additional count data available. Comments by P. F. Donald and 3 anonymous reviewers greatly improved an early draft. J.K. was funded by the German Government, Federal Ministry of Education and Research within their Sustainable Land Management funding framework (funding reference 01LL0906A). K.W. received a Promos mobility grant of the German Academic Exchange Service (DAAD) for fieldwork in the Russian Far East in 2013.</t>
  </si>
  <si>
    <t>10.1111/cobi.12537</t>
  </si>
  <si>
    <t>DB2JT</t>
  </si>
  <si>
    <t>WOS:000368334800021</t>
  </si>
  <si>
    <t>Kehoe, L; Kuemmerle, T; Meyer, C; Levers, C; Václavík, T; Kreft, H</t>
  </si>
  <si>
    <t>Kehoe, Laura; Kuemmerle, Tobias; Meyer, Carsten; Levers, Christian; Vaclavik, Tomas; Kreft, Holger</t>
  </si>
  <si>
    <t>Biodiversity conservation; endemism richness; global agriculture; land-use change; land-use intensity; sustainable intensification</t>
  </si>
  <si>
    <t>SPECIES RICHNESS; BIODIVERSITY HOTSPOTS; FARMLAND BIODIVERSITY; INTENSIFICATION; CONSERVATION; CHALLENGES; ENDANGERMENT; SCENARIOS; ENDEMISM; CLIMATE</t>
  </si>
  <si>
    <t>Aim Land-use change is the single biggest cause of biodiversity loss. With a rising demand for resources, understanding how and where agriculture threatens biodiversity is of increasing importance. Agricultural expansion has received much attention, but where high agricultural land-use intensity (LUI) threatens biodiversity remains unclear. We address this knowledge gap with two main research questions: (1) Where do global patterns of LUI coincide with the spatial distribution of biodiversity? (2) Where are regions of potential conflict between different aspects of high LUI and high biodiversity? Location Global. Methods We overlaid thirteen LUI metrics with endemism richness, a range size-weighted species richness indicator, for mammals, birds and amphibians. We then used local indicators of spatial association to delineate statistically significant (P&lt;0.05) areas of high and low LUI associated with biodiversity. Results Patterns of LUI are heterogeneously distributed in areas of high endemism richness, thus discouraging the use of a single metric to represent LUI. Many regions where high LUI and high endemism richness coincide, for example in South America, China and Eastern Africa, are not within currently recognized biodiversity hotspots. Regions of currently low LUI and high endemism richness, found in many parts of Mesoamerica, Eastern Africa and Southeast Asia, may be at risk as intensification accelerates. Main conclusions We provide a global view of the geographic patterns of LUI and its concordance with endemism richness, shedding light on regions where highly intensive agriculture and unique biodiversity coincide. Past assessments of land-use impacts on biodiversity have either disregarded LUI or included a single metric to measure it. This study demonstrates that such omission can substantially underestimate biodiversity threat. A wider spectrum of relevant LUI metrics needs to be considered when balancing agricultural production and biodiversity.</t>
  </si>
  <si>
    <t>[Kehoe, Laura; Kuemmerle, Tobias; Levers, Christian] Humboldt Univ, Dept Geog, D-10099 Berlin, Germany; [Kuemmerle, Tobias] Humboldt Univ, Integrat Res Inst Transformat Human Environm Syst, D-10099 Berlin, Germany; [Meyer, Carsten; Kreft, Holger] Univ Gottingen, Free Floater Res Grp Biodivers, Macroecol &amp; Conservat Biogeog, D-37077 Gottingen, Germany; [Vaclavik, Tomas] UFZ Helmholtz Ctr Environm Res, Dept Computat Landscape Ecol, D-04318 Leipzig, Germany; [Vaclavik, Tomas] Palacky Univ, Dept Ecol &amp; Environm Sci, Fac Sci, Olomouc 78346, Czech Republic</t>
  </si>
  <si>
    <t>Humboldt University of Berlin; Humboldt University of Berlin; University of Gottingen; Helmholtz Association; Helmholtz Center for Environmental Research (UFZ); Palacky University Olomouc</t>
  </si>
  <si>
    <t>Kehoe, L (corresponding author), Humboldt Univ, Dept Geog, Unter Linden 6, D-10099 Berlin, Germany.</t>
  </si>
  <si>
    <t>laura.kehoe@geo.hu-berlin.de</t>
  </si>
  <si>
    <t>Kuemmerle, Tobias/B-4340-2008; Meyer, Carsten/U-5637-2017; Kreft, Holger/A-4736-2008; Levers, Christian/L-9204-2013; Vaclavik, Tomas/N-3163-2019</t>
  </si>
  <si>
    <t>Kuemmerle, Tobias/0000-0002-9775-142X; kehoe, laura/0000-0001-6260-7893; Meyer, Carsten/0000-0003-3927-5856; Kreft, Holger/0000-0003-4471-8236; Levers, Christian/0000-0003-4810-9024; Vaclavik, Tomas/0000-0002-1113-6320</t>
  </si>
  <si>
    <t>Einstein Foundation Berlin (Germany); European Commission [VOLANTE FP7-ENV-2010-265104, HERCULES FP7-ENV-2013-603447]; German Research Foundation (DFG) through German Excellence Initiative [CRC 990-EFForTS]; Deutsche Bundesstiftung Umwelt (DBU); German Federal Ministry of Education and Research [01LL0901A]</t>
  </si>
  <si>
    <t>Einstein Foundation Berlin (Germany); European Commission(European Union (EU)European Commission Joint Research Centre); German Research Foundation (DFG) through German Excellence Initiative(German Research Foundation (DFG)); Deutsche Bundesstiftung Umwelt (DBU); German Federal Ministry of Education and Research(Federal Ministry of Education &amp; Research (BMBF))</t>
  </si>
  <si>
    <t>LK, TK and CL acknowledge funding by the Einstein Foundation Berlin (Germany) and the European Commission (VOLANTE FP7-ENV-2010-265104, HERCULES FP7-ENV-2013-603447), HK acknowledges the German Research Foundation (DFG) through the German Excellence Initiative and CRC 990-EFForTS, CM acknowledges the Deutsche Bundesstiftung Umwelt (DBU), and TV acknowledges the German Federal Ministry of Education and Research (Grant 01LL0901A: Global Assessment of Land Use Dynamics, Greenhouse Gas Emissions and Ecosystem Services - GLUES). Special thanks to two anonymous reviewers, Cornelius Senf, Sara Lucena, Will Turner, He Yin, Katja Janson, Katharina Gerstner and Edwin Pynegar. This research contributes to the Global Land Project (www.globallandproject.org).</t>
  </si>
  <si>
    <t>10.1111/ddi.12359</t>
  </si>
  <si>
    <t>CT4RY</t>
  </si>
  <si>
    <t>WOS:000362795700004</t>
  </si>
  <si>
    <t>Bellard, C; Genovesi, P; Jeschke, JM</t>
  </si>
  <si>
    <t>Bellard, C.; Genovesi, P.; Jeschke, J. M.</t>
  </si>
  <si>
    <t>alien species; biological invasions; non-native species; threatened species; vertebrates</t>
  </si>
  <si>
    <t>BIODIVERSITY; CONSERVATION; ERADICATION; ISLANDS; EXTINCTIONS; MAMMALS; CLIMATE; MANAGEMENT; DECLINES; TRADE</t>
  </si>
  <si>
    <t>Biological invasions as drivers of biodiversity loss have recently been challenged. Fundamentally, we must know where species that are threatened by invasive alien species (IAS) live, and the degree to which they are threatened. We report the first study linking 1372 vertebrates threatened by more than 200 IAS from the completely revised Global Invasive Species Database. New maps of the vulnerability of threatened vertebrates to IAS permit assessments of whether IAS have a major influence on biodiversity, and if so, which taxonomic groups are threatened and where they are threatened. We found that centres of IAS-threatened vertebrates are concentrated in the Americas, India, Indonesia, Australia and New Zealand. The areas in which IAS-threatened species are located do not fully match the current hotspots of invasions, or the current hotspots of threatened species. The relative importance of biological invasions as drivers of biodiversity loss clearly varies across regions and taxa, and changes over time, with mammals from India, Indonesia, Australia and Europe are increasingly being threatened by IAS. The chytrid fungus primarily threatens amphibians, whereas invasive mammals primarily threaten other vertebrates. The differences in IAS threats between regions and taxa can help efficiently target IAS, which is essential for achieving the Strategic Plan 2020 of the Convention on Biological Diversity.</t>
  </si>
  <si>
    <t>[Bellard, C.] UCL, Ctr Biodivers &amp; Environm Res, Dept Genet Evolut &amp; Environm, London, England; [Bellard, C.] Univ Paris Saclay, Univ Paris 11, CNRS, AgroParisTech,Ecol Systemat Evolut, F-91400 Orsay, France; [Genovesi, P.] Inst Environm Protect &amp; Res, Rome, Italy; [Genovesi, P.] Chair IUCN SSC Invas Species Specialist Grp, Rome, Italy; [Jeschke, J. M.] Leibniz Inst Freshwater Ecol &amp; Inland Fisheries I, Muggelseedamm 310, D-12587 Berlin, Germany; [Jeschke, J. M.] Free Univ Berlin, Dept Biol, Inst Biol, Chem,Pharm, Konigin Luise Str 1-3, D-14195 Berlin, Germany</t>
  </si>
  <si>
    <t>University of London; University College London; Centre National de la Recherche Scientifique (CNRS); AgroParisTech; Universite Paris Saclay; Italian Institute for Environmental Protection &amp; Research (ISPRA); Leibniz Association; Leibniz Institut fur Gewasserokologie und Binnenfischerei (IGB); Free University of Berlin</t>
  </si>
  <si>
    <t>Bellard, C (corresponding author), UCL, Ctr Biodivers &amp; Environm Res, Dept Genet Evolut &amp; Environm, London, England.;Bellard, C (corresponding author), Univ Paris Saclay, Univ Paris 11, CNRS, AgroParisTech,Ecol Systemat Evolut, F-91400 Orsay, France.</t>
  </si>
  <si>
    <t>c.bellard@ucl.ac.uk</t>
  </si>
  <si>
    <t>Jeschke, Jonathan/A-2707-2008; Genovesi, Piero/Z-1571-2019; Céline, Bellard/J-8157-2014</t>
  </si>
  <si>
    <t>Jeschke, Jonathan/0000-0003-3328-4217; Céline, Bellard/0000-0003-2012-1160</t>
  </si>
  <si>
    <t>Axa Fellowship; DFG [JE 288/8-1, JE 288/9-1, JE 288/7-1]; ERA-Net BiodivERsA [JE 288/7-1]; Agence Nationale de la Recherche</t>
  </si>
  <si>
    <t>Axa Fellowship(AXA Research Fund); DFG(German Research Foundation (DFG)); ERA-Net BiodivERsA; Agence Nationale de la Recherche(Agence Nationale de la Recherche (ANR))</t>
  </si>
  <si>
    <t>This study was funded by an Axa Fellowship (C.B.) and the DFG projects JE 288/8-1 and JE 288/9-1 (J.M.J.), and the ERA-Net BiodivERsA (project FFII, JE 288/7-1) with the national funders Agence Nationale de la Recherche and DFG (JE 288/7-1), part of the 2012-13 BiodivERsA call for proposals.</t>
  </si>
  <si>
    <t>10.1098/rspb.2015.2454</t>
  </si>
  <si>
    <t>DL7ZH</t>
  </si>
  <si>
    <t>WOS:000375858400014</t>
  </si>
  <si>
    <t>Rija, AA; Critchlow, R; Thomas, CD; Beale, CM</t>
  </si>
  <si>
    <t>Rija, Alfan A.; Critchlow, Rob; Thomas, Chris D.; Beale, Colin M.</t>
  </si>
  <si>
    <t>AFRICAN SAVANNAS; EXTINCTION RISK; FOREST LOSS; BIODIVERSITY; CONSERVATION; WILDLIFE; BUSHMEAT; ENFORCEMENT; CONSUMPTION; IMPACTS</t>
  </si>
  <si>
    <t>Illegal hunting is a persistent problem in many protected areas, but an overview of the extent of this problem and its impact on wildlife is lacking. We reviewed 40 years (1980-2020) of global research to examine the spatial distribution of research and socio-ecological factors influencing population decline within protected areas under illegal hunting pressure. From 81 papers reporting 988 species/site combinations, 294 mammal species were reported to have been illegally hunted from 155 protected areas across 48 countries. Research in illegal hunting has increased substantially during the review period and showed biases towards strictly protected areas and the African continent. Population declines were most frequent in countries with a low human development index, particularly in strict protected areas and for species with a body mass over 100 kg. Our results provide evidence that illegal hunting is most likely to cause declines of large-bodied species in protected areas of resource-poor countries regardless of protected area conservation status. Given the growing pressures of illegal hunting, increased investments in people's development and additional conservation efforts such as improving anti-poaching strategies and conservation resources in terms of improving funding and personnel directed at this problem are a growing priority.</t>
  </si>
  <si>
    <t>[Rija, Alfan A.] Sokoine Univ Agr, Dept Wildlife Management, Morogoro, Tanzania; [Critchlow, Rob; Thomas, Chris D.; Beale, Colin M.] Univ York, Dept Biol, York, N Yorkshire, England</t>
  </si>
  <si>
    <t>Sokoine University of Agriculture; University of York - UK</t>
  </si>
  <si>
    <t>Rija, AA (corresponding author), Sokoine Univ Agr, Dept Wildlife Management, Morogoro, Tanzania.</t>
  </si>
  <si>
    <t>al.rija10@gmail.com</t>
  </si>
  <si>
    <t>; Rija, Alfan/ACS-3581-2022</t>
  </si>
  <si>
    <t>Critchlow, Rob/0000-0003-4524-1417; Rija, Alfan/0000-0001-7386-8124</t>
  </si>
  <si>
    <t>U.K. government</t>
  </si>
  <si>
    <t>AAR was a commonwealth scholar funded by the U.K. government. The sponsorCommonwealth Scholarship Commission had no role in the design, data collection and analysis, decision to publish or preparation of the manuscript.</t>
  </si>
  <si>
    <t>AUG 21</t>
  </si>
  <si>
    <t>e0227163</t>
  </si>
  <si>
    <t>10.1371/journal.pone.0227163</t>
  </si>
  <si>
    <t>NG6GN</t>
  </si>
  <si>
    <t>WOS:000564080300035</t>
  </si>
  <si>
    <t>Ceia-Hasse, A; Borda-de-Agua, L; Grilo, C; Pereira, HM</t>
  </si>
  <si>
    <t>Ceia-Hasse, Ana; Borda-de-Agua, Luis; Grilo, Clara; Pereira, Henrique M.</t>
  </si>
  <si>
    <t>Biodiversity conservation; carnivores; dispersal; global assessment; mortality; population viability; road impact</t>
  </si>
  <si>
    <t>BIODIVERSITY; MORTALITY; POPULATIONS; RESPONSES; IMPACT; RISK</t>
  </si>
  <si>
    <t>AimLand-use change is a major threat to biodiversity globally. Roads cause direct mortality and limitation of individual movements, which may isolate populations and affect their viability in the long term. Here we provide the first comprehensive global assessment of the exposure of terrestrial mammalian carnivores to roads using an integrated modelling framework. LocationGlobal. MethodsWe estimated critical road densities and critical patch sizes for each species based on a spatially explicit model and life-history traits. We calculated the distribution of landscape fragment sizes for each carnivore species by intersecting global road density with each species range. The proportion of a species' geographical range with fragments below the critical patch size is used as an index of the vulnerability to roads. ResultsWe found that the carnivores expected to be most exposed to roads belong to families Felidae, Ursidae, Mustelidae, Canidae and Procyonidae. Approximately one-third of the species most affected have not been identified by the IUCN as threatened by roads. Our model projects time to extinction that may be as low as one century for some species, such as the endangered Iberian lynx. Species are expected to be more exposed in areas with medium to high road density but, surprisingly, also in areas where road density is relatively low. Hotspots of the number of species locally endangered by roads occur in North America and Asia. Main conclusionsOur results suggest the need to reassess the status and threats of those species that have not been previously recognized as strongly affected by roads. Our framework can be applied at different spatial scales, to assess the effects of the development of the road network and inform prioritization schemes for road building, and to identify areas for conservation, and species requiring particular mitigation and restoration measures.</t>
  </si>
  <si>
    <t>[Ceia-Hasse, Ana; Pereira, Henrique M.] German Ctr Integrat Biodivers Res iDiv, Halle Jena Leipzig,Deutsch Pl 5e, D-04103 Leipzig, Germany; [Ceia-Hasse, Ana; Pereira, Henrique M.] Martin Luther Univ Halle Wittenberg, Inst Biol, D-06108 Halle, Saale, Germany; [Ceia-Hasse, Ana; Borda-de-Agua, Luis; Pereira, Henrique M.] Univ Porto, Ctr Invest Biodiversidade &amp; Recursos Genet, Infraestruturas Portugal Biodivers Chair, CIBIO InBIO, Campus Agr Vairao, P-4485661 Vairao, Portugal; [Ceia-Hasse, Ana; Borda-de-Agua, Luis; Pereira, Henrique M.] Univ Lisbon, Inst Super Agron, Ctr Ecol Aplicada Prof Baeta Neves, CEABN InBio, P-1349017 Lisbon, Portugal; Univ Fed Lavras, Dept Biol, Setor Ecol Aplicada, Ctr Brasileiro Estudos Ecol Estradas CBEE, Campus Univ, BR-37200000 Lavras, MG, Brazil</t>
  </si>
  <si>
    <t>German Research Foundation (DFG); German Centre for Integrative Biodiversity Research (iDiv); Martin Luther University Halle Wittenberg; Universidade do Porto; Universidade de Lisboa; Universidade Federal de Lavras</t>
  </si>
  <si>
    <t>Ceia-Hasse, A (corresponding author), German Ctr Integrat Biodivers Res iDiv, Halle Jena Leipzig,Deutsch Pl 5e, D-04103 Leipzig, Germany.</t>
  </si>
  <si>
    <t>ana.ceia_hasse@idiv.de</t>
  </si>
  <si>
    <t>Grilo, Clara/H-2002-2012; Pereira, Henrique/B-3975-2009; Borda-de-Água, Luís/D-6063-2011</t>
  </si>
  <si>
    <t>Grilo, Clara/0000-0001-9870-3115; Pereira, Henrique/0000-0003-1043-1675; Ceia-Hasse, Ana/0000-0002-5844-7601; Borda-de-Água, Luís/0000-0002-0802-6235</t>
  </si>
  <si>
    <t>DFG [PTDC/AAC-AMB/117068/2010, SFRH/BPD/64205/2009, UID/BIA/50027/2013, POCI-01-0145-FEDER-006821]; Fundação para a Ciência e a Tecnologia [SFRH/BPD/64205/2009, PTDC/AAC-AMB/117068/2010] Funding Source: FCT</t>
  </si>
  <si>
    <t>DFG(German Research Foundation (DFG)); Fundação para a Ciência e a Tecnologia(Fundacao para a Ciencia e a Tecnologia (FCT))</t>
  </si>
  <si>
    <t>This study was supported by DFG, PTDC/AAC-AMB/117068/2010, SFRH/BPD/64205/2009, UID/BIA/50027/2013 and POCI-01-0145-FEDER-006821.</t>
  </si>
  <si>
    <t>10.1111/geb.12564</t>
  </si>
  <si>
    <t>ES9SJ</t>
  </si>
  <si>
    <t>WOS:000399900400008</t>
  </si>
  <si>
    <t>Murguía, DI; Bringezu, S; Schaldach, R</t>
  </si>
  <si>
    <t>Murguia, Diego I.; Bringezu, Stefan; Schaldach, Ruediger</t>
  </si>
  <si>
    <t>Biodiversity; Spatial distribution; Direct pressures; Biodiversity management; Metal mining; Geographic information system</t>
  </si>
  <si>
    <t>ACID-MINE DRAINAGE; SOUTH-AFRICA; RESOURCES; PATTERNS; OFFSETS; FOREST</t>
  </si>
  <si>
    <t>Biodiversity loss is widely recognized as a serious global environmental change process. While large-scale metal mining activities do not belong to the top drivers of such change, these operations exert or may intensify pressures on biodiversity by adversely changing habitats, directly and indirectly, at local and regional scales. So far, analyses of global spatial dynamics of mining and its burden on biodiversity focused on the overlap between mines and protected areas or areas of high value for conservation. However, it is less clear how operating metal mines are globally exerting pressure on zones of different biodiversity richness; a similar gap exists for unmined but known mineral deposits. By using vascular plants' diversity as a proxy to quantify overall biodiversity, this study provides a first examination of the global spatial distribution of mines and deposits for five key metals across different biodiversity zones. The results indicate that mines and deposits are not randomly distributed, but concentrated within intermediate and high diversity zones, especially bauxite and silver. In contrast, iron, gold, and copper mines and deposits are closer to a more proportional distribution while showing a high concentration in the intermediate biodiversity zone. Considering the five metals together, 63% and 61% of available mines and deposits, respectively, are located in intermediate diversity zones, comprising 52% of the global land terrestrial surface. 23% of mines and 20% of ore deposits are located in areas of high plant diversity, covering 17% of the land. 13% of mines and 19% of deposits are in areas of low plant diversity, comprising 31% of the land surface. Thus, there seems to be potential for opening new mines in areas of low biodiversity in the future. (C) 2016 Elsevier Ltd. All rights reserved.</t>
  </si>
  <si>
    <t>[Murguia, Diego I.; Bringezu, Stefan] Wuppertal Inst Climate Environm &amp; Energy GmbH, Doppersberg 19, D-42103 Wuppertal, Germany; [Murguia, Diego I.; Bringezu, Stefan; Schaldach, Ruediger] CESR, Wilhelmshoher Allee 47, D-34119 Kassel, Germany</t>
  </si>
  <si>
    <t>Murguía, DI (corresponding author), Wuppertal Inst Climate Environm &amp; Energy GmbH, Doppersberg 19, D-42103 Wuppertal, Germany.</t>
  </si>
  <si>
    <t>diegomurguia@yahoo.com.ar; stefan.bringezu@wupperinst.org; schaldach@usf.uni-kassel.de</t>
  </si>
  <si>
    <t>Bringezu, Stefan/W-6229-2018; Schaldach, Ruediger/NMJ-7854-2025; Murguia, Diego/ODJ-3857-2025</t>
  </si>
  <si>
    <t>Murguia, Diego/0000-0002-0579-9603</t>
  </si>
  <si>
    <t>Wuppertal Institute for Climate, Environment and Energy; Centre for Environmental Systems Research at the University of Kassel</t>
  </si>
  <si>
    <t>D.I. Murguia and S. Bringezu were supported by the Wuppertal Institute for Climate, Environment and Energy. R. Schaldach was supported by the Centre for Environmental Systems Research at the University of Kassel. The authors declare that there are no conflicts of interest. The authors express their warm thanks to Katie Meinhold for her excellent proofreading and to Alexia Kos for her help with the preparation of graphs. The authors are also thankful to Magnus Ericsson, Irene Geuken, and to SNL Metals &amp; Mining for granting access to their mining database. We are also thankful to the Nees Institute for Biodiversity of Plants at the University of Bonn. The authors also thank two anonymous reviewers for providing useful comments to a previous version of the manuscript.</t>
  </si>
  <si>
    <t>10.1016/j.jenvman.2016.05.040</t>
  </si>
  <si>
    <t>DS1XO</t>
  </si>
  <si>
    <t>WOS:000380418700044</t>
  </si>
  <si>
    <t>Alvarez-Berríos, NL; Aide, TM</t>
  </si>
  <si>
    <t>Alvarez-Berrios, Nora L.; Aide, T. Mitchell</t>
  </si>
  <si>
    <t>[Alvarez-Berrios, Nora L.] Univ Puerto Rico, Dept Environm Sci, San Juan, PR 00936 USA; [Aide, T. Mitchell] Univ Puerto Rico, Dept Biol, San Juan, PR 00936 USA</t>
  </si>
  <si>
    <t>University of Puerto Rico; University of Puerto Rico Rio Piedras; University of Puerto Rico; University of Puerto Rico Medical Sciences Campus</t>
  </si>
  <si>
    <t>Alvarez-Berríos, NL (corresponding author), Univ Puerto Rico, Dept Environm Sci, Rio Piedras POB 70377, San Juan, PR 00936 USA.</t>
  </si>
  <si>
    <t>alvarez.nora@gmail.com; tmaide@yahoo.com</t>
  </si>
  <si>
    <t>ALVAREZ-BERRIOS, NORA/NRB-8826-2025</t>
  </si>
  <si>
    <t>ALVAREZ-BERRIOS, NORA/0000-0001-7556-3156</t>
  </si>
  <si>
    <t>IOP PUBLISHING LTD</t>
  </si>
  <si>
    <t>10.1088/1748-9326/10/2/029501</t>
  </si>
  <si>
    <t>CC7UI</t>
  </si>
  <si>
    <t>WOS:000350573500028</t>
  </si>
  <si>
    <t>Goldberg, L; Lagomasino, D; Thomas, N; Fatoyinbo, T</t>
  </si>
  <si>
    <t>Goldberg, Liza; Lagomasino, David; Thomas, Nathan; Fatoyinbo, Temilola</t>
  </si>
  <si>
    <t>climate change; commodities; deforestation; Landsat; mangrove; shoreline erosion</t>
  </si>
  <si>
    <t>CARBON STORAGE; FOREST COVER; CONSERVATION; RESTORATION; REHABILITATION; DEFORESTATION; AQUACULTURE; PATTERNS; SUPPORT</t>
  </si>
  <si>
    <t>Global mangrove loss has been attributed primarily to human activity. Anthropogenic loss hotspots across Southeast Asia and around the world have characterized the ecosystem as highly threatened, though natural processes such as erosion can also play a significant role in forest vulnerability. However, the extent of human and natural threats has not been fully quantified at the global scale. Here, using a Random Forest-based analysis of over one million Landsat images, we present the first 30 m resolution global maps of the drivers of mangrove loss from 2000 to 2016, capturing both human-driven and natural stressors. We estimate that 62% of global losses between 2000 and 2016 resulted from land-use change, primarily through conversion to aquaculture and agriculture. Up to 80% of these human-driven losses occurred within six Southeast Asian nations, reflecting the regional emphasis on enhancing aquaculture for export to support economic development. Both anthropogenic and natural losses declined between 2000 and 2016, though slower declines in natural loss caused an increase in their relative contribution to total global loss area. We attribute the decline in anthropogenic losses to the regionally dependent combination of increased emphasis on conservation efforts and a lack of remaining mangroves viable for conversion. While efforts to restore and protect mangroves appear to be effective over decadal timescales, the emergence of natural drivers of loss presents an immediate challenge for coastal adaptation. We anticipate that our results will inform decision-making within conservation and restoration initiatives by providing a locally relevant understanding of the causes of mangrove loss.</t>
  </si>
  <si>
    <t>[Goldberg, Liza] Atholton High Sch, Columbia, MD USA; [Goldberg, Liza; Lagomasino, David; Thomas, Nathan; Fatoyinbo, Temilola] NASA, Goddard Space Flight Ctr, Biospher Sci Lab, 8800 Greenbelt Rd, Greenbelt, MD 20771 USA; [Goldberg, Liza; Thomas, Nathan] Univ Maryland, Earth Syst Sci Interdisciplinary Ctr, College Pk, MD 20742 USA; [Lagomasino, David] East Carolina Univ, Dept Coastal Studies, Wanchese, NC USA</t>
  </si>
  <si>
    <t>National Aeronautics &amp; Space Administration (NASA); NASA Goddard Space Flight Center; University System of Maryland; University of Maryland College Park; University of North Carolina; East Carolina University</t>
  </si>
  <si>
    <t>Goldberg, L (corresponding author), NASA, Goddard Space Flight Ctr, Biospher Sci Lab, 8800 Greenbelt Rd, Greenbelt, MD 20771 USA.</t>
  </si>
  <si>
    <t>liza.a.goldberg@nasa.gov</t>
  </si>
  <si>
    <t>Fatoyinbo, Temilola/N-1257-2019; Lagomasino, David/P-8413-2015</t>
  </si>
  <si>
    <t>Goldberg, Liza/0000-0002-9696-583X; Thomas, Nathan/0000-0002-7808-6444; Lagomasino, David/0000-0003-4008-5363</t>
  </si>
  <si>
    <t>NASA New Investigator Program [15-NIP15-0068]; Florida Coastal Everglades Long-Term Ecological Research Program [DBI-0620409, DEB-1237517]; NASA Carbon Monitoring Systems [16-CMS16-0073]; USDA-NIFA Carbon Cycle Science Program [16-Carbon16-103]; National Space Club Scholars Program</t>
  </si>
  <si>
    <t>NASA New Investigator Program(National Aeronautics &amp; Space Administration (NASA)); Florida Coastal Everglades Long-Term Ecological Research Program; NASA Carbon Monitoring Systems; USDA-NIFA Carbon Cycle Science Program; National Space Club Scholars Program</t>
  </si>
  <si>
    <t>NASA New Investigator Program, Grant/Award Number: 15-NIP15-0068; Florida Coastal Everglades Long-Term Ecological Research Program, Grant/Award Number: DBI-0620409 and DEB-1237517; NASA Carbon Monitoring Systems, Grant/Award Number: 16-CMS16-0073; USDA-NIFA Carbon Cycle Science Program, Grant/Award Number: 16-Carbon16-103; National Space Club Scholars Program</t>
  </si>
  <si>
    <t>10.1111/gcb.15275</t>
  </si>
  <si>
    <t>NR8TO</t>
  </si>
  <si>
    <t>Green Published, Green Submitted, hybrid</t>
  </si>
  <si>
    <t>WOS:000554504400001</t>
  </si>
  <si>
    <t>Bass, MS; Finer, M; Jenkins, CN; Kreft, H; Cisneros-Heredia, DF; McCracken, SF; Pitman, NCA; English, PH; Swing, K; Villa, G; Di Fiore, A; Voigt, CC; Kunz, TH</t>
  </si>
  <si>
    <t>Bass, Margot S.; Finer, Matt; Jenkins, Clinton N.; Kreft, Holger; Cisneros-Heredia, Diego F.; McCracken, Shawn F.; Pitman, Nigel C. A.; English, Peter H.; Swing, Kelly; Villa, Gorky; Di Fiore, Anthony; Voigt, Christian C.; Kunz, Thomas H.</t>
  </si>
  <si>
    <t>BIRD COMMUNITY STRUCTURE; NEOTROPICAL RAIN-FOREST; TREE ALPHA-DIVERSITY; SPECIES RICHNESS; CLIMATE-CHANGE; AMAZONIAN FOREST; BATRACHOCHYTRIUM-DENDROBATIDIS; BIODIVERSITY HOTSPOTS; WESTERN AMAZON; LAND-USE</t>
  </si>
  <si>
    <t>Background: The threats facing Ecuador's Yasuni National Park are emblematic of those confronting the greater western Amazon, one of the world's last high-biodiversity wilderness areas. Notably, the country's second largest untapped oil reserves-called ITT''-lie beneath an intact, remote section of the park. The conservation significance of Yasuni may weigh heavily in upcoming state-level and international decisions, including whether to develop the oil or invest in alternatives. Methodology/Principal Findings: We conducted the first comprehensive synthesis of biodiversity data for Yasuni. Mapping amphibian, bird, mammal, and plant distributions, we found eastern Ecuador and northern Peru to be the only regions in South America where species richness centers for all four taxonomic groups overlap. This quadruple richness center has only one viable strict protected area (IUCN levels I-IV): Yasuni. The park covers just 14% of the quadruple richness center's area, whereas active or proposed oil concessions cover 79%. Using field inventory data, we compared Yasuni's local (alpha) and landscape (gamma) diversity to other sites, in the western Amazon and globally. These analyses further suggest that Yasuni is among the most biodiverse places on Earth, with apparent world richness records for amphibians, reptiles, bats, and trees. Yasuni also protects a considerable number of threatened species and regional endemics. Conclusions/Significance: Yasuni has outstanding global conservation significance due to its extraordinary biodiversity and potential to sustain this biodiversity in the long term because of its 1) large size and wilderness character, 2) intact large-vertebrate assemblage, 3) IUCN level-II protection status in a region lacking other strict protected areas, and 4) likelihood of maintaining wet, rainforest conditions while anticipated climate change-induced drought intensifies in the eastern Amazon. However, further oil development in Yasuni jeopardizes its conservation values. These findings form the scientific basis for policy recommendations, including stopping any new oil activities and road construction in Yasuni and creating areas off-limits to large-scale development in adjacent northern Peru.</t>
  </si>
  <si>
    <t>[Bass, Margot S.; Villa, Gorky] Finding Species, Takoma Pk, MD USA; [Finer, Matt] Save Amer Forests, Washington, DC USA; [Jenkins, Clinton N.; Pitman, Nigel C. A.] Duke Univ, Nicholas Sch Environm, Durham, NC 27708 USA; [Jenkins, Clinton N.] Univ Maryland, Dept Biol, College Pk, MD 20742 USA; [Kreft, Holger] Univ Calif San Diego, Div Biol Sci, La Jolla, CA 92093 USA; [Cisneros-Heredia, Diego F.] Kings Coll London, Dept Geog, London WC2R 2LS, England; [Cisneros-Heredia, Diego F.; Swing, Kelly] Univ San Francisco Quito, Coll Biol &amp; Environm Sci, Quito, Ecuador; [McCracken, Shawn F.] Texas State Univ, Dept Biol, San Marcos, TX USA; [McCracken, Shawn F.] TADPOLE Org, San Marcos, TX USA; [English, Peter H.] Univ Texas Austin, Sch Biol Sci, Austin, TX 78712 USA; [Di Fiore, Anthony] NYU, Dept Anthropol, New York, NY 10003 USA; [Voigt, Christian C.] Leibniz Inst Zoo &amp; Wildlife Res, Berlin, Germany; [Kunz, Thomas H.] Boston Univ, Dept Biol, Ctr Ecol &amp; Conservat Biol, Boston, MA 02215 USA</t>
  </si>
  <si>
    <t>Duke University; University System of Maryland; University of Maryland College Park; University of California System; University of California San Diego; University of London; King's College London; Universidad San Francisco de Quito; Texas State University System; Texas State University San Marcos; University of Texas System; University of Texas Austin; New York University; Leibniz Institut fur Zoo und Wildtierforschung; Boston University</t>
  </si>
  <si>
    <t>Bass, MS (corresponding author), Finding Species, Takoma Pk, MD USA.</t>
  </si>
  <si>
    <t>Pitman, Nigel/A-7681-2008; Kreft, Holger/A-4736-2008; Cisneros-Heredia, Diego/D-1744-2011; McCracken, Shawn/G-9524-2012; Jenkins, Clinton/D-6134-2011</t>
  </si>
  <si>
    <t>Pitman, Nigel/0000-0002-9211-2880; Kreft, Holger/0000-0003-4471-8236; Cisneros-Heredia, Diego/0000-0002-6132-2738; McCracken, Shawn/0000-0001-6455-537X; Di Fiore, Anthony/0000-0001-8893-9052; Jenkins, Clinton/0000-0003-2198-0637</t>
  </si>
  <si>
    <t>Blue Moon Fund; Conservation, Food &amp; Health Foundation; Forrest and Frances Lattner Foundation; US National Science Foundation [DBI-0434875]; Texas State University-Department of Biology; TADPOLE; US National Science Foundation; L.S.B. Leakey Foundation; Wenner-Gren Foundation for Anthropological Research; Primate Conservation, Inc.</t>
  </si>
  <si>
    <t>Blue Moon Fund; Conservation, Food &amp; Health Foundation; Forrest and Frances Lattner Foundation; US National Science Foundation(National Science Foundation (NSF)); Texas State University-Department of Biology; TADPOLE; US National Science Foundation(National Science Foundation (NSF)); L.S.B. Leakey Foundation; Wenner-Gren Foundation for Anthropological Research; Primate Conservation, Inc.</t>
  </si>
  <si>
    <t>The Blue Moon Fund, the Conservation, Food &amp; Health Foundation, and the Forrest and Frances Lattner Foundation funded MF. The US National Science Foundation (Graduate Research Fellowship Program), Texas State University-Department of Biology, and TADPOLE funded SM. The US National Science Foundation, the L.S.B. Leakey Foundation, the Wenner-Gren Foundation for Anthropological Research, and Primate Conservation, Inc. funded AD. Establishment of the Tiputini Biodiversity Station supported by the US National Science Foundation-DBI-0434875 (Thomas H. Kunz, PI, with Laura M. MacLatchy, Christopher J. Schneider, and C. Kelly Swing, Co-PIs). The funders had no role in study design, data collection and analysis, decision to publish, or preparation of the manuscript.</t>
  </si>
  <si>
    <t>JAN 19</t>
  </si>
  <si>
    <t>e8767</t>
  </si>
  <si>
    <t>10.1371/journal.pone.0008767</t>
  </si>
  <si>
    <t>546AH</t>
  </si>
  <si>
    <t>WOS:000273778900011</t>
  </si>
  <si>
    <t>Wallace, BP; DiMatteo, AD; Bolten, AB; Chaloupka, MY; Hutchinson, BJ; Abreu-Grobois, FA; Mortimer, JA; Seminoff, JA; Amorocho, D; Bjorndal, KA; Bourjea, J; Bowen, BW; Dueñas, RB; Casale, P; Choudhury, BC; Costa, A; Dutton, PH; Fallabrino, A; Finkbeiner, EM; Girard, A; Girondot, M; Hamann, M; Hurley, BJ; Lopez-Mendilaharsu, M; Marcovaldi, MA; Musick, JA; Nel, R; Pilcher, NJ; Troëng, S; Witherington, B; Mast, RB</t>
  </si>
  <si>
    <t>Wallace, Bryan P.; DiMatteo, Andrew D.; Bolten, Alan B.; Chaloupka, Milani Y.; Hutchinson, Brian J.; Abreu-Grobois, F. Alberto; Mortimer, Jeanne A.; Seminoff, Jeffrey A.; Amorocho, Diego; Bjorndal, Karen A.; Bourjea, Jerome; Bowen, Brian W.; Briseno Duenas, Raquel; Casale, Paolo; Choudhury, B. C.; Costa, Alice; Dutton, Peter H.; Fallabrino, Alejandro; Finkbeiner, Elena M.; Girard, Alexandre; Girondot, Marc; Hamann, Mark; Hurley, Brendan J.; Lopez-Mendilaharsu, Milagros; Angela Marcovaldi, Maria; Musick, John A.; Nel, Ronel; Pilcher, Nicolas J.; Troeng, Sebastian; Witherington, Blair; Mast, Roderic B.</t>
  </si>
  <si>
    <t>Global Conservation Priorities for Marine Turtles</t>
  </si>
  <si>
    <t>LEATHERBACK TURTLE; POPULATION; MANAGEMENT; RECOVERY</t>
  </si>
  <si>
    <t>Where conservation resources are limited and conservation targets are diverse, robust yet flexible priority-setting frameworks are vital. Priority-setting is especially important for geographically widespread species with distinct populations subject to multiple threats that operate on different spatial and temporal scales. Marine turtles are widely distributed and exhibit intra-specific variations in population sizes and trends, as well as reproduction and morphology. However, current global extinction risk assessment frameworks do not assess conservation status of spatially and biologically distinct marine turtle Regional Management Units (RMUs), and thus do not capture variations in population trends, impacts of threats, or necessary conservation actions across individual populations. To address this issue, we developed a new assessment framework that allowed us to evaluate, compare and organize marine turtle RMUs according to status and threats criteria. Because conservation priorities can vary widely (i.e. from avoiding imminent extinction to maintaining long-term monitoring efforts) we developed a conservation priorities portfolio system using categories of paired risk and threats scores for all RMUs (n = 58). We performed these assessments and rankings globally, by species, by ocean basin, and by recognized geopolitical bodies to identify patterns in risk, threats, and data gaps at different scales. This process resulted in characterization of risk and threats to all marine turtle RMUs, including identification of the world's 11 most endangered marine turtle RMUs based on highest risk and threats scores. This system also highlighted important gaps in available information that is crucial for accurate conservation assessments. Overall, this priority-setting framework can provide guidance for research and conservation priorities at multiple relevant scales, and should serve as a model for conservation status assessments and priority-setting for widespread, long-lived taxa.</t>
  </si>
  <si>
    <t>[Wallace, Bryan P.; DiMatteo, Andrew D.; Bolten, Alan B.; Chaloupka, Milani Y.; Hutchinson, Brian J.; Abreu-Grobois, F. Alberto; Mortimer, Jeanne A.; Seminoff, Jeffrey A.; Amorocho, Diego; Bjorndal, Karen A.; Bourjea, Jerome; Bowen, Brian W.; Briseno Duenas, Raquel; Casale, Paolo; Choudhury, B. C.; Costa, Alice; Dutton, Peter H.; Fallabrino, Alejandro; Finkbeiner, Elena M.; Girard, Alexandre; Girondot, Marc; Hamann, Mark; Hurley, Brendan J.; Lopez-Mendilaharsu, Milagros; Angela Marcovaldi, Maria; Musick, John A.; Nel, Ronel; Pilcher, Nicolas J.; Troeng, Sebastian; Witherington, Blair; Mast, Roderic B.] Burning Issues Working Grp, IUCN SSC Marine Turtle Specialist Grp, Arlington, VA USA; [Wallace, Bryan P.; Hutchinson, Brian J.; Hurley, Brendan J.; Mast, Roderic B.] Conservat Int, Global Marine Div, Arlington, VA USA; [Wallace, Bryan P.; Finkbeiner, Elena M.] Duke Univ, Div Marine Sci &amp; Conservat, Beaufort, NC USA; [DiMatteo, Andrew D.] Duke Univ, Marine Geospatial Ecol Lab, Durham, NC USA; [Bolten, Alan B.; Bjorndal, Karen A.] Univ Florida, Archie Carr Ctr Sea Turtle Res, Gainesville, FL USA; [Bolten, Alan B.; Mortimer, Jeanne A.; Bjorndal, Karen A.] Univ Florida, Dept Biol, Gainesville, FL USA; [Chaloupka, Milani Y.] Univ Queensland, Ecol Modelling Serv Pty Ltd, Brisbane, Qld, Australia; [Abreu-Grobois, F. Alberto] Univ Nacl Autonoma Mexico, Unidad Acad Mazatlan, Inst Ciencias Mar &amp; Limnol, Mazatlan, Sinaloa, Mexico; [Mortimer, Jeanne A.] Isl Conservat Soc, Victoria, Mahe, Seychelles; [Amorocho, Diego] NOAA, Natl Marine Fisheries Serv, Marine Turtle Ecol &amp; Assessment Program, SW Fisheries Sci Ctr, La Jolla, CA USA; [Amorocho, Diego] Ctr Invest Medio Ambiente &amp; Desarrollo, Cali, Colombia; [Bourjea, Jerome] IFREMER, Lab Ressources Halieut, Ile De La Reunion, France; [Bowen, Brian W.] Hawaii Inst Marine Biol, Kaneohe, HI USA; [Briseno Duenas, Raquel] Univ Nacl Autonoma Mexico, Inst Ciencias Mar &amp; Limnol, Banco Informac Tortugas Marinas BITMAR, Unidad Mazatlan, Mazatlan, Sinaloa, Mexico; [Casale, Paolo] Univ Roma La Sapienza, Dept Biol &amp; Biotechnol Charles Darwin, Rome, Italy; [Casale, Paolo] World Wildlife Fund Italy, WWF Mediterranean Turtle Programme, Rome, Italy; [Choudhury, B. C.] Wildlife Inst India, Dept Endangered Species Management, Dehra Dun, Uttarakhand, India; [Costa, Alice] World Wildlife Fund Mozamb, Maputo, Mozambique; [Dutton, Peter H.] Natl Ocean &amp; Atmospher Adm, SW Fisheries Sci Ctr, Natl Marine Fisheries Serv, La Jolla, CA USA; [Fallabrino, Alejandro] Karumbe, Montevideo, Uruguay; [Girard, Alexandre] Assoc RENATURA, Albens, France; [Girard, Alexandre] Assoc RENATURA, Pointe Noire, Rep Congo; [Girondot, Marc] Univ Paris 11, Lab Ecol Syst &amp; Evolut, Orsay, France; [Hamann, Mark] James Cook Univ, Sch Earth &amp; Environm Sci, Townsville, Qld, Australia; [Lopez-Mendilaharsu, Milagros; Angela Marcovaldi, Maria] Fundacao Pro Tamar, Projeto Tamar ICMBio, Salvador, BA, Brazil; Univ Estado Rio de Janeiro, Dept Ecol, Inst Biol, BR-20550011 Rio De Janeiro, Brazil; [Musick, John A.] Virginia Inst Marine Sci, Coll William &amp; Mary, Gloucester Point, VA 23062 USA; [Nel, Ronel] Nelson Mandela Metropolitan Univ, Sch Environm Sci, Summerstrand Campus, South Africa; [Pilcher, Nicolas J.] Marine Res Fdn, Sabah, Malaysia; [Troeng, Sebastian] Lund Univ, Dept Anim Ecol, S-22362 Lund, Sweden; [Troeng, Sebastian] Sea Turtle Conservancy, Sci Advisory Comm, Gainesville, FL USA; [Witherington, Blair] Florida Fish &amp; Wildlife Conservat Commiss, Melbourne Beach, FL USA</t>
  </si>
  <si>
    <t>Conservation International; Duke University; Duke University; State University System of Florida; University of Florida; State University System of Florida; University of Florida; University of Queensland; Universidad Nacional Autonoma de Mexico; National Oceanic Atmospheric Admin (NOAA) - USA; Ifremer; Universidad Nacional Autonoma de Mexico; Sapienza University Rome; Wildlife Institute of India; National Oceanic Atmospheric Admin (NOAA) - USA; AgroParisTech; Universite Paris Saclay; James Cook University; Universidade do Estado do Rio de Janeiro; William &amp; Mary; Virginia Institute of Marine Science; Nelson Mandela University; Lund University; Florida Fish &amp; Wildlife Conservation Commission</t>
  </si>
  <si>
    <t>Wallace, BP (corresponding author), Burning Issues Working Grp, IUCN SSC Marine Turtle Specialist Grp, Arlington, VA USA.</t>
  </si>
  <si>
    <t>b.wallace@conservation.org</t>
  </si>
  <si>
    <t>Girard, Alexane/NFS-0715-2025; Girondot, Marc/A-7663-2010; Abreu-Grobois, F Alberto/A-3560-2017; Hamann, Mark/ABG-5857-2020; Nel, Ronel/HTN-7698-2023</t>
  </si>
  <si>
    <t>Girard, Alexane/0000-0002-2973-5137; CASALE, PAOLO/0000-0003-2534-6158; Marcovaldi, Maria Angela/0000-0003-1251-7149; Dutton, Peter H/0000-0002-6628-8962; Bjorndal, Karen/0000-0002-6286-1901; Bourjea, Jérôme/0000-0001-7149-3648; Bolten, Alan/0000-0002-4834-2742; Girondot, Marc/0000-0001-6645-8530; Mortimer, Jeanne A/0000-0001-6318-2890; Abreu-Grobois, F Alberto/0000-0002-7350-757X; Hamann, Mark/0000-0003-4588-7955;</t>
  </si>
  <si>
    <t>National Fish and Wildlife Foundation; Offield Family Foundation; Ecological Modelling Services, Pty Ltd</t>
  </si>
  <si>
    <t>This study was funded by the National Fish and Wildlife Foundation and the Offield Family Foundation. These funders had no role in study design, data collection and analysis, decision to publish, or preparation of the manuscript. MYC is employed by a commercial company (Ecological Modelling Services, Pty Ltd) that provides ecological modeling services, and his involvement in all aspects of this study was partially supported by this company. However, this support in no way biased his contributions to all aspects of this study, the overall process or resulting products generated by this study.</t>
  </si>
  <si>
    <t>SEP 28</t>
  </si>
  <si>
    <t>e24510</t>
  </si>
  <si>
    <t>10.1371/journal.pone.0024510</t>
  </si>
  <si>
    <t>834CT</t>
  </si>
  <si>
    <t>WOS:000295936900009</t>
  </si>
  <si>
    <t>Venegas-Li, R; Levin, N; Morales-Barquero, L; Kaschner, K; Garilao, C; Kark, S</t>
  </si>
  <si>
    <t>Venegas-Li, Ruben; Levin, Noam; Morales-Barquero, Lucia; Kaschner, Kristin; Garilao, Cristina; Kark, Salit</t>
  </si>
  <si>
    <t>energy; marine biodiversity; ocean; offshore hydrocarbon; oil and gas; species richness</t>
  </si>
  <si>
    <t>CONSERVATION CHALLENGES; ECOSYSTEM; OIL; PROSPECTS; SERVICES; RISKS; AREAS; GULF</t>
  </si>
  <si>
    <t>Increasing global energy demands have led to the ongoing intensification of hydrocarbon extraction from marine areas. Hydrocarbon extractive activities pose threats to native marine biodiversity, such as noise, light, and chemical pollution, physical changes to the sea floor, invasive species, and greenhouse gas emissions. Here, we assessed at a global scale the spatial overlap between offshore hydrocarbon activities and marine biodiversity (&gt;25,000 species, nine major ecosystems, and marine protected areas), and quantify the changes over time. We discovered that two-thirds of global offshore hydrocarbon activities occur in areas within the top 10% for species richness, range rarity, and proportional range rarity values globally. Thus, while hydrocarbon activities are undertaken in less than one percent of the ocean's area, they overlap with approximately 85% of all assessed species. Of conservation concern, 4% of species with the largest proportion of their range overlapping hydrocarbon activities are range restricted, potentially increasing their vulnerability to localized threats such as oil spills. While hydrocarbon activities have extended to greater depths since the mid-1990s, we found that the largest overlap is with coastal ecosystems, particularly estuaries, saltmarshes and mangroves. Furthermore, in most countries where offshore hydrocarbon exploration licensing blocks have been delineated, they do not overlap with marine protected areas (MPAs). Although this is positive in principle, many countries have far more licensing block areas than protected areas, and in some instances, MPA coverage is minimal. These findings suggest the need for marine spatial prioritization to help limit future spatial overlap between marine conservation priorities and hydrocarbon activities. Such prioritization can be informed by the spatial and quantitative baseline information provided here. In increasingly shared seascapes, prioritizing management actions that set both conservation and development targets could help minimize further declines of biodiversity and environmental changes at a global scale.</t>
  </si>
  <si>
    <t>[Venegas-Li, Ruben; Kark, Salit] Univ Queensland, Sch Biol Sci, Biodivers Res Grp, Ctr Biodivers &amp; Conservat Sci, St Lucia, Qld, Australia; [Venegas-Li, Ruben; Levin, Noam; Kark, Salit] Univ Queensland, Ctr Excellence Environm Decis, St Lucia, Qld, Australia; [Levin, Noam; Morales-Barquero, Lucia] Univ Queensland, Sch Earth &amp; Environm Sci, St Lucia, Qld, Australia; [Levin, Noam] Hebrew Univ Jerusalem, Dept Geog, Jerusalem, Israel; [Kaschner, Kristin] Albert Ludwigs Univ, Dept Biometry &amp; Environm Syst Anal, Freiburg, Germany; [Garilao, Cristina] Helmholtz Zentrum Ozeanforsch, GEOMAR, Kiel, Germany</t>
  </si>
  <si>
    <t>University of Queensland; University of Queensland; University of Queensland; Hebrew University of Jerusalem; University of Freiburg; Helmholtz Association; GEOMAR Helmholtz Center for Ocean Research Kiel</t>
  </si>
  <si>
    <t>Venegas-Li, R (corresponding author), Univ Queensland, Sch Biol Sci, Biodivers Res Grp, Ctr Biodivers &amp; Conservat Sci, St Lucia, Qld, Australia.</t>
  </si>
  <si>
    <t>rubenvlicr@gmail.com</t>
  </si>
  <si>
    <t>Kaschner, Kristin/GQQ-6475-2022; Venegas-Li, Rubén/G-6560-2016; Kark, Salit/C-6795-2016; Levin, Noam/D-2180-2013</t>
  </si>
  <si>
    <t>Morales Barquero, Lucia/0000-0001-5151-4739; Venegas-Li, Rubén/0000-0003-2085-8269; Kark, Salit/0000-0002-7183-3988; Levin, Noam/0000-0002-9434-7501</t>
  </si>
  <si>
    <t>Centre of Excellence for Environmental Decisions, Australian Research Council; Costa Rican Ministry of Science, Technology and Telecommunications; Federal Ministry for the Environment, Nature Conservation, Building and Nuclear Safety [Z 1.2-532 02, 2015/7]</t>
  </si>
  <si>
    <t>Centre of Excellence for Environmental Decisions, Australian Research Council(Australian Research Council); Costa Rican Ministry of Science, Technology and Telecommunications; Federal Ministry for the Environment, Nature Conservation, Building and Nuclear Safety</t>
  </si>
  <si>
    <t>Centre of Excellence for Environmental Decisions, Australian Research Council; Costa Rican Ministry of Science, Technology and Telecommunications; Federal Ministry for the Environment, Nature Conservation, Building and Nuclear Safety, Grant/Award Number: Z 1.2-532 02 and/2015/7</t>
  </si>
  <si>
    <t>10.1111/gcb.14616</t>
  </si>
  <si>
    <t>HX5LE</t>
  </si>
  <si>
    <t>WOS:000467441900012</t>
  </si>
  <si>
    <t>Jenkins, CN; Van Houtan, KS</t>
  </si>
  <si>
    <t>Jenkins, Clinton N.; Van Houtan, Kyle S.</t>
  </si>
  <si>
    <t>Marine protected areas; Biodiversity conservation; Endemism; Biogeography</t>
  </si>
  <si>
    <t>CONSERVATION PRIORITIES; EXTINCTION RISK; RESERVES; HOTSPOTS; AREAS</t>
  </si>
  <si>
    <t>The ocean holds much of the planet's biodiversity, yet &lt;4% of the ocean is within protected areas. On land, the protecting of areas with low biodiversity and under little threat, rather than biodiversity hotspots, is a well-known problem. Prudence suggests that we not repeat this pattern in the ocean. Here we assessed patterns of global marine biodiversity by evaluating the protections of 4352 species for which geographic ranges are known, and mapping priority areas using an index that considers species vulnerability, coverage by marine protected areas (MPAs), and human impacts. Species have, on average, only 3.6% of their range protected. Moreover, species of conservation concern (threatened, small-ranged, and data deficient) have less protection than species on average. Only 5 nations currently protect 10% or more of their exclusive economic zone (EEZ) as strict Marine Reserves (IUCN category I-IV) in accord with the 2020 Aichi Biodiversity Targets. One nation by itself, Australia, accounts for 65% of the global area of Marine Reserves. The Coral Triangle is the dear and dominant global priority for biodiversity, but we identify additional global and regional priorities in each ocean basin. As an example, we show that for the United States, the Marianas and Samoan Islands are the top marine conservation priorities. Despite recent advances, the world has yet to protect most of the area and species that need it. Where to protect those species, however, is increasingly clear. (C) 2016 Elsevier Ltd. All rights reserved.</t>
  </si>
  <si>
    <t>[Jenkins, Clinton N.] IPE, Rod Dom Pedro 1,Km 47,Caixa Postal 47, BR-12960000 Sao Paulo, Brazil; [Van Houtan, Kyle S.] Monterey Bay Aquarium, 886 Cannery Row, Monterey, CA 93940 USA; [Van Houtan, Kyle S.] NOAA Fisheries, Pacific Isl Fisheries Sci Ctr, 1845 Wasp Blvd,Bldg 176, Honolulu, HI 96818 USA; [Van Houtan, Kyle S.] Duke Univ, Nicholas Sch Environm, Box 90328, Durham, NC 27708 USA</t>
  </si>
  <si>
    <t>Monterey Bay Aquarium Research Institute; National Oceanic Atmospheric Admin (NOAA) - USA; Duke University</t>
  </si>
  <si>
    <t>Jenkins, CN (corresponding author), IPE, Rod Dom Pedro 1,Km 47,Caixa Postal 47, BR-12960000 Sao Paulo, Brazil.</t>
  </si>
  <si>
    <t>Clinton.Jenkins@gmail.com</t>
  </si>
  <si>
    <t>Jenkins, Clinton/D-6134-2011; Van Houtan, Kyle/A-4695-2008</t>
  </si>
  <si>
    <t>Jenkins, Clinton/0000-0003-2198-0637; Van Houtan, Kyle/0000-0001-5725-1773;</t>
  </si>
  <si>
    <t>Ciencia Sem Fronteiras program of Brazil [A025_2013]; Presidential Early Career Award for Scientists and Engineers</t>
  </si>
  <si>
    <t>Ciencia Sem Fronteiras program of Brazil; Presidential Early Career Award for Scientists and Engineers(United States Department of Health &amp; Human ServicesNational Institutes of Health (NIH) - USA)</t>
  </si>
  <si>
    <t>We thank the WCMC-UNEP teams for making the protected areas data available. Comments from M. Costello, S. Pimm, A. Read, M. Parke, and three anonymous reviewers improved earlier versions of this manuscript. CNJ received support from the Ciencia Sem Fronteiras program of Brazil (A025_2013). IN received support from a Presidential Early Career Award for Scientists and Engineers.</t>
  </si>
  <si>
    <t>10.1016/j.biocon.2016.10.005</t>
  </si>
  <si>
    <t>EG3TZ</t>
  </si>
  <si>
    <t>WOS:000390968900023</t>
  </si>
  <si>
    <t>Schuyler, Q; Hardesty, BD; Wilcox, C; Townsend, K</t>
  </si>
  <si>
    <t>Schuyler, Qamar; Hardesty, Britta Denise; Wilcox, Chris; Townsend, Kathy</t>
  </si>
  <si>
    <t>Caretta caretta; Dermochelys coriacea; Eretmochelys imbricata; garbage; Lepidochelys kempii; litter; rubbish; trash</t>
  </si>
  <si>
    <t>CHELONIA-MYDAS; CARETTA-CARETTA; MARINE DEBRIS; GREEN TURTLE; FEEDING ECOLOGY; DIET; PACIFIC; IMPACTS; ENVIRONMENT; CALIFORNIA</t>
  </si>
  <si>
    <t>Ingestion of marine debris can have lethal and sublethal effects on sea turtles and other wildlife. Although researchers have reported on ingestion of anthropogenic debris by marine turtles and implied incidences of debris ingestion have increased over time, there has not been a global synthesis of the phenomenon since 1985. Thus, we analyzed 37 studies published from 1985 to 2012 that report on data collected from before 1900 through 2011. Specifically, we investigated whether ingestion prevalence has changed over time, what types of debris are most commonly ingested, the geographic distribution of debris ingestion by marine turtles relative to global debris distribution, and which species and life-history stages are most likely to ingest debris. The probability of green (Chelonia mydas) and leatherback turtles (Dermochelys coriacea) ingesting debris increased significantly over time, and plastic was the most commonly ingested debris. Turtles in nearly all regions studied ingest debris, but the probability of ingestion was not related to modeled debris densities. Furthermore, smaller, oceanic-stage turtles were more likely to ingest debris than coastal foragers, whereas carnivorous species were less likely to ingest debris than herbivores or gelatinovores. Our results indicate oceanic leatherback turtles and green turtles are at the greatest risk of both lethal and sublethal effects from ingested marine debris. To reduce this risk, anthropogenic debris must be managed at a global level.</t>
  </si>
  <si>
    <t>[Schuyler, Qamar; Townsend, Kathy] Univ Queensland, Sch Biol Sci, Moreton Bay Res Stn, Dunwich, Qld 4183, Australia; [Hardesty, Britta Denise] CSIRO, Ecosyst Sci, Sandy Bay, Tas 7005, Australia; [Wilcox, Chris] CSIRO, Marine &amp; Atmospher Res, Hobart, Tas 7000, Australia</t>
  </si>
  <si>
    <t>University of Queensland; Commonwealth Scientific &amp; Industrial Research Organisation (CSIRO); Commonwealth Scientific &amp; Industrial Research Organisation (CSIRO)</t>
  </si>
  <si>
    <t>Schuyler, Q (corresponding author), Univ Queensland, Sch Biol Sci, Moreton Bay Res Stn, POB 138, Dunwich, Qld 4183, Australia.</t>
  </si>
  <si>
    <t>q.schuyler@uq.edu.au</t>
  </si>
  <si>
    <t>Townsend, Kathy/K-9486-2016; Schuyler, Qamar/L-2586-2014; Hardesty, Britta Denise/A-3189-2011; Wilcox, Chris/A-3585-2010</t>
  </si>
  <si>
    <t>Townsend, Kathy/0000-0002-2581-2158; Schuyler, Qamar/0000-0002-2473-4311; Hardesty, Britta Denise/0000-0003-1948-5098;</t>
  </si>
  <si>
    <t>CSIRO Wealth from Oceans Flagship and Ecosystem Sciences; Goldring Earthwatch Emerging Marine Scientist Fellowship; ARC [LP110200216]; Goodman Family Foundation; Australian Postgraduate Award; Margaret Middleton Foundation; Shell Social Investment Program; Australian Research Council [LP110200216] Funding Source: Australian Research Council</t>
  </si>
  <si>
    <t>CSIRO Wealth from Oceans Flagship and Ecosystem Sciences; Goldring Earthwatch Emerging Marine Scientist Fellowship; ARC(Australian Research Council); Goodman Family Foundation; Australian Postgraduate Award(Australian Government); Margaret Middleton Foundation; Shell Social Investment Program; Australian Research Council(Australian Research Council)</t>
  </si>
  <si>
    <t>This work was funded by CSIRO Wealth from Oceans Flagship and Ecosystem Sciences, Goldring Earthwatch Emerging Marine Scientist Fellowship, ARC Linkage grant LP110200216, Goodman Family Foundation, the Australian Postgraduate Award, the Margaret Middleton Foundation, and the Shell Social Investment Program. We thank the staff of the Moreton Bay Research Station for help throughout this project, J. Roberts for assistance in the early stages of manuscript writing, and constructive comments from D. Ceccarelli, M. Hamann, N. FitzSimmons, and 4 anonymous reviewers.</t>
  </si>
  <si>
    <t>10.1111/cobi.12126</t>
  </si>
  <si>
    <t>WOS:000330265900014</t>
  </si>
  <si>
    <t>Dong, JJ; Zhang, MG; Wei, W; Ma, KP; Wang, YH</t>
  </si>
  <si>
    <t>Dong, Jing-jing; Zhang, Ming-gang; Wei, Wei; Ma, Ke-ping; Wang, Ying-hao</t>
  </si>
  <si>
    <t>Biosafety; Canola; Species distribution model; Transgenic crops; Weedy species</t>
  </si>
  <si>
    <t>OILSEED RAPE; SPECIES DISTRIBUTIONS; B-RAPA; INTROGRESSION; TRANSGENE; JUNCEA; POLLINATION; PREDICTION; HARVEST; HYBRIDS</t>
  </si>
  <si>
    <t>Risk of gene flow from canola (Brassica napus) to species of wild relatives was used as an example to evaluate the risk of gene flow of transgenic crops. B. juncea and B. rapa were the most common weedy Brassica species in China, which were both sexually compatible with canola. Data on canola cultivation in China were collected and analyzed using geographic information system (GIS), and the distribution of its wild relatives was predicted by MaxEnt species distribution model. Based on biological and phenological evidence, our results showed that gene flow risk exists in most parts of the country, especially in places with higher richness of wild Brassica species. However, risk in dominant canola cultivation regions is relatively low owing to the reduced distribution density of wild species in these regions. Three regions of higher risk of gene flow had been identified. Risk of gene flow is relatively high in certain areas. China has been assumed to be the original center of B. juncea and B. rapa, and gene flow may lead to negative effects on the conservation of biodiversity of local species. Strategies had been proposed to reduce the possibility of gene flow either by monitoring introgression from crops to wild relatives in the areas of high adoption of the crop or by taking measures to limit the releasing of new crops or varieties in the areas with abundant wild relatives.</t>
  </si>
  <si>
    <t>[Dong, Jing-jing; Wei, Wei; Ma, Ke-ping; Wang, Ying-hao] Chinese Acad Sci, Inst Bot, State Key Lab Vegetat &amp; Environm Change, Beijing, Peoples R China; [Zhang, Ming-gang] Shanxi Univ, Inst Loess Plateau, Taiyuan, Shanxi, Peoples R China; [Dong, Jing-jing] Shandong Agr &amp; Engn Univ, Jinan, Shandong, Peoples R China</t>
  </si>
  <si>
    <t>Chinese Academy of Sciences; Institute of Botany, CAS; Shanxi University; Shandong Agriculture &amp; Engineering University</t>
  </si>
  <si>
    <t>Wei, W (corresponding author), Chinese Acad Sci, Inst Bot, State Key Lab Vegetat &amp; Environm Change, Beijing, Peoples R China.</t>
  </si>
  <si>
    <t>weiwei@ibcas.ac.cn</t>
  </si>
  <si>
    <t>Wei, Wei/B-2681-2008; Ma, Keping/MIK-5341-2025</t>
  </si>
  <si>
    <t>Wei, Wei/0000-0002-1815-9314;</t>
  </si>
  <si>
    <t>National Natural Science Foundation of China (NSFC) [31370357]; Commonweal Scientific Programme of the Ministry of Environmental Protection of China [201109028]</t>
  </si>
  <si>
    <t>National Natural Science Foundation of China (NSFC)(National Natural Science Foundation of China (NSFC)); Commonweal Scientific Programme of the Ministry of Environmental Protection of China</t>
  </si>
  <si>
    <t>This work was funded by a National Natural Science Foundation of China (NSFC) grant (31370357) and a Commonweal Scientific Programme of the Ministry of Environmental Protection of China (201109028).</t>
  </si>
  <si>
    <t>10.1007/s10661-018-6753-9</t>
  </si>
  <si>
    <t>GJ7EO</t>
  </si>
  <si>
    <t>WOS:000435548300003</t>
  </si>
  <si>
    <t>Rashid, I; Romshoo, SA; Vijayalakshmi, T</t>
  </si>
  <si>
    <t>Rashid, Irfan; Romshoo, Shakil Ahmad; Vijayalakshmi, Tartiparti</t>
  </si>
  <si>
    <t>Remote sensing; Geospatial analysis; Vegetation; Phytosociology; Biodiversity</t>
  </si>
  <si>
    <t>LANDSCAPE LEVEL; CLIMATE-CHANGE; VEGETATION; DIVERSITY; ECOLOGY; GEOINFORMATICS; CLASSIFICATION; IDENTIFICATION; CONSERVATION; GERARDIANA</t>
  </si>
  <si>
    <t>The present study is a comprehensive effort for making spatially explicit vegetation type information, one of the basic inputs for species and habitat conservation, readily available to the decision makers, resource managers and nature conservationists. The present study was carried out to understand the vegetation composition and structure in Doda area of Western Himalayas, India. During the study, vegetation types were mapped using on-screen image interpretation technique of multispectral high resolution satellite data. A total of ten types of vegetation were delineated from the satellite data. Phytosociological data was collected for the forest, pasture and scrub classes using nested-quadrat approach to characterize the vegetation. A total of ten phytosociological parameters were analyzed. Pinaceae, Rosaceae and Asteraceae were the dominant plant families with most of the identified plant species having a very high medicinal value. Other important component of the study involved landscape modelling, using the Spatial Landscape Analysis Model for identifying disturbance regimes and biodiversity rich landscapes in the area. The model results indicate that most of the area contains a very rich biodiversity repository with only a few areas showing signs of disturbance where terrain is either complex or where the anthropogenic pressures on forest resources are apparent. The forest and nature conservation managers could use the conservation measures suggested on the basis of these research findings for developing biodiversity conservation strategies in the region.</t>
  </si>
  <si>
    <t>[Rashid, Irfan; Romshoo, Shakil Ahmad] Univ Kashmir, Dept Earth Sci, Remote Sensing &amp; GIS Lab, Srinagar 190006, Jammu &amp; Kashmir, India; [Vijayalakshmi, Tartiparti] Jawaharlal Nehru Technol Univ, Inst Sci Technol, Ctr Environm, Hyderabad, Andhra Pradesh, India</t>
  </si>
  <si>
    <t>University of Kashmir; Jawaharlal Nehru Technological University - Hyderabad</t>
  </si>
  <si>
    <t>Rashid, I (corresponding author), Univ Kashmir, Dept Earth Sci, Remote Sensing &amp; GIS Lab, Srinagar 190006, Jammu &amp; Kashmir, India.</t>
  </si>
  <si>
    <t>irfangis@gmail.com</t>
  </si>
  <si>
    <t>Rohoo, Shakil/A-2465-2012; Rashid, Irfan/T-3685-2019</t>
  </si>
  <si>
    <t>Rohoo, Shakil/0000-0003-0070-5564; Rashid, Irfan/0000-0002-5214-1919</t>
  </si>
  <si>
    <t>DOS-DBT</t>
  </si>
  <si>
    <t>The research work was conducted as part of the DOS-DBT sponsored national project on biodiversity characterization and the financial assistance received under the project to accomplish this research is thankfully acknowledged. The authors express gratitude to the anonymous reviewers for their valuable comments and suggestions on the earlier version of the manuscript that greatly improved the content and structure of this manuscript.</t>
  </si>
  <si>
    <t>10.1007/s10531-013-0538-9</t>
  </si>
  <si>
    <t>220BI</t>
  </si>
  <si>
    <t>WOS:000324555300006</t>
  </si>
  <si>
    <t>Singh, G; Velmurugan, A; Dakhate, MP</t>
  </si>
  <si>
    <t>Singh, G.; Velmurugan, A.; Dakhate, M. P.</t>
  </si>
  <si>
    <t>Multi-criteria analysis; Remote sensing; GIS; Tiger habitat suitability</t>
  </si>
  <si>
    <t>SAMBAR</t>
  </si>
  <si>
    <t>India has a rich repository of flora and fauna, but the rapid decline of wildlife and threat to its habitat has been a serious cause of concern. Hence, protected areas have been set up to achieve specific conservation objectives to facilitate timely and reliable information on forest types and its composition, degradation status and their suitability for different species of flora and fauna. In the present study, evaluation of tiger habitat in Corbett Tiger reserve is carried out using remote sensing, ground and other ancillary sources and is integrated using GIS using multi-criteria model. The results indicated that sal, mixed sal, miscellaneous forest, plantation, grassland, agriculture and scrub land are the major land use/land cover types and majority of the study area is covered under dense forest. Tiger habitat suitability analysis showed that large proportion of the area (51.4%) was found to be highly suitable followed by moderately suitable area (31%). Further, the correlation drawn between range-wise suitability area and actual tiger population in Corbett Tiger Reserve CTR indicated a positive correlation of 0.73. Disturbance to wildlife habitat, vegetation degradation and shrinking passage corridor are the major concern in CTR.</t>
  </si>
  <si>
    <t>[Velmurugan, A.] Indian Inst Remote Sensing, Dehra Dun 248001, Uttar Pradesh, India; [Singh, G.] PCCF, Patna 800015, Bihar, India; [Dakhate, M. P.] Corbett Tiger Reserve, Ramnagar 244715, Uttarakhand, India</t>
  </si>
  <si>
    <t>Velmurugan, A (corresponding author), Indian Inst Remote Sensing, Dehra Dun 248001, Uttar Pradesh, India.</t>
  </si>
  <si>
    <t>vels@iirs.gov.in</t>
  </si>
  <si>
    <t>10.1007/s12524-009-0052-4</t>
  </si>
  <si>
    <t>576WT</t>
  </si>
  <si>
    <t>WOS:000276181400004</t>
  </si>
  <si>
    <t>Ramachandra, TV; Setturu, B; Chandran, S</t>
  </si>
  <si>
    <t>Ramachandra, T., V; Setturu, Bharath; Chandran, Subash</t>
  </si>
  <si>
    <t>FOREST ECOSYSTEMS</t>
  </si>
  <si>
    <t>Background: Landscapes consist of heterogeneous interacting dynamic elements with complex ecological, economic and cultural attributes. These complex interactions help in the sustenance of natural resources through bio-geochemical and hydrological cycling. The ecosystem functions are altered with changes in the landscape structure. Fragmentation of large contiguous forests to small and isolated forest patches either by natural phenomena or anthropogenic activities leads to drastic changes in forest patch sizes, shape, connectivity and internal heterogeneity, which restrict the movement leading to inbreeding among Meta populations with extirpation of species. Methods: Landscape dynamics are assessed through land use analysis by way of remote sensing data acquired at different time periods. Forest fragmentation is assessed at the pixel level through computation of two indicators, i.e., Pf (the ratio of pixels that are forested to the total non-water pixels in the window) and Pff (the proportion of all adjacent (cardinal directions only) pixel pairs that include at least one forest pixel, for which both pixels are forested). Results: Uttara Kannada District has the distinction of having the highest forest cover in Karnataka State, India. This region has been experiencing changes in its forest cover and consequent alterations in functional abilities of its ecosystem. Temporal land use analyses show the trend of deforestation, evident from the reduction of evergreen semi evergreen forest cover from 57.31 % (1979) to 32.08 % (2013) Forest fragmentation at the landscape level shows a decline of interior forests 64.42 % (1979) to 25.62 % (2013) and transition of non-forest categories such as crop land, plantations and built-up areas, amounting now to 47.29 %. PCA prioritized geophysical and socio variables responsible for changes in the landscape structure at local levels. Conclusion: Terrestrial forest ecosystems in Uttara Kannada District of Central Western Ghats have been experiencing threats due to deforestation with land use changes and fragmentation of contiguous forests, as is evident from the decline of interior forests and consequent increases in patch, transitional, edge and perforated forests. Interior or intact forest cover in this ecologically fragile region is now 25.62 %. Considering the accelerating rates of forest fragmentation in recent times, the focus should be on reforestation and regeneration of natural vegetation to sustain food and water security and the livelihood of local populations. This requires innovation with holistic approaches in the management of forests by involving all local stakeholders to minimize the encroachment of forests, and improvements in regeneration.</t>
  </si>
  <si>
    <t>[Ramachandra, T., V; Setturu, Bharath; Chandran, Subash] Indian Inst Sci, Ctr Ecol Sci, Energy &amp; Wetlands Res Grp, Bangalore, Karnataka, India; [Ramachandra, T., V] Ctr Sustainable Technol Astra, Bangalore 560012, Karnataka, India; [Ramachandra, T., V] Indian Inst Sci, CiSTUP, Bangalore 560012, Karnataka, India</t>
  </si>
  <si>
    <t>Indian Institute of Science (IISC) - Bangalore; Indian Institute of Science (IISC) - Bangalore</t>
  </si>
  <si>
    <t>Ramachandra, TV (corresponding author), Indian Inst Sci, Ctr Ecol Sci, Energy &amp; Wetlands Res Grp, Bangalore, Karnataka, India.;Ramachandra, TV (corresponding author), Ctr Sustainable Technol Astra, Bangalore 560012, Karnataka, India.;Ramachandra, TV (corresponding author), Indian Inst Sci, CiSTUP, Bangalore 560012, Karnataka, India.</t>
  </si>
  <si>
    <t>setturu, bharath/D-1103-2013; T V, RAMACHANA/Q-5982-2016; V, RAMACHANDRA/AAC-2335-2019</t>
  </si>
  <si>
    <t>SETTURU, BHARATH/0000-0001-6800-9579; T V, RAMACHANA/0000-0001-5528-1565;</t>
  </si>
  <si>
    <t>SPRINGEROPEN</t>
  </si>
  <si>
    <t>2095-6355</t>
  </si>
  <si>
    <t>2197-5620</t>
  </si>
  <si>
    <t>FOR ECOSYST</t>
  </si>
  <si>
    <t>For. Ecosyst.</t>
  </si>
  <si>
    <t>10.1186/s40663-016-0069-4</t>
  </si>
  <si>
    <t>EF0RD</t>
  </si>
  <si>
    <t>WOS:000390032600001</t>
  </si>
  <si>
    <t>Al-Nasrawi, AKM; Hamylton, SM; Jones, BG; Hopley, CA; Al Yazichi, YM</t>
  </si>
  <si>
    <t>Al-Nasrawi, Ali K. M.; Hamylton, Sarah M.; Jones, Brian G.; Hopley, Carl A.; Al Yazichi, Yasir M.</t>
  </si>
  <si>
    <t>Geoinformatics vulnerability predictions of coastal ecosystems to sea-level rise in southeastern Australia</t>
  </si>
  <si>
    <t>GEOMATICS NATURAL HAZARDS &amp; RISK</t>
  </si>
  <si>
    <t>Ecosystems vulnerability; climate changes; remote sensing (RS); GIS modelling; coastal conservation</t>
  </si>
  <si>
    <t>HIGH-PRECISION MEASUREMENTS; CLIMATE-CHANGE; MORPHOLOGICAL EVOLUTION; SEDIMENT ELEVATION; EROSION; DELTA; RATES; GIS; FLUCTUATIONS; PATTERNS</t>
  </si>
  <si>
    <t>Coastlines are dynamic environments, with their Eco-geomorphology controlled by a complex range of natural and anthropic processes. Estuarine environments and associated wetland ecosystems are a critical shoreline types with regards to biodiversity, and are particularly susceptible to the influence of sea-level rise. This project applied future sea-level rise of Intergovernmental Panel on Climate Change (IPCC) hydro-scenarios to assess its impact on the eco-geomorphic aspects of coastal ecosystems in terms of risk assessment and sustainability. Comerong Island is used as a case study and is compared with other surrounding ocean-influenced and lagoonal deltas to assess the regional effects of sea-level rise. Applying the IPCC scenarios to the chosen geomorphic coastal data-sets resulted in a hydro-geomorphic model that shows the study site was already under pressure in 2015, with significant land area projected to be lost by 2050 and 2100. These findings are also expected to occur across the remaining estuaries in southeastern Australia. Applying this broad-scale, multi-strand application of geoinformatics simulation (GIS &amp; RS), together with the various IPCC sea-level rise scenarios, will be necessary to assess future ecosystem sustainability management plans for coastal zones worldwide.</t>
  </si>
  <si>
    <t>[Al-Nasrawi, Ali K. M.; Hamylton, Sarah M.; Jones, Brian G.; Hopley, Carl A.; Al Yazichi, Yasir M.] Univ Wollongong, Sch Earth &amp; Environm Sci, GeoQuEST Res Ctr, Wollongong, NSW, Australia; [Al-Nasrawi, Ali K. M.] Univ Babylon, Minist Higher Educ &amp; Sci Res, Dept Geog, Hillah, Iraq; [Hopley, Carl A.] Wollongong City Council, Bldg &amp; Facil Sustainabil, Wollongong, NSW, Australia</t>
  </si>
  <si>
    <t>University of Wollongong; University of Babylon</t>
  </si>
  <si>
    <t>Al-Nasrawi, AKM (corresponding author), Univ Wollongong, Sch Earth &amp; Environm Sci, GeoQuEST Res Ctr, Wollongong, NSW, Australia.;Al-Nasrawi, AKM (corresponding author), Univ Babylon, Minist Higher Educ &amp; Sci Res, Dept Geog, Hillah, Iraq.</t>
  </si>
  <si>
    <t>akman685@uowmail.edu.au</t>
  </si>
  <si>
    <t>Jones, Brian G/K-2496-2017; Alyazichi, Yasir/AAI-4460-2020; AL-Nasrawi, Ali K M/P-9991-2016</t>
  </si>
  <si>
    <t>Jones, Brian G/0000-0003-0835-7197; Alyazichi, Yasir/0000-0002-1709-2023; Hamylton, Sarah/0000-0002-6256-3728; AL-Nasrawi, Ali K M/0000-0002-4963-8641</t>
  </si>
  <si>
    <t>GeoQuEST Research Centre, University of Wollongong, Australia [201-2018]; HCED, Baghdad, Iraq [D10**288]</t>
  </si>
  <si>
    <t>GeoQuEST Research Centre, University of Wollongong, Australia; HCED, Baghdad, Iraq</t>
  </si>
  <si>
    <t>GeoQuEST Research Centre (201-2018), University of Wollongong, Australia; HCED (D10**288), Baghdad, Iraq.</t>
  </si>
  <si>
    <t>1947-5705</t>
  </si>
  <si>
    <t>1947-5713</t>
  </si>
  <si>
    <t>GEOMAT NAT HAZ RISK</t>
  </si>
  <si>
    <t>Geomat. Nat. Hazards Risk</t>
  </si>
  <si>
    <t>10.1080/19475705.2018.1470112</t>
  </si>
  <si>
    <t>Geosciences, Multidisciplinary; Meteorology &amp; Atmospheric Sciences; Remote Sensing; Water Resources</t>
  </si>
  <si>
    <t>Geology; Meteorology &amp; Atmospheric Sciences; Remote Sensing; Water Resources</t>
  </si>
  <si>
    <t>HD1QG</t>
  </si>
  <si>
    <t>WOS:000452285800003</t>
  </si>
  <si>
    <t>Francesco, R; Fabio, B; Roberto, F; Pierre, EJ; Leonardo, C</t>
  </si>
  <si>
    <t>Francesco, Riccioli; Fabio, Boncinelli; Roberto, Fratini; Pierre, El Asmar Jean; Leonardo, Casini</t>
  </si>
  <si>
    <t>APPLIED SPATIAL ANALYSIS AND POLICY</t>
  </si>
  <si>
    <t>GIS; Ungulates damage; Geographically weighted regression; Spatial non-stationary</t>
  </si>
  <si>
    <t>WEIGHTED REGRESSION; ECOLOGICAL NETWORKS; SPATIAL-ANALYSIS; IMPACT; DEER; LANDSCAPE; WILDLIFE; CONSERVATION; CORRIDORS; DAMAGE</t>
  </si>
  <si>
    <t>Despite the fact that at the global level, half the planet's wildlife population has declined since 1970, this trend is not homogeneous across species and areas. Indeed, focusing on the ungulates, their increasing population and density has become worrisome in several rural areas. Favoured by economic and social changes often related to human activities, ungulates have conquered areas where coexistence with humans is difficult to maintain as a result of the damage that ungulates cause to agricultural activities and forests. This work aims to analyse the relationship between the number of ungulates and the characteristics of a specific area they inhabit. Applying a Geographically Weighted Regression analysis (GWR), we analysed and tested the spatial non-stationarity of the relationship between ungulates and human activities. Mugello, an area in central Italy, was selected for this study. This area was chosen due to the presence of a high number of ungulates that interact in different territorial scenarios, including urban agglomerations located in the flat zone, agricultural areas in the central-northern part and forested areas in the northern part of Mugello. This article looks at the way the number of ungulates is directly related to human activities in a specific territory. This contributes to the literature by providing useful information to stakeholders for future planning and wildlife management in agricultural areas within the limits of sustainability. Moreover, the social and economic implications are significant, especially considering such agricultural areas are at risk of being damaged by the presence of ungulates. The result of the analysis has validated the use of GWR, highlighting the relationship of selected variables and the number of ungulates.</t>
  </si>
  <si>
    <t>[Francesco, Riccioli; Fabio, Boncinelli; Roberto, Fratini; Leonardo, Casini] Univ Florence, Dept Management Agr Food &amp; Forestry Syst, Florence, Italy; [Pierre, El Asmar Jean] Notre Dame Univ, Fac Architecture Art &amp; Design, Louaize, Lebanon</t>
  </si>
  <si>
    <t>University of Florence; Notre Dame University Lebanon</t>
  </si>
  <si>
    <t>Francesco, R (corresponding author), Univ Florence, Dept Management Agr Food &amp; Forestry Syst, Florence, Italy.</t>
  </si>
  <si>
    <t>francesco.riccioli@unifi.it</t>
  </si>
  <si>
    <t>Boncinelli, Fabio/A-1588-2017; Riccioli, Francesco/A-3764-2016</t>
  </si>
  <si>
    <t>Boncinelli, Fabio/0000-0003-2049-6720; Riccioli, Francesco/0000-0002-0745-7893</t>
  </si>
  <si>
    <t>1874-463X</t>
  </si>
  <si>
    <t>1874-4621</t>
  </si>
  <si>
    <t>APPL SPAT ANAL POLIC</t>
  </si>
  <si>
    <t>Appl. Spat. Anal. Policy</t>
  </si>
  <si>
    <t>10.1007/s12061-018-9272-8</t>
  </si>
  <si>
    <t>Environmental Studies; Geography; Regional &amp; Urban Planning</t>
  </si>
  <si>
    <t>Environmental Sciences &amp; Ecology; Geography; Public Administration</t>
  </si>
  <si>
    <t>JU8FK</t>
  </si>
  <si>
    <t>WOS:000501905800005</t>
  </si>
  <si>
    <t>Clavero, M; Hermoso, V; Levin, N; Kark, S</t>
  </si>
  <si>
    <t>Clavero, Miguel; Hermoso, Virgilio; Levin, Noam; Kark, Salit</t>
  </si>
  <si>
    <t>Biological invasions; fish conservation; mediterranean rivers; overexploitation; spatial gradients; water resources</t>
  </si>
  <si>
    <t>EXTINCTION RISK; SPECIES RICHNESS; CLIMATE REGIONS; RIVER SYSTEMS; HABITAT; WORLDS; INVASIONS; CALIFORNIA; DIVERSITY; ENDEMISM</t>
  </si>
  <si>
    <t>Aim The level of imperilment of mediterranean freshwater fish is among the highest recorded for any group of organisms evaluated to date. Here, we describe the geographical patterns in the incidence of threats affecting mediterranean freshwater fish and test whether the effects of specific threats are spatially related to the degree of imperilment of fish faunas. Location The Mediterranean Basin Biome. Methods From the IUCN Red List, we recorded the six main threats to 232 endemic freshwater fish species. We used data on fish distributions from IUCN to characterize the spatial patterns in the incidence of threats (as percentage of species affected) through multivariate statistics. We studied the relationships between threat incidence and two estimators of imperilment (proportion of species threatened and an index of extinction risk) at two spatial scales (10 x 10 km and basins) using partial least squares regressions (PLSR) that incorporated the effects of species richness and mean range size. Results The main axis of variation in the incidence of threats to freshwater fish split areas mainly affected by invasive species from those areas where species are threatened by pollution and agriculture. Wherever invasive species and water extraction were predominant threats, fish assemblages consistently tended to be more imperilled. Main conclusions As far as we know, this is the first large-scale analysis on the spatial relationships between the incidence of threats and level of imperilment of any taxonomic group. Our results highlight the primary role of invasive species and water extraction as drivers of native fish declines in the Mediterranean Basin. Large-scale patterns described here should be generated by local-scale impacts of both threats on fish biodiversity, widely reported in Mediterranean areas. Because all the species under concern are endemic, control of invasive species and reducing overexploitation of freshwater resources should be conservation priorities for mediterranean freshwater systems.</t>
  </si>
  <si>
    <t>[Clavero, Miguel] Ctr Tecnol Forestal Catalunya, Grp Ecol Paistage, Area Biodiversitat, Solsona, Catalonia, Spain; [Clavero, Miguel] Univ Girona, Dept Ciencies Ambientals, Girona, Catalonia, Spain; [Hermoso, Virgilio; Kark, Salit] Univ Queensland, Ctr Ecol, Sch Biol Sci, Brisbane, Qld, Australia; [Hermoso, Virgilio] Griffith Univ, Australian Rivers Inst, Nathan, Qld 4111, Australia; [Levin, Noam] Hebrew Univ Jerusalem, Dept Geog, Jerusalem, Israel; [Kark, Salit] Hebrew Univ Jerusalem, Alexander Silberman Inst Life Sci, Biodivers Res Grp, Dept Evolut Systemat &amp; Ecol, Jerusalem, Israel</t>
  </si>
  <si>
    <t>Centre Tecnologic Forestal de Catalunya (CTFC); Universitat de Girona; University of Queensland; Griffith University; Hebrew University of Jerusalem; Hebrew University of Jerusalem</t>
  </si>
  <si>
    <t>Clavero, M (corresponding author), Ctr Tecnol Forestal Catalunya, Grp Ecol Paistage, Area Biodiversitat, Solsona, Catalonia, Spain.</t>
  </si>
  <si>
    <t>miguelito.clavero@gmail.com</t>
  </si>
  <si>
    <t>Hermoso, Virgilio/H-8276-2015; Levin, Noam/D-2180-2013; Hermoso, Virgilio/H-8276-2015; Clavero, Miguel/A-9040-2015; Kark, Salit/C-6795-2016</t>
  </si>
  <si>
    <t>Hermoso, Virgilio/0000-0002-8089-3448; Levin, Noam/0000-0002-9434-7501; Hermoso, Virgilio/0000-0003-3205-5033; Clavero, Miguel/0000-0002-5186-0153; Kark, Salit/0000-0002-7183-3988</t>
  </si>
  <si>
    <t>Spanish Ministry of Education and Science</t>
  </si>
  <si>
    <t>Spanish Ministry of Education and Science(Spanish Government)</t>
  </si>
  <si>
    <t>We acknowledge the work made by the people at IUCN, and in particular, at its Centre for Mediterranean Cooperation, for putting together and making freely accessible data on threats and conservation status of freshwater fish endemic to the Mediterranean Basin. L. Faggiano provided us statistical advice, and discussions with L. Brotons, M. de Caceres and the members of the Ecology Centre at the University of Queensland, as well as comments by three anonymous referees, helped us to improve the manuscript. M.C. benefited from a Juan de la Cierva postdoctoral contract granted by the Spanish Ministry of Education and Science.</t>
  </si>
  <si>
    <t>10.1111/j.1472-4642.2010.00680.x</t>
  </si>
  <si>
    <t>639KG</t>
  </si>
  <si>
    <t>Green Accepted, hybrid</t>
  </si>
  <si>
    <t>WOS:000280973100004</t>
  </si>
  <si>
    <t>Román-Palacios, C; Valencia-Zuleta, A</t>
  </si>
  <si>
    <t>Roman-Palacios, Cristian; Valencia-Zuleta, Alejandro</t>
  </si>
  <si>
    <t>Andes; Altura; Caudata; conservation; human footprint; MaxEnt</t>
  </si>
  <si>
    <t>CONSERVATION STATUS; EXTINCTION RISK; SAMPLE-SIZE; PERFORMANCE; IUCN</t>
  </si>
  <si>
    <t>Whereas more than 10% of global amphibian richness is known to occur in Colombia, almost 16% of these species are currently classified as Data Deficient according to the IUCN. These estimates suggest that the available data for a large portion of amphibians occurring in Colombia is insufficient to assess extinction risk. Here we aim to (1) review the available information on the distribution of the Colombian Data Deficient (DD hereafter) amphibians, (2) analyze their geographic distribution, and (3) evaluate the relationship between anthropogenic impact and their current conservation status. For this, we first compiled geographical records for the DD amphibian species using primary sources. Geographical records were obtained mainly from taxonomic descriptions and non-systematic surveys. We then estimated the geographical range and inferred the potential distribution for each species using letsR and MaxEnt, respectively. We quantified the human footprint for each species and tested the relationship between spatial distribution and anthropogenic change across populations. Analyses are here based on 128 of the 129 DD amphibian species that occur in Colombia. We found that most of these species were recently described and have small geographic ranges. A large proportion of these DD amphibians inhabit the Colombian Andes, and their populations have been strongly affected by human activities. Overall, the spatial clustering suggests that many of these species have faced similar environmental and anthropogenic pressures that have contributed to their rareness. We also suggest that the conservation status for several of the analyzed DD amphibians should be changed to account for the threats they face.</t>
  </si>
  <si>
    <t>[Roman-Palacios, Cristian] Univ Arizona, Dept Ecol &amp; Evolutionary Biol, Tucson, AZ 85721 USA; [Valencia-Zuleta, Alejandro] Univ Fed Goias, Programa Posgrad Ecol &amp; Evolucao, Dept Ecol, ICB V, BR-74690900 Goiania, Go, Brazil</t>
  </si>
  <si>
    <t>University of Arizona; Universidade Federal de Goias</t>
  </si>
  <si>
    <t>Román-Palacios, C (corresponding author), Univ Arizona, Dept Ecol &amp; Evolutionary Biol, Tucson, AZ 85721 USA.</t>
  </si>
  <si>
    <t>cromanpa94@email.arizona.edu; alejandrovalencia08@gmail.com</t>
  </si>
  <si>
    <t>Valencia Zuleta, Alejano/J-6220-2016; Palacios, Cristian/AAH-6149-2019</t>
  </si>
  <si>
    <t>Valencia Zuleta, Alejano/0000-0003-2515-6709;</t>
  </si>
  <si>
    <t>University of Arizona; Coordenacao de Aperfeicoamento de Pessoal de Nivel Superior (CAPES)</t>
  </si>
  <si>
    <t>University of Arizona(University of Arizona); Coordenacao de Aperfeicoamento de Pessoal de Nivel Superior (CAPES)(Coordenacao de Aperfeicoamento de Pessoal de Nivel Superior (CAPES))</t>
  </si>
  <si>
    <t>We thank Aldemar Acevedo (Pontificia Universidad Catolica de Chile, Chile), Cesar Augusto Medina (University of Arizona, USA), and four additional reviewers for comments and suggestion on the manuscript. We also thank the University of Arizona for financial support for CRP, and Coordenacao de Aperfeicoamento de Pessoal de Nivel Superior (CAPES) for support to AVZ.</t>
  </si>
  <si>
    <t>10.15517/rbt.v66i3.30818</t>
  </si>
  <si>
    <t>HC8IM</t>
  </si>
  <si>
    <t>WOS:000452046100026</t>
  </si>
  <si>
    <t>Young, JA; van Manen, FT; Thatcher, CA</t>
  </si>
  <si>
    <t>Young, John A.; van Manen, Frank T.; Thatcher, Cindy A.</t>
  </si>
  <si>
    <t>Geographic Profiling to Assess the Risk of Rare Plant Poaching in Natural Areas</t>
  </si>
  <si>
    <t>American ginseng; Geospatial; Model; AHP; Geographic profiling; Poaching</t>
  </si>
  <si>
    <t>MULTICRITERIA EVALUATION; DECISION-MAKING; LAW-ENFORCEMENT; PARK; MODELS</t>
  </si>
  <si>
    <t>We demonstrate the use of an expert-assisted spatial model to examine geographic factors influencing the poaching risk of a rare plant (American ginseng, Panax quinquefolius L.) in Shenandoah National Park, Virginia, USA. Following principles of the analytic hierarchy process (AHP), we identified a hierarchy of 11 geographic factors deemed important to poaching risk and requested law enforcement personnel of the National Park Service to rank those factors in a series of pair-wise comparisons. We used those comparisons to determine statistical weightings of each factor and combined them into a spatial model predicting poaching risk. We tested the model using 69 locations of previous poaching incidents recorded by law enforcement personnel. These locations occurred more frequently in areas predicted by the model to have a higher risk of poaching than random locations. The results of our study can be used to evaluate resource protection strategies and to target law enforcement activities.</t>
  </si>
  <si>
    <t>[Young, John A.] USGS, Leetown Sci Ctr, Kearneysville, WV 25430 USA; [van Manen, Frank T.] Univ Tennessee, Dept Forestry Wildlife &amp; Fisheries, USGS, Leetown Sci Ctr,So Appalachian Res Branch, Knoxville, TN 37996 USA; [Thatcher, Cindy A.] USGS Natl Wetlands Res Ctr, Lafayette, LA 70506 USA</t>
  </si>
  <si>
    <t>United States Department of the Interior; United States Geological Survey; United States Department of the Interior; United States Geological Survey; University of Tennessee System; University of Tennessee Knoxville; UT Institute of Agriculture; United States Department of the Interior; United States Geological Survey</t>
  </si>
  <si>
    <t>Young, JA (corresponding author), USGS, Leetown Sci Ctr, 11649 Leetown Rd, Kearneysville, WV 25430 USA.</t>
  </si>
  <si>
    <t>jyoung@usgs.gov; vanmanen@utk.edu; thatcherc@usgs.gov</t>
  </si>
  <si>
    <t>Young, John/0000-0002-4500-3673; Thatcher, Cindy/0000-0003-0331-071X; T van Manen, Frank/0000-0001-5340-8489</t>
  </si>
  <si>
    <t>National Park Service</t>
  </si>
  <si>
    <t>This project was funded by the National Park Service, Natural Resources Protection Program through the Appalachian Chain Demonstration Project. We thank E. Clark, J. Yorkey, D. Hurlbert, W. Cass, and A. Williams of the NPS and K. Johnson of the Institute for Conservation Law Enforcement at James Madison University, Harrisonburg, Virginia for project guidance, assistance with implementing surveys, and access to data. We also thank the conservation law enforcement rangers of the NPS for participation in the survey. We thank A. Rafter for gathering data and assisting in early versions of this modeling exercise. Any use of trade, product, or firm names is for descriptive purposes only and does not imply endorsement by the United States Government.</t>
  </si>
  <si>
    <t>10.1007/s00267-011-9687-3</t>
  </si>
  <si>
    <t>804EF</t>
  </si>
  <si>
    <t>WOS:000293636400017</t>
  </si>
  <si>
    <t>Lucifora, LO; Barbini, SA; Vegh, SL; Scarabotti, PA; Vargas, F; Solari, A; Mabragaña, E; de Astarloa, JMD</t>
  </si>
  <si>
    <t>Lucifora, Luis O.; Barbini, Santiago A.; Llamazares Vegh, Sabina; Scarabotti, Pablo A.; Vargas, Facundo; Solari, Agustin; Mabragana, Ezequiel; Diaz de Astarloa, Juan M.</t>
  </si>
  <si>
    <t>Geographic distribution of the short-tailed river stingray (Potamotrygon brachyura): assessing habitat loss and fishing as threats to the world's largest obligate freshwater elasmobranch</t>
  </si>
  <si>
    <t>MARINE AND FRESHWATER RESEARCH</t>
  </si>
  <si>
    <t>Chondrichthyes; Pantanal; Parana River; Rio de la Plata basin; South America; species distribution modelling; wetlands</t>
  </si>
  <si>
    <t>EXTINCTION RISK; LIFE-HISTORY; CONSERVATION; BASIN; BIODIVERSITY; DIVERSITY; CHONDRICHTHYES; FISHERIES; PATTERNS; REVISION</t>
  </si>
  <si>
    <t>Freshwater elasmobranchs are threatened but little is known about them. Potamotrygon brachyura is the world's largest obligate freshwater elasmobranch. This makes it popular among fishermen and suggests a susceptibility to anthropogenic threats. We collected records of P. brachyura (n=70) from media, fishermen and scientific sampling, to estimate its global geographic distribution (using both generalised additive and MaxLike models). Then, we estimated the species' exposure to habitat modification and fishing pressure, by applying multinomial ordinal models with threat levels as response and the presence or absence of P. brachyura as an independent variable. Distance to coast, depth, water temperature range, salinity range and mean water temperature were the main determinants of the distribution in the Rio de la Plata. This resulted in a narrow coastal distribution. In the Uruguay and Parana River basins, the probability of occurrence was positively associated with flow accumulation, percentage of open water and submerged vegetation, and lowland ecoregions, and negatively to wetness index and altitude. This limited the distribution to large lowland rivers. Approximately 41% of the range of P. brachyura in the Rio de la Plata was subject to high habitat modification. In the Uruguay and Parana River basins, this percentage reached 7%; however, the overlap with high fishing pressure was 59%. For conservation purposes, P. brachyura may function as an umbrella species.</t>
  </si>
  <si>
    <t>[Lucifora, Luis O.; Solari, Agustin] Univ Nacl Misiones, Inst Biol Subtrop Iguazu, CONICET, Casilla Correo 9,N3370AVQ, Puerto Iguazu, Misiones, Argentina; [Barbini, Santiago A.] UNMdP, Inst Invest Marinas &amp; Costeras, Lab Ictiol, CONICET, Funes 3350,B7602YAL, Mar Del Plata, Buenos Aires, Argentina; [Llamazares Vegh, Sabina] Minist Agr Ganaderia &amp; Pesca, Direcc Nacl Planificac Pesquera, Subsecretaria Pesca &amp; Acuicultura, Direcc Pesca Continental, Alferez Pareja 125,C1107, Buenos Aires, DF, Argentina; [Scarabotti, Pablo A.] Univ Nacl Litoral, CONICET, Inst Nacl Limnol, Ciudad Univ,S3001XAI, Santa Fe, Santa Fe, Argentina; [Vargas, Facundo] Direcc Fauna &amp; Areas Nat Protegidas, Dept Fauna &amp; Pesca, Remedios Escalada 46,H3500BPB, Resistencia, Chaco, Argentina; [Solari, Agustin] Ctr Invest Bosque Atlantico, Bertoni 85,N3370BFA, Puerto Iguazu, Misiones, Argentina; [Mabragana, Ezequiel; Diaz de Astarloa, Juan M.] UNMdP, Inst Invest Marinas &amp; Costeras, Lab Biotaxon Morfol &amp; Mol Peces, CONICET, Funes 3350,B7602YAL, Mar Del Plata, Buenos Aires, Argentina</t>
  </si>
  <si>
    <t>Consejo Nacional de Investigaciones Cientificas y Tecnicas (CONICET); National University of Mar del Plata; Consejo Nacional de Investigaciones Cientificas y Tecnicas (CONICET); Consejo Nacional de Investigaciones Cientificas y Tecnicas (CONICET); National University of the Littoral; Consejo Nacional de Investigaciones Cientificas y Tecnicas (CONICET); National University of Mar del Plata</t>
  </si>
  <si>
    <t>Lucifora, LO (corresponding author), Univ Nacl Misiones, Inst Biol Subtrop Iguazu, CONICET, Casilla Correo 9,N3370AVQ, Puerto Iguazu, Misiones, Argentina.</t>
  </si>
  <si>
    <t>luis.lucifora@conicet.gov.ar</t>
  </si>
  <si>
    <t>de Astarloa, Juan/F-5395-2012; Llamazares Vegh, Sabina/HMP-7156-2023; Mabragaña, Ezequiel/J-9057-2019; Lucifora, Luis/B-4602-2014</t>
  </si>
  <si>
    <t>Mabragaña, Ezequiel/0000-0002-4089-9888; Lucifora, Luis/0000-0002-1443-303X</t>
  </si>
  <si>
    <t>CONICET [PIP 11220120100054]</t>
  </si>
  <si>
    <t>CONICET(Consejo Nacional de Investigaciones Cientificas y Tecnicas (CONICET))</t>
  </si>
  <si>
    <t>We thank the staff of the project 'Evaluacion biologica y pesquera de especies de interes deportivo y comercial en el Rio Parana, Argentina' for their collaboration and participation during sampling. We also thank Diego Varela (Instituto de Biologia Subtropical - Iguazu) for calling our attention to the northernmost record of P. brachyura in the Uruguay River, and Mirian Banos for assistance during the collection of records. We are also grateful to Amanda Hay and Mark McGrouther (Australian Museum) for providing us with photographs of a Potamotrygon specimen from the Paraguay river housed in their institution's ichthyological collection. Marcelo Acha and Dario Colautti provided information on records from the Rio de la Plata. We also thank two anomynous reviewers and Colin Simpfendorfer (Associate Editor) for valuable comments that improved this paper. Funding was provided by CONICET (PIP 11220120100054 to L. O. Lucifora).</t>
  </si>
  <si>
    <t>1323-1650</t>
  </si>
  <si>
    <t>1448-6059</t>
  </si>
  <si>
    <t>MAR FRESHWATER RES</t>
  </si>
  <si>
    <t>Mar. Freshw. Res.</t>
  </si>
  <si>
    <t>10.1071/MF15003</t>
  </si>
  <si>
    <t>Fisheries; Limnology; Marine &amp; Freshwater Biology; Oceanography</t>
  </si>
  <si>
    <t>DX5WP</t>
  </si>
  <si>
    <t>WOS:000384453700007</t>
  </si>
  <si>
    <t>Zampiglia, M; Canestrelli, D; Chiocchio, A; Nascetti, G</t>
  </si>
  <si>
    <t>Zampiglia, Mauro; Canestrelli, Daniele; Chiocchio, Andrea; Nascetti, Giuseppe</t>
  </si>
  <si>
    <t>DISEASES OF AQUATIC ORGANISMS</t>
  </si>
  <si>
    <t>Batrachochytrium dendrobatidis; Bd; Italian peninsula; Salamandra salamandra; Rana italica; Mesotriton alpestris; Amphibian conservation</t>
  </si>
  <si>
    <t>EMERGING INFECTIOUS-DISEASES; POPULATION DECLINES; CHYTRIDIOMYCOSIS; FUNGUS; VULNERABILITY; PREVALENCE; EXTINCTION; STRATEGIES; ORIGIN; TIME</t>
  </si>
  <si>
    <t>The amphibian chytrid pathogen Batrachochytrium dendrobatidis (Bd) is considered a major cause of amphibian population declines, particularly in montane areas. Here, we investigated the presence and distribution of Bd among populations of 3 mid- to high-altitude species spanning the entire Italian peninsula (486 individuals from 39 sites overall): the stream frog Rana italica, the fire salamander Salamandra salamandra gigliolii, and the alpine newt Mesotriton alpestris apuanus. We found Bd in all of the analyzed species. Despite the widespread distribution of the pathogen, its overall prevalence (6, 9 and 19%, respectively) was lower than previously reported for the endangered Apennine yellow-bellied toad Bombina pachypus (62.5%). Moreover, several populations of the species studied here were not infected, even at sites where Bd has been detected in other host species. When coupled with the lack of evidence for Bd-related mortalities in these species in peninsular Italy, these results suggest that mechanisms of resistance and/or tolerance are protecting populations of these species from the pathogenic activity of Bd. Nevertheless, in light of the dynamic pattern of Bd-host interactions reported in other studies, of Bd-related mortalities in at least 1 study species (S. s. salamandra) in other areas, and the ongoing climate changes in montane environments, we suggest that the occurrence of Bd should be considered a potential threat to the long-term persistence of these species, and urge the implementation of monitoring and conservation plans.</t>
  </si>
  <si>
    <t>[Zampiglia, Mauro; Canestrelli, Daniele; Chiocchio, Andrea; Nascetti, Giuseppe] Univ Tuscia, Dipartimento Sci Ecol &amp; Biol, I-01100 Viterbo, Italy</t>
  </si>
  <si>
    <t>Tuscia University</t>
  </si>
  <si>
    <t>Canestrelli, D (corresponding author), Univ Tuscia, Dipartimento Sci Ecol &amp; Biol, Viale Univ Snc, I-01100 Viterbo, Italy.</t>
  </si>
  <si>
    <t>canestrelli@unitus.it</t>
  </si>
  <si>
    <t>; Nascetti, Giuseppe/AAA-6396-2020; Canestrelli, Daniele/N-1724-2015</t>
  </si>
  <si>
    <t>Chiocchio, Anea/0000-0002-0067-7025; Nascetti, Giuseppe/0000-0002-1159-8103; Canestrelli, Daniele/0000-0001-9351-4972; Zampiglia, Mauro/0000-0003-2542-2552</t>
  </si>
  <si>
    <t>Agenzia Regionale dei Parchi (ARP) Lazio; Italian Ministry of Environment</t>
  </si>
  <si>
    <t>This work was funded by the Agenzia Regionale dei Parchi (ARP) Lazio and the Italian Ministry of Environment. We are grateful to Roberta Bisconti for kind help with sampling and manuscript preparation, and to Pietro Bagala, Claudio Bagnoli, Francesco Paolo Caputo, Florinda Sacco and Francesco Spallone for assistance during sampling.</t>
  </si>
  <si>
    <t>0177-5103</t>
  </si>
  <si>
    <t>1616-1580</t>
  </si>
  <si>
    <t>DIS AQUAT ORGAN</t>
  </si>
  <si>
    <t>Dis. Aquat. Org.</t>
  </si>
  <si>
    <t>10.3354/dao02655</t>
  </si>
  <si>
    <t>Fisheries; Veterinary Sciences</t>
  </si>
  <si>
    <t>259UK</t>
  </si>
  <si>
    <t>WOS:000327551600007</t>
  </si>
  <si>
    <t>Tingley, R; Macdonald, SL; Mitchell, NJ; Woinarski, JCZ; Meiri, S; Bowles, P; Cox, NA; Shea, GM; Böhm, M; Chanson, J; Tognelli, MF; Harris, J; Walke, C; Harrison, N; Victor, S; Woods, C; Amey, AP; Bamford, M; Catt, G; Clemann, N; Couper, PJ; Cogger, H; Cowan, M; Craig, MD; Dickman, CR; Doughty, P; Ellis, R; Fenner, A; Ford, S; Gaikhorst, G; Gillespie, GR; Greenlees, MJ; Hobson, R; Hoskin, CJ; How, R; Hutchinson, MN; Lloyd, R; McDonald, P; Melville, J; Michael, DR; Moritz, C; Oliver, PM; Peterson, G; Robertson, P; Sanderson, C; Somaweera, R; Teale, R; Valentine, L; Vanderduys, E; Venz, M; Wapstra, E; Wilson, S; Chapple, DG</t>
  </si>
  <si>
    <t>Tingley, Reid; Macdonald, Stewart L.; Mitchell, Nicola J.; Woinarski, John C. Z.; Meiri, Shai; Bowles, Phil; Cox, Neil A.; Shea, Glenn M.; Bohm, Monika; Chanson, Janice; Tognelli, Marcelo F.; Harris, Jaclyn; Walke, Claire; Harrison, Natasha; Victor, Savannah; Woods, Calum; Amey, Andrew P.; Bamford, Mike; Catt, Gareth; Clemann, Nick; Couper, Patrick J.; Cogger, Hal; Cowan, Mark; Craig, Michael D.; Dickman, Chris R.; Doughty, Paul; Ellis, Ryan; Fenner, Aaron; Ford, Stewart; Gaikhorst, Glen; Gillespie, Graeme R.; Greenlees, Matthew J.; Hobson, Rod; Hoskin, Conrad J.; How, Ric; Hutchinson, Mark N.; Lloyd, Ray; McDonald, Peter; Melville, Jane; Michael, Damian R.; Moritz, Craig; Oliver, Paul M.; Peterson, Garry; Robertson, Peter; Sanderson, Chris; Somaweera, Ruchira; Teale, Roy; Valentine, Leonie; Vanderduys, Eric; Venz, Melanie; Wapstra, Erik; Wilson, Steve; Chapple, David G.</t>
  </si>
  <si>
    <t>Assessment; Conservation status; Extinction risk; IUCN; Reptiles; Threat status</t>
  </si>
  <si>
    <t>CONSERVATION STATUS; CLIMATE-CHANGE; REPTILES; LIZARDS; THREAT; BIOGEOGRAPHY; PRIORITIES; TRAITS</t>
  </si>
  <si>
    <t>Australia is a global hotspot of reptile diversity, hosting similar to 10% of the world's squamate (snake and lizard) species. Yet the conservation status of the Australian squamate fauna has not been assessed for &gt;25 years; a period during which the described fauna has risen by similar to 40%. Here we provide the first comprehensive conservation assessment of Australian terrestrial squamates using IUCN Red List Categories and Criteria. Most (86.4%; n = 819/948) Australian squamates were categorised as Least Concern, 4.5% were Data Deficient, and 7.1% (range 6.8%-11.3%, depending on the treatment of Data Deficient species) were threatened (3.0% Vulnerable, 2.7% Endangered, 1.1% Critically Endangered). This level of threat is low relative to the global average (similar to 18%). One species (Emoia nativitatis) was assessed as Extinct, and two species (Lepidodactylus listeri and Cryptoblepharus egeriae) are considered Extinct in the Wild: all three were endemic to Christmas Island. Most (75.1%) threat assessments were based on geographic range attributes, due to limited data on population trends or relevant proxies. Agriculture, fire, and invasive species were the threats that affected the most species, and there was substantial geographic variation in the number of species affected by each threat. Threatened species richness peaked on islands, in the Southern Alps, and across northern Australia. Data deficiency was greatest in northern Australia and in coastal Queensland. Approximately one-in-five threatened species were not represented in a single protected area. Our analyses shed light on the species, regions, and threats in most urgent need of conservation intervention.</t>
  </si>
  <si>
    <t>[Tingley, Reid; Harris, Jaclyn; Walke, Claire; Lloyd, Ray; Chapple, David G.] Monash Univ, Sch Biol Sci, Clayton, Vic, Australia; [Macdonald, Stewart L.; Lloyd, Ray] CSIRO Land &amp; Water Flagship, Townsville, Qld, Australia; [Mitchell, Nicola J.; Harrison, Natasha; Victor, Savannah; Woods, Calum; Craig, Michael D.; Valentine, Leonie] Univ Western Australia, Sch Biol Sci, Crawley, WA, Australia; [Woinarski, John C. Z.] Charles Darwin Univ, Natl Environm Sci Program, Threatened Species Recovery Hub, Darwin, NT, Australia; [Meiri, Shai] Tel Aviv Univ, Sch Zool, Tel Aviv, Israel; [Meiri, Shai] Tel Aviv Univ, Steinhardt Museum Nat Hist, Tel Aviv, Israel; [Bowles, Phil; Cox, Neil A.; Chanson, Janice; Tognelli, Marcelo F.] Int Union Conservat Nat &amp; Conservat Int, Biodivers Assessment Unit, Washington, DC USA; [Shea, Glenn M.] Univ Sydney, Fac Vet Sci, Sydney, NSW, Australia; [Bohm, Monika] Zool Soc London, Inst Zool, London, England; [Amey, Andrew P.; Couper, Patrick J.; Wilson, Steve] Queensland Museum, Nat Environm, South Brisbane, Qld, Australia; [Bamford, Mike] Bamford Consulting Ecologists, Kingsley, WA, Australia; [Catt, Gareth] Kanyirninpa Jukurrpa, 18 Panizza Way, Newman, WA, Australia; [Clemann, Nick] Arthur Rylah Inst Environm Res, Dept Environm Land Water &amp; Planning, Heidelberg, Vic, Australia; [Cogger, Hal] Australian Museum, Sydney, NSW, Australia; [Cowan, Mark] Dept Biodiversity Conservat &amp; Attract, Newman, WA, Australia; [Craig, Michael D.] Murdoch Univ, Sch Vet &amp; Life Sci, Murdoch, WA, Australia; [Dickman, Chris R.; Greenlees, Matthew J.] Univ Sydney, Sch Life &amp; Environm Sci, Sydney, NSW, Australia; [Doughty, Paul; Ellis, Ryan; How, Ric] Western Australian Museum, Dept Terr Zool, Welshpool, WA, Australia; [Ellis, Ryan] Biol Environm Survey, Subiaco, WA, Australia; [Fenner, Aaron] Flinders Univ South Australia, Sch Biol Sci, Adelaide, SA, Australia; [Ford, Stewart; Teale, Roy] Biota Environm Sci, Leederville, WA, Australia; [Gaikhorst, Glen] GHD Consultants, Perth, WA, Australia; [Gillespie, Graeme R.] Dept Environm &amp; Nat Resources, Flora &amp; Fauna Div, Palmerston, NT, Australia; [Greenlees, Matthew J.] Macquarie Univ, Dept Biol Sci, N Ryde, NSW 2109, Australia; [Hobson, Rod] Dept Natl Parks Sport &amp; Racing, Brisbane, Qld, Australia; [Hoskin, Conrad J.] James Cook Univ, Coll Sci &amp; Engn, Townsville, Qld, Australia; [Hutchinson, Mark N.] South Australian Museum, Herpetol Sect, Adelaide, SA, Australia; [McDonald, Peter] SPREP Pacific Environm, Apia, Samoa; [Melville, Jane] Museums Victoria, Dept Sci, Melbourne, Vic, Australia; [Michael, Damian R.] Charles Sturt Univ, Inst Land Water &amp; Soc, Albury, NSW, Australia; [Moritz, Craig] Res Sch Biol Sci, Canberra, ACT, Australia; [Moritz, Craig] Ctr Biodivers Anal, Canberra, ACT, Australia; [Oliver, Paul M.] Queensland Museum, Biodivers &amp; Geosci Program, Brisbane, Qld, Australia; [Oliver, Paul M.] Griffith Univ, Sch Environm &amp; Sci, Environm Futures Res Inst, Nathan, Qld, Australia; [Peterson, Garry] Dept Environm Land Water &amp; Planning, Warrnambool, Vic, Australia; [Robertson, Peter] Wildlife Profiles, Hurstbridge, Vic, Australia; [Sanderson, Chris] Univ Queensland, Sch Biol Sci, St Lucia, Qld, Australia; [Somaweera, Ruchira] CSIRO Land &amp; Water, Floreat, WA, Australia; [Vanderduys, Eric] CSIRO Land &amp; Water, Brisbane, Qld, Australia; [Venz, Melanie] Dept Sci Informat Technol Innovat &amp; Arts, Brisbane, Qld, Australia; [Wapstra, Erik] Univ Tasmania, Sch Biol Sci, Hobart, Tas, Australia</t>
  </si>
  <si>
    <t>Monash University; Commonwealth Scientific &amp; Industrial Research Organisation (CSIRO); CSIRO Land &amp; Water; University of Western Australia; Charles Darwin University; Tel Aviv University; Tel Aviv University; University of Sydney; Zoological Society of London; Queensland Museum; Arthur Rylah Institute for Environmental Research (ARI); Australian Museum; Murdoch University; University of Sydney; Western Australian Museum; Flinders University; Macquarie University; James Cook University; South Australian Museum; Charles Sturt University; Australian National University; Queensland Museum; Griffith University; University of Queensland; Commonwealth Scientific &amp; Industrial Research Organisation (CSIRO); CSIRO Land &amp; Water; Commonwealth Scientific &amp; Industrial Research Organisation (CSIRO); CSIRO Land &amp; Water; University of Tasmania</t>
  </si>
  <si>
    <t>Chapple, DG (corresponding author), Monash Univ, Sch Biol Sci, Clayton, Vic, Australia.</t>
  </si>
  <si>
    <t>David.Chapple@monash.edu</t>
  </si>
  <si>
    <t>; Dickman, Christopher/Q-4662-2019; Tingley, Reid/D-7388-2011; Sanderson, Chris/G-3712-2016; Craig, Michael/G-1443-2018; Hoskin, Conrad/A-8407-2012; Teale, Roy/LJK-2191-2024; Vanderduys, Eric/AAI-6259-2021; Harrison, Natasha/KCJ-5444-2024; Somaweera, Ruchira/G-7531-2014; Moore, Michael/C-3447-2011; Woinarski, John/N-2262-2013; Mitchell, Nicola/AAE-4132-2020; Chapple, David/B-9073-2008; Wapstra, Erik/J-7482-2014; Meiri, Shai/D-2403-2010; Craig, Michael/G-1443-2018; Hutchinson, Mark/ABK-4050-2022; Böhm, Monika/E-1153-2018; Tognelli, Marcelo/L-3958-2019; Valentine, Leonie/G-9963-2012</t>
  </si>
  <si>
    <t>Michael, Damian/0000-0003-3980-9723; Sanderson, Chris/0009-0008-8300-8265; Craig, Michael/0000-0002-5411-165X; Hoskin, Conrad/0000-0001-8116-6085; Harrison, Natasha/0000-0001-5779-0187; Somaweera, Ruchira/0000-0002-7470-8736; Oliver, Paul/0000-0003-4291-257X; Woinarski, John/0000-0002-1712-9500; Mitchell, Nicola/0000-0003-0744-984X; Chapple, David/0000-0002-7720-6280; Wapstra, Erik/0000-0002-2050-8026; Meiri, Shai/0000-0003-3839-6330;</t>
  </si>
  <si>
    <t>10.1016/j.biocon.2019.108203</t>
  </si>
  <si>
    <t>JO0BM</t>
  </si>
  <si>
    <t>WOS:000497252700011</t>
  </si>
  <si>
    <t>Peterson, RKD; Meyer, SJ; Wolf, AT; Wolt, JD; Davis, PM</t>
  </si>
  <si>
    <t>Genetically engineered plants, endangered species, and risk: A temporal and spatial exposure assessment for Karner blue butterfly larvae and Bt maize pollen</t>
  </si>
  <si>
    <t>RISK ANALYSIS</t>
  </si>
  <si>
    <t>biosafety; biotechnology risk; Karner blue butterfly; Lycaeides melissa samuelis; risk assessment</t>
  </si>
  <si>
    <t>MELISSA-SAMUELIS LEPIDOPTERA; CORN POLLEN; MONARCH LARVAE; CRY1AB-EXPRESSING CORN; FIELD CONDITIONS; LYCAENIDAE; DEPOSITION; WISCONSIN; POLLINATION; MICHIGAN</t>
  </si>
  <si>
    <t>Genetically engineered maize (Zea mays) containing insecticidal endotoxin proteins from Bacillus thuringiensis (Bt) delta-endotoxin proteins has been adopted widely in the Midwestern United States. The proteins are toxic to several lepidopteran species and because a variety of maize tissues, including pollen, may express the endotoxins, the probability of exposure to nontarget species, including endangered species, needs to be understood. The objective of this study was to assess the potential temporal and spatial exposure of endangered Karner blue butterfly larvae (Lycaeides melissa samuelis) to Bt maize pollen in Wisconsin using probabilistic exposure techniques and geographic information systems analysis. Based on degree-day modeling of butterfly phenology and maize pollen shed, there is some potential for temporal exposure of larvae to maize pollen. However, in the majority of years and locations, maize pollen shed most likely will occur after the majority of larval feeding on wild lupine (Lupinus perennis). The spatial analysis indicates that some Karner blue butterfly populations occur in close proximity to maize fields, but in the vast majority of cases the butterfly's host plant and maize fields are separated by more than 500 m. A small number of potential or existing Karner blue butterfly sites are located near maize fields, including sites in two of the four counties where temporal overlap is most likely. The exposure assessment indicates that these two counties should receive the highest priority to determine if Karner blue butterfly larvae are actually at risk and then, if needed, to reduce or prevent exposure.</t>
  </si>
  <si>
    <t>Montana State Univ, Dept Land Resources &amp; Environm Sci, Bozeman, MT 59717 USA; Univ Wisconsin, Dept Nat &amp; Appl Sci, Green Bay, WI 54311 USA; Iowa State Univ, Biosafety Inst Genetically Modified Agr Prod, Ames, IA 50011 USA; Pioneer HiBred Int Inc, Johnston, IA 50131 USA</t>
  </si>
  <si>
    <t>Montana State University System; Montana State University Bozeman; University of Wisconsin System; Iowa State University; DuPont; DuPont USA</t>
  </si>
  <si>
    <t>Peterson, RKD (corresponding author), Montana State Univ, Dept Land Resources &amp; Environm Sci, 334 Leon Johnson Hall, Bozeman, MT 59717 USA.</t>
  </si>
  <si>
    <t>bpeterson@montana.edu</t>
  </si>
  <si>
    <t>Wolt, Jeff/0000-0003-0837-1976</t>
  </si>
  <si>
    <t>BLACKWELL PUBLISHING</t>
  </si>
  <si>
    <t>9600 GARSINGTON RD, OXFORD OX4 2DQ, OXON, ENGLAND</t>
  </si>
  <si>
    <t>0272-4332</t>
  </si>
  <si>
    <t>RISK ANAL</t>
  </si>
  <si>
    <t>Risk Anal.</t>
  </si>
  <si>
    <t>10.1111/j.1539-6924.2006.00763.x</t>
  </si>
  <si>
    <t>Public, Environmental &amp; Occupational Health; Mathematics, Interdisciplinary Applications; Social Sciences, Mathematical Methods</t>
  </si>
  <si>
    <t>Public, Environmental &amp; Occupational Health; Mathematics; Mathematical Methods In Social Sciences</t>
  </si>
  <si>
    <t>055IG</t>
  </si>
  <si>
    <t>WOS:000238442900025</t>
  </si>
  <si>
    <t>Muhlfeld, CC; D'Angelo, VS; Downs, C; Powell, J; Amish, S; Luikart, G; Kovach, R; Boyer, M; Kalinowski, S</t>
  </si>
  <si>
    <t>Muhlfeld, Clint C.; D'Angelo, Vincent S.; Downs, Christopher; Powell, John; Amish, Stephen; Luikart, Gordon; Kovach, Ryan; Boyer, Matthew; Kalinowski, Steven</t>
  </si>
  <si>
    <t>ONCORHYNCHUS-CLARKI-LEWISI; RAINBOW-TROUT; STREAM SALMONIDS; TRADE-OFFS; HYBRIDIZATION; SPREAD; INVASION; MYKISS; SNPS; INTROGRESSION</t>
  </si>
  <si>
    <t>Invasive hybridization is one of the greatest threats to the persistence of Westslope Cutthroat Trout Oncorhynchus clarkii lewisi. Large protected areas, where nonhybridized populations are interconnected and express historical life history and genetic diversity, provide some of the last ecological and evolutionary strongholds for conserving this species. Here, we describe the genetic status and distribution of Westslope Cutthroat Trout throughout Glacier National Park, Montana. Admixture between Westslope Cutthroat Trout and introduced Rainbow Trout O. mykiss and Yellowstone Cutthroat Trout O. clarkii bouvieri was estimated by genotyping 1,622 fish collected at 115 sites distributed throughout the Columbia, Missouri, and South Saskatchewan River drainages. Currently, Westslope Cutthroat Trout occupy an estimated 1,465 km of stream habitat and 45 lakes (9,218 ha) in Glacier National Park. There was no evidence of introgression in samples from 32 sites along 587 km of stream length (40% of the stream kilometers currently occupied) and 17 lakes (2,555 ha; 46% of the lake area currently occupied). However, nearly all (97%) of the streams and lakes that were occupied by nonhybridized populations occurred in the Columbia River basin. Based on genetic status (nonnative genetic admixture &lt;= 10%), 36 Westslope Cutthroat Trout populations occupying 821 km of stream and 5,482 ha of lakes were identified as conservation populations. Most of the conservation populations (N = 27; 736 km of stream habitat) occurred in the Columbia River basin, whereas only a few geographically restricted populations were found in the South Saskatchewan River (N = 7; 55 km) and Missouri River (N = 2; 30 km) basins. Westslope Cutthroat Trout appear to be at imminent risk of genomic extinction in the South Saskatchewan and Missouri River basins, whereas populations in the Columbia River basin are widely distributed and conservation efforts are actively addressing threats from hybridization and other stressors. A diverse set of pro-active management approaches will be required to conserve, protect, and restore Westslope Cutthroat Trout populations in Glacier National Park throughout the 21st century.</t>
  </si>
  <si>
    <t>[Muhlfeld, Clint C.; D'Angelo, Vincent S.; Kovach, Ryan] US Geol Survey, Northern Rocky Mt Sci Ctr, Glacier Natl Pk, West Glacier, MT 59936 USA; [Muhlfeld, Clint C.] Univ Montana, Flathead Lake Biol Stn, 32124 Bio Stn Lane, Polson, MT 59860 USA; [Downs, Christopher] Natl Pk Serv, Glacier Natl Pk, West Glacier, MT 59936 USA; [Powell, John; Kalinowski, Steven] Montana State Univ, Dept Ecol, 301 Lewis Hall, Bozeman, MT 59717 USA; [Amish, Stephen] Univ Montana, Div Biol Sci, Montana Conservat Genom Lab, Missoula, MT 59812 USA; [Luikart, Gordon] Univ Montana, Div Biol Sci, Montana Conservat Genom Lab, Flathead Lake Biol Stn, Polson, MT 59860 USA; [Boyer, Matthew] Montana Fish Wildlife &amp; Pk, Kalispell, MT 59901 USA; [Powell, John] Sault Ste Marie Tribe Chippewa Indians, Inland Fish &amp; Wildlife Dept, Sault Ste Marie, MI 49783 USA</t>
  </si>
  <si>
    <t>United States Department of the Interior; United States Geological Survey; University of Montana System; University of Montana; United States Department of the Interior; US National Park Service; Montana State University System; Montana State University Bozeman; University of Montana System; University of Montana; University of Montana System; University of Montana</t>
  </si>
  <si>
    <t>Muhlfeld, CC (corresponding author), US Geol Survey, Northern Rocky Mt Sci Ctr, Glacier Natl Pk, West Glacier, MT 59936 USA.;Muhlfeld, CC (corresponding author), Univ Montana, Flathead Lake Biol Stn, 32124 Bio Stn Lane, Polson, MT 59860 USA.</t>
  </si>
  <si>
    <t>cmuhlfeld@usgs.gov</t>
  </si>
  <si>
    <t>; luikart, gordon/L-8888-2013</t>
  </si>
  <si>
    <t>Powell, John/0000-0003-1022-7885;</t>
  </si>
  <si>
    <t>Department of the Interior's Natural Resource Protection Program; Direct For Biological Sciences; Division Of Environmental Biology [1258203] Funding Source: National Science Foundation</t>
  </si>
  <si>
    <t>Department of the Interior's Natural Resource Protection Program; Direct For Biological Sciences; Division Of Environmental Biology(National Science Foundation (NSF)NSF - Directorate for Biological Sciences (BIO))</t>
  </si>
  <si>
    <t>C.C.M. and V.S.D. contributed equally to this paper. This work was funded by the Department of the Interior's Natural Resource Protection Program. We thank Carter Fredenberg, Brady Miller, Ben Galloway, Terra Marotz, Tommy Pederson, and Joe Giersch for assistance in the field. We are also grateful to Robert Al-Chokhachy and four anonymous reviewers for helpful suggestions and comments on the manuscript. Any use of trade, firm, or product names is for descriptive purposes only and does not imply endorsement by the U.S. Government.</t>
  </si>
  <si>
    <t>10.1080/00028487.2016.1173587</t>
  </si>
  <si>
    <t>DV2KU</t>
  </si>
  <si>
    <t>WOS:000382750200015</t>
  </si>
  <si>
    <t>Hajiahmadi, D; Amanollahi, J</t>
  </si>
  <si>
    <t>Hajiahmadi, Delnia; Amanollahi, Jamil</t>
  </si>
  <si>
    <t>GIS; Indices; Satellite images; Rangelands; Questionnaire; Conversion rate</t>
  </si>
  <si>
    <t>LAND-USE CHANGE; HUMAN-POPULATION; CLIMATE-CHANGE; CONSERVATION; MANAGEMENT; BIODIVERSITY; FUTURE; LOGIC; FIRE; VULNERABILITY</t>
  </si>
  <si>
    <t>Bijar protected area (BPA) is suffering from land use change and livestock grazing. Since 1977, the number of main species (Ovis orientalis gmelini) living in BPA has reduced from 2000 to 435. In order to study the wild animal life (WAL) risk of BPA, a Fuzzy model in Geographical information system (GIS) environment and remote sensing was utilized. The seven selected input indices for the model were 'BPA conversion rate', 'Natural resource, 'Population density', 'Population growth rate', 'Social status', 'Security threat', and 'Livelihood status'. BPA conversion rate was obtained based on Landsat 8 Satellite images of 2016 and agricultural area maps of BPA villages. The weight and Fuzzy rules ranges of the sub-indices were created based on an expert opinion survey (questionnaire) developed according to the related literature. Sub-indices were union in vector format in the GIS environment to acquire the main indices and they were overly in raster format based on Fuzzy membership functions to obtain the WAL risk in three levels of high, moderate and low. Results showed that the areas with high risk were (i) agricultural lands, (ii) lands that underwent use change (rangelands to agricultural lands), (iii) areas with a large number of livestock, (iv) areas within the proximity to roads, and (v) areas far from the protected stations. From the results it can be concluded that low level of livelihood, low number of protective stations and weak protective regulations are the main reasons behind increasing WAL risk in BPA.</t>
  </si>
  <si>
    <t>[Hajiahmadi, Delnia; Amanollahi, Jamil] Univ Kurdistan, Fac Nat Resources, Dept Environm Sci, Sanandaj, Iran</t>
  </si>
  <si>
    <t>University of Kurdistan</t>
  </si>
  <si>
    <t>Amanollahi, J (corresponding author), Univ Kurdistan, Fac Nat Resources, Dept Environm Sci, Sanandaj, Iran.</t>
  </si>
  <si>
    <t>delniahajiahmadi@gmail.com; J.amanollahi@uok.ac.ir</t>
  </si>
  <si>
    <t>amanollahi, jamil/AAY-1420-2020</t>
  </si>
  <si>
    <t>NOV 10</t>
  </si>
  <si>
    <t>10.1016/j.ecolmodel.2018.09.001</t>
  </si>
  <si>
    <t>HC2TC</t>
  </si>
  <si>
    <t>WOS:000451653800006</t>
  </si>
  <si>
    <t>Lee, TM; Jetz, W</t>
  </si>
  <si>
    <t>Lee, Tien Ming; Jetz, Walter</t>
  </si>
  <si>
    <t>conservation planning; conservation priorities; protected areas; future land-use and climate change; biodiversity</t>
  </si>
  <si>
    <t>PROTECTED AREAS; CLIMATE-CHANGE; SPECIES RICHNESS; BIODIVERSITY; HOTSPOTS; GOVERNANCE; DIVERSITY; RESPONSES; IMPACTS; EARTHS</t>
  </si>
  <si>
    <t>Global biodiversity is under significant threat from the combined effects of human-induced climate and land-use change. Covering 12% of the Earth's terrestrial surface, protected areas are crucial for conserving biodiversity and supporting ecological processes beneficial to human well-being, but their selection and design are usually uninformed about future global change. Here, we quantify the exposure of the global reserve network to projected climate and land-use change according to the Millennium Ecosystem Assessment and set these threats in relation to the conservation value and capacity of biogeographic and geopolitical regions. We find that geographical patterns of past human impact on the land cover only poorly predict those of forecasted change, thus revealing the inadequacy of existing global conservation prioritization templates. Projected conservation risk, measured as regional levels of land-cover change in relation to area protected, is the greatest at high latitudes (due to climate change) and tropics/subtropics (due to land-use change). Only some high-latitude nations prone to high conservation risk are also of high conservation value, but their high relative wealth may facilitate additional conservation efforts. In contrast, most low-latitude nations tend to be of high conservation value, but they often have limited capacity for conservation which may exacerbate the global biodiversity extinction crisis. While our approach will clearly benefit from improved land-cover projections and a thorough understanding of how species range will shift under climate change, our results provide a first global quantitative demonstration of the urgent need to consider future environmental change in reserve-based conservation planning. They further highlight the pressing need for new reserves in target regions and support a much extended 'north-south' transfer of conservation resources that maximizes biodiversity conservation while mitigating global climate change.</t>
  </si>
  <si>
    <t>[Lee, Tien Ming; Jetz, Walter] Univ Calif San Diego, Div Biol Sci, Ecol Behav &amp; Evolut Sect, La Jolla, CA 92093 USA</t>
  </si>
  <si>
    <t>University of California System; University of California San Diego</t>
  </si>
  <si>
    <t>Jetz, W (corresponding author), Univ Calif San Diego, Div Biol Sci, Ecol Behav &amp; Evolut Sect, 9500 Gilman Dr MC0116, La Jolla, CA 92093 USA.</t>
  </si>
  <si>
    <t>wjetz@ucsd.edu</t>
  </si>
  <si>
    <t>Jetz, Walter/ABF-1517-2020</t>
  </si>
  <si>
    <t>Jetz, Walter/0000-0002-1971-7277</t>
  </si>
  <si>
    <t>JUN 7</t>
  </si>
  <si>
    <t>10.1098/rspb.2007.1732</t>
  </si>
  <si>
    <t>289LS</t>
  </si>
  <si>
    <t>WOS:000255056600005</t>
  </si>
  <si>
    <t>Neumann, H; Diekmann, R; Emeis, KC; Kleeberg, U; Moll, A; Kröncke, I</t>
  </si>
  <si>
    <t>Neumann, Hermann; Diekmann, Rabea; Emeis, Kay-Christian; Kleeberg, Ulrike; Moll, Andreas; Kroencke, Ingrid</t>
  </si>
  <si>
    <t>Epifauna; Benthos; North Sea; Habitat; Community distribution model; Fishery impact; Monitoring</t>
  </si>
  <si>
    <t>PLEURONECTES-PLATESSA L.; DOGGER-BANK; SPECIES DISTRIBUTION; DISTRIBUTION MODELS; GERMAN BIGHT; PHYTOPLANKTON BIOMASS; BENTHIC BIODIVERSITY; EPIFAUNA; ASSEMBLAGES; DISTURBANCE</t>
  </si>
  <si>
    <t>Full-coverage spatial data of occurrence and a detailed description of habitat requirements of epibenthic communities are needed in many conservation and management contexts. In the North Sea the focus has so far been on small benthic infauna, whereas structure and ecosystem functions of larger epifaunal communities have been largely ignored. This study provides a comprehensive analysis of epibenthic community structure in the south-eastern North Sea, including a detailed inventory of species, diversity and spatially contiguous distribution of communities. Data from nearly 400 stations were compiled for the study, enabling us to describe epibenthic community structure at unprecedented spatial resolution. Eight distinct epibenthic communities were found in the south-eastern North Sea by using multivariate analysis. Distribution modelling with eight environmental variables (bottom temperature and salinity, temperature differences between summer and winter, mud content of sediments, maximum bottom shear stress, stratification, water depth and annual primary production) and one human pressure (fishing effort) was used to extrapolate probable spatial distributions and to identify associated habitat characteristics of the communities in the south-eastern North Sea. Three large epibenthic communities Coast, Oysterground and Tail End reflect a gradual habitat change from the coast towards offshore regions, expressed in gradients of bottom salinity, seasonal temperature differences and stratification as the dominant environmental factors. Five smaller communities (Amrum Bank, Frisian Front, Deeps, Dogger Bank and Dogger Slope) outline specific habitats in the south-eastern North Sea. The Dogger Slope community has not been recognized before, but has a predicted spatial extent of 7118 km2. Dueto the high occurrence of long-lived, sessile species such as sponges this community is very sensitive to demersal fishing. (C) 2017 Elsevier Ltd. All rights reserved.</t>
  </si>
  <si>
    <t>[Neumann, Hermann; Kroencke, Ingrid] Senckenberg Meer, Dept Marine Res, Sudstrand 40, D-26382 Wilhelmshaven, Germany; [Diekmann, Rabea] Thunen Inst Fischereiokol, Palmaille 9, D-22767 Hamburg, Germany; [Emeis, Kay-Christian; Kleeberg, Ulrike] Helmholtz Zentrum Geesthacht, Inst Coastal Res, Max Planck Str 1, D-21502 Geesthacht, Germany; [Moll, Andreas] Univ Hamburg, Inst Oceanog, Bundesstr 53, D-20146 Hamburg, Germany</t>
  </si>
  <si>
    <t>Leibniz Association; Senckenberg Gesellschaft fur Naturforschung (SGN); Johann Heinrich von Thunen Institute; Helmholtz Association; Helmholtz-Zentrum Hereon; Max Planck Society; University of Hamburg</t>
  </si>
  <si>
    <t>Neumann, H (corresponding author), Senckenberg Meer, Dept Marine Res, Sudstrand 40, D-26382 Wilhelmshaven, Germany.</t>
  </si>
  <si>
    <t>hneumann@senckenberg.de</t>
  </si>
  <si>
    <t>Kleeberg, Ulrike/0000-0002-9170-1739; Emeis, Kay-Christian/0000-0003-0459-913X</t>
  </si>
  <si>
    <t>German Federal Ministry of Education and Research under project NOAH [03F0669A]</t>
  </si>
  <si>
    <t>German Federal Ministry of Education and Research under project NOAH</t>
  </si>
  <si>
    <t>We thank the captains and crews of RV Walther Herwig III for their assistance during sampling. This study was funded by the German Federal Ministry of Education and Research under project NOAH (Grant number 03F0669A, North Sea e Observation and Assessment of Habitats).</t>
  </si>
  <si>
    <t>10.1016/j.marenvres.2017.07.010</t>
  </si>
  <si>
    <t>FK3JY</t>
  </si>
  <si>
    <t>WOS:000413382600001</t>
  </si>
  <si>
    <t>Li, K; He, YF; Campbell, SK; Colborn, AS; Jackson, EL; Martin, A; Monagan, IV ; Ong, TWY; Perfecto, I</t>
  </si>
  <si>
    <t>Li, Kevin; He, Yifan; Campbell, Susanna K.; Colborn, A. Shawn; Jackson, Eliot L.; Martin, Austin; Monagan, Ivan V., Jr.; Ong, Theresa Wei Ying; Perfecto, Ivette</t>
  </si>
  <si>
    <t>autumn olive; Elaeagnus umbellata; Formica obscuripes; invasive species; landcover change; pattern formation; spatial distribution; thatching ant</t>
  </si>
  <si>
    <t>NESTMATE RECOGNITION; ELAEAGNUS-UMBELLATA; HABITAT USE; POPULATION; COMMUNITIES; IMPACTS; PACKAGE; SHRUB; METAANALYSIS; HYMENOPTERA</t>
  </si>
  <si>
    <t>Invasive species are a significant threat to global biodiversity, but our understanding of how invasive species impact native communities across space and time remains limited. Based on observations in an old field in Southeast Michigan spanning 35 years, our study documents significant impacts of habitat change, likely driven by the invasion of the shrub, Elaeagnus umbellata, on the nest distribution patterns and population demographics of a native ant species, Formica obscuripes. Landcover change in aerial photographs indicates that E. umbellata expanded aggressively, transforming a large proportion of the original open field into dense shrubland. By comparing the ant's landcover preferences before and after the invasion, we demonstrate that this species experienced a significant unfavorable change in its foraging areas. We also find that shrub landcover significantly moderates aggression between nests, suggesting nests are more related where there is more E. umbellata. This may represent a shift in reproductive strategy from queen flights, reported in the past, to asexual nest budding. Our results suggest that E. umbellata may affect the spatial distribution of F. obscuripes by shifting the drivers of nest pattern formation from an endogenous process (queen flights), which led to a uniform pattern, to a process that is both endogenous (nest budding) and exogenous (loss of preferred habitat), resulting in a significantly different clustered pattern. The number and sizes of F. obscuripes nests in our study site are projected to decrease in the next 40 years, although further study of this population's colony structures is needed to understand the extent of this decrease. Elaeagnus umbellata is a common invasive shrub, and similar impacts on native species might occur in its invasive range, or in areas with similar shrub invasions.</t>
  </si>
  <si>
    <t>[Li, Kevin] North Carolina State Univ, Dept Civil Construct &amp; Environm Engn, Raleigh, NC USA; [He, Yifan; Jackson, Eliot L.; Martin, Austin; Perfecto, Ivette] Univ Michigan, Sch Nat Resources &amp; Environm, Ann Arbor, MI 48109 USA; [Campbell, Susanna K.; Colborn, A. Shawn; Monagan, Ivan V., Jr.; Ong, Theresa Wei Ying] Univ Michigan, Dept Ecol &amp; Evolutionary Biol, Ann Arbor, MI 48109 USA</t>
  </si>
  <si>
    <t>North Carolina State University; University of Michigan System; University of Michigan; University of Michigan System; University of Michigan</t>
  </si>
  <si>
    <t>Perfecto, I (corresponding author), Univ Michigan, Sch Nat Resources &amp; Environm, Ann Arbor, MI 48109 USA.</t>
  </si>
  <si>
    <t>perfecto@umich.edu</t>
  </si>
  <si>
    <t>; Ong, Theresa/JHU-4969-2023; He, Yifan/Q-2907-2019</t>
  </si>
  <si>
    <t>Ong, Theresa/0000-0002-7291-5205; He, Yifan/0000-0002-8312-8071</t>
  </si>
  <si>
    <t>10.1111/gcb.13671</t>
  </si>
  <si>
    <t>ET7AO</t>
  </si>
  <si>
    <t>WOS:000400445900011</t>
  </si>
  <si>
    <t>He, FZ; Bremerich, V; Zarfl, C; Geldmann, J; Langhans, SD; David, JNW; Darwall, W; Tockner, K; Jähnig, SC</t>
  </si>
  <si>
    <t>He, Fengzhi; Bremerich, Vanessa; Zarfl, Christiane; Geldmann, Jonas; Langhans, Simone D.; David, Jonathan N. W.; Darwall, William; Tockner, Klement; Jaehnig, Sonja C.</t>
  </si>
  <si>
    <t>conservation; flagship species; freshwater biodiversity hotspot; human impact; size; umbrella species</t>
  </si>
  <si>
    <t>GLOBAL PATTERNS; FOOD SECURITY; BIODIVERSITY; CONSERVATION; MANAGEMENT; PLEISTOCENE; HYDROPOWER; CONGO; CHALLENGE; IMPACTS</t>
  </si>
  <si>
    <t>AimFreshwater megafauna remain underrepresented in research and conservation, despite a disproportionately high risk of extinction due to multiple human threats. Therefore, our aims are threefold; (i) identify global patterns of freshwater megafauna richness and endemism, (ii) assess the conservation status of freshwater megafauna and (iii) demonstrate spatial and temporal patterns of human pressure throughout their distribution ranges. LocationGlobal. MethodsWe identified 207 extant freshwater megafauna species, based on a 30kg weight threshold, and mapped their distributions using HydroBASINS subcatchments (level 8). Information on conservation status and population trends for each species was extracted from the IUCN Red List website. We investigated human impacts on freshwater megafauna in space and time by examining spatial congruence between their distributions and human pressures, described by the Incident Biodiversity Threat Index and Temporal Human Pressure Index. ResultsFreshwater megafauna occur in 76% of the world's main river basins (level 3 HydroBASINS), with species richness peaking in the Amazon, Congo, Orinoco, Mekong and Ganges-Brahmaputra basins. Freshwater megafauna are more threatened than their smaller counterparts within the specific taxonomic groups (i.e., fishes, mammals, reptiles and amphibians). Out of the 93 freshwater megafauna species with known population trends, 71% are in decline. Meanwhile, IUCN Red List assessments reported insufficient or outdated data for 43% of all freshwater megafauna species. Since the early 1990s, human pressure has increased throughout 63% of their distribution ranges, with particularly intense impacts occurring in the Mekong and Ganges-Brahmaputra basins. Main conclusionsFreshwater megafauna species are threatened globally, with intense and increasing human pressures occurring in many of their biodiversity hotspots. We call for research and conservation actions for freshwater megafauna, as they are highly sensitive to present and future pressures including a massive boom in hydropower dam construction in their biodiversity hotspots.</t>
  </si>
  <si>
    <t>[He, Fengzhi; Bremerich, Vanessa; Langhans, Simone D.; Tockner, Klement; Jaehnig, Sonja C.] Leibniz Inst Freshwater Ecol &amp; Inland Fisheries, Berlin, Germany; [He, Fengzhi; Tockner, Klement] Free Univ Berlin, Inst Biol, Berlin, Germany; [He, Fengzhi] Queen Mary Univ London, Sch Geog, London, England; [Zarfl, Christiane] Eberhard Karls Univ Tubingen, Ctr Appl Geosci, Tubingen, Germany; [Geldmann, Jonas] Univ Cambridge, Dept Zool, Conservat Sci Grp, Cambridge, England; [David, Jonathan N. W.] Univ Oxford, Sch Geog &amp; Environm, Oxford, England; [Darwall, William] IUCN Global Species Programme, Freshwater Biodivers Unit, Cambridge, England; [Tockner, Klement] Austrian Sci Fund FWF, Vienna, Austria; [Langhans, Simone D.] Univ Otago, Dept Zool, Dunedin, New Zealand; [Langhans, Simone D.] Basque Ctr Climate Change BC3, Leioa, Spain</t>
  </si>
  <si>
    <t>Leibniz Association; Leibniz Institut fur Gewasserokologie und Binnenfischerei (IGB); Free University of Berlin; University of London; Queen Mary University London; Eberhard Karls University of Tubingen; University of Cambridge; University of Oxford; University of Otago; Basque Centre for Climate Change (BC3)</t>
  </si>
  <si>
    <t>He, FZ (corresponding author), Leibniz Inst Freshwater Ecol &amp; Inland Fisheries, Berlin, Germany.</t>
  </si>
  <si>
    <t>fengzhi.he@igb-berlin.de</t>
  </si>
  <si>
    <t>Geldmann, Jonas/H-8131-2019; He, Fengzhi/AAE-9085-2019; Langhans, Simone Daniela/A-5314-2019; Jähnig, Sonja C/D-7126-2011</t>
  </si>
  <si>
    <t>Geldmann, Jonas/0000-0002-1191-7610; He, Fengzhi/0000-0002-7594-8205; Langhans, Simone Daniela/0000-0001-9581-3183; Jähnig, Sonja C/0000-0002-6349-9561; Bremerich, Vanessa/0000-0002-7657-1534</t>
  </si>
  <si>
    <t>Bundesministerium fur Bildung und Forschung [01 LN1320A]; European Union's Horizon 2020 Programme for Research, Technological Development and Demonstration [642317]; Villum Fonden [VKR023371]; Education, Audiovisual and Culture Executive Agency (Erasmus Mundus Joint Doctorate programme SMART); EU Marie Sklodowska-Curie programme [H2020-MSCA-IF-2015-706784, H2020-MSCA-IF-2016-748625]; Ministerium fur Wissenschaft, Forschung und Kunst Baden-Wurttemberg; H2020 Societal Challenges Programme [642317] Funding Source: H2020 Societal Challenges Programme</t>
  </si>
  <si>
    <t>Bundesministerium fur Bildung und Forschung(Federal Ministry of Education &amp; Research (BMBF)); European Union's Horizon 2020 Programme for Research, Technological Development and Demonstration(Horizon 2020); Villum Fonden(Villum Fonden); Education, Audiovisual and Culture Executive Agency (Erasmus Mundus Joint Doctorate programme SMART); EU Marie Sklodowska-Curie programme; Ministerium fur Wissenschaft, Forschung und Kunst Baden-Wurttemberg; H2020 Societal Challenges Programme(Horizon 2020European Union (EU)H2020 Societal Challenges Programme)</t>
  </si>
  <si>
    <t>Bundesministerium fur Bildung und Forschung, Grant/Award Number: GLANCE project (01 LN1320A); European Union's Horizon 2020 Programme for Research, Technological Development and Demonstration, Grant/Award Number: AQUACROSS (642317); Villum Fonden, Grant/Award Number: VKR023371; Education, Audiovisual and Culture Executive Agency (Erasmus Mundus Joint Doctorate programme SMART); EU Marie Sklodowska-Curie programme, Grant/Award Number: H2020-MSCA-IF-2015-706784, H2020-MSCA-IF-2016-748625; Ministerium fur Wissenschaft, Forschung und Kunst Baden-Wurttemberg (Junior Professorship Program)</t>
  </si>
  <si>
    <t>10.1111/ddi.12780</t>
  </si>
  <si>
    <t>GV0DJ</t>
  </si>
  <si>
    <t>WOS:000445727000004</t>
  </si>
  <si>
    <t>Jézéquel, C; Tedesco, PA; Darwall, W; Dias, MS; Frederico, RG; Hidalgo, M; Hugueny, B; Maldonado-Ocampo, J; Martens, K; Ortega, H; Torrente-Vilara, G; Zuanon, J; Oberdorff, T</t>
  </si>
  <si>
    <t>Jezequel, Celine; Tedesco, Pablo A.; Darwall, William; Dias, Murilo S.; Frederico, Renata G.; Hidalgo, Max; Hugueny, Bernard; Maldonado-Ocampo, Javier; Martens, Koen; Ortega, Hernan; Torrente-Vilara, Gislene; Zuanon, Jansen; Oberdorff, Thierry</t>
  </si>
  <si>
    <t>conservation scenarios; freshwater biodiversity; neotropics; spatial prioritization</t>
  </si>
  <si>
    <t>PROTECTED AREAS; BIODIVERSITY HOTSPOTS; SPECIES RICHNESS; ENDEMISM</t>
  </si>
  <si>
    <t>Conserving freshwater habitats and their biodiversity in the Amazon Basin is a growing challenge in the face of rapid anthropogenic changes. We used the most comprehensive fish-occurrence database available (2355 valid species; 21,248 sampling points) and 3 ecological criteria (irreplaceability, representativeness, and vulnerability) to identify biodiversity hotspots based on 6 conservation templates (3 proactive, 1 reactive, 1 representative, and 1 balanced) to provide a set of alternative planning solutions for freshwater fish protection in the Amazon Basin. We identified empirically for each template the 17% of sub-basins that should be conserved and performed a prioritization analysis by identifying current and future (2050) threats (i.e., degree of deforestation and habitat fragmentation by dams). Two of our 3 proactive templates had around 65% of their surface covered by protected areas; high levels of irreplaceability (60% of endemics) and representativeness (71% of the Amazonian fish fauna); and low current and future vulnerability. These 2 templates, then, seemed more robust for conservation prioritization. The future of the selected sub-basins in these 2 proactive templates is not immediately threatened by human activities, and these sub-basins host the largest part of Amazonian biodiversity. They could easily be conserved if no additional threats occur between now and 2050.</t>
  </si>
  <si>
    <t>[Jezequel, Celine; Tedesco, Pablo A.; Hugueny, Bernard; Oberdorff, Thierry] UPS, CNRS 5174, IRD253, UMR EDB,Lab Evolut &amp; Diversite Biol, 118 Route Narbonne, F-31062 Toulouse, France; [Darwall, William] IUCN Global Species Programme, Freshwater Biodivers Unit, Pembroke St, Cambridge CB2 3QZ, England; [Dias, Murilo S.] Univ Brasilia, Dept Ecol, BR-70910900 Brasilia, DF, Brazil; [Frederico, Renata G.] Univ Fed Para UFPA, Inst Ciencias Biol, Rua Augusto Correia, BR-66075110 Belem, Para, Brazil; [Hidalgo, Max; Ortega, Hernan] Univ Nacl Mayor San Marcos, Dept Ictiol, Museo Hist Nat, Ave Arenales 1256,Jesus Maria 15072, Lima 14, Peru; [Maldonado-Ocampo, Javier] Pontificia Univ Javeriana, Unidad Ecol &amp; Sistemat UNESIS, Lab Ictiol, Dept Biol,Fac Ciencias, Carrera 7 40-62, Bogota 110231, Colombia; [Martens, Koen] Royal Belgian Inst Nat Sci, Dept Freshwater Biol, Vautierstr 29, B-1000 Brussels, Belgium; [Martens, Koen] Univ Ghent, Dept Biol, KL Ledeganckstr 35, B-9000 Ghent, Belgium; [Torrente-Vilara, Gislene] Univ Fed Sao Paulo, Dept Ciencias Mar, Campus Baixada Santista, BR-11015020 Santos, SP, Brazil; [Zuanon, Jansen] Inst Nacl de Pesquisas da Amazonia, Coordenacao Biodiversidade, Ave Andre Araujo, BR-69067375 Manaus, Amazonas, Brazil</t>
  </si>
  <si>
    <t>Universite de Toulouse; Universite Federale Toulouse Midi-Pyrenees (ComUE); Universite Toulouse III - Paul Sabatier; Ecole Nationale Formation Agronomique (ENSFEA); Centre National de la Recherche Scientifique (CNRS); Universidade de Brasilia; Universidade Federal do Para; Universidad Nacional Mayor de San Marcos; Pontificia Universidad Javeriana; Royal Belgian Institute of Natural Sciences; Ghent University; Universidade Federal de Sao Paulo (UNIFESP); Institute Nacional de Pesquisas da Amazonia</t>
  </si>
  <si>
    <t>Jézéquel, C (corresponding author), UPS, CNRS 5174, IRD253, UMR EDB,Lab Evolut &amp; Diversite Biol, 118 Route Narbonne, F-31062 Toulouse, France.</t>
  </si>
  <si>
    <t>celine.jezequel@ird.fr</t>
  </si>
  <si>
    <t>Jézéquel, Céline/AAI-8090-2020; Tedesco, Pablo/F-7088-2013; Hidalgo, Max/AAB-7891-2019; Oberdorff, Thierry/AGD-5797-2022; Torrente-Vilara, Gislene/AAF-1559-2021; Zuanon, Jansen/E-5791-2013; Guimarães Frederico, Renata/C-7692-2015; Sversut Dias, Murilo/G-5549-2010</t>
  </si>
  <si>
    <t>Jézéquel, Céline/0000-0003-0687-1467; Tedesco, Pablo/0000-0001-5972-5928; Hidalgo, Max/0000-0002-0071-5159; Oberdorff, Thierry/0000-0001-7323-2599; Torrente-Vilara, Gislene/0000-0002-2048-7691; Zuanon, Jansen/0000-0001-8354-2750; Darwall, William/0000-0002-4589-5579; Guimarães Frederico, Renata/0000-0002-8858-6426; Sversut Dias, Murilo/0000-0002-7213-5284</t>
  </si>
  <si>
    <t>Fundacao de Amparo a Pesquisa do Estado de Sao Paulo (FAPESP) [16/07910-0] Funding Source: FAPESP</t>
  </si>
  <si>
    <t>Fundacao de Amparo a Pesquisa do Estado de Sao Paulo (FAPESP)(Fundacao de Amparo a Pesquisa do Estado de Sao Paulo (FAPESP))</t>
  </si>
  <si>
    <t>10.1111/cobi.13466</t>
  </si>
  <si>
    <t>MX7VT</t>
  </si>
  <si>
    <t>WOS:000557929900019</t>
  </si>
  <si>
    <t>Callan, R; Owens, JR; Bi, WL; Kilham, B; Yan, X; Qi, DW; Hou, R; Spotila, JR; Zhang, ZH</t>
  </si>
  <si>
    <t>Callan, Ramana; Owens, Jacob R.; Bi, Wenlei; Kilham, Benjamin; Yan, Xia; Qi, Dunwu; Hou, Rong; Spotila, James R.; Zhang, Zhihe</t>
  </si>
  <si>
    <t>RANGING DOMESTIC DOGS; PROTECTED AREAS; AILUROPODA-MELANOLEUCA; CANIS-FAMILIARIS; FERAL DOGS; EDGE; WILDLIFE; PATTERNS; CONSERVATION; COMPETITION</t>
  </si>
  <si>
    <t>Giant pandas (Ailuropoda melanoleuca) were historically hunted using dogs and are currently threatened by free-roaming dogs and their associated diseases. To better understand the spatial magnitude of this threat, we used a GIS approach to investigate edge effects of dogs on giant panda habitat. We first examined two nature reserves with contrasting free-roaming dog populations: Liziping, with many dogs (similar to 0.44/km(2)), and Daxiangling, with few dogs (similar to 0.14/km(2)). Spatial analysis indicated that giant pandas at Liziping (but not Daxiangling) showed a shift in habitat use away from populated areas consistent with a risk response to the foray distance of free-roaming dogs (10.9 km path-distance). Most giant panda locations (86%) from the 2014 census in Liziping were clustered around remote dog-free zones. Expanding this analysis across the entire giant panda range revealed that 40% of panda habitat is within the foray distance of dogs. Our assessment will inform dog control programs including monitoring, education, veterinary care, and other measures. We recommend that reserves designated for the release of translocated pandas receive priority consideration for dog control efforts. Only by understanding and managing complex interactions between humans, domestic animals, and wild animals can we sustain natural systems in a world increasingly dominated by humans.</t>
  </si>
  <si>
    <t>[Callan, Ramana; Owens, Jacob R.; Bi, Wenlei; Yan, Xia; Qi, Dunwu; Hou, Rong; Spotila, James R.; Zhang, Zhihe] Chengdu Res Base Giant Panda Breeding, Sichuan Key Lab Conservat Biol Endangered Wildlif, Chengdu 610081, Sichuan, Peoples R China; [Bi, Wenlei; Spotila, James R.] Drexel Univ, Philadelphia, PA 19104 USA; [Kilham, Benjamin] Kilham Bear Ctr, Lyme, NH 03768 USA</t>
  </si>
  <si>
    <t>Drexel University</t>
  </si>
  <si>
    <t>Hou, R (corresponding author), Chengdu Res Base Giant Panda Breeding, Sichuan Key Lab Conservat Biol Endangered Wildlif, Chengdu 610081, Sichuan, Peoples R China.</t>
  </si>
  <si>
    <t>hourong2000@panda.org.cn</t>
  </si>
  <si>
    <t>Callan, Ramana/U-3785-2019</t>
  </si>
  <si>
    <t>Owens, Jacob/0000-0003-1528-650X</t>
  </si>
  <si>
    <t>Chengdu Research Base of Giant Panda Breeding; Drexel University; State Forestry Administration, Sichuan Forestry Bureau, Liziping; Daxiangling National Nature Reserves</t>
  </si>
  <si>
    <t>This research was funded by the Chengdu Research Base of Giant Panda Breeding and Drexel University. Final line edits were contributed by Sophia Courtney and Teresa Valentine. We acknowledge support from the State Forestry Administration, Sichuan Forestry Bureau, Liziping and Daxiangling National Nature Reserves.</t>
  </si>
  <si>
    <t>JUN 24</t>
  </si>
  <si>
    <t>10.1038/s41598-020-66755-7</t>
  </si>
  <si>
    <t>MH4OV</t>
  </si>
  <si>
    <t>WOS:000546711400014</t>
  </si>
  <si>
    <t>Hierink, F; Bolon, I; Durso, AM; de Castañeda, RR; Zambrana-Torrelio, C; Eskew, EA; Ray, N</t>
  </si>
  <si>
    <t>Hierink, Fleur; Bolon, Isabelle; Durso, Andrew M.; de Castaneda, Rafael Ruiz; Zambrana-Torrelio, Carlos; Eskew, Evan A.; Ray, Nicolas</t>
  </si>
  <si>
    <t>CITES; Invasive species; Snakebite; Snake trade; Sustainable use; Wildlife trade</t>
  </si>
  <si>
    <t>WILDLIFE TRADE; INTERNATIONAL-TRADE; EXOTIC TICKS; LIVE REPTILES; BITES; PYTHONS; POPULATIONS; CHALLENGES; MANAGEMENT; DECLINES</t>
  </si>
  <si>
    <t>Trade in venomous and non-venomous snakes can negatively impact wild snake populations and may drive snakebite risk for people. However, we often lack sufficient trade data to identify where the potential risks for snake population decline and snakebite are highest. Currently, the legal, international trade of 164 snake species is regulated by the Convention on International Trade in Endangered Species of Wild Fauna and Flora (CITES). We analyzed CITES-listed snake trade from 1975 to 2018 using the recently released shipment-level CITES Trade Database to identify spatiotemporal trends of snake trade and generate insights regarding snake conservation and potential public health risks from snakebite. Commercially purposed pythons dominated the global snake trade, comprising 38.8% of all traded snakes. Live snakes were mainly exported by Ghana, Indonesia, Togo, and Benin, and imported by China and the USA. Venomous snake trade comprised 10.8% of all traded snakes, and over 75% of wild-sourced venomous snakes came from Indonesia. Although traded snakes in recent years are increasingly comprised of captive-bred animals, the majority of snakes are still wild-sourced ( &gt; 60% between 2015 and 2017), including IUCN-listed species, with potentially detrimental impacts on conservation status. Further, the CITES Trade Database reveals geographic regions where venomous snakes are sourced from the wild, posing potential risks to snake catchers, traders, and pet owners. The database also documents the movement of non-native snake species through trade, with implications for conservation of native species. This study represents the first global analysis focused specifically on CITES-listed snake trade using the CITES Trade Database.</t>
  </si>
  <si>
    <t>[Hierink, Fleur; Bolon, Isabelle; Durso, Andrew M.; de Castaneda, Rafael Ruiz; Ray, Nicolas] Univ Geneva, Fac Med, Inst Global Hlth, Dept Community Hlth &amp; Med, Geneva, Switzerland; [Hierink, Fleur; Ray, Nicolas] Univ Geneva, Inst Environm Sci, Geneva, Switzerland; [Zambrana-Torrelio, Carlos; Eskew, Evan A.] EcoHlth Alliance, New York, NY USA; [Durso, Andrew M.] Florida Gulf Coast Univ, Dept Biol Sci, Ft Myers, FL 33965 USA</t>
  </si>
  <si>
    <t>Swiss School of Public Health (SSPH+); University of Geneva; University of Geneva; EcoHealth Alliance; State University System of Florida; Florida Gulf Coast University</t>
  </si>
  <si>
    <t>Hierink, F (corresponding author), Univ Geneva, Fac Med, Inst Global Hlth, Dept Community Hlth &amp; Med, Geneva, Switzerland.;Hierink, F (corresponding author), Univ Geneva, Inst Environm Sci, Geneva, Switzerland.</t>
  </si>
  <si>
    <t>fleur.hierink@unige.ch</t>
  </si>
  <si>
    <t>Eskew, Evan/H-8478-2019; Zambrana-Torrelio, Carlos/AAH-3911-2020; Durso, Andrew/D-1657-2012; Ray, Nicolas/C-8988-2009; Bolon, Isabelle/O-8676-2019</t>
  </si>
  <si>
    <t>Hierink, Fleur/0000-0002-2727-0540; Bolon, Isabelle/0000-0001-5940-2731;</t>
  </si>
  <si>
    <t>Fondation Louis-Jeantet; Fondation Privee des Hopitaux Universitaires de Geneve; United States Agency for International Development (USAID) Emerging Pandemic Threats PREDICT program</t>
  </si>
  <si>
    <t>Fondation Louis-Jeantet; Fondation Privee des Hopitaux Universitaires de Geneve; United States Agency for International Development (USAID) Emerging Pandemic Threats PREDICT program(United States Agency for International Development (USAID))</t>
  </si>
  <si>
    <t>R.R.d.C. was partly supported by the Fondation Louis-Jeantet. A.M.D. was supported by the Fondation Privee des Hopitaux Universitaires de Geneve. C.Z.-T. and E.A.E. were supported by the United States Agency for International Development (USAID) Emerging Pandemic Threats PREDICT program.</t>
  </si>
  <si>
    <t>10.1016/j.biocon.2020.108601</t>
  </si>
  <si>
    <t>MW1ZL</t>
  </si>
  <si>
    <t>WOS:000556843900006</t>
  </si>
  <si>
    <t>Dávalos, LM; Bejarano, AC; Hall, MA; Correa, HL; Corthals, A; Espejo, OJ</t>
  </si>
  <si>
    <t>Davalos, Liliana M.; Bejarano, Adriana C.; Hall, Mark A.; Correa, H. Leonardo; Corthals, Angelique; Espejo, Oscar J.</t>
  </si>
  <si>
    <t>Forests and Drugs: Coca-Driven Deforestation in Tropical Biodiversity Hotspots</t>
  </si>
  <si>
    <t>ENVIRONMENTAL SCIENCE &amp; TECHNOLOGY</t>
  </si>
  <si>
    <t>PATTERNS; COLOMBIA; CONSERVATION; PERFORMANCE; CONFLICT; POVERTY; POLICY; INCOME; AMAZON; PARKS</t>
  </si>
  <si>
    <t>Identifying drivers of deforestation in tropical biodiversity hotspots is critical to assess threats to particular ecosystems and species and proactively plan for conservation. We analyzed land cover change between 2002 and 2007 in the northern Andes, Choco, and Amazon forests of Colombia, the largest producer of coca leaf for the global cocaine market, to quantify the impact of this illicit crop on forest dynamics, evaluate the effectiveness of protected areas in this context, and determine the effects of eradication on deforestation. Landscape-level analyses of forest conversion revealed that proximity to new coca plots and a greater proportion of an area planted with coca increased the probability of forest loss in southern Colombia, even after accounting for other covariates and spatial autocorrelation. We also showed that protected areas successfully reduced forest conversion in coca-growing regions. Neither eradication nor coca cultivation predicted deforestation rates across municipalities. Instead, the presence of new coca cultivation was an indicator of municipalities, where increasing population led to higher deforestation rates. We hypothesize that poor rural development underlies the relationship between population density and deforestation in coca-growing areas. Conservation in Colombia's vast forest frontier, which overlaps with its coca frontier, requires a mix of protected areas and strategic rural development to succeed.</t>
  </si>
  <si>
    <t>[Davalos, Liliana M.; Hall, Mark A.] SUNY Stony Brook, Dept Ecol &amp; Evolut, Stony Brook, NY 11794 USA; [Davalos, Liliana M.] SUNY Stony Brook, Consortium Interdisciplinary Environm Res, Stony Brook, NY 11794 USA; [Bejarano, Adriana C.] Univ S Carolina, Dept Environm Hlth Sci, Publ Hlth Res Ctr 401, Columbia, SC 29208 USA; [Correa, H. Leonardo; Espejo, Oscar J.] United Nations Off Drugs &amp; Crime, Bogota, Colombia; [Corthals, Angelique] CUNY John Jay Coll Criminal Justice, Dept Sci, New York, NY 10019 USA</t>
  </si>
  <si>
    <t>State University of New York (SUNY) System; Stony Brook University; State University of New York (SUNY) System; Stony Brook University; University of South Carolina System; University of South Carolina Columbia; City University of New York (CUNY) System; John Jay College of Criminal Justice (CUNY)</t>
  </si>
  <si>
    <t>Dávalos, LM (corresponding author), SUNY Stony Brook, Dept Ecol &amp; Evolut, 650 Life Sci Bldg, Stony Brook, NY 11794 USA.</t>
  </si>
  <si>
    <t>ldavalos@life.bio.sunysb.edu</t>
  </si>
  <si>
    <t>; Davalos, Liliana/AEE-7879-2022</t>
  </si>
  <si>
    <t>bejarano, aiana/0000-0003-2818-4115; Corthals, Angelique/0000-0002-5610-2992; Davalos, Liliana/0000-0002-4327-7697</t>
  </si>
  <si>
    <t>1155 16TH ST, NW, WASHINGTON, DC 20036 USA</t>
  </si>
  <si>
    <t>0013-936X</t>
  </si>
  <si>
    <t>1520-5851</t>
  </si>
  <si>
    <t>ENVIRON SCI TECHNOL</t>
  </si>
  <si>
    <t>Environ. Sci. Technol.</t>
  </si>
  <si>
    <t>10.1021/es102373d</t>
  </si>
  <si>
    <t>718LI</t>
  </si>
  <si>
    <t>WOS:000287122400011</t>
  </si>
  <si>
    <t>Wakeel, A; Rao, KS; Maikhuri, RK; Saxena, KG</t>
  </si>
  <si>
    <t>forest management; forest degradation and fragmentation; government institutions; Himalaya; land use/cover change; people's institutions</t>
  </si>
  <si>
    <t>TRADITIONAL CROP DIVERSITY; LANDSCAPE CHANGE PATTERN; POPULATION-GROWTH; GARHWAL HIMALAYA; SUSTAINABLE DEVELOPMENT; USE DYNAMICS; DEFORESTATION; INTENSIFICATION; AGRICULTURE; ENVIRONMENT</t>
  </si>
  <si>
    <t>In most developing countries, large-scale land use/cover changes are reported over the last few centuries. In most cases, it is attributed to the human population growth. To achieve conservation of biodiversity and ecological functions of natural ecosystem, large tracts were taken over by the Governments in many developing countries. This study analyses the spatial and temporal pattern of land use/cover change in a micro watershed in Central Himalaya, India, during 1967-1997 period based on interpretation of satellite data and using a geographic information system (GIs). During the last 30 years (i.e. 1967-1997) the forest cover was altered drastically with increasing population pressure (both human and animal), agricultural activities and raw material extraction activities. Agricultural expansion at the cost of loss of forest cover was the most prominent change in the forests managed by the people. In Government Reserve Forests, there was no agricultural expansion but changes in tree density and canopy cover were evident. Due to abandonment of large tracts of rainfed agricultural areas on slopping terraces in middle elevations, the area of culturable wastes increased while agricultural expansion at the expense of forests occurred and thus the total cultivated land stayed stagnant between 1971 and 1991. While environmental degradation resulted in low agricultural yields as well as poor fuelwood and fodder yields in most areas, diversification of agriculture in flood terraces in lower valleys due to Government development programmes improved agricultural participation. This study shows that while Government Forest Department is able to resist losses of areas under their control to agricultural expansion, change of vegetal cover indicates, they are not in a position to police the areas with broad leaved trees which are exploited by local inhabitants for their subsistence needs. This paper reiterates the argument that institutions play a crucial role in molding forested landscapes. (c) 2005 Elsevier B.V. All rights reserved.</t>
  </si>
  <si>
    <t>Jawaharlal Nehru Univ, Sch Environm Sci, New Delhi 110067, India; GB Pant Inst Himalayan Environm &amp; Dev, Almora 263643, India; GB Pant Inst Himalayan Environm &amp; Dev, Garhwal Unit, Srinagar 246174, Garhwal, India</t>
  </si>
  <si>
    <t>Jawaharlal Nehru University, New Delhi; G.B. Pant National Institute of Himalayan Environment &amp; Sustainable Development (GBPNIHESD); G.B. Pant National Institute of Himalayan Environment &amp; Sustainable Development (GBPNIHESD)</t>
  </si>
  <si>
    <t>Rao, KS (corresponding author), Univ Delhi, Ctr Interdisciplinary Studies Mt &amp; Hill Environm, S Campus,Benito Juarez Rd, New Delhi 110021, India.</t>
  </si>
  <si>
    <t>Rao, K S/I-7548-2012; Saxena, Krishna/A-6234-2011</t>
  </si>
  <si>
    <t>Maikhuri/0009-0005-5251-0023;</t>
  </si>
  <si>
    <t>10.1016/j.foreco.2005.03.061</t>
  </si>
  <si>
    <t>944PD</t>
  </si>
  <si>
    <t>WOS:000230440200017</t>
  </si>
  <si>
    <t>Miranda, A; Lara, A; Altamirano, A; Di Bella, C; González, ME; Camarero, JJ</t>
  </si>
  <si>
    <t>Miranda, Alejandro; Lara, Antonio; Altamirano, Adison; Di Bella, Carlos; Gonzalez, Mauro E.; Julio Camarero, Jesus</t>
  </si>
  <si>
    <t>Climate change; Resilience; Resistance; Remote sensing; Chile; NDVI</t>
  </si>
  <si>
    <t>CENTRAL CHILE; GLOBAL BIODIVERSITY; TROPICAL FORESTS; LAND-USE; VEGETATION; CLIMATE; NDVI; SCENARIOS; DECLINE; REGENERATION</t>
  </si>
  <si>
    <t>Deforestation is widely studied throughout the world. However, a less evident issue is the effect of climate change and drought on remnants of native forests. The objective of this work was to understand the geographic variations in resistance to drought of the Mediterranean sclerophyllous forests of central Chile. These forests have been historically reduced and fragmented and in recent years were subjected to the most prolonged drought occurred between 2010 and 2017. Using data from the MODIS satellite sensor, temporal trends in the NDVI (Normalized Difference Vegetation Index) were quantified. We related these trends with different environmental variables to understand the effects of geographical variation and forest type as indicators of resistance to drought. We observed a significant direct effect of drought, attributable to the reduced precipitation in central Chile, and a significantly reduced NDVI in near one-third of the region forests (browning). However, NDVI and therefore forest productivity were more stable in some mesic sites such as ravine bottoms, but not on south-facing slopes. This suggests that under a regime of reduced precipitations, a greater available soil humidity would be a more important factor than the fact of receiving less solar radiation. Finally, the highest degree of browning was observed in semi-arid sclerophyllous forest dominated by species tolerant to drought. Our findings emphasize the need to consider topographic site conditions to adequately assess forest productivity and vulnerability where local wet conditions could provide drought refuges. This recent drought may be analogous to forecasted warmer and drier climate conditions with more frequent and severe droughts, so our results may serve as a general framework for climate-smart decisions in highly threatened forest restoration and conservation.</t>
  </si>
  <si>
    <t>[Miranda, Alejandro; Altamirano, Adison] Univ La Frontera, Dept Ciencias Forestales, Lab Ecol Paisaje &amp; Conservac, POB 54-D, Temuco, Chile; [Miranda, Alejandro] Univ Austral Chile, Fac Ciencias Forestales &amp; Recursos Nat, Escuela Graduados, Valdivia, Chile; [Miranda, Alejandro; Lara, Antonio; Gonzalez, Mauro E.] Univ Chile, Ctr Climate &amp; Resilience Res CR2, Santiago, Chile; [Lara, Antonio; Gonzalez, Mauro E.] Univ Austral Chile, Fac Ciencias Forestales &amp; Recursos Nat, Inst Conservac Biodiversidad &amp; Terr, Valdivia, Chile; [Altamirano, Adison] Univ La Frontera, Fac Ciencias Agr &amp; Forestales, Butamallin Res Ctr Global Change, Temuco, Chile; [Di Bella, Carlos] Inst Nacl Tecnol Agr CIRN INTA Castelar, Inst Clima &amp; Agua, Hurlingham, Buenos Aires, Argentina; [Di Bella, Carlos] Univ Buenos Aires, Fac Agron, Dept Metodos Cuantitat, Buenos Aires, DF, Argentina; [Julio Camarero, Jesus] CSIC, Inst Pirenaico Ecol IPE, Zaragoza, Spain</t>
  </si>
  <si>
    <t>Universidad de La Frontera; Universidad Austral de Chile; Universidad de Chile; Universidad Austral de Chile; Universidad de La Frontera; University of Buenos Aires; Consejo Superior de Investigaciones Cientificas (CSIC); CSIC - Instituto Pirenaico de Ecologia (IPE)</t>
  </si>
  <si>
    <t>Miranda, A (corresponding author), Univ La Frontera, Dept Ciencias Forestales, Lab Ecol Paisaje &amp; Conservac, POB 54-D, Temuco, Chile.</t>
  </si>
  <si>
    <t>alejandro.miranda@ufrontera.cl; adison.altamirano@ufrontera.cl</t>
  </si>
  <si>
    <t>González, Mauro/AAH-7569-2019; Altamirano, Adison/ABE-2005-2020; Camarero, J Julio/A-8602-2013</t>
  </si>
  <si>
    <t>Miranda, Alejano/0000-0002-8211-0179; Camarero, J Julio/0000-0003-2436-2922</t>
  </si>
  <si>
    <t>CONICYT/Doctoral National Program, Chile [21140409]; FONDECYT, Chile [1171445]; Direccion de Investigacion of Universidad de La Frontera, Chile; ANID/FONDAP [15110009]</t>
  </si>
  <si>
    <t>CONICYT/Doctoral National Program, Chile; FONDECYT, Chile(Comision Nacional de Investigacion Cientifica y Tecnologica (CONICYT)CONICYT FONDECYT); Direccion de Investigacion of Universidad de La Frontera, Chile; ANID/FONDAP</t>
  </si>
  <si>
    <t>AM thanks CONICYT/Doctoral National Program/21140409, Chile. This research was supported by funding from FONDECYT project 1171445 and Direccion de Investigacion of Universidad de La Frontera, Chile. AM, AL and MG thank ANID/FONDAP/15110009.</t>
  </si>
  <si>
    <t>10.1016/j.ecolind.2020.106401</t>
  </si>
  <si>
    <t>NC8BQ</t>
  </si>
  <si>
    <t>WOS:000561438700016</t>
  </si>
  <si>
    <t>Lohse, KA; Newburn, DA; Opperman, JJ; Merenlender, AM</t>
  </si>
  <si>
    <t>Lohse, Kathleen A.; Newburn, David A.; Opperman, Jeff J.; Merenlender, Adina M.</t>
  </si>
  <si>
    <t>conservation targeting; ecological thresholds; exurban development; forecasting land use change; Oncorhynchus spp.; Russian River; California; salmonid spawning habitat; urban sprawl; watershed risks</t>
  </si>
  <si>
    <t>FINE SEDIMENT; EXURBAN DEVELOPMENT; STREAM ECOSYSTEMS; COHO SALMON; BIODIVERSITY; RIVER; URBANIZATION; COMMUNITIES; CHALLENGES; INTEGRITY</t>
  </si>
  <si>
    <t>Land use change can adversely affect water quality and freshwater ecosystems, yet our ability to predict how systems will respond to different land uses, particularly rural-residential development, is limited by data availability and our understanding of biophysical thresholds. In this study, we use spatially explicit parcel-level data to examine the influence of land use (including urban, rural-residential, and vineyard) on salmon spawning substrate quality in tributaries of the Russian River in California. We develop a land use change model to forecast the probability of losses in high-quality spawning habitat and recommend priority areas for incentive-based land conservation efforts. Ordinal logistic regression results indicate that all three land use types were negatively associated with spawning substrate quality, with urban development having the largest marginal impact. For two reasons, however, forecasted rural-residential and vineyard development have much larger influences on decreasing spawning substrate quality relative to urban development. First, the land use change model estimates 10 times greater land use conversion to both rural-residential and vineyard compared to urban. Second, forecasted urban development is concentrated in the most developed watersheds, which already have poor spawning substrate quality, such that the marginal response to future urban development is less significant. To meet the goals of protecting salmonid spawning habitat and optimizing investments in salmon recovery, we suggest investing in watersheds where future rural-residential development and vineyards threaten high-quality fish habitat, rather than the most developed watersheds, where land values are higher.</t>
  </si>
  <si>
    <t>[Lohse, Kathleen A.; Merenlender, Adina M.] Univ Calif Berkeley, Dept Environm Sci Policy &amp; Management, Berkeley, CA 94720 USA; [Newburn, David A.] Texas A&amp;M Univ, Dept Agr Econ, College Stn, TX 77843 USA; [Opperman, Jeff J.] Univ Calif Davis, Ctr Watershed Sci, Davis, CA 95616 USA; [Opperman, Jeff J.] Nature Conservancy, Chagrin Falls, OH 44022 USA</t>
  </si>
  <si>
    <t>University of California System; University of California Berkeley; Texas A&amp;M University System; Texas A&amp;M University College Station; University of California System; University of California Davis; Nature Conservancy</t>
  </si>
  <si>
    <t>Lohse, KA (corresponding author), Univ Arizona, Sch Nat Resources, 325 Biosci E, Tucson, AZ 85721 USA.</t>
  </si>
  <si>
    <t>klohse@email.arizona.edu</t>
  </si>
  <si>
    <t>; Newburn, David/C-9182-2014</t>
  </si>
  <si>
    <t>MERENLENDER, Adina/0000-0002-0681-8642; Newburn, David/0000-0002-6662-3660; Lohse, Kathleen/0000-0003-1779-6773</t>
  </si>
  <si>
    <t>10.1890/07-0354.1</t>
  </si>
  <si>
    <t>294WQ</t>
  </si>
  <si>
    <t>WOS:000255437400014</t>
  </si>
  <si>
    <t>Bozkaya, AG; Balcik, FB; Goksel, C; Esbah, H</t>
  </si>
  <si>
    <t>Bozkaya, A. Gonca; Balcik, Filiz Bektas; Goksel, Cigdem; Esbah, Hayriye</t>
  </si>
  <si>
    <t>Land use/land cover; Remote sensing; Image processing; Igneada; Stochastic Markov model; Cellular automata Markov model</t>
  </si>
  <si>
    <t>CELLULAR-AUTOMATA; GIS; ACCURACY; INTEGRATION; SIMULATION; LANDSCAPE; SCENARIOS; DYNAMICS; MODELS; IMPACT</t>
  </si>
  <si>
    <t>Human activities in many parts of the world have greatly affected natural areas. Therefore, monitoring and forecasting of land-cover changes are important components for sustainable utilization, conservation, and development of these areas. This research has been conducted on Igneada, a legally protected area on the northwest coast of Turkey, which is famous for its unique, mangrove forests. The main focus of this study was to apply a land use and cover model that could quantitatively and graphically present the changes and its impacts on Igneada landscapes in the future. In this study, a Markov chain-based, stochastic Markov model and cellular automata Markov model were used. These models were calibrated using a time series of developed areas derived from Landsat Thematic Mapper (TM) imagery between 1990 and 2010 that also projected future growth to 2030. The results showed that CA Markov yielded reliable information better than St. Markov model. The findings displayed constant but overall slight increase of settlement and forest cover, and slight decrease of agricultural lands. However, even the slightest unsustainable change can put a significant pressure on the sensitive ecosystems of Igneada. Therefore, the management of the protected area should not only focus on the landscape composition but also pay attention to landscape configuration.</t>
  </si>
  <si>
    <t>[Bozkaya, A. Gonca] Mimar Sinan Fine Arts Univ, TR-34427 Istanbul, Turkey; [Balcik, Filiz Bektas; Goksel, Cigdem] Istanbul Tech Univ, Fac Civil Engn, TR-34469 Istanbul, Turkey; [Esbah, Hayriye] Istanbul Tech Univ, Fac Architecture, Dept Landscape Architecture, TR-34437 Istanbul, Turkey</t>
  </si>
  <si>
    <t>Mimar Sinan Guzel Sanatlar University; Istanbul Technical University; Istanbul Technical University</t>
  </si>
  <si>
    <t>Balcik, FB (corresponding author), Istanbul Tech Univ, Fac Civil Engn, TR-34469 Istanbul, Turkey.</t>
  </si>
  <si>
    <t>gonca_bozkaya@yahoo.com; bektasfi@itu.edu.tr; goksel@itu.edu.tr; esbah@itu.edu.tr</t>
  </si>
  <si>
    <t>GOKSEL, Cigdem/AAD-1638-2020; Bektas Balcik, Filiz/ABB-1421-2020</t>
  </si>
  <si>
    <t>GOKSEL, Cigdem/0000-0001-8480-1435; Bektas Balcik, Filiz/0000-0003-3039-6846; Bozkaya Karip, Aliye Gonca/0000-0002-8865-5559</t>
  </si>
  <si>
    <t>EU [226740]; TUBITAK (The Scientific and Technological Research Council of Turkey) [110Y015]</t>
  </si>
  <si>
    <t>EU(European Union (EU)); TUBITAK (The Scientific and Technological Research Council of Turkey)(Turkiye Bilimsel ve Teknolojik Arastirma Kurumu (TUBITAK))</t>
  </si>
  <si>
    <t>This study was conducted within the EnviroGRIDS Project, which is an EU Funded 7th Framework Program Project under Grant Agreement 226740 (Building Capacity for a Black Sea Catchment Observation and Assessment System Supporting Sustainable Development) and TUBITAK (The Scientific and Technological Research Council of Turkey) funded project (No 110Y015), Monitoring of urban development in Igneada Protection Area and modelling for future. Finally, we would like to thank the anonymous reviewers and the editors for their constructive comments that improved the quality of this paper.</t>
  </si>
  <si>
    <t>10.1007/s10661-015-4322-z</t>
  </si>
  <si>
    <t>CB2CS</t>
  </si>
  <si>
    <t>WOS:000349434900004</t>
  </si>
  <si>
    <t>Peck, M; Thorn, J; Mariscal, A; Baird, A; Tirira, D; Kniveton, D</t>
  </si>
  <si>
    <t>Peck, Mika; Thorn, James; Mariscal, Ana; Baird, Abigail; Tirira, Diego; Kniveton, Dominic</t>
  </si>
  <si>
    <t>22nd Congress of the International-Primatological-Society</t>
  </si>
  <si>
    <t>AUG 03-08, 2008</t>
  </si>
  <si>
    <t>Edinburgh, SCOTLAND</t>
  </si>
  <si>
    <t>Int Primatol Soc</t>
  </si>
  <si>
    <t>Ateles fusciceps; Brown-headed spider monkey; Ecological niche modeling; Habitat mapping; LANDSAT; MaxEnt</t>
  </si>
  <si>
    <t>PRIMATE COMMUNITIES; FOREST; DISTRIBUTIONS</t>
  </si>
  <si>
    <t>Brown-headed spider monkeys (Ateles fusciceps), endemic to the Choco-Darien forests and lower Andean forests of NW Ecuador, are considered critically endangered. Unfortunately, scientific data regarding the actual status of populations is lacking. We combined satellite image analysis, species-specific habitat assessment, and a field survey technique using playback to focus conservation efforts for this species. First, we identified remaining forest via a LANDSAT mosaic and then applied species-specific criteria to delineate remaining forest with potential to hold populations. By combining this with the historical distribution from ecological niche modeling and predicted hunting intensity we generated a species-specific landscape map. Within our study area, forest capable of sustaining Ateles fusciceps covers 5872 km(2), of which 2172 km(2) (40%) is protected. Unprotected forest considered suitable for Ateles fusciceps extends to 3700 km(2) but within this only 989 km(2) (23%) is under low hunting pressure and likely to maintain healthy populations of Ateles fusciceps. To overcome problems of sampling at low primate density and in difficult mountain terrain we developed a field survey technique to determine presence and estimate abundance using acoustic sampling. For sites under low hunting pressure density of primates varied with altitude. Densities decreased from 7.49 individuals/km(2) at 332 masl to 0.9 individuals/km(2) at 1570 masl. Based on combining data sets in a gap analysis, we recommend conservation action focus on unprotected lowland forest to the south and west of the Cotacachi-Cayapas Ecological Reserve where hunting pressure is low and population densities of Ateles fusciceps are greatest.</t>
  </si>
  <si>
    <t>[Peck, Mika] Univ Sussex, Brighton BN1 9QJ, E Sussex, England; [Thorn, James; Baird, Abigail] Oxford Brookes Univ, Nocturnal Primate Res Grp, Sch Social Sci &amp; Law, Oxford OX3 0BP, England; [Mariscal, Ana] Herbario Nacl Ecuador QCNE, Corp Bot Ecuadendron, Quito, Ecuador; [Tirira, Diego] Fdn Mamiferos &amp; Conservac, Conocoto, Quito, Ecuador; [Kniveton, Dominic] Univ Sussex, Dept Geog, Brighton BN1 9QJ, E Sussex, England</t>
  </si>
  <si>
    <t>University of Sussex; Oxford Brookes University; University of Sussex</t>
  </si>
  <si>
    <t>Peck, M (corresponding author), Univ Sussex, JMS Bldg, Brighton BN1 9QJ, E Sussex, England.</t>
  </si>
  <si>
    <t>m.r.peck@sussex.ac.uk</t>
  </si>
  <si>
    <t>Peck, Mika/I-3317-2012; Tirira, Diego/E-3617-2018</t>
  </si>
  <si>
    <t>Peck, Mika/0000-0003-0461-0001; kniveton, dominic/0000-0002-8643-4277; Tirira, Diego/0000-0002-5344-6175</t>
  </si>
  <si>
    <t>10.1007/s10764-010-9445-z</t>
  </si>
  <si>
    <t>712KV</t>
  </si>
  <si>
    <t>WOS:000286666500008</t>
  </si>
  <si>
    <t>Leprieur, F; Beauchard, O; Blanchet, S; Oberdorff, T; Brosse, S</t>
  </si>
  <si>
    <t>Leprieur, Fabien; Beauchard, Olivier; Blanchet, Simon; Oberdorff, Thierry; Brosse, Sebastien</t>
  </si>
  <si>
    <t>Leprieur, Fabien/ABA-4433-2020; Blanchet, Simon/D-4850-2013; Brosse, Sebastien/AAC-4689-2019; Oberdorff, Thierry/I-3109-2016</t>
  </si>
  <si>
    <t>Blanchet, Simon/0000-0002-3843-589X; Brosse, Sebastien/0000-0002-3659-8177; Oberdorff, Thierry/0000-0001-7323-2599</t>
  </si>
  <si>
    <t>e322</t>
  </si>
  <si>
    <t>10.1371/journal.pbio.0060322</t>
  </si>
  <si>
    <t>386WQ</t>
  </si>
  <si>
    <t>WOS:000261913700029</t>
  </si>
  <si>
    <t>BIOLOGICAL INVASIONS; ENERGY AVAILABILITY; FRESH-WATER; SPECIES RICHNESS; HUMAN IMPACTS; ALIEN; BIODIVERSITY; PATTERNS; BIOGEOGRAPHY; DIVERSITY</t>
  </si>
  <si>
    <t>Because species invasions are a principal driver of the human- induced biodiversity crisis, the identification of the major determinants of global invasions is a prerequisite for adopting sound conservation policies. Three major hypotheses, which are not necessarily mutually exclusive, have been proposed to explain the establishment of non- native species: the '' human activity '' hypothesis, which argues that human activities facilitate the establishment of non- native species by disturbing natural landscapes and by increasing propagule pressure; the '' biotic resistance '' hypothesis, predicting that species- rich communities will readily impede the establishment of non- native species; and the '' biotic acceptance '' hypothesis, predicting that environmentally suitable habitats for native species are also suitable for non- native species. We tested these hypotheses and report here a global map of fish invasions ( i. e., the number of non- native fish species established per river basin) using an original worldwide dataset of freshwater fish occurrences, environmental variables, and human activity indicators for 1,055 river basins covering more than 80% of Earth's surface. First, we identified six major invasion hotspots where non- native species represent more than a quarter of the total number of species. According to the World Conservation Union, these areas are also characterised by the highest proportion of threatened fish species. Second, we show that the human activity indicators account for most of the global variation in non- native species richness, which is highly consistent with the '' human activity '' hypothesis. In contrast, our results do not provide support for either the '' biotic acceptance '' or the '' biotic resistance '' hypothesis. We show that the biogeography of fish invasions matches the geography of human impact at the global scale, which means that natural processes are blurred by human activities in driving fish invasions in the world's river systems. In view of our findings, we fear massive invasions in developing countries with a growing economy as already experienced in developed countries. Anticipating such potential biodiversity threats should therefore be a priority.</t>
  </si>
  <si>
    <t>[Leprieur, Fabien; Brosse, Sebastien] Univ Toulouse 3, Lab Evolut &amp; Diversite Biol, UMR 5174, CNRS, Toulouse, France; [Beauchard, Olivier] Univ Antwerp, Ecosyst Management Res Grp, Dept Biol, Fac Sci, Antwerp, Belgium; [Blanchet, Simon] Univ Laval, CIRSA, Dept Biol, Quebec City, PQ, Canada; [Oberdorff, Thierry] Antenne Museum Natl Hist Nat, UR1311, Inst Dev Res, Paris, France</t>
  </si>
  <si>
    <t>Universite de Toulouse; Universite Federale Toulouse Midi-Pyrenees (ComUE); Universite Toulouse III - Paul Sabatier; Ecole Nationale Formation Agronomique (ENSFEA); Centre National de la Recherche Scientifique (CNRS); CNRS - Institute of Ecology &amp; Environment (INEE); University of Antwerp; Laval University; Museum National d'Histoire Naturelle (MNHN); Institut de Recherche pour le Developpement (IRD)</t>
  </si>
  <si>
    <t>Leprieur, F (corresponding author), Univ Toulouse 3, Lab Evolut &amp; Diversite Biol, UMR 5174, CNRS, Toulouse, France.</t>
  </si>
  <si>
    <t>leprieur@cict.fr</t>
  </si>
  <si>
    <t>Oberdorff, Thierry/I-3109-2016; Blanchet, Simon/AAA-5871-2019; Brosse, Sebastien/AAC-4689-2019; Leprieur, Fabien/ABA-4433-2020</t>
  </si>
  <si>
    <t>Oberdorff, Thierry/0000-0001-7323-2599; Blanchet, Simon/0000-0002-3843-589X; Brosse, Sebastien/0000-0002-3659-8177;</t>
  </si>
  <si>
    <t>e28</t>
  </si>
  <si>
    <t>10.1371/journal.pbio.0060028</t>
  </si>
  <si>
    <t>287PG</t>
  </si>
  <si>
    <t>WOS:000254928400026</t>
  </si>
  <si>
    <t>Heinrich, S; Genov, T; Riquelme, MF; Hammond, PS</t>
  </si>
  <si>
    <t>Heinrich, Sonja; Genov, Tilen; Fuentes Riquelme, Marjorie; Hammond, Philip S.</t>
  </si>
  <si>
    <t>aquaculture; Cephalorhynchus eutropia; habitat use pattern; Lagenorhynchus australis; niche partitioning; predictive species distribution models</t>
  </si>
  <si>
    <t>MARINE PROTECTED AREAS; CEPHALORHYNCHUS-EUTROPIA; HARBOR PORPOISES; DISTRIBUTION MODELS; AUSTRALIAN SNUBFIN; KILLER WHALES; CONSERVATION; IMPACTS; SALMON; POPULATIONS</t>
  </si>
  <si>
    <t>Predictive species distribution models (SDMs) have become powerful tools to determine habitat use patterns of mobile marine predators and their spatial overlap with potentially impacting anthropogenic activities. This study used SDMs to investigate fine-scale habitat use patterns of two poorly known and broadly sympatric coastal delphinids, Chilean dolphins (Cephalorhynchus eutropia) and Peale's dolphins (Lagenorhynchus australis), and their spatial interactions with intense aquaculture farming activities in the Chiloe archipelago, southern Chile. A long-term dataset (2002-2012) of boat-based dolphin sightings and concurrently in situ collected environmental and anthropogenic variables was analysed using binomial Generalized Additive Models to investigate ecological drivers of each species' fine-scale distribution and to predict dolphin occurrence spatially. Chilean dolphins preferred shallow (&lt;30 m deep), turbid waters, close to shore (&lt;500 m) and river mouths which often placed them in sheltered bays and channels used intensively by shellfish farms. Peale's dolphins were also found in shallow waters but occurred over a wider range of conditions along more open or exposed coastlines. Both species had to navigate extensive salmon and shellfish farming sites to transit between areas of important habitat. Sightings and predicted occurrence maps showed a clear pattern of spatial habitat partitioning between species, which remained stable across the 11 year study period. The identification of important habitat for Chilean dolphins warrants the consideration of spatially explicit conservation measures to limit the potential effects of overlapping salmon and shellfish farming. The observed differences in ecological plasticity of the two sympatric species should be considered when evaluating and mitigating the effects of environmental change and ongoing anthropogenic pressures on their nearshore habitat. The estimated species-environment relationships could also be used to predict where dolphin habitat and anthropogenic activities are most likely to overlap in other parts of the species' ranges.</t>
  </si>
  <si>
    <t>[Heinrich, Sonja; Genov, Tilen; Hammond, Philip S.] Univ St Andrews, Sea Mammal Res Unit, St Andrews KY16 8LB, Fife, Scotland; [Fuentes Riquelme, Marjorie] Yaqu Pacha Chile, Santiago, Chile</t>
  </si>
  <si>
    <t>University of St Andrews</t>
  </si>
  <si>
    <t>Heinrich, S (corresponding author), Univ St Andrews, Sea Mammal Res Unit, St Andrews KY16 8LB, Fife, Scotland.</t>
  </si>
  <si>
    <t>sh52@st-andrews.ac.uk</t>
  </si>
  <si>
    <t>Hammond, Philip/0000-0002-2381-8302; Genov, Tilen/0000-0003-4814-8891; Heinrich, Sonja/0000-0003-4752-0348</t>
  </si>
  <si>
    <t>Organization for the Conservation of South American Aquatic Mammals - YAQU PACHA e.V.; Zoological Garden Nurnberg (Germany); European Association for Aquatic Mammals; World Association of Zoos and Aquariums; Slovene Human Resources Development and Scholarship Fund</t>
  </si>
  <si>
    <t>The authors declare that they have no conflict of interest. Field work and navigation were authorized by the Subsecretaria de Pesca, the Servicio Hidrografico y Oceanografico de la Armada and the Armada de Chile. The long-term project received core funding from the Organization for the Conservation of South American Aquatic Mammals - YAQU PACHA e.V., The Zoological Garden Nurnberg (Germany), the European Association for Aquatic Mammals and the World Association of Zoos and Aquariums. Logistic support and equipment loans were provided by the University of St Andrews (UK) and the Universidad Austral de Chile. T.G. was supported by a Master of Research scholarship from the Slovene Human Resources Development and Scholarship Fund. We thank all the field assistants for their help with data collection, Clint Blight for providing invaluable help with GIS, Mike Lonergan for offering statistical advice and Rene Swift for constructive discussions. We extend thanks to the reviewers for their constructive comments that improved the original manuscript.</t>
  </si>
  <si>
    <t>10.1002/aqc.3153</t>
  </si>
  <si>
    <t>IW5CV</t>
  </si>
  <si>
    <t>WOS:000484997200015</t>
  </si>
  <si>
    <t>Holon, F; Mouquet, N; Boissery, P; Bouchoucha, M; Delaruelle, G; Tribot, AS; Deter, J</t>
  </si>
  <si>
    <t>Holon, Florian; Mouquet, Nicolas; Boissery, Pierre; Bouchoucha, Marc; Delaruelle, Gwenaelle; Tribot, Anne-Sophie; Deter, Julie</t>
  </si>
  <si>
    <t>Fine-Scale Cartography of Human Impacts along French Mediterranean Coasts: A Relevant Map for the Management of Marine Ecosystems</t>
  </si>
  <si>
    <t>SEAGRASS POSIDONIA-OCEANICA; CORALLIGENOUS ASSEMBLAGES; BIODIVERSITY; SEA; ISLANDS</t>
  </si>
  <si>
    <t>Ecosystem services provided by oceans and seas support most human needs but are threatened by human activities. Despite existing maps illustrating human impacts on marine ecosystems, information remains either large-scale but rough and insufficient for stakeholders (1 km(2) grid, lack of data along the coast) or fine-scale but fragmentary and heterogeneous in methodology. The objectives of this study are to map and quantify the main pressures exerted on near-coast marine ecosystems, at a large spatial scale though in fine and relevant resolution for managers (one pixel = 20 x 20 m). It focuses on the French Mediterranean coast (1,700 km of coastline including Corsica) at a depth of 0 to 80 m. After completing and homogenizing data presently available under GIS on the bathymetry and anthropogenic pressures but also on the seabed nature and ecosystem vulnerability, we provide a fine modeling of the extent and impacts of 10 anthropogenic pressures on marine habitats. The considered pressures are man-made coastline, boat anchoring, aquaculture, urban effluents, industrial effluents, urbanization, agriculture, coastline erosion, coastal population and fishing. A 1: 10 000 continuous habitat map is provided considering 11 habitat classes. The marine bottom is mostly covered by three habitats: infralittoral soft bottom, Posidonia oceanica meadows and circalittoral soft bottom. Around two thirds of the bottoms are found within medium and medium high cumulative impact categories. Seagrass meadows are the most impacted habitats. The most important pressures (in area and intensity) are urbanization, coastal population, coastal erosion and man-made coastline. We also identified areas in need of a special management interest. This work should contribute to prioritize environmental needs, as well as enhance the development of indicators for the assessment of the ecological status of coastal systems. It could also help better apply and coordinate management measures at a relevant scale for biodiversity conservation.</t>
  </si>
  <si>
    <t>[Holon, Florian; Delaruelle, Gwenaelle; Tribot, Anne-Sophie; Deter, Julie] Andromede Oceanol, F-34280 Carnon, France; [Holon, Florian; Mouquet, Nicolas; Deter, Julie] Inst Sci Evolut ISEM, CNRS, IRD, UM,UMR 5554, F-34095 Montpellier 5, France; [Boissery, Pierre] Agence Eau Rhone Mediterranee Corse, Delegat Marseille, F-13001 Marseille, France; [Bouchoucha, Marc] Ctr Mediterranee, Lab Ifremer Environm Ressources Provence Azur Cro, F-83507 La Seyne Sur Mer, France</t>
  </si>
  <si>
    <t>Centre National de la Recherche Scientifique (CNRS); Institut de Recherche pour le Developpement (IRD); Universite de Montpellier; Ifremer</t>
  </si>
  <si>
    <t>Holon, F (corresponding author), Andromede Oceanol, 7 Pl Cassan, F-34280 Carnon, France.</t>
  </si>
  <si>
    <t>florian.holon@andromede-ocean.com</t>
  </si>
  <si>
    <t>Mouquet, Nicolas/AAL-1440-2021; TRIBOT, Anne-Sophie/X-4482-2019</t>
  </si>
  <si>
    <t>Mouquet, Nicolas/0000-0003-1840-6984; TRIBOT, Anne-Sophie/0000-0002-8194-5393</t>
  </si>
  <si>
    <t>Agence de l'Eau RMC; Andromede Oceanologie; LabEX CeMeb; CNRS; Ifremer; University of Montpellier</t>
  </si>
  <si>
    <t>Agence de l'Eau RMC; Andromede Oceanologie; LabEX CeMeb; CNRS(Centre National de la Recherche Scientifique (CNRS)); Ifremer; University of Montpellier</t>
  </si>
  <si>
    <t>This work was essentially funded by the Agence de l'Eau RMC (http://www.eaurmc.fr/) and Andromede Oceanologie (a commercial funder, http://www.andromede-ocean.com/). Florian Holon was supported by a PhD grant from LabEX CeMeb (http://www.labexcemeb.org/) and Andromede Oceanologie. Nicolas Mouquet was funded by CNRS (http://www.cnrs.fr/), Pierre Boissery by Agence de l'Eau RMC, Marc Bouchoucha by Ifremer (http://www.ifremer.fr/), Gwenaelle Delaruelle and Anne-Sophie Tribot by Andromede Oceanologie and Julie Deter by the University of Montpellier (http://www.umontpellier.fr/) and Andromede Oceanologie. The funders had no role in study design, data collection and analysis, decision to publish, or preparation of the manuscript. Andromede Oceanologie, a commercial funder, provided support in the form of salaries for authors (FH, GD, A-ST and JD), but did not have any additional role in the study design, data collection and analysis, decision to publish, or preparation of the manuscript. The specific roles of these authors are articulated in the author contributions section.</t>
  </si>
  <si>
    <t>AUG 12</t>
  </si>
  <si>
    <t>e0135473</t>
  </si>
  <si>
    <t>10.1371/journal.pone.0135473</t>
  </si>
  <si>
    <t>CO9JT</t>
  </si>
  <si>
    <t>WOS:000359492300121</t>
  </si>
  <si>
    <t>Songhurst, A; McClloch, G; Coulson, T</t>
  </si>
  <si>
    <t>Songhurst, Anna; McClloch, Graham; Coulson, Tim</t>
  </si>
  <si>
    <t>Botswana; elephant; human-elephant conflict; land use zones; Loxodonta africana; migration corridors; risk avoidance</t>
  </si>
  <si>
    <t>CROP-RAIDING ELEPHANTS; KIBALE NATIONAL-PARK; LOXODONTA-AFRICANA; COMMUNAL LANDS; FIELD TRIALS; CONFLICT; PATTERNS; CONSERVATION; POPULATION; MOVEMENTS</t>
  </si>
  <si>
    <t>Finding ways for people and wildlife to coexist requires affording both parties access to critical resources and space, but also a behavioural change by both to avoid conflict. We investigated pathway use in a population of free-ranging African elephants Loxodonta africana in the Okavango Panhandle, Botswana that share their range with humans in a multi-use, heterogeneous landscape. We used detailed ground surveys to identify and map elephant movement pathways, and mixed-effect models to explore factors influencing elephant numbers and movement behaviour on and around these pathways. We found deviation in pathway use among the elephant population, suggesting behavioural adaptations to avoid human-associated risk: avoiding pathways near settlements, particularly near larger settlements; avoiding pathways close to cultivated land; and adopting a safety-in-numbers strategy when moving through areas of human use. Our findings suggest there is opportunity to capitalize on risk avoidance by elephant populations, to minimize resource-use overlap and reduce conflict between humans and elephants. We discuss a strategy that involves ensuring appropriate protection of elephant pathways in land-use planning, using development- free buffer zones, combined with mitigation techniques along the interface with agricultural lands to increase risk levels and reinforce human-elephant interface boundaries. We recommend further examination of the use of landscape-level mitigation techniques that encourage elephants to use pathways away from human activity and help define spatial boundaries for management of human-elephant conflict in multi-use landscapes.</t>
  </si>
  <si>
    <t>[Songhurst, Anna; McClloch, Graham] Ecoexist Project, POB HA122HAK, Maun, Botswana; [Songhurst, Anna; Coulson, Tim] Univ Oxford, Dept Zool, Tinbergen Bldg,South Parks Rd, Oxford OX1 3PS, England</t>
  </si>
  <si>
    <t>Songhurst, A (corresponding author), Ecoexist Project, POB HA122HAK, Maun, Botswana.;Songhurst, A (corresponding author), Univ Oxford, Dept Zool, Tinbergen Bldg,South Parks Rd, Oxford OX1 3PS, England.</t>
  </si>
  <si>
    <t>anna.songhurst@hotmail.com</t>
  </si>
  <si>
    <t>Coulson, Tim/AAL-8148-2021</t>
  </si>
  <si>
    <t>Wildlife Conservation Society; Wilderness Wildlife Trust; ERC</t>
  </si>
  <si>
    <t>Wildlife Conservation Society; Wilderness Wildlife Trust; ERC(European Research Council (ERC))</t>
  </si>
  <si>
    <t>We thank the Botswana Ministry of Environment, Wildlife &amp; Tourism for granting permission for this research, and the Wildlife Conservation Society and Wilderness Wildlife Trust for providing funding. We also thank the ground surveying team. Tim Coulson acknowledges support from an ERC Advanced Grant, LEED.</t>
  </si>
  <si>
    <t>10.1017/S0030605315000344</t>
  </si>
  <si>
    <t>DW4IU</t>
  </si>
  <si>
    <t>WOS:000383607200022</t>
  </si>
  <si>
    <t>Jones, AG; Power, SA</t>
  </si>
  <si>
    <t>Jones, Alan G.; Power, Sally A.</t>
  </si>
  <si>
    <t>JOURNAL OF ECOLOGY</t>
  </si>
  <si>
    <t>bioindicators; Calluna; climate change; foliar N; P ratio; oxidized and reduced nitrogen; P limitation; phenol-oxidase; phosphomonoesterase; plant-soil (below-ground) interactions</t>
  </si>
  <si>
    <t>ATMOSPHERIC NITROGEN; CALLUNA-VULGARIS; FOLIAR NITROGEN; NUTRIENT LIMITATION; LITTER DECOMPOSITION; MICROBIAL BIOMASS; FOREST ECOSYSTEMS; ELEVATED NITROGEN; SPECIES RICHNESS; PLANT-GROWTH</t>
  </si>
  <si>
    <t>1. Plant communities that are adapted to low levels of nutrient availability are particularly sensitive to the effects of elevated nitrogen (N) deposition. Although site-level manipulation experiments have been used widely to examine the effects of N deposition on (semi-)natural ecosystems under controlled conditions, relatively few studies have investigated field-scale impacts of elevated ambient N deposition on native plant communities and ecosystems. 2. This study investigates the relationship between atmospheric N deposition, plant and soil nutrient status and microbial enzyme activities at 32 lowland heathland sites across the UK. Sites were chosen to cover a range of N deposition rates (13.3-30.8 kgN ha(-1) year(-1)), geographical areas and different geologies. 3. Significant relationships were found between rates of N deposition (total, reduced and oxidized) and concentrations of N and phosphorus (P) in Calluna shoots, litter and soil; relationships were generally stronger with total and reduced forms of N, compared with oxidized N. Litter and humus layers were deeper at sites receiving higher atmospheric N inputs, suggesting increased rates of soil carbon and N accumulation, despite higher levels of phenol-oxidase activity (implying faster rates of organic matter decomposition) at these sites. 4. The combination of elevated plant and soil P concentrations at sites receiving greater N inputs suggests strongly that N is increasing the availability and uptake rates of P, in addition to N. Furthermore, significant interactions between temperature and N deposition on indices relating to productivity and the turnover and uptake of nutrients highlight the influence of climate on ecosystem response to N deposition. 5. Synthesis: Field-scale evidence of changes in rates of nutrient cycling, organic matter accumulation and plant biochemistry suggests that ambient levels of N deposition are affecting the functioning of many heathland ecosystems and that the magnitude of these effects is also influenced by climate. Since such changes are known to be associated with reduced resistance to environmental stress and loss of plant diversity, current (and predicted future) levels of N deposition are likely to have important implications for the conservation and long-term sustainability of nutrient-poor ecosystems, particularly in the face of climate change.</t>
  </si>
  <si>
    <t>[Jones, Alan G.; Power, Sally A.] Imperial Coll London, Div Biol, Ascot SL5 7PY, Berks, England</t>
  </si>
  <si>
    <t>Power, SA (corresponding author), Imperial Coll London, Div Biol, Silwood Pk, Ascot SL5 7PY, Berks, England.</t>
  </si>
  <si>
    <t>s.power@imperial.ac.uk</t>
  </si>
  <si>
    <t>Power, Sally/I-2923-2012; Jones, Alan G/D-7883-2019</t>
  </si>
  <si>
    <t>Power, Sally/0000-0002-2723-8671; Jones, Alan G/0000-0003-3047-3338</t>
  </si>
  <si>
    <t>UK Department for Environment, Food and Rural Affairs; UKREATE [CPEA18]</t>
  </si>
  <si>
    <t>UK Department for Environment, Food and Rural Affairs(Department for Environment, Food &amp; Rural Affairs (DEFRA)); UKREATE</t>
  </si>
  <si>
    <t>The authors gratefully acknowledge the support and permission for site access given by the owners and managers of sites visited during this survey. We are also grateful to Ron Smith (CEH Edinburgh) for provision of modelled N deposition data for survey sites, to Dr Emma Green for guidance in analytical techniques, to Lindsay Seed for GIS support and, in particular, to Dr Ellen Fry for help and advice with statistical analysis and graphics. This project was funded by the UK Department for Environment, Food and Rural Affairs, as part of the UKREATE programme (contract number CPEA18).</t>
  </si>
  <si>
    <t>0022-0477</t>
  </si>
  <si>
    <t>1365-2745</t>
  </si>
  <si>
    <t>J ECOL</t>
  </si>
  <si>
    <t>J. Ecol.</t>
  </si>
  <si>
    <t>10.1111/j.1365-2745.2011.01911.x</t>
  </si>
  <si>
    <t>Plant Sciences; Ecology</t>
  </si>
  <si>
    <t>Plant Sciences; Environmental Sciences &amp; Ecology</t>
  </si>
  <si>
    <t>895MR</t>
  </si>
  <si>
    <t>WOS:000300500800004</t>
  </si>
  <si>
    <t>Silcock, JL; Fairfax, RJ; Fensham, RJ</t>
  </si>
  <si>
    <t>Silcock, J. L.; Fairfax, R. J.; Fensham, R. J.</t>
  </si>
  <si>
    <t>Australia; Browsing impacts; Extinction; Resprouting; Threatened species; Recruitment dynamics</t>
  </si>
  <si>
    <t>REGENERATION; AUSTRALIA; RABBITS; KANGAROOS; SURVIVAL; SHEEP; SURVIVORSHIP; RECRUITMENT; EXTINCTION; STRATEGIES</t>
  </si>
  <si>
    <t>Palatable shrubs and trees in rangelands are vulnerable to grazing impacts, with local extinctions and declines documented. However, population trends are difficult to detect due to longevity of individuals and poor understanding of regeneration. We investigated the demography and conservation status of the Grey Range fuchsia (Eremophila stenophylla Chinnock), a geographically restricted and palatable shrub endemic to south-west Queensland. We documented 28 populations over 30,400 km(2), with an estimated total population size of 17,000 individuals. Seedling recruitment is rare and seedlings were observed at six populations, all with low or intermittent grazing pressure. In contrast, vegetative recruits were recorded at 19 populations and comprised at least 28% of plants measured. Resprouting confers some resilience to individuals, although repeated browsing restricts plant growth, limiting flowering and fruiting. Consistently heavily grazed populations also contain fewer plants. Although Eremophila stenophylla is secure in numerous populations with low grazing pressure, it qualifies as Vulnerable under IUCN Red List criteria due to past and ongoing decline at more than half of its populations. Grazing relief is necessary to ensure the long-term persistence of these populations. We predict that similar trajectories apply to other semi-arid shrubs, and research is required to inform grazing management to avert local extinctions.</t>
  </si>
  <si>
    <t>[Silcock, J. L.; Fensham, R. J.] Univ Queensland, Natl Environm Sci Program Threatened Species Reco, Ctr Biodivers &amp; Conservat Sci, St Lucia, Qld 4072, Australia; [Fairfax, R. J.] Univ Queensland, Sch Earth &amp; Environm Sci, St Lucia, Qld 4072, Australia; [Fensham, R. J.] Brisbane Bot Gardens, Queensland Herbarium, Dept Sci Informat Technol Innovat &amp; Arts, Mt Coot Tha Rd, Toowong, Qld 4066, Australia</t>
  </si>
  <si>
    <t>University of Queensland; University of Queensland</t>
  </si>
  <si>
    <t>Silcock, JL (corresponding author), Univ Queensland, Natl Environm Sci Program Threatened Species Reco, Ctr Biodivers &amp; Conservat Sci, St Lucia, Qld 4072, Australia.</t>
  </si>
  <si>
    <t>j.silcock@uq.edu.au</t>
  </si>
  <si>
    <t>Fensham, Roderick/0000-0003-3658-5867</t>
  </si>
  <si>
    <t>National Environmental Science Program under the Threatened Species Recovery Hub</t>
  </si>
  <si>
    <t>We thank landholders for access and hospitality. Rosie Kerr and Tracy Wattz located additional populations of the species on Idalia and Werewilka. This work was funded by the National Environmental Science Program under the Threatened Species Recovery Hub.</t>
  </si>
  <si>
    <t>10.1016/j.jaridenv.2019.01.006</t>
  </si>
  <si>
    <t>HM1TQ</t>
  </si>
  <si>
    <t>WOS:000459236300001</t>
  </si>
  <si>
    <t>Dimitrakopoulos, PG; Koukoulas, S; Galanidis, A; Delipetrou, P; Gounaridis, D; Touloumi, K; Arianoutsou, M</t>
  </si>
  <si>
    <t>Dimitrakopoulos, Panayiotis G.; Koukoulas, Sotirios; Galanidis, Alexandros; Delipetrou, Pinelopi; Gounaridis, Dimitris; Touloumi, Korina; Arianoutsou, Margarita</t>
  </si>
  <si>
    <t>Biological invasions; Boosted generalised additive models; Environmental and human factors; Native species; Protected areas; Regional scale</t>
  </si>
  <si>
    <t>TERM INVASIBILITY PATTERNS; PROTECTED AREAS; BIOLOGICAL INVASIONS; VARIABLE SELECTION; SCALE DEPENDENCE; HUMAN-POPULATION; DIVERSITY; MANAGEMENT; RESISTANCE; ELEVATION</t>
  </si>
  <si>
    <t>This paper aims to determine the main factors that shape the spatial patterns of alien plant species occurrence across Natura 2000 Special Areas of Conservation (SACs) in Greece, and quantify their influence. A series of spatial analysis techniques for the development of a spatial database of the factors involved, followed by a boosted negative binomial Generalised Additive Model for location scale and shape, were implemented. Native plant species richness, topography and hydrography, human population density, and a spatial preference to the northern western sites are the key factors that explain the variation in the occurrence of alien plant species. Native plant species richness and human population density have a positive effect on alien plant species presence, while topography aspects, such as elevation and slope, and the distance from the hydrographical network a negative one. All factors are indirectly linked to propagule pressure emphasizing the importance of human activities for the efforts on managing protected areas. (C) 2017 Elsevier B. V. All rights reserved.</t>
  </si>
  <si>
    <t>[Dimitrakopoulos, Panayiotis G.; Galanidis, Alexandros] Univ Aegean, Dept Environm, Biodivers Conservat Lab, Mitilini 81100, Lesbos, Greece; [Koukoulas, Sotirios; Gounaridis, Dimitris; Touloumi, Korina] Univ Aegean, Dept Geog, Mitilini 81100, Lesbos, Greece; [Delipetrou, Pinelopi] Natl &amp; Kapodistrian Univ Athens, Fac Biol, Dept Bot, Athens 15784, Greece; [Arianoutsou, Margarita] Natl &amp; Kapodistrian Univ Athens, Fac Biol, Dept Systemat &amp; Ecol, Athens 15784, Greece</t>
  </si>
  <si>
    <t>University of Aegean; University of Aegean; National &amp; Kapodistrian University of Athens; National &amp; Kapodistrian University of Athens</t>
  </si>
  <si>
    <t>Dimitrakopoulos, PG (corresponding author), Univ Aegean, Dept Environm, Biodivers Conservat Lab, Mitilini 81100, Lesbos, Greece.</t>
  </si>
  <si>
    <t>pdimi@env.aegean.gr</t>
  </si>
  <si>
    <t>Galanidis, Alexanos/H-1231-2013; Gounaridis, Dimitrios/V-1789-2017; Dimitrakopoulos, Panayiotis/AAB-1182-2022; Koukoulas, Sotirios/H-6480-2011; ARIANOUTSOU, MARGARITA/ABA-1614-2021</t>
  </si>
  <si>
    <t>Galanidis, Alexanos/0000-0002-3761-5637; Gounaridis, Dimitrios/0000-0003-3145-7284; Dimitrakopoulos, Panayiotis/0000-0002-8374-4392; Koukoulas, Sotirios/0000-0002-2647-9078; ARIANOUTSOU, MARGARITA/0000-0002-6743-9240</t>
  </si>
  <si>
    <t>10.1016/j.scitotenv.2017.05.220</t>
  </si>
  <si>
    <t>FB7BA</t>
  </si>
  <si>
    <t>WOS:000406294900047</t>
  </si>
  <si>
    <t>Mirrasooli, E; Ghorbani, R; Gorgin, S; Aghilinejhad, SM; Jalali, A</t>
  </si>
  <si>
    <t>Mirrasooli, Elham; Ghorbani, Rasoul; Gorgin, Saeid; Aghilinejhad, Seyed Mostafa; Jalali, Ali</t>
  </si>
  <si>
    <t>Endangered sturgeons; Illegal fishing; Conservation policy; Fisher participation; Spatial modelling; Caspian Sea</t>
  </si>
  <si>
    <t>ADULT ATLANTIC STURGEON; DIVERSITY; PATTERNS; DISTRIBUTIONS; MANAGEMENT; DRIVERS; HARVEST; MARKET; FUTURE; TRADE</t>
  </si>
  <si>
    <t>Multiple anthropogenic threats including excessive and illegal exploitations threaten marine biodiversity and sustainability across the globe. Sturgeons of the Caspian Sea are exposed to the extinction risk mainly due to the severe impacts by illegal fishing activities for caviar. Here we aimed to identify geospatial determinants contributing to illegal sturgeon fishing throughout the southern Caspian Sea, and to evaluate the role of geography, demography and awareness on fisher attitudes toward sturgeon conservation through the analysis of field- and questionnaire-based survey data from 501 fishers. Generalized additive model showed the associations between the occurrence of illegal fishing and geospatial variables indicating that illegal fishing was more concentrated on deeper and more distant fishing grounds. The map of areas under fishing pressure illustrated that fishers target a broad fishing grounds with spatial variability in targeted boundaries across the sea due to the geographic and ecological variations such as the slope of the continental shelf. By using structural equation modelling/path analysis, it was found that demographic (middle-age adults with higher literacy) and geographic variables (residence location and fishing zone) as well as awareness were positively associated with fisher attitudes toward sturgeon protection whilst conservation attitudes were less positive among illegal fishing communities. These findings improve our understanding of illegal sturgeon fishing, and given the role of fishers' behavior, awareness and attitude in the occurrence of illegal fishing, involving local communities in the decision making and enforcement processes can assist policy makers and managers in preventing this serious problem.</t>
  </si>
  <si>
    <t>[Mirrasooli, Elham; Ghorbani, Rasoul; Gorgin, Saeid; Jalali, Ali] Gorgon Univ Agr Sci &amp; Nat Resources, Fac Fisheries &amp; Environm Sci, Gorgon, Iran; [Aghilinejhad, Seyed Mostafa] Sturg Affairs Management Golestan Prov, Gorgon, Iran; [Jalali, Ali] Deakin Univ, Fac Sci Engn &amp; Built Environm, Sch Life &amp; Environm Sci, Warrnambool, Vic 3280, Australia</t>
  </si>
  <si>
    <t>Gorgan University of Agricultural Sciences &amp; Natural Resources; Deakin University</t>
  </si>
  <si>
    <t>Ghorbani, R (corresponding author), Gorgon Univ Agr Sci &amp; Nat Resources, Fac Fisheries &amp; Environm Sci, Gorgon, Iran.</t>
  </si>
  <si>
    <t>r-ghorbani@gau.ac.ir</t>
  </si>
  <si>
    <t>Gorgin, S./AAJ-3816-2021</t>
  </si>
  <si>
    <t>Gorgan University of Agricultural Sciences and Natural Resources [9621074107]</t>
  </si>
  <si>
    <t>Gorgan University of Agricultural Sciences and Natural Resources(University of Khuzestan Iran)</t>
  </si>
  <si>
    <t>We wish to thank Sturgeon Affairs Management of Guilan, Mazandaran and Golestan provinces, all fishers and colleagues for their support in data collection and access to fishing areas. The project was supported by a postgraduate research grant (No. 9621074107) from Gorgan University of Agricultural Sciences and Natural Resources awarded to the first author.</t>
  </si>
  <si>
    <t>10.1016/j.marpol.2018.11.028</t>
  </si>
  <si>
    <t>HL4QK</t>
  </si>
  <si>
    <t>WOS:000458708000012</t>
  </si>
  <si>
    <t>Sánchez-Mercado, A; Ferrer-Paris, JR; Yerena, E; Garcia-Rangel, S; Rodriguez-Clark, KM</t>
  </si>
  <si>
    <t>Sanchez-Mercado, Ada; Ferrer-Paris, Jose R.; Yerena, Edgard; Garcia-Rangel, Shaenandhoa; Rodriguez-Clark, Kathryn M.</t>
  </si>
  <si>
    <t>Andean bear; human-wildlife conflict; poaching; protected areas; spatial autocorrelation; Tremarctos ornatus; Venezuela</t>
  </si>
  <si>
    <t>SPECIES DISTRIBUTIONS; CONSERVATION; CONFLICTS; LIVESTOCK; ECOSYSTEM</t>
  </si>
  <si>
    <t>Worldwide, many, large mammals are threatened by poaching. However, understanding the causes of poaching is difficult when both hunter and hunted are elusive. One alternative is to apply regression models to opportunistically-collected data but doing so without accounting for inherent biases may result in misleading conclusions. To demonstrate a straightforward method to account for Such biases, and to guide further research on an elusive Vulnerable species, we visualized spatio-temporal poaching patterns in 844 Andean bear Tremarctos ornatus presence reports from the Cordillera de Merida, Venezuela. To create maps of poaching risk we fitted two logistic regression models to a Subset of 287 precisely georeferenced reports, one ignoring and one including spatial autocorrelation. Whereas the variance explained by both model., was low, the second had better fit and predictive ability, and indicated that protected status had a significant positive effect on reducing poaching risk. Poaching risk increased at lower altitudes, where all indicators of human disturbance increased, although there was scant evidence that human-bear conflicts are a major direct trigger of poaching events. Because highest-risk areas Were different from areas with most bear report:3, we speculate that hunting may be driven by opportunistic encounters, rather than by purposeful searches in high-quality bear habitat. Further research comparing risk maps with bear abundance models and data on poaching behaviour will be invaluable for clarifying poaching causes and for identifying management strategies.</t>
  </si>
  <si>
    <t>[Sanchez-Mercado, Ada; Rodriguez-Clark, Kathryn M.] Inst Venezolano Invest Cient, Ctr Ecol, Lab Ecol &amp; Genet Poblac, Caracas 1020A, Venezuela; [Ferrer-Paris, Jose R.] IVIC, Ctr Ecol, Lab Biol Organ, Caracas, Venezuela; [Yerena, Edgard] Univ Simon Bolivar, Dept Estudios Ambientales, Caracas, Venezuela; [Garcia-Rangel, Shaenandhoa] Univ Cambridge, Sch Anat, Wildlife Res Grp, Cambridge CB2 3DY, England</t>
  </si>
  <si>
    <t>Venezuelan Institute Science Research; Venezuelan Institute Science Research; Simon Bolivar University; University of Cambridge</t>
  </si>
  <si>
    <t>Rodriguez-Clark, KM (corresponding author), Inst Venezolano Invest Cient, Ctr Ecol, Lab Ecol &amp; Genet Poblac, Apartado 20632, Caracas 1020A, Venezuela.</t>
  </si>
  <si>
    <t>kmrc@ivic.ve</t>
  </si>
  <si>
    <t>Sánchez-Mercado, Ada/AAL-4235-2021; Ferrer-Paris, José R/M-3785-2015</t>
  </si>
  <si>
    <t>Sánchez-Mercado, Ada/0000-0001-5030-2128; Ferrer-Paris, José R/0000-0002-9554-3395; Roiguez-Clark, Kathryn/0000-0002-1356-9998</t>
  </si>
  <si>
    <t>Instituto Venezolano de Investigaciones Cientificas (IVIC); Iniciativa de Especies Amenazadas of Provita; Venezuelan Fondo Nacional de Ciencia; Tecnologia, e Investigacion, Idea Wild; International Bear Association; Cleveland Metroparks Zoo; Rufford Small Grants for Nature Conservation; Denver Zoological Foundation; Pittsburgh Zoo and PGG Aquarium, Fundacion Gran Mariscal de Ayacucho; National Parks Institute; Centro de Ecologia of IVIC; Laboratorio de Manejo y Conservacion de Fauna Silvestre of Universidad Simon Bolivar; Fundacion AndigenA and EcoVida; FUDENA; Fundacion AndigenA</t>
  </si>
  <si>
    <t>Funds for this study were provided by the Instituto Venezolano de Investigaciones Cientificas (IVIC), the Iniciativa. de Especies Amenazadas of Provita, the Venezuelan Fondo Nacional de Ciencia, Tecnologia, e Investigacion, Idea Wild, the International Bear Association, the Scott Neotropical Fund of the Cleveland Metroparks Zoo, the Rufford Small Grants for Nature Conservation, the Denver Zoological Foundation, the Pittsburgh Zoo and PGG Aquarium, Fundacion Gran Mariscal de Ayacucho, the National Parks Institute, and FLmdacion parala Defensa de la Naturaleza (FUDENA). We are grateful for assistance in the field from Alfredo Freitez Sonchez, Francisco Daza Russo, Eugenio Gusman Porez, Henrry S nchez, Marcial Quiroga, Anna Veit, Dorangel Nufiez, and the Pacheco, Matells-Leal, Freitez-Sonchez, Montilla and Saavedra families, as well as from Frecopal, the junta Ambientalista de Ospino, the Guardiantes de Terepaima, the Frente Ecologico de CLibiro, the Parque Zoologico y Botanico Bararida, and the Guardaparques Universitaricis. We also thank the National Parks Institute for guidance during field work, R. Lazo for help constructing our geographical information system, G. Barreto, D. Chivers and D. Augeri for sage advice, the EcoSIG of the Centro de Ecologia of IVIC, and the Laboratorio de Manejo y Conservacion de Fauna Silvestre of Universidad Simon Bolivar for use of their facilities and software, Fundacion AndigenA and EcoVida for their presence data, 1. Herrera, G. Canale, and two anonymous reviewers for useful comments on the manuscript, and FUDENA and Fundacion AndigenA for their support.</t>
  </si>
  <si>
    <t>10.1017/S0030605308006996</t>
  </si>
  <si>
    <t>343OB</t>
  </si>
  <si>
    <t>WOS:000258862300022</t>
  </si>
  <si>
    <t>Ahmadi, M; Hemami, MR; Kaboli, M; Malekian, M; Zimmermann, NE</t>
  </si>
  <si>
    <t>Ahmadi, Mohsen; Hemami, Mahmoud-Reza; Kaboli, Mohammad; Malekian, Mansoureh; Zimmermann, Niklaus E.</t>
  </si>
  <si>
    <t>RANGE SHIFTS; DISTRIBUTION MODELS; NICHE CONSERVATISM; CHANGE PROJECTIONS; HABITAT LOSS; FUTURE; DIVERSIFICATION; CONNECTIVITY; DISPERSAL; VULNERABILITY</t>
  </si>
  <si>
    <t>Climate change is among the most important drivers of biodiversity decline through shift or shrinkage in suitable habitat of species. Mountain vipers of the genus Montivipera are under extreme risk from climate changes given their evolutionary history and geographic distribution. In this study, we divided all Montivipera species into three phylogenetic-geographic Montivipera clades (PGMC; Bornmuelleri, Raddei and Xanthina) and applied an ensemble ecological niche modelling (ENM) approach under different climatic scenarios to assess changes in projected suitable habitats of these species. Based on the predicted range losses, we assessed the projected extinction risk of the species relative to IUCN Red List Criteria. Our result revealed a strong decline in suitable habitats for all PGMCs (63.8%, 79.3% and 96.8% for Xanthina, Raddei and Bornmuelleri, respectively, by 2070 and under 8.5 RCP scenario) with patterns of altitudinal range shifts in response to projected climate change. We found that the mountains close to the Mediterranean Sea are exposed to the highest threats in the future (84.6 +/- 9.1 percent range loss). We also revealed that disjunct populations of Montivipera will be additionally highly isolated and fragmented in the future. We argue that leveraging climate niche projections into the risk assessment provides the opportunity to implement IUCN criteria and better assess forthcoming extinction risks of species.</t>
  </si>
  <si>
    <t>[Ahmadi, Mohsen; Hemami, Mahmoud-Reza; Malekian, Mansoureh] Isfahan Univ Technol, Dept Nat Resources, Esfahan 8415683111, Iran; [Kaboli, Mohammad] Univ Tehran, Fac Nat Resources, Dept Environm Sci, Karaj, Iran; [Zimmermann, Niklaus E.] Swiss Fed Res Inst WSL, CH-8903 Birmensdorf, Switzerland</t>
  </si>
  <si>
    <t>Isfahan University of Technology; University of Tehran; Swiss Federal Institutes of Technology Domain; Swiss Federal Institute for Forest, Snow &amp; Landscape Research</t>
  </si>
  <si>
    <t>Hemami, Mahmoud-Reza/AFM-0224-2022; Ahmadi, Mohsen/AAW-7357-2021; Malekian, Mansoureh/AAW-3742-2021; Zimmermann, Niklaus/A-4276-2008</t>
  </si>
  <si>
    <t>Ahmadi, Mohsen/0000-0002-9657-699X; Hemami, Mahmoud-Reza/0000-0002-8321-6776; Zimmermann, Niklaus/0000-0003-3099-9604</t>
  </si>
  <si>
    <t>APR 19</t>
  </si>
  <si>
    <t>10.1038/s41598-019-42792-9</t>
  </si>
  <si>
    <t>HU1AR</t>
  </si>
  <si>
    <t>WOS:000465004600022</t>
  </si>
  <si>
    <t>Dulvy, NK; Fowler, SL; Musick, JA; Cavanagh, RD; Kyne, PM; Harrison, LR; Carlson, JK; Davidson, LNK; Fordham, SV; Francis, MP; Pollock, CM; Simpfendorfer, CA; Burgess, GH; Carpenter, KE; Compagno, LJV; Ebert, DA; Gibson, C; Heupel, MR; Livingstone, SR; Sanciangco, JC; Stevens, JD; Valenti, S; White, WT</t>
  </si>
  <si>
    <t>Dulvy, Nicholas K.; Fowler, Sarah L.; Musick, John A.; Cavanagh, Rachel D.; Kyne, Peter M.; Harrison, Lucy R.; Carlson, John K.; Davidson, Lindsay N. K.; Fordham, Sonja V.; Francis, Malcolm P.; Pollock, Caroline M.; Simpfendorfer, Colin A.; Burgess, George H.; Carpenter, Kent E.; Compagno, Leonard J. V.; Ebert, David A.; Gibson, Claudine; Heupel, Michelle R.; Livingstone, Suzanne R.; Sanciangco, Jonnell C.; Stevens, John D.; Valenti, Sarah; White, William T.</t>
  </si>
  <si>
    <t>ELIFE</t>
  </si>
  <si>
    <t>LIFE-HISTORY; PELAGIC SHARKS; CLIMATE-CHANGE; FISHES; RECOVERY; VULNERABILITY; POPULATIONS; ATLANTIC; CATCHES; TRENDS</t>
  </si>
  <si>
    <t>The rapid expansion of human activities threatens ocean-wide biodiversity. Numerous marine animal populations have declined, yet it remains unclear whether these trends are symptomatic of a chronic accumulation of global marine extinction risk. We present the first systematic analysis of threat for a globally distributed lineage of 1,041 chondrichthyan fishes-sharks, rays, and chimaeras. We estimate that one-quarter are threatened according to IUCN Red List criteria due to overfishing (targeted and incidental). Large-bodied, shallow-water species are at greatest risk and five out of the seven most threatened families are rays. Overall chondrichthyan extinction risk is substantially higher than for most other vertebrates, and only one-third of species are considered safe. Population depletion has occurred throughout the world's ice-free waters, but is particularly prevalent in the Indo-Pacific Biodiversity Triangle and Mediterranean Sea. Improved management of fisheries and trade is urgently needed to avoid extinctions and promote population recovery.</t>
  </si>
  <si>
    <t>[Dulvy, Nicholas K.; Harrison, Lucy R.; Davidson, Lindsay N. K.] Simon Fraser Univ, Dept Biol Sci, IUCN Species Survival Commiss Shark Specialist Gr, Burnaby, BC V5A 1S6, Canada; [Dulvy, Nicholas K.; Harrison, Lucy R.; Davidson, Lindsay N. K.] Simon Fraser Univ, Dept Biol Sci, Earth Ocean Res Grp, Burnaby, BC V5A 1S6, Canada; [Fowler, Sarah L.; Valenti, Sarah] NatureBureau Int, IUCN Species Survival Commiss Shark Specialist Gr, Newbury, Berks, England; [Musick, John A.] Virginia Inst Marine Sci, Coll William &amp; Mary, Gloucester Point, VA 23062 USA; [Cavanagh, Rachel D.] British Antarctic Survey, Nat Environm Res Council, Cambridge CB3 0ET, England; [Kyne, Peter M.] Charles Darwin Univ, Res Inst Environm &amp; Livelihoods, Darwin, NT 0909, Australia; [Carlson, John K.] NOAA, Southeast Fisheries Sci Ctr, Natl Marine Fisheries Serv, Panama City, FL USA; [Fordham, Sonja V.] Ocean Fdn, Shark Advocates Int, Washington, DC USA; [Francis, Malcolm P.] Natl Inst Water &amp; Atmospher Res, Wellington, New Zealand; [Pollock, Caroline M.] Int Union Conservat Nat, Global Species Programme, Cambridge, England; [Simpfendorfer, Colin A.] James Cook Univ, Ctr Sustainable Trop Fisheries &amp; Aquaculture, Townsville, Qld 4811, Australia; [Simpfendorfer, Colin A.] James Cook Univ, Sch Earth &amp; Environm Sci, Townsville, Qld 4811, Australia; [Burgess, George H.] Univ Florida, Florida Museum Nat Hist, Florida Program Shark Res, Gainesville, FL USA; [Carpenter, Kent E.; Sanciangco, Jonnell C.] Old Dominion Univ, IUCN Species Programme Species Survival Commiss, Norfolk, VA USA; [Carpenter, Kent E.; Sanciangco, Jonnell C.] Old Dominion Univ, Conservat Int Global Marine Species Assessment, Norfolk, VA USA; [Compagno, Leonard J. V.] S African Museum, Shark Res Ctr, ZA-8000 Cape Town, South Africa; [Ebert, David A.] Moss Landing Marine Labs, Pacific Shark Res Ctr, Moss Landing, CA 95039 USA; [Heupel, Michelle R.] Australian Inst Marine Sci, Sch Earth &amp; Environm Sci, Townsville, Qld 4810, Australia; [Livingstone, Suzanne R.] Conservat Int, IUCN Species Programme, Biodivers Assessment Unit, Arlington, VA USA; [Sanciangco, Jonnell C.; White, William T.] CSIRO, Hobart, Tas, Australia</t>
  </si>
  <si>
    <t>Simon Fraser University; Simon Fraser University; William &amp; Mary; Virginia Institute of Marine Science; UK Research &amp; Innovation (UKRI); Natural Environment Research Council (NERC); NERC British Antarctic Survey; Charles Darwin University; National Oceanic Atmospheric Admin (NOAA) - USA; Earth Sciences New Zealand; National Institute of Water &amp; Atmospheric Research (NIWA) - New Zealand; James Cook University; James Cook University; State University System of Florida; University of Florida; Old Dominion University; Old Dominion University; Moss Landing Marine Laboratories; Australian Institute of Marine Science; Conservation International; Commonwealth Scientific &amp; Industrial Research Organisation (CSIRO)</t>
  </si>
  <si>
    <t>Dulvy, NK (corresponding author), Simon Fraser Univ, Dept Biol Sci, IUCN Species Survival Commiss Shark Specialist Gr, Burnaby, BC V5A 1S6, Canada.</t>
  </si>
  <si>
    <t>dulvy@sfu.ca</t>
  </si>
  <si>
    <t>Simpfendorfer, Colin/G-9681-2011; Harrison, Lucy/F-9494-2011; Grewe, Peter/P-1515-2015; White, William/B-9748-2009; Dulvy, Nicholas/I-2895-2012</t>
  </si>
  <si>
    <t>Sanciangco, Jonnell Cueto/0000-0001-8268-3180; Davidson, Lindsay NK/0000-0002-8899-5537; Cavanagh, Rachel/0000-0002-2474-9716; Heupel, Michelle/0000-0002-8245-7332; White, William/0000-0001-9705-2453; Dulvy, Nicholas/0000-0002-4295-9725</t>
  </si>
  <si>
    <t>Conservation International; Packard Foundation; Save Our Seas Foundation; UK Department of Environment and Rural Affairs; US State Department; Sarah L Fowler US Department of Commerce; Marine Conservation Biology Institute; Pew Marine Fellows Program; Mohamed bin Zayed Species Conservation Foundation; Zoological Society of London; Canada Research Chairs Program; Natural Environment Research Council, Canada; Tom Haas and the New Hampshire Charitable Foundation; Oak Foundation; Future of Marine Animal Populations, Census of Marine Life; IUCN Centre for Mediterranean Cooperatio; UK Joint Nature Conservation Committee; National Marine Aquarium, Plymouth UK; New England Aquarium Marine Conservation Fund; UK Sarah L Fowler Chester Zoo; Ocean Program Sarah L Fowler WildCRU; Wildlife Conservation Research Unit, University of Oxford; UK Sarah L Fowler Institute for Ocean Conservation Science, University of Miami Sarah L Fowler; Flying Sharks; NERC [bas0100025] Funding Source: UKRI; Natural Environment Research Council [bas0100025] Funding Source: researchfish</t>
  </si>
  <si>
    <t>Conservation International; Packard Foundation(The David &amp; Lucile Packard Foundation); Save Our Seas Foundation; UK Department of Environment and Rural Affairs; US State Department; Sarah L Fowler US Department of Commerce; Marine Conservation Biology Institute; Pew Marine Fellows Program; Mohamed bin Zayed Species Conservation Foundation; Zoological Society of London; Canada Research Chairs Program(Canada Research Chairs); Natural Environment Research Council, Canada; Tom Haas and the New Hampshire Charitable Foundation; Oak Foundation; Future of Marine Animal Populations, Census of Marine Life; IUCN Centre for Mediterranean Cooperatio; UK Joint Nature Conservation Committee; National Marine Aquarium, Plymouth UK; New England Aquarium Marine Conservation Fund; UK Sarah L Fowler Chester Zoo; Ocean Program Sarah L Fowler WildCRU; Wildlife Conservation Research Unit, University of Oxford; UK Sarah L Fowler Institute for Ocean Conservation Science, University of Miami Sarah L Fowler; Flying Sharks; NERC(UK Research &amp; Innovation (UKRI)Natural Environment Research Council (NERC)); Natural Environment Research Council(UK Research &amp; Innovation (UKRI)Natural Environment Research Council (NERC))</t>
  </si>
  <si>
    <t>Conservation International Sarah L FowlerPackard Foundation Sarah L FowlerSave Our Seas Foundation Nicholas K DulvyUK Department of Environment and Rural Affairs Sarah L FowlerUS State Department Nicholas K Dulvy,Sarah L Fowler US Department of Commerce Nicholas K DulvyMarine Conservation Biology Institute Sarah L FowlerPew Marine Fellows Program Sarah L FowlerMohamed bin Zayed Species Conservation Foundation Nicholas K DulvyZoological Society of London Nicholas K DulvyCanada Research Chairs Program Nicholas K DulvyNatural Environment Research Council, Canada Nicholas K DulvyTom Haas and the New Hampshire Charitable Foundation Sarah L FowlerOak Foundation Sarah L FowlerFuture of Marine Animal Populations, Census of Marine Life Sarah L FowlerIUCN Centre for Mediterranean Cooperation Sarah L FowlerUK Joint Nature Conservation Committee Sarah L FowlerNational Marine Aquarium, Plymouth UK Sarah L FowlerNew England Aquarium Marine Conservation Fund Sarah L FowlerThe Deep, Hull, UK Sarah L Fowler Blue Planet Aquarium,UK Sarah L Fowler Chester Zoo,UK Nicholas K Dulvy, Sarah L Fowler LenfestOcean Program Sarah L Fowler WildCRU,Wildlife Conservation Research Unit, University of Oxford,UK Sarah L Fowler Institute for Ocean Conservation Science, University of Miami Sarah L FowlerFlying Sharks</t>
  </si>
  <si>
    <t>eLIFE SCIENCES PUBL LTD</t>
  </si>
  <si>
    <t>SHERATON HOUSE, CASTLE PARK, CAMBRIDGE, CB3 0AX, ENGLAND</t>
  </si>
  <si>
    <t>2050-084X</t>
  </si>
  <si>
    <t>JAN 21</t>
  </si>
  <si>
    <t>e00590</t>
  </si>
  <si>
    <t>10.7554/eLife.00590</t>
  </si>
  <si>
    <t>296GG</t>
  </si>
  <si>
    <t>WOS:000330172600001</t>
  </si>
  <si>
    <t>Araújo, MB; Nogués-Bravo, D; Reginster, I; Rounsevell, M; Whittaker, RJ</t>
  </si>
  <si>
    <t>Araujo, M. B.; Nogues-Bravo, D.; Reginster, I.; Rounsevell, M.; Whittaker, R. J.</t>
  </si>
  <si>
    <t>ENVIRONMENTAL SCIENCE &amp; POLICY</t>
  </si>
  <si>
    <t>anthropogenic pressure; biodiversity; climate change; conservation biogeography; complementarity; Europe; land-use change; reserve selection</t>
  </si>
  <si>
    <t>AGRICULTURAL LAND-USE; CLIMATE-CHANGE; SPECIES DISTRIBUTIONS; HUMAN-POPULATION; CONSERVATION CONFLICTS; BIOCLIMATIC ENVELOPE; POTENTIAL IMPACTS; RESERVE-SELECTION; EXTINCTION-RISK; COVER</t>
  </si>
  <si>
    <t>There is increasing evidence that areas with high concentrations of species tend to have high concentrations of human activities. would this tendency be altered with projected environmental changes? We investigate this possibility using the most extensive available dataset on species distributions in Europe, providing data for 3143 species. Observed land uses were utilised to generate three indicators of anthropogenic 'pressure' for 1971-2000: urbanisation, cropland and grassland use intensities. Storylines describing alternative development pathways were used to create four land-use scenarios for 2021-2050. Exposure of biodiversity to human activities was measured as changes in the degree of pressure recorded in hypothetical reserve networks selected to maximize the representation of plant, breeding bird, mammal, amphibian, and reptile species. In all socio-economic scenarios there was a tendency for increasing urbanisation and decreasing cropland intensities within selected conservation areas. Pressures arising from increasing grassland use were variable across scenarios and taxa. Our results challenge the idea that a single development strategy might provide reduced impacts in all regions and taxonomic groups. We show that impacts are likely to be complex and that tradeoffs might exist among development strategies. Nevertheless, results are contingent on the data, scale, and type of analyses conducted and further research is required to assess the impacts of alternative human-development scenarios. (c) 2007 Elsevier Ltd. All rights reserved.</t>
  </si>
  <si>
    <t>[Araujo, M. B.; Nogues-Bravo, D.] CSIC, Dept Biodivers &amp; Evolutionary Biol, Natl Museum Nat Sci, Madrid 28006, Spain; [Reginster, I.; Rounsevell, M.] Catholic Univ Louvain, Dept Geog, B-1348 Louvain, Belgium; [Whittaker, R. J.] Univ Oxford, Ctr Environm, Biodivers Res Grp, Oxford OX1 3QY, England</t>
  </si>
  <si>
    <t>Consejo Superior de Investigaciones Cientificas (CSIC); Universite Catholique Louvain; University of Oxford</t>
  </si>
  <si>
    <t>Araújo, MB (corresponding author), CSIC, Dept Biodivers &amp; Evolutionary Biol, Natl Museum Nat Sci, C Gutierrez Abascal 2, Madrid 28006, Spain.</t>
  </si>
  <si>
    <t>maraujo@mncn.csic.es</t>
  </si>
  <si>
    <t>Bastos Araújo, Miguel/B-6117-2008; Whittaker, Robert/H-1548-2015; Rounsevell, Mark/AAC-4498-2021</t>
  </si>
  <si>
    <t>Bastos Araújo, Miguel/0000-0002-5107-7265; Whittaker, Robert/0000-0001-7775-3383; Nogués-Bravo, David/0000-0002-4060-0153; Rounsevell, Mark/0000-0001-7476-9398</t>
  </si>
  <si>
    <t>1462-9011</t>
  </si>
  <si>
    <t>1873-6416</t>
  </si>
  <si>
    <t>ENVIRON SCI POLICY</t>
  </si>
  <si>
    <t>Environ. Sci. Policy</t>
  </si>
  <si>
    <t>10.1016/j.envsci.2007.07.002</t>
  </si>
  <si>
    <t>268ZG</t>
  </si>
  <si>
    <t>WOS:000253618600004</t>
  </si>
  <si>
    <t>Bradley, PM; Romanok, KM; Duncan, JR; Battaglin, WA; Clark, JM; Hladik, ML; Huffman, BJ; Iwanowicz, LR; Journey, CA; Smalling, KL</t>
  </si>
  <si>
    <t>Bradley, Paul M.; Romanok, Kristin M.; Duncan, Jeffrey R.; Battaglin, William A.; Clark, Jimmy M.; Hladik, Michelle L.; Huffman, Bradley J.; Iwanowicz, Luke R.; Journey, Celeste A.; Smalling, Kelly L.</t>
  </si>
  <si>
    <t>Designed bioactive contaminants; pesticides; pharmaceuticals; water quality; sediment quality</t>
  </si>
  <si>
    <t>THROUGHPUT SCREENING DATA; WASTE-WATER CONTAMINANTS; ADVERSE OUTCOME PATHWAYS; PERSONAL CARE PRODUCTS; RISK-ASSESSMENT; UNITED-STATES; ORGANOCHLORINE PESTICIDES; BIOACTIVE CONTAMINANTS; IN-VITRO; ENVIRONMENTAL SURVEILLANCE</t>
  </si>
  <si>
    <t>Globally, protected areas offer refugia for a broad range of taxa including threatened and endangered species. In the United States (US), the National Park Service (NPS) manages public lands to preserve biodiversity, but increasing park visitation and development of surrounding landscapes increase exposure to and effects from bioactive contaminants. The risk (exposure and hazard) to NPS protected-stream ecosystems within the highly urbanized southeast region (SER) from bioactive contaminants was assessed in five systems based on 334 pesticide and pharmaceutical analytes in water and 119 pesticides in sediment. Contaminant mixtures were common across all sampled systems, with approximately 24% of the unique analytes (80/334) detected at least once and 15% (49/334) detected in half of the surface-water samples. Pharmaceuticals were observed more frequently than pesticides, consistent with riparian buffers and concomitant spatial separation from non-point pesticide sources in four of the systems. To extrapolate exposure data to biological effects space, site-specific cumulative exposure-activity ratios (Sigma(EAR)) were calculated for detected surface-water contaminants with available ToxCast data; common exceedances of a 0.001 Sigma(EAR) effects-screening threshold raise concerns for molecular toxicity and possible, sub-lethal effects to non-target, aquatic vertebrates. The results illustrate the need for continued management of protected resources to reduce contaminant exposure and preserve habitat quality, including prioritization of conservation practices (riparian buffers) near stream corridors and increased engagement with upstream/up-gradient property owners and municipal wastewater facilities. Published by Elsevier B.V.</t>
  </si>
  <si>
    <t>[Bradley, Paul M.; Clark, Jimmy M.; Huffman, Bradley J.; Journey, Celeste A.] US Geol Survey, South Atlantic Water Sci Ctr, Columbia, SC 29210 USA; [Romanok, Kristin M.; Smalling, Kelly L.] US Geol Survey, New Jersey Water Sci Ctr, Lawrenceville, NJ USA; [Duncan, Jeffrey R.] Natl Pk Serv, Southeast Reg, Chattanooga, TN USA; [Battaglin, William A.] US Geol Survey, Colorado Water Sci Ctr, Box 25046, Denver, CO 80225 USA; [Hladik, Michelle L.] US Geol Survey, Calif Water Sci Ctr, Sacramento, CA USA; [Iwanowicz, Luke R.] US Geol Survey, Leetown Sci Ctr, Kearneysville, WV USA</t>
  </si>
  <si>
    <t>United States Department of the Interior; United States Geological Survey; United States Department of the Interior; United States Geological Survey; United States Department of the Interior; US National Park Service; United States Department of the Interior; United States Geological Survey; United States Department of the Interior; United States Geological Survey; United States Department of the Interior; United States Geological Survey</t>
  </si>
  <si>
    <t>Bradley, PM (corresponding author), US Geol Survey, South Atlantic Water Sci Ctr, Columbia, SC 29210 USA.</t>
  </si>
  <si>
    <t>pbradley@usgs.gov</t>
  </si>
  <si>
    <t>Iwanowicz, Luke/AAB-3247-2021; Smalling, Kelly/AGD-7567-2022; Bradley, Paul/AAC-2451-2020; Hladik, Michelle/JUV-2325-2023</t>
  </si>
  <si>
    <t>Iwanowicz, Luke/0000-0002-1197-6178; Battaglin, William/0000-0001-7287-7096; Smalling, Kelly/0000-0002-1214-4920; Bradley, Paul/0000-0001-7522-8606; Hladik, Michelle/0000-0002-0891-2712</t>
  </si>
  <si>
    <t>USGS Toxic Substances Hydrology Program; USGSNPS Water Quality Partnership Program</t>
  </si>
  <si>
    <t>USGS Toxic Substances Hydrology Program(United States Geological Survey); USGSNPS Water Quality Partnership Program</t>
  </si>
  <si>
    <t>The USGS Toxic Substances Hydrology Program and the USGSNPS Water Quality Partnership Program supported this research. The authors thank Lakyn Sanders of the USGS for assistance with in vitro bioassays and Anna McKee of the USGS and anonymous journal referees for their reviews. The use of trade, firm, or product names is for descriptive purposes only and does not imply endorsement by the U.S. Government. This report contains CAS Registry Numbers, which is a Registered Trademark of the American Chemical Society. CAS recommends the verification of the CASRNs through CAS Client ServicesSM.</t>
  </si>
  <si>
    <t>10.1016/j.scitotenv.2019.135431</t>
  </si>
  <si>
    <t>WOS:000504672800060</t>
  </si>
  <si>
    <t>Yu, T; Bao, AM; Xu, WQ; Guo, H; Jiang, LL; Zheng, GX; Yuan, Y; Nzabarinda, V</t>
  </si>
  <si>
    <t>Yu, Tao; Bao, Anming; Xu, Wenqiang; Guo, Hao; Jiang, Liangliang; Zheng, Guoxiong; Yuan, Ye; Nzabarinda, Vincent</t>
  </si>
  <si>
    <t>Exploring Variability in Landscape Ecological Risk and Quantifying Its Driving Factors in the Amu Darya Delta</t>
  </si>
  <si>
    <t>landscape ecological risk; biophysical and socioeconomic driving factors; geographically weighted regression; Amu Darya Delta</t>
  </si>
  <si>
    <t>GEOGRAPHICALLY WEIGHTED REGRESSION; LAND-SURFACE TEMPERATURE; SPATIALLY VARYING RELATIONSHIPS; PEARL RIVER DELTA; ROAD NETWORK; WATER MANAGEMENT; COVER CHANGE; ARAL SEA; SPATIOTEMPORAL PATTERNS; AMUDARYA RIVER</t>
  </si>
  <si>
    <t>Examining the drivers of landscape ecological risk can provide scientific information for planning and landscape optimization. The landscapes of the Amu Darya Delta (ADD) have recently undergone great changes, leading to increases in landscape ecological risks. However, the relationships between landscape ecological risk and its driving factors are poorly understood. In this study, the ADD was selected to construct landscape ecological risk index (ERI) values for 2000 and 2015. Based on a geographically weighted regression (GWR) model, the relationship between each of the normalized difference vegetation index (NDVI), land surface temperature (LST), digital elevation model (DEM), crop yield, population density (POP), and road density and the spatiotemporal variation in ERI were explored. The results showed that the ERI decreased from the periphery of the ADD to the centre and that high-risk areas were distributed in the ADD's downstream region, with the total area of high-risk areas increasing by 86.55% from 2000 to 2015. The ERI was spatially correlated with Moran's I in 2000 and 2015, with correlation of 0.67 and 0.72, respectively. The GWR model indicated that in most ADD areas, the NDVI had a negative impact on the ERI, whereas LST and DEM had positive impacts on the ERI. Crop yield, road density and POP were positively correlated with the ERI in the central region of the ADD, at road nodes and in densely populated urban areas, respectively. Based on the findings of this study, we suggest that the ecological constraints of the aforementioned factors should be considered in the process of delta development and protection.</t>
  </si>
  <si>
    <t>[Yu, Tao; Bao, Anming; Xu, Wenqiang; Jiang, Liangliang; Zheng, Guoxiong; Yuan, Ye; Nzabarinda, Vincent] Chinese Acad Sci, State Key Lab Desert &amp; Oasis Ecol, Xinjiang Inst Ecol &amp; Geog, Urumqi 830011, Peoples R China; [Yu, Tao; Bao, Anming; Xu, Wenqiang; Jiang, Liangliang; Zheng, Guoxiong; Yuan, Ye; Nzabarinda, Vincent] Key Lab GIS &amp; RS Applicat Xinjiang Uygur Autonomo, Urumqi 830011, Peoples R China; [Yu, Tao; Bao, Anming; Xu, Wenqiang; Jiang, Liangliang; Zheng, Guoxiong; Yuan, Ye; Nzabarinda, Vincent] Univ Chinese Acad Sci, Beijing 100049, Peoples R China; [Yu, Tao; Jiang, Liangliang; Zheng, Guoxiong; Yuan, Ye; Nzabarinda, Vincent] Chinese Acad Sci, Res Ctr Ecol &amp; Environm Cent Asia, Urumqi 830011, Peoples R China; [Guo, Hao] Qufu Normal Univ, Sch Geog &amp; Tourism, Rizhao 276825, Peoples R China; [Jiang, Liangliang] Sino Belgian Joint Lab Geoinformat, B-9000 Ghent, Belgium</t>
  </si>
  <si>
    <t>Chinese Academy of Sciences; Xinjiang Institute of Ecology &amp; Geography, CAS; Chinese Academy of Sciences; University of Chinese Academy of Sciences, CAS; Chinese Academy of Sciences; Qufu Normal University; Ghent University</t>
  </si>
  <si>
    <t>Bao, AM (corresponding author), Chinese Acad Sci, State Key Lab Desert &amp; Oasis Ecol, Xinjiang Inst Ecol &amp; Geog, Urumqi 830011, Peoples R China.;Bao, AM (corresponding author), Key Lab GIS &amp; RS Applicat Xinjiang Uygur Autonomo, Urumqi 830011, Peoples R China.;Bao, AM (corresponding author), Univ Chinese Acad Sci, Beijing 100049, Peoples R China.</t>
  </si>
  <si>
    <t>yutaogis@gmail.com; baoam@ms.xjb.ac.cn; xuwq@ms.xjb.ac.cn; guohao@qfnu.edu.cn; liangliang.jiang@ugent.be; zhengguoxiong17@mails.ucas.edu.cn; yeyuanrs@gmail.com; vincentnzabarinda@yahoo.com</t>
  </si>
  <si>
    <t>Xu, wenqinag/JGD-3069-2023; Zheng, Guoxiong/AAX-3597-2021; Guo, Hao/M-1304-2017; NZABARINDA, Vincent/AAL-9994-2021</t>
  </si>
  <si>
    <t>Bao, Anming/0000-0002-6221-7403; Zheng, Guoxiong/0000-0002-9126-8357; Guo, Hao/0000-0003-0036-8879;</t>
  </si>
  <si>
    <t>Strategic Priority Research Program of Chinese Academy of Sciences [XDA20030101]</t>
  </si>
  <si>
    <t>Strategic Priority Research Program of Chinese Academy of Sciences(Chinese Academy of Sciences)</t>
  </si>
  <si>
    <t>This research was supported by the Strategic Priority Research Program of Chinese Academy of Sciences [Grant No. XDA20030101].</t>
  </si>
  <si>
    <t>10.3390/ijerph17010079</t>
  </si>
  <si>
    <t>KF7AG</t>
  </si>
  <si>
    <t>WOS:000509391500079</t>
  </si>
  <si>
    <t>Petrozzi, F; Eniang, EA; Akani, GC; Amadi, N; Hema, EM; Diagne, T; Segniagbeto, GH; Chirio, L; Amori, G; Luiselli, L</t>
  </si>
  <si>
    <t>Petrozzi, Fabio; Eniang, Edem A.; Akani, Godfrey C.; Amadi, Nioking; Hema, Emmanuel M.; Diagne, Tomas; Segniagbeto, Gabriel Hoinsoude; Chirio, Laurent; Amori, Giovanni; Luiselli, Luca</t>
  </si>
  <si>
    <t>CITES; conservation; pet trade; Sahel; spurred tortoise; tortoise-livestock competition; transhumant grazing system; wildfires</t>
  </si>
  <si>
    <t>POPULATIONS; FIRE</t>
  </si>
  <si>
    <t>The African spurred tortoise Centrochelys sulcata is the second largest terrestrial turtle, with a scattered distribution across the West African Sahel. This species is threatened and declining consistently throughout its range, but little is known about the causes of its decline. It has been hypothesized that the decline is attributable to (1) competition with domestic cattle, (2) wildfire, and (3) the international pet trade. We conducted a series of analyses to investigate these three causes. Hypotheses. and. were analysed using a spatially explicit approach, using a database of the Food and Agriculture Organization of the United Nations and logistic regression modelling; hypothesis. was tested by analysing the CITES trade database for 1990-2010. We found a significant negative correlation between intensity of grazing (expressed as density of cattle, km(-2)) and the presence of spurred tortoises, and this negative effect increased when coupled with high fire intensity, whereas wild-fires alone did not have a significant influence on the species' distribution at the global scale. There was a decrease in the annual export of wild individuals for the pet trade after the introduction of export quotas by country and by year, but trade data must be considered with caution.</t>
  </si>
  <si>
    <t>[Petrozzi, Fabio; Akani, Godfrey C.; Amadi, Nioking; Luiselli, Luca] Rivers State Univ Sci &amp; Technol, Dept Appl &amp; Environm Biol, Port Harcourt, Nigeria; [Eniang, Edem A.] Univ Uyo, Dept Forestry &amp; Nat Environm Management, Fac Agr, Uyo, Akwa Ibom State, Nigeria; [Hema, Emmanuel M.] Univ Ouaga 1 Prof Joseph Ki ZERBO CUP D, Lab Biol &amp; Ecol Anim, Ouagadougou, Burkina Faso; [Diagne, Tomas] African Chelonian Inst, Ngaparou Mbour, Senegal; [Segniagbeto, Gabriel Hoinsoude] Univ Lome, Fac Sci, Dept Zool, Lome, Togo; [Amori, Giovanni] Natl Res Council CNR, Inst Ecosyst Studies, Rome, Italy; [Petrozzi, Fabio] Ecol Appl Italia Srl, Rome, Italy; [Luiselli, Luca] IDECC, Via G Tomasi di Lampedusa 33, I-00144 Rome, Italy</t>
  </si>
  <si>
    <t>University of Uyo; Universite Joseph Ki-Zerbo; University of Lome; Consiglio Nazionale delle Ricerche (CNR); Istituto per lo Studio degli Ecosistemi (ISE-CNR)</t>
  </si>
  <si>
    <t>Luiselli, L (corresponding author), Rivers State Univ Sci &amp; Technol, Dept Appl &amp; Environm Biol, Port Harcourt, Nigeria.;Luiselli, L (corresponding author), IDECC, Via G Tomasi di Lampedusa 33, I-00144 Rome, Italy.</t>
  </si>
  <si>
    <t>l.luiselli@idecengo.org</t>
  </si>
  <si>
    <t>Petrozzi, Fabio/KRR-0082-2024; HEMA, Emmanuel/HLQ-2172-2023; Amadi, Nioking/CAG-1555-2022; Luiselli, Luca/AAG-9098-2020</t>
  </si>
  <si>
    <t>Mohamed Bin Zayed Species Conservation Fund [13256954]; Turtle Conservation Fund</t>
  </si>
  <si>
    <t>Mohamed Bin Zayed Species Conservation Fund; Turtle Conservation Fund</t>
  </si>
  <si>
    <t>Some of the data were recorded during field surveys funded by the Mohamed Bin Zayed Species Conservation Fund (grant no. 13256954, to F. Petrozzi) and by the Turtle Conservation Fund (granted to F. Petrozzi). This article benefited from the critical comments of two anonymous referees.</t>
  </si>
  <si>
    <t>10.1017/S0030605316001125</t>
  </si>
  <si>
    <t>HA5UA</t>
  </si>
  <si>
    <t>WOS:000450342900026</t>
  </si>
  <si>
    <t>Jensen, TJ; Auliya, M; Burgess, ND; Aust, PW; Pertoldi, C; Strand, J</t>
  </si>
  <si>
    <t>Jensen, Timm Juul; Auliya, Mark; Burgess, Neil David; Aust, Patrick Welby; Pertoldi, Cino; Strand, Julie</t>
  </si>
  <si>
    <t>Unregulated harvest; CITES; Pet trade; Reptile; IUCN red list</t>
  </si>
  <si>
    <t>GLOBAL TRADE; CONSERVATION STATUS; LIVE REPTILES; EXOTIC PETS; AMPHIBIANS; DYNAMICS; IMPACT; BITES</t>
  </si>
  <si>
    <t>Globally, there is an extensive trade in snakes for pets, especially in the European and North American markets. This trade includes many African snakes, but few of these are present on CITES appendices, suggesting little regulation of this international trade. In this study, we assess the status of this unregulated trade, by analyzing export lists and private seller advertisements, collected by correspondence, monitoring and recording social media and online forums. Furthermore, by engaging with African exporters, we map the distribution of trading hubs involved in the international trade of African snakes. We show that the African snake trade is extensive and involves rare and range-restricted species, including species on the IUCN red list of threatened species. Furthermore, the internet and social media are shown to play an increasing role in the trade of exotic reptiles. We found 2.269 wild caught live African snakes from 42 species, present in 15 African countries, to have been advertised for sale between 2013 and 2017. Traded species were predominately venomous and the 23 most traded species were not CITES listed. Three main hubs for the live snake trade occur on the African mainland: Tanzania, Togo, and Egypt. By using publicly available data we demonstrate an extensive trade in snake species where basic biological knowledge and conservation status is often missing and the sustainability of this trade is questionable. To tackle this potentially detrimental trade we recommend detailed investigations aiming to understand current threats to snakes, especially focusing on species not regulated by international conventions.</t>
  </si>
  <si>
    <t>[Jensen, Timm Juul; Pertoldi, Cino; Strand, Julie] Aalborg Univ, Dept Chem &amp; Biosci, Sect Biol &amp; Environm Sci, Fredrik Bajers Vej 7H, DK-9220 Aalborg, Denmark; [Auliya, Mark] Zool Res Museum Alexander Koenig, Adenauerallee 160, D-53113 Bonn, Germany; [Auliya, Mark] Helmholtz Ctr Environm Res GmbH UFZ, Dept Conservat Biol, Permoserstr 15, D-04318 Leipzig, Germany; [Burgess, Neil David] UNEP WCMC, UN Environm World Conservat Monitoring Ctr, 219 Huntingdon Rd, Cambridge CB3 0DL, England; [Aust, Patrick Welby] Univ Witwatersrand, Alexander Herp Lab, 1 Jan Smuts Ave, ZA-2000 Johannesburg, South Africa; [Aust, Patrick Welby] Univ Oxford, Radcliffe Observ Quarter, Dept Zool, Woodstock Rd, Oxford OX2 6GG, England; [Pertoldi, Cino] Aalborg Zoo, Molleparkvej 63, DK-9000 Aalborg, Denmark; [Strand, Julie] Randers Trop Zoo, Torvebryggen 11, DK-8900 Randers, Denmark; [Jensen, Timm Juul] Dept Chem &amp; Biosci, Sect Biol &amp; Environm Sci, Fredrik Bajers Vej 7,Bldg H,Room 3-229, DK-9220 Aalborg, Denmark</t>
  </si>
  <si>
    <t>Aalborg University; Zoologisches Forschungsmuseum Alexander Koenig (ZFMK); Helmholtz Association; Helmholtz Center for Environmental Research (UFZ); United Nations Environment Programme; University of Witwatersrand; University of Oxford</t>
  </si>
  <si>
    <t>Jensen, TJ (corresponding author), Aalborg Univ, Dept Chem &amp; Biosci, Sect Biol &amp; Environm Sci, Fredrik Bajers Vej 7H, DK-9220 Aalborg, Denmark.;Jensen, TJ (corresponding author), Dept Chem &amp; Biosci, Sect Biol &amp; Environm Sci, Fredrik Bajers Vej 7,Bldg H,Room 3-229, DK-9220 Aalborg, Denmark.</t>
  </si>
  <si>
    <t>vgf141@alumni.ku.dk</t>
  </si>
  <si>
    <t>Strand, Julie/0000-0003-0724-2849; Jensen, Timm Juul/0000-0003-4357-2853</t>
  </si>
  <si>
    <t>10.1007/s10531-018-1632-9</t>
  </si>
  <si>
    <t>HG2EU</t>
  </si>
  <si>
    <t>WOS:000454776800001</t>
  </si>
  <si>
    <t>Jalali, MA; Ierodiaconou, D; Gorfine, H; Monk, J; Rattray, A</t>
  </si>
  <si>
    <t>Jalali, M. Ali; Ierodiaconou, Daniel; Gorfine, Harry; Monk, Jacquomo; Rattray, Alex</t>
  </si>
  <si>
    <t>Exploring Spatiotemporal Trends in Commercial Fishing Effort of an Abalone Fishing Zone: A GIS-Based Hotspot Model</t>
  </si>
  <si>
    <t>SPATIAL-DISTRIBUTION; HABITAT SUITABILITY; BATHYMETRIC LIDAR; HALIOTIS-RUBRA; VMS DATA; MANAGEMENT; FISHERY; REEF; RESOURCES; ABUNDANCE</t>
  </si>
  <si>
    <t>Assessing patterns of fisheries activity at a scale related to resource exploitation has received particular attention in recent times. However, acquiring data about the distribution and spatiotemporal allocation of catch and fishing effort in small scale benthic fisheries remains challenging. Here, we used GIS-based spatio-statistical models to investigate the footprint of commercial diving events on blacklip abalone (Haliotis rubra) stocks along the south-west coast of Victoria, Australia from 2008 to 2011. Using abalone catch data matched with GPS location we found catch per unit of fishing effort (CPUE) was not uniformly spatially and temporally distributed across the study area. Spatial autocorrelation and hotspot analysis revealed significant spatiotemporal clusters of CPUE (with distance thresholds of 100's of meters) among years, indicating the presence of CPUE hotspots focused on specific reefs. Cumulative hotspot maps indicated that certain reef complexes were consistently targeted across years but with varying intensity, however often a relatively small proportion of the full reef extent was targeted. Integrating CPUE with remotely-sensed light detection and ranging (LiDAR) derived bathymetry data using generalized additive mixed model corroborated that fishing pressure primarily coincided with shallow, rugose and complex components of reef structures. This study demonstrates that a geospatial approach is efficient in detecting patterns and trends in commercial fishing effort and its association with seafloor characteristics.</t>
  </si>
  <si>
    <t>[Jalali, M. Ali; Ierodiaconou, Daniel; Monk, Jacquomo; Rattray, Alex] Deakin Univ, Fac Sci Engn &amp; Built Environm, Ctr Integrat Ecol, Sch Life &amp; Environm Sci, Warmambool, Vic, Australia; [Gorfine, Harry] DEPI Queenscliff Ctr, Dept Environm &amp; Primary Ind, Queenscliff, Vic, Australia; [Monk, Jacquomo] Univ Tasmania, Inst Marine &amp; Antarct Studies, Hobart, Tas, Australia; [Rattray, Alex] Univ Pisa, Dipartimento Biol, Pisa, Italy</t>
  </si>
  <si>
    <t>Deakin University; University of Tasmania; University of Pisa</t>
  </si>
  <si>
    <t>Ierodiaconou, D (corresponding author), Deakin Univ, Fac Sci Engn &amp; Built Environm, Ctr Integrat Ecol, Sch Life &amp; Environm Sci, Warmambool, Vic, Australia.</t>
  </si>
  <si>
    <t>iero@deakin.edu.au</t>
  </si>
  <si>
    <t>Gorfine, Harry/GOE-3967-2022; Monk, Jacquomo/C-6856-2011; Ierodiaconou, Daniel/B-9915-2008; Rattray, Alex/I-8172-2012</t>
  </si>
  <si>
    <t>Gorfine, Harry/0000-0001-6933-3389; Monk, Jacquomo/0000-0002-1874-0619; Ierodiaconou, Daniel/0000-0002-7832-4801; Rattray, Alex/0000-0002-8591-6688</t>
  </si>
  <si>
    <t>Fisheries Research Development Coorporation</t>
  </si>
  <si>
    <t>This work was supported by Fisheries Research Development Coorporation, http://frdc.com.au/Pages/home.aspx.</t>
  </si>
  <si>
    <t>e0122995</t>
  </si>
  <si>
    <t>10.1371/journal.pone.0122995</t>
  </si>
  <si>
    <t>CI7CV</t>
  </si>
  <si>
    <t>WOS:000354921400008</t>
  </si>
  <si>
    <t>Vimal, R; Pluvinet, P; Sacca, C; Mazagol, PO; Etlicher, B; Thompson, JD</t>
  </si>
  <si>
    <t>Vimal, Ruppert; Pluvinet, Pascal; Sacca, Celine; Mazagol, Pierre-Olivier; Etlicher, Bernard; Thompson, John D.</t>
  </si>
  <si>
    <t>Conservation priorities; Mediterranean; Risk assessment; Systematic conservation planning</t>
  </si>
  <si>
    <t>CAPE FLORISTIC REGION; PROTECTED AREAS; IRREPLACEABILITY; LANDSCAPES; DENSITY; MAMMALS; THREATS; SITES; LAND</t>
  </si>
  <si>
    <t>In this study, we developed a multi-criteria assessment of spatial variability of the vulnerability of three different biodiversity descriptors: sites of high conservation interest by virtue of the presence of rare or remarkable species, extensive areas of high ecological integrity, and landscape diversity in grid cells across an entire region. We assessed vulnerability in relation to (a) direct threats in and around sites to a distance of 2 km associated with intensive agriculture, building and road infrastructure and (b) indirect effects of human population density on a wider scale (50 km). The different combinations of biodiversity and threat indicators allowed us to set differential priorities for biodiversity conservation and assess their spatial variation. For example, with this method we identified sites and grid cells which combined high biodiversity with either high threat values or low threat values for the three different biodiversity indicators. In these two classes the priorities for conservation planning will be different, reduce threat values in the former and restrain any increase in the latter. We also identified low priority sites (low biodiversity with either high or low threats). This procedure thus allows for the integration of a spatial ranking of vulnerability into priority setting for regional conservation planning. (C) 2011 Elsevier Ltd. All rights reserved.</t>
  </si>
  <si>
    <t>[Vimal, Ruppert; Pluvinet, Pascal; Thompson, John D.] CNRS, Ctr Ecol Fonct &amp; Evolut, UMR 5175, F-34293 Montpellier 5, France; [Sacca, Celine; Mazagol, Pierre-Olivier; Etlicher, Bernard] Univ St Etienne, CNRS, Environm Ville Soc, UMR 5600, F-42023 St Etienne, France</t>
  </si>
  <si>
    <t>Centre National de la Recherche Scientifique (CNRS); CNRS - Institute of Ecology &amp; Environment (INEE); Universite PSL; Ecole Pratique des Hautes Etudes (EPHE); Institut Agro; Montpellier SupAgro; CIRAD; Institut de Recherche pour le Developpement (IRD); Universite Paul-Valery; Universite de Montpellier; Centre National de la Recherche Scientifique (CNRS); CNRS - Institute of Ecology &amp; Environment (INEE); Ecole Normale Superieure de Lyon (ENS de LYON); Institut National des Sciences Appliquees de Lyon - INSA Lyon; Universite Jean Monnet; Universite Jean Moulin Lyon 3; Universite Lyon 2</t>
  </si>
  <si>
    <t>Thompson, JD (corresponding author), CNRS, Ctr Ecol Fonct &amp; Evolut, UMR 5175, 1919 Route Mende, F-34293 Montpellier 5, France.</t>
  </si>
  <si>
    <t>ruppert.vimal@cefe.cnrs.fr; ppluvinet@yahoo.fr; celine.sacca@univ-st-etienne.fr; pierre.olivier.mazagol@univ-st-etienne.fr; bernard.etlicher@univ-st-etienne.fr; john.thompson@cefe.cnrs.fr</t>
  </si>
  <si>
    <t>MAZAGOL, Pierre-Olivier/GMW-8317-2022</t>
  </si>
  <si>
    <t>MAZAGOL, Pierre-Olivier/0000-0002-2493-935X</t>
  </si>
  <si>
    <t>Agence Nationale de la Recherche [05-BDIV-014 (ABIME)]; Languedoc-Roussillon regional government</t>
  </si>
  <si>
    <t>Agence Nationale de la Recherche(Agence Nationale de la Recherche (ANR)); Languedoc-Roussillon regional government(Region Occitanie)</t>
  </si>
  <si>
    <t>This work was funded by the Agence Nationale de la Recherche contract 05-BDIV-014 (ABIME), and the Languedoc-Roussillon regional government. We are particularly grateful to staff of the Conservatoire des Espaces Naturels (Languedoc Roussillon) and the Conservatoire Botanique National Mediterraneen de Porquerolles for their advice and data.</t>
  </si>
  <si>
    <t>10.1016/j.jenvman.2011.09.018</t>
  </si>
  <si>
    <t>867KB</t>
  </si>
  <si>
    <t>WOS:000298452200002</t>
  </si>
  <si>
    <t>Swan, N; Barlow, J; Parry, L</t>
  </si>
  <si>
    <t>Swan, Natalie; Barlow, Jos; Parry, Luke</t>
  </si>
  <si>
    <t>Amazonia; Brazil; caiman harvest; expert elicitation; wild-meat consumption; wild-meat trade</t>
  </si>
  <si>
    <t>BUSHMEAT CONSUMPTION; CONSERVATION; KNOWLEDGE; AMAZON; FOREST; HOUSEHOLDS; DRIVERS; CONGO</t>
  </si>
  <si>
    <t>New evidence of commercialization and consumption of wild meat in Amazonian cities has exposed an alarming yet poorly understood threat to Neotropical biodiversity. In response to the limitations of field sampling for large-scale surveys, we sought to develop a method of rapidly assessing wildlife harvest and trade in multiple areas using expert knowledge. Using caiman as a model taxon, we surveyed experts across the Brazilian Amazon. Expert responses to a Likert-style questionnaire suggest that caiman hunting, generally considered a localized rural activity, is in fact common and geographically widespread. Contrary to previous assumptions we found evidence that urban demand is partly driving the harvest, including via interstate trafficking. We highlight the need for further field validation of wild-meat trade and urban consumption patterns in Amazonia. We conclude that expert elicitation is a simple, cost-effective technique that can be a valuable precursor to inform and direct applied conservation research, especially where there are significant knowledge gaps and at large spatial scales.</t>
  </si>
  <si>
    <t>[Swan, Natalie; Barlow, Jos; Parry, Luke] Univ Lancaster, Lancaster Environm Ctr, Lancaster LA1 4YQ, England</t>
  </si>
  <si>
    <t>Lancaster University</t>
  </si>
  <si>
    <t>Swan, N (corresponding author), Univ Lancaster, Lancaster Environm Ctr, Lancaster LA1 4YQ, England.</t>
  </si>
  <si>
    <t>n.swan@lancaster.ac.uk</t>
  </si>
  <si>
    <t>; Parry, Luke/LMN-8844-2024; Barlow, Jos/HGE-9486-2022</t>
  </si>
  <si>
    <t>Parry, Luke/0000-0003-0330-9516; Barlow, Jos/0000-0003-4992-2594</t>
  </si>
  <si>
    <t>Lancaster University, UK</t>
  </si>
  <si>
    <t>The authors thank all the expert respondents who completed the questionnaire or offered comments and feedback. Financial support for this research was provided by Lancaster University, UK.</t>
  </si>
  <si>
    <t>10.1017/S0030605315001167</t>
  </si>
  <si>
    <t>ER1AM</t>
  </si>
  <si>
    <t>WOS:000398521100024</t>
  </si>
  <si>
    <t>Bezeng, BS; Yessoufou, K; Taylor, PJ; Tesfamichael, SG</t>
  </si>
  <si>
    <t>Bezeng, Bezeng S.; Yessoufou, Kowiyou; Taylor, Peter J.; Tesfamichael, Solomon G.</t>
  </si>
  <si>
    <t>INVASIVE PLANTS; SPECIES DISTRIBUTIONS; MANAGEMENT; REGIONS; BIOMES; RISK</t>
  </si>
  <si>
    <t>Although protected areas (PAs) are declared to provide sanctuaries for biodiversity, they are increasingly threatened by the synergistic effects of anthropic factors, invasive alien species and climate change. Consequently, interventions are required to minimize the impacts of these threats on PAs' integrity. To inform these interventions in the South African context and under the current climate change scenario, we tested for geographic patterns of alien woody species across the network of 1,453 PAs using three alien invasion indices - alien species abundance, invaded area ratio and alien species richness. Our analysis shows that, under current climate change scenario, none of the PAs would be effective in shielding against alien plants and PAs that are geographically close tend to share similar invasion patterns. In addition, PAs that are hotspots of alien species are also geographically clustered but these findings are biome-dependent. Our outlier analysis reveals not only an island of disproportionately rich PAs in alien species, but also identifies some alien-poor PAs. We suggest that PAs that are hotspots of alien species as well as outliers of disproportionately rich PAs in alien species should be priority in monitoring and invasion control programmes in the context of the ongoing climate change.</t>
  </si>
  <si>
    <t>[Bezeng, Bezeng S.; Yessoufou, Kowiyou; Tesfamichael, Solomon G.] Univ Johannesburg, Dept Geog Environm Management &amp; Energy Studies, APK Campus, Auckland Pk 2006, South Africa; [Bezeng, Bezeng S.; Taylor, Peter J.] Univ Venda, Sch Math &amp; Nat Sci, P Bag X5050, Thohoyandou 0950, South Africa</t>
  </si>
  <si>
    <t>University of Johannesburg; University of Venda</t>
  </si>
  <si>
    <t>Bezeng, BS (corresponding author), Univ Johannesburg, Dept Geog Environm Management &amp; Energy Studies, APK Campus, Auckland Pk 2006, South Africa.;Bezeng, BS (corresponding author), Univ Venda, Sch Math &amp; Nat Sci, P Bag X5050, Thohoyandou 0950, South Africa.</t>
  </si>
  <si>
    <t>bezengsimmy@gmail.com</t>
  </si>
  <si>
    <t>; Taylor, Peter John/N-3172-2019; Elansary, Hosam/E-3684-2019</t>
  </si>
  <si>
    <t>, Solomon/0000-0002-4754-5732; Taylor, Peter John/0000-0001-9048-7366;</t>
  </si>
  <si>
    <t>National Research Foundation of South Africa [423 103944, 87311, 112113]</t>
  </si>
  <si>
    <t>National Research Foundation of South Africa(National Research Foundation - South Africa)</t>
  </si>
  <si>
    <t>The authors wish to acknowledge the Universities of Johannesburg and Venda, South Africa for providing the necessary infrastructure to conduct the research and the National Research Foundation of South Africa for financial support (Grant Numbers; 423 103944, 87311 and 112113). Lastly, we would like to thank two anonymous reviewers for comments on an earlier draft of this manuscript.</t>
  </si>
  <si>
    <t>10.1038/s41598-020-63830-x</t>
  </si>
  <si>
    <t>LK2ZT</t>
  </si>
  <si>
    <t>WOS:000530731300012</t>
  </si>
  <si>
    <t>Andrade-Díaz, MS; Sarquis, JA; Loiselle, BA; Giraudo, AR; Díaz-Gómez, JM</t>
  </si>
  <si>
    <t>Soledad Andrade-Diaz, Maria; Andres Sarquis, Juan; Loiselle, Bette A.; Giraudo, Alejandro R.; Manuel Diaz-Gomez, Juan</t>
  </si>
  <si>
    <t>PREDICTING SPECIES DISTRIBUTIONS; LAND-USE; PROTECTED AREAS; CLIMATE-CHANGE; POTENTIAL DISTRIBUTION; HABITAT FRAGMENTATION; ENDEMIC VERTEBRATES; DISTRIBUTION MODELS; GRAN CHACO; DEFORESTATION</t>
  </si>
  <si>
    <t>Conservation planning relies on integrating existing knowledge, social-environmental contexts, and potential threats to identify gaps and opportunities for action. Here we present a case study on how priority areas for conservation can be determined using existing information on biodiversity occurrence and threats. Specifically, our goals are: (1) to model the ecological niche of twelve endemic snake species in the Dry Chaco Forest, (2) to quantify the impact of the deforestation rates on their distributions, (3) to propose high priority areas for conservation in order to improve the actual protected area system, and (4) to evaluate the influence of the human footprint on the optimization of selected priority areas. Our results demonstrate that Argentinian Dry Chaco represent, on average, similar to 74% of the distribution of endemic snake species and deforestation has reduced suitable areas of all snake species in the region. Further, the current protected areas are likely insufficient to conserve these species as only very low percentages (3.27%) of snakes' ranges occur within existing protected areas. Our models identified high priority areas in the north of the Chaco forest where continuous, well-conserved forest still exists. These high priority areas include transition zones within the foothill forest and areas that could connect patches of forest between the western and eastern Chaco forest. Our findings identify spatial priorities that minimize conflicts with human activities, a key issue for this biodiversity hotspot area. We argue that consultation with stakeholders and decision-makers are urgently needed in order to take concrete actions to protect the habitat, or we risk losing the best conservation opportunities to protect endemic snakes that inhabit the Argentinian Dry Chaco.</t>
  </si>
  <si>
    <t>[Soledad Andrade-Diaz, Maria; Manuel Diaz-Gomez, Juan] Univ Nacl Salta, Inst Bio &amp; Geociencias Noroeste Argentino, CONICET, Rosario De Lerma, Salta, Argentina; [Andres Sarquis, Juan; Giraudo, Alejandro R.] Univ Nacl Litoral, Inst Nacl Limnol, CONICET, Ciudad Univ, Santa Fe, Argentina; [Loiselle, Bette A.; Giraudo, Alejandro R.] Univ Florida, Ctr Latin Amer Studies, Dept Wildlife Ecol &amp; Conservat, Gainesville, FL USA; [Giraudo, Alejandro R.] Univ Nacl Litoral, Fac Humanidades &amp; Ciencias, Ciudad Univ, Santa Fe, Argentina</t>
  </si>
  <si>
    <t>Consejo Nacional de Investigaciones Cientificas y Tecnicas (CONICET); National University of the Littoral; Consejo Nacional de Investigaciones Cientificas y Tecnicas (CONICET); State University System of Florida; University of Florida; National University of the Littoral</t>
  </si>
  <si>
    <t>Andrade-Díaz, MS (corresponding author), Univ Nacl Salta, Inst Bio &amp; Geociencias Noroeste Argentino, CONICET, Rosario De Lerma, Salta, Argentina.</t>
  </si>
  <si>
    <t>soleandradediaz@gmail.com</t>
  </si>
  <si>
    <t>Loiselle, Bette/O-7106-2016</t>
  </si>
  <si>
    <t>e0221901</t>
  </si>
  <si>
    <t>10.1371/journal.pone.0221901</t>
  </si>
  <si>
    <t>KN8DC</t>
  </si>
  <si>
    <t>WOS:000515073900001</t>
  </si>
  <si>
    <t>Spitzen-van der Sluijs, A; Martel, A; Asselberghs, J; Bales, EK; Beukema, W; Bletz, MC; Dalbeck, L; Goverse, E; Kerres, A; Kinet, T; Kirst, K; Laudelout, A; da Fonte, LFM; Nöllert, A; Ohlhoff, D; Sabino-Pinto, J; Schmidt, BR; Speybroeck, J; Spikmans, F; Steinfartz, S; Veith, M; Vences, M; Wagner, N; Pasmans, F; Lötters, S</t>
  </si>
  <si>
    <t>Spitzen-van der Sluijs, Annemarieke; Martel, An; Asselberghs, Johan; Bales, Emma K.; Beukema, Wouter; Bletz, Molly C.; Dalbeck, Lutz; Goverse, Edo; Kerres, Alexander; Kinet, Thierry; Kirst, Kai; Laudelout, Arnaud; da Fonte, Luis F. Marin; Noellert, Andreas; Ohlhoff, Dagmar; Sabino-Pinto, Joana; Schmidt, Benedikt R.; Speybroeck, Jeroen; Spikmans, Frank; Steinfartz, Sebastian; Veith, Michael; Vences, Miguel; Wagner, Norman; Pasmans, Frank; Loetters, Stefan</t>
  </si>
  <si>
    <t>Expanding Distribution of Lethal Amphibian Fungus Batrachochytrium salamandrivorans in Europe</t>
  </si>
  <si>
    <t>EMERGING INFECTIOUS DISEASES</t>
  </si>
  <si>
    <t>CHYTRID FUNGUS; DENDROBATIDIS; CHYTRIDIOMYCOSIS; SALAMANDERS</t>
  </si>
  <si>
    <t>Emerging fungal diseases can drive amphibian species to local extinction. During 2010-2016, we examined 1,921 urodeles in 3 European countries. Presence of the chytrid fungus Batrachochytrium salamandrivorans at new locations and in urodeles of different species expands the known geographic and host range of the fungus and underpins its imminent threat to biodiversity.</t>
  </si>
  <si>
    <t>[Spitzen-van der Sluijs, Annemarieke; Goverse, Edo; Spikmans, Frank] Amphibian &amp; Fish Conservat Netherlands, Reptile, Nijmegen, Netherlands; [Martel, An; Beukema, Wouter; Pasmans, Frank] Univ Ghent, Merelbeke, Belgium; [Asselberghs, Johan] Natuurpunt Hylawerkgrp Beneden Nete, Mechelen Duffel, Belgium; [Bales, Emma K.; Bletz, Molly C.; Sabino-Pinto, Joana; Steinfartz, Sebastian; Vences, Miguel] Tech Univ Carolo Wilhelmina Braunschweig, D-38106 Braunschweig, Germany; [Dalbeck, Lutz; Ohlhoff, Dagmar] Biol Stn, Duren, Germany; [Kinet, Thierry; Laudelout, Arnaud] Natagora, Namur, Belgium; [Kirst, Kai] Biol Stn, Aachen, Germany; [da Fonte, Luis F. Marin; Veith, Michael; Wagner, Norman; Loetters, Stefan] Univ Trier, D-54286 Trier, Germany; [Schmidt, Benedikt R.] Univ Zurich, Zurich, Switzerland; [Schmidt, Benedikt R.] Koordinationsstelle Amphibien &amp; Reptilienschutz S, Neuchatel, Switzerland; [Speybroeck, Jeroen] Res Inst Nat &amp; Forest, Brussels, Belgium</t>
  </si>
  <si>
    <t>Ghent University; Braunschweig University of Technology; Universitat Trier; University of Zurich; Research Institute for Nature &amp; Forest</t>
  </si>
  <si>
    <t>Lötters, S (corresponding author), Univ Trier, Biogeog, D-54286 Trier, Germany.</t>
  </si>
  <si>
    <t>loetters@uni-trier.de</t>
  </si>
  <si>
    <t>Pasmans, Frank/D-3667-2014; Vences, Miguel/E-5573-2010; Spitzen, Annemarieke/B-3453-2012; Beukema, Wouter/D-6365-2014; Wagner, Norman/AFR-9091-2022; Schmidt, Benedikt R/B-8491-2008; Speybroeck, Jeroen/LXA-4993-2024; Bletz, Molly/Q-2817-2018; Spitzen, Annemarieke/AAV-3970-2021</t>
  </si>
  <si>
    <t>Pasmans, Frank/0000-0003-3160-503X; Vences, Miguel/0000-0003-0747-0817; Spitzen, Annemarieke/0000-0003-2008-9375; Beukema, Wouter/0000-0002-5839-7683; Sabino Pinto, Joana/0000-0002-4737-5665; Wagner, Norman/0000-0003-4998-1754; Laudelout, Arnaud/0000-0002-7358-8517; Schmidt, Benedikt R/0000-0002-4023-1001; Speybroeck, Jeroen/0000-0002-7241-7804; Steinfartz, Sebastian/0000-0001-5347-3969;</t>
  </si>
  <si>
    <t>Deutsche Bundesstiftung Umwelt; Dutch Ministry of Economic Affairs; Flemish Agency for Nature and Forests; Land Nordrhein Westfalen; Province of Limburg; StadteRegion Aachen; Stiftung Artenschutz; Trier University; Verband der Zoologischen Garten; Zoo Landau; Research Foundation-Flanders</t>
  </si>
  <si>
    <t>Deutsche Bundesstiftung Umwelt; Dutch Ministry of Economic Affairs(Ministry of Economic Affairs, Netherlands); Flemish Agency for Nature and Forests; Land Nordrhein Westfalen; Province of Limburg; StadteRegion Aachen; Stiftung Artenschutz; Trier University; Verband der Zoologischen Garten; Zoo Landau; Research Foundation-Flanders(FWO)</t>
  </si>
  <si>
    <t>This study was supported by the Deutsche Bundesstiftung Umwelt, Dutch Ministry of Economic Affairs, Flemish Agency for Nature and Forests, Land Nordrhein Westfalen, Province of Limburg, StadteRegion Aachen, Stiftung Artenschutz, Trier University Research Assistantship, Verband der Zoologischen Garten, Zoo Landau, and a PhD fellowship of the Research Foundation-Flanders.</t>
  </si>
  <si>
    <t>CENTERS DISEASE CONTROL</t>
  </si>
  <si>
    <t>ATLANTA</t>
  </si>
  <si>
    <t>1600 CLIFTON RD, ATLANTA, GA 30333 USA</t>
  </si>
  <si>
    <t>1080-6040</t>
  </si>
  <si>
    <t>1080-6059</t>
  </si>
  <si>
    <t>EMERG INFECT DIS</t>
  </si>
  <si>
    <t>Emerg. Infect. Dis</t>
  </si>
  <si>
    <t>10.3201/eid2207.160109</t>
  </si>
  <si>
    <t>Immunology; Infectious Diseases</t>
  </si>
  <si>
    <t>DP5UR</t>
  </si>
  <si>
    <t>WOS:000378563900027</t>
  </si>
  <si>
    <t>Waltham, NJ; Sheaves, M</t>
  </si>
  <si>
    <t>Waltham, Nathan J.; Sheaves, Marcus</t>
  </si>
  <si>
    <t>Urbanization; Estuaries; Seascapes; World Heritage Area; Marine Park; Conservation</t>
  </si>
  <si>
    <t>ARMORED SHORELINES; INFRASTRUCTURE; BIODIVERSITY; RECRUITMENT; ESTUARINE; HABITATS; SEAWALLS; IMPACTS; PORT</t>
  </si>
  <si>
    <t>Coastal freshwater and tidal wetland habitats are being transformed as a result of increasing demand for commercial, residential and tourism activities. The consequence is a habitat seascape complex, comprising a mosaic of natural and engineered coastal features. This study used the freely available mapping tool (Google Earth) to define the extent of coastal engineering structures in the Great Barrier Reef World Heritage Area (GBR; Australia), a marine ecosystem of global biodiversity and cultural significance. Continuing threats to the heritage estate concomitant with expanding urban and industrial developments has raised concerns directed at the future conservation and resilience of the reef ecosystems, along with maintaining expected human lifestyles and livelihoods it provides. The data here shows that break walls and pontoons/jetties dominate development, contributing to approximately 10% (equivalent) of the coastline linear length. Most (60%) development occurs along the coastline or within the first few kilometres upstream along estuaries. While conservation and protection of natural coastal habitats is still preferred for the objective of fisheries production and biodiversity, managers must consider seascape implication/benefits more broadly when approving new marine infrastructure rather than a case-by-case approach which further contributes to an ad hoc mosaic seascape of natural and engineered habitats. Not only within the GBR heritage estate, but more broadly, coastal managers need to regard wider seascape connectivity processes during the assessment of any new development. There is an urgent need for policy and planning instrument reform that is inclusive of accumulative impacts of urban and industrial development in this heritage estate. Opportunities to include eco-friendly (green engineering) solutions, in the repair and revitalisation of existing artificial structures, is necessary in any new proposed urban and industrial development and expansion. (C) 2015 Elsevier Ltd. All rights reserved.</t>
  </si>
  <si>
    <t>[Waltham, Nathan J.; Sheaves, Marcus] James Cook Univ, Ctr Trop Water &amp; Aquat Ecosyst Res TropWATER, Estuary &amp; Coastal Wetlands Ecosyst Res, Townsville, Qld 4811, Australia</t>
  </si>
  <si>
    <t>Waltham, NJ (corresponding author), James Cook Univ, Ctr Trop Water &amp; Aquat Ecosyst Res TropWATER, Estuary &amp; Coastal Wetlands Ecosyst Res, Townsville, Qld 4811, Australia.</t>
  </si>
  <si>
    <t>nathan.waltham@jcu.edu.au</t>
  </si>
  <si>
    <t>Sheaves, Marcus/G-4283-2012</t>
  </si>
  <si>
    <t>Sheaves, Marcus/0000-0003-0662-3439</t>
  </si>
  <si>
    <t>School of Marine and Tropical Biology, James Cook University</t>
  </si>
  <si>
    <t>We thank D Audas, A. Smith and S McKenna for assistance, and School of Marine and Tropical Biology, James Cook University, for funding this project, awarded to NJW.</t>
  </si>
  <si>
    <t>10.1016/j.marpol.2015.03.030</t>
  </si>
  <si>
    <t>CL1YF</t>
  </si>
  <si>
    <t>WOS:000356740100011</t>
  </si>
  <si>
    <t>Rowden, AA; Stephenson, F; Clark, MR; Anderson, OF; Guinotte, JM; Baird, SJ; Roux, MJ; Wadhwa, S; Cryer, M; Lundquist, CJ</t>
  </si>
  <si>
    <t>Rowden, A. A.; Stephenson, F.; Clark, M. R.; Anderson, O. F.; Guinotte, J. M.; Baird, S. J.; Roux, M. -J.; Wadhwa, S.; Cryer, M.; Lundquist, C. J.</t>
  </si>
  <si>
    <t>Vulnerable marine ecosystems; Decision-support tools; Spatial management; Conservation; High seas; New Zealand; SPRFMO</t>
  </si>
  <si>
    <t>HABITAT SUITABILITY MODELS; BIODIVERSITY CONSERVATION; FISHERIES MANAGEMENT; WATER CORALS; STONY CORALS; DESIGN; CONNECTIVITY; FRAMEWORK; RESERVES; ZONATION</t>
  </si>
  <si>
    <t>The South Pacific Regional Fisheries Management Organisation (SPRFMO) Convention includes specific provisions to protect vulnerable marine ecosystems (VMEs). The SPRFMO Commission has determined that the interim measures put in place to protect VMEs should be replaced by an improved system of fishable and closed areas. We used the conservation planning tool Zonation to examine the utility of a decision-support tool to develop spatial management options that balance the protection of VMEs with utilisation of high value areas for fishing. Input data included: habitat suitability maps for VME indicator taxa, and uncertainties associated with these model predictions, for an area of the high seas around New Zealand; naturalness condition, represented by two proxy variables using New Zealand trawl effort data; and value to the New Zealand fishery using trawl catch data for two gear types and three time-periods. Running scenario analyses with these data allowed for an understanding of the effect of varying the input data on the spatial prioritisation of areas for VME conservation. The analyses also allowed for the cost to fishing to be determined, in terms of the amount of the trawl catch footprint (normalised to the catch) lost if high priority areas for VME indicator taxa are protected. In most scenarios, the cost to fishing was low given the relatively high proportion of suitable habitat for VME indicator taxa that could be protected. The main outcome of the present study is a demonstration of the practical utility of using available data, including modelled data, and the Zonation decision-support tool to develop future options for the spatial management of the SPRFMO area. Suggestions are also made for improvements in input data for future analyses.</t>
  </si>
  <si>
    <t>[Rowden, A. A.; Clark, M. R.; Anderson, O. F.; Baird, S. J.; Roux, M. -J.] Natl Inst Water &amp; Atmospher Res, Private Bag 14901, Wellington, New Zealand; [Stephenson, F.; Wadhwa, S.; Lundquist, C. J.] Natl Inst Water &amp; Atmospher Res, POB 11115, Hamilton, New Zealand; [Guinotte, J. M.] Marine Conservat Inst, 4010 Stone Way N,Suite 210, Seattle, WA USA; [Cryer, M.] Minist Primary Ind, POB 2526, Wellington, New Zealand; [Lundquist, C. J.] Univ Auckland, Inst Marine Sci, Auckland 92019, New Zealand; [Guinotte, J. M.] US Fish &amp; Wildlife Serv, 134 Union Blvd, Lakewood, CO USA; [Roux, M. -J.] Fisheries &amp; Oceans Canada, Maurice Lamontagne Inst, 850 Mer Rd, Mont Joli, PQ, Canada</t>
  </si>
  <si>
    <t>Earth Sciences New Zealand; National Institute of Water &amp; Atmospheric Research (NIWA) - New Zealand; Earth Sciences New Zealand; National Institute of Water &amp; Atmospheric Research (NIWA) - New Zealand; University of Auckland; United States Department of the Interior; US Fish &amp; Wildlife Service; Fisheries &amp; Oceans Canada</t>
  </si>
  <si>
    <t>Rowden, AA (corresponding author), Natl Inst Water &amp; Atmospher Res, Private Bag 14901, Wellington, New Zealand.</t>
  </si>
  <si>
    <t>ashley.rowden@niwa.co.nz</t>
  </si>
  <si>
    <t>Lundquist, Carolyn/C-1716-2009; Rowden, Ashley/O-9358-2019</t>
  </si>
  <si>
    <t>Lundquist, Carolyn/0000-0002-2101-7237; Stephenson, Fabrice/0000-0002-9500-5204; Rowden, Ashley/0000-0003-2975-2524</t>
  </si>
  <si>
    <t>New Zealand Ministry of Business, Innovation, and Employment [C0X1229]; New Zealand Sustainable Seas National Science Challenge [SUSS16203]; NIWA Coasts and Oceans Programme [COME1803]</t>
  </si>
  <si>
    <t>New Zealand Ministry of Business, Innovation, and Employment(New Zealand Ministry of Business, Innovation and Employment (MBIE)); New Zealand Sustainable Seas National Science Challenge; NIWA Coasts and Oceans Programme</t>
  </si>
  <si>
    <t>Thanks are owed to all suppliers and compilers of data on which our analyses are based. These include Kevin Mackay, Di Tracey (NIWA), Alan Williams and Franzis Althaus (CSIRO) for biological data, and Richard Ford (Ministry for Primary Industries) for fishing data. We are also grateful for comments, suggestions and other inputs from the Stakeholder Advisory Group of the 'South Pacific VME Project', and the Ministry for Primary Industry's South Pacific Fishery Assessment Working Group. This research was primarily funded by the New Zealand Ministry of Business, Innovation, and Employment, for the NIWA-led project Predicting the occurrence of vulnerable marine ecosystems for planning spatial management in the South Pacific Region (aka 'South Pacific VME Project') (Project C0X1229). Additional funding to support the production of the manuscript was provided by the New Zealand Sustainable Seas National Science Challenge (Project: SUSS16203) and aligned funding from the NIWA Coasts and Oceans Programme (Project: COME1803).</t>
  </si>
  <si>
    <t>10.1016/j.ocecoaman.2018.12.033</t>
  </si>
  <si>
    <t>HM1TN</t>
  </si>
  <si>
    <t>WOS:000459236000001</t>
  </si>
  <si>
    <t>Estoque, RC; Murayama, Y</t>
  </si>
  <si>
    <t>Estoque, Ronald C.; Murayama, Yuji</t>
  </si>
  <si>
    <t>[Estoque, Ronald C.; Murayama, Yuji] Univ Tsukuba, Grad Sch Life &amp; Environm Sci, Div Spatial Informat Sci, Tsukuba, Ibaraki 3058572, Japan</t>
  </si>
  <si>
    <t>University of Tsukuba</t>
  </si>
  <si>
    <t>Estoque, RC (corresponding author), Univ Tsukuba, Grad Sch Life &amp; Environm Sci, Div Spatial Informat Sci, 1-1-1 Tennodai, Tsukuba, Ibaraki 3058572, Japan.</t>
  </si>
  <si>
    <t>purplebee80@yahoo.co.uk</t>
  </si>
  <si>
    <t>; Estoque, Ronald/Q-3769-2016; Estoque, Ronald C/Q-3769-2016; Murayama, Yuji/V-3578-2019</t>
  </si>
  <si>
    <t>MURAYAMA, Yuji/0000-0003-4397-6882; Estoque, Ronald C/0000-0001-9681-492X;</t>
  </si>
  <si>
    <t>10.1016/j.apgeog.2013.07.001</t>
  </si>
  <si>
    <t>214SP</t>
  </si>
  <si>
    <t>WOS:000324156400016</t>
  </si>
  <si>
    <t>Land use; Land change modeling; Ecosystem service; Urban growth modeling; Scenario analysis; Remote sensing; GIS; H-ESV ratio; Baguio</t>
  </si>
  <si>
    <t>COVER-CHANGE; VALIDATION; PATTERN; REGION; SYSTEM; MODEL; MAPS</t>
  </si>
  <si>
    <t>The main purpose of this study is to examine the potential impacts of the past and future land use/cover (LUC) changes on the ecosystem services of Baguio city, the Philippines, and discuss their implications for policy development and implementation. Remote sensing-derived WC maps for 1988, 1998 and 2009, along with GEOMOD, a Geographic Information Systems-based LUC change model, and ecosystem service value (ESV) coefficients were used to facilitate the analysis. The results revealed a decrease in the ESV of Baguio for the past 21 years (1988-2009), of which a substantial amount was due to loss of forest cover. Consequently, the human-to-ESV (H-ESV) ratio has decreased over the years. The scenario-based LUC change analysis revealed that if the urban LUC change pattern continues, the total ESV and the H-ESV ratio will also continue to decrease in 2020, especially if the forest cover is not fully protected and conserved. Geospatial tools and techniques facilitate exploratory analysis critical to the understanding of the potential impacts of future LUC changes under different scenarios. Our results highlighted that under the great pressure of urbanization, there is a need to strengthen the proper implementation of policies in order to maintain and improve ecosystem services. Although there are limitations to the estimated ESVs of Baguio to be taken into account in future studies, the magnitude of the estimated changes in the LUC is substantial. Thus, it may still be possible to draw general inferences about the effect of the perceived LUC changes on the estimated ESVs. (C) 2012 Elsevier Ltd. All rights reserved.</t>
  </si>
  <si>
    <t>[Estoque, Ronald C.; Murayama, Yuji] Univ Tsukuba, Grad Sch Life &amp; Environm Sci, Div Spatial Informat Sci, Tsukuba, Ibaraki 3058572, Japan; [Estoque, Ronald C.] Don Mariano Marcos Mem State Univ, Bacnotan 2515, La Union, Philippines</t>
  </si>
  <si>
    <t>University of Tsukuba; Don Mariano Marcos Memorial State University</t>
  </si>
  <si>
    <t>MURAYAMA, Yuji/V-3578-2019; Estoque, Ronald C/Q-3769-2016</t>
  </si>
  <si>
    <t>MURAYAMA, Yuji/0000-0003-4397-6882; Estoque, Ronald C/0000-0001-9681-492X</t>
  </si>
  <si>
    <t>10.1016/j.apgeog.2012.08.006</t>
  </si>
  <si>
    <t>068QB</t>
  </si>
  <si>
    <t>WOS:000313380200032</t>
  </si>
  <si>
    <t>O'Leary, BC; Fieldhouse, P; McClean, CJ; Ford, AES; Burns, P; Hawkins, JP; Roberts, CM</t>
  </si>
  <si>
    <t>O'Leary, Bethan C.; Fieldhouse, Philip; McClean, Colin J.; Ford, Adriana E. S.; Burns, Polly; Hawkins, Julie P.; Roberts, Callum M.</t>
  </si>
  <si>
    <t>Anthropogenic threats; Marine biodiversity conservation; Evidence base; Gap analysis; Research synthesis; UKOTs</t>
  </si>
  <si>
    <t>PROTECTED AREAS; CONSERVATION; MANAGEMENT; RESERVES; IMPACTS; ISLANDS; DEBRIS; REMOTE; WORLDS; OCEAN</t>
  </si>
  <si>
    <t>Understanding the evidence base and identifying threats to the marine environment is critical to ensure cost-effective management and to identify priorities for future research. The United Kingdom (UK) government is responsible for approximately 2% of the world's oceans, most of which belongs to its 14 Overseas Territories (UKOTs). Containing biodiversity of global significance, and far in excess of the UK mainland's domestic species, there has recently been a strong desire from many of the UKOTs, the UK Government, and NGOs to improve marine management in these places. Implementing evidence-based marine policy is, however, challenged by the disparate nature of scientific research in the UKOTs and knowledge gaps about the threats they face. Here, we address these issues by systematically searching for scientific literature which has examined UKOT marine biodiversity and by exploring publicly available spatial threat data. We find that UKOT marine biodiversity has received consistent, but largely low, levels of scientific interest, and there is considerable geographical and subject bias in research effort. Of particular concern is the lack of research focus on management or threats to biodiversity. The extent and intensity of threats vary amongst and within the UKOTs but unsurprisingly, climate change associated threats affect them all and direct human stressors are more prevalent in those with higher human populations. To meet global goals for effective conservation and management, there is an urgent need for additional and continued investment in research and management in the Overseas Territories, particularly those that have been of lesser focus.</t>
  </si>
  <si>
    <t>[O'Leary, Bethan C.; Fieldhouse, Philip; McClean, Colin J.; Burns, Polly; Hawkins, Julie P.; Roberts, Callum M.] Univ York, Dept Environm &amp; Geog, Wentworth Way, York YO10 5NG, N Yorkshire, England; [Ford, Adriana E. S.] Univ Greenwich, Old Royal Naval Coll, Greenwich Maritime Ctr, London SE10 9LS, England</t>
  </si>
  <si>
    <t>University of York - UK; University of Greenwich</t>
  </si>
  <si>
    <t>O'Leary, BC (corresponding author), Univ York, Dept Environm &amp; Geog, Wentworth Way, York YO10 5NG, N Yorkshire, England.</t>
  </si>
  <si>
    <t>bethan.oleary@york.ac.uk</t>
  </si>
  <si>
    <t>Ford, Aiana/0000-0002-4038-143X; O'Leary, Bethan C/0000-0001-6595-6634; McClean, Colin John/0000-0002-5457-4355; Roberts, Callum/0000-0003-2276-4258</t>
  </si>
  <si>
    <t>John Ellerman Foundation</t>
  </si>
  <si>
    <t>This work was funded by the John Ellerman Foundation through a grant to the Great British Oceans campaign. We would like to thank our two reviewers for their constructive comments.</t>
  </si>
  <si>
    <t>10.1007/s10531-018-1660-5</t>
  </si>
  <si>
    <t>HG2FC</t>
  </si>
  <si>
    <t>WOS:000454777600007</t>
  </si>
  <si>
    <t>Penney, AJ; Guinotte, JM</t>
  </si>
  <si>
    <t>Penney, Andrew J.; Guinotte, John M.</t>
  </si>
  <si>
    <t>Evaluation of New Zealand's High-Seas Bottom Trawl Closures Using Predictive Habitat Models and Quantitative Risk Assessment</t>
  </si>
  <si>
    <t>VULNERABLE MARINE ECOSYSTEMS; FISHERIES; PROTECTION; MANAGEMENT; SEAMOUNTS; RESERVES; IMPACTS</t>
  </si>
  <si>
    <t>United Nations General Assembly Resolution 61/105 on sustainable fisheries (UNGA 2007) establishes three difficult questions for participants in high-seas bottom fisheries to answer: 1) Where are vulnerable marine systems (VMEs) likely to occur?; 2) What is the likelihood of fisheries interaction with these VMEs?; and 3) What might qualify as adequate conservation and management measures to prevent significant adverse impacts? This paper develops an approach to answering these questions for bottom trawling activities in the Convention Area of the South Pacific Regional Fisheries Management Organisation (SPRFMO) within a quantitative risk assessment and cost : benefit analysis framework. The predicted distribution of deep-sea corals from habitat suitability models is used to answer the first question. Distribution of historical bottom trawl effort is used to answer the second, with estimates of seabed areas swept by bottom trawlers being used to develop discounting factors for reduced biodiversity in previously fished areas. These are used in a quantitative ecological risk assessment approach to guide spatial protection planning to address the third question. The coral VME likelihood (average, discounted, predicted coral habitat suitability) of existing spatial closures implemented by New Zealand within the SPRFMO area is evaluated. Historical catch is used as a measure of cost to industry in a cost : benefit analysis of alternative spatial closure scenarios. Results indicate that current closures within the New Zealand SPRFMO area bottom trawl footprint are suboptimal for protection of VMEs. Examples of alternative trawl closure scenarios are provided to illustrate how the approach could be used to optimise protection of VMEs under chosen management objectives, balancing protection of VMEs against economic loss to commercial fishers from closure of historically fished areas.</t>
  </si>
  <si>
    <t>[Penney, Andrew J.] Minist Fisheries, Australian Bur Agr &amp; Resource Econ &amp; Sci, Canberra, ACT, Australia; [Guinotte, John M.] Marine Conservat Inst, Bellevue, WA USA</t>
  </si>
  <si>
    <t>Penney, AJ (corresponding author), Minist Fisheries, Australian Bur Agr &amp; Resource Econ &amp; Sci, Canberra, ACT, Australia.</t>
  </si>
  <si>
    <t>andrew.penney@daff.gov.au</t>
  </si>
  <si>
    <t>Ministry of Fisheries, New Zealand; Ministry of Fisheries; Marine Conservation Institute (Davies AJ, Guinotte JM)</t>
  </si>
  <si>
    <t>AJP's involvement in this work was funded as an employee of the then Ministry of Fisheries, New Zealand. The Ministry of Fisheries funded this research and publication as part of ongoing work to periodically update the New Zealand bottom fishery impact assessment, which was prepared in response to the requirements of the interim measures for bottom fisheries adopted by the South Pacific Regional Fisheries Management Organisation. Global habitat prediction work by JGM was funded under a previous project conducted at the Marine Conservation Institute (Davies AJ, Guinotte JM [2011]) PLOS ONE 6(4): e18483). The Marine Conservation Institute had no other role in study design, data collection and analysis, decision to publish, or preparation of the manuscript.</t>
  </si>
  <si>
    <t>DEC 16</t>
  </si>
  <si>
    <t>e82273</t>
  </si>
  <si>
    <t>10.1371/journal.pone.0082273</t>
  </si>
  <si>
    <t>276GD</t>
  </si>
  <si>
    <t>WOS:000328735700052</t>
  </si>
  <si>
    <t>Mang, WG; Hu, YM; Chen, BY; Tang, ZH; Xu, CG; Qi, DW; Hu, JC</t>
  </si>
  <si>
    <t>Mang, Wenguang; Hu, Yuanman; Chen, Bingyao; Tang, Zhonghai; Xu, Chonggang; Qi, Dunwu; Hu, Jinchu</t>
  </si>
  <si>
    <t>ANIMAL BIOLOGY</t>
  </si>
  <si>
    <t>Daxiangling Mountains; giant panda; GIS; habitat suitability; landscape connectivity</t>
  </si>
  <si>
    <t>BAMBOO DIE-OFF; WILDLIFE HABITAT; PROTECTED AREAS; CONNECTIVITY; FRAMEWORK; RESERVE</t>
  </si>
  <si>
    <t>Human activities have been a main cause of floral and faunal species extinction and loss of local and global biodiversity. Habitat and population can become fragmented and isolated under anthropogenic disturbances. In this study, we focus on the effect of human activities on the habitat and population of the giant panda (Ailuropoda melanoleuca) in the north slopes of Daxiangling Mountains, Sichuan province, China. Based on eight months of field investigation in 2004, we found that the distribution of the giant panda population has been limited to remnants of habitat due to human activities such as road construction, mining and hydropower stations. There is 100.60 km(2) area suitable for the giant panda (including moderately suitable, suitable and most suitable), which only accounts for 21.33% of the bamboo area. Based on a dispersal model COST, there were 79.94 km(2) areas (17.12%) (including moderately suitable, suitable and most suitable) for giant panda utilization in reality. Only 16.35 km(2) areas (3.5%) of total bamboo area were most suitable. The areas that suitable for panda had decreased 20.66 km(2) from 2000 in total due to people activities. The results of this study can be used to provide basic information to build nature reserve for protecting giant panda in Daxiangling Mountains.</t>
  </si>
  <si>
    <t>Chinese Acad Sci, Inst Appl Ecol, Shenyang 110016, Peoples R China; China W Normal Univ, Inst Rare &amp; Precious Anim &amp; Plants, Nanchong 637002, Peoples R China; Chinese Acad Sci, Grad Sch, Beijing 100039, Peoples R China; Nanjing Normal Univ, Coll Life Sci, Jiasu Key Lab Biodiv &amp; Biotech, Nanjing 210097, Peoples R China; Mianyang Normal Coll, Mianyang 621000, Peoples R China; Univ Illinois, Dept Nat Resources &amp; Environm Sci, Chicago, IL 04711 USA</t>
  </si>
  <si>
    <t>Chinese Academy of Sciences; Shenyang Institute of Applied Ecology, CAS; China West Normal University; Chinese Academy of Sciences; University of Chinese Academy of Sciences, CAS; Nanjing Normal University; Mianyang Teachers' College; University of Illinois System; University of Illinois Chicago; University of Illinois Chicago Hospital</t>
  </si>
  <si>
    <t>Hu, YM (corresponding author), Chinese Acad Sci, Inst Appl Ecol, Shenyang 110016, Peoples R China.</t>
  </si>
  <si>
    <t>huym@iae.ac.cn</t>
  </si>
  <si>
    <t>Liu, Miao/AAH-9655-2021; Xu, Chonggang/JQW-5315-2023</t>
  </si>
  <si>
    <t>Xu, Chonggang/0000-0002-0937-5744</t>
  </si>
  <si>
    <t>BRILL ACADEMIC PUBLISHERS</t>
  </si>
  <si>
    <t>LEIDEN</t>
  </si>
  <si>
    <t>PLANTIJNSTRAAT 2, P O BOX 9000, 2300 PA LEIDEN, NETHERLANDS</t>
  </si>
  <si>
    <t>1570-7555</t>
  </si>
  <si>
    <t>1570-7563</t>
  </si>
  <si>
    <t>ANIM BIOL</t>
  </si>
  <si>
    <t>Anim. Biol.</t>
  </si>
  <si>
    <t>238LX</t>
  </si>
  <si>
    <t>WOS:000251450200009</t>
  </si>
  <si>
    <t>Mohammadi, A; Kaboli, M</t>
  </si>
  <si>
    <t>Mohammadi, Alireza; Kaboli, Mohammad</t>
  </si>
  <si>
    <t>Evaluating wildlife-vehicle collision hotspots using kernel-based estimation: a focus on the endangered Asiatic cheetah in central Iran</t>
  </si>
  <si>
    <t>HUMAN-WILDLIFE INTERACTIONS</t>
  </si>
  <si>
    <t>Acinonyx jubatus venaticus; Kalmand-Bahadoran Protected Area; kernel density estimation; wildlife-vehicle collision</t>
  </si>
  <si>
    <t>PLACEMENT; LANDSCAPE; HIGHWAY</t>
  </si>
  <si>
    <t>The transportation networks within and adjacent to protected areas degrade natural habitats and contribute to a higher risk of mortality through roadkill. Following years of unplanned and unsustainable road network development in Iran, the protected areas of significant biodiversity value have suffered from such phenomenon. Yazd Province, one of Iran's important biodiversity reservoirs for large mammals, especially the Asiatic cheetah (Acinonyx jubatus venaticus), has witnessed a noticeable rate of road expansion along with an associated anthropogenic development. A large percentage (7 out of 50-70) of Asiatic cheetahs has been lost due to vehicle collisions in the region over the last decade. In this study, we employed a well-known spatially-explicit algorithm for density-based calculation of collision locations, adopting kernel density estimation method. We evaluated the location of 31 wildlife-vehicle collisions (WVCs) from 2007 to 2011, including 12 Persian gazelle (Gazella subgutturosa), 6 Asiatic cheetah, 5 striped hyena (Hyaena hyaena), 5 golden jackal (Canis aureus), 2 caracal (Caracal caracal), and 1 gray wolf (Canis lupus). Our results detected 4 hotspots of vehicle collisions in the Kalmand-Bahadoran Protected Area. The findings of this study could be employed to protect the populations of the Asiatic cheetah and other threatened species in this area. Potential mitigation strategies proposed include: wildlife warning sign usage, increasing public awareness, traffic devices to reduce vehicle speed in dangerous areas, utilization of warning lights for drivers, and improved crossing structures.</t>
  </si>
  <si>
    <t>[Mohammadi, Alireza; Kaboli, Mohammad] Univ Tehran, Fac Nat Resources, Dept Environm Sci, Karaj, Iran</t>
  </si>
  <si>
    <t>University of Tehran</t>
  </si>
  <si>
    <t>JACK H BERRYMAN INST</t>
  </si>
  <si>
    <t>LOGAN</t>
  </si>
  <si>
    <t>UTAH STATE UNIV, DEPT WILDLAND RESOURCES, LOGAN, UTAH 84322-5230 USA</t>
  </si>
  <si>
    <t>1934-4392</t>
  </si>
  <si>
    <t>1936-8046</t>
  </si>
  <si>
    <t>HUM-WILDL INTERACT</t>
  </si>
  <si>
    <t>Hum.-Wildl. Interact.</t>
  </si>
  <si>
    <t>DM1GE</t>
  </si>
  <si>
    <t>WOS:000376092600013</t>
  </si>
  <si>
    <t>Markham, KE; Sangermano, F</t>
  </si>
  <si>
    <t>Markham, K. E.; Sangermano, F.</t>
  </si>
  <si>
    <t>biodiversity; conservation planning; extinction risk; mining; protected areas</t>
  </si>
  <si>
    <t>MULTICRITERIA EVALUATION; DIETARY METHYLMERCURY; GIS; AMPHIBIANS; TRANSPORT; RIVER; BIODIVERSITY; EXPOSURE; BEHAVIOR; HOTSPOTS</t>
  </si>
  <si>
    <t>Illegal, artisanal and small-scale gold mining (ASGM) often occurs in remote highly biodiverse areas, such as the Madre de Dios region of Peru. Mercury used in gold mining bioaccumulates in the environment and poses developmental, hormonal, and neurological threats to wildlife. The impact of ASGM on biodiversity remains largely unknown. We used geographic information science to create a spatial model of pollution risk from mining sites, in order to predict locations and species assemblages at risk. Multicriteria evaluation was used to determine how flow accumulation, distance from mining areas, total suspended sediment load, and soil porosity influenced the vulnerability of regions to mercury pollution. Results suggest that there is considerable opportunity for protection of areas with high biodiversity and vulnerability north of the Madre de Dios River where much of the land is not protected. Our study highlights the need for future ASGM research to consider more than deforestation risk alone while protecting the areas' unmatched biodiversity.</t>
  </si>
  <si>
    <t>[Markham, K. E.] Clark Univ, IDCE Dept, Worcester, MA 01610 USA; [Sangermano, F.] Clark Univ, Grad Sch Geog, Worcester, MA 01610 USA</t>
  </si>
  <si>
    <t>Clark University; Clark University</t>
  </si>
  <si>
    <t>Markham, KE (corresponding author), Boise State Univ, 1865 W Cesar Chavez Ln, Boise, ID 83725 USA.</t>
  </si>
  <si>
    <t>KateMarkham@u.boisestate.edu</t>
  </si>
  <si>
    <t>Sangermano, Florencia/AAN-8744-2020</t>
  </si>
  <si>
    <t>Sangermano, Florencia/0000-0003-4437-4293</t>
  </si>
  <si>
    <t>George Perkins Marsh Institute's Geller Student Research Award; Clark University's Department of International Development, Community, and Environment's Travel Award</t>
  </si>
  <si>
    <t>The author(s) disclosed receipt of the following financial support for the research, authorship, and/or publication of this article: The funding was provided through the George Perkins Marsh Institute's Geller Student Research Award and Clark University's Department of International Development, Community, and Environment's Travel Award.</t>
  </si>
  <si>
    <t>SEP 4</t>
  </si>
  <si>
    <t>10.1177/1940082918794320</t>
  </si>
  <si>
    <t>GU3FY</t>
  </si>
  <si>
    <t>WOS:000445163000001</t>
  </si>
  <si>
    <t>Loveridge, AJ; Sousa, LL; Seymour-Smith, J; Hunt, J; Coals, P; O'Donnell, H; Lindsey, PA; Mandisodza-Chikerema, R; Macdonald, DW</t>
  </si>
  <si>
    <t>Loveridge, A. J.; Sousa, L. L.; Seymour-Smith, J.; Hunt, J.; Coals, P.; O'Donnell, H.; Lindsey, P. A.; Mandisodza-Chikerema, R.; Macdonald, D. W.</t>
  </si>
  <si>
    <t>KAZA TFCA; Bush-meat poaching; Snare; Panthera leo; Crocuta crocuta; Mortality</t>
  </si>
  <si>
    <t>ANTHROPOGENIC MORTALITY; AFRICAN SAVANNAS; POPULATIONS; CONSUMPTION; CONSERVATION; RESTORATION; PREDATORS; ECOSYSTEM; HUNTERS; FORESTS</t>
  </si>
  <si>
    <t>The bush-meat poaching crisis is a significant threat to biodiversity in tropical forest and savannah biomes, however its impacts on wild animal populations are often difficult to quantify across large spatial scales. Using data from 17 camera trap survey sites in southern Africa, within the Kavango-Zambezi (KAZA) Transfrontier Conservation Area, we show it is possible to assess the demographic impact of wire-snare bush-meat poaching on large carnivore populations, distribution of snaring hotspots and drivers of bush-meat poaching prevalence across this landscape. Results suggest that mortalities in snares may have significant demographic effects on lions (Panthera leo) and spotted hyaenas (Crocuta crocuta) with evidence for population declines and extirpation of large carnivores in the most heavily affected areas. Spatial drivers of bush-meat poaching were found to be a composite of anthropogenic threat scores, environmental resource extraction, protected area size and land-use type. Incidences of snared large carnivores were more prevalent in trophy hunting areas than national parks. Across our study sites, bush-meat poaching has the potential to cause severe declines in populations of large carnivores, particularly in small isolated protected areas surrounded by areas of high human population growth, with resulting loss of regional connectivity and increasing fragmentation of the KAZA landscape.</t>
  </si>
  <si>
    <t>[Loveridge, A. J.; Sousa, L. L.; Seymour-Smith, J.; Hunt, J.; Coals, P.; O'Donnell, H.; Macdonald, D. W.] Univ Oxford, Recanati Kaplan Ctr, Wildlife Conservat Res Unit, Abingdon OX13 5QL, Oxon, England; [Lindsey, P. A.] Wildlife Conservat Network, 209 Mississippi St, San Francisco, CA 94107 USA; [Mandisodza-Chikerema, R.] Zimbabwe Pk &amp; Wildlife Management Author, POB CY140,Causeway, Harare, Zimbabwe</t>
  </si>
  <si>
    <t>Loveridge, AJ (corresponding author), Univ Oxford, Recanati Kaplan Ctr, Wildlife Conservat Res Unit, Abingdon OX13 5QL, Oxon, England.</t>
  </si>
  <si>
    <t>L Sousa, Lara/L-7774-2013; Lindsey, Peter/J-8368-2012</t>
  </si>
  <si>
    <t>L Sousa, Lara/0000-0002-4392-3572; O'Donnell, Holly/0000-0002-2559-8788; Coals, Peter/0000-0002-1735-5487</t>
  </si>
  <si>
    <t>Robertson Foundation; Recanati-Kaplan Foundation; Cecil Fund</t>
  </si>
  <si>
    <t>We thank ZPWMA and Zimbabwe Forestry Commission for permission to undertake this research and assistance with fieldwork (surveys were undertaken under ZPWMA permits: DM/Gen/(T) 23(1)(c) (ii): 08/2013, 51/2014, 10/2015, 32/2015, 26/2016, 60/2016, 19/2017, 12/2018, 06/2019) and Forestry Commission permit: FHO/E/60/0040, February 2018). Surveys in Mana Pools, Matusadona and Chizarira NPs and Chete and Chirisa Safaris Areas were undertaken in partnership with the Zambezi Society and those in Zambezi NP and Matetsi North with Victoria Falls Wildlife Trust. We thank P. Musto, A. Wilkinson, R. Parry and A. Sibanda for assistance with logistics and field work on these surveys. This research was funded by the Robertson Foundation and Recanati-Kaplan Foundation and The Cecil Fund. Funders played no role in study design, analysis or decision to publish.</t>
  </si>
  <si>
    <t>10.1016/j.biocon.2020.108504</t>
  </si>
  <si>
    <t>LE5VA</t>
  </si>
  <si>
    <t>WOS:000526787400012</t>
  </si>
  <si>
    <t>Metzger, KL; Sinclair, ARE; Hilborn, R; Hopcraft, JGC; Mduma, SAR</t>
  </si>
  <si>
    <t>Metzger, K. L.; Sinclair, A. R. E.; Hilborn, Ray; Hopcraft, J. Grant C.; Mduma, Simon A. R.</t>
  </si>
  <si>
    <t>Evaluating the protection of wildlife in parks: the case of African buffalo in Serengeti</t>
  </si>
  <si>
    <t>African buffalo; Animal monitoring data; Enforcement; Illegal hunting; Instantaneous rate of population change; Serengeti National Park</t>
  </si>
  <si>
    <t>NATIONAL-PARK; LAW-ENFORCEMENT; LUANGWA VALLEY; CONSERVATION; DEMOGRAPHY; PREDATION; TANZANIA; DYNAMICS</t>
  </si>
  <si>
    <t>Human population growth rates on the borders of protected areas in Africa are nearly double the average rural growth, suggesting that protected areas attract human settlement. Increasing human populations could be a threat to biodiversity through increases in illegal hunting. In the Serengeti ecosystem, Tanzania, there have been marked declines in black rhino (Diceros bicornis), elephant (Loxodonta africana) and African buffalo (Syncerus caffer) inside the protected area during a period when there was a reduction of protection through anti-poaching effort (1976-1996). Subsequently, protection effort has increased and has remained stable. During both periods there were major differences in population decline and recovery in different areas. The purpose of this paper is to analyse the possible causes of the spatial differences. We used a spatially structured population model to analyze the impacts of three factors-(i) hunting, (ii) food shortage and (iii) natural predation. Population changes were best explained by illegal hunting but model fit improved with the addition of predation mortality and the effect of food supply in areas where hunting was least. We used a GIS analysis to determine variation in human settlement rates and related those rates to intrinsic population changes in buffalo. Buffalo populations in close proximity to areas with higher rates of human settlement had low or negative rates of increase and were slowest to recover or failed to recover at all. The increase in human populations along the western boundary of the Serengeti ecosystem has led to negative consequences for wildlife populations, pointing to the need for enforcement of wildlife laws to mitigate these effects.</t>
  </si>
  <si>
    <t>[Metzger, K. L.; Sinclair, A. R. E.] Univ British Columbia, Ctr Biodivers Res, Vancouver, BC V6T 1Z4, Canada; [Hilborn, Ray] Univ Washington, Sch Aquat &amp; Fishery Sci, Seattle, WA 98195 USA; [Hopcraft, J. Grant C.] Frankfurt Zool Soc, Serengeti, Tanzania; Univ Groningen, NL-9750 AA Haren, Netherlands; [Mduma, Simon A. R.] Tanzania Wildlife Res Inst, Serengeti Biodivers Programme, Arusha, Tanzania</t>
  </si>
  <si>
    <t>University of British Columbia; University of Washington; University of Washington Seattle; University of Groningen</t>
  </si>
  <si>
    <t>Metzger, KL (corresponding author), Univ British Columbia, Ctr Biodivers Res, 6270 Univ Blvd, Vancouver, BC V6T 1Z4, Canada.</t>
  </si>
  <si>
    <t>metzger@zoology.ubc.ca</t>
  </si>
  <si>
    <t>Hilborn, Ray/D-6332-2013</t>
  </si>
  <si>
    <t>Natural Sciences &amp; Engineering Research Council of Canada; Frankfurt Zoological Society</t>
  </si>
  <si>
    <t>Natural Sciences &amp; Engineering Research Council of Canada(Natural Sciences and Engineering Research Council of Canada (NSERC)); Frankfurt Zoological Society</t>
  </si>
  <si>
    <t>This work was made possible by the contribution of data from many sources; International Livestock Research Institute provided the Kenya human population data, M. Loibooki provided the Tanzanian human population census data, the Tanzania Wildlife Research Institute and the Frankfurt Zoological Society permitted us to use the current animal census data. We are grateful to Tanzania National Parks and Tanzania Wildlife Research Institute for their continued support of the Serengeti Biodiversity Program. This work has been funded by the Natural Sciences &amp; Engineering Research Council of Canada and the Frankfurt Zoological Society.</t>
  </si>
  <si>
    <t>10.1007/s10531-010-9904-z</t>
  </si>
  <si>
    <t>662PR</t>
  </si>
  <si>
    <t>WOS:000282824300008</t>
  </si>
  <si>
    <t>Liu, SL; Cui, BS; Dong, SK; Yang, ZF; Yang, M; Holt, K</t>
  </si>
  <si>
    <t>Liu, S. L.; Cui, B. S.; Dong, S. K.; Yang, Z. F.; Yang, M.; Holt, K.</t>
  </si>
  <si>
    <t>Road ecology; Landscape pattern; GIS; Fragmentation; Risk analysis</t>
  </si>
  <si>
    <t>HABITAT FRAGMENTATION; DENSITY; PATTERN</t>
  </si>
  <si>
    <t>In this paper, the methods of GIS buffer, spatial comparison, and scenario analysis were used to elucidate the influence of roads on landscape within Lancang River Valley. The results showed that forest and shrub land decreased while farmland and constructed land increased in the past 20 years in the study area. Also, the ecosystem's change rate near roads increased while the diversity evenness, patch density and human disturbance indices all decreased. Different aspects of road development had different negative consequences for the environment. In Lancang River Valley, forests were most affected by road network development, although there were also negative affects for grassland, farmland or shrub land and these differences varied by type of road. The greatest effects for forests were observed near high-level roads, while the greatest effects for farmland occurred near the low-level roads, Scenario analysis showed that the fractal dimension index, patch numbers, and average patch area of ecosystems decreased with development of road network density. The ecological risk analysis showed that various type roads cause different risk levels and that road density has a positive relationship with regional ecological risk level at county scale. Also, different ecological risk level exists in different level roads. Full road network data (density, level) should be considered to avoid the underestimate of the ecological effects. (C) 2008 Elsevier B.V All rights reserved.</t>
  </si>
  <si>
    <t>[Liu, S. L.; Cui, B. S.; Dong, S. K.; Yang, Z. F.; Yang, M.] Beijing Normal Univ, Sch Environm, State Key Lab Water Environm Simulat, Beijing 100875, Peoples R China; [Holt, K.] Univ Rochester, Dept Family Med, Rochester, NY 14620 USA</t>
  </si>
  <si>
    <t>Beijing Normal University; University of Rochester</t>
  </si>
  <si>
    <t>Liu, SL (corresponding author), Beijing Normal Univ, Sch Environm, State Key Lab Water Environm Simulat, Beijing 100875, Peoples R China.</t>
  </si>
  <si>
    <t>shiliangliu@yahoo.com.cn</t>
  </si>
  <si>
    <t>Liu, Shiliang/N-1885-2019; Dong, Shikui/GQA-6626-2022</t>
  </si>
  <si>
    <t>National Key and Important Program for Basic Research of China [2003CB415104]; National Natural Sciences Foundation of China [40501067]</t>
  </si>
  <si>
    <t>National Key and Important Program for Basic Research of China; National Natural Sciences Foundation of China(National Natural Science Foundation of China (NSFC))</t>
  </si>
  <si>
    <t>The project was supported by National Key and Important Program for Basic Research of China (No. 2003CB415104) and the National Natural Sciences Foundation of China (No. 40501067).</t>
  </si>
  <si>
    <t>SEP 2</t>
  </si>
  <si>
    <t>10.1016/j.ecoleng.2008.07.006</t>
  </si>
  <si>
    <t>363OK</t>
  </si>
  <si>
    <t>WOS:000260276400002</t>
  </si>
  <si>
    <t>Hull, V; Xu, WH; Liu, W; Zhou, SQ; Vina, A; Zhang, JD; Tuanmu, MN; Huang, JY; Linderman, M; Chen, XD; Huang, Y; Ouyang, ZY; Zhang, HM; Liu, JG</t>
  </si>
  <si>
    <t>Hull, Vanessa; Xu, Weihua; Liu, Wei; Zhou, Shiqiang; Vina, Andres; Zhang, Jindong; Tuanmu, Mao-Ning; Huang, Jinyan; Linderman, Marc; Chen, Xiaodong; Huang, Yan; Ouyang, Zhiyun; Zhang, Hemin; Liu, Jianguo</t>
  </si>
  <si>
    <t>Giant panda; Protected area; Zoning; Conservation; Development</t>
  </si>
  <si>
    <t>WOLONG NATURE-RESERVE; GIANT PANDA HABITAT; WILDLIFE HABITAT; NATURAL SYSTEMS; COUPLED HUMAN; CHINA; CONSERVATION; BIODIVERSITY; MULTICRITERIA; POPULATION</t>
  </si>
  <si>
    <t>Protected areas worldwide are facing increasing pressures to co-manage human development and biodiversity conservation. One strategy for managing multiple uses within and around protected areas is zoning, an approach in which spatial boundaries are drawn to distinguish areas with varying degrees of allowable human impacts. However, zoning designations are rarely evaluated for their efficacy using empirical data related to both human and biodiversity characteristics. To evaluate the effectiveness of zoning designations, we developed an integrated approach. The approach was calibrated empirically using data from Wolong Nature Reserve, a flagship protected area for the conservation of endangered giant pandas in China. We analyzed the spatial distribution of pandas, as well as human impacts (roads, houses, tourism infrastructure, livestock, and forest cover change) with respect to zoning designations in Wolong. Results show that the design of the zoning scheme could be improved to account for pandas and their habitat, considering the amount of suitable habitat outside of the core zone (area designated for biodiversity conservation). Zoning was largely successful in containing houses and roads to their designated experimental zone, but was less effective in containing livestock and was susceptible to boundary adjustments to allow for tourism development. We identified focus areas for potential zoning revision that could better protect the panda population without significantly compromising existing human settlements. Our findings highlight the need for evaluating the efficacy of zoning in other protected areas facing similar challenges with balancing human needs and conservation goals, not only in China but also around the world. (C) 2011 Elsevier Ltd. All rights reserved.</t>
  </si>
  <si>
    <t>[Hull, Vanessa; Liu, Wei; Vina, Andres; Tuanmu, Mao-Ning; Linderman, Marc; Chen, Xiaodong; Liu, Jianguo] Michigan State Univ, CSIS, Dept Fisheries &amp; Wildlife, E Lansing, MI 48823 USA; [Xu, Weihua; Zhang, Jindong; Ouyang, Zhiyun] Chinese Acad Sci, State Key Lab Urban &amp; Reg Ecol, Res Ctr Ecoenvironm Sci, Beijing 100085, Peoples R China; [Linderman, Marc] Univ Iowa, Dept Geog, Iowa City, IA 52242 USA; [Chen, Xiaodong] Univ N Carolina, Dept Geog, Chapel Hill, NC 27599 USA</t>
  </si>
  <si>
    <t>Michigan State University; Chinese Academy of Sciences; Research Center for Eco-Environmental Sciences (RCEES), CAS; University of Iowa; University of North Carolina; University of North Carolina Chapel Hill</t>
  </si>
  <si>
    <t>Hull, V (corresponding author), Michigan State Univ, CSIS, Dept Fisheries &amp; Wildlife, 1405 S Harrison Rd,Suite 115 Manly Miles Bldg, E Lansing, MI 48823 USA.</t>
  </si>
  <si>
    <t>Zhang, Jindong/NUP-7170-2025; Chen, Xiaodong/OYE-1586-2025; Viña, Andrés/KIE-0168-2024; Shiqiang, Zhou/G-1331-2019; Liu, Jianguo/G-5211-2015; Tuanmu, Mao-Ning/ABI-5979-2020; Liu, Wei/A-1649-2010</t>
  </si>
  <si>
    <t>Viña, Andrés/0000-0001-6240-6610; Liu, Jianguo/0000-0001-6344-0087; Tuanmu, Mao-Ning/0000-0002-8233-2935; Liu, Wei/0000-0003-3646-3456</t>
  </si>
  <si>
    <t>Wolong Nature Reserve administration; National Science Foundation (NSF); National Aeronautics and Space Administration (NASA); Michigan State University; William W. and Evelyn M. Taylor International Engagement Fellowship Program; National Natural Science Foundation of China [40901289]; State Key Laboratory of Urban and Regional Ecology, Research Center for Eco-Environmental Sciences; Chinese Academy of Sciences</t>
  </si>
  <si>
    <t>Wolong Nature Reserve administration; National Science Foundation (NSF)(National Science Foundation (NSF)); National Aeronautics and Space Administration (NASA)(National Aeronautics &amp; Space Administration (NASA)); Michigan State University(Michigan State University); William W. and Evelyn M. Taylor International Engagement Fellowship Program; National Natural Science Foundation of China(National Natural Science Foundation of China (NSFC)); State Key Laboratory of Urban and Regional Ecology, Research Center for Eco-Environmental Sciences; Chinese Academy of Sciences(Chinese Academy of Sciences)</t>
  </si>
  <si>
    <t>We gratefully acknowledge the Wolong Nature Reserve administration for their ongoing support for this and other studies. We thank the veterinary and research staff at the China Conservation and Research Center for the Giant Panda (CCRCGP) for their assistance with this work, including Rengui Li and Dian Liu. We also thank Shumin Fan and Wenbing Yang for their dedicated efforts in performing field work. We thank the National Science Foundation (NSF), the National Aeronautics and Space Administration (NASA), the Michigan State University Distinguished Fellowship Program, the William W. and Evelyn M. Taylor International Engagement Fellowship Program, the National Natural Science Foundation of China (40901289), and the State Key Laboratory of Urban and Regional Ecology, Research Center for Eco-Environmental Sciences, Chinese Academy of Sciences for providing funding for this work.</t>
  </si>
  <si>
    <t>10.1016/j.biocon.2011.09.007</t>
  </si>
  <si>
    <t>868KF</t>
  </si>
  <si>
    <t>WOS:000298521500034</t>
  </si>
  <si>
    <t>Handley, JM; Pearmain, EJ; Oppel, S; Carneiro, APB; Hazin, C; Phillips, RA; Ratcliffe, N; Staniland, IJ; Clay, TA; Hall, J; Scheffer, A; Fedak, M; Boehme, L; Pütz, K; Belchier, M; Boyd, IL; Trathan, PN; Dias, MP</t>
  </si>
  <si>
    <t>Handley, Jonathan M.; Pearmain, Elizabeth J.; Oppel, Steffen; Carneiro, Ana P. B.; Hazin, Carolina; Phillips, Richard A.; Ratcliffe, Norman; Staniland, Iain J.; Clay, Thomas A.; Hall, Jonathan; Scheffer, Annette; Fedak, Mike; Boehme, Lars; Puetz, Klemens; Belchier, Mark; Boyd, Ian L.; Trathan, Phil N.; Dias, Maria P.</t>
  </si>
  <si>
    <t>animal tracking; fisheries; important bird and biodiversity area; key biodiversity area; marine protected area; pinnipeds; seabirds</t>
  </si>
  <si>
    <t>SOUTH SANDWICH ISLANDS; ANTARCTIC FUR SEALS; IMPORTANT BIRD; OCEAN ALBATROSSES; CONSERVATION; PENGUINS; FISHERIES; GEORGIA; CLIMATE; KRILL</t>
  </si>
  <si>
    <t>Aim Marine protected areas can serve to regulate harvesting and conserve biodiversity. Within large multi-use MPAs, it is often unclear to what degree critical sites of biodiversity are afforded protection against commercial activities. Addressing this issue is a prerequisite if we are to appropriately assess sites against conservation targets. We evaluated whether the management regime of a large MPA conserved sites (Key Biodiversity Areas, KBAs) supporting the global persistence of top marine predators. Location Southwest Atlantic Ocean. Method We collated population and tracking data (1,418 tracks) from 14 marine predator species (Procellariiformes, Sphenisciformes, Pinnipedia) that breed at South Georgia and the South Sandwich Islands, and identified hotspots for their conservation under the recently developed KBA framework. We then evaluated the spatiotemporal overlap of these sites and the different management regimes of krill, demersal longline and pelagic trawl fisheries operating within a large MPA, which was created with the intention to protect marine predator species. Results We identified 12 new global marine KBAs that are important for this community of top predators, both within and beyond the focal MPA. Only three species consistently used marine areas at a time when a potentially higher-risk fishery was allowed to operate in that area, while other interactions between fisheries and our target species were mostly precluded by MPA management plans. Main conclusions We show that current fishery management measures within the MPA contribute to protecting top predators considered in this study and that resource harvesting within the MPA does not pose a major threat-under current climate conditions. Unregulated fisheries beyond the MPA, however, pose a likely threat to identified KBAs. Our approach demonstrates the utility of the KBA guidelines and multispecies tracking data to assess the contributing role of well-designed MPAs in achieving local and internationally agreed conservation targets.</t>
  </si>
  <si>
    <t>[Handley, Jonathan M.; Pearmain, Elizabeth J.; Carneiro, Ana P. B.; Hazin, Carolina; Dias, Maria P.] BirdLife Int, David Attenborough Bldg,Pembroke St, Cambridge CB2 3QZ, England; [Oppel, Steffen; Hall, Jonathan] Royal Soc Protect Birds, RSPB Ctr Conservat Sci, Sandy, Beds, England; [Phillips, Richard A.; Ratcliffe, Norman; Staniland, Iain J.; Belchier, Mark] British Antarctic Survey, Nat Environm Res Council, Cambridge, England; [Clay, Thomas A.; Trathan, Phil N.] Univ Liverpool, Sch Environm Sci, Liverpool, Merseyside, England; [Scheffer, Annette] Marine Stewardship Council, AS, London, England; [Scheffer, Annette] Univ Azores, Okeanos Ctr, P-9901862 Horta, Portugal; [Fedak, Mike; Boehme, Lars; Boyd, Ian L.] Univ St Andrews, St Andrews, Fife, Scotland; [Puetz, Klemens] Antarctic Res Trust, Bremervorde, Germany</t>
  </si>
  <si>
    <t>BirdLife International; Royal Society for Protection of Birds; UK Research &amp; Innovation (UKRI); Natural Environment Research Council (NERC); NERC British Antarctic Survey; University of Liverpool; Universidade dos Acores; University of St Andrews</t>
  </si>
  <si>
    <t>Handley, JM (corresponding author), BirdLife Int, David Attenborough Bldg,Pembroke St, Cambridge CB2 3QZ, England.</t>
  </si>
  <si>
    <t>jonathan.m.handley@gmail.com</t>
  </si>
  <si>
    <t>; Dias, Maria/D-1331-2012; Boehme, Lars/B-6567-2009; Oppel, Steffen/H-2771-2019; Fedak, Michael/B-3987-2009; Clay, Tommy/W-4867-2019; Carneiro, Ana Paula/IQT-6077-2023; Staniland, Iain/I-4725-2012</t>
  </si>
  <si>
    <t>, Ana/0000-0003-0573-7549; Handley, Jonathan/0000-0001-6468-338X; Dias, Maria/0000-0002-7281-4391; Boehme, Lars/0000-0003-3513-6816; Pearmain, Elizabeth/0000-0002-6600-1482; Oppel, Steffen/0000-0002-8220-3789; Fedak, Michael/0000-0002-9569-1128;</t>
  </si>
  <si>
    <t>Pew Bertarelli Ocean Legacy Project of the Pew Charitable Trusts; Bertarelli Foundation; NERC [bas0100035] Funding Source: UKRI; Natural Environment Research Council [bas0100035] Funding Source: researchfish</t>
  </si>
  <si>
    <t>Pew Bertarelli Ocean Legacy Project of the Pew Charitable Trusts; Bertarelli Foundation; NERC(UK Research &amp; Innovation (UKRI)Natural Environment Research Council (NERC)); Natural Environment Research Council(UK Research &amp; Innovation (UKRI)Natural Environment Research Council (NERC))</t>
  </si>
  <si>
    <t>Pew Bertarelli Ocean Legacy Project of the Pew Charitable Trusts and Bertarelli Foundation.</t>
  </si>
  <si>
    <t>10.1111/ddi.13041</t>
  </si>
  <si>
    <t>LP8VM</t>
  </si>
  <si>
    <t>WOS:000525941200001</t>
  </si>
  <si>
    <t>Gallardo, B; Aldridge, DC</t>
  </si>
  <si>
    <t>Gallardo, Belinda; Aldridge, David C.</t>
  </si>
  <si>
    <t>BIOMOD; Ensemble distribution models; Europe; Random forest; Species distribution models; Species translocation</t>
  </si>
  <si>
    <t>MUSSEL DREISSENA-POLYMORPHA; CRAYFISH PACIFASTACUS-LENIUSCULUS; DEPRESSED-RIVER-MUSSEL; ZEBRA MUSSEL; SIGNAL CRAYFISH; PSEUDANODONTA-COMPLANATA; EXTINCTION RISK; MODELS; DISTRIBUTIONS; UNIONIDAE</t>
  </si>
  <si>
    <t>Climate change and invasive species are two major biodiversity threats expected to provoke extinctions of many species in the future. This study evaluates the joint threat posed by climate change and two invasive species: the zebra mussel (Dreissena polymorpha) and the signal crayfish (Pacifastacus leniusculus), on the distribution of two endangered freshwater species: the depressed river mussel (Pseudanodonta complanata) and the white-clawed crayfish (Austropotamobius pallipes), at the scale of Europe. We expected the native species to experience a gradual contraction over time in their geographic range size, while the invasive species would maintain or increase their spread; therefore, their overlap would increase, further threatening the conservation of the native species. To test these three hypotheses, ensemble species distribution models (SDMs) were calibrated with current distributions and projected onto present and 2050 future climatic scenarios. In agreement with our expectations, the 2050 scenarios suggested D. polymorpha may strongly benefit from climate changes (increase of 15-20% in range size), while the depressed river mussel would experience a considerable loss (14-36%), the overlap between both mussels increasing up to 24%. Although both crayfishes were predicted to be negatively affected by climate changes, the contraction was more severe for the invasive P. leniusculus (up to 32% decrease in range size). Moreover, the overlap between both crayfishes decreased by 13-16%, which may reduce the pressure upon the native A. pallipes. This study illustrates how SDMs can assist in management of endangered species over large spatial and temporal scales by identifying current and future areas of shared bioclimatic suitability and potential refugia. (C) 2013 Elsevier Ltd. All rights reserved.</t>
  </si>
  <si>
    <t>[Gallardo, Belinda; Aldridge, David C.] Univ Cambridge, Dept Zool, Aquat Ecol Grp, Cambridge CB2 3EJ, England</t>
  </si>
  <si>
    <t>University of Cambridge</t>
  </si>
  <si>
    <t>Gallardo, B (corresponding author), Univ Cambridge, Dept Zool, Aquat Ecol Grp, Downing St, Cambridge CB2 3EJ, England.</t>
  </si>
  <si>
    <t>bg3062@cam.ac.uk</t>
  </si>
  <si>
    <t>; Gallardo, Belinda/H-9038-2013</t>
  </si>
  <si>
    <t>Alidge, David/0000-0001-9067-8592; Gallardo, Belinda/0000-0002-1552-8233</t>
  </si>
  <si>
    <t>European Commission [251785]</t>
  </si>
  <si>
    <t>European Commission(European Union (EU)European Commission Joint Research Centre)</t>
  </si>
  <si>
    <t>The research leading to these results has received funding from the European Commission (FP7/2007-2013, Marie Curie IEF program) under Grant agreement No. 251785.</t>
  </si>
  <si>
    <t>10.1016/j.biocon.2013.02.001</t>
  </si>
  <si>
    <t>168DA</t>
  </si>
  <si>
    <t>WOS:000320684700025</t>
  </si>
  <si>
    <t>Van Lanen, NJ; Green, AW; Gorman, TR; Quattrini, LA; Pavlacky, DC</t>
  </si>
  <si>
    <t>Van Lanen, Nicholas J.; Green, Adam W.; Gorman, Taylor R.; Quattrini, Laura A.; Pavlacky, David C., Jr.</t>
  </si>
  <si>
    <t>Greater sage-grouse; Collisions; Mortality; Fence; Sagebrush; Tetraonid</t>
  </si>
  <si>
    <t>MULTISCALE OCCUPANCY ESTIMATION; LESSER PRAIRIE-CHICKEN; POWER-LINES; TYMPANUCHUS-PALLIDICINCTUS; WOODLAND GROUSE; CONSERVATION; POPULATIONS; MORTALITY; SURVIVAL; ANIMALS</t>
  </si>
  <si>
    <t>Anthropogenic infrastructure routinely interferes with wildlife movement, habitat use, and survival. Grouse in the family Phasianidae may be particularly susceptible to collisions with fences due to their morphology and life history. Because many Phasianid species are of conservation concern, managers often deploy markers on fences to reduce collision-associated mortality. However, scarce information on the effectiveness of different marker styles or the effects of local and landscape features on collision risk exists. Our objectives were to (1) determine the effectiveness of different marker styles in reducing collisions, (2) estimate the effects of local and landscape features on collision risk, and (3) evaluate an existing greater sage-grouse (Centrocercus urophasianus) collision risk model. We conducted greater sage-grouse collision surveys within Sublette County, Wyoming, USA in March and April of 2014 and 2015. Data were analyzed in a multi-scale occupancy model accounting for incomplete detection of collisions. We found substantial evidence for the ability of all markers to reduce collisions (57% reduction), with little difference between the tested marker types. We found strong evidence for lower collision probabilities at fences with wood posts and on fences farther from leks. Our results also indicated a negative relationship between collision probabilities and the difference between fence and vegetation heights. We observed little evidence for differences in collision risk between areas defined as high or moderate risk in a preexisting collision risk map. We recommend integrating fence marking into conservation practices requiting fencing, and prioritizing fence marking near leks in areas with greater fence exposure.</t>
  </si>
  <si>
    <t>[Van Lanen, Nicholas J.; Green, Adam W.; Gorman, Taylor R.; Quattrini, Laura A.; Pavlacky, David C., Jr.] Bird Conservancy Rockies, 14500 Lark Bunting Lane, Brighton, CO 80603 USA</t>
  </si>
  <si>
    <t>Van Lanen, NJ (corresponding author), Bird Conservancy Rockies, 14500 Lark Bunting Lane, Brighton, CO 80603 USA.</t>
  </si>
  <si>
    <t>nick.vanlanen@birdconservancy.org</t>
  </si>
  <si>
    <t>, David/U-4871-2018; Green, Adam/AAH-2892-2019</t>
  </si>
  <si>
    <t>Van Lanen, Nicholas/0000-0003-0871-0261</t>
  </si>
  <si>
    <t>USDA Natural Resources Conservation Service (NRCS) [69-3A75-12-188]</t>
  </si>
  <si>
    <t>USDA Natural Resources Conservation Service (NRCS)</t>
  </si>
  <si>
    <t>This project was funded entirely through a Conservation Innovation Grant (69-3A75-12-188, 2012) provided through the USDA Natural Resources Conservation Service (NRCS). We thank Tom Christiansen of the Wyoming Game and Fish Department for sharing his expertise on greater sage-grouse feather identification, identifying evidence of collisions on fencing, and survey methodology. Dale Woolwine of the Wyoming Bureau of Land Management provided the fence layer shapefiles used for sample selection, advice regarding survey methods, assistance with covariate data collection used in analysis, and was instrumental in assisting with field logistics and access to survey sites. We thank Tony Mong of Wyoming Game and Fish Department for providing greater sage-grouse lek data used in analyses. We greatly appreciate Bird Conservancy staff, as well as their families and friends, for helping to add the reflective tape to the vinyl markers. We appreciate the efforts of David Kramer, Jenny Berven, Eric DeFonso, as well as Meghann Durbrow and her NRCS staff for their assistance installing fence markers. Additionally, Jenny Berven created maps of the study sites and Brittany Woiderski provided GIS support to measure spatial covariates. We would like to acknowledge Galen Reid who volunteered his time to collect data during the 2014 field season. We also thank field technicians Angela Stemen (2014) and Josh Olsen (2015) for their efforts collecting data in the field.</t>
  </si>
  <si>
    <t>10.1016/j.biocon.2017.06.030</t>
  </si>
  <si>
    <t>FG3CJ</t>
  </si>
  <si>
    <t>WOS:000410014100010</t>
  </si>
  <si>
    <t>Chytry, M; Pysek, P; Wild, J; Pino, J; Maskell, LC; Vilà, M</t>
  </si>
  <si>
    <t>Chytry, Milan; Pysek, Petr; Wild, Jan; Pino, Joan; Maskell, Lindsay C.; Vila, Montserrat</t>
  </si>
  <si>
    <t>Biological invasions; CORINE land cover; EUNIS habitat classification; habitat type; non-native species; risk assessment</t>
  </si>
  <si>
    <t>SPECIES RICHNESS; PROPAGULE PRESSURE; SCALE; BIODIVERSITY; PATTERNS; FLORA; INVASIBILITY; MODEL</t>
  </si>
  <si>
    <t>Recent studies using vegetation plots have demonstrated that habitat type is a good predictor of the level of plant invasion, expressed as the proportion of alien to all species. At local scale, habitat types explain the level of invasion much better than alien propagule pressure. Moreover, it has been shown that patterns of habitat invasion are consistent among European regions with contrasting climates, biogeography, history and socioeconomic background. Here we use these findings as a basis for mapping the level of plant invasion in Europe. European Union and some adjacent countries. We used 52,480 vegetation plots from Catalonia (NE Spain), Czech Republic and Great Britain to quantify the levels of invasion by neophytes (alien plant species introduced after ad 1500) in 33 habitat types. Then we estimated the proportion of each of these habitat types in CORINE land-cover classes and calculated the level of invasion for each class. We projected the levels of invasion on the CORINE land-cover map of Europe, extrapolating Catalonian data to the Mediterranean bioregion, Czech data to the Continental bioregion, British data to the British Isles and combined Czech-British data to the Atlantic and Boreal bioregions. The highest levels of invasion were predicted for agricultural, urban and industrial land-cover classes, low levels for natural and semi-natural grasslands and most woodlands, and the lowest levels for sclerophyllous vegetation, heathlands and peatlands. The resulting map of the level of invasion reflected the distribution of these land-cover classes across Europe. High level of invasion is predicted in lowland areas of the temperate zone of western and central Europe and low level in the boreal zone and mountain regions across the continent. Low level of invasion is also predicted in the Mediterranean region except its coastline, river corridors and areas with irrigated agricultural land.</t>
  </si>
  <si>
    <t>[Chytry, Milan] Masaryk Univ, Dept Bot &amp; Zool, CZ-61137 Brno, Czech Republic; [Pysek, Petr; Wild, Jan] Acad Sci Czech Republ, Inst Bot, CZ-25243 Pruhonice, Czech Republic; [Pysek, Petr] Charles Univ Prague, Fac Sci, Dept Ecol, CZ-12801 Prague, Czech Republic; [Pino, Joan] Autonomous Univ Barcelona, CREAF, E-08193 Bellaterra, Spain; [Pino, Joan] Autonomous Univ Barcelona, Unit Ecol, Dept Anim &amp; Plant Biol &amp; Ecol, E-08193 Bellaterra, Spain; [Maskell, Lindsay C.] Lancaster Environm Ctr, Ctr Ecol &amp; Hydrol, Bailrigg LA1 4AP, England; [Vila, Montserrat] CSIC, Biol Stn Donana EBD, E-41013 Seville, Spain</t>
  </si>
  <si>
    <t>Masaryk University; Czech Academy of Sciences; Institute of Botany of the Czech Academy of Sciences; Charles University Prague; Centro de Investigacion Ecologica y Aplicaciones Forestales (CREAF-CERCA); Autonomous University of Barcelona; Autonomous University of Barcelona; UK Centre for Ecology &amp; Hydrology (UKCEH); Lancaster University; Consejo Superior de Investigaciones Cientificas (CSIC); CSIC - Estacion Biologica de Donana (EBD)</t>
  </si>
  <si>
    <t>Chytry, M (corresponding author), Masaryk Univ, Dept Bot &amp; Zool, Kotlarska 2, CZ-61137 Brno, Czech Republic.</t>
  </si>
  <si>
    <t>chytry@sci.muni.cz</t>
  </si>
  <si>
    <t>Wild, Jan/G-2380-2010; Vila, Montserrat/D-9339-2013; Pysek, Petr/B-1957-2012; Pino, Joan/H-6253-2015; Chytrý, Milan/J-4954-2012</t>
  </si>
  <si>
    <t>Wild, Jan/0000-0003-3007-4070; Pino, Joan/0000-0003-0939-7502; Chytrý, Milan/0000-0002-8122-3075</t>
  </si>
  <si>
    <t>Integrated Project ALARM [GOCE-CT-2003-506675]; European Union [MSM0021622416, MSM0021620828, LC06073]; Ministry of Education of the Czech Republic [AV0Z60050516]; Academy of Sciences of the Czech Republic; Natural Environment Research Council [CEH010021] Funding Source: researchfish</t>
  </si>
  <si>
    <t>Integrated Project ALARM; European Union(European Union (EU)); Ministry of Education of the Czech Republic(Ministry of Education, Youth &amp; Sports - Czech Republic); Academy of Sciences of the Czech Republic(Czech Academy of Sciences); Natural Environment Research Council(UK Research &amp; Innovation (UKRI)Natural Environment Research Council (NERC))</t>
  </si>
  <si>
    <t>We appreciate the help of Xavier Font and Simon Smart with the preparation of vegetation-plot data, and useful comments by Ingolf Kuhn, Tom Stohlgren and an anonymous referee. This work was supported by the Integrated Project ALARM (GOCE-CT-2003-506675) of the FP6 of the European Union and projects MSM0021622416, MSM0021620828 and LC06073 from the Ministry of Education of the Czech Republic, and AV0Z60050516 from the Academy of Sciences of the Czech Republic.</t>
  </si>
  <si>
    <t>10.1111/j.1472-4642.2008.00515.x</t>
  </si>
  <si>
    <t>381FP</t>
  </si>
  <si>
    <t>WOS:000261521400010</t>
  </si>
  <si>
    <t>Brown, CJ; Hamilton, RJ</t>
  </si>
  <si>
    <t>Brown, Christopher J.; Hamilton, Richard J.</t>
  </si>
  <si>
    <t>Bayesian modeling; beta diversity; ecological indicator; latent variable; logging; multispecies distribution modeling; water quality</t>
  </si>
  <si>
    <t>BETA-DIVERSITY; BIODIVERSITY; COMMUNITIES; HABITAT</t>
  </si>
  <si>
    <t>Ecological communities typically change along gradients of human impact, although it is difficult to estimate the footprint of impacts for diffuse threats such as pollution. We developed a joint model (i.e., one that includes multiple species and their interactions with each other and environmental covariates) of benthic habitats on lagoonal coral reefs and used it to infer change in benthic composition along a gradient of distance from logging operations. The model estimated both changes in abundances of benthic groups and their compositional turnover, a type of beta diversity. We used the model to predict the footprint of turbidity impacts from past and recent logging. Benthic communities far from logging were dominated by branching corals, whereas communities close to logging had higher cover of dead coral, massive corals, and soft sediment. Recent impacts were predicted to be small relative to the extensive impacts of past logging because recent logging has occurred far from lagoonal reefs. Our model can be used more generally to estimate the footprint of human impacts on ecosystems and evaluate the benefits of conservation actions for ecosystems.</t>
  </si>
  <si>
    <t>[Brown, Christopher J.] Griffith Univ, Australian Rivers Inst, 170 Kessels Rd, Nathan, Qld 4111, Australia; [Hamilton, Richard J.] Nature Conservancy, Asia Pacific Resource Ctr, 48 Montague Rd, South Brisbane, Qld 4101, Australia; [Hamilton, Richard J.] James Cook Univ, ARC Ctr Excellence Coral Reef Studies, Townsville, Qld 4811, Australia</t>
  </si>
  <si>
    <t>Griffith University; Nature Conservancy; James Cook University; ARC Centre of Excellence for Coral Reef Studies</t>
  </si>
  <si>
    <t>Brown, CJ (corresponding author), Griffith Univ, Australian Rivers Inst, 170 Kessels Rd, Nathan, Qld 4111, Australia.</t>
  </si>
  <si>
    <t>chris.brown@griffith.edu.au</t>
  </si>
  <si>
    <t>; Brown, Christopher/G-4287-2011</t>
  </si>
  <si>
    <t>Hamilton, Richard/0000-0002-0076-4276; Brown, Christopher/0000-0002-7271-4091</t>
  </si>
  <si>
    <t>Isabel Provincial Government; Solomon Islands Ministry of Fisheries and Marine Resources; Solomon Islands Ministry of Environment, Climate Change, Disaster Management and Meteorology; Australian Research Council [DE160101207]; Science for Nature and People Partnership (SNAPP); Kia House of Chiefs; Australian Research Council [DE160101207] Funding Source: Australian Research Council</t>
  </si>
  <si>
    <t>Isabel Provincial Government; Solomon Islands Ministry of Fisheries and Marine Resources; Solomon Islands Ministry of Environment, Climate Change, Disaster Management and Meteorology; Australian Research Council(Australian Research Council); Science for Nature and People Partnership (SNAPP); Kia House of Chiefs; Australian Research Council</t>
  </si>
  <si>
    <t>We thank the Kia House of Chiefs, Isabel Provincial Government, Solomon Islands Ministry of Fisheries and Marine Resources, and Solomon Islands Ministry of Environment, Climate Change, Disaster Management and Meteorology for supporting this work. We thank G. Almany, C. Gereniu, W. Dolava, W. Enota, M. Giningele, P. Kame, F. Kavali, L. Madada, and D. Motui for partaking in the UVC survey. C.J.B. was supported by a Discovery Early Career Researcher Award (DE160101207) from the Australian Research Council. Funding was also provided by the Science for Nature and People Partnership (SNAPP) to the Ridges to Reef Fisheries Working Group. SNAPP is a collaboration of The Nature Conservancy, the Wildlife Conservation Society, and the National Center for Ecological Analysis and Synthesis (NCEAS).</t>
  </si>
  <si>
    <t>10.1111/cobi.13079</t>
  </si>
  <si>
    <t>GM5SE</t>
  </si>
  <si>
    <t>WOS:000438200100020</t>
  </si>
  <si>
    <t>Hogan, DM; Labiosa, W; Pearlstine, L; Hallac, D; Strong, D; Hearn, P; Bernknopf, R</t>
  </si>
  <si>
    <t>Hogan, Dianna M.; Labiosa, William; Pearlstine, Leonard; Hallac, David; Strong, David; Hearn, Paul; Bernknopf, Richard</t>
  </si>
  <si>
    <t>Estimating the Cumulative Ecological Effect of Local Scale Landscape Changes in South Florida</t>
  </si>
  <si>
    <t>Ecosystem services; Ecological value; South Miami-Dade watershed study and plan; GIS; Florida Everglades; Model; Land use planning</t>
  </si>
  <si>
    <t>SURFACE-WATER QUALITY; LAND-USE; BIODIVERSITY; WETLANDS; CONSERVATION; AGRICULTURE; POLLUTION; AREA</t>
  </si>
  <si>
    <t>Ecosystem restoration in south Florida is a state and national priority centered on the Everglades wetlands. However, urban development pressures affect the restoration potential and remaining habitat functions of the natural undeveloped areas. Land use (LU) planning often focuses at the local level, but a better understanding of the cumulative effects of small projects at the landscape level is needed to support ecosystem restoration and preservation. The South Florida Ecosystem Portfolio Model (SFL EPM) is a regional LU planning tool developed to help stakeholders visualize LU scenario evaluation and improve communication about regional effects of LU decisions. One component of the SFL EPM is ecological value (EV), which is evaluated through modeled ecological criteria related to ecosystem services using metrics for (1) biodiversity potential, (2) threatened and endangered species, (3) rare and unique habitats, (4) landscape pattern and fragmentation, (5) water quality buffer potential, and (6) ecological restoration potential. In this article, we demonstrate the calculation of EV using two case studies: (1) assessing altered EV in the Biscayne Gateway area by comparing 2004 LU to potential LU in 2025 and 2050, and (2) the cumulative impact of adding limestone mines south of Miami. Our analyses spatially convey changing regional EV resulting from conversion of local natural and agricultural areas to urban, industrial, or extractive use. Different simulated local LU scenarios may result in different alterations in calculated regional EV. These case studies demonstrate methods that may facilitate evaluation of potential future LU patterns and incorporate EV into decision making.</t>
  </si>
  <si>
    <t>[Hogan, Dianna M.; Strong, David; Hearn, Paul] US Geol Survey, Eastern Geog Sci Ctr, Reston, VA 20192 USA; [Labiosa, William] US Geol Survey, Western Geog Sci Ctr, Seattle, WA USA; [Pearlstine, Leonard; Hallac, David] Natl Pk Serv, Homestead, FL USA; [Bernknopf, Richard] US Geol Survey, Western Geog Sci Ctr, Menlo Pk, CA 94025 USA</t>
  </si>
  <si>
    <t>United States Department of the Interior; United States Geological Survey; United States Department of the Interior; United States Geological Survey; United States Department of the Interior; US National Park Service; United States Department of the Interior; United States Geological Survey</t>
  </si>
  <si>
    <t>Hogan, DM (corresponding author), US Geol Survey, Eastern Geog Sci Ctr, 12201 Sunrise Valley Dr,MSN 521, Reston, VA 20192 USA.</t>
  </si>
  <si>
    <t>dhogan@usgs.gov</t>
  </si>
  <si>
    <t>10.1007/s00267-011-9771-8</t>
  </si>
  <si>
    <t>905UG</t>
  </si>
  <si>
    <t>WOS:000301300200018</t>
  </si>
  <si>
    <t>Kitzes, J; Shirley, R</t>
  </si>
  <si>
    <t>Kitzes, Justin; Shirley, Rebekah</t>
  </si>
  <si>
    <t>Impact assessment; Population; Abundance; Land use; Landscape</t>
  </si>
  <si>
    <t>SPECIES-AREA RELATIONSHIPS; EXTINCTION; CONSERVATION; HOTSPOTS; EVOLUTIONARY; ASSEMBLAGES; CHALLENGES; DIVERSITY; CLIMATE; DAM</t>
  </si>
  <si>
    <t>In many regions of the world, biodiversity surveys are not routinely conducted prior to activities that lead to land conversion, such as development projects. Here we use top-down methods based on global range maps and bottom-up methods based on macroecological scaling laws to illuminate the otherwise hidden biodiversity impacts of three large hydroelectric dams in the state of Sarawak in northern Borneo. Our retrospective impact assessment finds that the three reservoirs inundate habitat for 331 species of birds (3 million individuals) and 164 species of mammals (110 million individuals). A minimum of 2100 species of trees (900 million individuals) and 17 700 species of arthropods (34 billion individuals) are estimated to be affected by the dams. No extinctions of bird, mammal, or tree species are expected due to habitat loss following reservoir inundation, while 4-7 arthropod species extinctions are predicted. These assessment methods are applicable to any data-limited system undergoing land-use change.</t>
  </si>
  <si>
    <t>[Kitzes, Justin; Shirley, Rebekah] Univ Calif Berkeley, Energy &amp; Resources Grp, Berkeley, CA 94720 USA</t>
  </si>
  <si>
    <t>University of California System; University of California Berkeley</t>
  </si>
  <si>
    <t>Kitzes, J (corresponding author), Univ Calif Berkeley, Energy &amp; Resources Grp, 310 Barrows Hall, Berkeley, CA 94720 USA.</t>
  </si>
  <si>
    <t>jkitzes@berkeley.edu; rebekah.shirley@berkeley.edu</t>
  </si>
  <si>
    <t>; Kitzes, Justin/D-1818-2011</t>
  </si>
  <si>
    <t>Kitzes, Justin/0000-0001-7839-3594; Shirley, Rebekah G/0000-0003-2333-2246</t>
  </si>
  <si>
    <t>National Science Foundation; Direct For Biological Sciences; Emerging Frontiers [1137685] Funding Source: National Science Foundation</t>
  </si>
  <si>
    <t>National Science Foundation(National Science Foundation (NSF)); Direct For Biological Sciences; Emerging Frontiers(National Science Foundation (NSF)NSF - Directorate for Biological Sciences (BIO))</t>
  </si>
  <si>
    <t>We thank D. Kamman, J. Harte, and M. Potts for helpful comments on drafts of this manuscript. This work was supported in part by an Advancing Theory in Biology award from the National Science Foundation.</t>
  </si>
  <si>
    <t>10.1007/s13280-015-0683-3</t>
  </si>
  <si>
    <t>DA8EV</t>
  </si>
  <si>
    <t>WOS:000368038800010</t>
  </si>
  <si>
    <t>Stroud, JT; Giery, ST; Outerbridge, ME</t>
  </si>
  <si>
    <t>Stroud, James T.; Giery, Sean T.; Outerbridge, Mark E.</t>
  </si>
  <si>
    <t>Anolis; Invasive species; Oceanic island; Endemic; Endangered; Competition; Niche</t>
  </si>
  <si>
    <t>LIZARD</t>
  </si>
  <si>
    <t>Bermuda is an isolated, oceanic island with only one endemic terrestrial vertebrate, the Critically Endangered Bermuda skink (Plestiodon longirostris; Squamata, Scincidae). Major declines in P. longirostris populations have been caused primarily by habitat loss and mortality via invasive species (e.g., predation from birds and cats) and human waste products (e.g., trapped in discarded bottles). However, biotic interactions and interspecific competition with invasive lizards have also been identified as potentially detrimental to P. longisrostris populations. Here, we provide the first occurrence records of a highly invasive lizard, the Cuban brown anole (Anolis sagrei), on Bermuda. We assess the brown anole's diet, habitat use, morphology, and island-wide distribution for comparison to the native skink, P. longirostris. Results of this study indicate that A. sagrei in Bermuda are highly terrestrial (&gt;60% of all lizards observed on the ground vs. in trees) and forage primarily on terrestrial invertebrates. These data indicate substantial ecological overlap with the exclusively-terrestrial P. longirostris. This is in contrast to the other established non-native lizards on Bermuda, which are principally arboreal and have successfully coexisted with P. longirostris for [60 years. At present, the geographic distributions of A. sagrei and P. longirostris do not overlap. However, all extant skink populations are within several kilometers of brown anole populations (with the nearest being &lt;0.5 km). The extensive overlap in ecological niche between the Bermuda skink and the invasive brown anole will likely present a serious conservation threat if contact is made. This study is exceptional in providing clear in situ ecological data which predict a conservation threat of an established invasive species to a Critically Endangered island endemic prior to coexistence. Continued monitoring of this situation as P. longirostris and A. sagrei inevitably come into contact will allow these a priori hypotheses of conservation risk via ecological overlap to be tested.</t>
  </si>
  <si>
    <t>[Stroud, James T.] Florida Int Univ, Dept Biol Sci, Miami, FL 33199 USA; [Stroud, James T.] Fairchild Trop Bot Gardens, Coral Gables, FL 33156 USA; [Giery, Sean T.] North Carolina State Univ, Dept Appl Ecol, Raleigh, NC 27695 USA; [Outerbridge, Mark E.] Dept Environm &amp; Nat Resources, 17 North Shore Rd, Hamilton Parish FL04, Bermuda</t>
  </si>
  <si>
    <t>State University System of Florida; Florida International University; North Carolina State University</t>
  </si>
  <si>
    <t>Stroud, JT (corresponding author), Florida Int Univ, Dept Biol Sci, Miami, FL 33199 USA.</t>
  </si>
  <si>
    <t>jamesTstroud@gmail.com</t>
  </si>
  <si>
    <t>Giery, Sean/0000-0003-3774-5295; Stroud, James/0000-0003-0734-6795</t>
  </si>
  <si>
    <t>FIU Judith Evans Parker Travel Fund; FIU Dissertation Evidence Acquisition Fellowship; NSF DEB [1406399]; Bermuda Zoological Society (Eric Clee Fund); Direct For Biological Sciences; Division Of Environmental Biology [1406399] Funding Source: National Science Foundation</t>
  </si>
  <si>
    <t>FIU Judith Evans Parker Travel Fund; FIU Dissertation Evidence Acquisition Fellowship; NSF DEB(National Science Foundation (NSF)NSF - Directorate for Biological Sciences (BIO)); Bermuda Zoological Society (Eric Clee Fund); Direct For Biological Sciences; Division Of Environmental Biology(National Science Foundation (NSF)NSF - Directorate for Biological Sciences (BIO))</t>
  </si>
  <si>
    <t>This is contribution #246, Bermuda Biodiversity Project (BBP), Bermuda Aquarium, Natural History Museum and Zoo, Department of Environment and Natural Resources. We thank the Bermuda Zoological Society (Eric Clee Fund) for financial research support, as well as to Thad and Evan Outerbridge for providing accommodation. We thank Kenneth Feeley, Evan Rehm, Rachel Hillyer, Catherine Bravo-Avila, Jason Kolbe, Joe Macedonia, and one anonymous reviewer for providing important and insightful comments on previous versions of this manuscript. JS was supported by the FIU Judith Evans Parker Travel Fund and an FIU Dissertation Evidence Acquisition Fellowship. STG was supported by NSF DEB #1406399.</t>
  </si>
  <si>
    <t>10.1007/s10530-017-1389-1</t>
  </si>
  <si>
    <t>EV9YG</t>
  </si>
  <si>
    <t>WOS:000402143200004</t>
  </si>
  <si>
    <t>Meentemeyer, RK; Cunniffe, NJ; Cook, AR; Filipe, JAN; Hunter, RD; Rizzo, DM; Gilligan, CA</t>
  </si>
  <si>
    <t>Meentemeyer, Ross K.; Cunniffe, Nik J.; Cook, Alex R.; Filipe, Joao A. N.; Hunter, Richard D.; Rizzo, David M.; Gilligan, Christopher A.</t>
  </si>
  <si>
    <t>Epidemiological modeling of invasion in heterogeneous landscapes: spread of sudden oak death in California (1990-2030)</t>
  </si>
  <si>
    <t>computational biology; emerging infectious disease; GIS; landscape epidemiology; Markov chain Monte Carlo; Phytophthora ramorum; spatial heterogeneity; species distribution model</t>
  </si>
  <si>
    <t>PATHOGEN PHYTOPHTHORA-RAMORUM; EMERGING INFECTIOUS-DISEASES; FOREST DISEASE; LINUM-MARGINALE; MOUTH EPIDEMIC; UNITED-STATES; OREGON; DISPERSAL; DYNAMICS; HOST</t>
  </si>
  <si>
    <t>The spread of emerging infectious diseases (EIDs) in natural environments poses substantial risks to biodiversity and ecosystem function. As EIDs and their impacts grow, landscape-to regional-scale models of disease dynamics are increasingly needed for quantitative prediction of epidemic outcomes and design of practicable strategies for control. Here we use spatio-temporal, stochastic epidemiological modeling in combination with realistic geographical modeling to predict the spread of the sudden oak death pathogen (Phytophthora ramorum) through heterogeneous host populations in wildland forests, subject to fluctuating weather conditions. The model considers three stochastic processes: (1) the production of inoculum at a given site; (2) the chance that inoculum is dispersed within and among sites; and (3) the probability of infection following transmission to susceptible host vegetation. We parameterized the model using Markov chain Monte Carlo (MCMC) estimation from snapshots of local-and regional-scale data on disease spread, taking account of landscape heterogeneity and the principal scales of spread. Our application of the model to Californian landscapes over a 40-year period (1990-2030), since the approximate time of pathogen introduction, revealed key parameters driving the spatial spread of disease and the magnitude of stochastic variability in epidemic outcomes. Results show that most disease spread occurs via local dispersal (, 250 m) but infrequent long-distance dispersal events can substantially accelerate epidemic spread in regions with high host availability and suitable weather conditions. In the absence of extensive control, we predict a ten-fold increase in disease spread between 2010 and 2030 with most infection concentrated along the north coast between San Francisco and Oregon. Long-range dispersal of inoculum to susceptible host communities in the Sierra Nevada foothills and coastal southern California leads to little secondary infection due to lower host availability and less suitable weather conditions. However, a shift to wetter and milder conditions in future years would double the amount of disease spread in California through 2030. This research illustrates how stochastic epidemiological models can be applied to realistic geographies and used to increase predictive understanding of disease dynamics in large, heterogeneous regions.</t>
  </si>
  <si>
    <t>[Meentemeyer, Ross K.; Hunter, Richard D.] Univ N Carolina, Dept Geog &amp; Earth Sci, Charlotte, NC 28223 USA; [Cunniffe, Nik J.; Filipe, Joao A. N.; Gilligan, Christopher A.] Univ Cambridge, Dept Plant Sci, Cambridge CB2 3EA, England; [Cook, Alex R.] Natl Univ Singapore, Dept Stat &amp; Appl Probabil, Singapore 117546, Singapore; [Rizzo, David M.] Univ Calif Davis, Dept Plant Pathol, Davis, CA 95616 USA</t>
  </si>
  <si>
    <t>University of North Carolina; University of North Carolina Charlotte; University of Cambridge; National University of Singapore; University of California System; University of California Davis</t>
  </si>
  <si>
    <t>Meentemeyer, RK (corresponding author), Univ N Carolina, Dept Geog &amp; Earth Sci, 9201 Univ City Blvd, Charlotte, NC 28223 USA.</t>
  </si>
  <si>
    <t>rkmeente@uncc.edu</t>
  </si>
  <si>
    <t>; Gilligan, Christopher/L-3747-2013; Cook, Alex/S-3576-2019</t>
  </si>
  <si>
    <t>Filipe, J A N/0000-0002-2353-7981; Meentemeyer, Ross/0000-0002-1247-6212; Cook, Alex/0000-0002-6271-5832; Cunniffe, Nik/0000-0002-3533-8672</t>
  </si>
  <si>
    <t>National Science Foundation [EF-0622677]; USDA Forest Service (Pacific Southwest Research Station); BBSRC</t>
  </si>
  <si>
    <t>National Science Foundation(National Science Foundation (NSF)); USDA Forest Service (Pacific Southwest Research Station)(United States Department of Agriculture (USDA)United States Forest Service); BBSRC(UK Research &amp; Innovation (UKRI)Biotechnology and Biological Sciences Research Council (BBSRC))</t>
  </si>
  <si>
    <t>The authors gratefully acknowledge financial support from the National Science Foundation (EF-0622677) and the USDA Forest Service (Pacific Southwest Research Station). CAG was also supported by a BBSRC Professorial Fellowship and ARC by a BBSRC research grant. We thank Richard Cobb and Bethan Purse for valuable comments on our methods and interpretation of data and we thank Tomas Vaclavik, Marketa Vaclavikova, Douglas Shoemaker and Matt Castle for vital assistance with geospatial modeling and preparation of figures.</t>
  </si>
  <si>
    <t>10.1890/ES10-00192.1</t>
  </si>
  <si>
    <t>V30IS</t>
  </si>
  <si>
    <t>WOS:000208810300005</t>
  </si>
  <si>
    <t>Mutnale, MC; Anand, S; Eluvathingal, LM; Roy, JK; Reddy, GS; Vasudevan, K</t>
  </si>
  <si>
    <t>Mutnale, Milind C.; Anand, Sachin; Eluvathingal, Lilly M.; Roy, Jayanta K.; Reddy, Gundlapally S.; Vasudevan, Karthikeyan</t>
  </si>
  <si>
    <t>AMPHIBIAN CHYTRID FUNGUS; LETHAL CHYTRIDIOMYCOSIS; INTERVAL ESTIMATION; INFECTIOUS-DISEASE; WESTERN-GHATS; POPULATION; INFERENCE; LINEAGES; MRBAYES; FOREST</t>
  </si>
  <si>
    <t>Emerging Infectious Diseases (EIDs) are a major threat to wildlife and a key player in the declining amphibian populations worldwide. One such EID is chytridiomycosis caused by Batrachochytrium dendrobatidis (Bd), a fungal pathogen. Aetiology of Bd infection is poorly known from tropical frogs in Asian biodiversity hotspots. Surveys were carried out in four biodiversity hotspots to ascertain the status of Bd fungus. We collected a total of 1870 swab samples from frogs representing 32 genera and 111 species. Nested PCRs revealed low prevalence (8.4%) and high Bd haplotype richness was revealed after sequencing. We document 57 Bd Internal Transcribed Spacer region (ITS) haplotypes, of which 46 were unique to the global database. Bd ITS region showed indels at the Taqman binding site and qPCR reverse primer binding site, suggesting qPCR is unsuitable for diagnosis in Asian Bd coldspots. Our median-joining network and Bayesian tree analyses reveal that the Asian haplotypes, with the exception of Korea, formed a separate clade along with pandemic BdGPL (Bd Global Panzootic Lineage) haplotype. We hypothesise that the frog populations in Asian tropics might harbour several endemic strains of Bd, and the high levels of diversity and uniqueness of Bd haplotypes in the region, probably resulted from historical host-pathogen co-evolution.</t>
  </si>
  <si>
    <t>[Mutnale, Milind C.; Anand, Sachin; Reddy, Gundlapally S.; Vasudevan, Karthikeyan] CSIR, Ctr Cellular &amp; Mol Biol, Lab Conservat Endangered Species, Hyderabad, Telangana, India; [Eluvathingal, Lilly M.] Occidental Coll, Dept Biol, Los Angeles, CA 90041 USA; [Roy, Jayanta K.] Assam Univ, Dept Life Sci &amp; Bioinformat, Diphu Campus, Karbi Anglong 782460, Assam, India</t>
  </si>
  <si>
    <t>Council of Scientific &amp; Industrial Research (CSIR) - India; CSIR - Centre for Cellular &amp; Molecular Biology (CCMB); Occidental College; Assam University</t>
  </si>
  <si>
    <t>Vasudevan, K (corresponding author), CSIR, Ctr Cellular &amp; Mol Biol, Lab Conservat Endangered Species, Hyderabad, Telangana, India.</t>
  </si>
  <si>
    <t>karthik@ccmb.res.in</t>
  </si>
  <si>
    <t>; Linden, Lilly/AAU-7038-2021</t>
  </si>
  <si>
    <t>Mutnale, Milind/0000-0003-2645-3908; Vasudevan, Karthikeyan/0000-0003-2316-3382; Linden, Lilly/0000-0002-6038-8698</t>
  </si>
  <si>
    <t>Council for Scientific and Industrial Research [BSC 0207_ConservE]; Murugappa Group, Titli Trust, Aaranyak; IISER Pune; BNHS; Corbett Foundation, Uttarakhand; Andaman &amp; Nicobar Islands' Environmental Team (ANET)</t>
  </si>
  <si>
    <t>Council for Scientific and Industrial Research(Council of Scientific &amp; Industrial Research (CSIR) - India); Murugappa Group, Titli Trust, Aaranyak; IISER Pune; BNHS; Corbett Foundation, Uttarakhand; Andaman &amp; Nicobar Islands' Environmental Team (ANET)</t>
  </si>
  <si>
    <t>We thank Tamil Nadu, Arunachal Pradesh, Kerala, Andaman and Nicobar Islands Forest Departments for providing necessary permits and necessary logistic support. Study was funded by Council for Scientific and Industrial Research (BSC 0207_ConservE). We thank Matthew Fisher, Imperial College, London, for providing Bd zoospore DNA and discussions. Pria Ghosh, Imperial College London and Carly Muletz, Maryland University extended their help with lab protocols. Maureen Donnelly at Florida International University extended generous support to L.M.E. for field work. Kanan Devan Hills Plantations Company (P) Ltd is thanked for permission granted to L.M.E to work on company land. Nobin Raja, Subhashish Halder, Vaishanvi K, Ashwini Mohan, Siddharth Bhatia, Ashish Jha, Yushan Kasar, Priyanka V.L provided assistance in field and lab analyses; help came from Sanjay Sondhi, Dheeraj K.V, Ramana Athreya, Firoz Ahmed, Nitya Prakash Mohanty, Gajendra Singh, Ashwin Viswanathan, and Priya Warekar for collection of samples. We acknowledge the support received from Murugappa Group, Titli Trust, Aaranyak, IISER Pune, BNHS, The Corbett Foundation, Uttarakhand, and Andaman &amp; Nicobar Islands' Environmental Team (ANET).</t>
  </si>
  <si>
    <t>JUL 4</t>
  </si>
  <si>
    <t>10.1038/s41598-018-28304-1</t>
  </si>
  <si>
    <t>GL5XU</t>
  </si>
  <si>
    <t>WOS:000437249200052</t>
  </si>
  <si>
    <t>McClanahan, TR; Muthiga, NA</t>
  </si>
  <si>
    <t>McClanahan, Timothy R.; Muthiga, Nyawira A.</t>
  </si>
  <si>
    <t>Africa; climate refugia; environmental gradients; fishing impacts; latitudinal limits</t>
  </si>
  <si>
    <t>WESTERN INDIAN-OCEAN; MARINE PROTECTED AREAS; SPECIES RICHNESS; FISH; STRESS; MANAGEMENT; BIODIVERSITY; DIVERSITY; RESPONSES; RECOVERY</t>
  </si>
  <si>
    <t>A priority for modern conservation is finding and managing regions with environmental and biodiversity portfolio characteristics that will promote adaptation and the persistence of species during times of rapid climate change. The latitudinal edges of high-diversity biomes are likely to provide a mixture of environmental gradients and biological diversity that meet the portfolio criteria needed for adaptive systems. Northern Mozambique and the Quirimbas Islands represent the edge of a coral reef diversity center with limited potential to expand because of geologic and oceanographic limits on the southern edges. This region does, however, have the potential to be its own discrete adaptive center if it contains climate refugia and there are environmental gradients that promote acclimatization, ecological reorganization, and natural selection. Consequently, to evaluate this potential we tested for strong regional environmental spatial heterogeneity that might indicate a climate-adaptive center. Additionally, we evaluated human influences and environmental and demographic data on finfish, coral, and sea urchins in 66 reefs across similar to 4 degrees of latitude to evaluate ecological changes and human threats. A number of clear gradients in environmental and human influences were observed. For example, temperature increased and became more centralized and right-skewed, while water quality decreased to the south. Coral communities susceptible to thermal stress were found in the north where dispersed temperatures indicated a location with either tolerance to or refugium from recent thermal disturbances. Nevertheless, high coral diversity was found in southern deep-water channels. Further, spatial patterns for corals and fish differed indicating complex geographic-fishing-biodiversity gradients. Consequently, environmental conditions for an adaptive portfolio exist and include refugia for preserving climate-sensitive and for numbers of coral taxa. Fishing and urban threats were observable as reduced fish biomass, diversity, and body sizes but higher biomass of sea urchins. We observed that many remote and protected areas had fish biomass values lower than expected or near maximum sustainable yields. This indicates low compliance and widespread migratory fishing, which is reducing fish diversity below maximum levels. Recommendations to sustain this adaptive center are to maintain fish biomass &gt;500 kg/ha by increasing fisheries restrictions and compliance.</t>
  </si>
  <si>
    <t>[McClanahan, Timothy R.; Muthiga, Nyawira A.] Wildlife Conservat Soc, Marine Programs, Bronx, NY 10460 USA; [McClanahan, Timothy R.; Muthiga, Nyawira A.] Wildlife Conservat Soc, Marine Programs, POB 99470, Mombasa, Kenya</t>
  </si>
  <si>
    <t>Wildlife Conservation Society</t>
  </si>
  <si>
    <t>McClanahan, TR (corresponding author), Wildlife Conservat Soc, Marine Programs, Bronx, NY 10460 USA.;McClanahan, TR (corresponding author), Wildlife Conservat Soc, Marine Programs, POB 99470, Mombasa, Kenya.</t>
  </si>
  <si>
    <t>tmcclanahan@wcs.org</t>
  </si>
  <si>
    <t>McClanahan, Tim/K-4998-2019</t>
  </si>
  <si>
    <t>USAID; World Wide Fund for Nature (WWF) Mozambique [NE-K010484-1]; Ecosystem Services for Poverty Alleviation (ESPA); Department for International Development [DFID]; Economic and Social Research Council [ESRC]; Natural Environment Research Council [NERC]; John D. and Catherine T. MacArthur Foundation; NERC [NE/K010484/1] Funding Source: UKRI; Natural Environment Research Council [NE/K010484/1] Funding Source: researchfish</t>
  </si>
  <si>
    <t>USAID(United States Agency for International Development (USAID)); World Wide Fund for Nature (WWF) Mozambique; Ecosystem Services for Poverty Alleviation (ESPA); Department for International Development [DFID]; Economic and Social Research Council [ESRC](UK Research &amp; Innovation (UKRI)Economic &amp; Social Research Council (ESRC)); Natural Environment Research Council [NERC](UK Research &amp; Innovation (UKRI)Natural Environment Research Council (NERC)); John D. and Catherine T. MacArthur Foundation; NERC(UK Research &amp; Innovation (UKRI)Natural Environment Research Council (NERC)); Natural Environment Research Council(UK Research &amp; Innovation (UKRI)Natural Environment Research Council (NERC))</t>
  </si>
  <si>
    <t>This research received support from USAID, World Wide Fund for Nature (WWF) Mozambique, Sustainable Poverty Alleviation from Coastal Ecosystem Services (SPACES) NE-K010484-1, funded by the Ecosystem Services for Poverty Alleviation (ESPA) Program (ESPA is funded by the Department for International Development [DFID], the Economic and Social Research Council [ESRC], and the Natural Environment Research Council [NERC]), and the John D. and Catherine T. MacArthur Foundation. The assistance with logistics and fieldwork by I. Marquis da Silva, F. Januchowski-Hartley, M.J. Rodrigues, and J. Trindade and production of tables and figures by M. Azali is greatly appreciated.</t>
  </si>
  <si>
    <t>e01812</t>
  </si>
  <si>
    <t>10.1002/ecs2.1812</t>
  </si>
  <si>
    <t>EW4LF</t>
  </si>
  <si>
    <t>WOS:000402472300024</t>
  </si>
  <si>
    <t>Zomer, RJ; Trabucco, A; Wang, MC; Lang, R; Chen, HF; Metzger, MJ; Smajgl, A; Beckschäfer, P; Xu, JC</t>
  </si>
  <si>
    <t>Zomer, Robert J.; Trabucco, Antonio; Wang, Mingcheng; Lang, Rong; Chen, Huafang; Metzger, Marc J.; Smajgl, Alex; Beckschaefer, Philip; Xu, Jianchu</t>
  </si>
  <si>
    <t>Climate change; Bioclimatic stratification; Biodiversity conservation; Himalaya</t>
  </si>
  <si>
    <t>LAND-COVER CHANGE; VULNERABILITY; SYSTEM</t>
  </si>
  <si>
    <t>An analysis and multi-model approach, based on a statistically derived Global Environmental Stratification (GEnS) and using a downscaled ensemble (n = 63) of CIMP5 Earth System Models applied across four representative concentration pathways (RCP), has been used to project the impact of climate change on spatial distribution of bioclimatic zones and ecosystems within the biodiverse rich Xishuangbanna Prefecture, Yunnan Province, by the year 2050. Four bioclimatic zones and 9 strata were identified, overlaid with protected areas, and associated with on-going landuse change, i.e. a rapid increase in rubber plantation from 8% to 22% of total area between 2002 and 2010. Significant changes in the areal extent and distribution of all zones and strata are projected, with an averaged mean annual temperature increase ranging from 1.6 degrees C to 2.4 degrees C By 2050, there are significant geographical shifts in all identified strata, with an average upward shift of 309 m of elevation for all strata. On average, more than 75% of Xishuangbanna is predicted to shift to a different zone, with 96% shifting to a different stratum. The area conducive to rubber plantations, currently limited by climatic conditions, expands to nearly 75% of the total area. Climatic change potentially removes the bioclimatic barriers to further expansion of rubber plantations within the area and increases pressure on remaining biodiversity both within and outside of protected areas. The analysis provides the basis for understanding potential impacts of changing bioclimatic conditions on managed and unmanaged ecosystems and landuse change trends, within the context of ongoing rapid change and agricultural expansion in the area. Current efforts to conserve forests, biodiversity and traditional landuse systems require an improved understanding of both the projected climatic changes and the responses of biodiversity and traditional agricultural systems to changing conditions. (C) 2013 Elsevier Ltd. All rights reserved.</t>
  </si>
  <si>
    <t>[Zomer, Robert J.; Wang, Mingcheng; Lang, Rong; Chen, Huafang; Xu, Jianchu] Chinese Acad Sci, Kunming Inst Bot, Key Lab Plant Biodivers &amp; Biogeog East Asia KLPB, Kunming 650201, Yunnan, Peoples R China; [Zomer, Robert J.; Wang, Mingcheng; Lang, Rong; Chen, Huafang; Xu, Jianchu] World Agroforestry Ctr, Ctr Mt Ecosyst Studies, Kunming 650201, Peoples R China; [Trabucco, Antonio] Euromediterranean Ctr Climate Change, IAFENT Div, Sassari, Italy; [Metzger, Marc J.] Univ Edinburgh, Sch GeoSci, Edinburgh EH8 9XP, Midlothian, Scotland; [Smajgl, Alex] CSIRO Ecosyst Sci, Townsville, Qld 4814, Australia; [Beckschaefer, Philip] Univ Gottingen, Chair Forest Inventory &amp; Remote Sensing, D-37073 Gottingen, Germany; [Trabucco, Antonio] KULeuven, Div Forest Nat &amp; Landscape, B-3001 Louvain, Belgium</t>
  </si>
  <si>
    <t>Chinese Academy of Sciences; Kunming Institute of Botany, CAS; Centro Euro-Mediterraneo sui Cambiamenti Climatici (CMCC); University of Edinburgh; Commonwealth Scientific &amp; Industrial Research Organisation (CSIRO); University of Gottingen; KU Leuven</t>
  </si>
  <si>
    <t>Zomer, RJ (corresponding author), Kunming Inst Bot, Ctr Mt Ecosyst Studies, Heilongtan 650201, Kunming, Peoples R China.</t>
  </si>
  <si>
    <t>r.zomer@cgiar.org; Antonio.Trabucco@cmcc.it; marc.metzger@ed.ac.uk</t>
  </si>
  <si>
    <t>Metzger, Marc/S-3976-2019; Smajgl, Alex/G-5462-2010; Trabucco, Antonio/A-7412-2009; Lang, Rong/AAJ-9309-2021; Xu, Jianchu/Y-2890-2019; Mingcheng, Wang/AEQ-7745-2022; Zomer, Robert/AGZ-2675-2022</t>
  </si>
  <si>
    <t>Metzger, Marc/0000-0002-5119-5894; Beckschäfer, Philip/0000-0003-1728-724X; Smajgl, Alex/0000-0003-1818-0698; Trabucco, Antonio/0000-0002-0743-3680; Lang, Rong/0000-0002-1671-9613; Zomer, Robert/0000-0002-2259-3359</t>
  </si>
  <si>
    <t>International Development Research Centre (IDRC) - Canada through the Building Effective Water Governance in the Asian Highlands Project [107085-002]; CSIRO Exploring Mekong Region Futures; ProjectMaking the Mekong Connected - MMC [08.7860.3-001.00]; German Ministry for Economic Cooperation and Development (BMZ); CGIAR Research Program 6 on Forests, Trees and Agroforestry; German Federal Ministry of Economics and Technology (BMWi)</t>
  </si>
  <si>
    <t>International Development Research Centre (IDRC) - Canada through the Building Effective Water Governance in the Asian Highlands Project; CSIRO Exploring Mekong Region Futures; ProjectMaking the Mekong Connected - MMC; German Ministry for Economic Cooperation and Development (BMZ); CGIAR Research Program 6 on Forests, Trees and Agroforestry; German Federal Ministry of Economics and Technology (BMWi)(Federal Ministry for Economic Affairs and Energy (BMWi))</t>
  </si>
  <si>
    <t>Partial funding for this work was generously provided by the International Development Research Centre (IDRC) - Canada through the Building Effective Water Governance in the Asian Highlands Project (107085-002), the CSIRO Exploring Mekong Region Futures 2009-2010 2009-2010 Project and the ProjectMaking the Mekong Connected - MMC (project number 08.7860.3-001.00) both funded by the German Ministry for Economic Cooperation and Development (BMZ), as well as CGIAR Research Program 6 on Forests, Trees and Agroforestry. We acknowledge the German National Space Agency DLR (Deutsches Zentrum fur Luft- und Raumfahrt e.V.) for the delivery of RapidEye images as part of the RapidEye Science Archive (Proposal No. 390). The provision of RapidEye images was funded by the German Federal Ministry of Economics and Technology (BMWi). The responsibility for any use of the results presented in this paper lies with the user.</t>
  </si>
  <si>
    <t>10.1016/j.biocon.2013.11.028</t>
  </si>
  <si>
    <t>AE2AA</t>
  </si>
  <si>
    <t>WOS:000333774500030</t>
  </si>
  <si>
    <t>van Breugel, P; Kindt, R; Lilleso, JPB; van Breugel, M</t>
  </si>
  <si>
    <t>van Breugel, Paulo; Kindt, Roeland; Lilleso, Jens-Peter Barnekow; van Breugel, Michiel</t>
  </si>
  <si>
    <t>Environmental Gap Analysis to Prioritize Conservation Efforts in Eastern Africa</t>
  </si>
  <si>
    <t>PROTECTED AREAS; BIODIVERSITY CONSERVATION; CONSERVING BIODIVERSITY; SPECIES RICHNESS; LAND; DIVERSITY; ECOREGIONS; FOREST; INDICATORS; HOTSPOTS</t>
  </si>
  <si>
    <t>Countries in eastern Africa have set aside significant proportions of their land for protection. But are these areas representative of the diverse range of species and habitats found in the region? And do conservation efforts include areas where the state of biodiversity is likely to deteriorate without further interventions? Various studies have addressed these questions at global and continental scales. However, meaningful conservation decisions are required at finer geographical scales. To operate more effectively at the national level, finer scale baseline data on species and on higher levels of biological organization such as the eco-regions are required, among other factors. Here we adopted a recently developed high-resolution potential natural vegetation (PNV) map for eastern Africa as a baseline to more effectively identify conservation priorities. We examined how well different potential natural vegetations (PNVs) are represented in the protected area (PA) network of eastern Africa and used a multivariate environmental similarity index to evaluate biases in PA versus PNV coverage. We additionally overlaid data of anthropogenic factors that potentially influence the natural vegetation to assess the level of threat to different PNVs. Our results indicate substantial differences in the conservation status of PNVs. In addition, particular PNVs in which biodiversity protection and ecological functions are at risk due to human influences are revealed. The data and approach presented here provide a step forward in developing more transparent and better informed translation from global priorities to regional or national implementation in eastern Africa, and are valid for other geographic regions.</t>
  </si>
  <si>
    <t>[van Breugel, Paulo; Lilleso, Jens-Peter Barnekow] Univ Copenhagen, Dept Geosci &amp; Nat Resource Management, Forest Nat &amp; Biomass, DK-1958 Frederiksberg C, Denmark; [van Breugel, Paulo; Kindt, Roeland] World Agroforestry Ctr, Nairobi, Kenya; [van Breugel, Michiel] Natl Univ Singapore, Dept Biol Sci, Yale NUS Coll, Singapore 138614, Singapore; [van Breugel, Michiel] Ciudad Panam, Smithsonian Trop Res Inst, Ctr Trop Forest Sci, Panama City, Panama; [van Breugel, Michiel] Natl Univ Singapore, Dept Biol Sci, Singapore 117543, Singapore</t>
  </si>
  <si>
    <t>University of Copenhagen; CGIAR; World Agroforestry (ICRAF); Yale NUS College; National University of Singapore; Smithsonian Institution; Smithsonian Tropical Research Institute; National University of Singapore</t>
  </si>
  <si>
    <t>van Breugel, P (corresponding author), Univ Copenhagen, Dept Geosci &amp; Nat Resource Management, Forest Nat &amp; Biomass, Rolighedsvej 23, DK-1958 Frederiksberg C, Denmark.</t>
  </si>
  <si>
    <t>p.vanbreugel@gmail.com</t>
  </si>
  <si>
    <t>van Breugel, Michiel/A-8453-2017; Kindt, Roeland/AAV-3346-2020; Lillesø, Jens-Peter Barnekow/F-4455-2015</t>
  </si>
  <si>
    <t>van Breugel, Paulo/0000-0001-9579-0831; Kindt, Roeland/0000-0002-7672-0712; Lillesø, Jens-Peter Barnekow/0000-0003-1418-3496</t>
  </si>
  <si>
    <t>Consultative Research Committee for Development Research (FFU) [10-095-LIFE]</t>
  </si>
  <si>
    <t>Consultative Research Committee for Development Research (FFU)</t>
  </si>
  <si>
    <t>The research presented was funded by a grant from the Consultative Research Committee for Development Research (FFU) under project 10-095-LIFE. The funders had no role in study design, data collection and analysis, decision to publish, or preparation of the manuscript.</t>
  </si>
  <si>
    <t>APR 9</t>
  </si>
  <si>
    <t>e0121444</t>
  </si>
  <si>
    <t>10.1371/journal.pone.0121444</t>
  </si>
  <si>
    <t>CF5HQ</t>
  </si>
  <si>
    <t>WOS:000352588500020</t>
  </si>
  <si>
    <t>Balasingham, KD; Walter, RP; Mandrak, NE; Heath, DD</t>
  </si>
  <si>
    <t>Balasingham, Katherine D.; Walter, Ryan P.; Mandrak, Nicholas E.; Heath, Daniel D.</t>
  </si>
  <si>
    <t>MOLECULAR ECOLOGY</t>
  </si>
  <si>
    <t>endangered species; environmental DNA; fish community; invasive; next-generation sequencing</t>
  </si>
  <si>
    <t>REAL-TIME PCR; GOBY NEOGOBIUS-MELANOSTOMUS; POLYMERASE-CHAIN-REACTION; ROUND GOBY; SYDENHAM RIVER; EDNA; HABITAT; BIODIVERSITY; ONTARIO; BIOLOGY</t>
  </si>
  <si>
    <t>The extraction and characterization of DNA from aquatic environmental samples offers an alternative, noninvasive approach for the detection of rare species. Environmental DNA, coupled with PCR and next-generation sequencing (metabarcoding), has proven to be very sensitive for the detection of rare aquatic species. Our study used a custom-designed group-specific primer set and next-generation sequencing for the detection of three species at risk (Eastern Sand Darter, Ammocrypta pellucida; Northern Madtom, Noturus stigmosus; and Silver Shiner, Notropis photogenis), one invasive species (Round Goby, Neogobius melanostomus) and an additional 78 native species from two large Great Lakes tributary rivers in southern Ontario, Canada: the Grand River and the Sydenham River. Of 82 fish species detected in both rivers using capture-based and eDNA methods, our eDNA method detected 86.2% and 72.0% of the fish species in the Grand River and the Sydenham River, respectively, which included our four target species. Our analyses also identified significant positive and negative species co-occurrence patterns between our target species and other identified species. Our results demonstrate that eDNA metabarcoding that targets the fish community as well as individual species of interest provides a better understanding of factors affecting the target species spatial distribution in an ecosystem than possible with only target species data. Additionally, eDNA is easily implemented as an initial survey tool, or alongside capture-based methods, for improved mapping of species distribution patterns.</t>
  </si>
  <si>
    <t>[Balasingham, Katherine D.; Walter, Ryan P.; Heath, Daniel D.] Univ Windsor, Great Lakes Inst Environm Res, Dept Biol, Windsor, ON, Canada; [Walter, Ryan P.; Mandrak, Nicholas E.] Fisheries &amp; Oceans Canada, Great Lakes Lab Fisheries &amp; Aquat Sci, Burlington, ON, Canada; [Mandrak, Nicholas E.] Univ Toronto Scarborough, Dept Biol Sci, Toronto, ON, Canada; [Walter, Ryan P.] Calif State Univ Fullerton, Dept Biol Sci, Fullerton, CA 92634 USA</t>
  </si>
  <si>
    <t>University of Windsor; Fisheries &amp; Oceans Canada; University of Toronto; University Toronto Scarborough; California State University System; California State University Fullerton</t>
  </si>
  <si>
    <t>Balasingham, KD (corresponding author), Dept Biol, Markham, ON, Canada.</t>
  </si>
  <si>
    <t>katherine_balasingham@hotmail.com</t>
  </si>
  <si>
    <t>Chau, Katherine Darshini/0000-0002-8355-3051; Manak, Nicholas/0000-0001-8335-9681</t>
  </si>
  <si>
    <t>Department of Fisheries and Oceans Canada Species at Risk Programme; Natural Sciences and Engineering Research Council of Canada; Canadian Aquatic Invasive Species Network; Species at Risk Research Fund</t>
  </si>
  <si>
    <t>Department of Fisheries and Oceans Canada Species at Risk Programme; Natural Sciences and Engineering Research Council of Canada(Natural Sciences and Engineering Research Council of Canada (NSERC)CGIAR); Canadian Aquatic Invasive Species Network; Species at Risk Research Fund</t>
  </si>
  <si>
    <t>Department of Fisheries and Oceans Canada Species at Risk Programme; Natural Sciences and Engineering Research Council of Canada, Grant/Award Number: Discovery Grant; Canadian Aquatic Invasive Species Network; Species at Risk Research Fund</t>
  </si>
  <si>
    <t>0962-1083</t>
  </si>
  <si>
    <t>1365-294X</t>
  </si>
  <si>
    <t>MOL ECOL</t>
  </si>
  <si>
    <t>Mol. Ecol.</t>
  </si>
  <si>
    <t>10.1111/mec.14395</t>
  </si>
  <si>
    <t>Biochemistry &amp; Molecular Biology; Ecology; Evolutionary Biology</t>
  </si>
  <si>
    <t>Biochemistry &amp; Molecular Biology; Environmental Sciences &amp; Ecology; Evolutionary Biology</t>
  </si>
  <si>
    <t>FU8OD</t>
  </si>
  <si>
    <t>WOS:000424111400009</t>
  </si>
  <si>
    <t>Flory, AR; Kumar, S; Stohlgren, TJ; Cryan, PM</t>
  </si>
  <si>
    <t>Flory, Abigail R.; Kumar, Sunil; Stohlgren, Thomas J.; Cryan, Paul M.</t>
  </si>
  <si>
    <t>bioclimatic modelling; Chiroptera; disease modelling; ecological niche models; fungus; Geomyces destructans; Maxent; pathogen risk assessment</t>
  </si>
  <si>
    <t>GEOMYCES-DESTRUCTANS; SPECIES DISTRIBUTIONS; DISTRIBUTION MODELS; EMERGING DISEASE; SAMPLE-SIZE; CONSERVATION; TEMPERATURES; PERFORMANCE; PREDICTION; INFECTION</t>
  </si>
  <si>
    <t>1. White-nose syndrome (WNS) is an emerging disease of hibernating North American bats that is caused by the cold-growing fungus Geomyces destructans. Since first observed in the winter of 2007, WNS has led to unprecedented mortality in several species of bats and may threaten more than 15 additional hibernating bat species if it continues across the continent. Although the exact means by which fungal infection causes mortality are undetermined, available evidence suggests a strong role of winter environmental conditions in disease mortality. 2. By 2010, the fungus G. destructans was detected in new areas of North America far from the area it was first observed, as well as in eight European bat species in different countries, yet mortality was not observed in many of these new areas of North America or in any part of Europe. This could be because of the differences in the fungus, rates of disease progression and/or in life-history or physiological traits of the affected bat species between different regions. Infection of bats by G. destructans without associated mortality might also suggest that certain environmental conditions might have to co-occur with fungal infection to cause mortality. 3. We tested the environmental conditions hypothesis using Maxent to map and model landscape surface conditions associated with WNS mortality. This approach was unique in that we modelled possible requisite environmental conditions for disease mortality and not simply the presence of the causative agent. 4. The top predictors of WNS mortality were land use/land cover types, mean air temperature of wettest quarter, elevation, frequency of precipitation and annual temperature range. Model results suggest that WNS mortality is most likely to occur in landscapes that are higher in elevation and topographically heterogeneous, drier and colder during winter, and more seasonally variable than surrounding landscapes. 5. Synthesis and applications. This study mapped the most likely environmental surface conditions associated with bat mortality owing to WNS in the north-eastern United Sates; maps can be used for selection of priority monitoring sites. Our results provide a starting point from which to investigate and predict the potential spread and population impacts of this catastrophic emerging disease.</t>
  </si>
  <si>
    <t>[Kumar, Sunil] Colorado State Univ, Nat Resource Ecol Lab, Ft Collins, CO 80523 USA; [Flory, Abigail R.] Colorado State Univ, Dept Environm &amp; Radiol Hlth Sci, Ft Collins, CO 80523 USA; [Stohlgren, Thomas J.; Cryan, Paul M.] US Geol Survey, Ft Collins Sci Ctr, Ft Collins, CO 80526 USA</t>
  </si>
  <si>
    <t>Colorado State University System; Colorado State University Fort Collins; Colorado State University System; Colorado State University Fort Collins; United States Department of the Interior; United States Geological Survey</t>
  </si>
  <si>
    <t>Kumar, S (corresponding author), Colorado State Univ, Nat Resource Ecol Lab, Ft Collins, CO 80523 USA.</t>
  </si>
  <si>
    <t>sunil.kumar@colostate.edu</t>
  </si>
  <si>
    <t>Kumar, Sunil/A-6730-2009</t>
  </si>
  <si>
    <t>10.1111/j.1365-2664.2012.02129.x</t>
  </si>
  <si>
    <t>950PF</t>
  </si>
  <si>
    <t>WOS:000304660500018</t>
  </si>
  <si>
    <t>Martinuzzi, S; Rivera, L; Politi, N; Bateman, BL; De Los Llanos, ER; Lizarraga, L; De Bustos, MS; Chalukian, S; Pidgeon, AM; Radeloff, VC</t>
  </si>
  <si>
    <t>Martinuzzi, Sebastian; Rivera, Luis; Politi, Natalia; Bateman, Brooke L.; Ruiz De Los Llanos, Estefania; Lizarraga, Leonidas; Soledad De Bustos, M.; Chalukian, Silvia; Pidgeon, Anna M.; Radeloff, Volker C.</t>
  </si>
  <si>
    <t>human footprint; land-use planning; spatial analysis; threatened species; deforestation; species distributions</t>
  </si>
  <si>
    <t>HUMAN FOOTPRINT; FORESTS; DEFORESTATION; EXPANSION; AGRICULTURE; CHALLENGES; ARGENTINA; IMPACTS; DECLINE; CATTLE</t>
  </si>
  <si>
    <t>In many developing countries, high rates of deforestation and biodiversity loss make conservation efforts urgent. Improving existing land-use plans can be an option for enhancing biodiversity conservation. We showcase an approach to enhancing an existing forest land-use plan using widely available data and spatial tools, focusing on Argentina's Southern Yungas ecoregion. We mapped the distribution of wilderness areas and species and habitats of conservation concern, assessed their representation in the land-use plan and quantified potential changes in habitat availability and forest connectivity. Wilderness comprised 48% of the study area, and the highest concentrations of elements of conservation concern were in the north. In the current land-use plan, wilderness areas often occur in regions where logging and grazing are allowed, and a large proportion of the forest with the highest conservation value (43%) is under some level of human influence. Furthermore, we found that deforestation being legally allowed in the land-use plan could reduce forest connectivity and habitat availability substantially. We recommend updating the current land-use plan by considering human influence and elements of conservation concern. More broadly, we demonstrate that widely available spatial datasets and straightforward approaches can improve the usefulness of existing land-use plans so that they more fully incorporate conservation goals.</t>
  </si>
  <si>
    <t>[Martinuzzi, Sebastian; Bateman, Brooke L.; Pidgeon, Anna M.; Radeloff, Volker C.] Univ Wisconsin, Dept Forest &amp; Wildlife Ecol, SILVIS Lab, 1630 Linden Dr, Madison, WI 53706 USA; [Rivera, Luis; Politi, Natalia; Ruiz De Los Llanos, Estefania] Univ Nacl Jujuy, CONICET, Inst Ecorreg Andinas INECOA, Alberdi 47, RA-4600 San Salvador De Jujuy, Argentina; [Bateman, Brooke L.] Natl Audubon Soc, Sci Div, 225 Varick St, New York, NY 10014 USA; [Lizarraga, Leonidas] Adm Parques Nacl, Sistema Informat Biodiversidad, Delegac Reg Noroeste, Santa Fe 23, RA-4400 Salta, Argentina; [Soledad De Bustos, M.] Secretaria Ambiente Prov Salta, Zuviria 744, RA-4400 Salta, Argentina; [Chalukian, Silvia] Proyecto Invest &amp; Conservac Tapir Noroeste Argent, RA-4400 Salta, Argentina</t>
  </si>
  <si>
    <t>University of Wisconsin System; University of Wisconsin Madison; Consejo Nacional de Investigaciones Cientificas y Tecnicas (CONICET)</t>
  </si>
  <si>
    <t>Martinuzzi, S (corresponding author), Univ Wisconsin, Dept Forest &amp; Wildlife Ecol, SILVIS Lab, 1630 Linden Dr, Madison, WI 53706 USA.</t>
  </si>
  <si>
    <t>martinuzzi@wisc.edu</t>
  </si>
  <si>
    <t>; Bateman, Brooke/C-5961-2011; POLITI, Natalia/MTB-3550-2025; Radeloff, Volker/B-6124-2016</t>
  </si>
  <si>
    <t>de Bustos, Soledad/0000-0003-1030-9864; Bateman, Brooke/0000-0001-5474-4599; Lizárraga, Leonidas/0000-0002-6514-1678; Radeloff, Volker/0000-0001-9004-221X</t>
  </si>
  <si>
    <t>Whitley Fund for Nature [SECTER B/046, PIO 0133 CONICET-UNJU]; CONICET visiting scholar programme</t>
  </si>
  <si>
    <t>Whitley Fund for Nature; CONICET visiting scholar programme</t>
  </si>
  <si>
    <t>We are grateful to the Whitley Fund for Nature, SECTER B/046 and PIO 0133 CONICET-UNJU for supporting this project. S. Martinuzzi was supported by the CONICET visiting scholar programme.</t>
  </si>
  <si>
    <t>10.1017/S0376892917000455</t>
  </si>
  <si>
    <t>GP5TN</t>
  </si>
  <si>
    <t>WOS:000440936800005</t>
  </si>
  <si>
    <t>Baynard, CW; Mjachina, K; Richardson, RD; Schupp, RW; Lambert, JD; Chibilyev, AA</t>
  </si>
  <si>
    <t>Baynard, Chris W.; Mjachina, Ksenya; Richardson, Robert D.; Schupp, Robert W.; Lambert, J. David; Chibilyev, Alexander A.</t>
  </si>
  <si>
    <t>Oil and gas; Wind; Energy landscape footprint; Grasslands; Landscape disturbance</t>
  </si>
  <si>
    <t>WIND; WILDERNESS; CONSERVATION; BIODIVERSITY; LAND</t>
  </si>
  <si>
    <t>This paper examines the pattern and extent of energy development in steppe landscapes of northeast Colorado, United States. We compare the landscape disturbance created by oil and gas production to that of wind energy inside the Pawnee National Grasslands eastern side. This high-steppe landscape consists of a mosaic of federal, state, and private lands where dominant economic activities include ranching, agriculture, tourism, oil and gas extraction, and wind energy generation. Utilizing field surveys, remote sensing data and geographic information systems techniques, we quantify and map the footprint of energy development at the landscape level. Findings suggest that while oil and gas and wind energy development have resulted in a relatively small amount of habitat loss within the study area, the footprint stretches across the entire zone, fragmenting this mostly grassland habitat. Futhermore, a third feature of this landscape, the non-energy transportation network, was also found to have a significant impact. Combined, these three features fragment the entire Pawnee National Grasslands eastern side, leaving very few large intact core, or roadless areas. The primary objective of this ongoing work is to create a series of quantifiable and replicable surface disturbance indicators linked to energy production in semi-arid grassland environments. Based on these, and future results, we aim to work with industry and regulators to shape energy policy as it relates to environmental performance, with the aim of reducing the footprint and thus increasing the sustainability of these extractive activities.</t>
  </si>
  <si>
    <t>[Baynard, Chris W.; Lambert, J. David] Univ North Florida, Dept Econ &amp; Geog, 1 UNF Dr, Jacksonville, FL 32224 USA; [Mjachina, Ksenya; Chibilyev, Alexander A.] Russian Acad Sci, Inst Steppe, Ural Branch, 11 Pionerskaya, St Orenburg, Russia; [Richardson, Robert D.] Univ North Florida, Coll Comp Engn &amp; Construct, 1 UNF Dr, Jacksonville, FL 32224 USA; [Schupp, Robert W.] Univ North Florida, Dept Management, 1 UNF Dr, Jacksonville, FL 32224 USA</t>
  </si>
  <si>
    <t>State University System of Florida; University of North Florida; Russian Academy of Sciences; State University System of Florida; University of North Florida; State University System of Florida; University of North Florida</t>
  </si>
  <si>
    <t>Baynard, CW (corresponding author), Univ North Florida, Dept Econ &amp; Geog, 1 UNF Dr, Jacksonville, FL 32224 USA.</t>
  </si>
  <si>
    <t>cbaynard@unf.edu; mavicsen@gmail.com</t>
  </si>
  <si>
    <t>Mjachina, Ksenya/K-5099-2018; Chibilev, Alexandr/N-8221-2014</t>
  </si>
  <si>
    <t>Myachina, Ksenia/0000-0001-5190-1421;</t>
  </si>
  <si>
    <t>National Science Foundation (NSF) U.S. Civilian Research and Development Foundation (CRDF Global); United States Department of State [OISEJ14J61033J0]</t>
  </si>
  <si>
    <t>National Science Foundation (NSF) U.S. Civilian Research and Development Foundation (CRDF Global)(National Science Foundation (NSF)); United States Department of State</t>
  </si>
  <si>
    <t>This publication is based on work supported by a grant from the National Science Foundation (NSF) U.S. Civilian Research and Development Foundation (CRDF Global) with funding from the United States Department of State-Award Number: OISEJ14J61033J0. The opinions, findings and conclusions stated herein are those of the authors and do not necessarily reflect those of CRDF Global or the United States Department of State. We thank Hussam Khayat, GIS Research Assistant at the University of North Florida with help in data acquisition and preparation.</t>
  </si>
  <si>
    <t>10.1007/s00267-017-0846-z</t>
  </si>
  <si>
    <t>ET6ZW</t>
  </si>
  <si>
    <t>WOS:000400444100010</t>
  </si>
  <si>
    <t>Cadima, X; van Zonneveld, M; Scheldeman, X; Castañeda, N; Patiño, F; Beltran, M; Van Damme, P</t>
  </si>
  <si>
    <t>Cadima, Ximena; van Zonneveld, Maarten; Scheldeman, Xavier; Castaneda, Nora; Patino, Fernando; Beltran, Marcela; Van Damme, Patrick</t>
  </si>
  <si>
    <t>Crop wild relatives; Ex situ conservation; In situ conservation; IUCN red listing; Potato breeding material; Reserve selection; Species distribution modelling; Threat assessment</t>
  </si>
  <si>
    <t>IN-SITU CONSERVATION; GENETIC DIVERSITY; RED LIST; RESISTANCE; RELATIVES; RARE; GIS; POPULATION; PREDICTION</t>
  </si>
  <si>
    <t>Crop wild relatives possess important traits, therefore ex situ and in situ conservation efforts are essential to maintain sufficient options for crop improvement. Bolivia is a centre of wild relative diversity for several crops, among them potato, which is an important staple worldwide and the principal food crop in this country. Despite their relevance for plant breeding, limited knowledge exists about their in situ conservation status. We used Geographic Information Systems (GIS) and distribution modelling with the software Maxent to better understand geographic patterns of endemic wild potato diversity in Bolivia. In combination with threat layers, we assessed the conservation status of all endemic species, 21 in total. We prioritised areas for in situ conservation by using complementary reserve selection and excluded 25% of the most-threatened collection sites because costs to implement conservation measures at those locations may be too high compared to other areas. Some 70% (15 of 21 species) has a preliminary vulnerable status or worse according to IUCN red list distribution criteria. Our results show that four of these species would require special conservation attention because they were only observed in &lt;15 locations and are highly threatened by human accessibility, fires and livestock pressure. Although highest species richness occurs in south-central Bolivia, in the departments Santa Cruz and Chuquisaca, the first priority area for in situ conservation according to our reserve selection exercise is central Bolivia, Cochabamba; this area is less threatened than the potato wild relatives' hotspot in south-central Bolivia. Only seven of the 21 species were observed in protected areas. To improve coverage of potato wild relatives' distribution by protected areas, we recommend starting inventories in parks and reserves with high modelled diversity. Finally, to improve ex situ conservation, we targeted areas for germplasm collection of species with &lt;5 accessions conserved in genebanks. (C) 2013 Elsevier GmbH. All rights reserved.</t>
  </si>
  <si>
    <t>[Cadima, Ximena; Patino, Fernando] Fdn PROINPA, Cochabamba, Bolivia; [Cadima, Ximena] Wageningen Univ, Biosystemat Grp, NL-6700 AP Wageningen, Netherlands; [van Zonneveld, Maarten] Biovers Int, Costa Rica Off, CATIE, Turrialba 7170, Costa Rica; [van Zonneveld, Maarten; Van Damme, Patrick] Univ Ghent, Fac Biosci Engn, B-9000 Ghent, Belgium; [Scheldeman, Xavier; Castaneda, Nora; Beltran, Marcela] Biovers Int, Reg Off Amer, Cali, Colombia; [Van Damme, Patrick] World Agroforestry Ctr ICRAF, Global Res Programme 1, Nairobi 00100, Kenya; [Van Damme, Patrick] Czech Univ Life Sci, Inst Trop &amp; Subtrop, Prague 16521 6, Suchdol, Czech Republic</t>
  </si>
  <si>
    <t>Wageningen University &amp; Research; Alliance; Bioversity International; Ghent University; Alliance; Bioversity International; CGIAR; World Agroforestry (ICRAF); Czech University of Life Sciences Prague</t>
  </si>
  <si>
    <t>van Zonneveld, M (corresponding author), Biovers Int, Costa Rica Off, CATIE, Turrialba 7170, Costa Rica.</t>
  </si>
  <si>
    <t>m.vanzonneveld@cgiar.org</t>
  </si>
  <si>
    <t>Scheldeman, Xavier/AAF-7960-2021; Van Damme, Patrick/H-6693-2018; , Patrick/AAI-8779-2020; Castañeda-Álvarez, Nora P/I-8026-2015; Álvarez, Nora/I-8026-2015</t>
  </si>
  <si>
    <t>Cadima Fuentes, Ximena Rocio/0000-0002-5244-774X; Van Damme, Patrick/0000-0002-2548-633X; Scheldeman, Xavier/0000-0001-7967-7361; Castañeda-Álvarez, Nora P/0000-0003-1827-4782;</t>
  </si>
  <si>
    <t>NUFFIC; UNEP/GEF</t>
  </si>
  <si>
    <t>This study is part of the PhD thesis of XC Monitoring the Conservation of genetic diversity of Bolivian wild potatoes at the Biosystematics Group at the Wageningen University and the Doctorate study of MvZ at Ghent University titled Economic plant diversity and distribution: application of spatial analysis for the conservation of germplasm diversity in Latin America. We thank thesis promoter and co-promoter Marc Sosef and Ronald van den Berg for review, the staff of the PROINPA Foundation and Alberto Salas from the International Potato Center (CIP) for support in field work in Bolivia. This research was supported by NUFFIC and the UNEP/GEF-supported project In situ conservation of wild crop relatives through enhanced information management and field application.</t>
  </si>
  <si>
    <t>10.1016/j.jnc.2013.09.007</t>
  </si>
  <si>
    <t>AD6WT</t>
  </si>
  <si>
    <t>WOS:000333402700003</t>
  </si>
  <si>
    <t>Lattuada, M; Albrecht, C; Wesselingh, FP; Klinkenbu, D; Vinarski, MV; Kijashko, P; Raes, N; Wilke, T</t>
  </si>
  <si>
    <t>Lattuada, Matteo; Albrecht, Christian; Wesselingh, Frank P.; Klinkenbu, Denise; Vinarski, Maxim V.; Kijashko, Pavel; Raes, Niels; Wilke, Thomas</t>
  </si>
  <si>
    <t>JOURNAL OF GREAT LAKES RESEARCH</t>
  </si>
  <si>
    <t>Caspian Sea; Endemism; Hotspots; Spatial data analysis; Aquatic invertebrates; Environmental degradation</t>
  </si>
  <si>
    <t>The Caspian Sea is renowned for its endemic mollusk biodiversity. However, over the past decades, increasing anthropogenic pressures have caused decreases in abundances and even extinction of species. Both key pressures and endemic taxa are distributed spatially unevenly across the Caspian Sea, suggesting that ecologically different taxa such as gastropods and bivalves are also affected differentially. In addition, hotspot and non-hotspot areas for these taxa might differ quantitatively in pressure scores and qualitatively in key individual anthropogenic pressures. To test this working hypothesis, hotspot areas for endemic bivalve and gastropod species were identified using stacked species ranges. Cumulative and individual pressure scores were estimated for hotspot and non-hotspot areas of bivalves and gastropods. Differences in cumulative and individual pressure scores were tested for significance using non-parametric MANOVA and Wilcoxon rank sum tests, respectively. We identified various mollusk biodiversity hotspots across locations and depths, which are differentially affected both in terms of cumulative pressure scores and in the composition of the contributing individual pressures. Similarly, hotspot and non-hotspot areas for both bivalves and gastropods are differentially affected by anthropogenic pressures. By defining endemic hotspot areas and the respective anthropogenic pressures, this study provides an important baseline for mollusk-specific conservation strategies. (C) 2020 International Association for Great Lakes Research. Published by Elsevier B.V. All rights reserved.</t>
  </si>
  <si>
    <t>[Lattuada, Matteo; Albrecht, Christian; Klinkenbu, Denise; Wilke, Thomas] Justus Liebig Univ, IFZ, Heinrich Buff Ring 26, D-35392 Giessen, Germany; [Wesselingh, Frank P.; Raes, Niels] Nat Biodivers Ctr, POB 9517, NL-2300 RA Leiden, Netherlands; [Vinarski, Maxim V.] St Petersburg State Univ, 7-9 Univ Skaya Emb, St Petersburg 199034, Russia; [Vinarski, Maxim V.] RAS, SI Vavilov Inst Hist Sci &amp; Technol, St Petersburg Branch, 5-2 Univ Skaya Emb, St Petersburg 199034, Russia; [Kijashko, Pavel] Russian Acad Sci, Zool Inst, 1 Univ Skaya Emb, St Petersburg 199034, Russia; [Raes, Niels] NLBIF Netherlands Biodivers Informat Facil, Darwinweg 2, NL-2300 RA Leiden, Netherlands</t>
  </si>
  <si>
    <t>Justus Liebig University Giessen; Naturalis Biodiversity Center; Saint Petersburg State University; Russian Academy of Sciences; Russian Academy of Sciences; Zoological Institute of the Russian Academy of Sciences</t>
  </si>
  <si>
    <t>Lattuada, M (corresponding author), Justus Liebig Univ, IFZ, Heinrich Buff Ring 26, D-35392 Giessen, Germany.</t>
  </si>
  <si>
    <t>m.lattuada87@gmail.com</t>
  </si>
  <si>
    <t>; Kijashko, Pavel/AAM-3914-2020; Raes, Niels/A-9645-2011; Wilke, Thomas/G-1517-2012; Vinarski, Maxim/D-6103-2014; Wesselingh, Frank/C-1367-2018</t>
  </si>
  <si>
    <t>Lattuada, Matteo/0000-0001-7983-1429; Klinkenbuß, Denise/0009-0000-8940-4973; Kijashko, Pavel/0000-0002-1868-1815; Raes, Niels/0000-0002-4329-4892; Wilke, Thomas/0000-0001-8263-7758;</t>
  </si>
  <si>
    <t>project PRIDE (Pontocaspian RIse and DEmise) from the European Union's Horizon 2020 research and innovation program under the Marie Sklodowska-Curie grant [642973]; Russian Ministry of Higher Education and Science [6.1352.2017/4.6]</t>
  </si>
  <si>
    <t>project PRIDE (Pontocaspian RIse and DEmise) from the European Union's Horizon 2020 research and innovation program under the Marie Sklodowska-Curie grant; Russian Ministry of Higher Education and Science</t>
  </si>
  <si>
    <t>This research was supported by the project PRIDE (Pontocaspian RIse and DEmise), which has received funding from the European Union's Horizon 2020 research and innovation program under the Marie Sklodowska-Curie grant agreement No 642973. Partial financial support came also from the Russian Ministry of Higher Education and Science for financial support (project No. 6.1352.2017/4.6 to MV).</t>
  </si>
  <si>
    <t>0380-1330</t>
  </si>
  <si>
    <t>J GREAT LAKES RES</t>
  </si>
  <si>
    <t>J. Gt. Lakes Res.</t>
  </si>
  <si>
    <t>10.1016/j.jglr.2019.12.007</t>
  </si>
  <si>
    <t>Environmental Sciences; Limnology; Marine &amp; Freshwater Biology</t>
  </si>
  <si>
    <t>OD2YG</t>
  </si>
  <si>
    <t>WOS:000579717900016</t>
  </si>
  <si>
    <t>McClintock, BT; Onorato, DP; Martin, J</t>
  </si>
  <si>
    <t>McClintock, Brett T.; Onorato, Dave P.; Martin, Julien</t>
  </si>
  <si>
    <t>abundance; capture-recapture; citizen science; dead recovery; human-wildlife ecology; imperfect detection; mark-resight; Puma concolor coryi; risk of collision; telemetry</t>
  </si>
  <si>
    <t>HABITAT SELECTION; BAYESIAN-ANALYSIS; DENSITY; INFERENCE</t>
  </si>
  <si>
    <t>Reliably estimating the abundance of rare or elusive animals is notoriously difficult. An archetypical example is the endangered Florida panther, whose conservation status is intrinsically linked to population size, but for which reliable abundance information is lacking across its range. This is due not only to the inherent difficulty of sampling a rare and elusive species over a large geographic area, but also because of restricted scientific access to private land. Human interactions with wildlife are a regular occurrence, and interactions with non-scientists constitute an important and underutilized source of information about species distribution and abundance. For example, motor vehicle collisions with Florida panthers are recurrent on the vast network of roads within the public and private lands comprising its range in southern Florida, USA. Capitalizing on a tendency for the public to report collisions with species of concern to wildlife officials, we describe a novel methodology using public reports along with routine telemetry monitoring data to produce the first statistically defensible population estimates for the Florida panther across its entire breeding range. In essence, our approach uses traffic volume and road density to estimate the probability of motor vehicle collision mortality from telemetered animals and models counts reported by the public accordingly. Despite low motor vehicle collision mortality probabilities, our methodology achieved abundance estimates of reasonable precision (29% CV) that was similar to that of previous panther studies using conventional approaches on much smaller study areas. While recovery criteria require establishment of three distinct populations of 240 Florida panthers, we found this single population may never have exceeded 150 individuals from 2000 to 2012.Synthesis and applications. By extracting critical demographic information from underutilized aspects of human-wildlife ecology, our citizen-based approach can cost less than conventional alternatives and could conceivably be used for long-term population monitoring of other species over broad geographic areas, for example from reports of avian wind farm collisions, beached whales or marine mammal boat strikes. An additional benefit is that it can be applied to historical data sets of carcass recovery programmes, in our case permitting abundance estimation over a 13-year period. By extracting critical demographic information from underutilized aspects of human-wildlife ecology, our citizen-based approach can cost less than conventional alternatives and could conceivably be used for long-term population monitoring of other species over broad geographic areas, for example from reports of avian wind farm collisions, beached whales or marine mammal boat strikes. An additional benefit is that it can be applied to historical data sets of carcass recovery programmes, in our case permitting abundance estimation over a 13-year period.</t>
  </si>
  <si>
    <t>[McClintock, Brett T.] NOAA NMFS Alaska Fisheries Sci Ctr, Natl Marine Mammal Lab, Seattle, WA 98115 USA; [Onorato, Dave P.] Florida Fish &amp; Wildlife Conservat Commiss, Fish &amp; Wildlife Res Inst, Naples, FL 34114 USA; [Martin, Julien] Florida Fish &amp; Wildlife Conservat Commiss, Fish &amp; Wildlife Res Inst, St Petersburg, FL 33701 USA</t>
  </si>
  <si>
    <t>National Oceanic Atmospheric Admin (NOAA) - USA; Florida Fish &amp; Wildlife Conservation Commission; Florida Fish &amp; Wildlife Conservation Commission</t>
  </si>
  <si>
    <t>McClintock, BT (corresponding author), NOAA NMFS Alaska Fisheries Sci Ctr, Natl Marine Mammal Lab, Seattle, WA 98115 USA.</t>
  </si>
  <si>
    <t>brett.mcclintock@noaa.gov</t>
  </si>
  <si>
    <t>Onorato, Dave/AAD-2563-2021</t>
  </si>
  <si>
    <t>Onorato, Dave/0000-0002-4716-6847; Martin, Julien/0000-0002-7375-129X</t>
  </si>
  <si>
    <t>10.1111/1365-2664.12438</t>
  </si>
  <si>
    <t>CM9CR</t>
  </si>
  <si>
    <t>WOS:000358004300013</t>
  </si>
  <si>
    <t>Koen, EL; Minnaar, C; Roever, CL; Boyles, JG</t>
  </si>
  <si>
    <t>Koen, Erin L.; Minnaar, Corneile; Roever, Carrie L.; Boyles, Justin G.</t>
  </si>
  <si>
    <t>artificial light; biodiversity; conservation; global; light pollution; nocturnal; species richness</t>
  </si>
  <si>
    <t>FORAGING BEHAVIOR; NIGHTTIME LIGHTS; ARTIFICIAL-LIGHT; CONSERVATION; POLLUTION; PREDATION; IMPACT; EXTENT</t>
  </si>
  <si>
    <t>Over the last century the temporal and spatial distribution of light on Earth has been drastically altered by human activity. Despite mounting evidence of detrimental effects of light pollution on organisms and their trophic interactions, the extent to which light pollution threatens biodiversity on a global scale remains unclear. We assessed the spatial extent and magnitude of light encroachment by measuring change in the extent of light using satellite imagery from 1992 to 2012 relative to species richness for terrestrial and freshwater mammals, birds, reptiles, and amphibians. The encroachment of light into previously dark areas was consistently high, often doubling, in areas of high species richness for all four groups. This pattern persisted for nocturnal groups (e.g., bats, owls, and geckos) and species considered vulnerable to extinction. Areas with high species richness and large increases in light extent were clustered within newly industrialized regions where expansion of light is likely to continue unabated unless we act to conserve remaining darkness. Implementing change at a global scale requires global public, and therefore scientific, support. Here, we offer substantial evidence that light extent is increasing where biodiversity is high, representing an emerging threat to global biodiversity requiring immediate attention.</t>
  </si>
  <si>
    <t>[Koen, Erin L.] Mem Univ Newfoundland, Dept Biol, St John, NF, Canada; [Koen, Erin L.; Boyles, Justin G.] Southern Illinois Univ, Cooperat Wildlife Res Lab, Carbondale, IL USA; [Minnaar, Corneile] Univ Stellenbosch, Dept Bot &amp; Zool, Stellenbosch, South Africa; [Roever, Carrie L.] Univ Idaho, Northwest Knowledge Network, Moscow, ID USA; [Boyles, Justin G.] Southern Illinois Univ, Ctr Ecol, Carbondale, IL USA; [Boyles, Justin G.] Southern Illinois Univ, Dept Zool, Carbondale, IL USA</t>
  </si>
  <si>
    <t>Memorial University Newfoundland; Southern Illinois University System; Southern Illinois University; Stellenbosch University; University of Idaho; Southern Illinois University System; Southern Illinois University; Southern Illinois University System; Southern Illinois University</t>
  </si>
  <si>
    <t>Koen, EL (corresponding author), Mem Univ Newfoundland, Dept Biol, St John, NF, Canada.</t>
  </si>
  <si>
    <t>erinkoen@hotmail.com</t>
  </si>
  <si>
    <t>; Boyles, Justin/A-5152-2010</t>
  </si>
  <si>
    <t>Roever, Carrie/0000-0002-5552-494X; Minnaar, Corneile/0000-0002-8547-0655</t>
  </si>
  <si>
    <t>10.1111/gcb.14146</t>
  </si>
  <si>
    <t>GH7UQ</t>
  </si>
  <si>
    <t>WOS:000433717700009</t>
  </si>
  <si>
    <t>Negret, PJ; Sonter, L; Watson, JEM; Possingham, HP; Jones, KR; Suarez, C; Ochoa-Quintero, JM; Maron, M</t>
  </si>
  <si>
    <t>Negret, Pablo Jose; Sonter, Laura; Watson, James E. M.; Possingham, Hugh P.; Jones, Kendall R.; Suarez, Cesar; Manuel Ochoa-Quintero, Jose; Maron, Martine</t>
  </si>
  <si>
    <t>Conservation; Human conflict; Colombia; Forest loss; Dinamica EGO; Land cover change; Illicit crops</t>
  </si>
  <si>
    <t>LAND-USE CHANGE; PROTECTED AREAS; TROPICAL DEFORESTATION; ILLICIT CROPS; COVER CHANGE; CONSERVATION; BIODIVERSITY; LANDSCAPE; DYNAMICS; WARFARE</t>
  </si>
  <si>
    <t>The effect of armed conflict on deforestation in biodiverse regions across Earth remains poorly understood. Its association with factors like illegal crop cultivation can obscure its effect on deforestation patterns. We used Colombia, a global biodiversity hotspot with a complex political history, to explore the association of both armed conflict and coca cultivation with deforestation patterns. We generated spatial predictions of deforestation pressure based on the period 2000-2015 to understand how armed conflict and coca cultivation are associated with spatial patterns of deforestation and assess the spatial distribution of deforestation pressure induced by armed conflict and coca cultivation. Deforestation was positively associated with armed conflict intensity and proximity to illegal coca plantations. A deforestation model including 14 variables was 78% accurate in predicting deforestation at a 10 km(2) resolution. On their own armed conflict and coca cultivation had a notable effect, particularly in the Amazon, but in combination with other variables it was small. Deforestation pressure induced by armed conflict and coca cultivation was highest in Tumaco and Catatumbo regions and in la Macarena, Sierra Nevada and San Lucas mountains-all areas of high biodiversity and conservation importance. In some regions, lack of governance after the peace accords is increasing armed conflict, and our results suggest that those increases in conflict may increase deforestation in those areas. The methods used here can be replicated to help understand the complex ways in which armed conflict affects deforestation patterns in other regions.</t>
  </si>
  <si>
    <t>[Negret, Pablo Jose; Sonter, Laura; Watson, James E. M.; Maron, Martine] Univ Queensland, Sch Earth &amp; Environm Sci, Brisbane, Qld 4072, Australia; [Negret, Pablo Jose; Sonter, Laura; Watson, James E. M.; Possingham, Hugh P.; Maron, Martine] Univ Queensland, Ctr Biodivers &amp; Conservat Sci, Brisbane, Qld 4072, Australia; [Watson, James E. M.; Jones, Kendall R.] Wildlife Conservat Soc, Global Conservat Program, 2300 Southern Blvd, Bronx, NY 10460 USA; [Possingham, Hugh P.] Nature Conservancy, South Brisbane, Qld 4101, Australia; [Suarez, Cesar] World Wide Fund Nat, Bogota, Colombia; [Manuel Ochoa-Quintero, Jose] Inst Invest Recursos Biol Alexander von Humboldt, Bogota, Colombia</t>
  </si>
  <si>
    <t>University of Queensland; University of Queensland; Wildlife Conservation Society; Nature Conservancy; Alliance; International Center for Tropical Agriculture - CIAT</t>
  </si>
  <si>
    <t>Negret, PJ (corresponding author), Univ Queensland, Sch Earth &amp; Environm Sci, Brisbane, Qld 4072, Australia.</t>
  </si>
  <si>
    <t>p.negret@uq.edu.au; l.sonter@uq.edu.au; jwatson@wcs.org; hugh.possingham@tnc.org; krjones@wcs.org; cfsuarez@wwf.org.co; jochoa@humboldt.org.co; m.maron@uq.edu.au</t>
  </si>
  <si>
    <t>Sonter, Laura/I-6756-2013; Watson, James/D-8779-2013; Jones, Kendall/N-2464-2015; Maron, Martine/D-9699-2011; Possingham, Hugh/B-1337-2008; Suarez, Cesar Freddy/HHZ-1274-2022</t>
  </si>
  <si>
    <t>Sonter, Laura/0000-0002-6590-3986; Negret, Pablo Jose/0000-0002-4683-839X; Watson, James/0000-0003-4942-1984; Jones, Kendall/0000-0003-2221-9938; Maron, Martine/0000-0002-5563-5789; Suarez, Cesar Freddy/0000-0001-6939-4405</t>
  </si>
  <si>
    <t>Colombian Administrative Department of Science, Technology and Innovation (Colciencias); Alexander von Humboldt Biological Resources Research Institute (IAVH); World Wildlife Fund (WWF) through the VoLo Foundation</t>
  </si>
  <si>
    <t>Colombian Administrative Department of Science, Technology and Innovation (Colciencias)(Departamento Administrativo de Ciencia, Tecnologia e Innovacion Colciencias); Alexander von Humboldt Biological Resources Research Institute (IAVH)(Alexander von Humboldt Foundation); World Wildlife Fund (WWF) through the VoLo Foundation</t>
  </si>
  <si>
    <t>This work was supported by the Colombian Administrative Department of Science, Technology and Innovation (Colciencias), the Alexander von Humboldt Biological Resources Research Institute (IAVH) and the World Wildlife Fund (WWF) through the VoLo Foundation.</t>
  </si>
  <si>
    <t>10.1016/j.biocon.2019.07.021</t>
  </si>
  <si>
    <t>JQ1ZG</t>
  </si>
  <si>
    <t>WOS:000498750700011</t>
  </si>
  <si>
    <t>Sigaud, M; Mason, THE; Bernier, F; Cherry, SG; Fortin, D</t>
  </si>
  <si>
    <t>Sigaud, M.; Mason, T. H. E.; Bernier, F.; Cherry, S. G.; Fortin, D.</t>
  </si>
  <si>
    <t>bison; fescue grasslands; invasive species; spatial ecology; zoochory; ecological integrity; exotic plant species</t>
  </si>
  <si>
    <t>COLLECTIVE DECISION-MAKING; GLACIER NATIONAL-PARK; BISON BISON-BISON; SEED DISPERSAL; FORAGING DECISIONS; NORTH-AMERICA; PLAINS BISON; ENERGY GAINS; RISK; TRAITS</t>
  </si>
  <si>
    <t>As an ever-increasing variety of conservation programmes are applied in human-altered environments, there is a growing risk that different conservation actions with conflicting objectives may impede one another. Preventing and resolving the negative impacts of such conflicting conservation programmes could become a key challenge for conservationists. To date, however, the issue of conflicting conservation programmes has been largely overlooked. We explored a potential conflict between the preservation of threatened free-ranging plains bison Bison bison bison and the conservation in a National Park of a rare plant community - native rough fescue Festuca hallii grasslands. We investigated the dispersal of exotic seeds by examining 283 samples of bison faeces and the spatial distribution of exotic plant species in relation to bison behaviour. We showed that bison facilitated the long-distance dispersal of exotic plant species into the park by transporting seeds. Our analysis indicated there was a high probability (&gt;75%) of occurrence of clover Trifolium spp. and timothy Phleum pratense on bison trails across 38% and 27%, respectively, of fescue grassland area. There was also a high probability of occurrence of timothy on bison wallows across 20% of fescue grasslands area. Furthermore, we demonstrated that exotic plant species were most likely to occur within 3 km of potential introduction points, and identified specific grassland patches most at risk of exotic plant species introduction by bison. By revealing the ecological mechanism underlying the emergence of a potential conflict, we were able to delineate spatial variation in the relative threat that bison might pose to the integrity of native fescue plant communities, allowing managers to optimize the allocation of conservation effort. Our study highlights the value of understanding the ecological mechanisms driving conflict between conservation programmes in order to set evidence-based priorities for guiding future conservation decision-making.</t>
  </si>
  <si>
    <t>[Sigaud, M.; Mason, T. H. E.; Bernier, F.; Fortin, D.] Univ Laval, Dept Biol, Quebec City, PQ, Canada; [Sigaud, M.; Mason, T. H. E.; Bernier, F.; Fortin, D.] Univ Laval, Ctr Etud Foret, Quebec City, PQ, Canada; [Sigaud, M.] Kyoto Univ, Primate Res Inst, 41-2 Kanrin, Inuyama, Aichi 484850, Japan; [Mason, T. H. E.] Univ Stirling, Sch Nat Sci, Biol &amp; Environm Sci, Stirling, Scotland; [Bernier, F.] Museum Natl Hist Nat, UMS Patrimoine Nat, Paris, France; [Cherry, S. G.] Pk Canada Agcy, Radium Hot Springs, BC, Canada</t>
  </si>
  <si>
    <t>Laval University; Laval University; Kyoto University; University of Stirling; Museum National d'Histoire Naturelle (MNHN)</t>
  </si>
  <si>
    <t>Sigaud, M (corresponding author), Kyoto Univ, Primate Res Inst, 41-2 Kanrin, Inuyama, Aichi 484850, Japan.</t>
  </si>
  <si>
    <t>sigaud.marie.52c@est.kyoto-u.ac.jp</t>
  </si>
  <si>
    <t>; Mason, Tom/AAT-2859-2020; Fortin, Daniel/ABG-3554-2020</t>
  </si>
  <si>
    <t>Mason, Tom/0000-0003-0834-0571; Fortin, Daniel/0000-0003-1267-1891; Sigaud, Marie/0000-0002-6958-7239; Barnier, Florian/0009-0004-3762-8974</t>
  </si>
  <si>
    <t>Parks Canada Species at Risk Recovery Action and Education Fund (National Strategy for the Protection of Species at Risk); Parks Canada Agency Action on the Ground Program; Natural Sciences and Engineering Research Council of Canada; Canadian Foundation for Innovation; Universite Laval</t>
  </si>
  <si>
    <t>Parks Canada Species at Risk Recovery Action and Education Fund (National Strategy for the Protection of Species at Risk); Parks Canada Agency Action on the Ground Program; Natural Sciences and Engineering Research Council of Canada(Natural Sciences and Engineering Research Council of Canada (NSERC)CGIAR); Canadian Foundation for Innovation(Canada Foundation for Innovation); Universite Laval</t>
  </si>
  <si>
    <t>Funding for this study was provided by Parks Canada Species at Risk Recovery Action and Education Fund (a programme supported by the National Strategy for the Protection of Species at Risk), the Parks Canada Agency Action on the Ground Program, the Natural Sciences and Engineering Research Council of Canada, the Canadian Foundation for Innovation and Universite Laval. We thank N. Trudel, V. Valette and S. Pardonnet for their help in the field. We are also grateful to C. Bourson and M. Marteau for their help with seed collection and identification.</t>
  </si>
  <si>
    <t>10.1111/acv.12579</t>
  </si>
  <si>
    <t>PD1AE</t>
  </si>
  <si>
    <t>WOS:000520251100001</t>
  </si>
  <si>
    <t>Rey, O; Fourtune, L; Paz-Vinas, I; Loot, G; Veyssière, C; Roche, B; Blanchet, S</t>
  </si>
  <si>
    <t>Rey, Olivier; Fourtune, Lisa; Paz-Vinas, Ivan; Loot, Geraldine; Veyssiere, Charlotte; Roche, Benjamin; Blanchet, Simon</t>
  </si>
  <si>
    <t>approximate Bayesian computation; Bayesian clustering; pathogen; population genetics; spatio-temporal dynamic</t>
  </si>
  <si>
    <t>FRESH-WATER ECOSYSTEMS; INFECTIOUS-DISEASES; POPULATION-STRUCTURE; MOLECULAR EPIDEMIOLOGY; BIOLOGICAL INVASIONS; MICROSATELLITE DATA; CLIMATE-CHANGE; PARASITES; SOFTWARE; BIODIVERSITY</t>
  </si>
  <si>
    <t>Emerging pathogens constitute a severe threat for human health and biodiversity. Determining the status (native or non-native) of emerging pathogens, and tracing back their spatio-temporal dynamics, is crucial to understand the eco-evolutionary factors promoting their emergence, to control their spread and mitigate their impacts. However, tracing back the spatio-temporal dynamics of emerging wildlife pathogens is challenging because (i) they are often neglected until they become sufficiently abundant and pose socio-economical concerns and (ii) their geographical range is often little known. Here, we combined classical population genetics tools and approximate Bayesian computation (i.e. ABC) to retrace the dynamics of Tracheliastes polycolpus, a poorly documented pathogenic ectoparasite emerging in Western Europe that threatens several freshwater fish species. Our results strongly suggest that populations of T. polycolpus in France emerged from individuals originating from a unique genetic pool that were most likely introduced in the 1920s in central France. From this initial population, three waves of colonization occurred into peripheral watersheds within the next two decades. We further demonstrated that populations remained at low densities, and hence undetectable, during 10 years before a major demographic expansion occurred, and before its official detection in France. These findings corroborate and expand the few historical records available for this emerging pathogen. More generally, our study demonstrates how ABC can be used to determine the status, reconstruct the colonization history and infer key evolutionary parameters of emerging wildlife pathogens with low data availability, and for which samples from the putative native area are inaccessible.</t>
  </si>
  <si>
    <t>[Rey, Olivier; Fourtune, Lisa; Loot, Geraldine; Veyssiere, Charlotte; Blanchet, Simon] CNRS Moulis, Stn Ecol Expt, USR 2936, F-09200 Moulis, France; [Paz-Vinas, Ivan; Blanchet, Simon] UPS, CNRS, ENFA, Evolut &amp; Div Biol EDB UMR 5174, F-31062 Toulouse 9, France; [Paz-Vinas, Ivan; Loot, Geraldine] Univ Toulouse, UPS, UMR EDB 5174, F-31062 Toulouse 9, France; [Paz-Vinas, Ivan] Aix Marseille Univ, Univ Avignon &amp; Pays Vaucluse, UMR IMBE 7263, CNRS,IRD,Equipe EGE,Ctr St Charles, F-13331 Marseille 3, France; [Roche, Benjamin] UPMC, IRD, Unite Modelisat Math &amp; Informat Syst Complexes UM, F-93143 Bondy, France</t>
  </si>
  <si>
    <t>Centre National de la Recherche Scientifique (CNRS); Universite de Toulouse; Universite Toulouse III - Paul Sabatier; Centre National de la Recherche Scientifique (CNRS); Universite Federale Toulouse Midi-Pyrenees (ComUE); Ecole Nationale Formation Agronomique (ENSFEA); Universite de Toulouse; Universite Toulouse III - Paul Sabatier; Aix-Marseille Universite; Institut de Recherche pour le Developpement (IRD); Centre National de la Recherche Scientifique (CNRS); Avignon Universite; Hanoi University of Science &amp; Technology (HUST); Hanoi Advanced School of Science &amp; Technology; Cadi Ayyad University of Marrakech; Institut de Recherche pour le Developpement (IRD); Sorbonne Universite; University Cheikh Anta Diop Dakar; University of Yaounde I</t>
  </si>
  <si>
    <t>Rey, O (corresponding author), CNRS Moulis, Stn Ecol Expt, USR 2936, F-09200 Moulis, France.</t>
  </si>
  <si>
    <t>olivier.rey@ecoex-moulis.cnrs.fr; simon.blanchet@ecoex-moulis.cnrs.fr</t>
  </si>
  <si>
    <t>; Rey, olivier/R-5453-2016; Paz-Vinas, Ivan/L-1936-2013; Blanchet, Simon/AAA-5871-2019</t>
  </si>
  <si>
    <t>Fourtune, Lisa/0000-0002-9481-3461; Rey, olivier/0000-0003-3699-7204; Paz-Vinas, Ivan/0000-0002-0043-9289;</t>
  </si>
  <si>
    <t>project INCLIMPAR (Agence National de la Recherche) [ANR-11-JSV7-0010]; project PROBIS (Biodiversa); Region Midi-Pyrenees; Fisheries Society of British Islands; Agence Nationale de la Recherche (ANR) [ANR-11-JSV7-0010] Funding Source: Agence Nationale de la Recherche (ANR)</t>
  </si>
  <si>
    <t>project INCLIMPAR (Agence National de la Recherche); project PROBIS (Biodiversa); Region Midi-Pyrenees(Region OccitanieRegion Provence-Alpes-Cote d'Azur); Fisheries Society of British Islands; Agence Nationale de la Recherche (ANR)(Agence Nationale de la Recherche (ANR))</t>
  </si>
  <si>
    <t>We thank our colleagues from the 'Office National de l'Eau et des Milieux Aquatiques' and the 'Federations Departementales pour la Peche et la Protection des Milieux Aquatiques' for their invaluable help with the collection of T. polycolpus samples. We also thank our international colleagues (more particularly Wojciech Piasecki and Amy Reading) that spent much time in searching some T. polycolpus samples in the supposedly native area. We are also grateful to Roman Biek and four anonymous reviewers for their insightful comments and suggestions to improve the final version of the manuscript. This work is part of the projects INCLIMPAR (ANR-11-JSV7-0010, Agence National de la Recherche) and PROBIS (Biodiversa). O.R. is also grateful to the 'Region Midi-Pyrenees' for financial support. We also thank the Fisheries Society of British Islands that has participated financially to this research. The genetic data were generated at the molecular genetic technical facilities of the Genopole Toulouse (Toulouse, France). We thank the CAL-MIP Group, Boris Dintrans, Nicolas Renon and Pierrette Barbaresco in particular. This work was performed using HPC resources from CALMIP (allocation P1003). This work has been performed in two research units (SEEM &amp; EDB) that are part of the 'Laboratoire d'Excellence' (LABEX) entitled TULIP (ANR-10-LABX-41).</t>
  </si>
  <si>
    <t>10.1111/mec.13401</t>
  </si>
  <si>
    <t>CU5HZ</t>
  </si>
  <si>
    <t>WOS:000363564200005</t>
  </si>
  <si>
    <t>Dasgupta, S; Ghosh, AK</t>
  </si>
  <si>
    <t>Dasgupta, Shreya; Ghosh, Asish K.</t>
  </si>
  <si>
    <t>HUMAN DIMENSIONS OF WILDLIFE</t>
  </si>
  <si>
    <t>railways; India; West Bengal; elephant; human-wildlife conflict; stakeholder perceptions; biodiversity hotspots</t>
  </si>
  <si>
    <t>We quantified elephant-train casualties along the 163 km (101 mi) Siliguri-Alipurduar railway line in northern West Bengal, India and assessed stakeholder perceptions about this conflict. We found that casualties have increased post-conversion of this railway line from meter to broad gauge, and are highest during monsoons and winters. Higher casualty risk was associated with closer distances to nearest curve and higher forest cover. Elephants frequently visit near this railway line, and 83% of households living in close proximity to this line sighted elephants during 2012. Most train operators (87%) said that elephant-train collisions had increased, and cited speed, low visibility, and lack of warning systems as main reasons. Among household respondents, reasons for accidents included an increase in both train numbers and speed. Our suggestions for mitigating the conflict include installation of sensor-systems that can warn train drivers about approaching animals, and shifting trains to the alternate existing railway line.</t>
  </si>
  <si>
    <t>[Dasgupta, Shreya; Ghosh, Asish K.] ENDEV Soc Environm &amp; Dev, 329 Jodhpur Pk, Kolkata 700068, W Bengal, India</t>
  </si>
  <si>
    <t>Dasgupta, S (corresponding author), ENDEV Soc Environm &amp; Dev, 329 Jodhpur Pk, Kolkata 700068, W Bengal, India.</t>
  </si>
  <si>
    <t>shreya.dg@gmail.com</t>
  </si>
  <si>
    <t>1087-1209</t>
  </si>
  <si>
    <t>1533-158X</t>
  </si>
  <si>
    <t>HUM DIMENS WILDL</t>
  </si>
  <si>
    <t>Hum. Dimens. Wildl.</t>
  </si>
  <si>
    <t>10.1080/10871209.2014.937017</t>
  </si>
  <si>
    <t>VB8WG</t>
  </si>
  <si>
    <t>WOS:000422684800006</t>
  </si>
  <si>
    <t>Rashidi, P; Wang, TJ; Skidmore, A; Mehdipoor, H; Darvishzadeh, R; Ngene, S; Vrieling, A; Toxopeus, AG</t>
  </si>
  <si>
    <t>Rashidi, Parinaz; Wang, Tiejun; Skidmore, Andrew; Mehdipoor, Harried; Darvishzadeh, Roshanak; Ngene, Shadrack; Vrieling, Anton; Toxopeus, Albertus G.</t>
  </si>
  <si>
    <t>Bayesian analysis; Wildlife poaching; Risk analysis; Expert knowledge; Tsavo ecosystem; Kenya</t>
  </si>
  <si>
    <t>EXPERT OPINION; ECOLOGICAL MODELS; CRIME; PATTERNS; DISEASE; TIME</t>
  </si>
  <si>
    <t>Bayesian statistical methods are being used increasingly in crime research because they overcome data quality problems that arise due to the covert nature of crime, but the use of such methods is still in its infancy in the field of wildlife poaching a-specific form of crime. We analyzed poaching risk for African elephant (Loxodonta africana) by comparing spatial and non-spatial Bayesian models. Reports on elephant poaching in the Tsavo ecosystem were obtained for 2002-2012 from the Kenya Wildlife Service. The ecosystem was divided into 34 spatial units for which poaching data were aggregated and served as the base units for analysis. Spatial and non-spatial Bayesian models were fed with expert knowledge obtained through survey responses from 30 experts. The predictive accuracy of both models was assessed using the Deviance Information Criterion (DIC). Our results indicated that spatial Bayesian modeling improved the model fit for mapping elephant poaching risk compared to using non-spatial Bayesian models (DIC value of 193.05 vs 199.03). The results further showed that the seasonal timing of elephant poaching (i.e., in dry and wet seasons), density of waterholes, livestock density and elephant population density were factors significantly influencing the spatial patterns of elephant poaching risk in the Tsavo ecosystem for both models. Although there were similarities in the high risk areas for elephant poaching recognized in both models, risk probability values per spatial unit could differ. Furthermore, spatial Bayesian modeling also identified areas of high poaching risk that were not predicted by the non-spatial model. These findings provide vital information for identifying priority areas for combating elephant poaching and for informing conservation management decisions. The model we present here can be applied to poaching data for other threatened species. (C) 2016 Elsevier B.V. All rights reserved.</t>
  </si>
  <si>
    <t>[Rashidi, Parinaz; Wang, Tiejun; Skidmore, Andrew; Darvishzadeh, Roshanak; Vrieling, Anton; Toxopeus, Albertus G.] Univ Twente, Dept Nat Resources, Fac Geoinformat Sci &amp; Earth Observat ITC, POB 217, NL-7500 AE Enschede, Netherlands; [Mehdipoor, Harried] Univ Twente, Dept Geoinformat Proc, Fac Geoinformat Sci &amp; Earth Observat ITC, POB 217, NL-7500 AE Enschede, Netherlands; [Ngene, Shadrack] Kenya Wildlife Serv, POB 40241, Nairobi 00100, Kenya</t>
  </si>
  <si>
    <t>University of Twente; University of Twente</t>
  </si>
  <si>
    <t>Rashidi, P (corresponding author), Univ Twente, Dept Nat Resources, Fac Geoinformat Sci &amp; Earth Observat ITC, POB 217, NL-7500 AE Enschede, Netherlands.</t>
  </si>
  <si>
    <t>p.rashidi-1@utwente.nl</t>
  </si>
  <si>
    <t>Vrieling, Anton/B-2639-2012; Darvishzadeh, Roshanak/K-7906-2013; Skidmore, Andrew/C-7441-2011; Wang, Tiejun/A-4671-2010; Toxopeus, Albertus/A-3650-2010</t>
  </si>
  <si>
    <t>Skidmore, Anew/0000-0002-7446-8429; Wang, Tiejun/0000-0002-1138-8464; Vrieling, Anton/0000-0002-7979-1540; Darvishzadeh, Roshanak/0000-0001-7512-0574;</t>
  </si>
  <si>
    <t>Erasmus Mundus program of the European Union; ITC Research Fund, The Netherlands</t>
  </si>
  <si>
    <t>Erasmus Mundus program of the European Union; ITC Research Fund, The Netherlands(Netherlands Government)</t>
  </si>
  <si>
    <t>This work was funded by the Erasmus Mundus program of the European Union and co-funded by the ITC Research Fund, The Netherlands. We thank the Kenya Wildlife Service for providing the elephant poaching data and their support for doing field work. We thank Jackie Senior for editing the text.</t>
  </si>
  <si>
    <t>OCT 24</t>
  </si>
  <si>
    <t>10.1016/j.ecolmodel.2016.08.002</t>
  </si>
  <si>
    <t>DW7GM</t>
  </si>
  <si>
    <t>WOS:000383819200006</t>
  </si>
  <si>
    <t>Pereira, AABG; Dias, B; Castro, SI; Landi, MFA; Melo, CB; Wilson, TM; Costa, GRT; Passos, PHO; Romano, AP; Szabo, MPJ; Castro, MB</t>
  </si>
  <si>
    <t>Pereira, Alexandra A. B. G.; Dias, Bianca; Castro, Sarah I.; Landi, Marina F. A.; Melo, Cristiano B.; Wilson, Tais M.; Costa, Gabriela R. T.; Passos, Pedro H. O.; Romano, Alessandro P.; Szabo, Matias P. J.; Castro, Marcio B.</t>
  </si>
  <si>
    <t>PRIMATES</t>
  </si>
  <si>
    <t>Non-human primates; Electrical injuries; Conservation; Lower voltage</t>
  </si>
  <si>
    <t>PRIMATES; MONKEYS; CONSERVATION; MORTALITY; ECOLOGY; INJURY</t>
  </si>
  <si>
    <t>Shrinking natural habitats exposes some non-human primates to the risk of accidents associated with electrical transmission lines. We examined dead marmosets (Callithrix penicillata) collected in the region from January 2015 to April 2018 to determine the animals' cause of death and for electrocuted animals we examined the locations the animals had died as well as the configuration of the power lines at these sites. We also recorded the sex of the animal, the body region affected, and characteristics of the injuries. We diagnosed electrocutions in 11% (n = 34) of the marmosets studied. Most of the affected animals were male (n = 22) with single or double sites of injury on the limbs. Animals were injured in urban (n = 26) and peri-urban (n = 8) areas on lower-voltage alternate current lines, and we detected no seasonality or hotspots of electrocution. Our findings suggest that movement along transmission lines composed of bundled conductors is a major factor in electrocutions of marmosets in the Federal District and surrounding areas. The planning of electrical power grid infrastructure should consider arboreal primates to prevent electrocutions.</t>
  </si>
  <si>
    <t>[Pereira, Alexandra A. B. G.; Dias, Bianca; Castro, Sarah I.; Landi, Marina F. A.; Melo, Cristiano B.; Wilson, Tais M.; Castro, Marcio B.] Univ Brasilia, Vet Pathol Lab, Via L4 Norte,Campus Univ Darcy Ribeiro, BR-70910900 Brasilia, DF, Brazil; [Costa, Gabriela R. T.] Environm Hlth Surveillance Directorate Fed Dist D, SAAN Estr Contorno Bosque,Lote 04, BR-70790060 Brasilia, DF, Brazil; [Passos, Pedro H. O.; Romano, Alessandro P.] Minist Hlth SVS MS, Tech Grp Arbovirus Surveillance GT Arbovirosis, Dept Communicable Dis Surveillance DEVIT, Gen Coordinat Communicable Dis CGDT,Secretariat H, SRTV 701,Via 5 Norte Ed PO700-6 Andar, BR-70723040 Brasilia, DF, Brazil; [Szabo, Matias P. J.] Univ Fed Uberlandia, Fac Med Vet, Av 1720,Campus Umuarama,Bloco 2T, BR-38400902 Uberlandia, MG, Brazil</t>
  </si>
  <si>
    <t>Universidade de Brasilia; Universidade Federal de Uberlandia</t>
  </si>
  <si>
    <t>Castro, MB (corresponding author), Univ Brasilia, Vet Pathol Lab, Via L4 Norte,Campus Univ Darcy Ribeiro, BR-70910900 Brasilia, DF, Brazil.</t>
  </si>
  <si>
    <t>mbcastro@unb.br</t>
  </si>
  <si>
    <t>; de Melo, Cristiano/B-4088-2013; Szabó, Matias Pablo Juan/A-5704-2013; Castro, Márcio/ABE-6941-2022</t>
  </si>
  <si>
    <t>Castro, Márcio Botelho de/0000-0002-3996-0856; de Melo, Cristiano/0000-0002-5085-5731; Meziara Wilson, Tais/0000-0002-0404-9499; Frota de Albuquerque Landi, Marina/0000-0003-4097-0813; Szabó, Matias Pablo Juan/0000-0001-8642-3968;</t>
  </si>
  <si>
    <t>SPRINGER JAPAN KK</t>
  </si>
  <si>
    <t>TOKYO</t>
  </si>
  <si>
    <t>SHIROYAMA TRUST TOWER 5F, 4-3-1 TORANOMON, MINATO-KU, TOKYO, 105-6005, JAPAN</t>
  </si>
  <si>
    <t>0032-8332</t>
  </si>
  <si>
    <t>1610-7365</t>
  </si>
  <si>
    <t>10.1007/s10329-019-00760-x</t>
  </si>
  <si>
    <t>KV6MR</t>
  </si>
  <si>
    <t>WOS:000520597000020</t>
  </si>
  <si>
    <t>Plumptre, AJ; Fuller, RA; Rwetsiba, A; Wanyama, F; Kujirakwinja, D; Driciru, M; Nangendo, G; Watson, JEM; Possingham, HP</t>
  </si>
  <si>
    <t>Plumptre, Andrew J.; Fuller, Richard A.; Rwetsiba, Aggrey; Wanyama, Fredrick; Kujirakwinja, Deo; Driciru, Margaret; Nangendo, Grace; Watson, James E. M.; Possingham, Hugh P.</t>
  </si>
  <si>
    <t>costing ranger patrols; planning patrol effort; law enforcement effectiveness; Marxan; threats mapping</t>
  </si>
  <si>
    <t>LAW-ENFORCEMENT; LUANGWA-VALLEY; SPECIES DISTRIBUTIONS; CONSERVATION; EXPLOITATION; PERFORMANCE; OCCUPANCY; WILDLIFE; FORESTS; MAMMALS</t>
  </si>
  <si>
    <t>In many countries, areas delineated for conservation purposes can only achieve their objectives if effective law enforcement occurs within them. However, there is no method currently available to allocate law enforcement effort in a way that protects species and habitats in a cost-effective manner. Law enforcement is expensive and effort is usually concentrated near the locations of patrol stations where rangers are based. This hampers effective conservation, particularly in large protected areas, or regions with limited enforcement capacity. Using the spatial planning tool Marxan, we demonstrate a method for prioritizing law enforcement in a globally important conservation landscape (the Greater Virunga Landscape, GVL, in central Africa) using data on the spatial distribution of illegal activities and conservation features within the landscape. Our analysis of current patrol data shows that law enforcement activity is inadequate with only 22% of the landscape being effectively patrolled and most of this activity occurring within 3km of a patrol post. We show that the current patrol effort does not deter illegal activities beyond this distance. We discover that when we account for the costs of effective patrolling and set targets for covering key species populations and habitats, we can reduce the costs of meeting all conservation targets in the landscape by 63%, to $2 center dot 2-3 center dot 0million USD, relative to the cost of patrolling the entire landscape. This cost is well within the current expenditure of approximately $5 center dot 9million USD for the GVL but would better target effort from both patrol posts and mobile patrol units in the landscape. Synthesis and applications. Our results demonstrate a method that can be used to plan enforcement patrolling, resulting in more cost-efficient prevention of illegal activities in a way that is targeted at halting declines in species of conservation concern.</t>
  </si>
  <si>
    <t>[Plumptre, Andrew J.; Nangendo, Grace] Wildlife Conservat Soc, Plot 802 Kiwafu Rd,POB 7487, Kampala, Uganda; [Plumptre, Andrew J.; Fuller, Richard A.; Possingham, Hugh P.] Univ Queensland, Sch Biol Sci, Brisbane, Qld 4072, Australia; [Rwetsiba, Aggrey; Wanyama, Fredrick; Driciru, Margaret] Uganda Wildlife Author, Kampala, Uganda; [Kujirakwinja, Deo] Wildlife Conservat Soc, Quartier Des Volcans, Goma, DEM REP CONGO; [Watson, James E. M.] Univ Queensland, Sch Geog Planning &amp; Environm Management, Brisbane, Qld 4072, Australia; [Watson, James E. M.] Wildlife Conservat Soc, Global Conservat Program, Bronx, NY 10460 USA; [Possingham, Hugh P.] Univ London Imperial Coll Sci Technol &amp; Med, Div Ecol &amp; Evolut, Ascot SL5 7PY, Berks, England</t>
  </si>
  <si>
    <t>University of Queensland; University of Queensland; Wildlife Conservation Society; Imperial College London</t>
  </si>
  <si>
    <t>Plumptre, AJ (corresponding author), Wildlife Conservat Soc, Plot 802 Kiwafu Rd,POB 7487, Kampala, Uganda.</t>
  </si>
  <si>
    <t>aplumptre@wcs.org</t>
  </si>
  <si>
    <t>Possingham, Hugh/B-1337-2008; Watson, James/D-8779-2013; Plumptre, Anew/X-3145-2019; Fuller, Richard/B-7971-2008</t>
  </si>
  <si>
    <t>Possingham, Hugh/0000-0001-7755-996X; Watson, James/0000-0003-4942-1984; Plumptre, Anew/0000-0002-9333-4047; Fuller, Richard/0000-0001-9468-9678</t>
  </si>
  <si>
    <t>Fairfield Osborn Memorial Fund; University of Queensland Department of Biology; Wildlife Conservation Society</t>
  </si>
  <si>
    <t>We would like to thank all the rangers who contributed data to this analysis from ICCN and UWA together with chief park wardens and law enforcement wardens. We would also like to thank Dan Segan for discussions and ideas about law enforcement and developing cost layers for Marxan. The analysis was funded by the Fairfield Osborn Memorial Fund, The University of Queensland Department of Biology and the Wildlife Conservation Society.</t>
  </si>
  <si>
    <t>10.1111/1365-2664.12227</t>
  </si>
  <si>
    <t>WOS:000335962200018</t>
  </si>
  <si>
    <t>Krawczyk, E; Hedman, H; Pafilis, P; Bergen, K; Foufopoulos, J</t>
  </si>
  <si>
    <t>Krawczyk, Eric; Hedman, Hayden; Pafilis, Panayiotis; Bergen, Kathleen; Foufopoulos, Johannes</t>
  </si>
  <si>
    <t>Birds; Reptiles; Landscape change; Exurban development; Greece; Feral cats; Mediterranean ecosystems</t>
  </si>
  <si>
    <t>EXURBAN DEVELOPMENT; PATTERNS; GRADIENT; LIZARDS; BIRDS; ASSEMBLAGES; POPULATION; ABUNDANCE; SAVANNA; LIFE</t>
  </si>
  <si>
    <t>Context Islands harbor unique and sensitive wildlife. Little is currently known, however, on how touristic development affects island species. We analyzed how tourism-associated infrastructure impacts wildlife and habitat availability across a representative Mediterranean island landscape (Naxos, Aegean Sea, Greece). Objectives First, we aimed to quantify how human-built structures (buildings and roads) affect island bird and reptile populations. Additionally, we investigated whether specific factors associated with this development such as cats, water, and food shape these impacts. Second, we mapped and quantified how touristic-dominated development over 33 years has changed landscape habitat availability for wildlife. Methods We used wildlife field surveys and analyses to elucidate the spatial responses of wildlife to development, and combined this with a compilation of image-derived spatial data of the recent infrastructure expansion. Results Native birds declined strongly close to buildings and roads, and were replaced there by non-native invasive species. Reptiles also largely disappeared close to human development; appearing to be influenced by predation by pet cats. Over the study period, 1982-2015, human-built structures nearly doubled. Combining the increase in infrastructure numbers with each structure's estimated ecological footprint, 100 m, revealed that only 20.5% of the potential wildlife habitat remains unaffected by development in the study region. Conclusions This study demonstrates the landscape-level effects of diffuse tourism-dominated development on island wildlife and suggests the existence of cooperative effects between touristic expansion and exotic species. Given the pervasive presence of tourism in island habitats, it raises concerns about its effects on resident biodiversity.</t>
  </si>
  <si>
    <t>[Krawczyk, Eric; Hedman, Hayden; Bergen, Kathleen; Foufopoulos, Johannes] Univ Michigan, Sch Environm &amp; Sustainabil, Dana Hall,440 Church St, Ann Arbor, MI 48109 USA; [Pafilis, Panayiotis] Natl &amp; Kapodistrian Univ Athens, Sch Biol &amp; Zool Museum, Dept Zool &amp; Marine Biol, Panepistimiopolis 15784, Ilissia, Greece</t>
  </si>
  <si>
    <t>University of Michigan System; University of Michigan; National &amp; Kapodistrian University of Athens</t>
  </si>
  <si>
    <t>Krawczyk, E (corresponding author), Univ Michigan, Sch Environm &amp; Sustainabil, Dana Hall,440 Church St, Ann Arbor, MI 48109 USA.</t>
  </si>
  <si>
    <t>emkraw@umich.edu; hedmanh@umich.edu; ppafil@biol.uoa.gr; kbergen@umich.edu; jfoufop@umich.edu</t>
  </si>
  <si>
    <t>Pafilis, Panayiotis/J-4037-2015</t>
  </si>
  <si>
    <t>Pafilis, Panayiotis/0000-0002-1832-4906; Krawczyk, Eric/0000-0002-5286-0884; Foufopoulos, Johannes/0000-0002-8341-8271; Bergen, Kathleen/0000-0003-0583-2108</t>
  </si>
  <si>
    <t>University of Michigan School for Environment and Sustainability; University of Michigan International Institute; University of Michigan Rackham School for Graduate Studies</t>
  </si>
  <si>
    <t>University of Michigan School for Environment and Sustainability; University of Michigan International Institute(University of Michigan System); University of Michigan Rackham School for Graduate Studies(University of Michigan System)</t>
  </si>
  <si>
    <t>We would like to thank the University of Michigan School for Environment and Sustainability, International Institute, and the Rackham School for Graduate Studies for providing the support to conduct this research. We also acknowledge the statistical consulting assistance of S.Y.P. Chen from at the University of Michigan CSCAR. We thank J. Fornberg, S. Semegen, B. Graber, K. McDonald, and L. Vesprani, for assistance during the field work portion. We extend our gratitude to V. Tamez, Z. Gizicki, and our friends and family for their advice and support over the course of this study. All fieldwork was conducted with special permission issued from the Greek Ministry of Environment and Energy (Permit code, A Delta A: Omega Theta T84653 Pi 8-B3M).</t>
  </si>
  <si>
    <t>10.1007/s10980-019-00917-5</t>
  </si>
  <si>
    <t>OCT 2019</t>
  </si>
  <si>
    <t>JI9BW</t>
  </si>
  <si>
    <t>WOS:000490199500001</t>
  </si>
  <si>
    <t>Pinto, FAS; Clevenger, AP; Grilo, C</t>
  </si>
  <si>
    <t>Pinto, Fernando A. S.; Clevenger, Anthony P.; Grilo, Clara</t>
  </si>
  <si>
    <t>ENVIRONMENTAL IMPACT ASSESSMENT REVIEW</t>
  </si>
  <si>
    <t>Barrier effect; Biodiversity; Habitat; Highways; Mitigation; Road-kills</t>
  </si>
  <si>
    <t>SMALL MAMMALS; HABITAT USE; MOVEMENT PATTERNS; VEGETATION COVER; PROTECTED AREAS; GIANT ANTEATER; LAMA-GUANICOE; NATIONAL-PARK; ANDEAN BEARS; RAIN-FOREST</t>
  </si>
  <si>
    <t>Biodiversity in Latin America is at risk today due to habitat loss, land conversion to agriculture and urbanization. To grow their economies the developing countries of Latin America have begun to invest heavily in new road construction. An assessment of research on the impacts of roads on wildlife in Latin America will help define science-based conservation strategies aimed at mitigating road expansion. The aim of this review was to qualitatively and quantitatively assess scientific research papers addressing road impacts on vertebrate species in Latin America. We searched for scientific papers published as early as 1990 to 2017. We reviewed a total of 197 papers. Published research showed an increasing trend in the last decade with a strong geographic bias with a majority of papers from Brazil. Mammals were the most studied taxa followed by birds, reptiles and amphibians. The majority of studies focused on road mortality and at the individual species level. Studies documented an increase in deforestation rates, in land conversion to agriculture, illegal activities (hunting, logging) and the establishment of human settlements. The effects of roads on species richness and populations abundance varied among taxa with no apparent pattern within taxa. Forest-dependent species tended to avoid crossing roads. Amphibians had the highest median road-kill rate, followed by reptiles, mammals and birds. Our results suggest that there is an urgent need for more research, particularly in Central America and to employ predictive tools for difficult-to-sample or understudied species and critical conservation areas. We recommend a two-speed approach to guide future research: one focusing on quantifying individual species responses towards roads and their implications on population viability; a second consisting of regional or continental-scale analyses and modelling of road risks to species and populations to inform road planning immediately.</t>
  </si>
  <si>
    <t>[Pinto, Fernando A. S.; Grilo, Clara] Univ Fed Lavras, Dept Biol, Setor Ecol &amp; Conservacao, POB 3037, BR-37200000 Lavras, MG, Brazil; [Clevenger, Anthony P.] Montana State Univ, Western Transportat Inst, POB 174250, Bozeman, MT 59717 USA; [Grilo, Clara] Univ Lisbon, Fac Ciencias, CESAM, Lisbon, Portugal</t>
  </si>
  <si>
    <t>Universidade Federal de Lavras; Montana State University System; Montana State University Bozeman; Universidade de Lisboa</t>
  </si>
  <si>
    <t>Pinto, FAS (corresponding author), Univ Fed Lavras, Dept Biol, Setor Ecol &amp; Conservacao, POB 3037, BR-37200000 Lavras, MG, Brazil.</t>
  </si>
  <si>
    <t>aspfernando.ecologia@gmail.com</t>
  </si>
  <si>
    <t>Pinto, Fernando Antonio Silva/AAH-8311-2021; Grilo, Clara/H-2002-2012</t>
  </si>
  <si>
    <t>Pinto, Fernando Antonio Silva/0000-0002-8814-3182; Grilo, Clara/0000-0001-9870-3115; Clevenger, Anthony P/0000-0003-0380-6272</t>
  </si>
  <si>
    <t>Conselho Nacional de Desenvolvimento Cientifico e Tencnologico - Brasil (CNPq) [401171/2014-0]; Coordenacao de Aperfeicoamento de Pessoal de Nivel Superior - Brasil (CAPES) [1502819/001]; CNPq - Brasil [454186/2016-9]; Woodcock Foundation; CNPq [300021/2015-1]; CESAM - Portugal [UID/AMB/50017/2019]; FCT/MCTES</t>
  </si>
  <si>
    <t>Conselho Nacional de Desenvolvimento Cientifico e Tencnologico - Brasil (CNPq)(Conselho Nacional de Desenvolvimento Cientifico e Tecnologico (CNPQ)Fundacao de Apoio a Pesquisa do Distrito Federal (FAPDF)); Coordenacao de Aperfeicoamento de Pessoal de Nivel Superior - Brasil (CAPES)(Coordenacao de Aperfeicoamento de Pessoal de Nivel Superior (CAPES)); CNPq - Brasil(Conselho Nacional de Desenvolvimento Cientifico e Tecnologico (CNPQ)); Woodcock Foundation; CNPq(Conselho Nacional de Desenvolvimento Cientifico e Tecnologico (CNPQ)); CESAM - Portugal; FCT/MCTES(Fundacao para a Ciencia e a Tecnologia (FCT))</t>
  </si>
  <si>
    <t>This study was part of the project Road Macroecology: analysis tools to assess impacts on biodiversity and landscape structure funded by Conselho Nacional de Desenvolvimento Cientifico e Tencnologico - Brasil (CNPq) - (grant number 401171/2014-0. FP was supported by the Coordenacao de Aperfeicoamento de Pessoal de Nivel Superior - Brasil (CAPES) - (grant number 1502819/001), doctorate scholarship. APC was supported by CNPq - Brasil (grant number 454186/2016-9) and the Woodcock Foundation. CG was supported by CNPq (AJT grant number 300021/2015-1). Thanks are due for the financial support to CESAM - Portugal (UID/AMB/50017/2019), to FCT/MCTES through national fund. We thank the anonymous reviewers for improving the manuscript.</t>
  </si>
  <si>
    <t>0195-9255</t>
  </si>
  <si>
    <t>1873-6432</t>
  </si>
  <si>
    <t>ENVIRON IMPACT ASSES</t>
  </si>
  <si>
    <t>Environ. Impact Assess. Rev.</t>
  </si>
  <si>
    <t>10.1016/j.eiar.2019.106337</t>
  </si>
  <si>
    <t>KO0CJ</t>
  </si>
  <si>
    <t>WOS:000515213600002</t>
  </si>
  <si>
    <t>Gibson, D; Blomberg, EJ; Atamian, MT; Espinosa, SP; Sedinger, JS</t>
  </si>
  <si>
    <t>Gibson, Daniel; Blomberg, Erik J.; Atamian, Michael T.; Espinosa, Shawn P.; Sedinger, James S.</t>
  </si>
  <si>
    <t>WILDLIFE MONOGRAPHS</t>
  </si>
  <si>
    <t>anthropogenic disturbances; Centrocercus urophasianus; common ravens; Corvus corax; demographic rates; elevated structures; environmental heterogeneity; habitat selection; indirect anthropogenic effects; population dynamics; power lines; sage-grouse; transmission lines</t>
  </si>
  <si>
    <t>ELECTRICAL TRANSMISSION-LINE; WIND ENERGY DEVELOPMENT; COMMON RAVEN PREDATION; PERCH DETERRENTS; NEST SURVIVAL; RESOURCE SELECTION; ANTHROPOGENIC STRUCTURES; AVIAN INTERACTIONS; CLIMATE-CHANGE; NATURAL-GAS</t>
  </si>
  <si>
    <t>Energy development and its associated infrastructure, including power lines, may influence wildlife population dynamics through effects on survival, reproduction, and movements of individuals. These infrastructure impacts may be direct or indirect, the former occurring when development acts directly as an agent of mortality (e.g., collision) and the latter when impacts occur as a by-product of other processes that are altered by infrastructure presence. Functional or numerical responses by predators to power-line corridors are indirect impacts that may suppress demographic rates for certain species, and perceived predation risk may affect animal behaviors such as habitat selection. Greater sage-grouse (Centrocercus urophasianus) are a species of conservation concern across western North America that may be affected by power lines. Previous studies, however, have not provided evidence for causal mechanisms influencing demographic rates. Our primary objective was to assess the influence of power lines on multiple sage-grouse vital rates, greater sage-grouse habitat selection, and ultimately greater sage-grouse population dynamics. We used demographic and behavioral data for greater sage-grouse collected from 2003 to 2012 in central Nevada, USA, accounting for sources of underlying environmental heterogeneity. We also concurrently monitored populations of common ravens (Corvus corax), a primary predator of sage-grouse nests and young. We focused primarily on a single 345kV transmission line that was constructed at the beginning of our study; however, we also determined if similar patterns were associated with other nearby, preexisting power lines. We found that numerous behaviors (e.g., nest-site selection, brood-site selection) and demographic rates (e.g., nest survival, recruitment, and population growth) were affected by power lines, and that these negative effects were predominantly explained by temporal variation in the relative abundance of common ravens. Specifically, in years of high common raven abundance, avoidance of the transmission line was extended farther from the line, re-nesting propensity was reduced, and nest survival was lower near the transmission line relative to areas more distant from the transmission line. Additionally, we found that before and immediately after construction of the transmission line, habitats near the footprint of the transmission line were generally more productive (e.g., greater reproductive success and population growth) than areas farther from the transmission line. However, multiple demographic rates (i.e., pre-fledging chick survival, annual male survival, per capita recruitment, and population growth) for groups of individuals that used habitats near the transmission line declined to a greater extent than for individuals using habitats more distant in the years following construction of the transmission line. These decreases were correlated with an increase in common raven abundance. The geographical extent to which power lines negatively influence greater sage-grouse demographic processes was thus contingent on local raven abundance and behavior. In this system, we found that effects of power lines, depending on the behavior or demographic rate, extended 2.5-12.5km, which exceeds current recommendations for the placement of structures in areas around sage-grouse leks. Nests located 12.5km from the transmission line had 0.06 to 0.14 higher probabilities of hatching in years of average to high levels of raven abundance, relative to nests located within 1km of the transmission line. Similarly, leks located 5km from the transmission line had 0.02 to 0.16 higher rates of population growth (lambda) in years of average to high levels of raven abundance, relative to leks located within 1km of the transmission line. Our finding that negative impacts of the transmission line were associated with common raven abundance suggest that management actions that decouple this association between common raven abundance and power lines may reduce the negative indirect impacts of power lines on greater sage-grouse population dynamics. However, because the removal of common ravens or the use of perch deterrents on power lines has not been demonstrated to be consistently effective in reducing common raven predation rates on greater sage-grouse nests, we recommend preferential treatment to mitigation strategies that reduce the number of elevated structures placed within 10km of critical greater sage-grouse habitat. (C) 2018 The Wildlife Society.</t>
  </si>
  <si>
    <t>[Gibson, Daniel; Sedinger, James S.] Univ Nevada, Dept Nat Resources &amp; Environm Sci, Program Ecol Evolut &amp; Conservat Biol, Mail Stop 186, Reno, NV 89557 USA; [Blomberg, Erik J.] Univ Maine, Dept Wildlife Fisheries &amp; Conservat Biol, 5755 Nutting Hall Room 210, Orono, ME 04469 USA; [Atamian, Michael T.] Washington Dept Fish &amp; Wildlife, 2315 North Discovery Pl, Spokane Valley, WA 99216 USA; [Espinosa, Shawn P.] Nevada Dept Wildlife, 6980 Sierra Ctr Pkwy,Suite 120, Reno, NV 89511 USA; [Gibson, Daniel] Virginia Tech, Dept Fish &amp; Wildlife Conservat, Blacksburg, VA 24060 USA</t>
  </si>
  <si>
    <t>Nevada System of Higher Education (NSHE); University of Nevada Reno; University of Maine System; University of Maine Orono; Washington Department of Fish &amp; Wildlife (WDFW); Virginia Polytechnic Institute &amp; State University</t>
  </si>
  <si>
    <t>Gibson, D (corresponding author), Univ Nevada, Dept Nat Resources &amp; Environm Sci, Program Ecol Evolut &amp; Conservat Biol, Mail Stop 186, Reno, NV 89557 USA.;Gibson, D (corresponding author), Virginia Tech, Dept Fish &amp; Wildlife Conservat, Blacksburg, VA 24060 USA.</t>
  </si>
  <si>
    <t>gibsond@vt.edu</t>
  </si>
  <si>
    <t>Sedinger, James/JQW-5322-2023</t>
  </si>
  <si>
    <t>Nevada Agricultural Experiment Station; Nevada Department of Wildlife; United States Bureau of Land Management; National Fish and Wildlife Foundation; NV Energy Corporation; Maine Agricultural and Forestry Experiment Station</t>
  </si>
  <si>
    <t>We thank all of the technicians and volunteers associated with data collection from 2003-2012. We specifically acknowledge M. Podborny who was instrumental in the successful completion of this research. We also thank A. Leach, P. Street, T. Reicke, A. Hornsby, J. Tull, S. Abele, P. Weisberg, M. Matocq, T. Albright, and S. Paulsen who provided conceptual, analytical, and literary guidance. We thank C. L. Aldridge and B. C. Fedy for their extensive contributions on early drafts of this manuscript. We would like to acknowledge the numerous partners, land stewards, and technicians that made this work possible. Muchas gracias and merci beaucoup to A. Molina Moctezuma and I. Grentzmann, respectively, for their assistance with the foreign language abstracts. This work was supported jointly by the Nevada Agricultural Experiment Station, the Nevada Department of Wildlife, the Maine Agricultural and Forestry Experiment Station, the United States Bureau of Land Management, the National Fish and Wildlife Foundation, and NV Energy Corporation.</t>
  </si>
  <si>
    <t>0084-0173</t>
  </si>
  <si>
    <t>1938-5455</t>
  </si>
  <si>
    <t>WILDLIFE MONOGR</t>
  </si>
  <si>
    <t>Wildl. Monogr.</t>
  </si>
  <si>
    <t>10.1002/wmon.1034</t>
  </si>
  <si>
    <t>GX9AG</t>
  </si>
  <si>
    <t>WOS:000448088900001</t>
  </si>
  <si>
    <t>Kolbe, SE; Miller, AI; Cameron, GN; Culley, TM</t>
  </si>
  <si>
    <t>Kolbe, Sarah E.; Miller, Arnold I.; Cameron, Guy N.; Culley, Theresa M.</t>
  </si>
  <si>
    <t>URBAN ECOSYSTEMS</t>
  </si>
  <si>
    <t>Urbanization; Anthropogenic effects; Tree composition; Gradient analysis; Regression trees</t>
  </si>
  <si>
    <t>SPECIES-DIVERSITY; PLANT INVASIONS; BIODIVERSITY; URBANIZATION; ECOLOGY; HABITAT; SOIL; DISTURBANCE; CALIFORNIA; INTERFACE</t>
  </si>
  <si>
    <t>Unprecedented population growth and urban expansion are rapidly transforming natural and agricultural settings into highly modified urban and suburban landscapes in developed areas worldwide. A myriad of anthropogenic environmental disturbances invariably accompany such dramatic shifts in land use, and disentangling the effects of these multiple stresses on ecosystem variation pose major challenges as the world's urban population continues to increase. Here, we quantitatively characterized environmentally-mediated variation in tree-community composition along an Urban-Wildland gradient in southwestern Ohio, using tree censuses conducted in sample plots at six study sites categorized as Urban, Exurban, or Wildland based on analyses of a broad suite of natural and anthropogenic environmental variables. Several direct measures of the tree-census data, including species richness, abundance, diversity metrics, and evenness, exhibited significant increases from Urban to Wildland sites. Non-Metric Multidimensional Scaling (NMDS) showed that tree composition within study plots also varied systematically along the gradient, with significant differences among sites captured primarily on NMDS Axis 1. The dominant tree species at Urban and Exurban sites was Acer saccharum (sugar maple). While this species was also abundant at Wildland sites, two other species, Asimina triloba (paw paw) and Juniperus virginiana (red cedar) tended to be more abundant. Regression-tree analyses demonstrated that tree-community composition was controlled by a complex combination of natural and anthropogenic factors, with primary roles for population density and other indicators of urbanization at broader and intermediate scales; natural factors, such as aspect, soil drainage, elevation, slope, and soil pH were important in differentiating among Urban, Exurban, and Wildland sites already primarily categorized by anthropogenic agents.</t>
  </si>
  <si>
    <t>[Kolbe, Sarah E.; Miller, Arnold I.] Univ Cincinnati, Dept Geol, Cincinnati, OH 45221 USA; [Cameron, Guy N.; Culley, Theresa M.] Univ Cincinnati, Dept Biol Sci, Cincinnati, OH 45221 USA</t>
  </si>
  <si>
    <t>University System of Ohio; University of Cincinnati; University System of Ohio; University of Cincinnati</t>
  </si>
  <si>
    <t>Miller, AI (corresponding author), Univ Cincinnati, Dept Geol, Cincinnati, OH 45221 USA.</t>
  </si>
  <si>
    <t>arnold.miller@uc.edu</t>
  </si>
  <si>
    <t>Culley, Theresa/0000-0001-8656-4330</t>
  </si>
  <si>
    <t>University Research Council, University of Cincinnati</t>
  </si>
  <si>
    <t>We thank M. Becus, D. Buick, J. M. Foote, S. Jacob, D. Lentz, J. Wittmer, and J. Zambito for assistance with field work and The Division of Wildlife, Ohio Department of Natural Resources, for allowing us access to their property. We especially thank those preserve managers who granted us permission to work on their property and assisted with selection of study sites including: J. Klein, B. Mason, and J. Mundy, Great Parks of Hamilton County; R. Morgan, East Fork Wildlife Area; R. Adams, Tranquility Wildlife Area; P. Whan and R. McCarty, Edge of Appalachia Preserve, The Nature Conservancy; L. Parker, Cincinnati Park Board, Cincinnati Parks. We also thank C. Bedel, Cincinnati Museum Center, who arranged for housing during our field work at the Edge of Appalachia. Our research was funded by an Interdisciplinary Grant from the University Research Council, University of Cincinnati.</t>
  </si>
  <si>
    <t>1083-8155</t>
  </si>
  <si>
    <t>1573-1642</t>
  </si>
  <si>
    <t>URBAN ECOSYST</t>
  </si>
  <si>
    <t>Urban Ecosyst.</t>
  </si>
  <si>
    <t>10.1007/s11252-016-0531-7</t>
  </si>
  <si>
    <t>Biodiversity Conservation; Ecology; Environmental Sciences; Urban Studies</t>
  </si>
  <si>
    <t>Biodiversity &amp; Conservation; Environmental Sciences &amp; Ecology; Urban Studies</t>
  </si>
  <si>
    <t>DV1HF</t>
  </si>
  <si>
    <t>WOS:000382671000025</t>
  </si>
  <si>
    <t>Theodorakis, CW; Adams, SM; Smith, C; Rotter, J; Hay, A; Eslick, J</t>
  </si>
  <si>
    <t>Theodorakis, Christopher W.; Adams, S. Marshall; Smith, Chandra; Rotter, Jamie; Hay, Ashley; Eslick, Joy</t>
  </si>
  <si>
    <t>ECOTOXICOLOGY</t>
  </si>
  <si>
    <t>Gopher tortoise; Threatened species; Oxidative stress; Military activities</t>
  </si>
  <si>
    <t>LIPID-PEROXIDATION PRODUCTS; FLOW-CYTOMETRIC ANALYSIS; ENERGETIC COMPOUNDS; ANOXIA TOLERANCE; HOME RANGE; TOXICITY; GLUTATHIONE; EXPOSURE; TURTLE; BIODIVERSITY</t>
  </si>
  <si>
    <t>Department of Defense lands are essential for providing important habitat for threatened, endangered, and at-risk species (TER-S). However, there is little information on the effects of military-related contaminants on TER-S on these lands in field situations. Thus, this study examined genotoxicity and oxidative stress in gopher tortoises (Gopherus polyphemus) on Camp Shelby, MS-the largest known population of this species, which is listed as an endangered species in Mississippi and a threatened species by the U.S. government. Blood was collected from tortoises at 19 different sites on the base with different levels of habitat quality (high-quality and low-quality habitat) and military activity (high, low, and no military activity). Oxidative stress was quantified as lipid peroxidation and GSSG/GSH ratios, while DNA damage was determined using flow cytometry. Our results suggest that: (1) for tortoises residing in low-quality habitats, oxidative stress and DNA damage increased with increasing military activity, while in high-quality habitats, oxidative stress and DNA damage decreased with increasing military activity; (2) in the absence of military activity, tortoises in high-quality habitat had higher levels of oxidative stress and DNA damage than those in low-quality habitat, and (3) there were interactions between military activity, habitat quality, and landuse in terms of the amount of observable DNA damage and oxidative stress. In particular, on high-quality habitat, tortoises from areas with high levels of military activity had lower levels of oxidative stress and DNA damage biomarkers than on reference sites. This may represent a compensatory or hormetic response. Conversely, on low-quality habitats, the level of oxidative stress and DNA damage was lower on the reference sites. Thus, tortoises on higher-quality habitats may have a greater capacity for compensatory responses. In terms of management implications, it is suggested that low quality habitats should be a higher priority for remediation, and lower priority for conducting military activities.</t>
  </si>
  <si>
    <t>[Theodorakis, Christopher W.] Southern Illinois Univ Edwardsville, Dept Environm Sci, Edwardsville, IL 62026 USA; [Theodorakis, Christopher W.; Smith, Chandra; Rotter, Jamie; Hay, Ashley] Southern Illinois Univ Edwardsville, Dept Biol Sci, Edwardsville, IL 62026 USA; [Adams, S. Marshall] Oak Ridge Natl Lab, Div Environm Sci, Oak Ridge, TN 37831 USA; [Eslick, Joy] St Louis Univ, Dept Mol Microbiol &amp; Immunol, Sch Med, St Louis, MO 63104 USA</t>
  </si>
  <si>
    <t>Southern Illinois University System; Southern Illinois University Edwardsville; Southern Illinois University System; Southern Illinois University Edwardsville; United States Department of Energy (DOE); Oak Ridge National Laboratory; Saint Louis University</t>
  </si>
  <si>
    <t>Theodorakis, CW (corresponding author), Southern Illinois Univ Edwardsville, Dept Environm Sci, Edwardsville, IL 62026 USA.;Theodorakis, CW (corresponding author), Southern Illinois Univ Edwardsville, Dept Biol Sci, Edwardsville, IL 62026 USA.</t>
  </si>
  <si>
    <t>ctheodo@siue.edu</t>
  </si>
  <si>
    <t>Strategic Environmental Research and Development Program (SERDP) [SI-1395]</t>
  </si>
  <si>
    <t>Strategic Environmental Research and Development Program (SERDP)</t>
  </si>
  <si>
    <t>This project was funded by the Strategic Environmental Research and Development Program (SERDP), Project SI-1395.</t>
  </si>
  <si>
    <t>0963-9292</t>
  </si>
  <si>
    <t>1573-3017</t>
  </si>
  <si>
    <t>10.1007/s10646-017-1859-3</t>
  </si>
  <si>
    <t>Ecology; Environmental Sciences; Toxicology</t>
  </si>
  <si>
    <t>Environmental Sciences &amp; Ecology; Toxicology</t>
  </si>
  <si>
    <t>FN9DY</t>
  </si>
  <si>
    <t>WOS:000416329500006</t>
  </si>
  <si>
    <t>Li, N; Wang, Z; Xia, L; Yan, F; Xu, LQ; Qiao, YJ; Li, XH; An, SQ; Fang, SB</t>
  </si>
  <si>
    <t>Li, Ning; Wang, Zheng; Xia, Lu; Yan, Feng; Xu, Ling-qian; Qiao, Ya-jun; Li, Xin-hai; An, Shu-qing; Fang, Shu-bo</t>
  </si>
  <si>
    <t>Coastal reclamation; Grus japonensis; Wintering population; Suitable habitat</t>
  </si>
  <si>
    <t>HUMAN DISTURBANCE; SELECTION; IMPACTS; RESERVE; CONSERVATION; YANCHENG; ZONE</t>
  </si>
  <si>
    <t>Exploring how suitable habitat and population size of Red-crowned crane Grus japonensis respond to long-term coastal reclamation plays an important role in species conservation and in related coastal management. Here, we combined field data for suitable habitats and wintering population size of G. japonensis with GIS-based information to elucidate the influence of long-term coastal reclamation on this species and related conservation efforts. During 1975-2013, the intensity and spatial extent of coastal reclamation exhibited a temporal change, increasing dramatically in 1975-2000 and lessening considerably in 2000-2013. Under the pressure of long-term coastal reclamation, the decline of suitable habitat of G. japonensis was affected by increasing levels of human disturbance and decreasing availability of natural habitat. Moreover, the wintering population size of G. japonensis exhibited a decreasing trend during 1975-2013 as a result of the decreasing availability of fish ponds, bare tidal flats, and increasing spatial extent of residential areas and P. australis habitat, which were indirectly affected by long-term reclamation. Our results highlight the importance of considering the long-term effects of coastal reclamation on both populations and suitable habitat of G. japonensis, which should be considered in future plans for coastal management and conservation.</t>
  </si>
  <si>
    <t>[Li, Ning; Xia, Lu; Yan, Feng; Xu, Ling-qian; Qiao, Ya-jun; An, Shu-qing] Nanjing Univ, Sch Life Sci, Nanjing 210093, Jiangsu, Peoples R China; [Wang, Zheng] Nanjing Forestry Univ, Coll Biol &amp; Environm Sci, Nanjing 210037, Jiangsu, Peoples R China; [Li, Xin-hai] Chinese Acad Sci, Inst Zool, Beijing 100101, Peoples R China; [Fang, Shu-bo] Shanghai Ocean Univ, Coll Marine Ecol &amp; Environm, Shanghai 201306, Peoples R China</t>
  </si>
  <si>
    <t>Nanjing University; Nanjing Forestry University; Chinese Academy of Sciences; Institute of Zoology, CAS; Shanghai Ocean University</t>
  </si>
  <si>
    <t>An, SQ (corresponding author), Nanjing Univ, Sch Life Sci, Nanjing 210093, Jiangsu, Peoples R China.;Fang, SB (corresponding author), Shanghai Ocean Univ, Coll Marine Ecol &amp; Environm, Shanghai 201306, Peoples R China.</t>
  </si>
  <si>
    <t>anshq@nju.edu.cn; bsfang@shou.edu.cn</t>
  </si>
  <si>
    <t>; Li, Ning/F-4462-2010; Li, Xinhai/IUQ-5955-2023; shubo, Fang/AHE-9388-2022</t>
  </si>
  <si>
    <t>Xu, Lingqian/0000-0002-8707-0102; Li, Ning/0000-0003-4870-1140; Li, Xinhai/0000-0003-4514-0149; shubo, Fang/0000-0002-8863-1100</t>
  </si>
  <si>
    <t>National Basic Research Program of China [2013CB430400]; National Key R&amp;D Program of China [2017YFC0505800]</t>
  </si>
  <si>
    <t>National Basic Research Program of China(National Basic Research Program of China); National Key R&amp;D Program of China</t>
  </si>
  <si>
    <t>The National Basic Research Program of China funded this research (Grant No. 2013CB430400). The National Key R&amp;D Program of China (Grant No. 2017YFC0505800) and The National Basic Research Program of China funded (Grant No. 2013CB430400) this research.</t>
  </si>
  <si>
    <t>10.1007/s10750-017-3341-x</t>
  </si>
  <si>
    <t>HB9QH</t>
  </si>
  <si>
    <t>WOS:000451426200003</t>
  </si>
  <si>
    <t>Chirichella, R; Ciuti, S; Apollonio, M</t>
  </si>
  <si>
    <t>Chirichella, Roberta; Ciuti, Simone; Apollonio, Marco</t>
  </si>
  <si>
    <t>Rupicapra r. rupicapra; Ovis orientalis musimon; Livestock; Shepherds' dog; Resource use; Interspecific interference; Spatial segregation</t>
  </si>
  <si>
    <t>EASTERN SOUTHERN ALPS; HABITAT SELECTION; RED DEER; RUPICAPRA-RUPICAPRA; FORAGING BEHAVIOR; FEEDING-HABITS; HIMALAYAN TAHR; DIET OVERLAP; NEW-ZEALAND; MULE DEER</t>
  </si>
  <si>
    <t>Interspecific interference among livestock, native and non-native large herbivores is a key management and conservation issue, and little is known about its dynamics and implications. We investigated whether native Alpine chamois (Rupicapra r. rupicapra) modify their spatial distribution when non-native mouflon Ovis orientalis musimon and livestock (domestic sheep Ovis aries, and domestic goats Capra hircus) inhabit the same areas in the Alpine meadows of Italian Eastern Alps. We walked 5 hiking trails (5.0 +/- 0.1 km) at dawn, twice a month during summers 2007 and 2008. During these surveys, we located each group of free-ranging ungulates (chamois, mouflon, and livestock). We also estimated the quality of meadows, finding that forage availability increased linearly as the distance from rocks (i.e., chamois refuges) increased. We predicted that the linear distance between chamois groups and rocks would depend on the co-presence of livestock and mouflon groups. Our results showed that chamois were more likely to be observed in areas with low food availability, but safer (i.e., closer to the rocks), whenever the nearest livestock group was larger and closer, especially if the shepherd's dog was present. Avoidance of the best feeding patches by the wild species is presumably due to spatial interference (e.g. visual and acoustic disturbance) and/or predation risk perception caused by the presence of shepherd's dogs. Similarly, the larger was the nearest group of mouflon, the closer to rocks was located the chamois group. Interestingly, mouflon group vicinity induced chamois to move closer to rocks only if mouflon rams were within the group. This suggests that physical displacement of the smaller species (i.e. chamois) is likely to occur to avoid direct disturbance of larger mouflon rams. Our study clearly showed how a native herbivorous species adjusts its spatial distribution and decreases the likelihood of using areas with higher food availability when livestock and/or a non-native species co-occur. (C) 2013 Deutsche Gesellschaft fur Saugetierkunde. Published by Elsevier GmbH. All rights reserved.</t>
  </si>
  <si>
    <t>[Chirichella, Roberta; Apollonio, Marco] Univ Sassari, Dept Sci Nat &amp; Environm Resources, Via Muroni 25, I-07100 Sassari, Italy; [Chirichella, Roberta] Adamello Brenta Nat Pk, I-38080 Strembo, TN, Italy; [Ciuti, Simone] Univ Alberta, Dept Biol Sci, Edmonton, AB T6G 2E9, Canada</t>
  </si>
  <si>
    <t>University of Sassari; University of Alberta</t>
  </si>
  <si>
    <t>Chirichella, R (corresponding author), Univ Sassari, Dept Sci Nat &amp; Environm Resources, Via Muroni 25, I-07100 Sassari, Italy.</t>
  </si>
  <si>
    <t>rchirichella@uniss.it</t>
  </si>
  <si>
    <t>Ciuti, Simone/D-7283-2013</t>
  </si>
  <si>
    <t>Ciuti, Simone/0000-0003-1052-9509; CHIRICHELLA, Roberta/0000-0001-6734-5319</t>
  </si>
  <si>
    <t>10.1016/j.mambio.2013.04.005</t>
  </si>
  <si>
    <t>206PG</t>
  </si>
  <si>
    <t>WOS:000323534000005</t>
  </si>
  <si>
    <t>Mockrin, MH; Rockwell, RF; Redford, KH; Keuler, NS</t>
  </si>
  <si>
    <t>Mockrin, Miranda H.; Rockwell, Robert F.; Redford, Kent H.; Keuler, Nicholas S.</t>
  </si>
  <si>
    <t>central Africa; Congo; duiker; hunting; source-sink; ungulate</t>
  </si>
  <si>
    <t>SMALL-SCALE; WILDLIFE; FOREST; CONSERVATION; IMPACTS; HETEROGENEITY; POPULATIONS; VERTEBRATES; PATTERNS; ECOLOGY</t>
  </si>
  <si>
    <t>Understanding the spatial dimensions of hunting and prey population dynamics is important in order to estimate the sustainability of hunting in tropical forests. We investigated how hunting offtake of vertebrates differed in mixed forest and monodominant forest (composed of Gilbertiodendron dewevrei) and over different spatial extents within the hunting catchment around the logging town of Kabo, Congo. In 9 months of recall surveys with hunters, we gathered information on over 1500 hunting trips in which ungulates were 65% of the species killed and 82% of harvested biomass. Hunters supplied information on animals killed and the hunting trip, including the area visited (i.e., hunting zone; 11 separate zones within a 506 km(2) catchment or commonly hunted area). Over 65% of all animals were killed in monodominant forest, which made up 28% of the hunting catchment, and zones with small amounts of monodominant forest were used most frequently by hunters. Given the large offtakes from monodominant forests, we suggest that animal dispersal may be maintaining high, localized harvests in these areas. We believe hunters preferred to hunt in monodominant forest because the understory was accessible and that areas with small amounts of monodominant forest and large amounts of mixed forest were more productive. The variation in hunting pressure we found between and within hunting zones differs from past examinations of spatial variation in hunting offtake, where entire hunting catchments were considered population sinks and areas with low to no hunting (no-take zones) were outside hunting catchments. Future use of no-take zones to manage hunting should incorporate variability in offtake within hunting catchments.</t>
  </si>
  <si>
    <t>[Mockrin, Miranda H.] Columbia Univ, Dept Ecol Evolut &amp; Environm Biol, New York, NY 10027 USA; [Rockwell, Robert F.] Amer Museum Nat Hist, Div Vertebrate Zool, New York, NY 10024 USA; [Redford, Kent H.] Wildlife Conservat Soc, Bronx, NY 10460 USA; [Keuler, Nicholas S.] Univ Wisconsin, Dept Stat, Madison, WI 53706 USA</t>
  </si>
  <si>
    <t>Columbia University; American Museum of Natural History (AMNH); Wildlife Conservation Society; University of Wisconsin System; University of Wisconsin Madison</t>
  </si>
  <si>
    <t>Mockrin, MH (corresponding author), US Forest Serv, Rocky Mt Res Stn, USDA, 2150 Ctr Ave Bldg A, Ft Collins, CO 80526 USA.</t>
  </si>
  <si>
    <t>mmockrin@gmail.com</t>
  </si>
  <si>
    <t>Mockrin, Miranda/0000-0002-1158-3833</t>
  </si>
  <si>
    <t>Wildlife Conservation Society (WCS)-Congo; National Science Foundation; Columbia University; American Society of Mammalogists; Roger Williams Zoo</t>
  </si>
  <si>
    <t>Wildlife Conservation Society (WCS)-Congo; National Science Foundation(National Science Foundation (NSF)); Columbia University(University of Maryland Baltimore); American Society of Mammalogists; Roger Williams Zoo</t>
  </si>
  <si>
    <t>This research was supported by Wildlife Conservation Society (WCS)-Congo, a National Science Foundation Graduate Research Fellowship, a Columbia University Dissertation Fellowship, the American Society of Mammalogists, and the Roger Williams Zoo. For their generous support and advice, M. H. M. thanks the staff of Progepp, WCS-Congo, and the WCS-Field Vet Program. M. H. M. thanks all the research and field assistants who helped gather data and the residents of Kabo who participated in the study. We thank N. LaPorte for generously providing access to vegetation coverages. We thank the anonymous reviewers and editorial staff whose suggestions improved this paper. The Congolese government gave permission for this study to be carried out.</t>
  </si>
  <si>
    <t>10.1111/j.1523-1739.2011.01660.x</t>
  </si>
  <si>
    <t>762PK</t>
  </si>
  <si>
    <t>WOS:000290491700014</t>
  </si>
  <si>
    <t>Liu, XP; Chen, X; Hua, KP; Wang, YJ; Wang, P; Han, XJ; Ye, JY; Wen, SQ</t>
  </si>
  <si>
    <t>Liu Xiaopeng; Chen Xiao; Hua Kaiping; Wang Yajuan; Wang Peng; Han Xiaojia; Ye Junyan; Wen Shengqiang</t>
  </si>
  <si>
    <t>CHINESE GEOGRAPHICAL SCIENCE</t>
  </si>
  <si>
    <t>ecological migration; land use change; ecosystem services; geo-detector; arid area; Hongsibu district</t>
  </si>
  <si>
    <t>BIODIVERSITY; PROVINCE; COUNTY; BASIN; ROAD</t>
  </si>
  <si>
    <t>Ecological migration is the process of increasing the population density in the immigration area and transferring the ecological pressure from emigration area to immigration area. This process may result in significant changes in land use and land cover in the area of immigration and have an important effect on ecosystem services. Therefore, scientifically revealing the effects and differentiation mechanisms of ecological migration on ecosystem services is becoming an important issue related to the implementation of the national ecological migration strategy in China. This study employed the Hongsibu District as a typical example of ecological migration. Hongsibu District is located in the central Ningxia steppe and desert steppe areas. Remote sensing data covering five periods from the period before ecological migration in 1995 and after migration in 2000, 2005, 2010, and 2015 was used to measure the value of ecosystem services (ESV). A geographical detector model and the value of ecosystem services model were used to diagnose the dynamic mechanism of the effects of land use change on ecosystem services. The results showed that: 1) The development of large-scale ecological resettlement has caused the area of cultivated land and urbanized land area to increase significantly in the area of immigration, while the grass area decreased significantly. 2) The overall value of the Hongsibu ecosystem services increased in a form of a V'. Among them, during the period of 1995-2005, the overall ESV decreased and had an annual rate of change of -0.67%. During the period of development 2005-2015, the ESV increased steadily, with an annual rate of change of 0.79%. 3) The proportion and total ESV in soil formation and protection, waste treatment, and biodiversity conservation of the Hongsibu District decreased from 57.61% in 1995 to 56.17% in 2015, indicating that the region's ecological regulation function slightly decreased. 4) The ESV in the Hongsibu District, showed a low distribution pattern of ecosystem services increasing from northeast to southwest, and the capacity of three townships, Hongsibu, Taiyangshan, and Liuquan, to provide ecosystem services gradually declined over time. The ecological service function of Xinzhuangji Township and Dahe Township gradually improved. 5) The sensitivity index of the ESV of each land use type was less than 1, indicating that the environment lacks flexibility in providing a strong ESV index in Hongsibu, which shows that the research results are reliable and believable. 6) During the study period, the decisive force of the change of land use on ecosystem services in Hongsibu District was: grassland (0.9934), climate regulation (0.9413), soil formation and protection (0.9321) and waste treatment (0.9241).</t>
  </si>
  <si>
    <t>[Liu Xiaopeng; Chen Xiao; Hua Kaiping; Wang Yajuan; Wang Peng; Han Xiaojia; Ye Junyan; Wen Shengqiang] Ningxia Univ, Sch Resources &amp; Environm, Yinchuan 750021, Peoples R China; [Liu Xiaopeng; Chen Xiao; Wang Yajuan; Wang Peng; Han Xiaojia; Ye Junyan; Wen Shengqiang] Key Lab China Arab Resource Evaluat &amp; Environm Re, Yinchuan 750021, Peoples R China; [Hua Kaiping] Shaanxi Normal Univ, Sch Tourism &amp; Environm, Xian 710062, Shaanxi, Peoples R China</t>
  </si>
  <si>
    <t>Ningxia University; Shaanxi Normal University</t>
  </si>
  <si>
    <t>Liu, XP (corresponding author), Ningxia Univ, Sch Resources &amp; Environm, Yinchuan 750021, Peoples R China.;Liu, XP (corresponding author), Key Lab China Arab Resource Evaluat &amp; Environm Re, Yinchuan 750021, Peoples R China.</t>
  </si>
  <si>
    <t>2641996568@qq.com</t>
  </si>
  <si>
    <t>1002-0063</t>
  </si>
  <si>
    <t>1993-064X</t>
  </si>
  <si>
    <t>CHINESE GEOGR SCI</t>
  </si>
  <si>
    <t>Chin. Geogr. Sci.</t>
  </si>
  <si>
    <t>10.1007/s11769-018-0971-5</t>
  </si>
  <si>
    <t>GS8RM</t>
  </si>
  <si>
    <t>WOS:000443980500013</t>
  </si>
  <si>
    <t>Selman, W; Qualls, C; Owen, JC</t>
  </si>
  <si>
    <t>Selman, Will; Qualls, Carl; Owen, Jennifer C.</t>
  </si>
  <si>
    <t>basking behavior; disturbance; Graptemys flavimaculata; heterophil:lymphocyte ratio; human recreation; Mississippi; Pascagoula River; yellow-blotched sawback</t>
  </si>
  <si>
    <t>BLOTCHED MAP TURTLES; GRAPTEMYS-FLAVIMACULATA; NESTING ECOLOGY; STRESS; CONSERVATION; DEMOGRAPHICS; MANAGEMENT; RESPONSES</t>
  </si>
  <si>
    <t>The effect of human disturbance on wildlife is of increasing interest because of the growing use of wildlands by humans for recreation. Few studies have documented the effect of human disturbance on behavior and physiology simultaneously, with no studies existing for any turtle species. Turtles are one of the most endangered taxonomic groups and many are of conservation concern, including the yellow-blotched sawback (Graptemys flavimaculata), a freshwater turtle of the Pascagoula River system, Mississippi, USA. We studied G. flavimaculata individual- and population-level basking behavior, while also documenting the effects of human disturbance on basking behavior at recreationally disturbed and control sites. We also assessed the physiological response of turtles to human disturbance by measuring heterophil/lymphocyte levels (H:L; higher levels indicate increased stress) and shell condition of captured turtles at the 2 sites. At the individual level, disturbed turtles at the recreationally disturbed site basked for significantly shorter durations than undisturbed turtles at the same site and undisturbed turtles at the control site; disturbed turtles at the control site basked longer than all groups possibly because the few instances of disturbances all occurred during a time of year when basking durations were longest. At the population level, we detected significantly lesser basking percentages at the recreationally disturbed site relative to the control site, possibly because of natural differences among the sites (i.e., a more stable thermal environment) or because of the higher level of human disturbance. At the recreationally disturbed site, more disturbances occurred on weekend and weekend bordering days relative to weekdays, and larger and slower boats disturbed significantly greater percentages of basking turtles compared to smaller and faster watercraft. Further, turtles from the disturbed site had significantly higher H:L levels relative to the undisturbed site, and an index of shell condition was significantly poorer at the disturbed site. Boating records indicate that the impact of recreational boating at the disturbed site likely has grown over the last 22 years because of an increase in the number and size of boats using the river; this trend will likely continue unless restrictions are enacted by managers and/or state entities to limit the number and size of boats that access the river. (c) 2013 The Wildlife Society.</t>
  </si>
  <si>
    <t>[Selman, Will; Qualls, Carl] Univ So Mississippi, Dept Biol Sci, Hattiesburg, MS 39406 USA; [Selman, Will] Louisiana Dept Wildlife &amp; Fisheries, Rockefeller Wildlife Refuge, Grand Chenier, LA 70643 USA; [Owen, Jennifer C.] Michigan State Univ, Dept Fisheries &amp; Wildlife, E Lansing, MI 48824 USA; [Owen, Jennifer C.] Michigan State Univ, Dept Large Anim Clin Sci, E Lansing, MI 48824 USA</t>
  </si>
  <si>
    <t>University of Southern Mississippi; Michigan State University; Michigan State University</t>
  </si>
  <si>
    <t>Selman, W (corresponding author), Univ So Mississippi, Dept Biol Sci, 118 Coll Dr, Hattiesburg, MS 39406 USA.</t>
  </si>
  <si>
    <t>wselman@wlf.la.gov</t>
  </si>
  <si>
    <t>Owen, Jennifer/0000-0003-1383-4816</t>
  </si>
  <si>
    <t>United States Fish and Wildlife Service</t>
  </si>
  <si>
    <t>United States Fish and Wildlife Service(US Fish &amp; Wildlife Service)</t>
  </si>
  <si>
    <t>We would like to thank the United States Fish and Wildlife Service for providing funding throughout this project, particularly L. LaClaire. B. Jones, and L. McCoy assisted with many aspects throughout this study. Also, this project could not have been completed without the help of field and lab assistants D. Strong and B. Drescher (University of Southern Mississippi), as well as T. Belkap (Michigan State University). We would also like to thank P. Spencer who allowed us to access her privately owned sandbars on the Leaf River and J. D. Odom who allowed us to use his private boat ramp to access the Leaf River. G. Marshall with the Mississippi Department of Wildlife, Fisheries, and Parks also collected and compiled the boat registration data for this study. J. Schaefer and D. Jackson (Mississippi State University) also assisted in providing a motorized boat at the end of the 2008 field season. R. Elsey and P. Lindeman reviewed an earlier version of this manuscript and their comments greatly improved the article.</t>
  </si>
  <si>
    <t>10.1002/jwmg.538</t>
  </si>
  <si>
    <t>171NV</t>
  </si>
  <si>
    <t>WOS:000320937000003</t>
  </si>
  <si>
    <t>López-Sánchez, A; Schroeder, J; Roig, S; Sobral, M; Dirzo, R</t>
  </si>
  <si>
    <t>Lopez-Sanchez, Aida; Schroeder, John; Roig, Sonia; Sobral, Mar; Dirzo, Rodolfo</t>
  </si>
  <si>
    <t>Effects of Cattle Management on Oak Regeneration in Northern Californian Mediterranean Oak Woodlands</t>
  </si>
  <si>
    <t>QUERCUS-DOUGLASII; RECRUITMENT; PATTERNS; SYSTEMS; LOBATA; ILEX; CONSERVATION; POPULATIONS; ENVIRONMENT; DROUGHT</t>
  </si>
  <si>
    <t>Oak woodlands of Mediterranean ecosystems, a major component of biodiversity hotspots in Europe and North America, have undergone significant land-use change in recent centuries, including an increase in grazing intensity due to the widespread presence of cattle. Simultaneously, a decrease in oak regeneration has been observed, suggesting a link between cattle grazing intensity and limited oak regeneration. In this study we examined the effect of cattle grazing on coast live oak (Quercus agrifolia Nee) regeneration in San Francisco Bay Area, California. We studied seedling, sapling and adult density of coast live oak as well as vertebrate herbivory at 8 independent sites under two grazing conditions: with cattle and wildlife presence (n = 4) and only with wildlife (n = 4). The specific questions we addressed are: i) to what extent cattle management practices affect oak density, and ii) what is the effect of rangeland management on herbivory and size of young oak plants. In areas with cattle present, we found a 50% reduction in young oak density, and plant size was smaller, suggesting that survival and growth young plants in those areas are significantly limited. In addition, the presence of cattle raised the probability and intensity of herbivory (a 1.5 and 1.8-fold difference, respectively). These results strongly suggest that the presence of cattle significantly reduced the success of young Q. agrifolia through elevated herbivory. Given the potential impact of reduced recruitment on adult populations, modifying rangeland management practices to reduce cattle grazing pressure seems to be an important intervention to maintain Mediterranean oak woodlands.</t>
  </si>
  <si>
    <t>[Lopez-Sanchez, Aida; Roig, Sonia] Univ Politecn Madrid, Dept Silvopascicultura, Madrid, Spain; [Lopez-Sanchez, Aida; Roig, Sonia] Univ Politecn Madrid, Ecol &amp; Gest Forestal Sostenible Res Grp, Madrid, Spain; [Schroeder, John; Sobral, Mar; Dirzo, Rodolfo] Stanford Univ, Dept Biol, Stanford, CA 94305 USA</t>
  </si>
  <si>
    <t>Universidad Politecnica de Madrid; Universidad Politecnica de Madrid; Stanford University</t>
  </si>
  <si>
    <t>López-Sánchez, A (corresponding author), Univ Politecn Madrid, Dept Silvopascicultura, Madrid, Spain.</t>
  </si>
  <si>
    <t>aida.lopez.sanchez@gmail.com</t>
  </si>
  <si>
    <t>López-Sánchez, Aida/AAA-9038-2019; Roig, Sonia/F-8302-2010; Sobral, Mar/Q-9812-2017</t>
  </si>
  <si>
    <t>López-Sánchez, Aida/0000-0003-3857-2816; Roig, Sonia/0000-0002-2057-3020; Sobral, Mar/0000-0001-6995-0491</t>
  </si>
  <si>
    <t>(Formacion del Profesorado Universitario) of Spain Ministry of Education, Culture and Sport</t>
  </si>
  <si>
    <t>This study has been developed thanks to a study abroad fellowship (Formacion del Profesorado Universitario) of Spain Ministry of Education, Culture and Sport to ALS. The funders had no role in study design, data collection and analysis, decision to publish, or preparation of the manuscript.</t>
  </si>
  <si>
    <t>e105472</t>
  </si>
  <si>
    <t>10.1371/journal.pone.0105472</t>
  </si>
  <si>
    <t>AN8UD</t>
  </si>
  <si>
    <t>WOS:000340879300113</t>
  </si>
  <si>
    <t>Ribeiro, JW Jr; Siqueira, T; Brejao, GL; Zipkin, EF</t>
  </si>
  <si>
    <t>Ribeiro, Jose Wagner, Jr.; Siqueira, Tadeu; Brejao, Gabriel Lourenco; Zipkin, Elise F.</t>
  </si>
  <si>
    <t>anuran; Atlantic Forest; automated acoustic recorders; community model; deforestation; detection error; habitat loss; hierarchical model; landscape; matrix habitat; tropical forest</t>
  </si>
  <si>
    <t>SAO-PAULO STATE; ATLANTIC FOREST; LAND-USE; FROG ASSEMBLAGES; CENTRAL AMAZONIA; SITE OCCUPANCY; HABITAT SPLIT; LANDSCAPE; RICHNESS; CONSERVATION</t>
  </si>
  <si>
    <t>Habitat loss is the greatest threat to the persistence of forest-dependent amphibians, but it is not the only factor influencing species occurrences. The composition of the surrounding matrix, structure of stream networks, and topography are also important landscape characteristics influencing amphibian distributions. Tropical forests have high diversity and endemism of amphibians, but little is known about the specific responses of many of these species to landscape features. In this paper, we quantify the response of amphibian species and communities to landscape-scale characteristics in streams within the fragmented Brazilian Atlantic Forest. We surveyed amphibian communities during a rainy season in 50 independent stream segments using Standardized Acoustic and Visual Transect Sampling (active) and Automated Acoustic Recorders (passive) methods. We developed a hierarchical multi-species occupancy model to quantify the influence of landscape-scale characteristics (forest cover, agriculture, catchment area, stream density, and slope) on amphibian occurrence probabilities while accounting for imperfect detection of species using the two survey methods. At the community level, we estimated an overall mean positive relationship between amphibian occurrence probabilities and forest cover, and a negative relationship with agriculture. Catchment area and slope were negatively related with amphibian community structure (95% credible interval [CI] did not overlap zero). The species-level relationships with landscape covariates were highly variable but showed similar patterns to those at the community level. Species detection probabilities varied widely and were influenced by the sampling method. For most species, the active method resulted in higher detection probabilities than the passive approach. Our findings suggest that small streams and flat topography lead to higher amphibian occurrence probabilities for many species in Brazil's Atlantic Forest. Our results combined with land use and topographic maps can be used to make predictions of amphibian occurrences and distributions beyond our study area. Such projections can be useful to determine where to conduct future research and prioritize conservation efforts in human-modified landscapes.</t>
  </si>
  <si>
    <t>[Ribeiro, Jose Wagner, Jr.; Siqueira, Tadeu] Sao Paulo State Univ Unesp, Inst Biosci, Ave 24A 1515, BR-13506900 Rio Claro, SP, Brazil; [Ribeiro, Jose Wagner, Jr.; Zipkin, Elise F.] Evolutionary Biol &amp; Behav Program, Dept Integrat Biol &amp; Ecol, E Lansing, MI 48824 USA; [Brejao, Gabriel Lourenco] Sao Paulo State Univ Unesp, Inst Biosci Humanities &amp; Exact Sci, Rua Cristovao Colombo 2265, BR-15054000 Sao Jose Do Rio Preto, SP, Brazil</t>
  </si>
  <si>
    <t>Universidade Estadual Paulista; Universidade Estadual Paulista</t>
  </si>
  <si>
    <t>Ribeiro, JW Jr (corresponding author), Sao Paulo State Univ Unesp, Inst Biosci, Ave 24A 1515, BR-13506900 Rio Claro, SP, Brazil.;Ribeiro, JW Jr (corresponding author), Evolutionary Biol &amp; Behav Program, Dept Integrat Biol &amp; Ecol, E Lansing, MI 48824 USA.</t>
  </si>
  <si>
    <t>jwribeirojunior@gmail.com</t>
  </si>
  <si>
    <t>Brejão, Gabriel/D-6694-2012; Ribeiro, José Wagner/B-8439-2012; Siqueira, Tadeu/A-6978-2009</t>
  </si>
  <si>
    <t>Brejão, Gabriel/0000-0003-1488-4719; Ribeiro, José Wagner/0000-0003-3438-6936; Zipkin, Elise/0000-0003-4155-6139; Siqueira, Tadeu/0000-0001-5069-2904</t>
  </si>
  <si>
    <t>Sao Paulo Research Foundation (FAPESP) [2014/07113-8, 2016/07469-2, 2013/50424-1, 2012/21916-0, 2013/50421-2]; Rufford Small Grant [16419-1]; Idea Wild; Fundacao de Amparo a Pesquisa do Estado de Sao Paulo (FAPESP) [13/50424-1, 12/21916-0, 14/07113-8, 16/07469-2] Funding Source: FAPESP; Swedish Research Council [2014-07113] Funding Source: Swedish Research Council</t>
  </si>
  <si>
    <t>Sao Paulo Research Foundation (FAPESP)(Fundacao de Amparo a Pesquisa do Estado de Sao Paulo (FAPESP)); Rufford Small Grant; Idea Wild; Fundacao de Amparo a Pesquisa do Estado de Sao Paulo (FAPESP)(Fundacao de Amparo a Pesquisa do Estado de Sao Paulo (FAPESP)); Swedish Research Council(Swedish Research Council)</t>
  </si>
  <si>
    <t>J. W. Ribeiro, Jr. was supported by grants #2014/07113-8 and #2016/07469-2, Sao Paulo Research Foundation (FAPESP). T. Siqueira was supported by grant #2013/50424-1, Sao Paulo Research Foundation (FAPESP). G. L. Brejao was supported by grant #2012/21916-0, Sao Paulo Research Foundation (FAPESP). We are very grateful to M. C. Ribeiro for providing all the Automated Acoustic Recorder devices used during the anuran data sampling. M. C. Ribeiro was supported by grant #2013/50421-2, Sao Paulo Research Foundation (FAPESP). We thank B. P. Azevedo, S. Saunders and A. Wright for providing comments that improved this manuscript. We thank Guilherme Becker and one anonymous reviewer for comments, questions, and suggestions during the review process that importantly improved our manuscript. We are very thankful to N. R. F. Lara, B. P. de Azevedo, J. A. Domini, R. A. Brassaloti, C. F. Sanches, M. Tassoni-Filho, F. F. Frigeri, and R. Cioci for their dedicated field assistance. We thank Rufford Small Grant (ID 16419-1) and Idea Wild for supporting our study. We obtained license for handling and collected amphibian specimens from Biodiversity Authorization and Information System (SISBIO) of Brazilian Institute of Environment and Renewable Natural Resources (IBAMA; license no. 45541-3). The survey, handling, and euthanization process of amphibians were evaluated by Animal Ethic Committee of Sao Paulo State University (no 28/2015). Our access to Carlos Botelho State Park was provided by Sao Paulo State Institute of Forestry-IF (no. 260108 - 011.717/2015).</t>
  </si>
  <si>
    <t>10.1002/eap.1741</t>
  </si>
  <si>
    <t>GS3VZ</t>
  </si>
  <si>
    <t>WOS:000443555100015</t>
  </si>
  <si>
    <t>da Silva, MX; Paviolo, A; Tambosi, LR; Pardini, R</t>
  </si>
  <si>
    <t>da Silva, Marina Xavier; Paviolo, Agustin; Tambosi, Leandro Reverberi; Pardini, Renata</t>
  </si>
  <si>
    <t>Conservation units; Cryptic threats; Edge effects; Poaching; Human-wildlife conflicts; Tropical forest</t>
  </si>
  <si>
    <t>ANTEATER MYRMECOPHAGA-TRIDACTYLA; ESTIMATING SITE OCCUPANCY; ATLANTIC FOREST; DECLINE; EXTINCTION</t>
  </si>
  <si>
    <t>Protected areas - widely recognized as the main strategy for biodiversity conservation - have greatly expanded, covering similar to 15% of the Earth; however, we still lack detailed information on biodiversity to evaluate their effectiveness. This is particularly urgent for biodiversity hotspots where protected areas are islands within human modified landscapes. We focus on mammals of the Iguacu National Park - one of the most important parks in the Atlantic Forest hotspot - to evaluate the effectiveness of protected areas in conserving biodiversity. We monitored 300 km(2) with 37 cameras traps during five years to assess if (1) species occupancy declined over time, and (2) if species occupancy/detectability are spatially associated with illegal hunting, proximity to tourism infrastructure and distance from the edge, estimating the proportion of the park where these negative effects are detected. Many species that are rare in most Atlantic Forest remnants presented high occupancy within the park, and no decline in occupancy was observed over time. However, the distribution of 11 species was spatially associated primarily with the distance from the edge and proximity to tourism infrastructure, resulting in a decline, across half of the park area, from 13 to 23% in occupancy and from 19 to 35% in detectability (values averaged among species). These negative effects should be even stronger on smaller protected areas, which are the majority in highly altered hotspots. Re-establishing and properly managing buffer zones and restricting tourism to localized areas are essential to ensure the effectiveness of protected areas for biodiversity conservation.</t>
  </si>
  <si>
    <t>[da Silva, Marina Xavier] Projeto Carnivoros Iguacu, Parque Nacl Iguacu,BR 469,Km 22-5, BR-85851970 Foz Do Iguacu, PR, Brazil; [Paviolo, Agustin] Univ Nacl Misiones, Inst Biol Subtrop, Bertoni 85,N3370AIA, Puerto Iguazu, Misiones, Argentina; [Paviolo, Agustin] Consejo Nacl Invest Cient &amp; Tecn, Bertoni 85,N3370AIA, Puerto Iguazu, Misiones, Argentina; [Paviolo, Agustin] Asociac Civil Ctr Invest Bosque Atlantico CeIBA, Bertoni 85,N3370AIA, Puerto Iguazu, Misiones, Argentina; [Tambosi, Leandro Reverberi] Univ Fed ABC, Ctr Engn Modelagem &amp; Ciencias Sociais Aplicadas, Ave Estados 5001, BR-09210580 Santo Andre, SP, Brazil; [da Silva, Marina Xavier; Tambosi, Leandro Reverberi] Univ Sao Paulo, Inst Biociencias, Dept Ecol, Rua Matao,Travessa 14,101, BR-05508090 Sao Paulo, SP, Brazil; [Pardini, Renata] Univ Sao Paulo, Inst Biociencias, Dept Zool, Rua Matao,Travessa 14,101, BR-05508090 Sao Paulo, SP, Brazil</t>
  </si>
  <si>
    <t>Consejo Nacional de Investigaciones Cientificas y Tecnicas (CONICET); Universidade Federal do ABC (UFABC); Universidade de Sao Paulo; Universidade de Sao Paulo</t>
  </si>
  <si>
    <t>da Silva, MX (corresponding author), Projeto Carnivoros Iguacu, Parque Nacl Iguacu,BR 469,Km 22-5, BR-85851970 Foz Do Iguacu, PR, Brazil.</t>
  </si>
  <si>
    <t>xavier.marina@gmail.com; paviolo4@gmail.com; letambosi@yahoo.com.br; pardinirenata@gmail.com</t>
  </si>
  <si>
    <t>Reverberi Tambosi, Leano/B-2359-2013; Pardini, Renata/C-4095-2012</t>
  </si>
  <si>
    <t>Reverberi Tambosi, Leano/0000-0001-5486-7310; Pardini, Renata/0000-0002-3769-8401</t>
  </si>
  <si>
    <t>Hotel Belmond; CAPES; CNPQ [308205/2014-6]</t>
  </si>
  <si>
    <t>Hotel Belmond; CAPES(Coordenacao de Aperfeicoamento de Pessoal de Nivel Superior (CAPES)); CNPQ(Conselho Nacional de Desenvolvimento Cientifico e Tecnologico (CNPQ))</t>
  </si>
  <si>
    <t>We are grateful to ICMBio-INP for the license for research within the INP and all the valuable logistical help and field assistance. We are also grateful to Ivan Baptiston for sharing the database of illegal activities in the INP. This work was funded by the Hotel Belmond. MXS acknowledge her scholarship from CAPES and RP her research fellowship from CNPQ (308205/2014-6).</t>
  </si>
  <si>
    <t>10.1016/j.jnc.2017.11.001</t>
  </si>
  <si>
    <t>FX0ZS</t>
  </si>
  <si>
    <t>WOS:000425777300006</t>
  </si>
  <si>
    <t>Espinoza-Tenorio, A; Montaño-Moctezuma, G; Espejel, I</t>
  </si>
  <si>
    <t>Espinoza-Tenorio, Alejandro; Montano-Moctezuma, Gabriela; Espejel, Ileana</t>
  </si>
  <si>
    <t>Ecosystem-Based Analysis of a Marine Protected Area Where Fisheries and Protected Species Coexist</t>
  </si>
  <si>
    <t>Ecosystem-based management; Geographical Information Systems; Local ecological knowledge; Loop analysis; Marine protected areas; Fisheries and protected species; Upper Gulf of California and Colorado River Delta Biosphere Reserve</t>
  </si>
  <si>
    <t>GULF-OF-CALIFORNIA; QUALITATIVE-ANALYSIS; FOOD WEBS; MANAGEMENT; COMMUNITY; CONSERVATION; SYSTEMS; MODELS; MEXICO; RESERVES</t>
  </si>
  <si>
    <t>The Gulf of California Biosphere Reserve (UGC&amp;CRDBR) is a Marine Protected Area that was established in 1993 with the aim of preserving biodiversity and remediating environmental impacts. Because remaining vigilant is hard and because regulatory measures are difficult to enforce, harvesting has been allowed to diminish poaching. Useful management strategies have not been implemented, however, and conflicts remain between conservation legislation and the fisheries. We developed a transdisciplinary methodological scheme (pressure-state-response, loop analysis, and Geographic Information System) that includes both protected species and fisheries modeled together in a spatially represented marine ecosystem. We analyzed the response of this marine ecosystem supposing that conservation strategies were successful and that the abundance of protected species had increased. The final aim of this study was to identify ecosystem-level management alternatives capable of diminishing the conflict between conservation measures and fisheries. This methodological integration aimed to understand the functioning of the UGC&amp;CRDBR community as well as to identify implications of conservation strategies such as the recovery of protected species. Our results suggest research hypotheses related to key species that should be protected within the ecosystem, and they point out the importance of considering spatial management strategies. Counterintuitive findings underline the importance of understanding how the community responds to disturbances and the effect of indirect pathways on the abundance of ecosystem constituents. Insights from this research are valuable in defining policies in marine reserves where fisheries and protected species coexist.</t>
  </si>
  <si>
    <t>[Montano-Moctezuma, Gabriela] Univ Autonoma Baja California, Inst Invest Oceanol, Ensenada 22830, Baja California, Mexico; [Espinoza-Tenorio, Alejandro] Univ Autonoma Baja California, Fac Ciencias Marinas, Ensenada 22830, Baja California, Mexico; [Espejel, Ileana] Univ Autonoma Baja California, Fac Ciencias, Ensenada 22830, Baja California, Mexico</t>
  </si>
  <si>
    <t>Universidad Autonoma de Baja California; Universidad Autonoma de Baja California; Universidad Autonoma de Baja California</t>
  </si>
  <si>
    <t>Montaño-Moctezuma, G (corresponding author), Univ Autonoma Baja California, Inst Invest Oceanol, Km 110 Carr,Apartado Postal 453, Ensenada 22830, Baja California, Mexico.</t>
  </si>
  <si>
    <t>gmontano@uabc.mx; ileana@uabc.mx</t>
  </si>
  <si>
    <t>Espinoza-Tenorio, Alejano/N-9810-2016; Espejel, Ileana/H-6671-2017</t>
  </si>
  <si>
    <t>Espinoza-Tenorio, Alejano/0000-0002-0211-2976; Montaño-Moctezuma, Gabriela/0000-0002-6740-9674;</t>
  </si>
  <si>
    <t>CONACYT-Mexico (National Council of Science and Technology); SEMARNAT [2002-C01-1313]</t>
  </si>
  <si>
    <t>CONACYT-Mexico (National Council of Science and Technology)(Consejo Nacional de Ciencia y Tecnologia (CONACyT)); SEMARNAT</t>
  </si>
  <si>
    <t>This study was funded by CONACYT-Mexico (National Council of Science and Technology) under a master's scholarship to A.E-T. and SEMARNAT-2002-C01-1313. We thank the institutions that provided information and expertise: Administracion de la Reserva de la Biosfera, Grupo de Pesquerias CICESE, CRIP-Guaymas, CEDO Intercultural, CoBi, Conservacion Internacional, WWF, and Pronatura-Sonora.</t>
  </si>
  <si>
    <t>10.1007/s00267-010-9451-0</t>
  </si>
  <si>
    <t>583EE</t>
  </si>
  <si>
    <t>WOS:000276655100008</t>
  </si>
  <si>
    <t>Fugère, V; Jacobsen, D; Finestone, EH; Chapman, LJ</t>
  </si>
  <si>
    <t>Fugere, Vincent; Jacobsen, Dean; Finestone, Erin H.; Chapman, Lauren J.</t>
  </si>
  <si>
    <t>FRESHWATER BIOLOGY</t>
  </si>
  <si>
    <t>Africa; aquatic invertebrates; deforestation; litter decomposition; stream metabolism</t>
  </si>
  <si>
    <t>AGRICULTURAL LANDSCAPE; METABOLISM; RIPARIAN; DEFORESTATION; IMPACTS; LITTER; INDICATORS; BREAKDOWN; ALTERS; MACROINVERTEBRATES</t>
  </si>
  <si>
    <t>Land use changes can strongly influence stream ecosystems, yet these effects remain poorly documented in many hotspots of deforestation such as tropical Africa. The few studies conducted in this region have mostly focused on structural aspects of stream integrity; sparse data are available for key ecosystem processes such as ecosystem metabolism and litter decomposition. To address this knowledge gap, we measured multiple ecosystem functions in rainforest and nearby agricultural (farm) streams located in an afrotropical deforestation hotspot. In two farm and forest stream pairs, we quantified the standing stock biomass of basal resources and invertebrate functional feeding groups, measured rates of litter decomposition (microbial and shredder-mediated) and modelled invertebrate secondary production. We also calculated whole-stream metabolic parameters over multiple weeks. To test the regional generality of our results, we then reanalysed a published dataset and assessed the functional composition of invertebrate communities from many local streams. We found that farm streams had greater algal standing stocks, gross primary production (GPP) and production-to-respiration ratios than forest streams, although they remained strongly heterotrophic with relatively low GPP values. Agricultural land use also led to the almost complete extirpation of invertebrate shredders, resulting in much slower litter decomposition rates at farm than forest sites despite comparable rates of microbial decomposition. Finally, farm streams had lower invertebrate biomass despite abundant basal resources, leading to a 41%-66% reduction in estimated invertebrate production. We speculate that the functional response of our streams to agricultural land use (i.e., a modest increase in GPP but large declines in invertebrate production and shredder-mediated litter decomposition rates) could be common across the afrotropics due to low fertiliser usage in this region and/or features of the local fauna. Although our study focuses a small number of streams, the large effect sizes that we report suggest that afrotropical streams could be strongly affected by rapid land use changes in the region, highlighting the need for additional research, monitoring, and conservation efforts in this poorly studied area of the world that is under increasing human pressures.</t>
  </si>
  <si>
    <t>[Fugere, Vincent; Finestone, Erin H.; Chapman, Lauren J.] McGill Univ, Dept Biol, Montreal, PQ H3A 1B1, Canada; [Jacobsen, Dean] Univ Copenhagen, Dept Biol, Freshwater Biol Lab, Copenhagen, Denmark</t>
  </si>
  <si>
    <t>McGill University; University of Copenhagen</t>
  </si>
  <si>
    <t>Fugère, V (corresponding author), McGill Univ, Dept Biol, Montreal, PQ H3A 1B1, Canada.</t>
  </si>
  <si>
    <t>vincent.fugere@mail.mcgill.ca</t>
  </si>
  <si>
    <t>Fugère, Vincent/AAI-3642-2020; Jacoen, Dean/K-4920-2014</t>
  </si>
  <si>
    <t>Fugère, Vincent/0000-0003-1877-5755; Jacoen, Dean/0000-0001-5137-297X</t>
  </si>
  <si>
    <t>Fonds de Recherche du Quebec-Nature et Technologies (FRQNT); Natural Sciences and Engineering Research Council of Canada; Vanier Canada Graduate Fellowship Program; Quebec Center for Biodiversity Science (QCBS); Department of Biology at McGill University; Canada Research Chair Program</t>
  </si>
  <si>
    <t>Fonds de Recherche du Quebec-Nature et Technologies (FRQNT)(Fonds de recherche du Quebec (FRQ)Fonds de recherche du Quebec - Nature et technologies (FRQNT)); Natural Sciences and Engineering Research Council of Canada(Natural Sciences and Engineering Research Council of Canada (NSERC)CGIAR); Vanier Canada Graduate Fellowship Program; Quebec Center for Biodiversity Science (QCBS); Department of Biology at McGill University(McGill University); Canada Research Chair Program(Canada Research Chairs)</t>
  </si>
  <si>
    <t>0046-5070</t>
  </si>
  <si>
    <t>1365-2427</t>
  </si>
  <si>
    <t>FRESHWATER BIOL</t>
  </si>
  <si>
    <t>Freshw. Biol.</t>
  </si>
  <si>
    <t>10.1111/fwb.13178</t>
  </si>
  <si>
    <t>Ecology; Marine &amp; Freshwater Biology</t>
  </si>
  <si>
    <t>HA2KY</t>
  </si>
  <si>
    <t>WOS:000450068500002</t>
  </si>
  <si>
    <t>Mozumder, C; Tripathi, NK; Tipdecho, T</t>
  </si>
  <si>
    <t>Mozumder, Chitrini; Tripathi, N. K.; Tipdecho, Taravudh</t>
  </si>
  <si>
    <t>Ramsar wetland; Deepor Beel; Remote sensing; Spectral indices; Feature extraction; Wetland degradation; Anthropogenic activities</t>
  </si>
  <si>
    <t>ACCURACY ASSESSMENT; DRIVING FACTORS; THEMATIC MAPS; POYANG LAKE; WATER INDEX; TIME-SERIES; LANDSCAPE; IMPACTS; CONNECTIVITY; BIODIVERSITY</t>
  </si>
  <si>
    <t>The unprecedented urban growth especially in developing countries has laid immense pressure on wetlands, finally threatening their existence altogether. A long-term monitoring of wetland ecosystems is the basis of planning conservation measures for a sustainable development. Deepor Beel, a Ramsar wetland and major storm water basin of the River Brahmaputra in the northeastern region of India, needs particular attention due to its constant degradation over the past decades. A rule-based classification algorithm was developed using Landsat (2011)-derived indices, namely Normalised Difference Water Index (NDWI), Modified Normalised Difference Water Index (MNDWI), Normalised Difference Pond Index (NDPI), Normalised Difference Vegetation Index (NDVI) and field data as ancillary information. Field data, ALOS AVNIR and Google Earth images were used for accuracy assessment. A fuzzy accuracy assessment of the classified data sets showed an overall accuracy of 82 % for MAX criteria and 90 % for RIGHT criteria. The rules were used to classify major wetland cover types during low water season (January) in 1989, 2001 and 2012. The statistical analysis of the classified wetland showed heavy manifestation in aquatic vegetation and other features indicating severe eutrophication over the past 23 years. This degradation was closely related to major contributing anthropogenic factors, such as a railway line construction, growing croplands, waste disposal and illegal human settlements in the wetland catchment. In addition, the landscape development index (LDI) indicated a rapid increase in the impact of the surrounding land use on the wetland from 1989 to 2012. The techniques and results from this study may prove useful for top-down landscape analyses of this and other freshwater wetlands.</t>
  </si>
  <si>
    <t>[Mozumder, Chitrini; Tripathi, N. K.; Tipdecho, Taravudh] Asian Inst Technol, Sch Engn &amp; Technol, Klongluang 12120, Pathumthani, Thailand</t>
  </si>
  <si>
    <t>Asian Institute of Technology</t>
  </si>
  <si>
    <t>Mozumder, C (corresponding author), Asian Inst Technol, Sch Engn &amp; Technol, POB 4, Klongluang 12120, Pathumthani, Thailand.</t>
  </si>
  <si>
    <t>chitrini@gmail.com</t>
  </si>
  <si>
    <t>; Mozuer, Chitrini/OGO-4404-2025</t>
  </si>
  <si>
    <t>Tripathi, Nitin/0000-0001-5618-2841; Mozuer, Chitrini/0000-0003-3094-2210</t>
  </si>
  <si>
    <t>Japanese Government</t>
  </si>
  <si>
    <t>This research was supported by a scholarship provided by the Japanese Government. It also benefited from discussions with Dr. Achintya Bezbaruah of North Dakota State University, Dr. Prasanna Baruah of the Assam Science Technology and Environment Council, Dr. Parag Phukan and Dr. Partha Pratim Baruah of Gauhati University. The authors are also thankful to the staff of the Ministry of Environment and Forest, India, for their help during the field trips. The authors would also like to thank the anonymous reviewers for their valuable and notable suggestions to improve the quality of this paper.</t>
  </si>
  <si>
    <t>10.1007/s10661-014-3976-2</t>
  </si>
  <si>
    <t>AQ8CU</t>
  </si>
  <si>
    <t>WOS:000343051400071</t>
  </si>
  <si>
    <t>Kwak, TJ; Engman, AC; Lilyestrom, CG</t>
  </si>
  <si>
    <t>Kwak, Thomas J.; Engman, Augustin C.; Lilyestrom, Craig G.</t>
  </si>
  <si>
    <t>FISHERIES MANAGEMENT AND ECOLOGY</t>
  </si>
  <si>
    <t>Anguilla rostrata; Anguillicoloides crassus; dams; fish distribution; Puerto Rico; river</t>
  </si>
  <si>
    <t>ANGUILLA-ROSTRATA; CLIMATE-CHANGE; MANAGEMENT; ATLANTIC; CRASSUS; STREAMS; RIVERS; DAMS</t>
  </si>
  <si>
    <t>The majority of American eel, Anguilla rostrata LeSueur, knowledge is derived from temperate regions in the United States and Canada, with little known from its tropical Caribbean distribution. Findings of original research on American eel distribution, abundance, population biology, habitat ecology and threats from the Caribbean island of Puerto Rico were synthesised. American eel were captured from 48 of 116 sites (41.4%) in 26 of 49 river basins (53.1%) during 2005-2016, and it was extirpated upstream of dams and migration barriers &gt;3.0 m high (38.9% of habitat). Mean density and biomass were 438.9 fish/ha and 23.44 kg/ha, respectively. Upstream habitats favoured larger individuals, and females were larger than males. The swim-bladder parasite Anguillicoloides crassus Kuwahara, Niimi &amp; Hagaki was not found in 120 eels examined. Realised threats include dams and other migratory barriers, habitat loss and alteration and pollution; exotic species and commercial fishing are impending threats; and the least understood is climate change.</t>
  </si>
  <si>
    <t>[Kwak, Thomas J.] North Carolina State Univ, Dept Appl Ecol, US Geol Survey, North Carolina Cooperat Fish &amp; Wildlife Res Unit, Raleigh, NC 27695 USA; [Engman, Augustin C.] North Carolina State Univ, Dept Appl Ecol, North Carolina Cooperat Fish &amp; Wildlife Res Unit, Raleigh, NC USA; [Lilyestrom, Craig G.] Puerto Rico Dept Nat &amp; Environm Resources, Recreat &amp; Sport Fishing Div, San Juan, PR USA</t>
  </si>
  <si>
    <t>North Carolina State University; United States Department of the Interior; United States Geological Survey; North Carolina State University</t>
  </si>
  <si>
    <t>Kwak, TJ (corresponding author), North Carolina State Univ, Dept Appl Ecol, US Geol Survey, North Carolina Cooperat Fish &amp; Wildlife Res Unit, Raleigh, NC 27695 USA.</t>
  </si>
  <si>
    <t>tkwak@ncsu.edu</t>
  </si>
  <si>
    <t>Engman, Augustin/0000-0003-2064-7680; Kwak, Thomas/0000-0002-0616-137X</t>
  </si>
  <si>
    <t>Puerto Rico Department of Natural and Environmental Resources through Federal Aid in Sport Fish Restoration Funds [F-50]</t>
  </si>
  <si>
    <t>Puerto Rico Department of Natural and Environmental Resources through Federal Aid in Sport Fish Restoration Funds</t>
  </si>
  <si>
    <t>Puerto Rico Department of Natural and Environmental Resources through Federal Aid in Sport Fish Restoration Funds (Project F-50).</t>
  </si>
  <si>
    <t>0969-997X</t>
  </si>
  <si>
    <t>1365-2400</t>
  </si>
  <si>
    <t>FISHERIES MANAG ECOL</t>
  </si>
  <si>
    <t>Fisheries Manag. Ecol.</t>
  </si>
  <si>
    <t>10.1111/fme.12300</t>
  </si>
  <si>
    <t>HG8FZ</t>
  </si>
  <si>
    <t>WOS:000455236200005</t>
  </si>
  <si>
    <t>Cuevas, E; Liceaga-Correa, MD; Uribe-Martínez, A</t>
  </si>
  <si>
    <t>Cuevas, Eduardo; de los Angeles Liceaga-Correa, Maria; Uribe-Martinez, Abigail</t>
  </si>
  <si>
    <t>Ecological vulnerability of two sea turtle species in the Gulf of Mexico: an integrated spatial approach</t>
  </si>
  <si>
    <t>Hawksbill turtle; Green turtle; Satellite telemetry; Movement ecology; Spatial planning</t>
  </si>
  <si>
    <t>MARINE PROTECTED AREAS; SATELLITE TRACKING; YUCATAN PENINSULA; CLIMATE-CHANGE; GREEN TURTLES; CONSERVATION; IMPACT; SENSITIVITY; MANAGEMENT; DISPERSAL</t>
  </si>
  <si>
    <t>Changes in ecological attributes as a result of anthropogenic activities and climatic forces can jeopardize biodiversity, so these potential impacts must be evaluated for conservation. Integrating the different components of a large ecosystem can, however, pose a methodological challenge. When evaluating the sensitivity of a system, the level of stress imposed by a threat and the system's ability to deal with pressures ultimately define its actual condition. The objective of this study was to assemble a spatially explicit quantitative approach for evaluating the ecological vulnerability of 2 sea turtle species (Eretmochelys imbricata and Chelonia mydas). We used a method that combined the use of an open source planning tool (Conservation Action Planning) and spatial multicriteria analysis to determine the total cumulative ecological vulnerability to multiple threats for each species individually and for both species combined. The spatially explicit outputs were supported by hard data and expert knowledge, including the cumulative ecological vulnerability of each species to multiple threats. For each species, we identified areas in the Gulf of Mexico where individual threats have a potential impact and also determined high vulnerability locations. This spatially explicit approach is important when assessing ecological vulnerability and risk, it is versatile and easily reproducible for other organisms, and can be an important tool in supporting the conservation and management of endangered species.</t>
  </si>
  <si>
    <t>[Cuevas, Eduardo; de los Angeles Liceaga-Correa, Maria; Uribe-Martinez, Abigail] Inst Politecn Nacl, Unidad Merida, Ctr Invest &amp; Estudios Avanzados, Dept Recursos Mar, Merida 97310, Yucatan, Mexico; [Cuevas, Eduardo] Univ Autonoma Carmen, Fac Ciencias Nat, CONACYT, Ciudad del Carmen 24155, Campeche, Mexico; [Uribe-Martinez, Abigail] Univ Autonoma Carmen, Fac Ciencias Nat, Ciudad del Carmen 24155, Campeche, Mexico</t>
  </si>
  <si>
    <t>Instituto Politecnico Nacional - Mexico; Consejo Nacional de Ciencia y Tecnologia (CONACyT); Universidad Autonoma del Carmen; Universidad Autonoma del Carmen</t>
  </si>
  <si>
    <t>Liceaga-Correa, MD (corresponding author), Inst Politecn Nacl, Unidad Merida, Ctr Invest &amp; Estudios Avanzados, Dept Recursos Mar, Merida 97310, Yucatan, Mexico.</t>
  </si>
  <si>
    <t>maria.liceaga@cinvestav.mx</t>
  </si>
  <si>
    <t>Cuevas, Eduardo/AAY-5051-2020</t>
  </si>
  <si>
    <t>Cuevas, Eduardo/0000-0003-3814-7211</t>
  </si>
  <si>
    <t>Hydrocarbon Fund of the National Council for Science and Technology (SENER-CONACyT Hidrocarburos) project [201441]</t>
  </si>
  <si>
    <t>Hydrocarbon Fund of the National Council for Science and Technology (SENER-CONACyT Hidrocarburos) project</t>
  </si>
  <si>
    <t>This work was supported by the Hydrocarbon Fund of the National Council for Science and Technology (SENER-CONACyT Hidrocarburos) project No. 201441; the funding source did not participate in the design of this assessment. This study is part of project No. 201441 `Implementation of oceanographic observation networks (physical, geochemical, ecological) to generate scenarios in the face of possible contingencies related to hydrocarbon exploration and production in the deep waters of the Gulf of Mexico'. We also thank the Direccion General de Vida Silvestre from the Secretaria de Medio Ambiente y Recursos Naturales de Mexico for the Permit to track sea turtle individuals from nesting beaches (No. SGPA/DGVS/03989/17). We thank S. Gallegos, P. Garcia, G. Mexicano, E. Palafox and H. Hernandez for their hard work on the acquisition of telemetry data during the field campaigns. Special thanks go to E. Castro for the data extraction work related to threats and the preparation of some supplementary material. We are par ticularly grateful to the Mexican sea turtle experts in the Gulf of Mexico and Caribbean Sea, who responded to the threat weighting survey in June 2018, and to the reviewers for the comments and suggestions to improve the manuscript.</t>
  </si>
  <si>
    <t>10.3354/esr00984</t>
  </si>
  <si>
    <t>KX2VY</t>
  </si>
  <si>
    <t>WOS:000521740900012</t>
  </si>
  <si>
    <t>Pascual-Rico, R; Sánchez-Zapata, JA; Navarro, J; Eguía, S; Anadón, JD; Botella, F</t>
  </si>
  <si>
    <t>Pascual-Rico, Roberto; Sanchez-Zapata, Jose Antonio; Navarro, Joan; Eguia, Sergio; Anadon, Jose Daniel; Botella, Francisco</t>
  </si>
  <si>
    <t>Ammotragus; Assisted colonization; Capra; Competition; Environmental model; Stable isotopes</t>
  </si>
  <si>
    <t>IBEX CAPRA-PYRENAICA; ASSISTED COLONIZATION; AMMOTRAGUS-LERVIA; SPECIES DISTRIBUTIONS; STABLE-ISOTOPES; RED DEER; IMPACT; MECHANISMS; THREAT; CATTLE</t>
  </si>
  <si>
    <t>Exploitative competition implies an indirect interaction in which a resource exploited by one species is not available for another; e.g., when species share diet or habitat. It plays a key role in community structure and dynamics. Here we evaluated the niche overlap between the exotic aoudad (Ammotragus lervia) and the native Iberian ibex (Capra pyrenaica) where the species coexist in the Iberian Peninsula, along two main dimensions, the trophic niche and the environmental niche. Then we assessed the spatial segregation of the species. We expected that if a niche overlap was high, competition could drive spatial segregation to allow co-existence. We analyzed their trophic niche overlap by using the content of stable isotopes delta N-15 and delta C-13 in the hair of both species. To establish environmental niche competition, we compared the similarity in their habitat, estimated by environmental niche models based on the fine-scale presence records of each species obtained from field surveys. To test if spatial segregation occurred, we analyzed both species' co-occurrence. Our results indicated that both species shared a similar trophic niche measured by stable isotopes, both species showed a similar distribution of suitable areas, and that both species' environmental niches were more similar than expected. Finally, a negative spatial association was found between the aoudad and Iberian ibex. These results reveal that both species are ecologically similar and suggest that fine-scale spatial segregation might have favoured their co-existence in semiarid Mediterranean mountains. Our results show that integrating information on trophic and environmental niche overlap with fine scale spatial distribution might improve the study of competitive interactions among wild ungulates.</t>
  </si>
  <si>
    <t>[Pascual-Rico, Roberto; Sanchez-Zapata, Jose Antonio; Botella, Francisco] Univ Miguel Hernandez Elche, Dept Biol Aplicada, Elche, Spain; [Navarro, Joan] CSIC, Inst Ciencias Mar, Passeig Barceloneta 37-49, Barcelona 08003, Spain; [Eguia, Sergio] MENDIJOB SL, C Rambla 22, Murcia 30120, Spain; [Anadon, Jose Daniel] CUNY Queens Coll, Dept Biol, New York, NY 11367 USA; [Anadon, Jose Daniel] CUNY, Grad Ctr, Biol Program, New York, NY 10016 USA; [Anadon, Jose Daniel] Univ Zaragoza, Dept Ciencias Agr &amp; Medio Nat, Huesca, Spain</t>
  </si>
  <si>
    <t>Universidad Miguel Hernandez de Elche; Consejo Superior de Investigaciones Cientificas (CSIC); CSIC - Centro Mediterraneo de Investigaciones Marinas y Ambientales (CMIMA); CSIC - Instituto de Ciencias del Mar (ICM); City University of New York (CUNY) System; City University of New York (CUNY) System; University of Zaragoza</t>
  </si>
  <si>
    <t>Pascual-Rico, R (corresponding author), Univ Miguel Hernandez Elche, Dept Biol Aplicada, Elche, Spain.</t>
  </si>
  <si>
    <t>roberto.pacual@umh.es</t>
  </si>
  <si>
    <t>Anadon, Jose/H-6482-2015; Navarro, Joan/C-2119-2009; Pascual-Rico, Roberto/AEV-4579-2022; Botella Robles, Francisco/F-7626-2011; Botella, Francisco/P-7790-2019; Sanchez-Zapata, Jose/H-1413-2015</t>
  </si>
  <si>
    <t>Navarro, Joan/0000-0002-5756-9543; Pascual-Rico, Roberto/0000-0002-7340-1230; Botella Robles, Francisco/0000-0002-1877-5360;</t>
  </si>
  <si>
    <t>Spanish Ministry of Education [FPU13/05460]; Spanish National Program Ramon y Cajal [RYC-2015-17809]; MICINM; ERDF (project TRASCAR) [RTI2018-099609-B-C21]</t>
  </si>
  <si>
    <t>Spanish Ministry of Education(Spanish Government); Spanish National Program Ramon y Cajal(German Research Foundation (DFG)); MICINM; ERDF (project TRASCAR)(European Union (EU)Marie Curie Actions)</t>
  </si>
  <si>
    <t>We thank veterinaries M.J. Gens and F. Escribano and the Regional Ministry of Tourism, Culture and Environment of the Region of Murcia. Many thanks to P. Abellan for his help with the environmental niche analysis. RPR was supported by a pre-doctoral grant from the Spanish Ministry of Education (FPU13/05460). JN was funded by the Spanish National Program Ramon y Cajal (RYC-2015-17809). The study was partially supported by MICINM and ERDF (project TRASCAR RTI2018-099609-B-C21).</t>
  </si>
  <si>
    <t>10.1007/s10530-020-02265-x</t>
  </si>
  <si>
    <t>MB8IA</t>
  </si>
  <si>
    <t>WOS:000527473200001</t>
  </si>
  <si>
    <t>Issaris, Y; Katsanevakis, S; Pantazi, M; Vassilopoulou, V; Panayotidis, P; Kavadas, S; Kokkali, A; Salomidi, M; Frantzis, A; Panou, A; Damalas, D; Klaoudatos, D; Sakellariou, D; Drakopoulou, V; Kyriakidou, C; Maina, I; Fric, J; Smith, C; Giakoumi, S; Karris, G</t>
  </si>
  <si>
    <t>Issaris, Y.; Katsanevakis, S.; Pantazi, M.; Vassilopoulou, V.; Panayotidis, P.; Kavadas, S.; Kokkali, A.; Salomidi, M.; Frantzis, A.; Panou, A.; Damalas, D.; Klaoudatos, D.; Sakellariou, D.; Drakopoulou, V.; Kyriakidou, C.; Maina, I.; Fric, J.; Smith, C.; Giakoumi, S.; Karris, G.</t>
  </si>
  <si>
    <t>Ecological mapping and data quality assessment for the needs of ecosystem-based marine spatial management: case study Greek Ionian Sea and the adjacent gulfs</t>
  </si>
  <si>
    <t>MEDITERRANEAN MARINE SCIENCE</t>
  </si>
  <si>
    <t>Ecosystem components; marine spatial planning; conservation; human uses; quality assessment; uncertainty; Ionian Sea</t>
  </si>
  <si>
    <t>UNCERTAINTY; MONACHUS</t>
  </si>
  <si>
    <t>Mapping of ecosystem components (natural and socioeconomic) is a prerequisite for ecosystem-based marine spatial management (EB-MSM). To initiate the process of EB-MSM in the Greek Ionian Sea and the adjacent gulfs, the main relevant ecosystem components were mapped based on existing spatial information and expert judgment. The natural components mapped included habitat types and species targeted for conservation, according to national and European legislation and international agreements. Main human activities/pressures related to fisheries, aquaculture, tourism, and industry were also mapped. In order to assess the quality of data used to map ecosystem components and therefore take into consideration the inherent uncertainty, an assessment of 5 semi-quantitative data indicators based on a pedigree matrix was conducted. Through this qualitative approach we gained information related to the sources, acquisition and verification procedures, statistical properties, and temporal &amp; geographical correlation, along with the collection process quality of the ecosystem components under study. A substantial overlapping between ecological features and human activities was identified, confirming the need for a well-planned approach to marine space management, in order to mitigate conflicts for marine resources and conserve marine ecosystems and their associated goods and services.</t>
  </si>
  <si>
    <t>[Issaris, Y.; Katsanevakis, S.; Pantazi, M.; Vassilopoulou, V.; Kavadas, S.; Kokkali, A.; Damalas, D.; Klaoudatos, D.; Maina, I.; Smith, C.; Giakoumi, S.] Hellen Ctr Marine Res, Inst Marine Biol Resources, Ag Kosmas, Greece; [Issaris, Y.] Univ Athens, Dept Biol, Sect Zool &amp; Marine Biol, Zografos, Greece; [Katsanevakis, S.] Commiss European Communities, Joint Res Ctr, Inst Environm &amp; Sustainabil, I-21020 Ispra, Italy; [Panayotidis, P.; Salomidi, M.; Sakellariou, D.; Drakopoulou, V.; Kyriakidou, C.] Hellen Ctr Marine Res, Inst Oceanog, Anavyssos, Greece; [Frantzis, A.] Pelagos Cetacean Res Inst, Vouliagmeni, Greece; [Panou, A.] Archipelagos Environm &amp; Dev, Kifisia, Greece; [Damalas, D.] Commiss European Communities, Joint Res Ctr, Inst Protect &amp; Secur Citizen, I-21020 Ispra, Italy; [Fric, J.] Hellen Ornithol Soc, Athens, Greece; [Karris, G.] TEI Ionian Isl, Dept Environm Technol &amp; Ecol, Zakynthos Isl, Greece</t>
  </si>
  <si>
    <t>Hellenic Centre for Marine Research; National &amp; Kapodistrian University of Athens; European Commission Joint Research Centre; EC JRC ISPRA Site; Hellenic Centre for Marine Research; European Commission Joint Research Centre; EC JRC ISPRA Site</t>
  </si>
  <si>
    <t>Issaris, Y (corresponding author), Hellen Ctr Marine Res, Inst Marine Biol Resources, Ag Kosmas, Greece.</t>
  </si>
  <si>
    <t>yiannis@yissaris.com</t>
  </si>
  <si>
    <t>; Giakoumi, Sylvaine/I-2702-2014; Klaoudatos, Dimitris/AAS-6945-2020; Katsanevakis, Stelios/AGR-7012-2022; Karris, Georgios/H-7996-2019; Issaris, Yiannis/N-2402-2016</t>
  </si>
  <si>
    <t>Salomidi, Maria/0000-0002-7514-3562; Kavadas, Stefanos/0000-0003-3473-9084; Sakellariou, Dimitris/0000-0002-2982-4375; Frantzis, Alexanos/0000-0001-7117-062X; Giakoumi, Sylvaine/0000-0002-3301-5538; Klaoudatos, Dimitris/0000-0003-0818-0600; Katsanevakis, Stelios/0000-0002-5137-7540; Karris, Georgios/0000-0001-5264-8026; AKOPOULOU, PARASKEVI/0000-0002-7808-6006; Smith, Christopher/0000-0002-3031-5316;</t>
  </si>
  <si>
    <t>EU [2266661]</t>
  </si>
  <si>
    <t>EU(European Union (EU))</t>
  </si>
  <si>
    <t>We wish to thank two anonymous reviewers for their useful comments. This work is part of the ongoing research carried out under the EU FP7 Monitoring and Evaluation of Spatially Managed Areas (MESMA; grant number: 2266661; www.mesma.org) programme. Any opinions, findings, and conclusions or recommendations expressed in this material are those of the authors and do not necessarily reflect those of the European Commission.</t>
  </si>
  <si>
    <t>NATL CENTRE MARINE RESEARCH</t>
  </si>
  <si>
    <t>HELLINIKON</t>
  </si>
  <si>
    <t>AGHIOS KOSMAS, HELLINIKON, GR-16-604, GREECE</t>
  </si>
  <si>
    <t>1108-393X</t>
  </si>
  <si>
    <t>MEDITERR MAR SCI</t>
  </si>
  <si>
    <t>Mediterr. Mar. Sci.</t>
  </si>
  <si>
    <t>10.12681/mms.312</t>
  </si>
  <si>
    <t>Fisheries; Geosciences, Multidisciplinary; Marine &amp; Freshwater Biology; Oceanography</t>
  </si>
  <si>
    <t>Fisheries; Geology; Marine &amp; Freshwater Biology; Oceanography</t>
  </si>
  <si>
    <t>103QP</t>
  </si>
  <si>
    <t>WOS:000315934300017</t>
  </si>
  <si>
    <t>Wu, JJ; Wang, X; Zhong, B; Yang, AX; Jue, KS; Wu, JH; Zhang, L; Xu, WJ; Wu, SL; Zhang, N; Liu, QH</t>
  </si>
  <si>
    <t>Wu, Junjun; Wang, Xin; Zhong, Bo; Yang, Aixia; Jue, Kunsheng; Wu, Jinhua; Zhang, Lan; Xu, Weijin; Wu, Shanlong; Zhang, Nan; Liu, Qinhuo</t>
  </si>
  <si>
    <t>Remote sensing; Greater Mekong Subregion; Ecological indicator; Biodiversity; Human pressure; PSR framework</t>
  </si>
  <si>
    <t>COVER CHANGES; LEAF-AREA; LAND-USE; URBAN; INDEX; PRODUCTS; QUALITY; IMPACT; REGION</t>
  </si>
  <si>
    <t>The environment project in the greater Mekong sub-region was the largest multi -field environmental coopera-tion launched by six countries (China, Vietnam, Laos, Myanmar, Thailand and Cambodia) in 2006, since the cooperation mechanism was established by Asian Development Bank (ADB) in 1992. How to establish the in-dicators to assess the achievements of the biological corridor construction and the status of ecological en-vironment quantitatively is one of the prerequisites for the future project ongoing phase. The popular Pressure -State-Response (PSR) framework was employed in this study to assess the natural and human pressure, the healthy state of regional natural environment, and the subsequent response of ecosystem dynamic change in the Greater Mekong Subregion. Instead of using surveying based data as driving parameters, large amount of driving factors were retrieved from multi-source remote sensing data from 2000 to 2017, which provides access to larger updated and real-time databases, more tangible data allowing more objective goal management, and better spatially covered. The driving factors for pressure analysis included digital elevation, land surface temperature, evapotranspiration, light index, road network map, land cover dynamic change and land use degree, which were derived directly and indirectly from remote sensing. The indicators for state evaluation were composed of ve-getation index, leaf area index, and fractional vegetation cover from remote sensing directly. The comprehensive response index was mainly determined by the pressure and state indicators. Through the analysis based on an overlay technique, it showed that the ecological environment deteriorated firstly from 2000 to 2010 and then started to improve from 2010 to 2017. The proofs indicated that the natural forest and wetland ecosystems were improved and the farmland area was decreased between 2000 and 2017. This study explored effective indicators from remote sensing for the ecological and environmental assessment, which can provide a strong decision -making basis for promoting the sustainable development of the ecological environment in the greater Mekong subregion, as well as the technological support for the construction of the biodiversity corridor.</t>
  </si>
  <si>
    <t>[Wu, Junjun; Zhong, Bo; Yang, Aixia; Wu, Shanlong; Liu, Qinhuo] Chinese Acad Sci, Aerosp Informat Res Inst, State Key Lab Remote Sensing Sci, Beijing 100101, Peoples R China; [Wang, Xin; Zhang, Nan] Chinese Minist Ecol &amp; Environm, Foreign Environm Cooperat Ctr, Beijing 100035, Peoples R China; [Jue, Kunsheng; Zhang, Lan] Chongqing Univ Posts &amp; Telecommun, Chongqing 400065, Peoples R China; [Wu, Jinhua] China Univ Geosci, Beijing 100083, Peoples R China; [Xu, Weijin] Univ Elect &amp; Technol China, Chengdu 610054, Peoples R China</t>
  </si>
  <si>
    <t>Chinese Academy of Sciences; Aerospace Information Research Institute, CAS; Chongqing University of Posts &amp; Telecommunications; China University of Geosciences</t>
  </si>
  <si>
    <t>Zhong, B (corresponding author), Chinese Acad Sci, Aerosp Informat Res Inst, State Key Lab Remote Sensing Sci, Beijing 100101, Peoples R China.;Wang, X (corresponding author), Chinese Minist Ecol &amp; Environm, Foreign Environm Cooperat Ctr, Beijing 100035, Peoples R China.</t>
  </si>
  <si>
    <t>; LIU, Qinhuo/S-1647-2016</t>
  </si>
  <si>
    <t>Wu, Jinhua/0000-0001-8350-7613; LIU, Qinhuo/0000-0002-3713-9511</t>
  </si>
  <si>
    <t>Strategic Priority Research Program of Chinese Academy of Sciences [XDA20100101]; Key Deployment Project of the Chinese Academy of Sciences [KFZD-SW-316-1]; Sanya Science and Technology Cooperation Project [sy17ys01132]</t>
  </si>
  <si>
    <t>Strategic Priority Research Program of Chinese Academy of Sciences(Chinese Academy of Sciences); Key Deployment Project of the Chinese Academy of Sciences; Sanya Science and Technology Cooperation Project</t>
  </si>
  <si>
    <t>This work was supported in part by the Strategic Priority Research Program of Chinese Academy of Sciences under Grant XDA20100101 and in part by the Key Deployment Project of the Chinese Academy of Sciences under the grant KFZD-SW-316-1, and supported in part by the Sanya Science and Technology Cooperation Project (sy17ys01132).</t>
  </si>
  <si>
    <t>10.1016/j.ecolind.2020.106521</t>
  </si>
  <si>
    <t>MU3FP</t>
  </si>
  <si>
    <t>WOS:000555558600004</t>
  </si>
  <si>
    <t>Buckland, S; Cole, NC; Aguirre-Gutiérrez, J; Gallagher, LE; Henshaw, SM; Besnard, A; Tucker, RM; Bachraz, V; Ruhomaun, K; Harris, S</t>
  </si>
  <si>
    <t>Buckland, Steeves; Cole, Nik C.; Aguirre-Gutierrez, Jesus; Gallagher, Laura E.; Henshaw, Sion M.; Besnard, Aurelien; Tucker, Rachel M.; Bachraz, Vishnu; Ruhomaun, Kevin; Harris, Stephen</t>
  </si>
  <si>
    <t>DETECTION PROBABILITIES; HIERARCHICAL-MODELS; ABUNDANCE; PHELSUMA; BIODIVERSITY; POPULATIONS; PREDICTION; ESTABLISHMENT; COMMUNITIES; COMPETITION</t>
  </si>
  <si>
    <t>The invasion of the giant Madagascar day gecko Phelsuma grandis has increased the threats to the four endemic Mauritian day geckos (Phelsuma spp.) that have survived on mainland Mauritius. We had two main aims: (i) to predict the spatial distribution and overlap of P. grandis and the endemic geckos at a landscape level; and (ii) to investigate the effects of P. grandis on the abundance and risks of extinction of the endemic geckos at a local scale. An ensemble forecasting approach was used to predict the spatial distribution and overlap of P. grandis and the endemic geckos. We used hierarchical binomial mixture models and repeated visual estimate surveys to calculate the abundance of the endemic geckos in sites with and without P. grandis. The predicted range of each species varied from 85 km 2 to 376 km(2). Sixty percent of the predicted range of P. grandis overlapped with the combined predicted ranges of the four endemic geckos; 15% of the combined predicted ranges of the four endemic geckos overlapped with P. grandis. Levin's niche breadth varied from 0.140 to 0.652 between P. grandis and the four endemic geckos. The abundance of endemic geckos was 89% lower in sites with P. grandis compared to sites without P. grandis, and the endemic geckos had been extirpated at four of ten sites we surveyed with P. grandis. Species Distribution Modelling, together with the breadth metrics, predicted that P. grandis can partly share the equivalent niche with endemic species and survive in a range of environmental conditions. We provide strong evidence that smaller endemic geckos are unlikely to survive in sympatry with P. grandis. This is a cause of concern in both Mauritius and other countries with endemic species of Phelsuma.</t>
  </si>
  <si>
    <t>[Buckland, Steeves; Cole, Nik C.; Harris, Stephen] Univ Bristol, Sch Biol Sci, Bristol, Avon, England; [Buckland, Steeves; Gallagher, Laura E.; Henshaw, Sion M.; Bachraz, Vishnu; Ruhomaun, Kevin] Natl Pk Conservat Serv, Reduit, Mauritius; [Cole, Nik C.; Tucker, Rachel M.] Mauritian Wildlife Fdn, Vacoas, Mauritius; [Aguirre-Gutierrez, Jesus] Naturalis Biodivers Ctr, Leiden, Netherlands; [Aguirre-Gutierrez, Jesus] Univ Amsterdam, IBED, Amsterdam, Netherlands; [Besnard, Aurelien] Ctr Ecol Evolut &amp; Fonct, Lab Biogeog &amp; Ecol Vertebres, Montpellier, France; [Tucker, Rachel M.] Univ Sheffield, Dept Anim &amp; Plant Sci, Sheffield S10 2TN, S Yorkshire, England</t>
  </si>
  <si>
    <t>University of Bristol; Naturalis Biodiversity Center; University of Amsterdam; Universite de Montpellier; University of Sheffield</t>
  </si>
  <si>
    <t>Buckland, S (corresponding author), Univ Bristol, Sch Biol Sci, Bristol, Avon, England.</t>
  </si>
  <si>
    <t>stvsbuckland@yahoo.com</t>
  </si>
  <si>
    <t>Aguirre Gutiérrez, Jesús/AFW-5664-2022</t>
  </si>
  <si>
    <t>Aguirre Gutiérrez, Jesús/0000-0001-9190-3229; Besnard, Aurélien/0000-0002-2289-9761</t>
  </si>
  <si>
    <t>Oregon Zoo; Chicago Herpetological Society; Sigma Xi; University of Bristol</t>
  </si>
  <si>
    <t>Oregon Zoo; Chicago Herpetological Society; Sigma Xi; University of Bristol(University of Bristol)</t>
  </si>
  <si>
    <t>This study was funded by Oregon Zoo, Chicago Herpetological Society and Sigma Xi. SB was supported by the University of Bristol. The funders had no role in study design, data collection and analysis, decision to publish, or preparation of the manuscript.</t>
  </si>
  <si>
    <t>APR 30</t>
  </si>
  <si>
    <t>e88798</t>
  </si>
  <si>
    <t>10.1371/journal.pone.0088798</t>
  </si>
  <si>
    <t>AL1WP</t>
  </si>
  <si>
    <t>WOS:000338917300001</t>
  </si>
  <si>
    <t>Lindsey, PA; Romañach, SS; Tambling, CJ; Chartier, K; Groom, R</t>
  </si>
  <si>
    <t>Lindsey, P. A.; Romanach, S. S.; Tambling, C. J.; Chartier, K.; Groom, R.</t>
  </si>
  <si>
    <t>Fences; game ranching; land reform; poaching; private land; Save Valley Conservancy; snaring; Zimbabwe</t>
  </si>
  <si>
    <t>NATIONAL-PARK; WILDLIFE; CONSERVATION; WEST; SUSTAINABILITY; PROTECTION; FORESTS; AFRICA; MODELS</t>
  </si>
  <si>
    <t>Under conditions of political instability and economic decline illegal bushmeat hunting has emerged as a serious conservation threat in Zimbabwe. Following settlement of game ranches by subsistence farming communities, wildlife populations have been eradicated over large areas. In several areas still being managed as game ranches illegal hunting is causing further declines of wildlife populations (including threatened species such as the wild dog Lycaon pictus and black rhinoceros Diceros bicornis), threatening the viability of wildlife-based land uses. From August 2001 to July 2009 in Save Valley Conservancy 10,520 illegal hunting incidents were recorded, 84,396 wire snares removed, 4,148 hunters caught, 2,126 hunting dogs eliminated and at least 6,454 wild animals killed. Estimated future financial losses from illegal hunting in the Conservancy exceed USD 1.1 million year(-1). Illegal hunters' earnings account for 0.31-0.52% of the financial losses that they impose and the bushmeat trade is an inefficient use of wildlife resources. Illegal hunting peaks during the late dry season and is more frequent close to the boundary, near areas resettled during land reform and close to water. Illegal hunting with dogs peaks during moonlight periods. Our study highlights several management and land-use planning steps required to maximize the efficacy of anti-poaching and to reduce the likelihood of high impacts of illegal hunting. Anti-poaching efforts should be aligned with the regular temporal and spatial patterns of illegal hunting. Leases for hunting and tourism concessions should ensure minimum adequate investment by operators in anti-poaching. Reserve designers should minimize the surface area to volume ratio of parks. Fences should not be constructed using wire that can be made into snares. Land reform involving game ranches should integrate communities in wildlife-based land uses and ensure spatial separation between land for wildlife and human settlement. Means are required to create stake-holdings for communities in wildlife and disincentives for illegal hunting.</t>
  </si>
  <si>
    <t>[Lindsey, P. A.; Groom, R.] Univ Pretoria, Mammal Res Inst, Dept Zool &amp; Entomol, ZA-0002 Pretoria, South Africa; [Lindsey, P. A.; Romanach, S. S.; Groom, R.] African Wildlife Conservat Fund, Doral, FL 33178 USA; [Tambling, C. J.] Nelson Mandela Metropolitan Univ, Ctr African Conservat Ecol, Dept Zool, Port Elizabeth, South Africa; [Chartier, K.] Univ Florida, Davie, FL USA; [Lindsey, P. A.] TRAFFIC E So Africa, Harare, Zimbabwe</t>
  </si>
  <si>
    <t>University of Pretoria; Nelson Mandela University; State University System of Florida; University of Florida</t>
  </si>
  <si>
    <t>Lindsey, PA (corresponding author), Univ Pretoria, Mammal Res Inst, Dept Zool &amp; Entomol, ZA-0002 Pretoria, South Africa.</t>
  </si>
  <si>
    <t>palindsey@gmail.com</t>
  </si>
  <si>
    <t>Lindsey, Peter/J-8368-2012; Tambling, Craig/H-3554-2019</t>
  </si>
  <si>
    <t>Romañach, Stephanie S/0000-0003-0271-7825; Tambling, Craig/0000-0001-9830-5985</t>
  </si>
  <si>
    <t>African Wildlife Conservation Fund</t>
  </si>
  <si>
    <t>We are grateful to TRAFFIC Southern and East Africa, the European Union, Wilderness Trust, Chicago Board of Trade and the supporters of the African Wildlife Conservation Fund for providing funding, Robert Burn for statistical advice, Rueben Bote and Mishek Matari for assistance with fieldwork, and the Save Valley Conservancy for logistical support.</t>
  </si>
  <si>
    <t>10.1017/S0030605310000153</t>
  </si>
  <si>
    <t>724IB</t>
  </si>
  <si>
    <t>WOS:000287568200021</t>
  </si>
  <si>
    <t>Kokkonen, T; Ihaksi, T; Jolma, A; Kuikka, S</t>
  </si>
  <si>
    <t>Kokkonen, T.; Ihaksi, T.; Jolma, A.; Kuikka, S.</t>
  </si>
  <si>
    <t>ENVIRONMENTAL MODELLING &amp; SOFTWARE</t>
  </si>
  <si>
    <t>GIS; Ecology; Oil combating; Geoinformatics; Conservation; Nature value; Vulnerability</t>
  </si>
  <si>
    <t>SPATIAL DECISION-SUPPORT; MANAGEMENT OPTIONS; SYSTEM; SENSITIVITY; EXPOSURE; BASIN; DSS</t>
  </si>
  <si>
    <t>Due to the continuing demand of oil for energy production and to manufacture various consumables the threat to coastal ecosystems by maritime oil transport remains at a high level. Clearly there is a need for tools that can be used in mitigating the environmental damage incurred by oil accidents. This paper presents a dynamic mapping application for comparing the ecological value of the shoreline of the Gulf of Finland to guide decisions on where to lay oil booms after an oil spill accident. The maps were required to combine conservational value of different species occurrences, the estimated level of oil exposure, the estimated recovery potential of the occurrences following the accident, and the efficiency of oil booms to safeguard the species inhabiting the occurrences. The mapping was tested in representative cases. The results indicate that the ranking of neighbouring shoreline streches changes depending on weather conditions and on choices made in developing the significance criteria. To the authors knowledge this work represents a unique effort in combining biological and geospatial expertise to provide decision support for oil combating. Such support is essential should ecological values truly be included in oil combating planning and management. (C) 2009 Elsevier Ltd. All rights reserved.</t>
  </si>
  <si>
    <t>[Kokkonen, T.; Jolma, A.] Helsinki Univ Technol, Dept Civil &amp; Environm Engn, Helsinki 02015, Finland; [Kuikka, S.] Univ Helsinki, Dept Biol &amp; Environm Sci, Fisheries &amp; Environm Management Grp, FIN-00014 Helsinki, Finland</t>
  </si>
  <si>
    <t>Aalto University; University of Helsinki</t>
  </si>
  <si>
    <t>Kokkonen, T (corresponding author), Helsinki Univ Technol, Dept Civil &amp; Environm Engn, POB 5300, Helsinki 02015, Finland.</t>
  </si>
  <si>
    <t>teemu.kokkonen@tkk.fi</t>
  </si>
  <si>
    <t>Jolma, Ari/C-7534-2012; Kokkonen, Teemu/C-7490-2012</t>
  </si>
  <si>
    <t>Kuikka, Sakari/0000-0001-8802-8013; Kokkonen, Teemu/0000-0002-3381-089X</t>
  </si>
  <si>
    <t>Academy of Finland</t>
  </si>
  <si>
    <t>Academy of Finland(Research Council of Finland)</t>
  </si>
  <si>
    <t>All people (Finnish Environment Institute, Finnish Game and Fisheries Institute, Finnish Museum of Natural History, University of Turku, Lepidopterological Society of Finland, ALLECO, Faunatica, Biologists Office Jari Venetvaara, and several private people) who provided locations of occurences or estimates concerning e.g. recovery and viability of occurences are greatly acknowledged. The authors are grateful to Dr. Tapio Suominen for providing the fetch data, and to Dr. Heidi Pettersson for critical comments on the validity of estimating wave height based on fetch lenghts. The OILECO project was funded by Interreg IIIA programme, City of Kotka, and Southeast Finland regional environment centre. First author wishes also to acknowledge Academy of Finland for funding this work. Support provided by the head of Water Resources Research Group (Helsinki University of Technology), Prof. Pertti Vakkilainen, is greatly appreciated.</t>
  </si>
  <si>
    <t>1364-8152</t>
  </si>
  <si>
    <t>ENVIRON MODELL SOFTW</t>
  </si>
  <si>
    <t>Environ. Modell. Softw.</t>
  </si>
  <si>
    <t>10.1016/j.envsoft.2009.07.017</t>
  </si>
  <si>
    <t>Computer Science, Interdisciplinary Applications; Engineering, Environmental; Environmental Sciences; Water Resources</t>
  </si>
  <si>
    <t>Computer Science; Engineering; Environmental Sciences &amp; Ecology; Water Resources</t>
  </si>
  <si>
    <t>518NU</t>
  </si>
  <si>
    <t>WOS:000271700500007</t>
  </si>
  <si>
    <t>Abrahms, B; Welch, H; Brodie, S; Jacox, MG; Becker, EA; Bograd, SJ; Irvine, LM; Palacios, DM; Mate, BR; Hazen, EL</t>
  </si>
  <si>
    <t>Abrahms, Briana; Welch, Heather; Brodie, Stephanie; Jacox, Michael G.; Becker, Elizabeth A.; Bograd, Steven J.; Irvine, Ladd M.; Palacios, Daniel M.; Mate, Bruce R.; Hazen, Elliott L.</t>
  </si>
  <si>
    <t>animal movement; anthropogenic risk; dynamic ocean management; ensemble modelling; habitat selection; marine megafauna; migration; satellite telemetry; spatial ecology; species distribution model</t>
  </si>
  <si>
    <t>SOUTHERN CALIFORNIA; OCEAN MANAGEMENT; PACIFIC; HABITAT; BLUE; WHALES; INTEGRATION; CETACEANS; CONSENSUS; MOVEMENT</t>
  </si>
  <si>
    <t>Aim Advances in ecological and environmental modelling offer new opportunities for estimating dynamic habitat suitability for highly mobile species and supporting management strategies at relevant spatiotemporal scales. We used an ensemble modelling approach to predict daily, year-round habitat suitability for a migratory species, the blue whale (Balaenoptera musculus), and demonstrate an application for evaluating the spatiotemporal dynamics of their exposure to ship strike risk. Location The California Current Ecosystem (CCE) and the Southern California Bight (SCB), USA. Methods We integrated a long-term (1994-2008) satellite tracking dataset on 104 blue whales with data-assimilative ocean model output to assess year-round habitat suitability. We evaluated the relative utility of ensembling multiple model types compared to using single models, and selected and validated candidate models using multiple cross-validation metrics and independent observer data. We quantified the spatial and temporal distribution of exposure to ship strike risk within shipping lanes in the SCB. Results Multi-model ensembles outperformed single-model approaches. The final ensemble model had high predictive skill (AUC = 0.95), resulting in daily, year-round predictions of blue whale habitat suitability in the CCE that accurately captured migratory behaviour. Risk exposure in shipping lanes was highly variable within and among years as a function of environmental conditions (e.g., marine heatwave). Main conclusions Daily information on three-dimensional oceanic habitats was used to model the daily distribution of a highly migratory species with high predictive power and indicated that management strategies could benefit by incorporating dynamic environmental information. This approach is readily transferable to other species. Dynamic, high-resolution species distribution models are valuable tools for assessing risk exposure and targeting management needs.</t>
  </si>
  <si>
    <t>[Abrahms, Briana; Welch, Heather; Brodie, Stephanie; Jacox, Michael G.; Bograd, Steven J.; Hazen, Elliott L.] NOAA, Environm Res Div, Southwest Fisheries Sci Ctr, 99 Pacific St,Suite 255A, Monterey, CA 93940 USA; [Welch, Heather; Brodie, Stephanie; Becker, Elizabeth A.; Bograd, Steven J.; Hazen, Elliott L.] Univ Calif Santa Cruz, Inst Marine Sci, Santa Cruz, CA 95064 USA; [Jacox, Michael G.] NOAA, Phys Sci Div, Earth Syst Res Lab, Boulder, CO USA; [Becker, Elizabeth A.] NOAA, Marine Mammal &amp; Turtle Div, Southwest Fisheries Sci Ctr, La Jolla, CA USA; [Irvine, Ladd M.; Palacios, Daniel M.; Mate, Bruce R.] Oregon State Univ, Marine Mammal Inst, Newport, OR USA; [Irvine, Ladd M.; Palacios, Daniel M.; Mate, Bruce R.] Oregon State Univ, Dept Fisheries &amp; Wildlife, Newport, OR USA</t>
  </si>
  <si>
    <t>National Oceanic Atmospheric Admin (NOAA) - USA; University of California System; University of California Santa Cruz; National Oceanic Atmospheric Admin (NOAA) - USA; National Oceanic Atmospheric Admin (NOAA) - USA; Oregon State University; Oregon State University</t>
  </si>
  <si>
    <t>Abrahms, B (corresponding author), NOAA, Environm Res Div, Southwest Fisheries Sci Ctr, 99 Pacific St,Suite 255A, Monterey, CA 93940 USA.</t>
  </si>
  <si>
    <t>briana.abrahms@noaa.gov</t>
  </si>
  <si>
    <t>Abrahms, Briana/AEW-5094-2022; Bograd, Steven/AAA-4824-2021; Welch, Heather/T-3494-2019; Hazen, Elliott/G-4149-2014; Irvine, Ladd/AAW-7785-2020; Palacios, Daniel/B-9180-2008</t>
  </si>
  <si>
    <t>Welch, Heather/0000-0002-5464-1140; Jacox, Michael/0000-0003-3684-0717; Hazen, Elliott/0000-0002-0412-7178; Brodie, Stephanie/0000-0003-0869-9939; Irvine, Ladd/0000-0001-5135-3496; Abrah, Briana/0000-0003-1987-5045; Palacios, Daniel/0000-0001-7069-7913</t>
  </si>
  <si>
    <t>Alfred P Sloan Foundation; Gordon and Betty Moore Foundation; Office of Naval Research [0310862, 9610608]; National Aeronautics and Space Administration [NNX11AP71G]; David and Lucile Packard Foundation; Benioff Ocean Initiative</t>
  </si>
  <si>
    <t>Alfred P Sloan Foundation(Alfred P. Sloan Foundation); Gordon and Betty Moore Foundation(Gordon &amp; Betty Moore Foundation); Office of Naval Research(United States Department of DefenseUnited States NavyOffice of Naval Research); National Aeronautics and Space Administration(National Aeronautics &amp; Space Administration (NASA)); David and Lucile Packard Foundation(The David &amp; Lucile Packard Foundation); Benioff Ocean Initiative</t>
  </si>
  <si>
    <t>Alfred P Sloan Foundation; Gordon and Betty Moore Foundation; Office of Naval Research, Grant/Award Number: 0310862 and 9610608; National Aeronautics and Space Administration, Grant/Award Number: NNX11AP71G; David and Lucile Packard Foundation; Benioff Ocean Initiative</t>
  </si>
  <si>
    <t>10.1111/ddi.12940</t>
  </si>
  <si>
    <t>IK6DO</t>
  </si>
  <si>
    <t>WOS:000476676000001</t>
  </si>
  <si>
    <t>Seabrook, L; McAlpine, C; Baxter, G; Rhodes, J; Bradley, A; Lunney, D</t>
  </si>
  <si>
    <t>Seabrook, Leonie; McAlpine, Clive; Baxter, Greg; Rhodes, Jonathan; Bradley, Adrian; Lunney, Daniel</t>
  </si>
  <si>
    <t>WILDLIFE RESEARCH</t>
  </si>
  <si>
    <t>climate variability; distribution; faecal standing crop method; habitat loss; Phascolarctos cinereus</t>
  </si>
  <si>
    <t>PHASCOLARCTOS-CINEREUS POPULATIONS; CLIMATE-CHANGE; HABITAT FRAGMENTATION; SPECIES DISTRIBUTIONS; EAST QUEENSLAND; CHANGE IMPACTS; ELEVATED CO2; CONSERVATION; RANGE; MULGALANDS</t>
  </si>
  <si>
    <t>Context. Global climate change will lead to increased climate variability, including more frequent drought and heatwaves, in many areas of the world. This will affect the distribution and numbers of wildlife populations. In south-west Queensland, anecdotal reports indicated that a low density but significant koala population had been impacted by drought from 2001-2009, in accord with the predicted effects of climate change. Aims. The study aimed to compare koala distribution and numbers in south-west Queensland in 2009 with pre-drought estimates from 1995-1997. Methods. Community surveys and faecal pellet surveys were used to assess koala distribution. Population densities were estimated using the Faecal Standing Crop Method. From these densities, koala abundance in 10 habitat units was interpolated across the study region. Bootstrapping was used to estimate standard error. Climate data and land clearing were examined as possible explanations for changes in koala distribution and numbers between the two time periods. Key results. Although there was only a minor change in distribution, there was an 80% decline in koala numbers across the study region, from a mean population of 59 000 in 1995 to 11 600 in 2009. Most summers between 2002 and 2007 were hotter and drier than average. Vegetation clearance was greatest in the eastern third of the study region, with the majority of clearing being in mixed eucalypt/acacia ecosystems and vegetation on elevated residuals. Conclusions. Changes in the area of occupancy and numbers of koalas allowed us to conclude that drought significantly reduced koala populations and that they contracted to critical riparian habitats. Land clearing in the eastern part of the region may reduce the ability of koalas to move between habitats. Implications. The increase in hotter and drier conditions expected with climate change will adversely affect koala populations in south-west Queensland and may be similar in other wildlife species in arid and semiarid regions. The effect of climate change on trailing edge populations may interact with habitat loss and fragmentation to increase extinction risks. Monitoring wildlife population dynamics at the margins of their geographic ranges will help to manage the impacts of climate change.</t>
  </si>
  <si>
    <t>[Seabrook, Leonie; McAlpine, Clive; Baxter, Greg; Rhodes, Jonathan] Univ Queensland, Landscape Ecol &amp; Conservat Grp, Sch Geog Planning &amp; Environm Management, Brisbane, Qld 4072, Australia; [McAlpine, Clive; Baxter, Greg; Rhodes, Jonathan] Univ Queensland, Ctr Ecol, Brisbane, Qld 4072, Australia; [Bradley, Adrian] Univ Queensland, Sch Biomed Sci, Brisbane, Qld 4072, Australia; [Lunney, Daniel] Off Environm &amp; Heritage NSW, Hurstville, NSW 2220, Australia; [Lunney, Daniel] Murdoch Univ, Sch Biol Sci &amp; Biotechnol, Murdoch, WA 6150, Australia</t>
  </si>
  <si>
    <t>University of Queensland; University of Queensland; University of Queensland; Office of Environment &amp; Heritage - New South Wales; Murdoch University</t>
  </si>
  <si>
    <t>Seabrook, L (corresponding author), Univ Queensland, Landscape Ecol &amp; Conservat Grp, Sch Geog Planning &amp; Environm Management, Brisbane, Qld 4072, Australia.</t>
  </si>
  <si>
    <t>l.seabrook@uq.edu.au</t>
  </si>
  <si>
    <t>BRADLEY, AIAN/J-8363-2019; Rhodes, Jonathan/C-4841-2008; Seabrook, Leonie/D-2992-2009; McAlpine, Clive/A-3907-2010; lunney, daniel/AGN-9682-2022; Baxter, Greg/AAQ-5364-2021</t>
  </si>
  <si>
    <t>BRADLEY, AIAN/0000-0002-8069-2996; Lunney, Dan/0000-0002-5771-0746; Rhodes, Jonathan/0000-0001-6746-7412; Seabrook, Leonie/0000-0001-5602-5168; McAlpine, Clive/0000-0003-0457-8144;</t>
  </si>
  <si>
    <t>Australian Research Council; Australian Koala Foundation; South West NRM [LP0882090]</t>
  </si>
  <si>
    <t>Australian Research Council(Australian Research Council); Australian Koala Foundation; South West NRM</t>
  </si>
  <si>
    <t>This project is funded by the Australian Research Council, the Australian Koala Foundation and South West NRM through LP0882090. Data on land clearing were supplied by the Remote Sensing Centre of the Queensland Department of Environment and Resource Management. Field surveys were carried out by Rebecca Condon, Virginia Seymour and Nicole Davies, with help from Leonie Seabrook and several volunteers. We would like to thank the staff of South West NRM and all landholders who participated in the community survey and who allow us to carry out faecal pellet surveys on their land. Their knowledge, help and hospitality were much appreciated. The approved protocol for this project was obtained from the Animal Ethics Committee at The University of Queensland (GPA/603/08/ARC) and the Scientific Purposes Permit WISP05343008 was obtained from the Environmental Protection Agency (now the Department of Environment and Resource Management).</t>
  </si>
  <si>
    <t>1035-3712</t>
  </si>
  <si>
    <t>1448-5494</t>
  </si>
  <si>
    <t>WILDLIFE RES</t>
  </si>
  <si>
    <t>Wildl. Res.</t>
  </si>
  <si>
    <t>10.1071/WR11064</t>
  </si>
  <si>
    <t>846RU</t>
  </si>
  <si>
    <t>WOS:000296921700007</t>
  </si>
  <si>
    <t>Malik, M; Rai, SC</t>
  </si>
  <si>
    <t>Malik, Maansi; Rai, S. C.</t>
  </si>
  <si>
    <t>Land use; cover change; Pong Dam lake; Remote sensing; Ramsar Convention; Sedimentation; Himachal Pradesh</t>
  </si>
  <si>
    <t>SANJIANG PLAIN; COVER CHANGES; SACRED LAKE; TRENDS; CLIMATE; EXTENT</t>
  </si>
  <si>
    <t>Population growth, urbanization, and changing land use/cover practices are responsible for the loss of ecosystem services of wetlands around the world. The present study investigated wetland degradation that occurred in the Western Himalaya, Himachal Pradesh, India. The land use/cover change maps between 2001 and 2016 derived from remotely sensed imagery showed that the Pong Dam wetland is severely affected due to anthropogenic pressure posing risks of habitat destruction within its catchment area. The agriculture area increased by 159% and barren land decreased by 53% between 2001 and 2016. It indicates the rapid conversion of unused or scrub land for agriculture purpose in the area. The rate of sedimentation in the wetland is around 24.4M.cum/year, and the survival age of the wetland is about 100years. This rate is likely to increase in the near future due to large-scale unregulated development in the area. To reduce further destruction in this wetland, agricultural practices should be minimized in the area, and agroforestry practices should be encouraged to maintain the health and ecology of the wetland.</t>
  </si>
  <si>
    <t>[Malik, Maansi; Rai, S. C.] Univ Delhi, Delhi Sch Econ, Dept Geog, Delhi 110007, India</t>
  </si>
  <si>
    <t>University of Delhi; Delhi School of Economics</t>
  </si>
  <si>
    <t>Malik, M (corresponding author), Univ Delhi, Delhi Sch Econ, Dept Geog, Delhi 110007, India.</t>
  </si>
  <si>
    <t>malikmaansi@gmail.com</t>
  </si>
  <si>
    <t>Rai, Suresh/AAD-3882-2022</t>
  </si>
  <si>
    <t>university grant commission (UGC)</t>
  </si>
  <si>
    <t>university grant commission (UGC)(University Grants Commission, India)</t>
  </si>
  <si>
    <t>The first author is thankful to the university grant commission (UGC) for providing fellowship for carrying out the work. We are also grateful to the Head, Department of Geography, Delhi School of Economics, University of Delhi, for providing facilities.</t>
  </si>
  <si>
    <t>10.1007/s10661-019-7347-x</t>
  </si>
  <si>
    <t>HO0AY</t>
  </si>
  <si>
    <t>WOS:000460563500001</t>
  </si>
  <si>
    <t>Silva-Rodríguez, EA; Sieving, KE</t>
  </si>
  <si>
    <t>Silva-Rodriguez, Eduardo A.; Sieving, Kathryn E.</t>
  </si>
  <si>
    <t>Canis familiaris; Chile; Pudu puda; Invasive species; Predation; Subsidy</t>
  </si>
  <si>
    <t>FREE-ROAMING DOGS; FREE-RANGING DOGS; PUDU PUDU-PUDA; CANIS-FAMILIARIS; NATIONAL-PARK; FERAL DOGS; ECOLOGY; POPULATION; FOXES; DEER</t>
  </si>
  <si>
    <t>Domestic dogs are the most abundant carnivores worldwide, primarily due to human support. Food and other subsidies to dogs do not necessarily prevent dog predation on wildlife, particularly where dogs are allowed to range freely. Dog impacts on wildlife are suspected to be significant, yet the nature of dog-wildlife interactions is not fully understood. We tested the hypothesis that the distribution of dogs can significantly influence the space use of potential prey, and that both lethal and non-lethal mechanisms may underlie this interaction. If this is true, then we predicted that (1) evidence of predation and harassment by dogs should be evident where prey and dog activities overlap and (2) potential prey should be less frequent in areas where the probability of dog presence is high. To test these predictions we conducted two related studies. (1) We interviewed dog owners to estimate the probability of dog attack on pudu (Pudu puda), a globally vulnerable deer, and the lethality of these attacks. (2) We conducted a camera-trap survey documenting the landscape-scale distribution of pudu and dogs. Interviews showed that both the probability of dog attack on pudu (&gt;85%) and the lethality of such attacks was high (50%). In occupancy models applied to the camera-trap data, the variable that best explained the distribution of pudus was the probability of dog presence. We tested three alternative explanations for the negative association between pudus and dogs that were not supported. Our findings suggest that dogs are efficient at chasing pudu they detect and that both predation and non-lethal (avoidance) consequences of harassment may be shaping the distribution of pudu. This work brings into focus important mechanisms underlying the threats of domestic dogs to endangered prey. (C) 2012 Elsevier Ltd. All rights reserved.</t>
  </si>
  <si>
    <t>[Silva-Rodriguez, Eduardo A.; Sieving, Kathryn E.] Univ Florida, Sch Nat Resources &amp; Environm, Dept Wildlife Ecol &amp; Conservat, Gainesville, FL 32611 USA; [Silva-Rodriguez, Eduardo A.] Univ Austral Chile, Fac Ciencias Vet, Inst Ciencia Anim, Valdivia, Chile; [Silva-Rodriguez, Eduardo A.] Univ Austral Chile, Fac Ciencias Vet, Programa Invest Aplicada Fauna Silvestre, Valdivia, Chile</t>
  </si>
  <si>
    <t>State University System of Florida; University of Florida; Universidad Austral de Chile; Universidad Austral de Chile</t>
  </si>
  <si>
    <t>Silva-Rodríguez, EA (corresponding author), Univ Florida, Sch Nat Resources &amp; Environm, Dept Wildlife Ecol &amp; Conservat, Gainesville, FL 32611 USA.</t>
  </si>
  <si>
    <t>eduardosilvar@gmail.com</t>
  </si>
  <si>
    <t>Silva-Roiguez, Eduardo A/B-1854-2010; Sieving, Kathryn/JCE-5400-2023</t>
  </si>
  <si>
    <t>Silva-Roiguez, Eduardo A/0000-0001-9416-8653; Sieving, Kathryn/0000-0002-0849-8101</t>
  </si>
  <si>
    <t>Cleveland Metroparks Zoo; Cleveland Zoological Society; U.S. Fish and Wildlife Service Wildlife Without Borders Program; Mohammed bin Zayed Conservation Fund; Panthera; Idea Wild; Fulbright-Conicyt fellowship</t>
  </si>
  <si>
    <t>We thank local people for participating in this study. L. Branch, M. Christman, R. Fletcher, M. Sunquist and three anonymous reviewers provided insightful comments that helped to improve this manuscript. Our field assistants, A. Silva, G. Ortega and F. Osorio, were fundamental for the success of this project. The Nature Conservancy through Reserva Costera Valdiviana (RCV) provided invaluable logistic support. We thank all the support from A. Almonacid, E. Ovando, D. Gonzalez, O. Ponce, G. Ponce, J. Vistoso and P. Poveda during our time in the RCV. The study was approved by the Non-Regulatory Animal Research System (IFAS ARC#016-08WEC-ADD001) and by the Internal Review Board 02 (UFIRB# 2010-U-500) both at the University of Florida. This study was supported with funds from Cleveland Metroparks Zoo and the Cleveland Zoological Society, the U.S. Fish and Wildlife Service Wildlife Without Borders Program, Mohammed bin Zayed Conservation Fund, Panthera and Idea Wild. E.A.S. was funded by a Fulbright-Conicyt fellowship.</t>
  </si>
  <si>
    <t>10.1016/j.biocon.2012.03.008</t>
  </si>
  <si>
    <t>964VF</t>
  </si>
  <si>
    <t>WOS:000305724100013</t>
  </si>
  <si>
    <t>Phipps, WL; Wolter, K; Michael, MD; MacTavish, LM; Yarnell, RW</t>
  </si>
  <si>
    <t>Phipps, W. Louis; Wolter, Kerri; Michael, Michael D.; MacTavish, Lynne M.; Yarnell, Richard W.</t>
  </si>
  <si>
    <t>LAND-USE; RANGING BEHAVIOR; BREEDING STATUS; WIND-FARMS; MORTALITY; FULVUS; AFRICANUS; POPULATION; DECLINE</t>
  </si>
  <si>
    <t>Cape vulture Gyps coprotheres populations have declined across their range due to multiple anthropogenic threats. Their susceptibility to fatal collisions with the expanding power line network and the prevalence of carcasses contaminated with illegal poisons and other threats outside protected areas are thought to be the primary drivers of declines in southern Africa. We used GPS-GSM units to track the movements and delineate the home ranges of five adult (mean +/- SD minimum convex polygon area = 121,655 +/- 90,845 km(2)) and four immature (mean +/- SD minimum convex polygon area = 492,300 +/- 259,427 km(2)) Cape vultures to investigate the influence of power lines and their use of protected areas. The vultures travelled more than 1,000 km from the capture site and collectively entered five different countries in southern Africa. Their movement patterns and core foraging ranges were closely associated with the spatial distribution of transmission power lines and we present evidence that the construction of power lines has allowed the species to extend its range to areas previously devoid of suitable perches. The distribution of locations of known Cape vulture mortalities caused by interactions with power lines corresponded to the core ranges of the tracked vultures. Although some of the vultures regularly roosted at breeding colonies located inside protected areas the majority of foraging activity took place on unprotected farmland. Their ability to travel vast distances very quickly and the high proportion of time they spend in the vicinity of power lines and outside protected areas make Cape vultures especially vulnerable to negative interactions with the expanding power line network and the full range of threats across the region. Co-ordinated cross-border conservation strategies beyond the protected area network will therefore be necessary to ensure the future survival of threatened vultures in Africa.</t>
  </si>
  <si>
    <t>[Phipps, W. Louis; Yarnell, Richard W.] Nottingham Trent Univ, Sch Anim Rural &amp; Environm Sci, Southwell, Notts, England; [Wolter, Kerri] VulPro, Rietfontein, North West Prov, South Africa; [Michael, Michael D.] Eskom Holdings Ltd, Res Testing &amp; Dev, Johannesburg, Gauteng Provinc, South Africa; [MacTavish, Lynne M.] Mankwe Wildlife Reserve, Mogwase, North West Prov, South Africa</t>
  </si>
  <si>
    <t>Nottingham Trent University</t>
  </si>
  <si>
    <t>Phipps, WL (corresponding author), Nottingham Trent Univ, Sch Anim Rural &amp; Environm Sci, Southwell, Notts, England.</t>
  </si>
  <si>
    <t>louis.phipps@ntu.ac.uk</t>
  </si>
  <si>
    <t>Phipps, Louis/I-2935-2019; Yarnell, Richard/C-3531-2014</t>
  </si>
  <si>
    <t>Phipps, Louis/0000-0003-0400-2014; Yarnell, Richard/0000-0001-6584-7374</t>
  </si>
  <si>
    <t>Mazda Wildlife; Rand Merchant Bank and Computer Facilities; Eskom Holdings Ltd through VulPro; Mankwe Wildlife Reserve; Leverhulme Trust; WLP; Nottingham Trent University</t>
  </si>
  <si>
    <t>Mazda Wildlife; Rand Merchant Bank and Computer Facilities; Eskom Holdings Ltd through VulPro; Mankwe Wildlife Reserve; Leverhulme Trust(Leverhulme Trust); WLP; Nottingham Trent University</t>
  </si>
  <si>
    <t>The Mazda Wildlife Fund provided KW and VulPro with a research vehicle. Rand Merchant Bank and Computer Facilities provided additional funding to VulPro. Eskom Holdings Ltd funded the tracking units through VulPro. Mankwe Wildlife Reserve provided additional funding for fieldwork. The Leverhulme Trust funded fieldwork and WLP with a Study Abroad Studentship. WLP received a Vice Chancellor's bursary from Nottingham Trent University. The funders had no role in study design, data collection and analysis, decision to publish, or preparation of the manuscript.</t>
  </si>
  <si>
    <t>e76794</t>
  </si>
  <si>
    <t>10.1371/journal.pone.0076794</t>
  </si>
  <si>
    <t>236PJ</t>
  </si>
  <si>
    <t>WOS:000325810900084</t>
  </si>
  <si>
    <t>Feitosa, LM; Martins, APB; Giarrizzo, T; Macedo, W; Monteiro, IL; Gemaque, R; Nunes, JLS; Gomes, F; Schneider, H; Sampaio, I; Souza, R; Sales, JB; Rodrigues, LF; Tchaicka, L; Carvalho-Costa, LF</t>
  </si>
  <si>
    <t>Feitosa, Leonardo Manir; Martins, Ana Paula Barbosa; Giarrizzo, Tommaso; Macedo, Wagner; Monteiro, Iann Leonardo; Gemaque, Romario; Silva Nunes, Jorge Luiz; Gomes, Fernanda; Schneider, Horacio; Sampaio, Iracilda; Souza, Rosalia; Sales, Joao Braullio; Rodrigues-Filho, Luis Fernando; Tchaicka, Ligia; Carvalho-Costa, Luis Fernando</t>
  </si>
  <si>
    <t>GENETIC IDENTIFICATION; REPRODUCTIVE-BIOLOGY; MOLECULAR-GENETICS; FIN TRADE; CHONDRICHTHYES; EXTINCTION; FISHERIES; ALIGNMENT; CATCHES; BRAZIL</t>
  </si>
  <si>
    <t>Here, we report trading of endangered shark species in a world hotspot for elasmobranch conservation in Brazil. Data on shark fisheries are scarce in Brazil, although the northern and northeastern regions have the highest indices of shark bycatch. Harvest is made primarily with processed carcasses lacking head and fins, which hampers reliable species identification and law enforcement on illegal catches. We used partial sequences of two mitochondrial genes (COI and/or NADH2) to identify 17 shark species from 427 samples being harvested and marketed on the northern coast of Brazil. Nine species (53%) are listed under some extinction threat category according to Brazilian law and international authorities (IUCN - International Union for Conservation of Nature; CITES - Convention on International Trade of Endangered Species of Wild Fauna and Flora). The number increases to 13 (76%) if we also consider the Near Threatened category. Hammerhead sharks are under threat worldwide, and composed 18.7% of samples, with Sphyrna mokarran being the fourth most common species among samples. As illegal trade of threatened shark species is a worldwide conservation problem, molecular identification of processed meat or specimens lacking diagnostic body parts is a highly effective tool for species identification and law enforcement.</t>
  </si>
  <si>
    <t>[Feitosa, Leonardo Manir] Univ Fed Pernambuco, Programa Posgrad Biol Anim, Dept Biol, Cidade Univ, BR-50670901 Recife, PE, Brazil; [Martins, Ana Paula Barbosa] James Cook Univ, Coll Sci &amp; Engn, Ctr Sustainable Trop Fisheries &amp; Aquaculture, Townsville, Qld 4811, Australia; [Martins, Ana Paula Barbosa] Australian Inst Marine Sci, Townsville, Qld 4810, Australia; [Giarrizzo, Tommaso] Univ Fed Para, Lab Biol Pesqueira Manejo Recursos Aquat, Campus Guama,Rua Augusto Correa 1, BR-66075110 Belem, Para, Brazil; [Macedo, Wagner; Tchaicka, Ligia] Univ Estadual Maranhao, Lab Biodiversidade Mol, Programa Posgrad Recursos Aquat &amp; Pesca, Cidade Univ Paulo 6,S-N Tirir, BR-65055970 Sao Luis, MA, Brazil; [Monteiro, Iann Leonardo; Gemaque, Romario] Estecio, Fac Castanhal FCAT, Ciencias Biol, Rodovia BR 316,S-N Km 60, BR-68740420 Castanhal, Para, Brazil; [Silva Nunes, Jorge Luiz] Univ Fed Maranhao, Dept Oceanog &amp; Limnol, Lab Organismos Aquat, Ave Portugueses 1966, BR-65080805 Sao Luis, Maranhao, Brazil; [Gomes, Fernanda; Schneider, Horacio; Sampaio, Iracilda] Univ Fed Para, Lab Filogenom, Campus Braganca,Alameda Leandro Ribeiro Aldeia, BR-68600000 Braganca, Para, Brazil; [Souza, Rosalia] Univ Fed Rural Amazonia, Av Perimetral 2501, BR-66077830 Belem, Para, Brazil; [Sales, Joao Braullio] Campus Univ Marajo Breves, Univ Fed Para, Fac Ciencias Nat FACIN, Ave Anajas S-N Sl 4, BR-68800000 Breves, Para, Brazil; [Sales, Joao Braullio] Univ Fed Para UFPA, Inst Ciencias Biol, Ctr Estudos Avancados Biodiversidade CEABIO, Lab Ictiol Integrada, Av Augusto Correia 01, BR-66075110 Belem, Para, Brazil; [Rodrigues-Filho, Luis Fernando] Campus Univ Capanema, UFRA, Rua Joao Pessoa N 121, BR-68700030 Capanema, Para, Brazil; [Carvalho-Costa, Luis Fernando] Univ Fed Maranhao, Dept Biol, Lab Genet Biol Mol, Ave Portugueses 1966, BR-65080805 Sao Luis, Maranhao, Brazil</t>
  </si>
  <si>
    <t>Universidade Federal de Pernambuco; James Cook University; Australian Institute of Marine Science; Universidade Federal do Para; Universidade Estadual do Maranhao; Universidade Federal do Maranhao; Universidade Federal do Para; Universidade Federal Rural da Amazonia (UFRA); Universidade Federal do Para; Universidade Federal do Para; Universidade Federal Rural da Amazonia (UFRA); Universidade Federal do Maranhao</t>
  </si>
  <si>
    <t>Feitosa, LM (corresponding author), Univ Fed Pernambuco, Programa Posgrad Biol Anim, Dept Biol, Cidade Univ, BR-50670901 Recife, PE, Brazil.</t>
  </si>
  <si>
    <t>lmfeitos@gmail.com</t>
  </si>
  <si>
    <t>da Silva Roigues Filho, Luis Fernando/NBX-1999-2025; Tchaicka, Lígia/G-7693-2015; Giarrizzo, Tommaso/G-8482-2016; Manir Feitosa, Leonardo/P-7077-2017; Sales, João/O-4010-2019; Barbosa Martins, Ana/ABT-9675-2022; Nunes, Jorge/C-7843-2014; Macedo, Wagner/ABB-5922-2020; Monteiro, Iann/HIZ-9160-2022; SAMPAIO, IRACILDA/J-6514-2012; Schneider, Horacio/J-7131-2012</t>
  </si>
  <si>
    <t>da Silva Roigues Filho, Luis Fernando/0000-0002-5715-2668; Tchaicka, Lígia/0000-0003-1993-1377; SOUZA, ROSÁLIA F C/0000-0002-2843-7760; Costa, Luis/0000-0002-9590-1797; Giarrizzo, Tommaso/0000-0002-5116-5206; Manir Feitosa, Leonardo/0000-0002-1988-5326; Sales, João/0000-0001-5914-2124; Barbosa Martins, Ana/0000-0003-3691-9644; Nunes, Jorge/0000-0001-6223-1785; Monteiro, Iann/0000-0002-4174-5303</t>
  </si>
  <si>
    <t>Conselho Nacional de Desenvolvimento Cientifico e Tecnologico (National Council for Scientific and Technological Development [CNPq]) [310299/2016-0]; Fundacao de Apoio a Pesquisa, Extensao e Ensino em Ciencias Agrarias - FUNPEA; project Estudos Ecologicos e Ecotoxicologicos em Peixes da Regiao Norte e Nordeste do Brasil; FAPEMA under the project CBIOMA [03136/13]; CNPq [474843/2013-0]; Fundacao Boticario de Conservacao da Natureza [1054-20152]</t>
  </si>
  <si>
    <t>Conselho Nacional de Desenvolvimento Cientifico e Tecnologico (National Council for Scientific and Technological Development [CNPq])(Conselho Nacional de Desenvolvimento Cientifico e Tecnologico (CNPQ)); Fundacao de Apoio a Pesquisa, Extensao e Ensino em Ciencias Agrarias - FUNPEA; project Estudos Ecologicos e Ecotoxicologicos em Peixes da Regiao Norte e Nordeste do Brasil; FAPEMA under the project CBIOMA; CNPq(Conselho Nacional de Desenvolvimento Cientifico e Tecnologico (CNPQ)); Fundacao Boticario de Conservacao da Natureza</t>
  </si>
  <si>
    <t>We thank the local fishermen for their permission to take samples from their fishes. We also acknowledge the assistance of Iraine Duarte, William Lima, Jeferson Carneiro, and Antonio Martins Junior in the sample processing steps, and Patricio Garcia for helping with images. Finally, we thank Dr. Rosangela Lessa for the literature suggestions and insights regarding information about sharks from Brazil's North Coast. Tommaso Giarrizzo receives a productivity grant from the Conselho Nacional de Desenvolvimento Cientifico e Tecnologico (National Council for Scientific and Technological Development [CNPq; process CNPq# 310299/2016-0]). Tommaso Giarrizzo was also supported by Fundacao de Apoio a Pesquisa, Extensao e Ensino em Ciencias Agrarias - FUNPEA with the project Estudos Ecologicos e Ecotoxicologicos em Peixes da Regiao Norte e Nordeste do Brasil. Luis Fernando Carvalho Costa received funding from FAPEMA under the project CBIOMA (grant Number 03136/13), Luis Fernando Rodrigues-Filho received funding from CNPq (grant number 474843/2013-0), and Ligia Tchaicka received funding from Fundacao Boticario de Conservacao da Natureza (grant number 1054-20152).</t>
  </si>
  <si>
    <t>10.1038/s41598-018-21683-5</t>
  </si>
  <si>
    <t>FW7KA</t>
  </si>
  <si>
    <t>WOS:000425500300019</t>
  </si>
  <si>
    <t>Martinez-Gutierrez, M; Ruiz-Saenz, J</t>
  </si>
  <si>
    <t>Martinez-Gutierrez, Marlen; Ruiz-Saenz, Julian</t>
  </si>
  <si>
    <t>Diversity of susceptible hosts in canine distemper virus infection: a systematic review and data synthesis</t>
  </si>
  <si>
    <t>BMC VETERINARY RESEARCH</t>
  </si>
  <si>
    <t>Endangered species; Morbillivirus; Re-emerging virus; Species barrier; Zoonosis</t>
  </si>
  <si>
    <t>LYMPHOCYTE-ACTIVATION MOLECULE; DOMESTIC DOGS; SEROLOGIC SURVEY; RHESUS-MONKEYS; DISEASE; OUTBREAK; MORBILLIVIRUS; CARNIVORES; WILDLIFE; TRANSMISSION</t>
  </si>
  <si>
    <t>Background: Canine distemper virus (CDV) is the etiological agent of one of the most infectious diseases of domestic dogs, also known as a highly prevalent viral infectious disease of carnivores and posing a conservation threat to endangered species around the world. To get a better panorama of CDV infection in different Orders, a retrospective and documental systematic review of the role of CDV in different non-dog hosts was conducted. The bibliographical data were collected from MedLine/PubMed and Scopus databases. Data related to Order, Family, Genus and Species of the infected animals, the presence or absence of clinical signs, mortality, serological, molecular or antigenic confirmation of CDV infection, geographic location, were collected and summarized. Results: Two hundred seventeen scientific articles were considered eligible which includes reports of serological evaluation, and antigenic or genomic confirmation of CDV infection in non-dog hosts. CDV infects naturally and experimentally different members of the Orders Carnivora (in 12 Families), Rodentia (four Families), Primates (two Families), Artiodactyla (three Families) and Proboscidea (one Family). The Order Carnivora (excluding domestic dogs) accounts for the vast majority (87.5 %) of the records. Clinical disease associated with CDV infection was reported in 51.8 % of the records and serological evidence of CDV infection in apparently healthy animals was found in 49.5 % of the records. High mortality rate was showed in some of the recorded infections in Orders different to Carnivora. In non-dog hosts, CDV has been reported all continents with the exception of Australasia and in 43 different countries. Conclusions: The results of this systematic review demonstrate that CDV is able to infect a very wide range of host species from many different Orders and emphasizes the potential threat of infection for endangered wild species as well as raising concerns about potential zoonotic threats following the cessation of large-scale measles vaccination campaigns in the human population.</t>
  </si>
  <si>
    <t>[Martinez-Gutierrez, Marlen; Ruiz-Saenz, Julian] Univ Cooperat Colombia, Grp Invest Ciencias Anim GRICA, Calle 30A 33-51, Bucaramanga, Colombia</t>
  </si>
  <si>
    <t>Universidad Cooperativa de Colombia</t>
  </si>
  <si>
    <t>Ruiz-Saenz, J (corresponding author), Univ Cooperat Colombia, Grp Invest Ciencias Anim GRICA, Calle 30A 33-51, Bucaramanga, Colombia.</t>
  </si>
  <si>
    <t>julianruizsaenz@gmail.com</t>
  </si>
  <si>
    <t>Ruiz-Saenz, Julian/GWU-9801-2022</t>
  </si>
  <si>
    <t>Ruiz-Saenz, Julian/0000-0002-1447-1458</t>
  </si>
  <si>
    <t>Departamento Administrativo de Ciencia, Tecnologia e Innovacion - COLCIENCIAS Grant [123171249669]; CONADI - Universidad Cooperativa de Colombia</t>
  </si>
  <si>
    <t>Departamento Administrativo de Ciencia, Tecnologia e Innovacion - COLCIENCIAS Grant; CONADI - Universidad Cooperativa de Colombia</t>
  </si>
  <si>
    <t>The authors thank Anne-Lise Haenni for revision of the English and critical reading of the manuscript. This work was financially supported by the Departamento Administrativo de Ciencia, Tecnologia e Innovacion - COLCIENCIAS Grant No. 123171249669, and partially by CONADI - Universidad Cooperativa de Colombia.</t>
  </si>
  <si>
    <t>1746-6148</t>
  </si>
  <si>
    <t>BMC VET RES</t>
  </si>
  <si>
    <t>BMC Vet. Res.</t>
  </si>
  <si>
    <t>MAY 12</t>
  </si>
  <si>
    <t>10.1186/s12917-016-0702-z</t>
  </si>
  <si>
    <t>DM2AG</t>
  </si>
  <si>
    <t>WOS:000376147400001</t>
  </si>
  <si>
    <t>Vojar, J; Havlíková, B; Solsky, M; Jablonski, D; Ikovic, V; Baláz, V</t>
  </si>
  <si>
    <t>Vojar, Jiri; Havlikova, Barbora; Solsky, Milic; Jablonski, Daniel; Ikovic, Vuk; Balaz, Vojtech</t>
  </si>
  <si>
    <t>SALAMANDRA</t>
  </si>
  <si>
    <t>Amphibian infectious disease; Balkan Peninsula; chytridiomycosis</t>
  </si>
  <si>
    <t>BELLIED TOADS BOMBINA; COMMON MIDWIFE TOAD; CHYTRID FUNGUS; MITOCHONDRIAL PHYLOGEOGRAPHY; POPULATION DECLINES; NO DETECTION; CHYTRIDIOMYCOSIS; FROGS; INFECTION; DIVERSITY</t>
  </si>
  <si>
    <t>The Mediterranean region, consisting of, amongst other areas, three main southern European peninsulas (the Iberian, Apennine, and Balkan) is known as one of the world's biodiversity hotspots. The Iberian Peninsula was the first place in Europe where amphibians were confirmed to be infected by the amphibian chytrid fungus, Batrachochytrium dendrobatidis (Bd). Whereas the Iberian and Apennine peninsulas have been subject to intensive chytridiomycosis research, this study represents the first large-scale Bd survey in the Balkans. Over a two-year period, 454 skin swab samples of amphibians were collected in Montenegro, Albania, and the Republic of Macedonia of which 65 samples (14.3%) were Bd-positive. Bd was detected in 5 out of 11 sampled species (Bombina variegata, Hyla arborea, Lissotriton vulgaris, Pelophylax sp., and Triturus macedonicus) at 13 out of 38 localities. Infection rates did not differ between countries but varied greatly between species with a maximum in Pelophylax sp. (&gt; 30%). Within positive Pelophylax samples, infection loads were constant across areas and age groups. Considering the Balkans' biodiversity and the potential threat to local endemics and genetic richness, future monitoring is vital for assessing Bd presence, prevalence and infection trends in the region.</t>
  </si>
  <si>
    <t>[Vojar, Jiri; Havlikova, Barbora; Solsky, Milic] Czech Univ Life Sci Prague, Fac Environm Sci, Dept Ecol, Kamyck 129, CZ-16521 Prague 6, Czech Republic; [Jablonski, Daniel] Comenius Univ, Dept Zool, Mlynsk Dolina B-1, Bratislava 84215, Slovakia; [Ikovic, Vuk] Montenegrin Ecologists Soc, Bulevar Sv Petra Cetinjskog 73, Podgorica, Montenegro; [Balaz, Vojtech] Univ Vet &amp; Pharmaceut Sci Brno, Fac Vet Hyg &amp; Ecol, Dept Ecol &amp; Dis Game Fish &amp; Bees, Palackeho Tr 1-3, CZ-61242 Brno, Czech Republic; [Balaz, Vojtech] Univ Vet &amp; Pharmaceut Sci Brno, Fac Vet Hyg &amp; Ecol, Dept Biol &amp; Wildlife Dis, Palackeho Tr 1-3, CZ-61242 Brno, Czech Republic</t>
  </si>
  <si>
    <t>Czech University of Life Sciences Prague; Comenius University Bratislava; University of Veterinary Sciences Brno; University of Veterinary Sciences Brno</t>
  </si>
  <si>
    <t>Vojar, J (corresponding author), Czech Univ Life Sci Prague, Fac Environm Sci, Dept Ecol, Kamyck 129, CZ-16521 Prague 6, Czech Republic.</t>
  </si>
  <si>
    <t>vojar@fzp.czu.cz</t>
  </si>
  <si>
    <t>Jablonski, Daniel/I-7693-2019; Vojar, Jiri/AAC-9775-2019; Balaz, Vojtech/M-5314-2013</t>
  </si>
  <si>
    <t>Vojar, Jiri/0000-0002-6824-9449; Balaz, Vojtech/0000-0001-6521-5350</t>
  </si>
  <si>
    <t>Faculty of Environmental Sciences, Czech University of Life Sciences in Prague [20144269]</t>
  </si>
  <si>
    <t>Faculty of Environmental Sciences, Czech University of Life Sciences in Prague</t>
  </si>
  <si>
    <t>We thank G. A. KIRKING for a useful comment on the manuscript, and J. DOLEZALOVA, D. SMOLOVA, K. SIMUNKOVA, P. CHAJMA, M. SLADECEK, and M. SIKOLA for their help in the field. The project was supported by the Research Project of the Faculty of Environmental Sciences, Czech University of Life Sciences in Prague, No. 20144269. We are grateful to the Zoological Society of London for providing quantification standards. The sampling was performed on the basis of permit No. 02 Broj UPI-321/4 issued by the Montenegro Agencija za Zastitu Zivotne Sredine.</t>
  </si>
  <si>
    <t>DEUTSCHE GESELLSCHAFT HERPETOLOGIE TERRARIENKUNDE E V</t>
  </si>
  <si>
    <t>DARMSTADT</t>
  </si>
  <si>
    <t>C/O JORN KOHLER, HESSISCHES LANDESMUSEUM DARMSTADT, FRIEDENSPLATZ 1, DARMSTADT, 64283, GERMANY</t>
  </si>
  <si>
    <t>0036-3375</t>
  </si>
  <si>
    <t>EN2US</t>
  </si>
  <si>
    <t>WOS:000395866400006</t>
  </si>
  <si>
    <t>de Luna, AG; Link, A</t>
  </si>
  <si>
    <t>Gabriela de Luna, Ana; Link, Andres</t>
  </si>
  <si>
    <t>Population status; Conservation priorities; Biodiversity hotspots; Primate diversity</t>
  </si>
  <si>
    <t>CAPUCHIN CEBUS-ALBIFRONS; NATIONAL-PARK; FRAGMENTATION; LANDSCAPE; PATTERNS; DEFORESTATION; DETERMINANTS; DIVERSITY; GEOFFROYI; ECOLOGY</t>
  </si>
  <si>
    <t>The inter-Andean tropical rainforests and dry forests of the Magdalena river basin (Tumbes-Choco-Magdalena biodiversity hotspot) in northern Colombia have undergone significant forest loss and degradation in recent decades. Six primate species inhabit this region, five of which are currently threatened with extinction and one of whichthe brown spider monkey, Ateles hybridusis considered critically endangered. Accurate and recent information on the distribution and conservation status of these threatened primate populations is scarce or nonexistent, even though such data are needed to implement successful conservation actions and management plans. Between 2006 and 2016, we evaluated the status and distribution of primates across inter-Andean lowland forests in northern Colombia. We visited 30 sites to evaluate the presence/absence of brown spider monkeys and other primate taxa in the region. We also carried out surveys at 10 of these sites to obtain estimates of primate population densities and demographic information from forests with different levels of anthropogenic disturbance. Novel data on primate presence/absence were obtained for 27 sites, and 136 records were collected in total. Only 33% of the sites visited were large forest fragments (&gt;500Ha). This study confirms that at least six primate species are still present in the Rio Magdalena region, which represents the highest platyrrhine diversity west of the Andes. This study also confirms the persistence of a wild population of Colombian woolly monkeys (Lagothrix lagotricha lugens) in the Serrania de San Lucas. Assigning formal protected status to this region is an urgent priority for the conservation of primates in the Rio Magdalena region.</t>
  </si>
  <si>
    <t>[Gabriela de Luna, Ana; Link, Andres] Fdn Proyecto Primates, Carrera 11A 91-55, Bogota, Colombia; [Link, Andres] Univ Andes, Dept Biol Sci, Bogota, Colombia; [Link, Andres] Univ Andes, Sch Management, Bogota, Colombia</t>
  </si>
  <si>
    <t>Universidad de los Andes (Colombia); Universidad de los Andes (Colombia)</t>
  </si>
  <si>
    <t>de Luna, AG (corresponding author), Fdn Proyecto Primates, Carrera 11A 91-55, Bogota, Colombia.</t>
  </si>
  <si>
    <t>gabrieladeluna@proyectoprimates.org</t>
  </si>
  <si>
    <t>de Luna, Ana Gabriela/JNR-1145-2023</t>
  </si>
  <si>
    <t>de Luna, Ana Gabriela/0000-0002-3006-7041</t>
  </si>
  <si>
    <t>WCS-Research Fellowship Programme; Rufford Small Grants Foundation; Bristol Zoological Society; Primate Action Fund; Mohamed bin Zayed Species Conservation Fund</t>
  </si>
  <si>
    <t>We thank all students and collaborators of Fundacion Proyecto Primates who contributed to this long-term study. We are grateful to all the local landowners in the survey region for allowing us to conduct research on their properties, particularly to the Campuzano, Jaramillo, Olaya, Lalinde and De Greiff families. We also thank Dr. Anthony Di Fiore and Dr. Sam Shanee who contributed significantly to the final version of this manuscript. This research was made possible thanks to collaboration with the following organizations: Biocolombia, Funcopromas, Fundacion ProAves, ACVC, WCS-Colombia, and Parques Nacionales Naturales de Colombia. This project was funded by the WCS-Research Fellowship Programme, the Rufford Small Grants Foundation, the Bristol Zoological Society, the Primate Action Fund, and the Mohamed bin Zayed Species Conservation Fund.</t>
  </si>
  <si>
    <t>10.1007/s10531-018-1611-1</t>
  </si>
  <si>
    <t>GV0GR</t>
  </si>
  <si>
    <t>WOS:000445737300008</t>
  </si>
  <si>
    <t>Bisi, F; Gagliardi, A; Cremonesi, G; Colombo, R; Mazzamuto, MV; Wauters, LA; Preatoni, DG; Martinoli, A</t>
  </si>
  <si>
    <t>Bisi, Francesco; Gagliardi, Alessandra; Cremonesi, Giacomo; Colombo, Roberto; Mazzamuto, Maria Vittoria; Wauters, Lucas Armand; Preatoni, Damiano Giovanni; Martinoli, Adriano</t>
  </si>
  <si>
    <t>camera trap; MaxEnt; patrolling; mammals; tropical forest; poaching</t>
  </si>
  <si>
    <t>SPECIES DISTRIBUTIONS; TROPICAL FORESTS; PROTECTED-AREA; CLIMATE-CHANGE; CAMERA TRAP; WIND FARMS; CONSERVATION; BIODIVERSITY; PREDICTION; DIVERSITY</t>
  </si>
  <si>
    <t>Asian tropical forests are among the most affected by overhunting of wildlife species. Bushmeat is not just a source of food, but is also often seen as an income source due to the increasing regional demand for wildlife products. In this study, we assess for the first time the medium- and large-size vertebrate species present in Lampi Marine National Park (Myanmar) using camera traps and opportunistic sightings, and we use data from law enforcement patrolling to identify areas where poaching activities occur. Nineteen different terrestrial vertebrate species were observed in the Park, five of which are listed as globally threatened, while illegal activities were recorded at 107 locations. We estimated wildlife and human distributions using the maximum-entropy (i.e., MaxEnt) algorithm. Human activities were widely distributed in the Park, and areas selected by people were those at lower elevations and mainly in evergreen or semi-evergreen forests where most of the species occur. These models could improve knowledge of species presence and of the potential risk to wildlife associated with human activities. The modelling of wildlife and human presence proved to be useful for identifying areas that would receive special attention during patrolling, management and conservation actions.</t>
  </si>
  <si>
    <t>[Bisi, Francesco; Gagliardi, Alessandra; Cremonesi, Giacomo; Mazzamuto, Maria Vittoria; Wauters, Lucas Armand; Preatoni, Damiano Giovanni; Martinoli, Adriano] Univ Insubria, Unita Anal &amp; Gest Risorse Ambientali, Guido Tosi Res Grp, Dipartimento Sci Teor &amp; Appl, Via JH Dunant 3, I-21100 Varese, Italy; [Bisi, Francesco; Gagliardi, Alessandra] Ist Oikos, Via Crescenzago 1, I-20134 Milan, Italy; [Colombo, Roberto] Univ Milano Bicocca, Dipartimento Sci Ambiente &amp; Terra, Piazza Sci 1, I-20126 Milan, Italy</t>
  </si>
  <si>
    <t>University of Insubria; University of Milano-Bicocca</t>
  </si>
  <si>
    <t>Bisi, F (corresponding author), Univ Insubria, Unita Anal &amp; Gest Risorse Ambientali, Guido Tosi Res Grp, Dipartimento Sci Teor &amp; Appl, Via JH Dunant 3, I-21100 Varese, Italy.;Bisi, F (corresponding author), Ist Oikos, Via Crescenzago 1, I-20134 Milan, Italy.</t>
  </si>
  <si>
    <t>francesco.bisi@gmail.com</t>
  </si>
  <si>
    <t>; Cremonesi, Giacomo/ABH-1060-2021; Mazzamuto, Maria Vittoria/AAZ-1143-2021; Bisi, Francesco/AAA-8745-2022; Preatoni, Damiano/A-8621-2010</t>
  </si>
  <si>
    <t>Mazzamuto, Maria Vittoria/0000-0002-4728-0527; Wauters, Lucas Armand/0000-0002-7012-9200;</t>
  </si>
  <si>
    <t>Italian Ministry of Foreign Affairs [AID 0101178/OIKOS/BUR]</t>
  </si>
  <si>
    <t>Italian Ministry of Foreign Affairs(Ministry of Foreign Affairs and International Cooperation (Italy))</t>
  </si>
  <si>
    <t>This work was part of the project 'COAST: Rafforzare le capacita locali per la COnservazione Ambientale e lo Sviluppo del Turismo nell'arcipelago di Myeik' - AID 0101178/OIKOS/BUR, financed by the Italian Ministry of Foreign Affairs.</t>
  </si>
  <si>
    <t>PII S0376892918000486</t>
  </si>
  <si>
    <t>10.1017/S0376892918000486</t>
  </si>
  <si>
    <t>HV6ZC</t>
  </si>
  <si>
    <t>WOS:000466130300010</t>
  </si>
  <si>
    <t>Salgado, EJ; Nehasil, SE; Etnoyer, PJ</t>
  </si>
  <si>
    <t>Salgado, Enrique J.; Nehasil, Stephanie E.; Etnoyer, Peter J.</t>
  </si>
  <si>
    <t>Distribution of deep-water corals, sponges, and demersal fisheries landings in Southern California, USA: implications for conservation priorities</t>
  </si>
  <si>
    <t>Deep-sea; Corals; Bottom fishing; ROV; California; Fisheries; Marine protected areas; Bycatch; Habitat; Marine debris</t>
  </si>
  <si>
    <t>ANTIPATHES-DENDROCHRISTOS; SEA CORAL; HABITAT; FISH; BANKS; AGE</t>
  </si>
  <si>
    <t>Deep sea corals in Southern California are diverse and abundant but subject to multiple stressors, including bottom-contact fisheries using mobile and fixed gear. There is a need for more information on the distribution of these taxa in relation to the distribution of demersal fishing effort, and the distribution of marine protected areas, in order to improve spatial planning. There are many marine managed areas in Southern California, including essential fish habitat (EFH) areas, conservation areas, and a national marine sanctuary, but specific areas of overlap between bottom fishing and benthic epifauna are poorly known. Groundfish surveys were conducted by the National Marine Fisheries Service using a remotely operated vehicle throughout Southern California between 2003 and 2011 to document abundance and distribution of deep-water rockfish and flatfish to a depth of 500 m. Corals and sponges were also common in these images, providing an opportunity to examine these communities. Analyses of 34,792 still images revealed abundance and diversity of coral and sponge taxa, as well as frequency of fishing debris. The occurrence data were overlaid in a geographic information system with landings data for deep-water (&gt;50 m) demersal fisheries to identify areas of spatial overlap. Corals or sponges were observed in 23% of images. A total of 15 coral genera and six sponge morphotypes were identified. A total of 70 species codes were targeted by deep-water demersal fisheries operating below 50 m for years 2007-2011. A novel priority-setting algorithm was developed to identify areas of high richness, abundance, and fishing intensity (RAFT). Several highly-ranked areas were already protected as EFH (Footprint, Piggy Bank). Other highly-ranked sites (West Catalina Island, San Clemente Island, 9-Mile Bank, Santa Rosa Flats) were encompassed by transient gear restrictions, such as Rockfish conservation areas, but are now recommended for permanent protection by the Pacific Fishery Management Council.</t>
  </si>
  <si>
    <t>[Salgado, Enrique J.; Etnoyer, Peter J.] NOAA, Natl Ctr Coastal Ocean Sci, Charleston, SC 29412 USA; [Salgado, Enrique J.] CSS Inc, Fairfax, VA 22030 USA; [Nehasil, Stephanie E.] Univ Calif San Diego, Div Biol Sci, Ecol Behav &amp; Evolut Sect, La Jolla, CA USA</t>
  </si>
  <si>
    <t>National Oceanic Atmospheric Admin (NOAA) - USA; National Ocean Service, NOAA; National Centers for Coastal Ocean Science (NOOCS); Consolidated Safety Services, Inc. (CSS); University of California System; University of California San Diego</t>
  </si>
  <si>
    <t>Salgado, EJ; Etnoyer, PJ (corresponding author), NOAA, Natl Ctr Coastal Ocean Sci, Charleston, SC 29412 USA.;Salgado, EJ (corresponding author), CSS Inc, Fairfax, VA 22030 USA.</t>
  </si>
  <si>
    <t>enrique.salgado@noaa.gov; peter.etnoyer@noaa.gov</t>
  </si>
  <si>
    <t>NOAA's Deep Sea Coral Research Technology Program; NOAA's Southwest Fisheries Science Center</t>
  </si>
  <si>
    <t>NOAA's Deep Sea Coral Research Technology Program(National Oceanic Atmospheric Admin (NOAA) - USA); NOAA's Southwest Fisheries Science Center(National Oceanic Atmospheric Admin (NOAA) - USA)</t>
  </si>
  <si>
    <t>This work was supported by NOAA's Deep Sea Coral Research Technology Program. Stephanie E. Nehasil's work was funded by NOAA's Southwest Fisheries Science Center. The funders had no role in study design, data collection and analysis, decision to publish, or preparation of the manuscript.</t>
  </si>
  <si>
    <t>e5697</t>
  </si>
  <si>
    <t>10.7717/peerj.5697</t>
  </si>
  <si>
    <t>GW8HJ</t>
  </si>
  <si>
    <t>WOS:000447216100002</t>
  </si>
  <si>
    <t>Mahmood, T; Akrim, F; Irshad, N; Hussain, R; Fatima, H; Andleeb, S; Aihetasham, A</t>
  </si>
  <si>
    <t>Mahmood, Tariq; Akrim, Faraz; Irshad, Nausheen; Hussain, Riaz; Fatima, Hira; Andleeb, Shaista; Aihetasham, Ayesha</t>
  </si>
  <si>
    <t>Distribution; Indian pangolin; IUCN assessment; killing; Manis crassicaudata; Pakistan; Potohar; spatial range</t>
  </si>
  <si>
    <t>PHOLIDOTA; MAMMALIA; TRADE</t>
  </si>
  <si>
    <t>The Endangered Indian pangolin Manis crassicaudata, a burrowing, armoured mammal, plays an important role in the food web by consuming insects and termites. In Pakistan the species' range includes the 22,000 km(2) Potohar Plateau, where it is under pressure from illegal hunting for its scales and requires conservation attention. We used a geographical information system to quantify the range of the Indian pangolin on the Plateau and to compare this with the range estimated in the IUCN Red List assessment of the species. We found that the species occupies c. 89% of the Plateau, in eight of the 10 protected areas, compared with the IUCN estimate of 71%, and we recorded the species at 40 locations on the Plateau outside the range predicted by the IUCN assessment. We collected data on the illegal capture and killing of the species, recording 412 individuals that had been killed at 48 locations between January 2011 and the end of April 2013. The highest number of killings was recorded in Chakwal District (n = 156, at 13 sites) followed by the Attock District (n = 149, at eight sites). Although the Indian pangolin's range on the Potohar Plateau is c. 18% larger than that estimated in the IUCN assessment, the species is under pressure from illegal killing and requires urgent conservation measures to save the small remaining population and avoid the extirpation of this vital insectivorous predator from the area.</t>
  </si>
  <si>
    <t>[Mahmood, Tariq; Akrim, Faraz; Irshad, Nausheen; Hussain, Riaz; Fatima, Hira; Andleeb, Shaista] Pir Mehr Ali Shah Arid Agr Univ, Dept Wildlife Management, Rawalpindi 46300, Pakistan; [Aihetasham, Ayesha] Univ Punjab, Zool Dept, Lahore, Pakistan</t>
  </si>
  <si>
    <t>Arid Agriculture University; University of Punjab</t>
  </si>
  <si>
    <t>Mahmood, T (corresponding author), Pir Mehr Ali Shah Arid Agr Univ, Dept Wildlife Management, Rawalpindi 46300, Pakistan.</t>
  </si>
  <si>
    <t>tariqjanjua75@uaar.edu.pk</t>
  </si>
  <si>
    <t>Mahmood, Tariq/ABI-4816-2022; Irshad, Nausheen/JMB-8025-2023; Akrim, Faraz/C-5032-2013</t>
  </si>
  <si>
    <t>Irshad, Nausheen/0000-0002-4079-9473; Akrim, Faraz/0000-0001-9313-0637</t>
  </si>
  <si>
    <t>Higher Education Commission, Pakistan [20-1578/RD-09/2436]</t>
  </si>
  <si>
    <t>Higher Education Commission, Pakistan(Higher Education Commission of Pakistan)</t>
  </si>
  <si>
    <t>We thank the Higher Education Commission, Pakistan, for funding provided through Research Project No. 20-1578/R&amp;D-09/2436.</t>
  </si>
  <si>
    <t>10.1017/S0030605317000023</t>
  </si>
  <si>
    <t>HF5WD</t>
  </si>
  <si>
    <t>WOS:000454304000023</t>
  </si>
  <si>
    <t>Coristine, LE; Soroye, P; Soares, RN; Robillard, C; Kerr, JT</t>
  </si>
  <si>
    <t>Coristine, Laura E.; Soroye, Peter; Soares, Rosana Nobre; Robillard, Cassandra; Kerr, Jeremy T.</t>
  </si>
  <si>
    <t>NATURAL AREAS JOURNAL</t>
  </si>
  <si>
    <t>butterflies; climate change; connectivity; ecological services; host plant interactions</t>
  </si>
  <si>
    <t>6TH MASS EXTINCTION; SPECIES RESPONSES; GLOBAL CHANGE; BIODIVERSITY CONSERVATION; RANGE SHIFTS; HABITAT; TEMPERATURE; DECLINES; THERMOREGULATION; POLLINATION</t>
  </si>
  <si>
    <t>Pollinators, such as butterflies, contribute to vital ecosystem services, but are susceptible to changing thermal regimes associated with recent climate change. While butterflies are responding to climate changes in many ways, they are not keeping pace. Rapid climate changes are leading to an accumulation of climate debts (or loss of climatic habitat) at continental scales. Climate change mediated shifts in distribution depend on many factors, but particularly on species-specific dispersal abilities and availability of larval host plants. We measured geographical variation in mobility for butterfly species across North America relative to their conservation status and the intensity of human land use. We identified areas where the rate and variability of recent climatic changes have been relatively low and could be managed for pollinator conservation, potentially augmenting existing protected area networks. Using the Yellowstone to Yukon region as a case study, we outline differences between connectivity analyses that incorporate (i) human footprint, (ii) human footprint in conjunction with climate change considerations, and (iii) human footprint in conjunction with climate change considerations weighted by species mobility and richness. All three approaches yield different connectivity recommendations. Conservation management efforts to enhance climate change-related dispersal should focus on improving landscape connectivity based on species-specific mobility, richness, and climate change, as well as landscape permeability. Improving connectivity is particularly vital in areas where mobility and landscape permeability are low but species are at greatest risk of extinction. Mobility matters when considering efforts to mitigate climate change impacts on butterflies.</t>
  </si>
  <si>
    <t>[Coristine, Laura E.; Soroye, Peter; Soares, Rosana Nobre; Robillard, Cassandra; Kerr, Jeremy T.] Univ Ottawa, Dept Biol, Canadian Facil Ecoinformat Res, 30 Marie Curie Pvt, Ottawa, ON K1N 6N5, Canada</t>
  </si>
  <si>
    <t>Coristine, LE (corresponding author), Univ Ottawa, Dept Biol, Canadian Facil Ecoinformat Res, 30 Marie Curie Pvt, Ottawa, ON K1N 6N5, Canada.</t>
  </si>
  <si>
    <t>; Soroye, Peter/Y-4133-2019</t>
  </si>
  <si>
    <t>Coristine, Laura/0000-0003-2205-3392; Soroye, Peter/0000-0001-9810-3363</t>
  </si>
  <si>
    <t>NSERC Discovery Grant</t>
  </si>
  <si>
    <t>NSERC Discovery Grant(Natural Sciences and Engineering Research Council of Canada (NSERC))</t>
  </si>
  <si>
    <t>Laura Coristine dedicates her portion of this manuscript to two extraordinary individuals who understand the importance of building both community and community engagement - Helen Patterson and Bob Vandenberg. Jeremy Kerr is grateful for NSERC Discovery Grant support, funds through his University of Ottawa Research Chair in Macroecology and Conservation, and infrastructure from the Canadian Foundation for Innovation and Ontario Ministry of Research and Innovation. All data, including butterfly species mobility estimates, are available on request from the authors.</t>
  </si>
  <si>
    <t>NATURAL AREAS ASSOC</t>
  </si>
  <si>
    <t>ROCKFORD</t>
  </si>
  <si>
    <t>320 SOUTH THIRD ST, ROCKFORD, IL 61104 USA</t>
  </si>
  <si>
    <t>0885-8608</t>
  </si>
  <si>
    <t>2162-4399</t>
  </si>
  <si>
    <t>NAT AREA J</t>
  </si>
  <si>
    <t>Nat. Areas J.</t>
  </si>
  <si>
    <t>10.3375/043.036.0410</t>
  </si>
  <si>
    <t>Ecology; Forestry</t>
  </si>
  <si>
    <t>Environmental Sciences &amp; Ecology; Forestry</t>
  </si>
  <si>
    <t>DZ7NZ</t>
  </si>
  <si>
    <t>WOS:000386054300010</t>
  </si>
  <si>
    <t>Sousa, R; Vasconcelos, J; Riera, R; Delgado, J; González, JA; Freitas, M; Henriques, P</t>
  </si>
  <si>
    <t>Sousa, Ricardo; Vasconcelos, Joana; Riera, Rodrigo; Delgado, Joao; Gonzalez, Jose A.; Freitas, Mafalda; Henriques, Paulo</t>
  </si>
  <si>
    <t>MARINE ECOLOGY-AN EVOLUTIONARY PERSPECTIVE</t>
  </si>
  <si>
    <t>Atlantic Ocean; harvesting; human-induced pressure; intertidal; mollusks; Phorcus sauciatus</t>
  </si>
  <si>
    <t>PATELLA-FERRUGINEA GASTROPODA; SPATIAL-DISTRIBUTION; IMPACTS; SIZE; BIODIVERSITY; POPULATIONS; PATTERNS; MOLLUSKS; LIMPETS; ZONE</t>
  </si>
  <si>
    <t>Harvesting of intertidal grazers such as topshells is known to affect negatively the exploited populations by altering population structure and decreasing abundance. Phorcus sauciatus has a wide geographic distribution in the North-eastern Atlantic Ocean and is subject to increasing levels of harvesting pressure due to the expansion of human population on coastal areas. The effect of proximity to human settlements and coastal accessibility on the size structure and abundance of P.sauciatus populations was examined in Madeira archipelago. Mean size, proportion of reproductive individuals, and abundance of this species were generally smaller in areas closer to human settlements and in more accessible coastal areas. Marine protected areas returned the highest mean sizes evidencing their effectiveness in preserving the size structure of this species. The results highlight the necessity to regulate the harvest of P.sauciatus in Madeira archipelago, as well as the implementation of management measures aiming at the sustainable exploitation and conservation of this species, exploited in this region since the early 15th century.</t>
  </si>
  <si>
    <t>[Sousa, Ricardo; Freitas, Mafalda] ARDITI, OOM, Edificio Madeira Tecnopolo, Funchal, Portugal; [Sousa, Ricardo; Delgado, Joao] Direcao Reg Pescas, DSI, Funchal, Portugal; [Vasconcelos, Joana] Ctr Ciencias Mar &amp; Ambiente MARE, Canical, Portugal; [Vasconcelos, Joana; Riera, Rodrigo] Univ Catolica Santisima Concepcion, Fac Ciencias, Dept Ecol, Concepcion, Chile; [Vasconcelos, Joana] Secretaria Reg Educ, Funchal, Portugal; [Delgado, Joao] Ctr Interdisciplinar Invest Marinha &amp; Ambiental C, Porto, Portugal; [Gonzalez, Jose A.] Univ Las Palmas Gran Canaria, Ecol Marina Aplicada &amp; Pesquerias I UNAT, Las Palmas Gran Canaria, Spain; [Freitas, Mafalda] Estacao Biol Marinha Funchal, Cais Do Carvao, Funchal, Portugal; [Freitas, Mafalda] Ctr Ciencias Mar &amp; Ambiente MARE, Cais Do Carvao, Funchal, Portugal; [Henriques, Paulo] Univ Madeira, Funchal, Portugal</t>
  </si>
  <si>
    <t>Universidad Catolica de la Santisima Concepcion; Universidade do Porto; Universidad de Las Palmas de Gran Canaria; Universidade da Madeira</t>
  </si>
  <si>
    <t>Vasconcelos, J (corresponding author), Secretaria Educ, Funchal, Portugal.</t>
  </si>
  <si>
    <t>joana.pr.vasconcelos@madeira.gov.pt</t>
  </si>
  <si>
    <t>RIERA, ROIGO/ABH-1351-2020; Vasconcelos, Joana/KVB-9064-2024; GONZÁLEZ, JOSE/H-2187-2015; Henriques, Paulo/MAI-4125-2025; Sousa, Ricardo/AAH-4709-2019</t>
  </si>
  <si>
    <t>RIERA, ROIGO/0000-0003-1264-1625; Vasconcelos, Joana/0000-0003-3880-2554; Henriques, Paulo/0000-0001-5061-2732; Sousa, Ricardo/0000-0002-5416-6570</t>
  </si>
  <si>
    <t>UE FEDER [MARISCOMAC-MAC/2.3d/097, MACAROFOOD - MAC/2.3d/015]; Regional Government of Madeira [MARISCOMAC-MAC/2.3d/097, MACAROFOOD - MAC/2.3d/015]; FCT [UID/MAR/04292/2019, SFRH/BSAB/143056/2018]; ARDITI/OOM [ARDITI OOM/2016/010 (M1420-01-0145-FEDER-000001-Observatorio Oceanico da Madeira-OOM)]</t>
  </si>
  <si>
    <t>UE FEDER(European Union (EU)); Regional Government of Madeira; FCT(Fundacao para a Ciencia e a Tecnologia (FCT)); ARDITI/OOM</t>
  </si>
  <si>
    <t>UE FEDER and the Regional Government of Madeira, Grant/Award Number: MARISCOMAC-MAC/2.3d/097 and MACAROFOOD - MAC/2.3d/015; FCT, Grant/Award Number: UID/MAR/04292/2019 and SFRH/BSAB/143056/2018; ARDITI/OOM, Grant/Award Number: ARDITI OOM/2016/010 (M1420-01-0145-FEDER-000001-Observatorio Oceanico da Madeira-OOM)</t>
  </si>
  <si>
    <t>0173-9565</t>
  </si>
  <si>
    <t>1439-0485</t>
  </si>
  <si>
    <t>MAR ECOL-EVOL PERSP</t>
  </si>
  <si>
    <t>Mar. Ecol.-Evol. Persp.</t>
  </si>
  <si>
    <t>10.1111/maec.12540</t>
  </si>
  <si>
    <t>IK9YD</t>
  </si>
  <si>
    <t>WOS:000476952200002</t>
  </si>
  <si>
    <t>Rushton, SP; Lurz, PWW; Gurnell, J; Nettleton, P; Bruemmer, C; Shirley, MDF; Sainsbury, AW</t>
  </si>
  <si>
    <t>Rushton, S. P.; Lurz, P. W. W.; Gurnell, J.; Nettleton, P.; Bruemmer, C.; Shirley, M. D. F.; Sainsbury, A. W.</t>
  </si>
  <si>
    <t>Disease threats posed by alien species: the role of a poxvirus in the decline of the native red squirrel in Britain</t>
  </si>
  <si>
    <t>EPIDEMIOLOGY AND INFECTION</t>
  </si>
  <si>
    <t>GREY SQUIRRELS; SCIURUS-VULGARIS; PARAPOXVIRUS INFECTION; POPULATION-DYNAMICS; GRAY SQUIRRELS; REPLACEMENT; CAROLINENSIS; NUMBERS</t>
  </si>
  <si>
    <t>Red squirrels are declining in the United Kingdom. Competition from, and squirrel poxvirus (SQPV) disease carried by, grey squirrels are assumed to be determining the decline. We analyse the incidence of disease and changes in distribution of the two species in Cumbria, from 1993 to 2003 and compare these to the predictions of an individual-based (IB) spatially explicit disease model simulating the dynamics of both squirrel species and SQPV in the landscape. Grey squirrels increased whilst red squirrels declined over 10 years. The incidence of disease in red squirrels was related to the time since grey squirrels arrived in the landscape. Analysis of rates of decline in red squirrel populations in other areas showed that declines are 17-25 times higher in regions where SQPV is present in grey squirrel populations than in those where it is not. The IB model predicted spatial overlap of 3-4 years between the species that was also observed in the field. The model predictions matched the observed data best when contact rates and rates of infection between the two species were low. The model predicted that a grey squirrel population control of &gt; 60% effective kill was needed to stop the decline in red squirrel populations in Cumbria.</t>
  </si>
  <si>
    <t>Newcastle Univ, Ctr Life Sci Modeling, Newcastle Upon Tyne NE1 7RU, Tyne &amp; Wear, England; Queen Mary Univ London, Sch Biol Sci, London, England; Moredun Res Inst, Penicuik, Midlothian, Scotland; Zool Soc London, Inst Zool, London NW1 4RY, England; English Nat, Kendal, England</t>
  </si>
  <si>
    <t>Newcastle University - UK; University of London; Queen Mary University London; Moredun Research Institute; Zoological Society of London</t>
  </si>
  <si>
    <t>Rushton, SP (corresponding author), Newcastle Univ, Ctr Life Sci Modeling, Newcastle Upon Tyne NE1 7RU, Tyne &amp; Wear, England.</t>
  </si>
  <si>
    <t>steven.rushton@ncl.ac.uk</t>
  </si>
  <si>
    <t>; Lurz, Peter/O-5108-2019</t>
  </si>
  <si>
    <t>Shirley, Mark/0000-0002-6220-2578;</t>
  </si>
  <si>
    <t>0950-2688</t>
  </si>
  <si>
    <t>1469-4409</t>
  </si>
  <si>
    <t>EPIDEMIOL INFECT</t>
  </si>
  <si>
    <t>Epidemiol. Infect.</t>
  </si>
  <si>
    <t>10.1017/S0950268805005303</t>
  </si>
  <si>
    <t>Public, Environmental &amp; Occupational Health; Infectious Diseases</t>
  </si>
  <si>
    <t>046BK</t>
  </si>
  <si>
    <t>WOS:000237786200012</t>
  </si>
  <si>
    <t>Zafra-Calvo, N; Rodríguez, MA; Lobo, JM</t>
  </si>
  <si>
    <t>Zafra-Calvo, Noelia; Rodriguez, Miguel A.; Lobo, Jorge M. .</t>
  </si>
  <si>
    <t>Bioclimatic envelope modelling; Bioko island; Equatorial Guinea; human-biodiversity relationships; partial regressions</t>
  </si>
  <si>
    <t>SPECIES RICHNESS PATTERNS; HUMAN-POPULATION SIZE; BIOKO ISLAND; CONSERVATION CONFLICTS; EQUATORIAL-GUINEA; CONGO BASIN; BUSHMEAT; PEOPLE; DISTRIBUTIONS; FOREST</t>
  </si>
  <si>
    <t>Aim Human-related pressures are growing in species-rich regions and pose a threat to the conservation of biodiversity. Here, we use the available data for five taxonomic groups (ferns, monocotyledons, dicotyledons, birds and monkeys) to exemplify a procedure directed to discriminate the degree of conflict between human actions and biodiversity. Location Bioko island, Equatorial Guinea. Methods Using bioclimatic envelope modelling techniques devoted to produce estimations of the potential distributions, we generated geographical representations of the variation in the total number of species as well as in the number of endemic and threatened species. We then employed partial regression techniques to determine how and to what extent current environmental, habitat and human-derived variables are associated with these potential species richness values. Results Although the type of associations we looked for was sometimes difficult to discern since the same patterns could be explained by different types of variables, our results show that potential species richness values are generally positively associated with human-related factors (mainly agriculture and bushmeat hunting activities), suggesting that the localities with environmental conditions favourable to higher species richness tend to be those exploited by humans. Main conclusions We propose that the combined use of distribution models and partial regression techniques can support a better understanding of the relationship between species occurrences/preferences and human-related factors and inform future conservation initiatives, particularly in small but hyperdiverse territories, in which dispersal limitations do not play a prominent role.</t>
  </si>
  <si>
    <t>[Lobo, Jorge M. .] CSIC, Museo Nacl Ciencias Nat, Dpto Biodiversidad &amp; Biol Evolut, E-28006 Madrid, Spain; [Zafra-Calvo, Noelia; Rodriguez, Miguel A.] Univ Alcala, Dept Ecol, Fac Biol, Madrid 28871, Spain</t>
  </si>
  <si>
    <t>Consejo Superior de Investigaciones Cientificas (CSIC); CSIC - Museo Nacional de Ciencias Naturales (MNCN); Universidad de Alcala</t>
  </si>
  <si>
    <t>Lobo, JM (corresponding author), CSIC, Museo Nacl Ciencias Nat, Dpto Biodiversidad &amp; Biol Evolut, Jose Gutierrez Abascal 2, E-28006 Madrid, Spain.</t>
  </si>
  <si>
    <t>mcnj117@mncn.csic.es</t>
  </si>
  <si>
    <t>Lobo, Jorge M/E-2309-2013; Rodríguez, Miguel Á/A-3409-2011; Lobo, Jorge/E-2309-2013; Rodriguez, Miguel/A-3409-2011</t>
  </si>
  <si>
    <t>Lobo, Jorge M/0000-0002-3152-4769; Rodríguez, Miguel Á/0000-0002-4082-2995;</t>
  </si>
  <si>
    <t>Spanish Agency for Development and Cooperation (AECID); MAE/AECI; Spanish Ministry of Science and Innovation [CGL2006-03000/BOS]</t>
  </si>
  <si>
    <t>Spanish Agency for Development and Cooperation (AECID); MAE/AECI; Spanish Ministry of Science and Innovation(Spanish GovernmentMinistry of Science &amp; Innovation, Spain (MICINN))</t>
  </si>
  <si>
    <t>We thank Luis Cayuela, Mauricio Velayos and Jaime Perez del Val for their valuable suggestions and comments, and Miguel A.Olalla-Tarraga and Fabio S. de Alburquerque for technical assistance. N.Z.-C. thanks the Spanish Agency for Development and Cooperation (AECID) for its financial support through a MAE/AECI Grant. Work by M.A.R. was supported by the Spanish Ministry of Science and Innovation ( grant CGL2006-03000/BOS). An anonymous referee and Mark. Robertson provided helpful comments and suggestions for the improvement of this manuscript.</t>
  </si>
  <si>
    <t>10.1111/j.1472-4642.2010.00643.x</t>
  </si>
  <si>
    <t>559IC</t>
  </si>
  <si>
    <t>WOS:000274816300009</t>
  </si>
  <si>
    <t>Hansen, ALS; Li, A; Joly, D; Mekaru, S; Brownstein, JS</t>
  </si>
  <si>
    <t>Hansen, Amy L. Sonricker; Li, Annie; Joly, Damien; Mekaru, Sumiko; Brownstein, John S.</t>
  </si>
  <si>
    <t>INTERNATIONAL-TRADE; PATHOGENS; HEALTHMAP; ECOLOGY; MARKET</t>
  </si>
  <si>
    <t>A dearth of information obscures the true scale of the global illegal trade in wildlife. Herein, we introduce an automated web crawling surveillance system developed to monitor reports on illegally traded wildlife. A resource for enforcement officials as well as the general public, the freely available website, http://www.healthmap.org/wildlifetrade, provides a customizable visualization of worldwide reports on interceptions of illegally traded wildlife and wildlife products. From August 1, 2010 to July 31, 2011, publicly available English language illegal wildlife trade reports from official and unofficial sources were collected and categorized by location and species involved. During this interval, 858 illegal wildlife trade reports were collected from 89 countries. Countries with the highest number of reports included India (n = 146, 15.6%), the United States (n = 143, 15.3%), South Africa (n = 75, 8.0%), China (n = 41, 4.4%), and Vietnam (n = 37, 4.0%). Species reported as traded or poached included elephants (n = 107, 12.5%), rhinoceros (n = 103, 12.0%), tigers (n = 68, 7.9%), leopards (n = 54, 6.3%), and pangolins (n = 45, 5.2%). The use of unofficial data sources, such as online news sites and social networks, to collect information on international wildlife trade augments traditional approaches drawing on official reporting and presents a novel source of intelligence with which to monitor and collect news in support of enforcement against this threat to wildlife conservation worldwide.</t>
  </si>
  <si>
    <t>[Hansen, Amy L. Sonricker; Li, Annie; Mekaru, Sumiko; Brownstein, John S.] Childrens Hosp, HealthMap, Harvard Massachusetts Inst Technol, Informat Program,Div Hlth Sci &amp; Technol, Boston, MA 02115 USA; [Hansen, Amy L. Sonricker; Mekaru, Sumiko; Brownstein, John S.] Childrens Hosp Boston, Div Emergency Med, Boston, MA USA; [Hansen, Amy L. Sonricker] SUNY Albany, Sch Publ Hlth, Dept Epidemiol &amp; Biostat, Rensselaer, NY USA; [Li, Annie] City Univ Hong Kong, Dept Biol &amp; Chem, Kowloon, Hong Kong, Peoples R China; [Joly, Damien] Wildlife Conservat Soc, Wildlife Hlth Program, Nanaimo, BC, Canada; [Mekaru, Sumiko] Boston Univ, Sch Publ Hlth, Dept Epidemiol, Boston, MA USA; [Brownstein, John S.] McGill Univ, Dept Med, Montreal, PQ, Canada; [Brownstein, John S.] McGill Univ, Dept Epidemiol Biostat &amp; Occupat Hlth, Montreal, PQ, Canada; [Brownstein, John S.] Harvard Univ, Sch Med, Dept Pediat, Boston, MA 02115 USA</t>
  </si>
  <si>
    <t>Harvard University; Massachusetts Institute of Technology (MIT); Broad Institute; Harvard University Medical Affiliates; Boston Children's Hospital; Harvard University; Harvard University Medical Affiliates; Boston Children's Hospital; State University of New York (SUNY) System; University at Albany, SUNY; City University of Hong Kong; Boston University; McGill University; McGill University; Harvard University; Harvard Medical School</t>
  </si>
  <si>
    <t>Hansen, ALS (corresponding author), Childrens Hosp, HealthMap, Harvard Massachusetts Inst Technol, Informat Program,Div Hlth Sci &amp; Technol, 300 Longwood Ave, Boston, MA 02115 USA.</t>
  </si>
  <si>
    <t>amy.hansen@childrens.harvard.edu</t>
  </si>
  <si>
    <t>Brownstein, John/A-1438-2011; Mekaru, Sumiko/MIK-9029-2025</t>
  </si>
  <si>
    <t>Mekaru, Sumiko/0000-0002-9782-3833</t>
  </si>
  <si>
    <t>Google.org; National Library of Medicine [G08 LM009776, R01 LM010812]</t>
  </si>
  <si>
    <t>Google.org; National Library of Medicine(United States Department of Health &amp; Human ServicesNational Institutes of Health (NIH) - USANIH National Library of Medicine (NLM))</t>
  </si>
  <si>
    <t>Financial support for this study was provided by research grants from Google.org, the National Library of Medicine grants G08 LM009776 and R01 LM010812, and the generous support of the American people through the United States Agency for International Development (USAID) Emerging Pandemic Threats program, PREDICT project. The funders had no role in study design, data collection and analysis, decision to publish, or preparation of the manuscript.</t>
  </si>
  <si>
    <t>DEC 7</t>
  </si>
  <si>
    <t>e51156</t>
  </si>
  <si>
    <t>10.1371/journal.pone.0051156</t>
  </si>
  <si>
    <t>050OT</t>
  </si>
  <si>
    <t>WOS:000312064100072</t>
  </si>
  <si>
    <t>Genovart, M; Bécares, J; Igual, JM; Martínez-Abraín, A; Escandell, R; Sánchez, A; Rodríguez, B; Arcos, JM; Oro, D</t>
  </si>
  <si>
    <t>Genovart, Meritxell; Becares, Juan; Igual, Jose-Manuel; Martinez-Abrain, Alejandro; Escandell, Raul; Sanchez, Antonio; Rodriguez, Beneharo; Arcos, Jose M.; Oro, Daniel</t>
  </si>
  <si>
    <t>adult survival; Calonectris diomedea; capture-recapture; climatic index; demography; fisheries bycatch; Mediterranean; remote tracking; risk map</t>
  </si>
  <si>
    <t>NORTH-ATLANTIC OSCILLATION; POPULATION-DYNAMICS; ENVIRONMENTAL VARIABILITY; IONIAN SEA; BY-CATCH; FISHERIES; PATTERNS; DEMOGRAPHY; SHEARWATER; IMPACTS</t>
  </si>
  <si>
    <t>Marine megafauna, including seabirds, are critically affected by fisheries bycatch. However, bycatch risk may differ on temporal and spatial scales due to the uneven distribution and effort of fleets operating different fishing gear, and to focal species distribution and foraging behavior. Scopoli's shearwater Calonectris diomedea is a long-lived seabird that experiences high bycatch rates in longline fisheries and strong population-level impacts due to this type of anthropogenic mortality. Analyzing a long-term dataset on individual monitoring, we compared adult survival (by means of multi-event capture-recapture models) among three close predator-free Mediterranean colonies of the species. Unexpectedly for a long-lived organism, adult survival varied among colonies. We explored potential causes of this differential survival by (1) measuring egg volume as a proxy of food availability and parental condition; (2) building a specific longline bycatch risk map for the species; and (3) assessing the distribution patterns of breeding birds from the three study colonies via GPS tracking. Egg volume was very similar between colonies over time, suggesting that environmental variability related to habitat foraging suitability was not the main cause of differential survival. On the other hand, differences in foraging movements among individuals from the three colonies expose them to differential mortality risk, which likely influenced the observed differences in adult survival. The overlap of information obtained by the generation of specific bycatch risk maps, the quantification of population demographic parameters, and the foraging spatial analysis should inform managers about differential sensitivity to the anthropogenic impact at mesoscale level and guide decisions depending on the spatial configuration of local populations. The approach would apply and should be considered in any species where foraging distribution is colony-specific and mortality risk varies spatially.</t>
  </si>
  <si>
    <t>[Genovart, Meritxell; Igual, Jose-Manuel; Oro, Daniel] IMEDEA CSIC UIB, Esporles, Mallorca, Spain; [Genovart, Meritxell; Oro, Daniel] CSIC, CEAB, Acces Cala St Francesc, Girona, Catalonia, Spain; [Becares, Juan; Rodriguez, Beneharo; Arcos, Jose M.] SEO BirdLife Marine Programme, Delegacio Catalunya, Barcelona, Spain; [Martinez-Abrain, Alejandro] Univ A Coruna, Dept Biol, Grp Invest Biol Evolut, La Coruna, Spain; [Escandell, Raul] SOM, Es Castell, Menorca, Spain; [Sanchez, Antonio] Ayuntamiento Valencia, Oficina Tecn Devesa Albufera, Valencia, Spain; [Rodriguez, Beneharo] Canary Isl Ornithol &amp; Nat Hist Grp GOHNIC, Tenerife, Canary Islands, Spain</t>
  </si>
  <si>
    <t>Consejo Superior de Investigaciones Cientificas (CSIC); ATTITUS Educacao; Universitat de les Illes Balears; Consejo Superior de Investigaciones Cientificas (CSIC); CSIC - Centre d'Estudis Avancats de Blanes (CEAB); Universidade da Coruna</t>
  </si>
  <si>
    <t>Genovart, M (corresponding author), IMEDEA CSIC UIB, Esporles, Mallorca, Spain.</t>
  </si>
  <si>
    <t>xell@imedea.uib-csic.es</t>
  </si>
  <si>
    <t>Oro, Daniel/H-4208-2012; Martínez-Abraín, Alejano/G-4522-2016; Genovart, Meritxell/L-4873-2014; Igual, Jose Manuel/N-3975-2014; Arcos, José Manuel/GRJ-0631-2022</t>
  </si>
  <si>
    <t>Oro, Daniel/0000-0003-4782-3007; Rodríguez, Beneharo/0000-0002-9946-3421; Martínez-Abraín, Alejano/0000-0001-8009-4331; Genovart, Meritxell/0000-0003-2919-1288; Igual, Jose Manuel/0000-0002-8369-3150; Arcos, José Manuel/0000-0001-7486-4475</t>
  </si>
  <si>
    <t>European Union [LIFE04NAT/ES/000049, LIFE07NAT/E/000732]; Regional Government of the Balearic Islands [PD/023/2015]; Spanish Ministry of the Economy [CGL2013-42203-R]; Consell Insular de Menorca; H2020 Environment [RIA-MINOUW, H2020-634495]; European Social Fund; Universidade da Coruna; Xunta de Galicia [GRC2014/050]</t>
  </si>
  <si>
    <t>European Union(European Union (EU)); Regional Government of the Balearic Islands; Spanish Ministry of the Economy(Spanish Government); Consell Insular de Menorca; H2020 Environment(Horizon 2020); European Social Fund(European Social Fund (ESF)); Universidade da Coruna; Xunta de Galicia(Xunta de Galicia)</t>
  </si>
  <si>
    <t>European Union, Grant/Award Number: LIFE04NAT/ES/000049, LIFE07NAT/E/000732; Regional Government of the Balearic Islands, Grant/Award Number: PD/023/2015; Spanish Ministry of the Economy, Grant/Award Number: CGL2013-42203-R; Consell Insular de Menorca; H2020 Environment, Grant/Award Number: RIA-MINOUW Grant, ref. H2020-634495; European Social Fund; Universidade da Coruna and Xunta de Galicia, Grant/Award Number: GRC2014/050</t>
  </si>
  <si>
    <t>10.1111/gcb.13997</t>
  </si>
  <si>
    <t>WOS:000425396700034</t>
  </si>
  <si>
    <t>Kraus, F; Medeiros, A; Preston, D; Jarnevich, CS; Rodda, GH</t>
  </si>
  <si>
    <t>Kraus, Fred; Medeiros, Arthur; Preston, David; Jarnevich, Catherine S.; Rodda, Gordon H.</t>
  </si>
  <si>
    <t>Dry forest; Homoptera; Iguanans; Insect conservation; Invasive reptiles</t>
  </si>
  <si>
    <t>COMMON CHAMELEON; ECOLOGY; HISTORY</t>
  </si>
  <si>
    <t>We summarize information on current distribution of the invasive lizard Chamaeleo jacksonii and predict its potential distribution in the Hawaiian Islands. Potential distribution maps are based on climate models developed from known localities in its native range and its Hawaiian range. We also present results of analysis of stomach contents of a sample of 34 chameleons collected from native, predominantly dryland, forest on Maui. These data are the first summarizing prey range of this non-native species in an invaded native-forest setting. Potential distribution models predict that the species can occur throughout most of Hawaii from sea level to &gt; 2,100 m elevation. Important features of this data set are that approximately one-third of the diet of these lizards is native insects, and the lizards are consuming large numbers of arthropods each day. Prey sizes span virtually the entire gamut of native Hawaiian arthropod diversity, thereby placing a large number of native species at risk of predation. Our dietary results contrast with expectations for most iguanian lizards and support suggestions that chameleons comprise a third distinct foraging-mode category among saurians. The combination of expanding distribution, large potential range size, broad diet, high predation rates, and high densities of these chameleons imply that they may well become a serious threat to some of the Hawaiian fauna.</t>
  </si>
  <si>
    <t>[Medeiros, Arthur] US Geol Survey, Pacific Isl Ecosyst Res Ctr, Haleakala Field Stn, Makawao, HI 96768 USA; [Kraus, Fred; Preston, David] Bernice P Bishop Museum, Hawaii Biol Survey, Honolulu, HI 96817 USA; [Jarnevich, Catherine S.; Rodda, Gordon H.] US Geol Survey, Ft Collins Sci Ctr, Ft Collins, CO 80526 USA</t>
  </si>
  <si>
    <t>United States Department of the Interior; United States Geological Survey; United States Department of the Interior; United States Geological Survey</t>
  </si>
  <si>
    <t>Medeiros, A (corresponding author), US Geol Survey, Pacific Isl Ecosyst Res Ctr, Haleakala Field Stn, POB 369, Makawao, HI 96768 USA.</t>
  </si>
  <si>
    <t>acm@aloha.net</t>
  </si>
  <si>
    <t>Rodda, Gordon/PCR-6488-2025</t>
  </si>
  <si>
    <t>U.S. Geological Survey Ecosystems and Invasive Species Program</t>
  </si>
  <si>
    <t>We thank M. Ade, S. Akoi, K. Bustamente, F. Duvall, R. Suzuki, and the Maui Invasive Species Committee for assistance in collecting chameleons, F. Howarth and A. Samuelson for identification of some dietary items; S. Hashimoto and T. Lopez for specimen preparation; P. Imada and C. Kishinami for curatorial services; F. Duvall for sharing his chameleon census data, crucial assistance with curation and transport of specimens, and for sharing his extensive field expertise; P. Necas for confirming elevational range data; N. Camacho, T. Hibbitts, K. Krysko, S. Rogers, G. Watkins-Colwell, and K. Zyskowski for museum specimen data; C. Atkinson, C. Brosius, K. Bustamente, A. Kitajima, K. Minami, J. Parish, L. Pratt, M. Smith, and M. Waite for additional records of unvouchered animals; P. Banko and E. Campbell for manuscript review; and G. Tribble and the Pacific Island Ecosystems Research Center of the U.S. Geological Survey and S. Ziegler-Chong and the Hawaii Cooperative Studies Unit of the University of Hawaii at Hilo for logistical support. This contribution was made possible in part thanks to support from the U.S. Geological Survey Ecosystems and Invasive Species Program. Any use of trade, product, or firm names is for descriptive purposes only and does not imply endorsement by the U.S. Government.</t>
  </si>
  <si>
    <t>10.1007/s10530-011-0099-3</t>
  </si>
  <si>
    <t>907UT</t>
  </si>
  <si>
    <t>WOS:000301445100009</t>
  </si>
  <si>
    <t>Reina-Rodríguez, GA; Soriano, I</t>
  </si>
  <si>
    <t>Reina-Rodríguez, G. A.; Soriano, I.</t>
  </si>
  <si>
    <t>conservation; fragmentation; GIS; littoral vegetation; Mediterranean basin; urban growth</t>
  </si>
  <si>
    <t>During the last 50 years, the Spanish Mediterranean coast has experienced a massive influx of tourism that has affected the ecosystems adjacent to the coastline, triggering processes of regression and fragmentation. The changes between 1956 and 1996 are characterized and quantified here in a part of the coast next to Torredembarra (NE Spain) that occupies 470 ha. For this zone, maps of vegetation for 1956, 1985, and 1996 were prepared with a common legend of 14 units. A numerical matrix was generated with the Geographic Information System to detect-the spatial-temporal variations between units; furthermore, several landscape indicators and parameters were assessed. All of them show evidence of the accelerated substitution of an agricultural landscape and extensive areas of coastal vegetation by an urban landscape: agricultural land diminished by 64.3% and coastal vegetation by 55.3%, whereas urban areas increased by 2326.5%. If present conditions persist, in the next 30 years urban areas will occupy 87% to 100% of the territory. We also emphasize the importance of a reserve zone (natural area of interest) of 45 ha in the conservation of some coastal natural habitats listed in directive 92/43/EC. At present, this reserve creates a buffer effect that restrains the regression of these habitats and shows in addition a spatial continuity lacking in unprotected sectors. We also warn of the risk of disappearance of unprotected natural habitats in the short term due to urban growth and summer tourism.</t>
  </si>
  <si>
    <t>[Reina-Rodríguez, G. A.] Univ Barcelona, Grp Geobot &amp; Cartograf Vegetac, E-08028 Barcelona, Spain; [Reina-Rodríguez, G. A.] Univ Valle, Dept Bot, Cali 2536, Colombia</t>
  </si>
  <si>
    <t>University of Barcelona; Universidad del Valle</t>
  </si>
  <si>
    <t>Reina-Rodríguez, GA (corresponding author), Univ Barcelona, Grp Geobot &amp; Cartograf Vegetac, Diagonal 645, E-08028 Barcelona, Spain.</t>
  </si>
  <si>
    <t>guireina@hotmail.com</t>
  </si>
  <si>
    <t>Soriano, Ignasi/AAD-1676-2019</t>
  </si>
  <si>
    <t>Soriano, Ignasi/0000-0003-3875-7511</t>
  </si>
  <si>
    <t>COCONUT CREEK</t>
  </si>
  <si>
    <t>5130 NW 54TH STREET, COCONUT CREEK, FL 33073 USA</t>
  </si>
  <si>
    <t>1A</t>
  </si>
  <si>
    <t>10.2112/04-0418.1</t>
  </si>
  <si>
    <t>256AW</t>
  </si>
  <si>
    <t>WOS:000252701100010</t>
  </si>
  <si>
    <t>Pasher, J; Seed, E; Duffe, J</t>
  </si>
  <si>
    <t>Pasher, Jon; Seed, Evan; Duffe, Jason</t>
  </si>
  <si>
    <t>CANADIAN JOURNAL OF REMOTE SENSING</t>
  </si>
  <si>
    <t>FOREST; FRAGMENTATION; BIODIVERSITY; INVENTORY; CLIMATE; CARIBOU</t>
  </si>
  <si>
    <t>The generation of geospatial thematic information for managing and monitoring Canada's boreal ecosystem is essential for researchers, land managers, and policy makers. Canada's boreal region is a vast mosaic of forests, wetlands, rivers, and lakes, but anthropogenic disturbances have impacted these ecosystems resulting in habitat loss, fragmentation, and threats to biodiversity. Across Canada various geospatial datasets representing anthropogenic disturbance exist for timber harvesting, hydro-electric activity, settlement, and oil and gas activities; however, these products often vary in scale, attributes, time period, and mapping technique. Driven by the need for national data as part of the 2011 boreal caribou science assessment, a standardized methodology was developed and implemented to create a single geospatial dataset representing anthropogenic disturbances across a significant portion of Canada's boreal ecosystem. The boreal ecosystem anthropogenic disturbances data are a vector disturbance dataset of individual linear and polygonal disturbance types that were manually collected through the interpretation of 2008 -2010 Landsat imagery at a 1:50 000 viewing scale. Summary results identified a total polygonal anthropogenic disturbance footprint of approximately 24 million ha with forest cutblocks accounting for more than 60% of mapped polygonal disturbance. Linear disturbance features across the boreal total approximately 600 000 km with roads and seismic exploration lines contributing to more than 80% of the mapped linear disturbances.</t>
  </si>
  <si>
    <t>Canadian Wildlife Serv, Natl Wildlife Res Ctr, Ottawa, ON K1A 0H3, Canada</t>
  </si>
  <si>
    <t>Environment &amp; Climate Change Canada; Canadian Wildlife Service; National Wildlife Research Centre - Canada</t>
  </si>
  <si>
    <t>Pasher, J (corresponding author), Canadian Wildlife Serv, Natl Wildlife Res Ctr, 1125 Colonel Dr, Ottawa, ON K1A 0H3, Canada.</t>
  </si>
  <si>
    <t>jon.pasher@ec.gc.ca</t>
  </si>
  <si>
    <t>Environment Canada</t>
  </si>
  <si>
    <t>Environment Canada(CGIAR)</t>
  </si>
  <si>
    <t>This work would not have been possible without the original methods and mapping undertaken by Peter Lee and his staff at Global Forest Watch Canada. Many thanks to Chris Patterson (ESRI), for his help in the development of the methods used for this work and to Tom Giles for helping with processing and analysis. Rebecca Barker, Bhavana Chaudhary, Mike Koury, Jeannine Paquette, Valerie Torontow, and Huili Wang - your tireless efforts for data collection was obviously invaluable to the completion of this project as well as the boreal caribou 2011 science assessment work. Guidance and funding was provided mainly through Environment Canada's boreal caribou recovery strategy and 2011 science assessment process. Many thanks to the boreal caribou science advisors for their review and feedback of the mapping process, especially Dr. Cheryl Johnson and Christian Malouin (CFS) for their ideas and guidance.</t>
  </si>
  <si>
    <t>CANADIAN AERONAUTICS SPACE INST</t>
  </si>
  <si>
    <t>KANATA</t>
  </si>
  <si>
    <t>350 TERRY FOX DR, STE 104, KANATA, ON K2K 2W5, CANADA</t>
  </si>
  <si>
    <t>1712-7971</t>
  </si>
  <si>
    <t>CAN J REMOTE SENS</t>
  </si>
  <si>
    <t>Can. J. Remote Sens.</t>
  </si>
  <si>
    <t>10.5589/m13-007</t>
  </si>
  <si>
    <t>271DR</t>
  </si>
  <si>
    <t>WOS:000328371900005</t>
  </si>
  <si>
    <t>Walston, LJ; Hartmann, HM</t>
  </si>
  <si>
    <t>Walston, Leroy J.; Hartmann, Heidi M.</t>
  </si>
  <si>
    <t>HUMAN FOOTPRINT; ECOLOGICAL INTEGRITY; BIODIVERSITY; ELK</t>
  </si>
  <si>
    <t>Land managers increasingly rely upon landscape assessments to understand the status of natural resources and identify conservation priorities. Many of these landscape planning efforts rely on geospatial models that characterize the ecological integrity of the landscape. These general models utilize measures of habitat disturbance and human activity to map indices of ecological integrity. We built upon these modeling frameworks by developing a Landscape Integrity Index (LII) model using geospatial datasets of the human footprint, as well as incorporation of other indicators of ecological integrity such as biodiversity and vegetation departure. Our LII model serves as a general indicator of ecological integrity in a regional context of human activity, biodiversity, and change in habitat composition. We also discuss the application of the LII framework in two related coarse-filter landscape conservation approaches to expand the size and connectedness of protected areas as regional mitigation for anticipated land-use changes.</t>
  </si>
  <si>
    <t>[Walston, Leroy J.; Hartmann, Heidi M.] Argonne Natl Lab, Environm Sci Div, Lemont, IL 60439 USA</t>
  </si>
  <si>
    <t>United States Department of Energy (DOE); Argonne National Laboratory</t>
  </si>
  <si>
    <t>Walston, LJ (corresponding author), Argonne Natl Lab, Environm Sci Div, Lemont, IL 60439 USA.</t>
  </si>
  <si>
    <t>lwalston@anl.gov</t>
  </si>
  <si>
    <t>Walston, Leroy/LLK-4008-2024; Hartmann, Heidi/AAT-6481-2021</t>
  </si>
  <si>
    <t>Walston, Leroy/0000-0002-6569-1223;</t>
  </si>
  <si>
    <t>U.S. Department of the Interior, Bureau of Land Management</t>
  </si>
  <si>
    <t>Funding was provided by the U.S. Department of the Interior, Bureau of Land Management.</t>
  </si>
  <si>
    <t>e0195115</t>
  </si>
  <si>
    <t>10.1371/journal.pone.0195115</t>
  </si>
  <si>
    <t>GB5DC</t>
  </si>
  <si>
    <t>WOS:000429081600033</t>
  </si>
  <si>
    <t>Overmars, KP; Schulp, CJE; Alkemade, R; Verburg, PH; Temme, AJAM; Omtzigt, N; Schaminée, JHJ</t>
  </si>
  <si>
    <t>Overmars, Koen P.; Schulp, Catharina J. E.; Alkemade, Rob; Verburg, Peter H.; Temme, Arnaud J. A. M.; Omtzigt, Nancy; Schaminee, Joop H. J.</t>
  </si>
  <si>
    <t>Biodiversity indicator; European Union; Common Agricultural Policy; Agriculture; Land-use intensity; Species richness</t>
  </si>
  <si>
    <t>INTENSIFICATION; INTENSITY; EUROPE; DIVERSITY; NITROGEN; IMPACTS; POLICY; CONSEQUENCES; ABANDONMENT; LANDSCAPES</t>
  </si>
  <si>
    <t>In Europe agricultural areas are of great importance to biodiversity conservation. One of the aims of the Common Agricultural Policy (CAP) after 2013 is to avoid additional loss of agriculture-related biodiversity. Farmland biodiversity is a public good that provides ecosystem services necessary for the sustainability of agriculture itself as well as for a sustainable environment as a whole. To evaluate policies such as the CAP and to monitor the development of biodiversity in agricultural areas, specifically designed indicators are needed. Current EU-level indicators of agricultural biodiversity are often limited to a specific species group, for example the group of farmland birds, and are not designed for evaluation of future policies. This study presents a methodology for a new indicator that is targeted specifically at biodiversity in agricultural areas, considering a large variety of species and focussing on policy. The methodology combines maps of the potential occurrence of 132 relevant species (plants and vertebrates) on a 50 km grid, with detailed information (1 km grid) on the influence of environmental pressures on these species. A first indicator map on a 1 km grid for the EU is provided, based on available data. This map shows great variety in the state of the biodiversity of agricultural areas in the EU. Generally speaking, biodiversity in agricultural areas in the south and east of the EU is in a better state than in the west and north. However, spatial variability is high between and even within regions. The presented indicator may be used to explore the dynamics of biodiversity following policy interventions, using the biodiversity map or by modelling the effect of policies on the environmental pressures that form the basis of the indicator. (C) 2012 Elsevier Ltd. All rights reserved.</t>
  </si>
  <si>
    <t>[Overmars, Koen P.; Schulp, Catharina J. E.; Alkemade, Rob] PBL Netherlands Environm Assessment Agcy, NL-2500 GH The Hague, Netherlands; [Schulp, Catharina J. E.; Verburg, Peter H.; Omtzigt, Nancy] Vrije Univ Amsterdam, Amsterdam Global Change Inst, Inst Environm Studies, NL-1081 HV Amsterdam, Netherlands; [Temme, Arnaud J. A. M.] Wageningen Univ, Environm Sci Grp, Chair Grp Land Dynam, NL-6708 PB Wageningen, Netherlands; [Schaminee, Joop H. J.] Alterra Wageningen Univ &amp; Res, Environm Sci Grp, NL-6700 AA Wageningen, Netherlands; [Schaminee, Joop H. J.] Radboud Univ Nijmegen, Inst Water &amp; Wetland Res, NL-6500 GL Nijmegen, Netherlands</t>
  </si>
  <si>
    <t>Vrije Universiteit Amsterdam; Wageningen University &amp; Research; Wageningen University &amp; Research; Radboud University Nijmegen</t>
  </si>
  <si>
    <t>Overmars, KP (corresponding author), Koen Overmars Consultancy, Jansveld 35A, NL-3512 BE Utrecht, Netherlands.</t>
  </si>
  <si>
    <t>koen@koenovermars.nl</t>
  </si>
  <si>
    <t>Temme, Arnaud/KUG-3223-2024; Temme, Arnaud/KUG-3223-2024; Schaminee, Joop/L-7701-2013; Verburg, Peter/Z-1582-2019; Schulp, Nynke/G-1451-2013; Alkemade, Rob/U-3663-2017</t>
  </si>
  <si>
    <t>Temme, Arnaud/0000-0002-6638-0742; Temme, Arnaud/0000-0001-8186-8132; Verburg, Peter/0000-0002-6977-7104; Schulp, Nynke/0000-0002-5068-8566; Alkemade, Rob/0000-0001-8761-1768</t>
  </si>
  <si>
    <t>10.1016/j.ecolind.2012.11.006</t>
  </si>
  <si>
    <t>285HT</t>
  </si>
  <si>
    <t>WOS:000329385300020</t>
  </si>
  <si>
    <t>Morrison, J; Higginbottom, TP; Symeonakis, E; Jones, MJ; Omengo, F; Walker, SL; Cain, B</t>
  </si>
  <si>
    <t>Morrison, Jacqueline; Higginbottom, Thomas P.; Symeonakis, Elias; Jones, Martin J.; Omengo, Fred; Walker, Susan L.; Cain, Bradley</t>
  </si>
  <si>
    <t>Detecting Vegetation Change in Response to Confining Elephants in Forests Using MODIS Time-Series and BFAST</t>
  </si>
  <si>
    <t>time series analysis; BFAST; montane forests; change detection; degradation; MODIS; fencing; elephant</t>
  </si>
  <si>
    <t>EASTERN CAPE; LAND-USE; DISTURBANCE; CLIMATE; COVER; TRENDS; NDVI; EVI; BIODIVERSITY; VARIABILITY</t>
  </si>
  <si>
    <t>Afromontane forests are biodiversity hotspots and provide essential ecosystem services. However, they are under pressure as a result of an expanding human population and the impact of climate change. In many instances electric fencing has become a necessary management strategy to protect forest integrity and reduce human-wildlife conflict. The impact of confining hitherto migratory elephant populations within forests remains unknown, and monitoring largely inaccessible areas is challenging. We explore the application of remote sensing to monitor the impact of confinement, employing the Breaks For Additive Season and Trend (BFAST) time-series decomposition method over a 15-year period on Moderate Resolution Imaging Spectroradiometer (MODIS) Enhanced Vegetation Index (EVI) (MOD13Q1) datasets for two Kenyan forests. Results indicated that BFAST was able to identify disturbances from anthropogenic, fire and elephant damage. Sequential monitoring enabled the detection of gradual changes in the forest canopy, with degradation and regeneration being observed in both sites. Annual rates of forest loss in both areas were significantly lower than reported in other studies on Afromontane forests, suggesting that installing fences has reduced land-use conversion from human-related disturbances. Negative changes in EVI were predominantly gradual degradation rather than large-scale, abrupt clearings of the forest. Results presented here demonstrate that BFAST can be used to monitor biotic and abiotic drivers of change in Afromontane forests.</t>
  </si>
  <si>
    <t>[Morrison, Jacqueline; Higginbottom, Thomas P.; Symeonakis, Elias; Jones, Martin J.; Cain, Bradley] Manchester Metropolitan Univ, Sch Sci &amp; Engn, Chester St, Manchester M1 5GD, Lancs, England; [Morrison, Jacqueline; Walker, Susan L.] Chester Zoo, Cedar House,Caughall Rd, Chester CH2 1LH, Cheshire, England; [Omengo, Fred] Kenya Wildlife Serv, POB 40241-00100, Nairobi 00100, Kenya</t>
  </si>
  <si>
    <t>Manchester Metropolitan University</t>
  </si>
  <si>
    <t>Symeonakis, E (corresponding author), Manchester Metropolitan Univ, Sch Sci &amp; Engn, Chester St, Manchester M1 5GD, Lancs, England.</t>
  </si>
  <si>
    <t>jacqueline.a.morrison@mmu.ac.uk; t.higginbottom@mmu.ac.uk; e.symeonakis@mmu.ac.uk; m.jones@mmu.ac.uk; fomengo@kws.go.ke; s.walker@chesterzoo.org; b.cain@mmu.ac.uk</t>
  </si>
  <si>
    <t>Cain, Bradley/HZL-4984-2023; Symeonakis, Elias/R-1897-2017</t>
  </si>
  <si>
    <t>Cain, Bradley/0000-0002-5656-4433; Higginbottom, Thomas/0000-0003-1150-1444; Jones, Martin/0000-0002-2510-8697; Walker, Susan/0000-0003-3187-5195; Symeonakis, Elias/0000-0003-1724-2869</t>
  </si>
  <si>
    <t>Manchester Metropolitan University; Chester Zoo; EU FP7 Marie Curie Career Integration project LanDDApp [PCIG12-GA-2012-3374327]</t>
  </si>
  <si>
    <t>Manchester Metropolitan University; Chester Zoo; EU FP7 Marie Curie Career Integration project LanDDApp(European Union (EU))</t>
  </si>
  <si>
    <t>This research was funded by Manchester Metropolitan University and Chester Zoo forming part of a Ph.D. study. The APC was funded by Manchester Metropolitan University. ES was funded by the EU FP7 Marie Curie Career Integration project LanDDApp (PCIG12-GA-2012-3374327).</t>
  </si>
  <si>
    <t>10.3390/rs10071075</t>
  </si>
  <si>
    <t>GO8IV</t>
  </si>
  <si>
    <t>WOS:000440332500098</t>
  </si>
  <si>
    <t>Wu, JG</t>
  </si>
  <si>
    <t>Wu, Jianguo</t>
  </si>
  <si>
    <t>Detecting and Attributing the Effects of Climate Change on the Distributions of Snake Species Over the Past 50 Years</t>
  </si>
  <si>
    <t>Attribution; Biodiversity; Climate change; Distribution; Detection; Snake</t>
  </si>
  <si>
    <t>FOOD-WEB STRUCTURE; IMPACTS; RANGE; CONSERVATION; RESPONSES; PROVINCE</t>
  </si>
  <si>
    <t>It is unclear whether the distributions of snakes have changed in association with climate change over the past years. We detected the distribution changes of snakes over the past 50 years and determined whether the changes could be attributed to recent climate change in China. Long-term records of the distribution of nine snake species in China, grey relationship analysis, fuzzy sets classification techniques, the consistency index, and attributed methods were used. Over the past 50 years, the distributions of snake species have changed in multiple directions, primarily shifting northwards, and most of the changes were related to the thermal index. Driven by climatic factors over the past 50 years, the distribution boundary and distribution centers of some species changed with the fluctuations. The observed and predicted changes in distribution were highly consistent for some snake species. The changes in the northern limits of distributions of nearly half of the species, as well as the southern and eastern limits, and the distribution centers of some snake species can be attributed to climate change.</t>
  </si>
  <si>
    <t>[Wu, Jianguo] Chinese Res Inst Environm Sci, Ctr Climate Change, Beijing 100012, Peoples R China</t>
  </si>
  <si>
    <t>Chinese Research Academy of Environmental Sciences</t>
  </si>
  <si>
    <t>Wu, JG (corresponding author), Chinese Res Inst Environm Sci, Ctr Climate Change, 8 Da Yang Fang, Beijing 100012, Peoples R China.</t>
  </si>
  <si>
    <t>wujg9298@aliyun.com</t>
  </si>
  <si>
    <t>National Science and Technology Support Program of China-The Risk and Impacted of Climate Change on Biodiversity in China [2012BAC19B06]</t>
  </si>
  <si>
    <t>National Science and Technology Support Program of China-The Risk and Impacted of Climate Change on Biodiversity in China</t>
  </si>
  <si>
    <t>The work described in this paper was substantially supported by a project of the National Science and Technology Support Program of China-The Risk and Impacted of Climate Change on Biodiversity in China (2012BAC19B06).'' We would like to thank those who provided a helpful discussion of the ideas presented in this paper. Instructive comments from two anonymous reviewers greatly improved this manuscript. Many thanks are given to Pr. Shaohong Wu, Dr Tao Pan, and Dr Jie Pan for providing climate dates and to Dr. Qiaofu Zhou for ArcGIS mapping.</t>
  </si>
  <si>
    <t>10.1007/s00267-015-0600-3</t>
  </si>
  <si>
    <t>DA6MC</t>
  </si>
  <si>
    <t>WOS:000367917900015</t>
  </si>
  <si>
    <t>Foo, YS; Numata, S</t>
  </si>
  <si>
    <t>Foo, Yen Sin; Numata, Shinya</t>
  </si>
  <si>
    <t>TROPICS</t>
  </si>
  <si>
    <t>biodiversity conservation; buffer zone; land use and land cover change; protected area; remote sensing; tropical rainforest</t>
  </si>
  <si>
    <t>LAND-COVER CHANGE; PROTECTED AREAS; BIODIVERSITY; EXPANSION; DYNAMICS; PRIMATES; PATTERN</t>
  </si>
  <si>
    <t>Protected areas (PAs) are crucial for conserving biodiversity, but there is controversy over whether they effectively reduce deforestation because, for many of the PAs evaluated to date, pressure from deforestation occurred both inside the PAs and in the areas surroundings them. This is especially the case for tropical PAs in Southeast Asia. We examined the impact of a protected area on tropical rainforests inside and surrounding Endau-Rompin National Park (ERNP) in southern Peninsular Malaysia by mapping and analyzing forest cover changes and fragmentation between 1992 and 2016. The results showed that the forests inside ERNP were well protected, but greater forest loss and fragmentation were found surrounding ERNP, especially beyond the 10-km buffer zone of the park, due to large-scale agricultural land conversion, particularly for oil palm plantation. The deforestation rate in areas surrounding PAs in the region increased from 250 ha yr(-1) during 1992-2007 to 1,700 ha yr(-1) during 2012-2016. In the buffer zone (BZ), the deforestation rate was extremely high during 2007-2012 at 1,800 ha yr(-1), but decreased to 440 ha yr(-1)' during 2012 2016. This suggests that in this region, PAs might be ineffective against deforestation in their surrounding areas. Continual deforestation and fragmentation are expected to occur surrounding ERNP, threatening its protected boundary. These activities may reduce the effectiveness of ERNP for wildlife habitat conservation.</t>
  </si>
  <si>
    <t>[Foo, Yen Sin; Numata, Shinya] Tokyo Metropolitan Univ, Dept Tourism Sci, Hachioji, Tokyo, Japan</t>
  </si>
  <si>
    <t>Tokyo Metropolitan University</t>
  </si>
  <si>
    <t>Foo, YS (corresponding author), Tokyo Metropolitan Univ, Dept Tourism Sci, Hachioji, Tokyo, Japan.</t>
  </si>
  <si>
    <t>yensin88@gmail.com</t>
  </si>
  <si>
    <t>Numata, Shinya/A-8251-2008</t>
  </si>
  <si>
    <t>Tokyo Human Resources Fund for City Diplomacy from the Tokyo Metropolitan Government</t>
  </si>
  <si>
    <t>Gratefully acknowledge the scholarship received, Tokyo Human Resources Fund for City Diplomacy from the Tokyo Metropolitan Government. As a part of wildlife tourism study, this study was conducted under the permission of Johor National Parks Corporation. This study was part of a joint research project between Universiti Teknologi Malaysia (UTM) and Tokyo Metropolitan University (TMU). Sincere appreciation to Geoscience and Digital Earth Centre (INSTeG), Universiti Teknologi Malaysia for their kind supports to our fieldwork.</t>
  </si>
  <si>
    <t>JAPAN SOC TROPICAL ECOLOGY</t>
  </si>
  <si>
    <t>SAPPORO</t>
  </si>
  <si>
    <t>C/O DR.T. IWAKUMA, GRADUATE SCHOOL ENV EARTH SCIENCE, HOKKAIDO UNIV, SAPPORO, JAPAN</t>
  </si>
  <si>
    <t>0917-415X</t>
  </si>
  <si>
    <t>1882-5729</t>
  </si>
  <si>
    <t>10.3759/tropics.MS18-16</t>
  </si>
  <si>
    <t>IV5ED</t>
  </si>
  <si>
    <t>WOS:000484293100001</t>
  </si>
  <si>
    <t>Valliere, JM; Bucciarelli, GM; Bytnerowicz, A; Fenn, ME; Irvine, IC; Johnson, RF; Allen, EB</t>
  </si>
  <si>
    <t>Valliere, Justin M.; Bucciarelli, Gary M.; Bytnerowicz, Andrzej; Fenn, Mark E.; Irvine, Irina C.; Johnson, Robert F.; Allen, Edith B.</t>
  </si>
  <si>
    <t>atmospheric pollution; coastal sage scrub; Mediterranean-type ecosystems; nitrogen deposition; plant richness; shrublands</t>
  </si>
  <si>
    <t>SOUTHERN CALIFORNIA; INORGANIC NITROGEN; RANDOM FORESTS; DIVERSITY; CLASSIFICATION; ENRICHMENT; MINERALIZATION; SUCCESSION; LITTER; TRENDS</t>
  </si>
  <si>
    <t>Anthropogenic nitrogen (N) deposition is known to reduce plant diversity in ecosystems worldwide; however, effects on the diversity of Mediterranean-type ecosystems-global hotspots of biodiversity-are relatively unexplored. In California, elevated N deposition due to air pollution has a multitude of ecological effects including the facilitation of nonnative plant invasion and altered ecosystem functioning, but impacts on plant richness have been inadequately quantified. We addressed this research gap by evaluating patterns of plant richness in coastal sage scrub (CSS), a severely threatened, highly diverse Mediterranean-type shrubland, across the Santa Monica Mountains National Recreation Area. This is the largest urban national park in the United States and experiences a strong gradient of N deposition due to its proximity to urban Los Angeles. We measured soil N, plant cover, and richness at 30 CSS sites across this gradient and used regression analyses to explore relationships between richness, N deposition, and other environmental variables. We observed significant declines in plant richness across a steep gradient of soil N availability that paralleled patterns of N deposition, primarily due to decreases in native forb species. Our analyses identified soil N as the best predictor of patterns of native forb richness, but other factors, including nonnative plant cover and aridity, may also drive reduced richness. In addition to the marked decline in the number of native forb species, increasing N deposition was also associated with lower native shrub richness per area and increased cover of nonnatives. These results highlight the threat posed by N deposition to the conservation of this already imperiled ecosystem under continued environmental change.</t>
  </si>
  <si>
    <t>[Valliere, Justin M.; Allen, Edith B.] Univ Calif Riverside, Dept Bot &amp; Plant Sci, Riverside, CA 92521 USA; [Bucciarelli, Gary M.] Univ Calif Los Angeles, Dept Ecol &amp; Evolutionary Biol, Los Angeles, CA 90095 USA; [Bytnerowicz, Andrzej; Fenn, Mark E.] US Forest Serv, Pacific Southwest Res Stn, Riverside, CA 92507 USA; [Irvine, Irina C.] Natl Pk Serv, Santa Monica Mt Natl Recreat Area, Thousand Oaks, CA 91360 USA; [Johnson, Robert F.; Allen, Edith B.] Univ Calif Riverside, Ctr Conservat Biol, Riverside, CA 92521 USA</t>
  </si>
  <si>
    <t>University of California System; University of California Riverside; University of California System; University of California Los Angeles; United States Department of Agriculture (USDA); United States Forest Service; United States Department of the Interior; US National Park Service; University of California System; University of California Riverside</t>
  </si>
  <si>
    <t>Valliere, JM (corresponding author), Univ Calif Riverside, Dept Bot &amp; Plant Sci, Riverside, CA 92521 USA.</t>
  </si>
  <si>
    <t>justin.valliere@uwa.edu.au</t>
  </si>
  <si>
    <t>Bucciarelli, Gary/0000-0003-3345-1361</t>
  </si>
  <si>
    <t>National Park Service Air Resources Division [J8C07110022]; Santa Monica Mountains Fund</t>
  </si>
  <si>
    <t>National Park Service Air Resources Division; Santa Monica Mountains Fund</t>
  </si>
  <si>
    <t>We are extremely grateful to the staff of the Santa Monica Mountains NRA and California State Parks for their support and received funding from the National Park Service Air Resources Division (Task Agreement No. J8C07110022) and the Santa Monica Mountains Fund.</t>
  </si>
  <si>
    <t>10.1002/ecs2.3032</t>
  </si>
  <si>
    <t>LO9BY</t>
  </si>
  <si>
    <t>WOS:000533920800019</t>
  </si>
  <si>
    <t>Carvajal-Quintero, JD; Januchowski-Hartley, SR; Maldonado-Ocampo, JA; Jézéquel, C; Delgado, J; Tedesco, PA</t>
  </si>
  <si>
    <t>Carvajal-Quintero, Juan D.; Januchowski-Hartley, Stephanie R.; Maldonado-Ocampo, Javier A.; Jezequel, Celine; Delgado, Juliana; Tedesco, Pablo A.</t>
  </si>
  <si>
    <t>Conservation biogeography; freshwater fishes; geographic range; indicators; macroecology; species' vulnerability; tropics</t>
  </si>
  <si>
    <t>FRESH-WATER FISHES; BIODIVERSITY; HYDROPOWER; DYNAMICS; DAMS; FOOD</t>
  </si>
  <si>
    <t>Tropical rivers are experiencing an unprecedented boom in dam construction. Despite rapid dam expansion, knowledge about the ecology of tropical rivers and the implications of existing and planned dams on freshwater-dependent species remains limited. Here, we evaluate fragmentation of fish species' ranges, considering current and planned dams of the Magdalena River basin, Colombia. We quantify the relationship between species' range and body sizes and use a vulnerability limit set by this relationship to explore the influence that fragmentation of species' ranges has on extinction risk. We find that both existing and planned dams fragment most fish species' ranges, splitting them into more vulnerable populations. Importantly, we find that migratory species, and those that support fisheries, are most affected by fragmentation. Our results highlight the dramatic impact that dams can have on freshwater fishes and offer insights into species' extinction risk for data-limited regions.</t>
  </si>
  <si>
    <t>[Carvajal-Quintero, Juan D.] Inst Ecol AC, Lab Macroecol Evolut, Red Biol Evolut, Carretera Antigua Coatepec 351, Xalapa 91070, Veracruz, Mexico; [Carvajal-Quintero, Juan D.; Januchowski-Hartley, Stephanie R.; Tedesco, Pablo A.] Univ Paul Sabatier Toulouse 3, EDB Lab Evolut &amp; Diversite Biol UMR5174, CNRS, IRD,UPS,ENFA, 118 Route Narbonne, F-31062 Toulouse, France; [Carvajal-Quintero, Juan D.; Maldonado-Ocampo, Javier A.] Pontificia Univ Javeriana, Fac Ciencias, Dept Biol, Unidad Ecol Sistemat UNESIS,Lab Ictiol, Carrera 7 43-82,Edf 53 Lab 108 B, Bogota, Colombia; [Jezequel, Celine; Tedesco, Pablo A.] UPMC, MNHN, BOREA Biol Organismes &amp; Ecosyst Aquat UMR7208, IRD 207,CNRS,UCN,UA, 43 Rue Cuvier CP 26, F-75005 Paris, France; [Delgado, Juliana] Nature Conservancy, Calle 67 7-94,Piso 3, Bogota, Colombia</t>
  </si>
  <si>
    <t>Instituto de Ecologia - Mexico; Centre National de la Recherche Scientifique (CNRS); CNRS - Institute of Ecology &amp; Environment (INEE); Institut de Recherche pour le Developpement (IRD); Universite de Toulouse; Universite Federale Toulouse Midi-Pyrenees (ComUE); Universite Toulouse III - Paul Sabatier; Ecole Nationale Formation Agronomique (ENSFEA); Pontificia Universidad Javeriana; Institut de Recherche pour le Developpement (IRD); Sorbonne Universite; Museum National d'Histoire Naturelle (MNHN); Centre National de la Recherche Scientifique (CNRS); Nature Conservancy</t>
  </si>
  <si>
    <t>Carvajal-Quintero, JD (corresponding author), Carretera Antigua Coatepec 351, Xalapa 91070, Veracruz, Mexico.;Tedesco, PA (corresponding author), 118 Route Narbonne, F-31062 Toulouse 4, France.</t>
  </si>
  <si>
    <t>juanchocarvajal@gmail.com; pablo.tedesco@ird.fr</t>
  </si>
  <si>
    <t>; Januchowski, Stephanie/F-1636-2011; Jézéquel, Céline/AAI-8090-2020; Carvajal-Quintero, Juan David/K-8178-2014; Tedesco, Pablo/F-7088-2013</t>
  </si>
  <si>
    <t>Maldonado Ocampo, Javier Alejano/0000-0003-3024-237X; Jézéquel, Céline/0000-0003-0687-1467; Carvajal-Quintero, Juan David/0000-0001-6758-8118; Tedesco, Pablo/0000-0001-5972-5928</t>
  </si>
  <si>
    <t>Agence Nationale de la Recherche [ANR-09-PEXT-008]; Institut de Recherche pour le Developpement (IRD); Nature Conservancy; Initiatives Rios Vivos Andinos; Peces de Agua dulce de Colombia; IRD; Consejo Nacional de Ciencia y Tecnologia (CONACYT); Instituto de Ecologia A.C. (INECOL); BioFresh European project [226874]</t>
  </si>
  <si>
    <t>Agence Nationale de la Recherche(Agence Nationale de la Recherche (ANR)); Institut de Recherche pour le Developpement (IRD); Nature Conservancy; Initiatives Rios Vivos Andinos; Peces de Agua dulce de Colombia; IRD; Consejo Nacional de Ciencia y Tecnologia (CONACYT)(Consejo Nacional de Ciencia y Tecnologia (CONACyT)); Instituto de Ecologia A.C. (INECOL); BioFresh European project</t>
  </si>
  <si>
    <t>We thank the Agence Nationale de la Recherche (ANR-09-PEXT-008), Institut de Recherche pour le Developpement (IRD), The Nature Conservancy, Initiatives Rios Vivos Andinos, and Peces de Agua dulce de Colombia for financial and in-kind support. We are also very grateful to S. Brosse, V. Hermoso, and T. Oberdorff for helpful discussions on earlier versions of our manuscript. J.D.C-Q was funded by IRD, Consejo Nacional de Ciencia y Tecnologia (CONACYT) and Instituto de Ecologia A.C. (INECOL) fellowships, and S.R.J-H acknowledges support from the BioFresh European project (FP7-ENV-2008; contract number 226874).</t>
  </si>
  <si>
    <t>10.1111/conl.12336</t>
  </si>
  <si>
    <t>FP8TA</t>
  </si>
  <si>
    <t>WOS:000417917800007</t>
  </si>
  <si>
    <t>Avila, IC; Kaschner, K; Dormann, CF</t>
  </si>
  <si>
    <t>Avila, Isabel C.; Kaschner, Kristin; Dormann, Carsten F.</t>
  </si>
  <si>
    <t>Marine mammals; Threats; Risk map; GIS; Global; Conservation</t>
  </si>
  <si>
    <t>HUMAN IMPACT; CONSERVATION; HOTSPOTS; MANAGEMENT; CETACEANS; DRIVERS; BYCATCH; HUMANS; LAND</t>
  </si>
  <si>
    <t>Marine mammals are impacted by many anthropogenic activities and mitigating these impacts requires knowledge about the geographic occurrence of threats. Here, we systematically reviewed, categorized and geo-referenced information from &gt; 1780 publications about threats affecting 121 marine mammal species worldwide between 1991 and 2016. We created risk maps by assigning threat to countries where they had been reported, further refining spatial allocation to specific ocean basins and Longhurst biogeographical provinces and subsequent intersection with mapped species' distributions. We superimposed risk maps for different taxa and threats to visualize geographic patterns of risks and quantify risk severity with respect to number of species affected. Almost all marine mammal species have been reported to face at least one threat. Incidental catch affected the most species (112 species), followed by pollution (99 species), direct harvesting (89 species) and traffic-related impacts (86 species). Direct human activities, mainly fisheries, urban development, whaling/hunting and tourism were the major source of threats affecting most species (&gt; 60 species). Risk areas were identified for 51% of marine mammal core habitat. Besides, the majority of local marine mammal communities are at high-risk in 47% of world coastal-waters. Hotspots were located mainly in temperate and polar coastal waters and in enclosed seas such as the Mediterranean or Baltic Sea. However, risk areas differed by threat types and taxa. Our maps show that human activities in coastal waters worldwide impose previously unrecognized levels of cumulative risk for most of marine mammal species, and provide a spatially explicit frame of reference for the assessment of mammals' species conservation status.</t>
  </si>
  <si>
    <t>[Avila, Isabel C.; Kaschner, Kristin; Dormann, Carsten F.] Univ Freiburg, Fac Environm &amp; Nat Resources, Dept Biometry &amp; Environm Syst Anal, Tennenbacher Str 4, D-79106 Freiburg, Germany</t>
  </si>
  <si>
    <t>University of Freiburg</t>
  </si>
  <si>
    <t>Avila, IC (corresponding author), Univ Freiburg, Fac Environm &amp; Nat Resources, Dept Biometry &amp; Environm Syst Anal, Tennenbacher Str 4, D-79106 Freiburg, Germany.</t>
  </si>
  <si>
    <t>isabel.avila@biom.uni-freiburg.de; Kristin.Kaschner@biologie.uni-freiburg.de; carsten.dormann@biom.uni-freiburg.de</t>
  </si>
  <si>
    <t>Dormann, Carsten/AFN-0998-2022; Kaschner, Kristin/GQQ-6475-2022; Avila, Isabel/ABG-9672-2021</t>
  </si>
  <si>
    <t>Avila, Isabel/0000-0003-1389-8908</t>
  </si>
  <si>
    <t>University of Freiburg; COLCIENCIAS (Colombia) [529]</t>
  </si>
  <si>
    <t>University of Freiburg; COLCIENCIAS (Colombia)(Departamento Administrativo de Ciencia, Tecnologia e Innovacion Colciencias)</t>
  </si>
  <si>
    <t>We thank the University of Freiburg and COLCIENCIAS (Colombia, Convocatoria 529) for financial support; Andrea Janeiro for her help in constructing the preliminary database, revising the location of threats, and her help in doing the preliminary maps; Maria Atencia, for her help in developing the preliminary database; David Janiger and Marie Van Bressem for making available several references used in this study; Nils Risse and Kavya Madhu for their help in organizing the format of part of the references sources; Carolina Garcia for revisions and suggestions of a preliminary draft; Simone Cuiti for helping with the sensitivity analysis; and particularly the IUCN Red List and IWC for making their data freely available. Finally, we thank to an anonymous reviewer for important suggestions to improve the manuscript.</t>
  </si>
  <si>
    <t>10.1016/j.biocon.2018.02.021</t>
  </si>
  <si>
    <t>GF3IC</t>
  </si>
  <si>
    <t>WOS:000431837800006</t>
  </si>
  <si>
    <t>Baret, S; Rouget, M; Richardson, DM; Lavergne, C; Egoh, B; Dupont, J; Strasberg, D</t>
  </si>
  <si>
    <t>Baret, Stephane; Rouget, Mathieu; Richardson, David M.; Lavergne, Christophe; Egoh, Benis; Dupont, Joel; Strasberg, Dominique</t>
  </si>
  <si>
    <t>AUSTRAL ECOLOGY</t>
  </si>
  <si>
    <t>bioclimatic modelling; biodiversity hotspot; biological invasion; conservation planning; predictive model; spatial distribution</t>
  </si>
  <si>
    <t>BIOLOGICAL INVASIONS; FUTURE THREATS; BIODIVERSITY; TRANSFORMATION</t>
  </si>
  <si>
    <t>La R union Island has the largest area of intact vegetation of the islands in the Mascarene archipelago. Biological invasions are the primary threat to biodiversity in the intact habitats of the island (those not already transformed by agriculture and urbanization). Our study aimed to identify areas to prioritize in managing invasive alien plants for biodiversity conservation. We used extensive surveys of 238 distinct untransformed areas on La Reunion to define the current distribution patterns of all invasive species. Using expert knowledge, we compiled maps of the current distribution of the 46 most widespread/important invasive plants at the habitat scale (identified according to vegetation structure). Data from 440 botanical releves for the 20 most threatening invasive alien plant species across the island and climatic envelope models were used to derive climatic suitability surfaces; these were used to map potential distributions for these species. More than 10 species invade 16.7% of the remaining habitat. Five habitat types are invaded by 25 or more species, and eight have fewer than 10 invasive alien plant species. Cluster analysis based on presence/absence of species in the 18 habitat types produced eight groups of species that invade particular habitats. Potential distribution models show that some species have invaded large parts of their potential range (e.g. Fuchsia magellanica, Furcraea foetida, Hiptage benghalensis), whereas others have the potential to increase their range substantially (e.g. Clidemia hirta, Strobilanthes hamiltonianus, Ulex europaeus). Management implications are identified for both groups. Three broad groups of habitats were identified: (i) intact habitats with a low level of invasion (e.g. subalpine shrubland); (ii) moderately invaded habitats with varying levels of intactness (ranging from windward submountain rainforest to the Acacia heterophylla forest); and (iii) habitats with little remaining intact area and high levels of invasion (e.g. lowland rainforest). Different management interventions are appropriate for these three groups.</t>
  </si>
  <si>
    <t>Univ Reunion, CIRAD UMR C53, St Pierre 97410, Reunion, France; S African Natl Biodivers Inst, Kirstenbosch Res Ctr, Claremont, CA USA; Univ Cape Town, Dept Bot, Leslie Hill Inst Plant Conservat, ZA-7700 Rondebosch, South Africa; Univ Stellenbosch, Dept Bot &amp; Zool, Ctr Invas Biol, ZA-7602 Matieland, South Africa; Univ Stellenbosch, Dept Bot &amp; Zool, Biocomplex Res Grp, ZA-7602 Matieland, South Africa</t>
  </si>
  <si>
    <t>University of La Reunion; CIRAD; University of Cape Town; Stellenbosch University; Stellenbosch University</t>
  </si>
  <si>
    <t>Baret, S (corresponding author), Univ Reunion, CIRAD UMR C53, 7 Chemin de Irat,Ligne Paradis, St Pierre 97410, Reunion, France.</t>
  </si>
  <si>
    <t>sbaret@cbnm.org</t>
  </si>
  <si>
    <t>; Richardson, David/A-1495-2008; Rouget, Mathieu/B-7249-2008</t>
  </si>
  <si>
    <t>Strasberg, Dominique/0000-0003-3012-252X; Richardson, David/0000-0001-9574-8297; Baret, Stéphane J-M/0000-0002-3380-5724; Egoh, Benis/0000-0002-9126-7784; Rouget, Mathieu/0000-0002-6172-3152</t>
  </si>
  <si>
    <t>1442-9985</t>
  </si>
  <si>
    <t>1442-9993</t>
  </si>
  <si>
    <t>AUSTRAL ECOL</t>
  </si>
  <si>
    <t>Austral Ecol.</t>
  </si>
  <si>
    <t>10.1111/j.1442-9993.2006.01636.x</t>
  </si>
  <si>
    <t>084VO</t>
  </si>
  <si>
    <t>WOS:000240562700008</t>
  </si>
  <si>
    <t>Flechas, SV; Paz, A; Crawford, AJ; Sarmiento, C; Acevedo, AA; Arboleda, A; Bolívar-García, W; Echeverry-Sandoval, CL; Franco, R; Mojica, C; Muñoz, A; Palacios-Rodríguez, P; Posso-Terranova, AM; Quintero-Marín, P; Rueda-Solano, LA; Castro-Herrera, F; Amézquita, A</t>
  </si>
  <si>
    <t>Flechas, Sandra V.; Paz, Andrea; Crawford, Andrew J.; Sarmiento, Carolina; Acevedo, Aldemar A.; Arboleda, Alejandro; Bolivar-Garcia, Wilmar; Echeverry-Sandoval, Claudia L.; Franco, Rosmery; Mojica, Cindy; Munoz, Amanda; Palacios-Rodriguez, Pablo; Posso-Terranova, Andres M.; Quintero-Marin, Paulina; Rueda-Solano, Luis A.; Castro-Herrera, Fernando; Amezquita, Adolfo</t>
  </si>
  <si>
    <t>amphibians; chytridiomycosis; habitat suitability; species distribution model; temperature; water dependence</t>
  </si>
  <si>
    <t>POPULATION DECLINES; CHYTRID FUNGUS; SPECIES DISTRIBUTIONS; INFECTIOUS-DISEASE; ECOLOGICAL TRAITS; FROG POPULATIONS; EPIDEMIC DISEASE; HIGH PREVALENCE; SP-NOV; CHYTRIDIOMYCOSIS</t>
  </si>
  <si>
    <t>Global amphibian declines have been attributed to several factors including the chytrid fungal pathogen, Batrachochytrium dendrobatidis (Bd), that infects hosts' skin and causes death by inhibiting immune response and impairing osmoregulatory function. Here, we integrate extensive new field data with previously published locality records of Bd in Colombia, a megadiverse and environmentally heterogeneous country in northwestern South America, to determine the relative importance of environmental variables and reproductive mode for predicting the risk of Bd infection in amphibians. We surveyed 81 localities across Colombia and sampled 2876 individual amphibians belonging to 14 taxonomic families. Through a combination of end-point PCR and real-time PCR analyses, Bd was detected in 338 individuals (12%) representing 43 localities (53%) distributed from sea level to 3200m. We found that annual mean temperature and variables related with seasonality in precipitation and temperature appeared to define the most suitable areas for the establishment of the pathogen. In addition, prevalence of infection appeared to be higher in species with a terrestrial reproductive mode. Our study provides the first large-scale study of the current and potential distribution of Bd in the biodiversity hotspot centered on Colombia. We hope the newly provided information on the extent of the distribution of the pathogen and the potential areas where Bd may impact the amphibian fauna will inform decision making by environmental authorities and future conservation action. Resumen La disminucion de anfibios a nivel mundial se ha atribuido a varios factores incluyendo el hongo patogeno Batrachochytrium dendrobatidis (Bd). Este hongo afecta la piel de los hospederos y causa la muerte de las especies susceptibles debido a la inhibicion de la respuesta inmune y al deterioro de la funcion osmorregulatoria. Para determinar la importancia relativa de variables ambientales y de historia de vida (modo reproductivo) como predictores de la presencia de Bd, en este estudio integramos nuevos datos de campo con registros previamente publicados de presencia de Bd para Colombia, un pais megadiverso y ambientalmente muy heterogeneo ubicado en el noroeste de Suramerica. En total se muestrearon 81 localidades en toda Colombia y se tomaron frotis de 2876 anfibios pertenecientes a 14 familias taxonomicas. A traves de una combinacion de PCR convencional y PCR en tiempo real, Bd se detecto en 338 individuos (12%) que representan 43 localidades (53%) distribuidas desde el nivel del mar hasta los 3200m. Encontramos que la temperatura media anual y variables relacionadas con la estacionalidad de la precipitacion y la temperatura parecen ser buenos predictores de las zonas mas apropiadas para el establecimiento del patogeno. Ademas, nuestros resultados sugieren que la prevalencia de la infeccion es mayor en especies con modo de reproduccion terrestre. Este estudio, corresponde a la primera aproximacion donde se determina la actual y potencial distribucion del hongo quitridio en Colombia. Esperamos que la informacion suministrada en nuestro estudio, sobre la distribucion del patogeno en el pais y las potenciales areas donde podria tener un mayor impacto facilitara la toma de decisiones por parte de las autoridades ambientales y promovera el desarrollo de nuevas politicas de conservacion en pro de la conservacion de los anfibios.</t>
  </si>
  <si>
    <t>[Flechas, Sandra V.; Paz, Andrea; Crawford, Andrew J.; Sarmiento, Carolina; Palacios-Rodriguez, Pablo; Quintero-Marin, Paulina; Amezquita, Adolfo] Univ Los Andes, Dept Biol Sci, Bogota 4976, Colombia; [Paz, Andrea] CUNY, Dept Biol, Grad Ctr, New York, NY 10016 USA; [Crawford, Andrew J.; Sarmiento, Carolina] Smithsonian Trop Res Inst, Apartado 0843-03092, Panama City, Panama; [Crawford, Andrew J.] Circulo Herpetol Panama, Apartado 0824-00122, Panama City, Panama; [Acevedo, Aldemar A.; Franco, Rosmery] Univ Pamplona, GIEB, Pamplona, Colombia; [Arboleda, Alejandro; Munoz, Amanda] Univ Cauca, Popayan, Colombia; [Bolivar-Garcia, Wilmar; Mojica, Cindy] Univ Valle, Grp Invest Ecol Anim, Cali, Colombia; [Echeverry-Sandoval, Claudia L.; Palacios-Rodriguez, Pablo] Univ Tecnol Choco Diego Luis Cordoba, Quibdo, Colombia; [Posso-Terranova, Andres M.] Univ Nacl Colombia, Sede Palmira, Colombia; [Rueda-Solano, Luis A.] Univ Magdalena, Santa Marta, Colombia; [Castro-Herrera, Fernando] Univ Valle, Fac Salud, Dept Ciencias Fisiol, Cali, Colombia</t>
  </si>
  <si>
    <t>Universidad de los Andes (Colombia); City University of New York (CUNY) System; Smithsonian Institution; Smithsonian Tropical Research Institute; Universidad del Cauca; Universidad del Valle; Universidad Nacional de Colombia; Universidad del Magdalena; Universidad del Valle</t>
  </si>
  <si>
    <t>Flechas, SV (corresponding author), Univ Los Andes, Dept Biol Sci, Bogota 4976, Colombia.</t>
  </si>
  <si>
    <t>vickyflechas@gmail.com</t>
  </si>
  <si>
    <t>CASTRO HERRERA, FERNANDO/NDS-8721-2025; Crawford, Anew J/G-6365-2012; Paz, Anea/W-1068-2019; Posso-Terranova, Andres/AAQ-9543-2020; Sarmiento, Carolina/ABF-3966-2020; Solano, Luis/J-9634-2015</t>
  </si>
  <si>
    <t>CASTRO HERRERA, FERNANDO/0000-0002-7626-0103; Flechas, Sana/0000-0002-3967-5991; Crawford, Anew J/0000-0003-3153-6898; Paz, Anea/0000-0001-6484-1210; Sarmiento, Carolina/0000-0002-8575-7170; Acevedo, Aldemar/0000-0002-4729-2093</t>
  </si>
  <si>
    <t>ECOPETROL [156-09]; US Fish &amp; Wildlife ServiceWildlife without Borders [96200-0-G228]; Association of Zoos and AquariumsConservation Endowment Fund [08-836]; Conservation International Critically Endangered Species Fund; Conservation Leadership Program [0621310, 070207]; COLCIENCIAS [1121-659-44242, 553]; Vicerrectoria de Investigaciones at the Universidad del Valle; Vicerrectoria de Investigaciones at the Universidad Tecnologica de Choco [545]; Corporacion Autonoma Regional del Valle del Cauca (CVC); Ministry of the Environment, and the National Authority for Environmental Licenses (ANLA) [019-09, DTSO 001-09, 10-07032012, 15]; CorpMag [425]; DTAN [001-13]</t>
  </si>
  <si>
    <t>ECOPETROL; US Fish &amp; Wildlife ServiceWildlife without Borders; Association of Zoos and AquariumsConservation Endowment Fund; Conservation International Critically Endangered Species Fund; Conservation Leadership Program; COLCIENCIAS(Departamento Administrativo de Ciencia, Tecnologia e Innovacion Colciencias); Vicerrectoria de Investigaciones at the Universidad del Valle; Vicerrectoria de Investigaciones at the Universidad Tecnologica de Choco; Corporacion Autonoma Regional del Valle del Cauca (CVC); Ministry of the Environment, and the National Authority for Environmental Licenses (ANLA); CorpMag; DTAN</t>
  </si>
  <si>
    <t>This study was completed with financial support from ECOPETROL (grant 156-09 to AJC, SVF, and AA), US Fish &amp; Wildlife ServiceWildlife without Borders (96200-0-G228 to AJC), Association of Zoos and AquariumsConservation Endowment Fund (08-836 to AA and SVF), Conservation International Critically Endangered Species Fund (to SVF), Conservation Leadership Program (Project ID 0621310 to AAA, and Project ID 070207 to LARS), COLCIENCIAS (1121-659-44242, agreement 553 to AAA), Vicerrectoria de Investigaciones at the Universidad del Valle, Vicerrectoria de Investigaciones at the Universidad Tecnologica de Choco, Vicerrectoria de Investigaciones at Universidad de Pamplona, Conservation International Colombia (Agreement 545), and Corporacion Autonoma Regional del Valle del Cauca (CVC). For assistance in the field, we thank L. M. Arenas, O. Armesto, L. S. Barrientos, A. Batista, C. Burbano, R. Coral, G. Corredor, A. Dapper, L. M. Escobar, T. Escovar, C. Esquivel, D. M. Galindo, J. A. Hernandez, D. J. Lizcano, F. J. Lopez, J. Mendez, J. S. Mendoza, F. L. Meza, D. Moen, A. Munoz, J. E. Ortega, J. Ospina, N. R. Pinto-Sanchez, E. P. Ramos, C. Silva, K. L. Silva, F. Vargas-Salinas, R. S. Ramirez-Valdez, A. A. Velasquez, and B. E. Velasquez-Escobar. We thank V. Ramirez for assistance in the laboratory. We thank F. Brown, C. Gonzalez, and L. M. Arenas for helpful comments and suggestions that greatly improved this article. We thank Proaves Foundation, San Pedro de la Sierra community, and the Indigenous community from La Sierra Nevada de Santa Marta for their support during the fieldwork. Research permits were provided by the Colombian National Parks authority, Ministry of the Environment, and the National Authority for Environmental Licenses (ANLA), under permits DTSO 019-09, DTSO 001-09, and No 10-07032012 (to SVF), permit No 15, July 26th, 2010 (to AJC), resolution No 0255, March 12th, 2014 (to AMPT), resolution CorpMag No 425, February 2015 (to LARS), and DTAN 001-13 (to AAA).</t>
  </si>
  <si>
    <t>10.1111/btp.12457</t>
  </si>
  <si>
    <t>FG0NW</t>
  </si>
  <si>
    <t>WOS:000409453300011</t>
  </si>
  <si>
    <t>Furlan, E; Torresan, S; Critto, A; Lovato, T; Solidoro, C; Lazzari, P; Marcomini, A</t>
  </si>
  <si>
    <t>Furlan, Elisa; Torresan, Silvia; Critto, Andrea; Lovato, Tomas; Solidoro, Cosimo; Lazzari, Paolo; Marcomini, Antonio</t>
  </si>
  <si>
    <t>Cumulative impacts; Interactive pressures; Climate change scenarios; Multi-Criteria Decision Analysis; Geographic Information Systems; Adriatic Sea</t>
  </si>
  <si>
    <t>REGIONAL RISK-ASSESSMENT; MEDITERRANEAN SEA; CONTAMINATED SITES; ECOSYSTEM SERVICES; MARINE-ENVIRONMENT; DYNAMIC ASSESSMENT; VULNERABILITY; NORTHERN; EUTROPHICATION; MANAGEMENT</t>
  </si>
  <si>
    <t>Assessing and managing cumulative impacts produced by interactive anthropogenic and natural drivers is a major challenge to achieve the sustainable use of marine spaces in line with the objectives of relevant EU acquis. However, the complexity of the marine environment and the uncertainty linked to future climate and socioeconomic scenarios, represent major obstacles for understanding the multiplicity of impacts on the marine ecosystems and to identify appropriate management strategies to be implemented. Going beyond the traditional additive approach for cumulative impact appraisal, the Cumulative Impact Index (CI-Index) proposed in this paper applies advanced Multi-Criteria Decision Analysis techniques to spatially model relationships between interactive climate and anthropogenic pressures, the environmental exposure and vulnerability patterns and the potential cumulative impacts for the marine ecosystems at risk. The assessment was performed based on spatial data characterizing location and vulnerability of 5 relevant marine targets (e.g. seagrasses and coral beds), and the distribution of 17 human activities (e.g. trawling, maritime traffic) during a reference scenario 2000-2015. Moreover, projections for selected physical and biogeochemical parameters (temperature and chlorophyll 'a') for the 2035-2050 timeframe under RCP8.5 scenario, were integrated in the assessment to evaluate index variations due to changing climate conditions. The application of the CI-Index in the Adriatic Sea, showed higher cumulative impacts in the Northern part of the basin and along the Italian continental shelf, where the high concentration of human activities, the seawater temperature conditions and the presence of vulnerable benthic habitats, contribute to increase the overall impact estimate. Moreover, the CI-Index allowed understanding which are the phenomena contributing to synergic pressures creating potential pathways of environmental disturbance for marine ecosystems. Finally, the application in the Adriatic case showed how the output of the CI-Index can provide support to evaluate multi-risk scenarios and to drive sustainable maritime spatial planning and management. (C) 2019 Elsevier B.V. All rights reserved.</t>
  </si>
  <si>
    <t>[Furlan, Elisa; Torresan, Silvia; Critto, Andrea; Marcomini, Antonio] Univ Ca Foscari Venice, Dept Environm Sci Informat &amp; Stat, I-30170 Venice, Italy; [Furlan, Elisa; Torresan, Silvia; Critto, Andrea; Lovato, Tomas; Marcomini, Antonio] Fdn Ctr Euro Mediterraneo Cambiamenti Climat CMCC, I-73100 Lecce, Italy; [Solidoro, Cosimo; Lazzari, Paolo] Natl Inst Oceanog &amp; Expt Geophys OGS, I-34010 Trieste, Italy; [Solidoro, Cosimo] Abdus Salaam Int Ctr Theoret Phys, I-34010 Trieste, Italy</t>
  </si>
  <si>
    <t>Universita Ca Foscari Venezia; Centro Euro-Mediterraneo sui Cambiamenti Climatici (CMCC); Istituto Nazionale di Oceanografia e di Geofisica Sperimentale; Abdus Salam International Centre for Theoretical Physics (ICTP)</t>
  </si>
  <si>
    <t>Critto, A (corresponding author), Univ Ca Foscari Venice, Informat &amp; Stat, Via Torino 155, I-30170 Venice, Italy.</t>
  </si>
  <si>
    <t>Furlan, Elisa/AAA-4247-2021; Marcomini, Antonio/JSL-7114-2023; Lazzari, Paolo/LFF-9336-2024; TORRESAN, Silvia/ACY-7690-2022; Solidoro, Cosimo/A-3997-2009</t>
  </si>
  <si>
    <t>LOVATO, Tomas/0000-0002-5188-6767; Lazzari, Paolo/0000-0001-6819-4612; TORRESAN, Silvia/0000-0002-9758-7084; Solidoro, Cosimo/0000-0003-2354-4302</t>
  </si>
  <si>
    <t>PERSEUS project (Policy-oriented marine Environmental Research for the Southern European Seas) within the European Union 7th Framework Programme-theme Oceans of Tomorrow [287600]; Strategic Projects of the Foundation Centro Euro-Mediterraneo sui Cambiamenti Climatici</t>
  </si>
  <si>
    <t>PERSEUS project (Policy-oriented marine Environmental Research for the Southern European Seas) within the European Union 7th Framework Programme-theme Oceans of Tomorrow; Strategic Projects of the Foundation Centro Euro-Mediterraneo sui Cambiamenti Climatici</t>
  </si>
  <si>
    <t>The research leading to these results has been partly funded by the PERSEUS project (Policy-oriented marine Environmental Research for the Southern European Seas, http://www.perseus-net.eu) within the European Union 7th Framework Programme -theme Oceans of Tomorrow (Grant Agreement No. 287600). Additional fundings were provided in the frame of the Strategic Projects of the Foundation Centro Euro-Mediterraneo sui Cambiamenti Climatici. The authors gratefully acknowledge their colleagues Dr. Alex Zabeo and Dr. Lisa Pizzol for their valuable advices and suggestions during the application of the Choquet integral and the master student Giulia Donadello, of the Ca' Foscari University of Venice (http://www.unive.it), for her contribution in the GIS data collection and pre-processing.</t>
  </si>
  <si>
    <t>JUN 20</t>
  </si>
  <si>
    <t>10.1016/j.scitotenv.2019.03.021</t>
  </si>
  <si>
    <t>HT6NV</t>
  </si>
  <si>
    <t>WOS:000464681800040</t>
  </si>
  <si>
    <t>Lasram, FB; Hattab, T; Halouani, G; Romdhane, MS; Le Loc'h, F; Albouy, C</t>
  </si>
  <si>
    <t>Lasram, F. Ben Rais; Hattab, T.; Halouani, G.; Romdhane, M. S.; Le Loc'h, F.; Albouy, C.</t>
  </si>
  <si>
    <t>Anthropogenic impacts; species richness; phylogenetic diversity; functional diversity; conservation planning</t>
  </si>
  <si>
    <t>FUNCTIONAL DIVERSITY; MARINE ECOSYSTEMS; PHYLOGENETIC DIVERSITY; CALIFORNIA CURRENT; MASS EXTINCTION; CLIMATE-CHANGE; FISH; IMPACT; SERVICES; SEA</t>
  </si>
  <si>
    <t>Human activities are increasingly impacting biodiversity. To improve conservation planning measures in an ecosystem-based management context, we need to explore how the effects of these activities interact with different biodiversity components. In this study, we used a semi-quantitative method to assess the cumulative impacts of human activities on three biodiversity components (species richness, phylogenetic diversity, and functional diversity) in Tunisia's exclusive economic zone. For each of the nine activities considered, we developed an understanding of their effects from local studies and the expert opinion of stakeholders with country-speciic experience. We mapped the cumulative effects and the three biodiversity components and then assessed the degree to which these elements overlapped using an overlap index. This is the first time such an assessment has been made for Tunisia's marine ecosystems and our assessment highlight the inappropriateness of current conservation measures. The results of this study have specific application for the prioritization of future management actions.</t>
  </si>
  <si>
    <t>[Lasram, F. Ben Rais; Halouani, G.; Romdhane, M. S.] Inst Natl Agronom Tunisie, Unite Rech Ecosyst &amp; Ressources Aquat UR03AGRO1, Tunis, Tunisia; [Hattab, T.] Univ Picardie Jules Verne, CNRS, FRE 3498, Unite Rech Ecol &amp; Dynam Syst Anthropises EDYSAN, Amiens, France; [Halouani, G.; Le Loc'h, F.] Inst Univ Europeen Mer, Lab Sci Environm Marin, UMR 6539, LEMAR,CNRS,UBO,IRD,Ifremer, Technopole Brest Iroise, Plouzane, France; [Albouy, C.] Univ Quebec, Dept Biol Chim &amp; Geog, 300 Allee Ursulines, Rimouski, PQ G5L 3A1, Canada</t>
  </si>
  <si>
    <t>Universite de Carthage; Universite de Picardie Jules Verne (UPJV); Centre National de la Recherche Scientifique (CNRS); Centre National de la Recherche Scientifique (CNRS); Ifremer; Institut de Recherche pour le Developpement (IRD); Universite de Bretagne Occidentale; Institut Universitaire Europeen de la Mer (IUEM); University of Quebec</t>
  </si>
  <si>
    <t>Lasram, FB (corresponding author), Inst Natl Agronom Tunisie, Unite Rech Ecosyst &amp; Ressources Aquat UR03AGRO1, Tunis, Tunisia.</t>
  </si>
  <si>
    <t>frida.lasram@gmail.com</t>
  </si>
  <si>
    <t>Le Loc'h, François/A-5038-2008; Romdhane, Mohamed Salah/GTB-5864-2022; albouy, camille/H-9317-2012; Halouani, Ghassen/I-7487-2019</t>
  </si>
  <si>
    <t>Le Loc'h, François/0000-0002-3372-6997; albouy, camille/0000-0003-1629-2389; Ben Rais Lasram, Frida/0000-0003-3327-908X;</t>
  </si>
  <si>
    <t>Institut de Recherche pour le Developpement (JEAI GAMBAS project)</t>
  </si>
  <si>
    <t>This work was funded by the Institut de Recherche pour le Developpement (JEAI GAMBAS project).</t>
  </si>
  <si>
    <t>DJ8NO</t>
  </si>
  <si>
    <t>WOS:000374469200017</t>
  </si>
  <si>
    <t>Micheli, F; Halpern, BS; Walbridge, S; Ciriaco, S; Ferretti, F; Fraschetti, S; Lewison, R; Nykjaer, L; Rosenberg, AA</t>
  </si>
  <si>
    <t>Micheli, Fiorenza; Halpern, Benjamin S.; Walbridge, Shaun; Ciriaco, Saul; Ferretti, Francesco; Fraschetti, Simonetta; Lewison, Rebecca; Nykjaer, Leo; Rosenberg, Andrew A.</t>
  </si>
  <si>
    <t>Cumulative Human Impacts on Mediterranean and Black Sea Marine Ecosystems: Assessing Current Pressures and Opportunities</t>
  </si>
  <si>
    <t>MANAGEMENT; COASTAL; VULNERABILITY; HABITATS; TRENDS; MAP</t>
  </si>
  <si>
    <t>Management of marine ecosystems requires spatial information on current impacts. In several marine regions, including the Mediterranean and Black Sea, legal mandates and agreements to implement ecosystem-based management and spatial plans provide new opportunities to balance uses and protection of marine ecosystems. Analyses of the intensity and distribution of cumulative impacts of human activities directly connected to the ecological goals of these policy efforts are critically needed. Quantification and mapping of the cumulative impact of 22 drivers to 17 marine ecosystems reveals that 20% of the entire basin and 60-99% of the territorial waters of EU member states are heavily impacted, with high human impact occurring in all ecoregions and territorial waters. Less than 1% of these regions are relatively unaffected. This high impact results from multiple drivers, rather than one individual use or stressor, with climatic drivers (increasing temperature and UV, and acidification), demersal fishing, ship traffic, and, in coastal areas, pollution from land accounting for a majority of cumulative impacts. These results show that coordinated management of key areas and activities could significantly improve the condition of these marine ecosystems.</t>
  </si>
  <si>
    <t>[Micheli, Fiorenza; Ferretti, Francesco] Stanford Univ, Hopkins Marine Stn, Pacific Grove, CA 93950 USA; [Halpern, Benjamin S.] Natl Ctr Ecol Anal &amp; Synth, Santa Barbara, CA USA; [Halpern, Benjamin S.] Univ Calif Santa Barbara, Ctr Marine Assessment &amp; Planning, Santa Barbara, CA 93106 USA; [Walbridge, Shaun] ESRI, Redlands, CA USA; [Ciriaco, Saul] Miramare Marine Protected Area, Trieste, Italy; [Fraschetti, Simonetta] Univ Salento, Marine Biol Lab, Lecce, Italy; [Lewison, Rebecca] San Diego State Univ, Coastal &amp; Marine Inst Lab, San Diego, CA 92182 USA; [Nykjaer, Leo] European Commiss, Joint Res Ctr, Inst Environm &amp; Sustainabil, Ispra, Italy; [Rosenberg, Andrew A.] Union Concerned Scientists, Cambridge, MA USA</t>
  </si>
  <si>
    <t>Stanford University; University of California System; University of California Santa Barbara; University of California System; University of California Santa Barbara; Environmental Systems Research Institute, Inc. (ESRI); University of Salento; California State University System; San Diego State University; European Commission Joint Research Centre; EC JRC ISPRA Site</t>
  </si>
  <si>
    <t>Micheli, F (corresponding author), Stanford Univ, Hopkins Marine Stn, Pacific Grove, CA 93950 USA.</t>
  </si>
  <si>
    <t>micheli@stanford.edu</t>
  </si>
  <si>
    <t>; Fraschetti, Simonetta/R-8716-2019; Halpern, Benjamin/J-6141-2014; Ferretti, Francesco/AAR-2545-2020</t>
  </si>
  <si>
    <t>Lewison, Rebecca L/0000-0003-3065-2926; Micheli, Fiorenza/0000-0002-6865-1438; Fraschetti, Simonetta/0000-0002-1780-1651; Ferretti, Francesco/0000-0001-9510-3552</t>
  </si>
  <si>
    <t>Oak Foundation; Pew Charitable Trust; European Community [287844]</t>
  </si>
  <si>
    <t>Oak Foundation; Pew Charitable Trust; European Community</t>
  </si>
  <si>
    <t>This work was supported by the Oak Foundation and the Pew Charitable Trust. SF was also supported by the European Community's 7th Framework Programme (FP7/2007-2013) under Grant Agreement No. 287844 for the project 'Towards COast to Coast NETworks of marine protected areas (from the shore to the high and deep sea), coupled with sea-based wind energy potential (COCONET)'. The funders had no role in study design, data collection and analysis, decision to publish, or preparation of the manuscript.</t>
  </si>
  <si>
    <t>e79889</t>
  </si>
  <si>
    <t>10.1371/journal.pone.0079889</t>
  </si>
  <si>
    <t>WOS:000327949300012</t>
  </si>
  <si>
    <t>Murray, CC; Agbayani, S; Ban, NC</t>
  </si>
  <si>
    <t>Murray, Cathryn Clarke; Agbayani, Selina; Ban, Natalie C.</t>
  </si>
  <si>
    <t>Cumulative effects; Cumulative impact mapping; Industrial development; Climate change; Marine; Canada</t>
  </si>
  <si>
    <t>HUMAN IMPACTS; CANADA; VULNERABILITY; STRESSORS; MAP</t>
  </si>
  <si>
    <t>With increasing human population, large scale climate changes, and the interaction of multiple stressors, understanding cumulative effects on marine ecosystems is increasingly important. Two major drivers of change in coastal and marine ecosystems are industrial developments with acute impacts on local ecosystems, and global climate change stressors with widespread impacts. We conducted a cumulative effects mapping analysis of the marine waters of British Columbia, Canada, under different scenarios: climate change and planned developments. At the coast-wide scale, climate change drove the largest change in cumulative effects with both widespread impacts and high vulnerability scores. Where the impacts of planned developments occur, planned industrial and pipeline activities had high cumulative effects, but the footprint of these effects was comparatively localized. Nearshore habitats were at greatest risk from planned industrial and pipeline activities; in particular, the impacts of planned pipelines on rocky intertidal habitats were predicted to cause the highest change in cumulative effects. This method of incorporating planned industrial development in cumulative effects mapping allows explicit comparison of different scenarios with the potential to be used in environmental impact assessments at various scales. Its use allows resource managers to consider cumulative effect hotspots when making decisions regarding industrial developments and avoid unacceptable cumulative effects. Management needs to consider both global and local stressors in managing marine ecosystems for the protection of biodiversity and the provisioning of ecosystem services. (C) 2015 The Authors. Published by Elsevier B.V.</t>
  </si>
  <si>
    <t>[Murray, Cathryn Clarke; Agbayani, Selina] WWF Canada, Vancouver, BC, Canada; [Murray, Cathryn Clarke] Univ British Columbia, Inst Resources Environm &amp; Sustainabil, Vancouver, BC, Canada; [Ban, Natalie C.] Univ Victoria, Sch Environm Studies, Victoria, BC, Canada</t>
  </si>
  <si>
    <t>World Wildlife Fund; University of British Columbia; University of Victoria</t>
  </si>
  <si>
    <t>Murray, CC (corresponding author), Inst Ocean Sci, POB 6000, Sidney, BC V8L 4B2, Canada.</t>
  </si>
  <si>
    <t>cclarke@eos.ubc.ca</t>
  </si>
  <si>
    <t>; Ban, Natalie/C-6938-2009</t>
  </si>
  <si>
    <t>Ban, Natalie/0000-0002-4682-2144; Agbayani, Selina/0000-0002-4418-1937;</t>
  </si>
  <si>
    <t>Marine Harvest Canada; Gordon and Betty Moore Foundation [2229.01]; Natural Science and Engineering Research Council (NSERC) [435785-2013]</t>
  </si>
  <si>
    <t>Marine Harvest Canada; Gordon and Betty Moore Foundation(Gordon &amp; Betty Moore Foundation); Natural Science and Engineering Research Council (NSERC)(Natural Sciences and Engineering Research Council of Canada (NSERC))</t>
  </si>
  <si>
    <t>The authors wish to thank A. Lau for GIS assistance, J. Pfalz and the Skeena Knowledge Trust for spatial data, A. Sierra Martinez for mining impact information, and J. Casey for providing advice on freshwater systems. Wewould also like to thank H. Alidina and three anonymous reviewers for their advice on improving the manuscript. This research was supported in part by grants from Marine Harvest Canada and the Gordon and Betty Moore Foundation to WWF-Canada (#2229.01). NCB was supported by the Natural Science and Engineering Research Council (NSERC) (#435785-2013).</t>
  </si>
  <si>
    <t>10.1016/j.gecco.2015.06.003</t>
  </si>
  <si>
    <t>WOS:000416220800011</t>
  </si>
  <si>
    <t>Mao, DH; Luo, L; Wang, ZM; Wilson, MC; Zeng, Y; Wu, BF; Wu, JG</t>
  </si>
  <si>
    <t>Mao, Dehua; Luo, Ling; Wang, Zongming; Wilson, Maxwell C.; Zeng, Yuan; Wu, Bingfang; Wu, Jianguo</t>
  </si>
  <si>
    <t>Natural wetlands; Farmland; Agricultural encroachment; Wetland restoration; ChinaCover</t>
  </si>
  <si>
    <t>ECOSYSTEM SERVICES; SANJIANG PLAIN; LONG-TERM; LAND-USE; CONSERVATION; FRAGMENTATION; AGRICULTURE; EXPANSION; SECURITY; DRIVERS</t>
  </si>
  <si>
    <t>Agricultural activity is widely recognized as a leading driver of natural wetland loss in many parts of the world. However, little is known about the spatiotemporal patterns of conversion between natural wetlands and farmland in China. This information deficiency has limited decision-making for the sustainable management of natural wetland ecosystems. In this study, we explicitly quantified bidirectional natural wetland-farmland conversions during the periods of 1990-2000 and 2000-2010 at multiple spatiotemporal scales. Our results revealed that about 60% (15,765 km(2)) of China's lost natural wetlands were due to agricultural encroachment for grain production, 74.7% (11,778 km(2)) of which occurred from 1990 to 2000. Natural wetland conversion to farmland was highest in Northeast China (13,467 km(2) or 85.4%), whereas the natural wetlands in Northwest China demand extra attention because of a notable increase of agricultural encroachment. Natural wetlands in the humid zone experienced tremendous agricultural encroachment, leading to a loss of 10,649 km2, accounting for 67.5% of the total agriculture-induced natural wetland loss in China. On the other hand, a total of 1369 km(2) of natural wetlands were restored from farmland, with 66.3% of this restoration occurring between 2000 and 2010, primarily in Northeast China and the humid zone. Although a series of national policies and population pressure resulted in agricultural encroachment into natural wetlands, there are also policies and management measures protecting and restoring natural wetlands in China. The spatial differences in natural wetland-farmland conversions among different geographic regions and climatic zones suggest that China must develop place-based sustainable management policies and plans for natural wetlands. This study provides important scientific information necessary for developing such policies and implementation plans. (C) 2018 Elsevier B.V. All rights reserved.</t>
  </si>
  <si>
    <t>[Mao, Dehua; Luo, Ling; Wang, Zongming] Chinese Acad Sci, Northeast Inst Geog &amp; Agroecol, Key Lab Wetland Ecol &amp; Environm, Changchun 130102, Jilin, Peoples R China; [Mao, Dehua; Wilson, Maxwell C.; Wu, Jianguo] Arizona State Univ, Sch Life Sci, Tempe, AZ 85287 USA; [Zeng, Yuan; Wu, Bingfang] Chinese Acad Sci, Inst Remote Sensing &amp; Digital Earth, Beijing 100094, Peoples R China; [Wu, Jianguo] Arizona State Univ, Sch Sustainabil, Tempe, AZ 85287 USA; [Wu, Jianguo] Arizona State Univ, Julie A Wrigley Global Inst Sustainabil, Tempe, AZ 85287 USA; [Wu, Jianguo] Beijing Normal Univ, CHESS, Beijing 100875, Peoples R China</t>
  </si>
  <si>
    <t>Chinese Academy of Sciences; Northeast Institute of Geography &amp; Agroecology, CAS; Arizona State University; Arizona State University-Tempe; Chinese Academy of Sciences; The Institute of Remote Sensing &amp; Digital Earth, CAS; Arizona State University; Arizona State University-Tempe; Arizona State University; Arizona State University-Tempe; Beijing Normal University</t>
  </si>
  <si>
    <t>Wang, ZM (corresponding author), Chinese Acad Sci, Northeast Inst Geog &amp; Agroecol, Key Lab Wetland Ecol &amp; Environm, Changchun 130102, Jilin, Peoples R China.</t>
  </si>
  <si>
    <t>zongmingwang@iga.ac.cn</t>
  </si>
  <si>
    <t>Wu, Bingfang/AAD-7223-2022; luo, ling/MIO-2796-2025; Mao, Dehua/AAE-8715-2021; Wu, Jianguo/MZR-1411-2025</t>
  </si>
  <si>
    <t>Mao, Dehua/0000-0003-3101-9153;</t>
  </si>
  <si>
    <t>National Key R&amp;D Program of China [2016YFC0500408, 2016YFA0602301, 2016YFC0500201]; National Natural Science Foundation of China [41771383]; Youth Innovation Promotion Association Chinese Academy of Sciences [2017277, 2012178]; the China Scholarship Council [201604910407]</t>
  </si>
  <si>
    <t>National Key R&amp;D Program of China; National Natural Science Foundation of China(National Natural Science Foundation of China (NSFC)); Youth Innovation Promotion Association Chinese Academy of Sciences; the China Scholarship Council(China Scholarship Council)</t>
  </si>
  <si>
    <t>This study was jointly supported by the National Key R&amp;D Program of China (2016YFC0500408, 2016YFA0602301, and 2016YFC0500201), the National Natural Science Foundation of China (41771383), and the funding from Youth Innovation Promotion Association Chinese Academy of Sciences (2017277, 2012178) and the China Scholarship Council (201604910407). We are very grateful to those who participated in the image classification and field investigation for the ChinaCover project.</t>
  </si>
  <si>
    <t>10.1016/j.scitotenv.2018.04.009</t>
  </si>
  <si>
    <t>GH1HJ</t>
  </si>
  <si>
    <t>WOS:000433153600060</t>
  </si>
  <si>
    <t>Fauzi, A; Sakti, A; Yayusman, L; Harto, A; Prasetyo, L; Irawan, B; Kamal, M; Wikantika, K</t>
  </si>
  <si>
    <t>Fauzi, Adam; Sakti, Anjar; Yayusman, Lissa; Harto, Agung; Prasetyo, Lilik; Irawan, Bambang; Kamal, Muhammad; Wikantika, Ketut</t>
  </si>
  <si>
    <t>mangrove; deforestation; Southeast Asia; GIS; wetlands; land use land cover change; ecosystem conservation</t>
  </si>
  <si>
    <t>DRIVERS; EXTENT; LAND; BIODIVERSITY; CONSERVATION; ECOSYSTEMS; THREATS; MAP</t>
  </si>
  <si>
    <t>Research Highlights: This paper provides an alternative approach to contextualize mangrove forest loss by integrating available environmental and socio-economic data sets and products. Background and Objectives: Mangrove forest ecosystems grow in brackish water especially in areas exposed to accumulation of organic matter and tides. This forest type is widely distributed in tropical and subtropical coastal areas. Recent studies have revealed that the mangrove forest ecosystem had significantly degraded due to Land Use and Cover Changes (LUCC) in the recent past. Therefore, contribution of mangrove deforestation drivers has to be assessed to ensure a comprehensive analysis for ecosystem conservation and restoration and facilitate decision making. Materials and Methods: Firstly, a correlation analysis was conducted between individual data products and mangrove deforestation. Each data product was associated with the Dominant Land Use of Deforested Mangrove Patches data for 2012. Next, calculations were performed for specific data combinations to estimate the contributions of anthropogenic factors to mangrove deforestation. Results: In general, our study revealed that 22.64% of the total deforested area was converted into agriculture, 5.85% was converted into aquaculture, 0.69% was converted into infrastructure, and 16.35% was not converted into any specific land use class but was still affected by other human activities. Conclusions: We discovered that the percentage of land affected by these anthropogenic factors varied between countries and regions. This research can facilitate trade-off analysis for natural resources and environmental sustainability policy studies. Diverse management strategies can be evaluated to assess the trade-offs between preserving mangrove forests for climate change mitigation and transforming them for economic purposes.</t>
  </si>
  <si>
    <t>[Fauzi, Adam; Sakti, Anjar; Harto, Agung; Wikantika, Ketut] Inst Teknol Bandung, Fac Earth Sci &amp; Technol, Dept Geodesy &amp; Geomat, Remote Sensing &amp; Geog Informat Sci Res Grp, Bandung 40132, Indonesia; [Fauzi, Adam; Sakti, Anjar; Yayusman, Lissa; Harto, Agung; Wikantika, Ketut] Inst Teknol Bandung, Ctr Remote Sensing, Bandung 40132, Indonesia; [Fauzi, Adam] Inst Teknol Sumatera, Dept Reg &amp; Infrastruct Technol, Geomat Engn, Lampung Selatan 35365, Indonesia; [Prasetyo, Lilik] IPB Univ, Fac Forestry, Dept Nat Resource Conservat &amp; Ecotourism, Bogor 16680, Indonesia; [Irawan, Bambang] Univ Airlangga, Dept Biol, Surabaya 60286, Indonesia; [Kamal, Muhammad] Univ Gadjah Mada, Fac Geog, Dept Geog Informat Sci, Yogyakarta 55281, Indonesia</t>
  </si>
  <si>
    <t>Institute Technology of Bandung; Institute Technology of Bandung; Bogor Agricultural University; Airlangga University; Gadjah Mada University</t>
  </si>
  <si>
    <t>Fauzi, A (corresponding author), Inst Teknol Bandung, Fac Earth Sci &amp; Technol, Dept Geodesy &amp; Geomat, Remote Sensing &amp; Geog Informat Sci Res Grp, Bandung 40132, Indonesia.;Fauzi, A (corresponding author), Inst Teknol Bandung, Ctr Remote Sensing, Bandung 40132, Indonesia.;Fauzi, A (corresponding author), Inst Teknol Sumatera, Dept Reg &amp; Infrastruct Technol, Geomat Engn, Lampung Selatan 35365, Indonesia.</t>
  </si>
  <si>
    <t>adam.fauzi@gt.itera.ac.id; anjardimarasakti@gmail.com; lissafajri@gmail.com; agung@gd.itb.ac.id; lbprastdp@ipb.ac.id; bambangirawan@unair.ac.id; m.kamal@ugm.ac.id; ketut@gd.itb.ac.id</t>
  </si>
  <si>
    <t>Sakti, Anjar Dimara/ABO-6781-2022; Kamal, Muhammad/M-9942-2013; Fauzi, Adam/GOV-4933-2022; WIKANTIKA, KETUT/JFJ-1550-2023; Prasetyo, Lilik/AAM-2581-2020</t>
  </si>
  <si>
    <t>Sakti, Anjar Dimara/0000-0002-7379-1777; Kamal, Muhammad/0000-0003-4004-086X; Fauzi, Adam/0000-0003-0222-4748; Yayusman, Lissa Fajri/0000-0002-3139-6568;</t>
  </si>
  <si>
    <t>Indonesian Collaborative Research-World Class University Program; Kurita Asia Research Grant by Kurita Water and Environment Foundation [19Pid017]; MIRA program of the Ministry of Research and Higher Education of Indonesia (RisetDikti)</t>
  </si>
  <si>
    <t>Indonesian Collaborative Research-World Class University Program; Kurita Asia Research Grant by Kurita Water and Environment Foundation(Kurita Water and Environment Foundation); MIRA program of the Ministry of Research and Higher Education of Indonesia (RisetDikti)</t>
  </si>
  <si>
    <t>This project was funded by the Indonesian Collaborative Research-World Class University Program, Kurita Asia Research Grant (19Pid017), provided by Kurita Water and Environment Foundation, and MIRA program of the Ministry of Research and Higher Education of Indonesia (RisetDikti).</t>
  </si>
  <si>
    <t>10.3390/f10110952</t>
  </si>
  <si>
    <t>JV3JO</t>
  </si>
  <si>
    <t>WOS:000502262700018</t>
  </si>
  <si>
    <t>Molinario, G; Hansen, M; Potapov, P; Tyukavina, A; Stehman, S</t>
  </si>
  <si>
    <t>Molinario, Giuseppe; Hansen, Matthew; Potapov, Peter; Tyukavina, Alexandra; Stehman, Stephen</t>
  </si>
  <si>
    <t>Landscape-Scale; land cover and land use(LULC); Democratic Republic of Congo (DRC)</t>
  </si>
  <si>
    <t>LAND-COVER; TROPICAL DEFORESTATION; DRIVERS; IMPACTS; SATELLITE; CONFLICT; MAP; FRAGMENTATION; CONSERVATION; AGRICULTURE</t>
  </si>
  <si>
    <t>Shifting cultivation has been shown to be the primary cause of land use change in the Democratic Republic of Congo (DRC). Traditionally, forested and fallow land are rotated in a slash and burn cycle that has created an agricultural mosaic, including secondary forest, known as the rural complex. This study investigates the land use context of new forest clearing (during 2000-2015) in primary forest areas outside of the established rural complex. These new forest clearings occur as either rural complex expansion (RCE) or isolated forest perforations (IFP), with consequent implications on the forest ecosystem and biodiversity habitat. During 2000-2015, subsistence agriculture was the dominant driver of forest clearing for both extension of settled areas and pioneer clearings removed from settled areas. Less than 1% of clearing was directly attributable to land uses such as mining, plantations, and logging, showing that the impact of commercial operations in the DRC is currently dwarfed by a reliance on small-holder shifting cultivation. However, analyzing the landscape context showed that large-scale agroindustry and resource extraction activities lead to increased forest loss and degradation beyond their previously-understood footprints. The worker populations drawn to these areas create communities that rely on shifting cultivation and non-timber forest products (NTFP) for food, energy, and building materials. An estimated 12% of forest loss within the RCE and 9% of the area of IFP was found to be within 5 km of mines, logging, or plantations. Given increasing demographic and commercial pressures on DRC's forests, it will be crucial to factor in this landscape-level land use change dynamic in land use planning and sustainability-focused governance.</t>
  </si>
  <si>
    <t>[Molinario, Giuseppe; Hansen, Matthew; Potapov, Peter; Tyukavina, Alexandra] Univ Maryland, Dept Geog Sci, College Pk, MD 20742 USA; [Stehman, Stephen] SUNY Syracuse, Coll Environm Sci &amp; Forestry, Syracuse, NY 13210 USA</t>
  </si>
  <si>
    <t>University System of Maryland; University of Maryland College Park; State University of New York (SUNY) System; State University of New York (SUNY) College of Environmental Science &amp; Forestry</t>
  </si>
  <si>
    <t>Molinario, G (corresponding author), Univ Maryland, Dept Geog Sci, College Pk, MD 20742 USA.</t>
  </si>
  <si>
    <t>gmolinar@umd.edu; mhansen@umd.edu; potapov@umd.edu; atyukav@umd.edu; svstehma@syr.edu</t>
  </si>
  <si>
    <t>Hansen, Matthew/ABE-7226-2020; Tyukavina, Alexana/AGW-0785-2022; Potapov, Peter/AAE-7388-2019; Stehman, Stephen/AAZ-6801-2021</t>
  </si>
  <si>
    <t>Hansen, Matthew/0000-0003-0042-2767; Tyukavina, Alexana/0000-0003-3872-9844; Potapov, Peter/0000-0003-3977-0021; molinario, giuseppe/0000-0003-1454-508X;</t>
  </si>
  <si>
    <t>USAID's Central Africa Regional Program for the Environment (CARPE); NASA Goddard Space Flight Center (GSFC) [NNX14AR46G]</t>
  </si>
  <si>
    <t>USAID's Central Africa Regional Program for the Environment (CARPE)(United States Agency for International Development (USAID)); NASA Goddard Space Flight Center (GSFC)</t>
  </si>
  <si>
    <t>Support for this study was provided by USAID's Central Africa Regional Program for the Environment (CARPE) and NASA Goddard Space Flight Center (GSFC) with grant NNX14AR46G.</t>
  </si>
  <si>
    <t>10.3390/land9010023</t>
  </si>
  <si>
    <t>KL0NK</t>
  </si>
  <si>
    <t>WOS:000513129300005</t>
  </si>
  <si>
    <t>Rattner, BA; Pearson, JL; Golden, NH; Cohen, JB; Erwin, RM; Ottinger, MA</t>
  </si>
  <si>
    <t>1st Symposium on the Mid-Atlantic Integrated Assessment Program (MAIA)</t>
  </si>
  <si>
    <t>NOV 30-DEC 02, 1998</t>
  </si>
  <si>
    <t>BALTIMORE, MARYLAND</t>
  </si>
  <si>
    <t>In order to examine the condition of biota in Atlantic coast estuaries, Contaminant Exposure and Effects-Terrestrial Vertebrates database (CEE-TV) has been compiled through computerized search of published literature, review of existing databases, and solicitation of unpublished reports from conservation agencies, private groups, and universities. Summary information has been entered into the database, including species, collection date (1965-present), site coordinates, estuary name, hydrologic unit code, sample matrix, contaminant concentrations, biomarker and bioindicator responses, and reference source, utilizing a 98-field character and numeric format. Currently, the CEE-TV database contains 3699 geo-referenced records representing 190 vertebrate species and &gt; 140,000 individuals residing in estuaries from Maine through Florida. This relational database can be directly queried or imported into a Geographic Information System to examine spatial patterns, identify data gaps and areas of concern, generate hypotheses, and focus ecotoxicological field assessments. Information on birds made up the vast majority (83%) of the database, with only a modicum of data on amphibians (&lt; 0.1%). Of the &gt; 75,000 chemical compounds in commerce, only 118 commonly measured environmental contaminants were quantified in tissues of terrestrial vertebrates. There were no CEE-TV data records in 15 of the 67 estuaries located along the Atlantic coast and Florida Gulf coast. The CEE-TV database has a number of potential applications including focusing biomonitoring efforts to generate critically needed ecotoxicological data in the numerous gaps along the coast, reducing uncertainty about contaminant risk, identifying areas for mitigation, restoration or special management, and ranking ecological conditions of estuaries.</t>
  </si>
  <si>
    <t>US Geol Survey, Patuxent Wildlife Res Ctr, Laurel, MD 20708 USA</t>
  </si>
  <si>
    <t>United States Department of the Interior; United States Geological Survey</t>
  </si>
  <si>
    <t>Rattner, BA (corresponding author), US Geol Survey, Patuxent Wildlife Res Ctr, Laurel, MD 20708 USA.</t>
  </si>
  <si>
    <t>; Cohen, Jonathan/ITW-1154-2023; Golden, Nancy/AAH-5505-2019</t>
  </si>
  <si>
    <t>Cohen, Jonathan/0000-0001-7075-077X;</t>
  </si>
  <si>
    <t>KLUWER ACADEMIC PUBL</t>
  </si>
  <si>
    <t>SPUIBOULEVARD 50, PO BOX 17, 3300 AA DORDRECHT, NETHERLANDS</t>
  </si>
  <si>
    <t>10.1023/A:1006458811235</t>
  </si>
  <si>
    <t>Conference Proceedings Citation Index - Science (CPCI-S); Science Citation Index Expanded (SCI-EXPANDED)</t>
  </si>
  <si>
    <t>323YE</t>
  </si>
  <si>
    <t>WOS:000087591900009</t>
  </si>
  <si>
    <t>Kitzes, J; Berlow, E; Conlisk, E; Erb, K; Iha, K; Martinez, N; Newman, EA; Plutzar, C; Smith, AB; Harte, J</t>
  </si>
  <si>
    <t>Kitzes, Justin; Berlow, Eric; Conlisk, Erin; Erb, Karlheinz; Iha, Katsunori; Martinez, Neo; Newman, Erica A.; Plutzar, Christoph; Smith, Adam B.; Harte, John</t>
  </si>
  <si>
    <t>Biodiversity; consumption; economics; footprint; GIS; human ecology; input output; land use; life cycle; spatial</t>
  </si>
  <si>
    <t>LAND-USE IMPACTS; EXTINCTION; MODEL; EORA</t>
  </si>
  <si>
    <t>Although most conservation efforts address the direct, local causes of biodiversity loss, effective long-term conservation will require complementary efforts to reduce the upstream economic pressures, such as demands for food and forest products, which ultimately drive these downstream losses. Here, we present a wildlife footprint analysis that links global losses of wild birds to consumer purchases across 57 economic sectors in 129 regions. The United States, India, China, and Brazil have the largest regional wildlife footprints, while per-person footprints are highest in Mongolia, Australia, Botswana, and the United Arab Emirates. A US$100 purchase of bovine meat or rice products occupies approximately 0.1 km(2) of wild bird ranges, displacing 1-2 individual birds, for 1 year. Globally significant importer regions, including Japan, the United Kingdom, Germany, Italy, and France, have large footprints that drive wildlife losses elsewhere in the world and represent important targets for consumption-focused conservation attention.</t>
  </si>
  <si>
    <t>[Kitzes, Justin; Newman, Erica A.; Harte, John] Univ Calif Berkeley, Energy &amp; Resources Grp, 310 Barrows Hall, Berkeley, CA 94720 USA; [Berlow, Eric] Vibrant Data Inc, San Francisco, CA 94108 USA; [Conlisk, Erin] Lawrence Berkeley Natl Lab, Berkeley, CA 94720 USA; [Erb, Karlheinz; Plutzar, Christoph] Alpert Adria Univ Klagenfurt Wien Graz, Inst Social Ecol Vienna SEC, Vienna, Austria; [Iha, Katsunori] Global Footprint Network, Oakland, CA 94607 USA; [Martinez, Neo] Pacfic Ecoinformat &amp; Computat Ecol Lab, Berkeley, CA 94703 USA; [Newman, Erica A.; Harte, John] Univ Calif Berkeley, Dept Environm Sci Policy &amp; Management, Berkeley, CA 94720 USA; [Smith, Adam B.] Missouri Bot Garden, St Louis, MO 63110 USA</t>
  </si>
  <si>
    <t>University of California System; University of California Berkeley; United States Department of Energy (DOE); Lawrence Berkeley National Laboratory; University of California System; University of California Berkeley; Missouri Botanical Gardens</t>
  </si>
  <si>
    <t>jkitzes@berkeley.edu</t>
  </si>
  <si>
    <t>Martinez, Neo/A-5312-2008; Kitzes, Justin/D-1818-2011; Plutzar, Christoph/J-6055-2015; Erb, Karlheinz/F-1282-2016; Smith, Adam/L-5111-2013</t>
  </si>
  <si>
    <t>Martinez, Neo/0000-0002-1130-5550; Kitzes, Justin/0000-0001-7839-3594; Newman, Erica/0000-0001-6433-8594;</t>
  </si>
  <si>
    <t>National Science Foundation; ERC [236522 LUISE]; Austrian Science Fund (FWF) [P20812-G11]; Directorate For Geosciences; ICER [1642894] Funding Source: National Science Foundation; Austrian Science Fund (FWF) [P20812] Funding Source: Austrian Science Fund (FWF)</t>
  </si>
  <si>
    <t>National Science Foundation(National Science Foundation (NSF)); ERC(European Research Council (ERC)); Austrian Science Fund (FWF)(Austrian Science Fund (FWF)); Directorate For Geosciences; ICER(National Science Foundation (NSF)NSF - Directorate for Geosciences (GEO)); Austrian Science Fund (FWF)(Austrian Science Fund (FWF))</t>
  </si>
  <si>
    <t>We thank M. Anantharaman, W. Lidicker, Jr., A. Merenlender, and L. Smith for comments on drafts of this manuscript. We acknowledge funding from the National Science Foundation and ERC Grant 236522 LUISE, the Austrian Science Fund (FWF), project P20812-G11.</t>
  </si>
  <si>
    <t>10.1111/con4.12321</t>
  </si>
  <si>
    <t>FJ6IT</t>
  </si>
  <si>
    <t>WOS:000412861500004</t>
  </si>
  <si>
    <t>Stephens, PA; Mason, LR; Green, RE; Gregory, RD; Sauer, JR; Alison, J; Aunins, A; Brotons, L; Butchart, SHM; Campedelli, T; Chodkiewicz, T; Chylarecki, P; Crowe, O; Elts, J; Escandell, V; Foppen, RPB; Heldbjerg, H; Herrando, S; Husby, M; Jiguet, F; Lehikoinen, A; Lindström, Å; Noble, DG; Paquet, JY; Reif, J; Sattler, T; Szép, T; Teufelbauer, N; Trautmann, S; van Strien, AJ; van Turnhout, CAM; Vorisek, P; Willis, SG</t>
  </si>
  <si>
    <t>Stephens, Philip A.; Mason, Lucy R.; Green, Rhys E.; Gregory, Richard D.; Sauer, John R.; Alison, Jamie; Aunins, Ainars; Brotons, Lluis; Butchart, Stuart H. M.; Campedelli, Tommaso; Chodkiewicz, Tomasz; Chylarecki, Przemyslaw; Crowe, Olivia; Elts, Jaanus; Escandell, Virginia; Foppen, Ruud P. B.; Heldbjerg, Henning; Herrando, Sergi; Husby, Magne; Jiguet, Frederic; Lehikoinen, Aleksi; Lindstrom, Ake; Noble, David G.; Paquet, Jean-Yves; Reif, Jiri; Sattler, Thomas; Szep, Tibor; Teufelbauer, Norbert; Trautmann, Sven; van Strien, Arco J.; van Turnhout, Chris A. M.; Vorisek, Petr; Willis, Stephen G.</t>
  </si>
  <si>
    <t>BODY-SIZE; DYNAMICS; IMPACTS</t>
  </si>
  <si>
    <t>Global climate change is a major threat to biodiversity. Large-scale analyses have generally focused on the impacts of climate change on the geographic ranges of species and on phenology, the timing of ecological phenomena. We used long-term monitoring of the abundance of breeding birds across Europe and the United States to produce, for both regions, composite population indices for two groups of species: those for which climate suitability has been either improving or declining since 1980. The ratio of these composite indices, the climate impact indicator (CII), reflects the divergent fates of species favored or disadvantaged by climate change. The trend in CII is positive and similar in the two regions. On both continents, interspecific and spatial variation in population abundance trends are well predicted by climate suitability trends.</t>
  </si>
  <si>
    <t>[Stephens, Philip A.; Willis, Stephen G.] Univ Durham, Sch Biol &amp; Biomed Sci, Conservat Ecol Grp, South Rd, Durham DH1 3LE, England; [Mason, Lucy R.; Green, Rhys E.; Gregory, Richard D.] Royal Soc Protect Birds, Ctr Conservat Sci, Sandy SG19 2DL, Beds, England; [Green, Rhys E.; Butchart, Stuart H. M.] Univ Cambridge, Dept Zool, Conservat Sci Grp, Downing St, Cambridge CB2 3EJ, England; [Sauer, John R.] US Geol Survey, Patuxent Wildlife Res Ctr, 12100 Beech Forest Rd, Laurel, MD 20708 USA; [Alison, Jamie] Univ Liverpool, Inst Integrat Biol, Crown St, Liverpool L69 3BX, Merseyside, England; [Aunins, Ainars] Univ Latvia, Fac Biol, Jelgavas Iela 1, LV-1004 Riga, Latvia; [Brotons, Lluis] InForest JRU, Ctr Tecnol Forestal Catalunya, Ctr Mediterranean Forest Res, Solsona 25280, Spain; [Brotons, Lluis] REAF, Catalonia 08193, Spain; [Brotons, Lluis] CSIC, Catalonia 08193, Spain; [Butchart, Stuart H. M.] BirdLife Int, David Attenborough Bldg,Pembroke St, Cambridge CB2 3QZ, England; [Campedelli, Tommaso] MITO2000 Natl Committee, Via Garibaldi 3, I-52015 Arezzo, Italy; [Chodkiewicz, Tomasz] Ogolnopolskie Towarzystwo Ochrony Ptakow, PL-05270 Odrowaza, Markl, Poland; [Chylarecki, Przemyslaw] Polish Acad Sci, Museum &amp; Inst Zool, Wilcza 64, PL-00679 Warsaw, Poland; [Crowe, Olivia] BirdWatch Ireland, Unit 20 Block D Bullford Business Campus, Wicklow, Kilcoole County, Ireland; [Elts, Jaanus] Univ Tartu, Inst Ecol &amp; Earth Sci, Vanemuise St 46, EE-51014 Tartu, Estonia; [Elts, Jaanus] Estonian Ornithol Soc, Veski 4, EE-51005 Tartu, Estonia; [Escandell, Virginia] Soc Espanola Ornitol, BirdLife Melquiad Biencinto 34, Madrid 28053, Spain; [Foppen, Ruud P. B.] European Bird Census Council, POB 6521, NL-6503 GA Nijmegen, Netherlands; [Foppen, Ruud P. B.; van Turnhout, Chris A. M.] Sovon Dutch Ctr Field Ornithol, POB 6521, NL-6503 GA Nijmegen, Netherlands; [Foppen, Ruud P. B.; van Turnhout, Chris A. M.] Radboud Univ Nijmegen, Inst Water &amp; Wetland Res, Dept Anim Ecol &amp; Ecophysiol, POB 9010, NL-6500 GL Nijmegen, Netherlands; [Heldbjerg, Henning] Dansk Ornitologisk Forening BirdLife Denmark, Vesterbrogade 140, DK-1620 Copenhagen V, Denmark; [Heldbjerg, Henning] Univ Aarhus, Vesterbrogade 140, DK-1620 Copenhagen V, Denmark; [Herrando, Sergi] Nat Hist Museum Barcelona, Catalan Ornithol Inst, European Bird Census Council, Pl Leonardo da Vinci 4-5, Barcelona 08019, Catalonia, Spain; [Husby, Magne] Nord Univ, Sect Sci, N-7600 Levanger, Norway; [Jiguet, Frederic] Univ Paris 06, CESCO, CRBPO, UMR7204,Sorbonne Univ MNHN CNRS, CP 135,43 Rue Buffon, F-75005 Paris, France; [Lehikoinen, Aleksi] Univ Helsinki, Finnish Museum Nat Hist, Helsinki Lab Ornithol, POB 17, FIN-00014 Helsinki, Finland; [Lindstrom, Ake] Lund Univ, Dept Biol, Biodivers Unit, Ecol Bldg, S-22362 Lund, Sweden; [Noble, David G.] British Trust Ornithol, Norfolk IP24 2PU, England; [Paquet, Jean-Yves] Dept Etudes, Rue Nanon 98, B-5000 Namur, Belgium; [Reif, Jiri] Charles Univ Prague, Fac Sci, Inst Environm Studies, Prague, Czech Republic; [Reif, Jiri] Palacky Univ, Fac Sci, Dept Zool, 17 Listopadu 50, Olomouc 77143, Czech Republic; [Reif, Jiri; Vorisek, Petr] Palacky Univ, Fac Sci, Ornithol Lab, 17 Listopadu 50, Olomouc 77143, Czech Republic; [Sattler, Thomas] Swiss Ornithol Inst, Seerose 1, CH-6204 Sempach, Switzerland; [Szep, Tibor] Univ Nyiregyhaza, Inst Environm Sci, Sostoi Ut 31-B, H-4400 Nyiregyhaza, Hungary; [Teufelbauer, Norbert] BirdLife Austria, Museumspl 1-10-8, A-1070 Vienna, Austria; [Trautmann, Sven] Dachverband Deutsch Avifaunisten eV, Federat German Avifaunists, Speichern 6, D-48157 Munster, Germany; [van Strien, Arco J.] Stat Netherlands, POB 24500, NL-2490 HA The Hague, Netherlands; [Vorisek, Petr] Czech Soc Ornithol, Pan European Common Bird Monitoring Scheme, Na Belidle 252-34, CZ-15000 Prague 5, Czech Republic</t>
  </si>
  <si>
    <t>Durham University; Royal Society for Protection of Birds; University of Cambridge; United States Department of the Interior; United States Geological Survey; University of Liverpool; University of Latvia; Centre Tecnologic Forestal de Catalunya (CTFC); Consejo Superior de Investigaciones Cientificas (CSIC); BirdLife International; Polish Academy of Sciences; Museum &amp; Institute of Zoology of the Polish Academy of Sciences; University of Tartu; Tartu University Institute of Ecology &amp; Earth Sciences; Radboud University Nijmegen; Aarhus University; Nord University; Centre National de la Recherche Scientifique (CNRS); CNRS - Institute of Ecology &amp; Environment (INEE); Sorbonne Universite; Museum National d'Histoire Naturelle (MNHN); University of Helsinki; Lund University; British Trust for Ornithology; Charles University Prague; Palacky University Olomouc; Palacky University Olomouc; Swiss Ornithological Institute; University of Nyiregyhaza</t>
  </si>
  <si>
    <t>Willis, SG (corresponding author), Univ Durham, Sch Biol &amp; Biomed Sci, Conservat Ecol Grp, South Rd, Durham DH1 3LE, England.</t>
  </si>
  <si>
    <t>s.g.willis@durham.ac.uk</t>
  </si>
  <si>
    <t>Stephens, Philip/B-8397-2008; Elts, Jaanus/W-3205-2019; Butchart, Stuart/Y-2711-2018; Mason, Lucy/I-2499-2019; van Strien, Arco J/AAG-1843-2020; Heldbjerg, Henning/GRF-3351-2022; Alison, Jamie/AAD-5013-2022; Willis, Stephen/F-8503-2015; Lehikoinen, Aleksi/O-5444-2016; Vorisek, Petr/E-3336-2012; Chodkiewicz, Tomasz/AAC-4975-2019; Aunins, Ainars/H-4927-2011; Brotons, Lluís/D-1570-2009; Foppen, Ruud/PEV-3503-2025; Chylarecki, Przemysław/B-7696-2013; Reif, Jiri/I-9168-2017; Szép, Tibor/HTN-1072-2023</t>
  </si>
  <si>
    <t>Stephens, Philip/0000-0001-5849-788X; Paquet, Jean-Yves/0000-0002-2068-7976; Elts, Jaanus/0000-0002-2672-4918; Butchart, Stuart/0000-0002-1140-4049; Mason, Lucy/0000-0001-9567-6262; van Strien, Arco J/0000-0003-0451-073X; Heldbjerg, Henning/0000-0003-4268-2671; Alison, Jamie/0000-0002-6787-6192; Sattler, Thomas/0000-0001-5359-6387; Willis, Stephen/0000-0002-8656-5808; Lehikoinen, Aleksi/0000-0002-1989-277X; Herrando, Sergi/0000-0002-5153-7970; Chodkiewicz, Tomasz/0000-0002-9342-2370; Aunins, Ainars/0000-0002-6051-1879; Brotons, Lluís/0000-0002-4826-4457; Chylarecki, Przemysław/0000-0001-6863-4294; Reif, Jiri/0000-0003-2553-7333; Gregory, Richard/0000-0002-7419-5053</t>
  </si>
  <si>
    <t>Royal Society for the Protection of Birds; European Environment Agency; European Commission; Durham University's Grevillea Trust</t>
  </si>
  <si>
    <t>Royal Society for the Protection of Birds; European Environment Agency; European Commission(European Union (EU)European Commission Joint Research Centre); Durham University's Grevillea Trust</t>
  </si>
  <si>
    <t>The climate suitability and population trend data for individual species at the country/state level are provided as supplementary material ( table S6) ( 20). Climate data are available from www.worldclim.org/. This work has been part-funded by the Royal Society for the Protection of Birds, the European Environment Agency, the European Commission, and Durham University's Grevillea Trust. We thank A. Teller and K. Biala for support; M. Flade, J. Schwarz, and C. Gruneberg for data provision; and M. Clement (U.S. Geological Survey) and two anonymous referees for comments on an earlier draft.</t>
  </si>
  <si>
    <t>10.1126/science.aac4858</t>
  </si>
  <si>
    <t>DH8JP</t>
  </si>
  <si>
    <t>WOS:000373039600040</t>
  </si>
  <si>
    <t>Wamelink, GWW; de Knegt, B; Pouwels, R; Schuiling, C; Wegman, RMA; Schmidt, AM; van Dobben, HF; Sanders, ME</t>
  </si>
  <si>
    <t>Wamelink, G. W. W.; de Knegt, B.; Pouwels, R.; Schuiling, C.; Wegman, R. M. A.; Schmidt, A. M.; van Dobben, H. F.; Sanders, M. E.</t>
  </si>
  <si>
    <t>Atmospheric nitrogen deposition; Habitat fragmentation; Desiccation; Habitats and Birds Directives; Lack of suitable habitat; Natura 2000 network</t>
  </si>
  <si>
    <t>NITROGEN DEPOSITION; CRITICAL LOADS; CLIMATE-CHANGE; GLOBAL CHANGE; BIODIVERSITY; VEGETATION; CONSEQUENCES; ACID; CONNECTIVITY; CONSERVATION</t>
  </si>
  <si>
    <t>Many habitats and species have their existence threatened, especially in densely populated areas such as Western Europe. To stop the decline of biodiversity, the Natura 2000 network is being set-up. The ultimate objective is to get all habitat types (of Annex I of the Habitats Directive) and species (of Annexes II, III and IV of the Habitats Directive and Annex I of the Birds Directive) in a favourable conservation status. In the Netherlands a national ecological network has been set up for this purpose which includes the designated Natura 2000 sites. The current amount of atmospheric nitrogen deposition, acidification and desiccation were compared with limit values per habitat type for nitrogen deposition load, soil pH and spring groundwater table respectively and subsequently presented together in one map. Fragmentation was tested for 80 species. For two-third of the examined natural surface the critical load for nitrogen deposition is exceeded, desiccation is present in over 90% of the area of groundwater dependent nature. Problems with acidification are less pronounced. Fragmentation is present causing regional problems for up to six species. When the four pressures are combined, about two third of the areas suffer from at least one pressure. Many areas suffer from a combination of nitrogen deposition and desiccation. We conclude that environmental and spatial conditions are insufficient to meet the biodiversity target set by the European Union for the Natura 2000 network, habitat types and species. (C) 2013 Elsevier Ltd. All rights reserved.</t>
  </si>
  <si>
    <t>[Wamelink, G. W. W.; de Knegt, B.; Pouwels, R.; Schuiling, C.; Wegman, R. M. A.; Schmidt, A. M.; van Dobben, H. F.; Sanders, M. E.] Wageningen Univ, Res Ctr, Dept Landscape Ecol, Alterra, NL-6700 AA Wageningen, Netherlands</t>
  </si>
  <si>
    <t>Wamelink, GWW (corresponding author), Wageningen Univ, Res Ctr, Dept Landscape Ecol, Alterra, POB 47, NL-6700 AA Wageningen, Netherlands.</t>
  </si>
  <si>
    <t>wieger.wamelink@wur.nl</t>
  </si>
  <si>
    <t>wamelink, wieger/O-2337-2019</t>
  </si>
  <si>
    <t>wamelink, wieger/0000-0002-9795-2248</t>
  </si>
  <si>
    <t>Netherlands ministry of Economic Affairs; Statutory Research Tasks Unit for Nature &amp; the Environment of Wageningen UR</t>
  </si>
  <si>
    <t>Netherlands ministry of Economic Affairs(Ministry of Economic Affairs, Netherlands); Statutory Research Tasks Unit for Nature &amp; the Environment of Wageningen UR</t>
  </si>
  <si>
    <t>This research was funded by the Netherlands ministry of Economic Affairs and the Statutory Research Tasks Unit for Nature &amp; the Environment of Wageningen UR.</t>
  </si>
  <si>
    <t>10.1016/j.biocon.2013.05.012</t>
  </si>
  <si>
    <t>210YQ</t>
  </si>
  <si>
    <t>WOS:000323871700006</t>
  </si>
  <si>
    <t>Rayan, DM; Linkie, M</t>
  </si>
  <si>
    <t>Rayan, D. Mark; Linkie, Matthew</t>
  </si>
  <si>
    <t>Carnivore; Conservation planning; Forest management; Logging; Panthera tigris; Wildlife corridor</t>
  </si>
  <si>
    <t>PANTHERA-TIGRIS; HUMAN DISTURBANCE; SITE-OCCUPANCY; FOREST; MAMMALS; PREY</t>
  </si>
  <si>
    <t>The unprecedented economic growth occurring across Southeast Asia is causing large tracts of rainforest to be logged, converted to plantations or fragmented by infrastructure development. It also opens up forest to poachers which, in combination, places acute pressure on the region's large carnivores. Here, we focus on one of Malaysia's three priority tiger landscapes that illustrate these regional conservation challenges. The Royal Belum State Park (RBSP) and Temengor Forest Reserve (TFR) are connected by a strip of unprotected forest with portions assigned for conversion to monoculture plantations. To support government in setting aside wildlife corridors, we assessed: the abundance of tiger and principle prey under two different forest management regimes in RBSP and TFR; and, tiger habitat use in the unprotected forest strip, from which a spatially-explicit habitat model was produced to identify priority points of forest connectivity. Camera trapping revealed a threefold higher tiger density in the protected area (RBSP) than the forest reserve subjected to selective logging (TFR), which was likely explained by the higher relative abundance of its principal prey, seemingly lower levels of poaching as indicated from an independent study and presence of armed forces that may have deterred poachers. Two forest corridors were identified as being important for maintaining landscape connectivity and these findings were used to successfully lobby state government in affording them protection. This research offers an urgently needed approach for better managing Malaysian tiger habitat within forest reserves, which are predominantly designated for logging and have weak or non-existent wildlife protection measures. (C) 2015 Elsevier Ltd. All rights reserved.</t>
  </si>
  <si>
    <t>[Rayan, D. Mark] PJCC, WWF Malaysia, Petaling Jaya 46150, Selangor, Malaysia; [Rayan, D. Mark; Linkie, Matthew] Univ Kent, Durrell Inst Conservat &amp; Ecol, Canterbury CT2 7NZ, Kent, England; [Linkie, Matthew] Fauna &amp; Flora Int, Singapore 247672, Singapore</t>
  </si>
  <si>
    <t>World Wildlife Fund; University of Kent</t>
  </si>
  <si>
    <t>Rayan, DM (corresponding author), PJCC, WWF Malaysia, 1 Jalan PJS 5-28A, Petaling Jaya 46150, Selangor, Malaysia.</t>
  </si>
  <si>
    <t>markrayan78@gmail.com; Matthew.linkie@fauna-flora.org</t>
  </si>
  <si>
    <t>WWF-Netherlands,; U.S Fish and Wildlife Service; Mohamed bin Zayed Species Conservation Fund; Malaysian Wildlife Conservation Fund; WWF-US Kathryn Fuller Science for Nature Fellowship; Pulau Banding Foundation</t>
  </si>
  <si>
    <t>WWF-Netherlands,; U.S Fish and Wildlife Service(US Fish &amp; Wildlife Service); Mohamed bin Zayed Species Conservation Fund; Malaysian Wildlife Conservation Fund; WWF-US Kathryn Fuller Science for Nature Fellowship; Pulau Banding Foundation</t>
  </si>
  <si>
    <t>We thank Perak State Parks Corporation, the Department of Wildlife and National Parks and the Forestry Department of Perak for permission to conduct our surveys. We thank Shariff Wan Mohamad, Christopher Wong, Ching Fong, Elangkumaran, Hamirul Razak, Azlan Mohamed and our Orang Asti guides for carrying out the fieldwork. We also thank Guruzeta Guillera-Arroita and Mike Meredith for advice on occupancy and Murray Efford for analytical exposure on SECR. This study was supported by WWF-Netherlands, the U.S Fish and Wildlife Service, Mohamed bin Zayed Species Conservation Fund and Malaysian Wildlife Conservation Fund. D. Mark Rayan is supported by WWF-US Kathryn Fuller Science for Nature Fellowship, and Pulau Banding Foundation.</t>
  </si>
  <si>
    <t>10.1016/j.biocon.2014.12.024</t>
  </si>
  <si>
    <t>CG1BE</t>
  </si>
  <si>
    <t>WOS:000353007200003</t>
  </si>
  <si>
    <t>Syphard, AD; Radeloff, VC; Hawbaker, TJ; Stewart, SI</t>
  </si>
  <si>
    <t>Syphard, Alexandra D.; Radeloff, Volker C.; Hawbaker, Todd J.; Stewart, Susan I.</t>
  </si>
  <si>
    <t>fire; land cover; Mediterranean; MODIS; population density; remote sensing; cobertura de suelo; densidad poblacional; fuego; Mediterraneo; MODIS; percepcion remota</t>
  </si>
  <si>
    <t>BIODIVERSITY HOTSPOTS; SPATIAL-PATTERNS; CALIFORNIA; MODIS; IMPACTS; DISTURBANCE; HISTORY; REGIMES; AREAS; BASIN</t>
  </si>
  <si>
    <t>Periodic wildfire is an important natural process in Mediterranean-climate ecosystems, but increasing fire recurrence threatens the fragile ecology of these regions. Because most fires are human-caused, we investigated how human population patterns affect fire frequency. Prior research in California suggests the relationship between population density and fire frequency is not linear. There are few human ignitions in areas with low population density, so fire frequency is low. As population density increases, human ignitions and fire frequency also increase, but beyond a density threshold, the relationship becomes negative as fuels become sparser and fire suppression resources are concentrated. We tested whether this hypothesis also applies to the other Mediterranean-climate ecosystems of the world. We used global satellite databases of population, fire activity, and land cover to evaluate the spatial relationship between humans and fire in the world's five Mediterranean-climate ecosystems. Both the mean and median population densities were consistently and substantially higher in areas with than without fire, but fire again peaked at intermediate population densities, which suggests that the spatial relationship is complex and nonlinear. Some land-cover types burned more frequently than expected, but no systematic differences were observed across the five regions. The consistent association between higher population densities and fire suggests that regardless of differences between land-cover types, natural fire regimes, or overall population, the presence of people in Mediterranean-climate regions strongly affects the frequency of fires; thus, population growth in areas now sparsely settled presents a conservation concern. Considering the sensitivity of plant species to repeated burning and the global conservation significance of Mediterranean-climate ecosystems, conservation planning needs to consider the human influence on fire frequency. Fine-scale spatial analysis of relationships between people and fire may help identify areas where increases in fire frequency will threaten ecologically valuable areas.</t>
  </si>
  <si>
    <t>[Syphard, Alexandra D.; Radeloff, Volker C.; Hawbaker, Todd J.] Univ Wisconsin, Dept Forest &amp; Wildlife Ecol, Madison, WI 53706 USA; [Stewart, Susan I.] USDA Forest Serv, No Res Stn, Evanston, IL 60201 USA</t>
  </si>
  <si>
    <t>University of Wisconsin System; University of Wisconsin Madison; United States Department of Agriculture (USDA); United States Forest Service</t>
  </si>
  <si>
    <t>Syphard, AD (corresponding author), Conservat Biol Inst, 7916 Deerfield St, San Diego, CA 92120 USA.</t>
  </si>
  <si>
    <t>asyphard@consbio.org</t>
  </si>
  <si>
    <t>; Hawbaker, Todd/ISS-4733-2023; Radeloff, Volker/B-6124-2016</t>
  </si>
  <si>
    <t>Syphard, Alexana/0000-0003-3070-0596; Hawbaker, Todd/0000-0003-0930-9154; Radeloff, Volker/0000-0001-9004-221X</t>
  </si>
  <si>
    <t>U.S. Forest Service Northern Research Station</t>
  </si>
  <si>
    <t>U.S. Forest Service Northern Research Station(United States Department of Agriculture (USDA)United States Forest Service)</t>
  </si>
  <si>
    <t>We gratefully thank the U.S. Forest Service Northern Research Station for supporting this research. Three anonymous reviewers and the assigning editor, B. McComb made valuable suggestions, which greatly strengthened our manuscript.</t>
  </si>
  <si>
    <t>10.1111/j.1523-1739.2009.01223.x</t>
  </si>
  <si>
    <t>445SG</t>
  </si>
  <si>
    <t>WOS:000266071200031</t>
  </si>
  <si>
    <t>Grainger, MJ; Garson, PJ; Browne, SJ; McGowan, PJK; Savini, T</t>
  </si>
  <si>
    <t>Grainger, Matthew J.; Garson, Peter J.; Browne, Stephen J.; McGowan, Philip J. K.; Savini, Tommaso</t>
  </si>
  <si>
    <t>Aichi target 12; Extinction probability; Galliformes; Protected area effectiveness; Forest loss</t>
  </si>
  <si>
    <t>EXTINCTION; IMPACT; NETWORKS; CLIMATE; RISK</t>
  </si>
  <si>
    <t>Local and regional extirpations of individual species, typically high profile cases, are now well documented, leading to calls for urgent action for particular species in specific locations. There is a need to broaden our assessments of extinction to identify landscapes that contain high proportions of threatened species and therefore, how more holistic species conservation responses might be developed. The conservation status of species is especially concerning in Southeast Asia and within the region, the avian family Phasianidae affords the opportunity to develop an approach for examining species richness and extinction probability for an entire family at landscape scale. There are 42 pheasant, partridge and quail species in the region and 77% of Southeast Asia encompasses the geographic range of at least five species. Due to high levels of uncertainty about how species respond to anthropogenic threats, we created an expert elicited Bayesian Belief Network to explore survival prospects using publically available data on IUCN extinction probability categories, proxies of threat (effects of hunting, forest loss and protected area effectiveness) and species geographic ranges to assess where the overall risk to survival was highest. Western Myanmar, Central Indoburma (Thailand/Myanmar), the Annamite mountains and Central Vietnam lowlands, Peninsular Malaysia, Sumatra and Borneo are priorities for avoiding large numbers of extinctions of phasianids. This assessment will be strengthened by more detailed data on intensity of hunting pressure across the region, and variation in species' tolerance to human disturbance. Strategically, therefore, conservation and research should be targeted towards these landscapes.</t>
  </si>
  <si>
    <t>[Grainger, Matthew J.; Garson, Peter J.; McGowan, Philip J. K.] Newcastle Univ, Sch Nat &amp; Environm Sci, Ridley Bldg,Claremont Rd, Newcastle Upon Tyne NE1 7RU, Tyne &amp; Wear, England; [Browne, Stephen J.] Fauna &amp; Flora Int, David Attenborough Bldg,Pembroke St, Cambridge CB2 3QZ, England; [Savini, Tommaso] King Mongkuts Univ Technol Thonburi, Sch Bioresources &amp; Technol, Conservat Ecol Program, 49 SoiThianThale 25,Bang KlumThian Chai Thale Rd, Bangkok 10150, Thailand</t>
  </si>
  <si>
    <t>Newcastle University - UK; King Mongkuts University of Technology Thonburi</t>
  </si>
  <si>
    <t>McGowan, PJK (corresponding author), Newcastle Univ, Sch Nat &amp; Environm Sci, Ridley Bldg,Claremont Rd, Newcastle Upon Tyne NE1 7RU, Tyne &amp; Wear, England.</t>
  </si>
  <si>
    <t>philip.mcgowan@newcastle.ac.uk</t>
  </si>
  <si>
    <t>Grainger, Matthew/K-6539-2019</t>
  </si>
  <si>
    <t>Grainger, Matthew/0000-0001-8426-6495</t>
  </si>
  <si>
    <t>King Mongkut's University of Technology Thonburi; Royal Golden Jubilee (Thailand) [PHD54K0015]; Newcastle University Research Committee</t>
  </si>
  <si>
    <t>King Mongkut's University of Technology Thonburi; Royal Golden Jubilee (Thailand); Newcastle University Research Committee</t>
  </si>
  <si>
    <t>King Mongkut's University of Technology Thonburi, the Royal Golden Jubilee (PHD54K0015) (Thailand) and Newcastle University Research Committee funded the opportunities to work together on this manuscript. We thank N Sukumal and two anonymous reviewers for helpful comments that improved earlier versions of this manuscript.</t>
  </si>
  <si>
    <t>10.1016/j.biocon.2018.02.005</t>
  </si>
  <si>
    <t>GC4OS</t>
  </si>
  <si>
    <t>WOS:000429765000007</t>
  </si>
  <si>
    <t>Monteiro, L; Machado, N; Martins, E; Pougy, N; Verdi, M; Martinelli, G; Loyola, R</t>
  </si>
  <si>
    <t>Monteiro, Lara; Machado, Nathalia; Martins, Eline; Pougy, Nina; Verdi, Marcio; Martinelli, Gustavo; Loyola, Rafael</t>
  </si>
  <si>
    <t>FLORA</t>
  </si>
  <si>
    <t>Campos rupestres; Cerrado; Endangered species; Rupestrian grasslands; Systematic conservation planning; Zonation</t>
  </si>
  <si>
    <t>BIODIVERSITY CONSERVATION; DISTRIBUTION MODELS; CHALLENGES; SHORTFALLS; REGIONS; RANGE</t>
  </si>
  <si>
    <t>Mountaintop rupestrian grasslands or campos rupestres are unique ecosystems with high plant biodiversity. The southern Espinhaco mountains in Brazil are particularly important because they currently harbor 255 threatened plant species at risk of extinction owing to overspread farming, mining and uncontrolled fire in the region. Using the best available data on the distribution of these threatened species, distribution of farming and mining activities, and up-to-date data on fire frequency, here we developed a systematic conservation plan for all these species and pinpointed priority regions for taking different conservation actions. We found that it is possible to protect, on average, more than 25% of the threatened species ranges, avoiding sites with extensive use for farming and mining and favoring areas with intensive fire frequency while constraining the management to a relatively small area of only 17% of the region. The analysis accounts for what is already protected within protected areas in the region and is, therefore, complementary to the work already held by the actors and environmental organizations of the region. We offer maps of priority areas with their respective level of protection and suggest conservation actions at different levels of engagement to be implemented in the priority areas. These priority areas are part of a national species recovery plan for the region in Brazil and will likely support stakeholders and decision makers in its application in the forthcoming years. (c) 2017 Elsevier GmbH. All rights reserved.</t>
  </si>
  <si>
    <t>[Monteiro, Lara; Machado, Nathalia; Loyola, Rafael] Univ Fed Goias, Dept Ecol, Lab Biogeog Conservacao, Ave Esperanca S-N,Campus Samambaia, Goiania, Go, Brazil; [Monteiro, Lara] Univ Fed Goias, Programa Posgrad Ecol &amp; Evolucao, Goiania, Go, Brazil; [Machado, Nathalia; Martins, Eline; Pougy, Nina; Verdi, Marcio; Martinelli, Gustavo; Loyola, Rafael] Inst Pesquisas Jardim Bot Rio de Janeiro, Ctr Nacl Conservacao Flora, Rio De Janeiro, RJ, Brazil; [Pougy, Nina] Univ Fed Rural Rio de Janeiro, Programa Posgrad Prat Desenvolvimento Sustentavel, Rio De Janeiro, RJ, Brazil</t>
  </si>
  <si>
    <t>Universidade Federal de Goias; Universidade Federal de Goias; Jardim Botanico do Rio de Janeiro; Universidade Federal Rural do Rio de Janeiro (UFRRJ)</t>
  </si>
  <si>
    <t>Loyola, R (corresponding author), Univ Fed Goias, Dept Ecol, Lab Biogeog Conservacao, Ave Esperanca S-N,Campus Samambaia, Goiania, Go, Brazil.</t>
  </si>
  <si>
    <t>loyola@ufg.br</t>
  </si>
  <si>
    <t>de Macedo Monteiro, Lara/MGU-8005-2025; Verdi, Marcio/B-2605-2018; Loyola, Rafael/S-3978-2019</t>
  </si>
  <si>
    <t>de Macedo Monteiro, Lara/0000-0002-2524-5173; Verdi, Marcio/0000-0003-4977-0762; Loyola, Rafael/0000-0001-5323-2735</t>
  </si>
  <si>
    <t>CNPq [308532/2014-7, 479959/2013-7, 407094/2013-0, 563621/2010-9]; O Boticario Group Foundation Nature Protection [PROG_0008_2013]; CNCFlora</t>
  </si>
  <si>
    <t>CNPq(Conselho Nacional de Desenvolvimento Cientifico e Tecnologico (CNPQ)); O Boticario Group Foundation Nature Protection; CNCFlora</t>
  </si>
  <si>
    <t>We thank all the local actors, botanical experts, institutions, and traditional people that made the elaboration of the Southern Espinhaco Mountaintop Species Recovery Plan possible. Thanks also to two anonymous reviewers who provided constructive comments on the first version of this paper. RL and the Conservation Biogeography Lab's research has been constantly funded by CNPq (grants # 308532/2014-7, 479959/2013-7, 407094/2013-0, 563621/2010-9), O Boticario Group Foundation Nature Protection( grant # PROG_0008_2013), and CNCFlora.</t>
  </si>
  <si>
    <t>ELSEVIER GMBH, URBAN &amp; FISCHER VERLAG</t>
  </si>
  <si>
    <t>JENA</t>
  </si>
  <si>
    <t>OFFICE JENA, P O BOX 100537, 07705 JENA, GERMANY</t>
  </si>
  <si>
    <t>0367-2530</t>
  </si>
  <si>
    <t>1618-0585</t>
  </si>
  <si>
    <t>Flora</t>
  </si>
  <si>
    <t>10.1016/j.flora.2017.03.007</t>
  </si>
  <si>
    <t>FX9TY</t>
  </si>
  <si>
    <t>WOS:000426451700027</t>
  </si>
  <si>
    <t>Kamino, LHY; Pereira, EO; do Carmo, FF</t>
  </si>
  <si>
    <t>Kamino, Luciana Hiromi Yoshino; Pereira, Eric Oliveira; do Carmo, Flavio Fonseca</t>
  </si>
  <si>
    <t>Ecological disaster; Environmental footprints; Governance; Megadiversity; Tailings Dam</t>
  </si>
  <si>
    <t>BIODIVERSITY; REAGENTS; DISASTER</t>
  </si>
  <si>
    <t>Irreversible losses of natural areas and damage to ecosystem services are caused by large-scale mining. These effects are prominent in Minas Gerais, which is home to a mining industry with hundreds of tailings dams concentrated in global hotspots: the Cerrado and the Atlantic Forest. We present an overview of the spatial overlap between protected areas (PAs), priority conservation areas (PCAs), tailings dams, and their influence areas. A total of 218 dams accumulated environmental costs and liability that are represented by 2.24 thousand million m(3) of tailings and industrial waste. Most dams (approximate to 70%) are located in PCAs, 45 dams in conservation units, 58 in their respective buffer zones, and 51 in special protection areas. We have identified an urgent need to implement adequate public policies to establish management and monitoring mechanisms in PAs and PCAs and to address a scenario of high potential for socioenvironmental damage associated with tailings dams.</t>
  </si>
  <si>
    <t>[Kamino, Luciana Hiromi Yoshino; Pereira, Eric Oliveira; do Carmo, Flavio Fonseca] Inst Pristino, Rua Santa Maria Goretti 86, BR-30642020 Belo Horizonte, MG, Brazil</t>
  </si>
  <si>
    <t>Kamino, LHY (corresponding author), Inst Pristino, Rua Santa Maria Goretti 86, BR-30642020 Belo Horizonte, MG, Brazil.</t>
  </si>
  <si>
    <t>luciana@institutopristino.org.br; ericpereiraufmg@gmail.com; flavio@institutopristino.org.br</t>
  </si>
  <si>
    <t>Kamino, Luciana Hiromi Yoshino/AAE-5441-2019</t>
  </si>
  <si>
    <t>Kamino, Luciana Hiromi Yoshino/0000-0003-2624-0128</t>
  </si>
  <si>
    <t>10.1007/s13280-020-01326-8</t>
  </si>
  <si>
    <t>MW4EP</t>
  </si>
  <si>
    <t>WOS:000520682400001</t>
  </si>
  <si>
    <t>Venkataraman, AB; Kumar, NV; Varma, S; Sukumar, R</t>
  </si>
  <si>
    <t>Conservation of a flagship species: Prioritizing Asian elephant (Elephas maximus) conservation units in southern India</t>
  </si>
  <si>
    <t>CURRENT SCIENCE</t>
  </si>
  <si>
    <t>The Asian elephant (Elephas maximus) is believed to number about 45,000 in the wild and is distributed across several populations over South and Southeast Asia. It is an important flagship species for the conservation of biodiversity as well as being a cultural symbol of the people of this region. We analyse a Geographical Information System database of administrative forest divisions constituting four Project Elephant Reserves designated for southern India, in an attempt to prioritize them for specific conservation action and funding allocation. We compute a conservation value for each of these divisions by using five variables characterizing habitat, population and biodiversity attributes. We also compute threat values for each, using two variables which represent the most significant threats. Based on a cluster analysis we demonstrate that divisions with high conservation values have large elephant distribution areas, preferred habitat areas and elephant numbers as dominant attributes. Divisions with the lowest conservation values are characterized by high levels of habitat fragmentation. Based on results obtained from the conservation valuation which allow for the zonation of elephant habitats, we recommend conservation action specific to resultant zones. On resolving divisions into clusters, each having specific dominant attributes, we further suggest divisions that could be targeted either for elephant or biodiversity/habitat conservation.</t>
  </si>
  <si>
    <t>Indian Inst Sci, Ctr Ecol Sci, Asian Elephant Res &amp; Conservat Ctr, Bangalore 560012, Karnataka, India</t>
  </si>
  <si>
    <t>Indian Institute of Science (IISC) - Bangalore</t>
  </si>
  <si>
    <t>Venkataraman, AB (corresponding author), Indian Inst Sci, Ctr Ecol Sci, Asian Elephant Res &amp; Conservat Ctr, Bangalore 560012, Karnataka, India.</t>
  </si>
  <si>
    <t>arun@ces.iisc.ernet.in</t>
  </si>
  <si>
    <t>Balavenkataraman, Arvind/KCB-6859-2024; Raman, Sukumar/C-9809-2013</t>
  </si>
  <si>
    <t>0011-3891</t>
  </si>
  <si>
    <t>CURR SCI INDIA</t>
  </si>
  <si>
    <t>Curr. Sci.</t>
  </si>
  <si>
    <t>548WB</t>
  </si>
  <si>
    <t>WOS:000175411900026</t>
  </si>
  <si>
    <t>Fuentes, MMPB; Gredzens, C; Bateman, BL; Boettcher, R; Ceriani, SA; Godfrey, MH; Helmers, D; Ingram, DK; Kamrowski, RL; Pate, M; Pressey, RL; Radeloff, VC</t>
  </si>
  <si>
    <t>Fuentes, Mariana M. P. B.; Gredzens, Christian; Bateman, Brooke L.; Boettcher, Ruth; Ceriani, Simona A.; Godfrey, Matthew H.; Helmers, David; Ingram, Dianne K.; Kamrowski, Ruth L.; Pate, Michelle; Pressey, Robert L.; Radeloff, Volker C.</t>
  </si>
  <si>
    <t>anthropogenic disturbance; conservation planning; green turtle (Chelonia mydas); Kemp's ridley (Lepidochelys kempii); land tenure; leatherback turtle (Dermochelys coriacea); light pollution; loggerhead turtle (Caretta caretta); United States marine areas</t>
  </si>
  <si>
    <t>SEA-LEVEL RISE; CLIMATE-CHANGE; LIGHT POLLUTION; BEACH; MANAGEMENT; FLORIDA; IMPACTS; COMMUNICATION; BIODIVERSITY; REDUCTION</t>
  </si>
  <si>
    <t>Coastal areas provide nesting habitat for marine turtles that is critical for the persistence of their populations. However, many coastal areas are highly affected by coastal development, which affects the reproductive success of marine turtles. Knowing the extent to which nesting areas are exposed to these threats is essential to guide management initiatives. This information is particularly important for coastal areas with both high nesting density and dense human development, a combination that is common in the United States. We assessed the extent to which nesting areas of the loggerhead (Caretta caretta), the green (Chelonia mydas), the Kemp's ridley (Lepidochelys kempii), and leatherback turtles (Dermochelys coriacea) in the continental United States are exposed to coastal development and identified conservation hotspots that currently have high reproductive importance and either face high exposure to coastal development (needing intervention), or have low exposure to coastal development, and are good candidates for continued and future protection. Night-time light, housing, and population density were used as proxies for coastal development and human disturbance. About 81.6% of nesting areas were exposed to housing and human population, and 97.8% were exposed to light pollution. Further, most (&gt;65%) of the very high- and high-density nesting areas for each species/subpopulation, except for the Kemp's ridley, were exposed to coastal development. Forty-nine nesting sites were selected as conservation hotspots; of those high-density nesting sites, 49% were sites with no/low exposure to coastal development and the other 51% were exposed to high-density coastal development. Conservation strategies need to account for similar to 66.8% of all marine turtle nesting areas being on private land and for nesting sites being exposed to large numbers of seasonal residents.</t>
  </si>
  <si>
    <t>[Fuentes, Mariana M. P. B.; Gredzens, Christian] Florida State Univ, Dept Earth Ocean &amp; Atmospher Sci, Room 507 OSB,117 North Woodward Ave, Tallahassee, FL 32306 USA; [Bateman, Brooke L.; Helmers, David; Radeloff, Volker C.] Univ Wisconsin, Dept Forest &amp; Wildlife Ecol, SILVIS Lab, Madison, WI 53706 USA; [Boettcher, Ruth] Virginia Dept Game &amp; Inland Fisheries, Charles City, VA 23030 USA; [Ceriani, Simona A.] Florida Fish &amp; Wildlife Conservat Commiss, Fish &amp; Wildlife Res Inst, St Petersburg, FL 33701 USA; [Ceriani, Simona A.] Univ Cent Florida, Dept Biol, Orlando, FL 32816 USA; [Godfrey, Matthew H.] North Carolina Wildlife Resources Commiss, Beaufort, NC 28516 USA; [Godfrey, Matthew H.] Duke Univ, Nicholas Sch Environm, Marine Lab, Beaufort, NC 28516 USA; [Godfrey, Matthew H.] North Carolina State Univ, Dept Clin Sci, Coll Vet Med, Ctr Marine Sci &amp; Technol, Morehead City, NC 28557 USA; [Ingram, Dianne K.] USFWS Alabama Field Off, Daphne, AL 36526 USA; [Kamrowski, Ruth L.] Pendoley Environm, Booragoon, WA 6154, Australia; [Pate, Michelle] South Carolina Dept Nat Resources, Charleston, SC 29412 USA; [Pressey, Robert L.] ARC Ctr Excellence Coral Reef Studies, Townsville, Qld 4811, Australia</t>
  </si>
  <si>
    <t>State University System of Florida; Florida State University; University of Wisconsin System; University of Wisconsin Madison; Florida Fish &amp; Wildlife Conservation Commission; State University System of Florida; University of Central Florida; Duke University; North Carolina State University; United States Department of the Interior; US Fish &amp; Wildlife Service; James Cook University; ARC Centre of Excellence for Coral Reef Studies</t>
  </si>
  <si>
    <t>Fuentes, MMPB (corresponding author), Florida State Univ, Dept Earth Ocean &amp; Atmospher Sci, Room 507 OSB,117 North Woodward Ave, Tallahassee, FL 32306 USA.</t>
  </si>
  <si>
    <t>mfuentes@fsu.edu</t>
  </si>
  <si>
    <t>Radeloff, Volker/B-6124-2016; Pressey, Bob/C-8370-2013; Fuentes, Mariana/A-3700-2013; Bateman, Brooke/C-5961-2011</t>
  </si>
  <si>
    <t>Radeloff, Volker/0000-0001-9004-221X; Gredzens, Christian/0000-0002-9366-6623; Kamrowski, Ruth Lisa/0009-0009-7947-1684; Fuentes, Mariana/0000-0002-2789-824X; Bateman, Brooke/0000-0001-5474-4599</t>
  </si>
  <si>
    <t>Australian Research Council; NASA Biodiversity and Ecological Forecasting Program; US Forest Service</t>
  </si>
  <si>
    <t>Australian Research Council(Australian Research Council); NASA Biodiversity and Ecological Forecasting Program; US Forest Service(United States Department of Agriculture (USDA)United States Forest Service)</t>
  </si>
  <si>
    <t>R. L. Pressey acknowledges the support of the Australian Research Council. V. C. Radeloff acknowledges support by the NASA Biodiversity and Ecological Forecasting Program, and the US Forest Service. We are grateful to the State of the World's Sea Turtles and the following agencies that provided nesting data: the North Carolina Wildlife Research Commission (NCWRC), the South Carolina Department of Natural Resources (SCDNR), the Georgia Department of Natural Resources (GDNR), the Florida Fish and Wildlife Conservation Commission/Fish and Wildlife Research Institute (FWCC/FWRI), the Padre Island National Seashore, with the US National Park Service and the United States Fish and Wildlife Service, Alabama (USFWS). The collection of the nesting data included in these analyses would not be possible without the dedication and hard work of thousands of permit holders and volunteers who carried out the beach surveys. S. A. Ceriani thanks B. Brost and R. Hardy for organizing the nesting layers for Florida. We are also thankful to C. Elvidge and the Earth Observation Group at the NOAA National Geophysical Data Center for making the VIIRS data available and for comments on an earlier version of this manuscript by M. Hamel, M. Ware, K. Hernandez, A. Meylan, N. Plant, and R. Trindell. The findings and conclusions in this article are those of the author(s) and do not necessarily represent the views of the U.S. Fish and Wildlife Service.</t>
  </si>
  <si>
    <t>10.1002/eap.1386</t>
  </si>
  <si>
    <t>EE1BU</t>
  </si>
  <si>
    <t>WOS:000389316400027</t>
  </si>
  <si>
    <t>Di Minin, E; Macmillan, DC; Goodman, PS; Escott, B; Slotow, R; Moilanen, A</t>
  </si>
  <si>
    <t>Di Minin, Enrico; Macmillan, Douglas Craig; Goodman, Peter Styan; Escott, Boyd; Slotow, Rob; Moilanen, Atte</t>
  </si>
  <si>
    <t>Conservation Businesses and Conservation Planning in a Biological Diversity Hotspot</t>
  </si>
  <si>
    <t>biological diversity hotspot; investment; land uses; opportunity costs; sustainable development; Zonation software</t>
  </si>
  <si>
    <t>BIODIVERSITY CONSERVATION; CONSERVING BIODIVERSITY; SPATIAL-RESOLUTION; VULNERABILITY; OPPORTUNITY; COSTS; IMPLEMENTATION; MANAGEMENT; PRIORITIES; FUTURE</t>
  </si>
  <si>
    <t>The allocation of land to biological diversity conservation competes with other land uses and the needs of society for development, food, and extraction of natural resources. Trade-offs between biological diversity conservation and alternative land uses are unavoidable, given the realities of limited conservation resources and the competing demands of society. We developed a conservation-planning assessment for the South African province of KwaZulu-Natal, which forms the central component of the Maputaland-Pondoland-Albany biological diversity hotspot. Our objective was to enhance biological diversity protection while promoting sustainable development and providing spatial guidance in the resolution of potential policy conflicts over priority areas for conservation at risk of transformation. The conservation-planning assessment combined spatial-distribution models for 646 conservation features, spatial economic-return models for 28 alternative land uses, and spatial maps for 4 threats. Nature-based tourism businesses were competitive with other land uses and could provide revenues of &gt;US$60 million/year to local stakeholders and simultaneously help meeting conservation goals for almost half the conservation features in the planning region. Accounting for opportunity costs substantially decreased conflicts between biological diversity, agricultural use, commercial forestry, and mining. Accounting for economic benefits arising from conservation and reducing potential policy conflicts with alternative plans for development can provide opportunities for successful strategies that combine conservation and sustainable development and facilitate conservation action.</t>
  </si>
  <si>
    <t>[Di Minin, Enrico; Macmillan, Douglas Craig] Univ Kent, Durrell Inst Conservat &amp; Ecol, Sch Anthropol &amp; Conservat, Canterbury CT2 7NR, Kent, England; [Di Minin, Enrico; Moilanen, Atte] Univ Helsinki, Finnish Ctr Excellence Metapopulat Biol, Dept Biosci, FI-00014 Helsinki, Finland; [Goodman, Peter Styan; Escott, Boyd] Ezemvelo KwaZulu Natal Wildlife, Biodivers Informat Reporting &amp; Management Div, ZA-3202 Cascades, South Africa; [Slotow, Rob] Univ KwaZulu Natal, Sch Life Sci, Amarula Elephant Res Programme, ZA-4041 Durban, South Africa</t>
  </si>
  <si>
    <t>University of Kent; University of Helsinki; University of Kwazulu Natal</t>
  </si>
  <si>
    <t>Di Minin, E (corresponding author), Univ Helsinki, Finnish Ctr Excellence Metapopulat Biol, Dept Biosci, POB 65, FI-00014 Helsinki, Finland.</t>
  </si>
  <si>
    <t>; Moilanen, Atte/A-5005-2011; Di Minin, Enrico/J-6904-2013; Slotow, Rob/AAM-9053-2020; MacMillan, Douglas/I-4577-2013</t>
  </si>
  <si>
    <t>Goodman, Peter Styan/0009-0003-2262-7007; Di Minin, Enrico/0000-0002-5562-318X; Slotow, Rob/0000-0001-9469-1508; ESCOTT, BOYD/0000-0003-1349-5295;</t>
  </si>
  <si>
    <t>Panthera Kaplan Graduate Award; U.S. Fish &amp; Wildlife Service Rhinoceros grant; European Research Council -Starting Grant project [260393]; Academy of Finland Centre of Excellence Programme</t>
  </si>
  <si>
    <t>Panthera Kaplan Graduate Award; U.S. Fish &amp; Wildlife Service Rhinoceros grant; European Research Council -Starting Grant project(European Research Council (ERC)); Academy of Finland Centre of Excellence Programme(Research Council of Finland)</t>
  </si>
  <si>
    <t>E.D.M. was supported by a Panthera Kaplan Graduate Award and a U.S. Fish &amp; Wildlife Service Rhinoceros grant. Research was carried out with the permission of Ezemvelo KwaZulu-Natal Wildlife and the iSimangaliso Wetland Park Authority. Data on commercial forestry were provided by W. Meyer from the Forestry Economics Services, and data on agriculture was provided by G. Archer and O. Howison. Species-distribution models were provided by Ezemvelo KwaZulu-Natal Wildlife. A. M. was supported by the European Research Council -Starting Grant project 260393 (GEDA), and the Academy of Finland Centre of Excellence Programme 2006-2011.</t>
  </si>
  <si>
    <t>10.1111/cobi.12048</t>
  </si>
  <si>
    <t>185PB</t>
  </si>
  <si>
    <t>WOS:000321980800018</t>
  </si>
  <si>
    <t>Lasky, JR; Jetz, W; Keitt, TH</t>
  </si>
  <si>
    <t>Lasky, Jesse R.; Jetz, Walter; Keitt, Timothy H.</t>
  </si>
  <si>
    <t>Conservation biogeography of the US-Mexico border: a transcontinental risk assessment of barriers to animal dispersal</t>
  </si>
  <si>
    <t>Border fence; endemic species; northern Mexico; range margins; southwestern US; species range maps; threatened species; transboundary conservation</t>
  </si>
  <si>
    <t>UNITED-STATES; BIODIVERSITY HOTSPOTS; GENE FLOW; POPULATION; DISTRIBUTIONS; DIVERSITY; FRAMEWORK; RICHNESS; ECOLOGY; ROADS</t>
  </si>
  <si>
    <t>Aim Humans have dramatically transformed landscapes along the US-Mexico border. We aim to assess the risk of barriers that may significantly impede animal migrations within this ecologically sensitive region. Location United States and Mexico. Methods We examined the intersection of current and possible future barriers along the border with the geographic ranges of 313 amphibian, reptile and non-volant mammal species. We considered the areas of intensive human land use and similar to 600 km of pedestrian fence as current barriers along the border. We evaluated the impacts of two scenarios of dispersal barriers - continuation of existing and construction of new barriers - and identified species vulnerable to global and local extinction. Results Among the species most at risk from current barriers are four species listed as threatened globally or by both nations, 23 species for which the larger of their two national subranges is &lt; 10(5) km(2) and 29 species whose ranges cross the border only marginally. Three border regions, California, Madrean archipelago and Gulf coast, emerge as being of particular concern. These regions are characterized by high overall species richness and high richness of species at risk from existing barriers and from construction of potential new barriers. Main conclusions New barriers along the border would increase the number of species at risk, especially in the three identified regions, which should be prioritized for mitigation of the impacts of current barriers. The species we identified as being potentially at risk merit further study to determine impacts of border dispersal barriers.</t>
  </si>
  <si>
    <t>[Lasky, Jesse R.; Keitt, Timothy H.] Univ Texas Austin, Sect Integrat Biol, Austin, TX 78712 USA; [Jetz, Walter] Yale Univ, Ecol &amp; Evolutionary Biol Dept, New Haven, CT 06520 USA; [Jetz, Walter] Univ Calif San Diego, Div Biol Sci, La Jolla, CA 92093 USA</t>
  </si>
  <si>
    <t>University of Texas System; University of Texas Austin; Yale University; University of California System; University of California San Diego</t>
  </si>
  <si>
    <t>Lasky, JR (corresponding author), Univ Texas Austin, Sect Integrat Biol, 1 Univ Stn C0900, Austin, TX 78712 USA.</t>
  </si>
  <si>
    <t>jesserlasky@mail.utexas.edu</t>
  </si>
  <si>
    <t>Jetz, Walter/ABF-1517-2020; Keitt, Timothy/AAF-9787-2021</t>
  </si>
  <si>
    <t>Jetz, Walter/0000-0002-1971-7277;</t>
  </si>
  <si>
    <t>Division Of Environmental Biology; Direct For Biological Sciences [1026764] Funding Source: National Science Foundation</t>
  </si>
  <si>
    <t>Division Of Environmental Biology; Direct For Biological Sciences(National Science Foundation (NSF)NSF - Directorate for Biological Sciences (BIO))</t>
  </si>
  <si>
    <t>10.1111/j.1472-4642.2011.00765.x</t>
  </si>
  <si>
    <t>797OY</t>
  </si>
  <si>
    <t>WOS:000293138400009</t>
  </si>
  <si>
    <t>Butsic, V; Baumann, M; Shortland, A; Walker, S; Kuemmerle, T</t>
  </si>
  <si>
    <t>Butsic, Van; Baumann, Matthias; Shortland, Anja; Walker, Sarah; Kuemmerle, Tobias</t>
  </si>
  <si>
    <t>Deforestation; Protected area effectiveness; Conflict; Instrumental variables</t>
  </si>
  <si>
    <t>LAND-COVER CHANGE; ARMED CONFLICT; FOREST COVER; CIVIL CONFLICT; BIODIVERSITY; ACCURACY; LOCATION; CLIMATE; CARBON; GLOBALIZATION</t>
  </si>
  <si>
    <t>Tropical forests provide critical ecosystem services worldwide. Nonetheless, ongoing agricultural expansion, timber extraction, and mining continue to jeopardize important forest resources. In addition, many tropical forests reside in countries that have experienced violent conflict in recent decades, posing an additional, yet poorly understood threat. Conflict may decrease or increase deforestation depending on the relationship between conflict and other causes of land use change, such as mining expansion or protected area establishment. The Democratic Republic of Congo (DRC), home of the second largest tropical forest in the world, has experienced 20 years of violent conflict, resulting in the death of over 100,000 combatants and up to 5 million civilians. Expanding mining concessions also threaten the DRC's forest, even though nearly 12% of it is under some form of protection. In this study, we used spatially-explicit data on conflict, mining, and protected areas, along with a host of control variables, to estimate the impacts of these factors on forest cover loss from 1990 to 2010. Through a panel instrumental variables approach we found that: i) conflict increased forest cover loss, ii) mining concessions increased forest cover loss, but in times of conflict this impact was lessened, and iii) protected areas reduced forest cover loss, even in high conflict regions. Our results thus suggest that policy interventions designed to reduce violent conflict may have the co-benefit of reducing deforestation, especially in areas with low mining potential. Likewise, protected areas can be effective even in times of war. (C) 2015 Elsevier B.V. All rights reserved.</t>
  </si>
  <si>
    <t>[Butsic, Van] Univ Calif Berkeley, Dept Environm Sci Policy &amp; Management, Berkeley, CA 94704 USA; [Baumann, Matthias; Kuemmerle, Tobias] Humboldt Univ, Dept Geog, D-10099 Berlin, Germany; [Shortland, Anja] Kings Coll London, Dept Polit Econ, London WC2R 2LS, England; [Walker, Sarah] Univ Wisconsin, Dept Agr &amp; Appl Econ, Madison, WI 53706 USA; [Kuemmerle, Tobias] Humboldt Univ, Integrat Res Inst Transformat Human Environm Syst, D-10099 Berlin, Germany</t>
  </si>
  <si>
    <t>University of California System; University of California Berkeley; Humboldt University of Berlin; University of London; King's College London; University of Wisconsin System; University of Wisconsin Madison; Humboldt University of Berlin</t>
  </si>
  <si>
    <t>Butsic, V (corresponding author), Univ Calif Berkeley, Dept Environm Sci Policy &amp; Management, 101 Sproul Hall, Berkeley, CA 94704 USA.</t>
  </si>
  <si>
    <t>vanbutsic@berkeley.edu</t>
  </si>
  <si>
    <t>; Baumann, Matthias/K-4757-2014; Kuemmerle, Tobias/B-4340-2008</t>
  </si>
  <si>
    <t>Shortland, Anja/0000-0002-9663-546X; Walker, Sarah/0000-0002-8956-0359; Baumann, Matthias/0000-0003-2375-3622; Kuemmerle, Tobias/0000-0002-9775-142X</t>
  </si>
  <si>
    <t>Alexander von Humboldt Foundation; Einstein Foundation Berlin, Germany; Land-Cover and Land-Use Change (LCLUC) Program of the National Aeronautic and Space Administration (NASA) [NNX08AK77G]; NASA [98545, NNX08AK77G] Funding Source: Federal RePORTER</t>
  </si>
  <si>
    <t>Alexander von Humboldt Foundation(Alexander von Humboldt FoundationUniversity of Maryland Baltimore); Einstein Foundation Berlin, Germany; Land-Cover and Land-Use Change (LCLUC) Program of the National Aeronautic and Space Administration (NASA); NASA(National Aeronautics &amp; Space Administration (NASA))</t>
  </si>
  <si>
    <t>We are deeply grateful to P. Potapov and M. Hansen for making the remote sensing results of their Congo Basin Mapping Project publicly available, and for valuable comments and suggestions on the use of these data. We also thank W. Reed for assistance with the geodata processing, and J. Alix-Garcia and D. Mueller for helpful comments on an earlier version of the manuscript. This research was supported by the Alexander von Humboldt Foundation, the Einstein Foundation Berlin, Germany, and the Land-Cover and Land-Use Change (LCLUC) Program of the National Aeronautic and Space Administration (NASA) through grant NNX08AK77G.</t>
  </si>
  <si>
    <t>10.1016/j.biocon.2015.06.037</t>
  </si>
  <si>
    <t>WOS:000364257100030</t>
  </si>
  <si>
    <t>Pierre, JP; Wolaver, BD; Labay, BJ; Laduc, TJ; Duran, CM; Ryberg, WA; Hibbitts, TJ; Andrews, JR</t>
  </si>
  <si>
    <t>Pierre, Jon Paul; Wolaver, Brad D.; Labay, Benjamin J.; LaDuc, Travis J.; Duran, Charles M.; Ryberg, Wade A.; Hibbitts, Toby J.; Andrews, John R.</t>
  </si>
  <si>
    <t>Energy sprawl; Hydraulic fracturing; Wind power generation; Urbanization; Ecological impacts</t>
  </si>
  <si>
    <t>CONTERMINOUS UNITED-STATES; HABITAT FRAGMENTATION; FOREST FRAGMENTATION; NATURAL-GAS; WATER-USE; SHALE; CONSERVATION; MARCELLUS; DISTURBANCE; WILDLIFE</t>
  </si>
  <si>
    <t>Recent research assessed how hydrocarbon and wind energy expansion has altered the North American landscape. Less understood, however, is how this energy development compares to other anthropogenic land use changes. Texas leads U.S. hydrocarbon production and wind power generation and has a rapidly expanding population. Thus, for similar to 47% of Texas (similar to 324,000 km(2)), we mapped the 2014 footprint of energy activities (similar to 665,000 oil and gas wells, similar to 5700 wind turbines, similar to 237,000 km oil and gas pipelines, and similar to 2000 km electrical transmission lines). We compared the footprint of energy development to non-energy-related activities (agriculture, roads, urbanization) and found direct landscape alteration from all factors affects similar to 23% of the study area (similar to 76,000 km(2)), led by agriculture (similar to 16%; similar to 52,882 km(2)). Oil and gas activities altered &lt; 1% of the study area (2081 km(2)), with 838 km(2) from pipelines and 1242 km(2) from well pad construction-and that the median Eagle Ford well pad is 7.7 times larger than that in the Permian Basin (16,200 vs. 2100 m(2)). Wind energy occupied &lt; 0.01% (similar to 24 km(2)), with similar to 14 km(2) from turbine pads and similar to 10 km(2) from power transmission lines. We found that edge effects of widely-distributed energy infrastructure caused more indirect landscape alteration than larger, more concentrated urbanization and agriculture. This study presents a novel technique to quantify and compare anthropogenic activities causing both direct and indirect landscape alteration. We illustrate this landscape-mapping framework in Texas for the Spot-tailed Earless Lizard (Holbrookia lacerata); however, the approach can be applied to a range of species in developing regions globally.</t>
  </si>
  <si>
    <t>[Pierre, Jon Paul; Wolaver, Brad D.; Andrews, John R.] Univ Texas Austin, Jackson Sch Geosci, Bur Econ Geol, Austin, TX 78758 USA; [Labay, Benjamin J.; LaDuc, Travis J.] Univ Texas Austin, Dept Integrat Biol, Coll Nat Sci, Austin, TX 78712 USA; [Duran, Charles M.] Nature Conservancy, San Antonio, TX 78215 USA; [Ryberg, Wade A.; Hibbitts, Toby J.] Texas A&amp;M Univ, Texas A&amp;M Inst Renewable Nat Resources, College Stn, TX 77843 USA; [Hibbitts, Toby J.] Texas A&amp;M Univ, Dept Wildlife &amp; Fisheries Sci, Biodivers Res &amp; Teaching Collect, College Stn, TX 77843 USA; [Labay, Benjamin J.] Siglo Grp, Austin, TX 78702 USA</t>
  </si>
  <si>
    <t>University of Texas System; University of Texas Austin; University of Texas System; University of Texas Austin; Nature Conservancy; Texas A&amp;M University System; Texas A&amp;M University College Station; Texas A&amp;M University System; Texas A&amp;M University College Station</t>
  </si>
  <si>
    <t>Pierre, JP (corresponding author), Univ Texas Austin, Jackson Sch Geosci, Bur Econ Geol, Austin, TX 78758 USA.</t>
  </si>
  <si>
    <t>jonpaul.pierre@beg.utexas.edu</t>
  </si>
  <si>
    <t>Wolaver, Brad/F-9790-2013; Andrews, John/AAA-2616-2022; LaDuc, Travis/LXA-8929-2024; Hibbitts, Toby/MZR-6420-2025</t>
  </si>
  <si>
    <t>Ryberg, Wade/0000-0003-2548-8113; Pierre, Jon Paul/0000-0002-9357-9925;</t>
  </si>
  <si>
    <t>Texas Comptroller of Public Accounts Endangered Species Research Funding [UTA15-000609]; Jackson School of Geosciences at The University of Texas at Austin; College of Natural Sciences at The University of Texas at Austin</t>
  </si>
  <si>
    <t>Texas Comptroller of Public Accounts Endangered Species Research Funding; Jackson School of Geosciences at The University of Texas at Austin; College of Natural Sciences at The University of Texas at Austin</t>
  </si>
  <si>
    <t>This work was supported by the Texas Comptroller of Public Accounts Endangered Species Research Funding (Subaward UTA15-000609 to LaDuc and Wolaver). The work was also partially funded by the Jackson School of Geosciences, the College of Natural Sciences at The University of Texas at Austin. Thanks to the Texas Comptroller of Public Accounts Interagency Task Force on Economic Growth, the Endangered Species Spot-tailed Earless Lizard Working Group, R. L. Gulley, M. Hope, C. McDonald, A. Zerrenner, and M. Young for helpful discussions, and three anonymous reviewers who's comments improved this manuscript. Publication is approved by the Director of the Bureau of Economic Geology.</t>
  </si>
  <si>
    <t>10.1007/s00267-018-1000-2</t>
  </si>
  <si>
    <t>GB3WN</t>
  </si>
  <si>
    <t>WOS:000428990600008</t>
  </si>
  <si>
    <t>Gargan, PG; Roche, WK; Keane, S; King, JJ; Cullagh, A; Mills, P; Keeffe, JO</t>
  </si>
  <si>
    <t>Gargan, P. G.; Roche, W. K.; Keane, S.; King, J. J.; Cullagh, A.; Mills, P.; Keeffe, J. O.</t>
  </si>
  <si>
    <t>Comparison of field- and GIS-based assessments of barriers to Atlantic salmon migration: a case study in the Nore Catchment, Republic of Ireland</t>
  </si>
  <si>
    <t>JOURNAL OF APPLIED ICHTHYOLOGY</t>
  </si>
  <si>
    <t>International Workshop on the Restoration of Fish Populations</t>
  </si>
  <si>
    <t>SEP 01-04, 2009</t>
  </si>
  <si>
    <t>Dusseldorf, GERMANY</t>
  </si>
  <si>
    <t>State Agcy Nat Environm &amp; Consumer Protect N Rhine-Westphalia,IUCN Specialist Grp Freshwater Fish-Wetlands Int,AOUA Zoo,Wasserlauf,Life-Malfresh Grand,Life,Natura,WSCS,DFG,Bezirksregierung Dusseldort,Saimond Specialist Grp,SSC,FFSG,RSG,Cemagref,Region AQUITAINE,MIGADO,Sportvisserij Nederland,RFG,HESSEN,HIT</t>
  </si>
  <si>
    <t>RIVER MONDEGO PORTUGAL; ANADROMOUS SEA LAMPREY; ANGUILLA-ANGUILLA; EUROPEAN EEL; BIOLOGY; SALAR</t>
  </si>
  <si>
    <t>In Ireland, the Water Framework Directive (WFD) Freshwater Morphology Programme of Measures and Standards (POMS) identified barriers to fish migration as one of the principal issues placing channels at risk in terms of failing to achieve hydromorphology status. To quantify the degree of risk posed, and to develop methods to appraise and quantify risk associated with barriers, the POMS undertook a pilot study on the River Nore catchment. This provided an opportunity to compare the outcomes of an intensive field-based qualitative assessment of barriers to fish migration with a rules-based appraisal of risk, based on layers of geo-referenced data, in a Geographical Information System (GIS) analysis. The underlying aim of this risk-based assessment was the restoration of the fisheries resource, in the context of WFD, grounded on knowledge-based assessment. The comparison focused on the Atlantic salmon (Salmo salar L.). A rapid-assessment field survey compiled a geo-referenced inventory of 508 structures (497 artificial and 11 natural) and classified each with regard to presumed risk of preventing the upstream migration of adult Atlantic salmon. This inventory was then subjected to a rigorous GIS-based analysis, using field-generated datasets on Atlantic salmon ecology in the Nore catchment. The rules-based analysis provided a very substantial re-classification of artificial barriers with a major reduction in the numbers classified as impassable or high-risk. It confirmed that no high risk barriers to adult salmon occurred on the R. Nore main stem but identified clusters of high risk barriers in the Dinin subcatchment and a series of moderate risk obstructions in the Kings River system. The GIS-based approach enabled an examination of the costs and benefits of stepwise removal of barriers, in terms of additional wetted habitat and salmon spawning area made accessible upstream of each barrier. A multi-species approach was then explored, examining the risk to upstream passage for eel (Anguilla Anguilla L.), sea lamprey (Petromyzon marinus L.) and Twaite shad (Alosa fallax Lacepede). Substantial clustering of sea lamprey spawning effort was reported downstream of the lowermost weirs on the R. Nore. A combination of barriers identified from a salmon perspective and via the multi-species approach provided a listing of priority barriers for attention. The strategy of step-wise removal or modification of artificial barriers in an upstream direction would provide optimal conservation value for the relevant species. The study identified the primacy of the field survey in geo-referencing site locations. However, it also identified the shortcomings of the qualitative, expert-judgement approach to risk category allocation of the barriers and, hence, the need for more rigorous criteria in implementing a field-based rapid assessment.</t>
  </si>
  <si>
    <t>[Gargan, P. G.; Roche, W. K.; Keane, S.; King, J. J.] Inland Fisheries Ireland, Swords, County Dublin, Ireland; [Cullagh, A.] Inland Fisheries Ireland, Clonmel, County Tipperar, Ireland; [Mills, P.] Compass Informat Ltd, Blackrock, County Dublin, Ireland; [Keeffe, J. O.] Dept Agr Fisheries &amp; Food, Cork, Ireland</t>
  </si>
  <si>
    <t>King, JJ (corresponding author), Inland Fisheries Ireland, Balheary Rd,Swords Business Campus,Balheary Rd, Swords, County Dublin, Ireland.</t>
  </si>
  <si>
    <t>jimmy.king@fisheriesireland.ie</t>
  </si>
  <si>
    <t>Roche, William/0000-0003-2299-6059</t>
  </si>
  <si>
    <t>0175-8659</t>
  </si>
  <si>
    <t>1439-0426</t>
  </si>
  <si>
    <t>J APPL ICHTHYOL</t>
  </si>
  <si>
    <t>J. Appl. Ichthyol.</t>
  </si>
  <si>
    <t>10.1111/j.1439-0426.2011.01855.x</t>
  </si>
  <si>
    <t>859BH</t>
  </si>
  <si>
    <t>WOS:000297848600013</t>
  </si>
  <si>
    <t>Versluijs, M; Hekkala, AM; Lindberg, E; Lämås, T; Hjältén, J</t>
  </si>
  <si>
    <t>Versluijs, Martijn; Hekkala, Anne-Maarit; Lindberg, Eva; Lamas, Tomas; Hjalten, Joakim</t>
  </si>
  <si>
    <t>Bird assemblages; Forest management; Field experiment; Uneven-aged silviculture; Even-aged silviculture</t>
  </si>
  <si>
    <t>SAPROXYLIC BEETLE ASSEMBLAGES; BREEDING BIRDS; BIODIVERSITY INDICATORS; ECOLOGICAL RESTORATION; HABITAT HETEROGENEITY; LANDSCAPE COMPLEXITY; STAND STRUCTURE; TREE-RETENTION; MANAGEMENT; DIVERSITY</t>
  </si>
  <si>
    <t>Biodiversity is in decline and therefore alternative forest management approaches have gained interest. One of such approaches is uneven-aged silviculture, which has been suggested to better maintain mature or late-successional forest characteristics and species assemblages than even-aged silviculture. Therefore, it is assumed that uneven-aged silviculture can be a useful tool for landscape planning to benefit biodiversity. Nevertheless, there is a lack of empirical studies regarding bird responses to uneven-aged silviculture in north European boreal ecosystems. Here we test the similarly of bird assemblage structure between mature forests within even-aged silviculture ('thinning') and uneven-aged silviculture ('selective felling'). In spring 2018 we censused breeding birds using territory mapping in 14 thinned stands and 14 selectively felled stands. We found higher abundance and different bird assemblages in thinned stands compared to selectively felled stands. The pied flycatcher, tree pipit and great tit contributed most to the variation of bird assemblages between the two management types. None of the species were more abundant in selectively felled than in thinned stands. According to functional guilds, the abundance of ground breeders, ground feeders and generalists was higher in thinned stands than in selectively felled stands, similar results were found in the species richness of long-distance migrants, ground nesters, secondary cavity nesters and generalists. Independent of management type, time since treatment had an overall effect on assemblage structures, the mistle thrush and wren were negatively correlated with time since treatment, while the chiffchaff showed the opposite trend. Our results suggest that at these locations and given this particular type of uneven-age management, selective felling is less suitable for some abundant generalists than even-aged forest stands reaching the thinning age. However, the results from this study does not provide clear management recommendations aiming to maintain biodiversity, as management guidelines should be based on red-listed species and not on common generalists. Nevertheless, our results stresses the urgent need for more long-term studies comparing the effect of these different silvicultural strategies on bird assemblages.</t>
  </si>
  <si>
    <t>[Versluijs, Martijn; Hekkala, Anne-Maarit; Hjalten, Joakim] Swedish Univ Agr Sci SLU, Dept Wildlife Fish &amp; Environm Studies, SE-90183 Umea, Sweden; [Lindberg, Eva; Lamas, Tomas] Swedish Univ Agr Sci SLU, Dept Forest Resource Management, SE-90183 Umea, Sweden</t>
  </si>
  <si>
    <t>Swedish University of Agricultural Sciences; Swedish University of Agricultural Sciences</t>
  </si>
  <si>
    <t>Versluijs, M (corresponding author), Swedish Univ Agr Sci, Dept Wildlife Fish &amp; Environm Studies, SLU, SE-90183 Umea, Sweden.</t>
  </si>
  <si>
    <t>martijnversluijs@hotmail.com</t>
  </si>
  <si>
    <t>; Lindberg, Eva/AAN-1643-2021; Versluijs, Martijn/I-5521-2019</t>
  </si>
  <si>
    <t>Hekkala, Anne-Maarit/0000-0002-8023-0425; Lindberg, Eva/0000-0002-1792-0773; Versluijs, Martijn/0000-0001-8156-9124</t>
  </si>
  <si>
    <t>Formas, Sweden [942-2015-926]; Stiftelsen Oscar och Lili Lamms Minne, Sweden [D02103-0059]</t>
  </si>
  <si>
    <t>Formas, Sweden(Swedish Research Council Formas); Stiftelsen Oscar och Lili Lamms Minne, Sweden</t>
  </si>
  <si>
    <t>We are grateful to Dariusz Graszka-Petrykowski and Freja De Prins for help with the field work and to the anonymous referees for their constructive comments. We thank SCA skog for hosting the experiment and for their valuable help with the selection of study sites. This study was funded by Formas, Sweden (grant 942-2015-926) and Stiftelsen Oscar och Lili Lamms Minne, Sweden (grant D02103-0059).</t>
  </si>
  <si>
    <t>10.1016/j.foreco.2020.118404</t>
  </si>
  <si>
    <t>OG6CW</t>
  </si>
  <si>
    <t>WOS:000581970500018</t>
  </si>
  <si>
    <t>Niphadkar, M; Nagendra, H; Tarantino, C; Adamo, M; Blonda, P</t>
  </si>
  <si>
    <t>Niphadkar, Madhura; Nagendra, Harini; Tarantino, Cristina; Adamo, Maria; Blonda, Palma</t>
  </si>
  <si>
    <t>Comparing Pixel and Object-Based Approaches to Map an Understorey Invasive Shrub in Tropical Mixed Forests</t>
  </si>
  <si>
    <t>FRONTIERS IN PLANT SCIENCE</t>
  </si>
  <si>
    <t>remote sensing; Lantana camara; object-based; tropical; understorey shrub; hierarchical; Western Ghats</t>
  </si>
  <si>
    <t>RESOLUTION SATELLITE IMAGERY; LANTANA-CAMARA; RAIN-FOREST; VEGETATION; TREE; PLANTS; CLASSIFICATION; MODEL; TM; BIODIVERSITY</t>
  </si>
  <si>
    <t>The establishment of invasive alien species in varied habitats across the world is now recognized as a genuine threat to the preservation of biodiversity. Specifically, plant invasions in understory tropical forests are detrimental to the persistence of healthy ecosystems. Monitoring such invasions using Very High Resolution (VHR) satellite remote sensing has been shown to be valuable in designing management interventions for conservation of native habitats. Object-based classification methods are very helpful in identifying invasive plants in various habitats, by their inherent nature of imitating the ability of the human brain in pattern recognition. However, these methods have not been tested adequately in dense tropical mixed forests where invasion occurs in the understorey. This study compares a pixel-based and object-based classification method for mapping the understorey invasive shrub Lantana camara (Lantana) in a tropical mixed forest habitat in the Western Ghats biodiversity hotspot in India. Overall, a hierarchical approach of mapping top canopy at first, and then further processing for the understorey shrub, using measures such as texture and vegetation indices proved effective in separating out Lantana from other cover types. In the first method, we implement a simple parametric supervised classification for mapping cover types, and then process within these types for Lantana delineation. In the second method, we use an object-based segmentation algorithm to map cover types, and then perform further processing for separating Lantana. The improved ability of the object-based approach to delineate structurally distinct objects with characteristic spectral and spatial characteristics of their own, as well as with reference to their surroundings, allows for much flexibility in identifying invasive understorey shrubs among the complex vegetation of the tropical forest than that provided by the parametric classifier. Conservation practices in tropical mixed forests can benefit greatly by adopting methods which use high resolution remotely sensed data and advanced techniques to monitor the patterns and effective functioning of native ecosystems by periodically mapping disturbances such as invasion.</t>
  </si>
  <si>
    <t>[Niphadkar, Madhura] Ashoka Trust Res Ecol &amp; Environm, Bangalore, Karnataka, India; [Niphadkar, Madhura] Manipal Univ, Manipal, Karnataka, India; [Nagendra, Harini] Azim Premji Univ, Sch Dev, PES Inst Technol Campus, Bangalore, Karnataka, India; [Tarantino, Cristina; Blonda, Palma] CNR, Inst Atmospher Pollut Res, Bari, Italy; [Adamo, Maria] CNR, Inst Intelligent Syst Automat, Bari, Italy</t>
  </si>
  <si>
    <t>Manipal Academy of Higher Education (MAHE); Azim Premji Foundation; Azim Premji University Bengaluru; PES University; Consiglio Nazionale delle Ricerche (CNR); Istituto Sull'inquinamento Atmosferico (IIA-CNR); Consiglio Nazionale delle Ricerche (CNR); Istituto di Studi sui Sistemi Intelligenti per l'Automazione (ISSIA-CNR)</t>
  </si>
  <si>
    <t>Niphadkar, M (corresponding author), Ashoka Trust Res Ecol &amp; Environm, Bangalore, Karnataka, India.;Niphadkar, M (corresponding author), Manipal Univ, Manipal, Karnataka, India.</t>
  </si>
  <si>
    <t>madhura.niphadkar@atree.org</t>
  </si>
  <si>
    <t>; Adamo, Maria/AAY-2202-2020; Nagendra, Harini/P-9087-2019</t>
  </si>
  <si>
    <t>tarantino, cristina/0000-0003-3304-5355; Adamo, Maria/0000-0003-3030-4884;</t>
  </si>
  <si>
    <t>European Union; National Geographic Society [CRE9037-2011]</t>
  </si>
  <si>
    <t>European Union(European Union (EU)); National Geographic Society(National Geographic Society)</t>
  </si>
  <si>
    <t>The study was supported partially by the European Union FP7 programme, within the BIO_SOS [Biodiversity MultiSource Monitoring System: From Space To Species (www.biosos.eu)] project and partially by the European Union Horizon 2020 research and innovation programme, within the ECOPOTENTIAL [improving future ecosystem benefits through earth observations (www.ecopotential-project.eu)] project. VHR images were provided by the European Space Agency data warehouse policy within the BIO_SOS project. All RS analysis was conducted at the Institute of Intelligent Systems for Automation (ISSIA), National Research Council of Italy (CNR), Via Amendola 122/D-0, Bari 70126, Italy. Field work funding was provided by National Geographic Society grant CRE9037-2011 awarded to Dr. Ankila Hiremath.</t>
  </si>
  <si>
    <t>1664-462X</t>
  </si>
  <si>
    <t>FRONT PLANT SCI</t>
  </si>
  <si>
    <t>Front. Plant Sci.</t>
  </si>
  <si>
    <t>MAY 31</t>
  </si>
  <si>
    <t>10.3389/fpls.2017.00892</t>
  </si>
  <si>
    <t>EW3HA</t>
  </si>
  <si>
    <t>WOS:000402385000001</t>
  </si>
  <si>
    <t>Chu, C; Minns, CK; Mandrak, NE</t>
  </si>
  <si>
    <t>CANADIAN JOURNAL OF FISHERIES AND AQUATIC SCIENCES</t>
  </si>
  <si>
    <t>SPECIES RICHNESS; CLIMATE; PATTERNS</t>
  </si>
  <si>
    <t>This study presents a broad analysis of freshwater fish species biodiversity in relation to environmental and stress metrics throughout Canada. Species presence-absence data were used to calculate richness and rarity indices by tertiary watershed. Richness is higher in the southern parts of Canada, whereas rarity is concentrated in a ring of rarity around the periphery of the country. Environmental and stress indices were developed for each watershed using readily available mapped information. The environmental index was estimated using growing degree-days above 5degreesC, elevation range (m) within the watershed, mean annual sunshine hours, and mean annual vapour pressure (kPa). The number of crop farms, forestry, waste management, and petroleum refining facilities, road density (km-1000 km(-2)), dwelling density, and discharge sites (chimneys and laundry outlets) per 1000 km 2 described the human stresses in each watershed. Conservation priority rankings were developed for the watersheds using an integrative index of the three indices. Watersheds in southern Ontario and British Columbia were ranked high because they contain the greatest biodiversity and the most stress. This study indicates how regional analyses can guide fisheries and watershed management.</t>
  </si>
  <si>
    <t>Fisheries &amp; Oceans Canada, Bayfield Inst, Great Lakes Lab Fisheries &amp; Aquat Sci, Burlington, ON L7R 4A6, Canada</t>
  </si>
  <si>
    <t>Fisheries &amp; Oceans Canada</t>
  </si>
  <si>
    <t>Minns, CK (corresponding author), Fisheries &amp; Oceans Canada, Bayfield Inst, Great Lakes Lab Fisheries &amp; Aquat Sci, POB 5050,867 Lakeshore Rd, Burlington, ON L7R 4A6, Canada.</t>
  </si>
  <si>
    <t>minnsk@dfo-mpo.gc.ca</t>
  </si>
  <si>
    <t>Minns, Charles/GYU-2209-2022; Chu, Cindy/C-9091-2009</t>
  </si>
  <si>
    <t>Chu, Cindy/0000-0002-1914-3218</t>
  </si>
  <si>
    <t>CANADIAN SCIENCE PUBLISHING</t>
  </si>
  <si>
    <t>OTTAWA</t>
  </si>
  <si>
    <t>123 Slater Street, Suite 610, OTTAWA, ON K1P 5H2, CANADA</t>
  </si>
  <si>
    <t>0706-652X</t>
  </si>
  <si>
    <t>1205-7533</t>
  </si>
  <si>
    <t>CAN J FISH AQUAT SCI</t>
  </si>
  <si>
    <t>Can. J. Fish. Aquat. Sci.</t>
  </si>
  <si>
    <t>10.1139/F03-048</t>
  </si>
  <si>
    <t>698PB</t>
  </si>
  <si>
    <t>WOS:000184007000012</t>
  </si>
  <si>
    <t>Felton, AM; Felton, A; Rumiz, DI; Villaroel, N; Chapman, CA; Lindenmayer, DB</t>
  </si>
  <si>
    <t>Felton, Annika M.; Felton, Adam; Rumiz, Damian I.; Villaroel, Nelly; Chapman, Colin A.; Lindenmayer, David B.</t>
  </si>
  <si>
    <t>Ficus; Figs; Frugivores; Selective logging; Timber extraction</t>
  </si>
  <si>
    <t>FIGS; BOLIVIA; TREES; CONSERVATION; REGENERATION; MANAGEMENT; COMMUNITY; PERU; GAPS</t>
  </si>
  <si>
    <t>There is an extensive ecological literature documenting the importance of fig trees (Ficus spp.) as providers of food and other resources for many tropical animals. What is less apparent is that some Fic-us species form free-standing stems that are targeted in logging operations. Despite the potential implications of such harvesting for biological conservation, the existence of this market has largely gone unrecognized by ecologists and conservation biologists. Here we describe the extent of this market in the Neotropics and discuss its implications for wildlife conservation and sustainable forestry. We find that large-scale commercial harvesting of Ficus timber primarily occurs in Bolivia, although some logging concessions in Peru and Brazil also harvest trees from this genus. Annually extracted volumes increased after records began being collected in Bolivia in 1998, peaked in 2005-2007 at approximately 34000 m(3)/year, but are currently relatively low, partly due to the effects of the global financial down-turn of 2008-2009. We suggest that this presents an opportunity to re-assess current Ficus harvesting policies before further market expansion and harvest intensification could occur. We emphasize that because selective logging maintains tree species composition, structure, and disturbance regimes to a much greater extent than forest-converting land-use alternatives, it is important that opportunities to ensure ecologically sustainable forest management are identified and acted upon. We therefore call on forest ecologists, certification agencies, and conservation biologists to engage with the issue of commercial scale harvesting of Ficus. (C) 2012 Elsevier Ltd. All rights reserved.</t>
  </si>
  <si>
    <t>[Felton, Annika M.; Felton, Adam; Lindenmayer, David B.] Australian Natl Univ, Fenner Sch Environm &amp; Soc, Canberra, ACT 0200, Australia; [Felton, Annika M.; Felton, Adam] IBIF, Santa Cruz, Bolivia; [Felton, Annika M.; Felton, Adam] Swedish Univ Agr Sci, Southern Swedish Forest Res Ctr, S-23053 Alnarp, Sweden; [Rumiz, Damian I.] Wildlife Conservat Soc, Santa Cruz, Bolivia; [Rumiz, Damian I.] Chiquitano Forest Conservat Fdn, Santa Cruz, Bolivia; [Villaroel, Nelly] Holtz Ind Beratung HIB Latinoamer SRL, Santa Cruz, Bolivia; [Chapman, Colin A.] McGill Univ, Dept Anthropol, Montreal, PQ H3A 2T7, Canada; [Chapman, Colin A.] McGill Univ, McGill Sch Environm, Montreal, PQ H3A 2T7, Canada</t>
  </si>
  <si>
    <t>Australian National University; Swedish University of Agricultural Sciences; McGill University; McGill University</t>
  </si>
  <si>
    <t>Felton, AM (corresponding author), Swedish Univ Agr Sci, Southern Swedish Forest Res Ctr, S-23053 Alnarp, Sweden.</t>
  </si>
  <si>
    <t>Annika.Felton@slu.se</t>
  </si>
  <si>
    <t>Felton, Adam/C-1711-2013; Lindenmayer, David B/P-7183-2017; Lindenmayer, David/P-7183-2017; Chapman, Colin/S-1911-2019</t>
  </si>
  <si>
    <t>Lindenmayer, David B/0000-0002-4766-4088; Felton, Adam/0000-0001-8380-0430; Chapman, Colin/0000-0002-8827-8140; Felton, Adam/0000-0001-8380-0430</t>
  </si>
  <si>
    <t>Wildlife Conservation Society, Conservation International; Rufford Foundation; Primate Society of Great Britain</t>
  </si>
  <si>
    <t>The work of AMF was financially supported by the Wildlife Conservation Society, Conservation International, the Rufford Foundation, and the Primate Society of Great Britain. We thank Marielos Pena Claros, Edwin Vargas Brychcy, Joe Wright, Cornelis Berg and Todd Fredericksen for advice and information. Clive Hilliker helped produce the map.</t>
  </si>
  <si>
    <t>10.1016/j.biocon.2012.10.025</t>
  </si>
  <si>
    <t>160DF</t>
  </si>
  <si>
    <t>WOS:000320096300014</t>
  </si>
  <si>
    <t>Maiorano, L; Chiaverini, L; Falco, M; Ciucci, P</t>
  </si>
  <si>
    <t>Maiorano, Luigi; Chiaverini, Luca; Falco, Matteo; Ciucci, Paolo</t>
  </si>
  <si>
    <t>Multi-state species distribution models; Apennine brown bear; BIOMOD; Circuitscape; Structural corridors; Critical conservation areas</t>
  </si>
  <si>
    <t>APENNINE BROWN BEAR; URSUS-ARCTOS-MARSICANUS; HABITAT; CONSERVATION; FRAGMENTATION; BIODIVERSITY; POPULATION; PREDICT; CARNIVORES; DISPERSAL</t>
  </si>
  <si>
    <t>Species ranges are changing in response to human-related disturbances and often management and conservation decisions must be based on incomplete information. In this context, species distribution models (SDMs) represent the most widely used tool, but they often lack any reference to demographic performance of the population under study, spatial structure of the habitat patches, or connectivity at the landscape level. Combining a multi-state SDM with a landscape pattern analysis and a mortality model, we developed a spatially-explicit, integrated model to assist and inform conservation planning for the Apennine brown bear in central Italy. We identified 15 critical habitat areas, potentially hosting 76 adult female bears. Many of these areas are, however, characterized by high levels of human-related mortality, making them attractive sink-like areas. Structural connectivity was higher in the northern part of the study area while only limited connectivity characterizes the core area, where most of the bears currently live. Our integrated model indicates that the conservation of this relict and isolated bear population is a realistic conservation goal, as we estimated that 192-270 bears could live across the Apennines. Our modelling framework enhances the biological realism of traditional SDMs and provides a conservation planning tool that integrates habitat suitability, mortality risk (as a component of the total demographic performance) and structural connectivity among habitat patches at the landscape scale. It is particularly suited for endangered species living in a human-modified landscapes where establishing a realistic and spatially explicit conservation goal would facilitate pro-active management.</t>
  </si>
  <si>
    <t>[Maiorano, Luigi; Chiaverini, Luca; Falco, Matteo; Ciucci, Paolo] Univ Roma La Sapienza, Dept Biol &amp; Biotechnol Charles Darwin, Viale Univ 32, I-00185 Rome, Italy</t>
  </si>
  <si>
    <t>Sapienza University Rome</t>
  </si>
  <si>
    <t>Maiorano, L (corresponding author), Univ Roma La Sapienza, Dept Biol &amp; Biotechnol Charles Darwin, Viale Univ 32, I-00185 Rome, Italy.</t>
  </si>
  <si>
    <t>luigi.maiorano@uniroma1.it; luca.chiaverini@gmail.com; matteo.falco@uniroma1.it; paolo.ciucci@uniroma1.it</t>
  </si>
  <si>
    <t>Maiorano, Luigi/A-8637-2008; Falco, Matteo/AGG-7989-2022; CIUCCI, Paolo/C-7677-2009</t>
  </si>
  <si>
    <t>Maiorano, Luigi/0000-0002-2957-8979; Falco, Matteo/0000-0002-2386-873X; CIUCCI, Paolo/0000-0002-0994-3422; Chiaverini, Luca/0000-0001-9788-5754</t>
  </si>
  <si>
    <t>UE Life Project [LifeNAT/IT/000160]; Wildlife Conservation Society (New York, USA); Unione Zoologica Italiana; Italian Ministry of the Environment; International Wolf Center (Ely. Minnesota, USA)</t>
  </si>
  <si>
    <t>UE Life Project; Wildlife Conservation Society (New York, USA); Unione Zoologica Italiana; Italian Ministry of the Environment; International Wolf Center (Ely. Minnesota, USA)</t>
  </si>
  <si>
    <t>This research was supported by the UE Life Project LifeNAT/IT/000160, the Wildlife Conservation Society (New York, USA), the Unione Zoologica Italiana, and the Italian Ministry of the Environment. LM was partially supported by the International Wolf Center (Ely. Minnesota, USA). This paper is a contribution partially developed under the premises of the BiodivERsA project BearConnect (Horizon 2020 ERA -NET COFUND scheme).</t>
  </si>
  <si>
    <t>10.1016/j.biocon.2019.06.014</t>
  </si>
  <si>
    <t>JB1IS</t>
  </si>
  <si>
    <t>WOS:000488314700003</t>
  </si>
  <si>
    <t>Xofis, P; Poirazidis, K</t>
  </si>
  <si>
    <t>Xofis, Panteleimon; Poirazidis, Konstantinos</t>
  </si>
  <si>
    <t>Raptors; Forest dynamics; Wildfires; Conservation; Land use changes</t>
  </si>
  <si>
    <t>LAND ABANDONMENT; CLIMATE-CHANGE; DISTURBANCE REGIMES; VEGETATION CHANGE; FOREST DYNAMICS; DADIA RESERVE; NATIONAL-PARK; FIRE REGIMES; CONSERVATION; HABITAT</t>
  </si>
  <si>
    <t>Raptors are emblematic species of high conservation value and significant ecological role. Their conservation is of particular importance and it relies on the conservation of their habitats and the constant monitoring of their dynamics. In the current study we investigate land cover changes over the period 2001-2011, in one of the most important reserves for raptor conservation in Europe, the Dadia-Lefldmi-Soufli Forest National Park. Very high and high spatial resolution satellite data were integrated in a single analysis, in order to exploit the high spatial accuracy of the former and the high temporal and spectral resolution of the latter. The results suggest that the applied method increases the overall accuracy of the mapping product from 73% to 89%, providing a tool to land managers and conservationists to study landscape dynamics and guide wildlife management. The analysis of land use changes revealed that wildfires of high intensity and large extent, constitute a new threat for the ecological integrity of the reserve. If the currently observed trend of wildfire behavior in Greece and southern Europe continues it is likely to affect the core zones of forest reserve, which consist primarily by dense forests with high fuel load, with detrimental effects for wildlife. The most important land cover change observed is the significant reduction of open areas, which form the main hunting areas for raptors. Open areas appear to be encroached by forest, leading to loss of heterogeneity which has been reported to be associated with high biodiversity. The results reveal the need for more active management measures that would decrease the risk of large stand replacing fires and would ensure a suitable landscape structure for raptors.</t>
  </si>
  <si>
    <t>[Xofis, Panteleimon] Hellen Agr Org Demeter, Forest Res Inst, GR-57006 Thessaloniki, Greece; [Poirazidis, Konstantinos] Technol Educ Inst Ionian Isl, Dept Environm Technol, Lab Environm Management &amp; Ecol, Zakinthos 29100, Greece; [Poirazidis, Konstantinos] WWF Greece, 21 Lempesi St, Athens 11743, Greece</t>
  </si>
  <si>
    <t>World Wildlife Fund</t>
  </si>
  <si>
    <t>Xofis, P (corresponding author), Hellen Agr Org Demeter, Forest Res Inst, GR-57006 Thessaloniki, Greece.</t>
  </si>
  <si>
    <t>xofis@fri.gr</t>
  </si>
  <si>
    <t>Poirazidis, Kostas/M-7229-2017; Xofis, Panteleimon/AAG-9513-2019</t>
  </si>
  <si>
    <t>Poirazidis, Kostas/0000-0003-4239-2041; Xofis, Panteleimon/0000-0003-0528-3073</t>
  </si>
  <si>
    <t>LIFE Nature Project Conservation of Birds of Prey in the Dadia Forest Reserve, Greece [LIFE02NAT/GR/8497]</t>
  </si>
  <si>
    <t>LIFE Nature Project Conservation of Birds of Prey in the Dadia Forest Reserve, Greece</t>
  </si>
  <si>
    <t>This paper is based on work conducted through WWF Greece projects for the conservation of the Dadia-Lefkimi-Soufli National Park, and was partly supported by the LIFE Nature Project Conservation of Birds of Prey in the Dadia Forest Reserve, Greece (LIFE02NAT/GR/8497). We are grateful to Theodora Skartsi, Elzbieta Kret and Alkis Kafetzis for their help in the field work and to George Kefalas and Roxanne-Suzette Lorilla for assisting with the analysis of land use changes. We are also grateful to Inforest Research O.C. for providing us with the latest version of eCognition free of charge. Finally we would like to thank the three anonymous reviewers for their important and insightful comments and suggestions which helped improve the manuscript.</t>
  </si>
  <si>
    <t>10.1016/j.biocon.2017.12.003</t>
  </si>
  <si>
    <t>FU9LM</t>
  </si>
  <si>
    <t>WOS:000424177400002</t>
  </si>
  <si>
    <t>Thapa, A; Shah, KB; Pokheral, CP; Paudel, R; Adhikari, D; Bhattarai, P; Cruz, NJ; Aryal, A</t>
  </si>
  <si>
    <t>Thapa, Arjun; Shah, Karan Bahadur; Pokheral, Chiranjibi Prasad; Paudel, Rajan; Adhikari, Dipendra; Bhattarai, Prakash; Cruz, Nicolas James; Aryal, Achyut</t>
  </si>
  <si>
    <t>Forest change; Functionality; Habitat use; Large mammals; Occupancy</t>
  </si>
  <si>
    <t>ELEPHANTS ELEPHAS-MAXIMUS; ESTIMATING SITE OCCUPANCY; LEOPARD PANTHERA-PARDUS; NATIONAL-PARK; FOREST; CONSERVATION; CONNECTIVITY; DIVERSITY; MARKING; TIGERS</t>
  </si>
  <si>
    <t>Corridor design is a centripetal conservation tool to facilitate movement between fragmented patches. Increases in anthropogenic activity have caused degradation in forest connectivity, influencing animal movement to a small degree. Laljhadi-Mohana wildlife corridor (LMWC), a corridor between Shuklaphanta National Park (Nepal) and Dudhwa National Park (India) created to be used by Panthera tigris and Elephas maximus in western Nepal, is under pressure of anthropogenic change. Using current knowledge, we analyzed land cover changes (LCC) of LMWC between 2002 and 2012. We used ERDAS IMAGINE 9.2 and Arc GIS 9.2 to process satellite images, and occupancy survey to assess status of corridor. We classified land cover into dense forest, sparse forest, cultivation, water bodies, grassland, expose surfaces, and sand bank as structural attributes of the corridor. Our analysis found dense forest area was reduced by 18.35% in a decade while cultivation and sparse forest increased by 10.15% and 8.89%, respectively. Illegal forest encroachment, resource extraction, grazing pressure, invasive species, and flood were major drivers of forest change. The null occupancy model estimated the highest detection probability of Elephas maximus (0.48 +/- 0.08) and the lowest of Axis axis (0.20 +/- 0.08). Incorporating site covariates improved occupancy estimates of Sus scrofa (0.82), Axis axis (0.76), Elephas maximus (0.76), Boselaphus tragocamelus (0.66), and Panthera pardus (0.55). Distance to cultivation was the most influential covariate, supported by the expansion of cultivated land in the corridor. LMWC is a functional wildlife corridor despite a decline in forest cover. This decline influenced the number and detection rates of large mammals, instigating crop raiding and conflict. Mitigation measures on LCC drivers, particularly forest encroachment, can improve the functional status of LMWC and raise detection rates of large mammals in future studies.</t>
  </si>
  <si>
    <t>[Thapa, Arjun] Tribhuvan Univ, Cent Dept Bot, NOMA Program, Biodivers &amp; Environm Management, Kathmandu, Nepal; [Thapa, Arjun; Adhikari, Dipendra; Bhattarai, Prakash] Small Mammals Conservat &amp; Res Fdn, POB 9020, Kathmandu, Nepal; [Thapa, Arjun] Chinese Acad Sci, Inst Zool, Key Lab Anim Ecol &amp; Conservat Biol, Beijing, Peoples R China; [Shah, Karan Bahadur] Tribhuvan Univ, Nat Hist Museum, Kathmandu, Nepal; [Pokheral, Chiranjibi Prasad; Paudel, Rajan] Natl Trust Nat Conservat, Khumaltar Lalitpur, Nepal; [Cruz, Nicolas James] Tufts Univ, Cummings Sch Vet Med, North Grafton, MA USA; [Aryal, Achyut] Massey Univ, Inst Nat &amp; Math Sci, Palmerston North, New Zealand</t>
  </si>
  <si>
    <t>Tribhuvan University; Chinese Academy of Sciences; Institute of Zoology, CAS; Tribhuvan University; Tufts University; Massey University</t>
  </si>
  <si>
    <t>Thapa, A (corresponding author), Tribhuvan Univ, Cent Dept Bot, NOMA Program, Biodivers &amp; Environm Management, Kathmandu, Nepal.;Thapa, A (corresponding author), Small Mammals Conservat &amp; Res Fdn, POB 9020, Kathmandu, Nepal.;Thapa, A (corresponding author), Chinese Acad Sci, Inst Zool, Key Lab Anim Ecol &amp; Conservat Biol, Beijing, Peoples R China.</t>
  </si>
  <si>
    <t>thapa.nature@gmail.com</t>
  </si>
  <si>
    <t>; Thapa, Arjun/AAV-5445-2021; BHATTARAI, PRAKASH/KPB-7118-2024; Aryal, Achyut/A-8330-2013</t>
  </si>
  <si>
    <t>Thapa, Arjun/0000-0002-8555-5720;</t>
  </si>
  <si>
    <t>Norad's Program; University Grant Commission of Nepal</t>
  </si>
  <si>
    <t>We thank Christian Gortazar, the editor, and one anonymous reviewer for valuable comments on the manuscript. The authors thank Norad's Program for Master Studies for providing a scholarship to the first author, the University Grant Commission of Nepal for partial funding, Purnram Chaudhary and Shankar Choudhary for assistance during field work, and Professor Tej Bahadur Thapa for image processing and classification guidance.</t>
  </si>
  <si>
    <t>10.1007/s10344-017-1139-9</t>
  </si>
  <si>
    <t>FK7OK</t>
  </si>
  <si>
    <t>WOS:000413696400004</t>
  </si>
  <si>
    <t>Symes, WS; Edwards, DP; Miettinen, J; Rheindt, FE; Carrasco, LR</t>
  </si>
  <si>
    <t>Symes, William S.; Edwards, David P.; Miettinen, Jukka; Rheindt, Frank E.; Carrasco, L. Roman</t>
  </si>
  <si>
    <t>SOUTHEAST-ASIA; AREA RELATIONSHIPS; SPECIES-AREA; FORESTS; EXTINCTION; DISTURBANCE; RATES; LAND; NEST; MAP</t>
  </si>
  <si>
    <t>Tropical forest diversity is simultaneously threatened by habitat loss and exploitation for wildlife trade. Quantitative conservation assessments have previously considered these threats separately, yet their impacts frequently act together. We integrate forest extent maps in 2000 and 2015 with a method of quantifying exploitation pressure based upon a species' commercial value and forest accessibility. We do so for 308 forest-dependent bird species, of which 77 are commercially traded, in the Southeast Asian biodiversity hotspot of Sundaland. We find 89% (274) of species experienced average habitat losses of 16% and estimate exploitation led to mean population declines of 37%. Assessing the combined impacts of deforestation and exploitation indicates the average losses of exploited species are much higher (54%), nearly doubling the regionally endemic species (from 27 to 51) threatened with extinction that should be IUCN Red Listed. Combined assessment of major threats is vital to accurately quantify biodiversity loss.</t>
  </si>
  <si>
    <t>[Symes, William S.; Rheindt, Frank E.; Carrasco, L. Roman] Natl Univ Singapore, Dept Biol Sci, 14 Sci Dr 4, Singapore 117543, Singapore; [Edwards, David P.] Univ Sheffield, Dept Anim &amp; Plant Sci, Sheffield S10 2TN, S Yorkshire, England; [Miettinen, Jukka] NUS, CRISP, 10 Lower Kent Ridge Rd, Singapore 119076, Singapore</t>
  </si>
  <si>
    <t>National University of Singapore; University of Sheffield; National University of Singapore</t>
  </si>
  <si>
    <t>Symes, WS (corresponding author), Natl Univ Singapore, Dept Biol Sci, 14 Sci Dr 4, Singapore 117543, Singapore.</t>
  </si>
  <si>
    <t>wsymes@u.nus.edu</t>
  </si>
  <si>
    <t>; Edwards, David/AAC-5091-2019; Carrasco, Luis Roman/H-8017-2012; Rheindt, Frank/D-7826-2014</t>
  </si>
  <si>
    <t>Symes, William S/0000-0002-7541-6647; Edwards, David/0000-0001-8562-3853; Carrasco, Luis Roman/0000-0002-2894-1473; Miettinen, Jukka/0000-0001-8510-1553</t>
  </si>
  <si>
    <t>Ministry of Education of Singapore Tier 2 [MOE2015-T2-2-121]</t>
  </si>
  <si>
    <t>Ministry of Education of Singapore Tier 2(Ministry of Education, Singapore)</t>
  </si>
  <si>
    <t>We thank BirdLife International for curating and providing the range maps for this analysis. W.S.S. and L.R.C. were supported by a Ministry of Education of Singapore Tier 2 grant [MOE2015-T2-2-121].</t>
  </si>
  <si>
    <t>OCT 3</t>
  </si>
  <si>
    <t>10.1038/s41467-018-06579-2</t>
  </si>
  <si>
    <t>GV7SP</t>
  </si>
  <si>
    <t>WOS:000446331900004</t>
  </si>
  <si>
    <t>Gallego-Zamorano, J; Benítez-López, A; Santini, L; Hilbers, JP; Huijbregts, MAJ; Schipper, AM</t>
  </si>
  <si>
    <t>Gallego-Zamorano, Juan; Benitez-Lopez, Ana; Santini, Luca; Hilbers, Jelle P.; Huijbregts, Mark A. J.; Schipper, Aafke M.</t>
  </si>
  <si>
    <t>biodiversity; conservation; defaunation; deforestation; overexploitation; tropics</t>
  </si>
  <si>
    <t>ACCURACY; IMPACTS</t>
  </si>
  <si>
    <t>Land use and hunting are 2 major pressures on biodiversity in the tropics. Yet, their combined impacts have not been systematically quantified at a large scale. We estimated the effects of both pressures on the distributions of 1884 tropical mammal species by integrating species' range maps, detailed land-use maps (1992 and 2015), species-specific habitat preference data, and a hunting pressure model. We further identified areas where the combined impacts were greatest (hotspots) and least (coolspots) to determine priority areas for mitigation or prevention of the pressures. Land use was the main driver of reduced distribution of all mammal species considered. Yet, hunting pressure caused additional reductions in large-bodied species' distributions. Together, land use and hunting reduced distributions of species by 41% (SD 30) on average (year 2015). Overlap between impacts was only 2% on average. Land use contributed more to the loss of distribution (39% on average) than hunting (4% on average). However, hunting reduced the distribution of large mammals by 29% on average; hence, large mammals lost a disproportional amount of area due to the combination of both pressures. Gran Chaco, the Atlantic Forest, and Thailand had high levels of impact across the species (hotspots of area loss). In contrast, the Amazon and Congo Basins, the Guianas, and Borneo had relatively low levels of impact (coolspots of area loss). Overall, hunting pressure and human land use increased from 1992 to 2015 and corresponding losses in distribution increased from 38% to 41% on average across the species. To effectively protect tropical mammals, conservation policies should address both pressures simultaneously because their effects are highly complementary. Our spatially detailed and species-specific results may support future national and global conservation agendas, including the design of post-2020 protected area targets and strategies.</t>
  </si>
  <si>
    <t>[Gallego-Zamorano, Juan; Benitez-Lopez, Ana; Santini, Luca; Hilbers, Jelle P.; Huijbregts, Mark A. J.; Schipper, Aafke M.] Radboud Univ Nijmegen, Fac Sci, Inst Wetland &amp; Water Res, Dept Environm Sci, POB 9010, NL-6500 GL Nijmegen, Netherlands; [Benitez-Lopez, Ana] Estn Biol Donana EBD CSIC, Integrat Ecol Grp, Av Americo Vespucio S-N, Seville 41092, Spain; [Hilbers, Jelle P.; Schipper, Aafke M.] PBL Netherlands Environm Assessment Agcy, POB 30314, NL-2500 GH The Hague, Netherlands; [Santini, Luca] CNR, Inst Res Terr Ecosyst CNR IRET, Via Salaria Km 29-300, I-00015 Rome, Italy</t>
  </si>
  <si>
    <t>Radboud University Nijmegen; Consejo Superior de Investigaciones Cientificas (CSIC); CSIC - Estacion Biologica de Donana (EBD); Consiglio Nazionale delle Ricerche (CNR); Istituto di Ricerca sugli Ecosistemi Terrestri (IRET)</t>
  </si>
  <si>
    <t>Gallego-Zamorano, J (corresponding author), Radboud Univ Nijmegen, Fac Sci, Inst Wetland &amp; Water Res, Dept Environm Sci, POB 9010, NL-6500 GL Nijmegen, Netherlands.</t>
  </si>
  <si>
    <t>j.gallego.zamorano@science.ru.nl</t>
  </si>
  <si>
    <t>Benítez López, Ana/O-3396-2014; Huijbregts, Mark/LSL-2248-2024; Schipper, Aafke/C-2758-2011; Gallego-Zamorano, Juan/R-2034-2018; Santini, Luca/M-8492-2018</t>
  </si>
  <si>
    <t>Benítez López, Ana/0000-0002-6432-1837; Huijbregts, Mark/0000-0002-7037-680X; Schipper, Aafke/0000-0002-5667-0893; Gallego-Zamorano, Juan/0000-0003-2317-5148; Santini, Luca/0000-0002-5418-3688</t>
  </si>
  <si>
    <t>GLOBIO project; Juan de la Cierva-Incorporacion grant from the Spanish Ministry of Science, Innovation and Universities [IJCI-2017-31419]</t>
  </si>
  <si>
    <t>GLOBIO project; Juan de la Cierva-Incorporacion grant from the Spanish Ministry of Science, Innovation and Universities</t>
  </si>
  <si>
    <t>We thank P. Visconti and M..Cengi ' c for their contributions to the habitat cross-walk. We thank M. Busana and S. Hoeks for helping out with improving the efficiency of the code. We are thankful to Phylopic (www.phylopic.org) for providing nice free silhouettes and especially to Lukasiniho and T. Michael Keesey. J.H. and A.S. were supported by the GLOBIO project (www.globio.info).A.B.L.was supported by a Juan de la Cierva-Incorporacion grant (IJCI-2017-31419) from the Spanish Ministry of Science, Innovation and Universities.</t>
  </si>
  <si>
    <t>10.1111/cobi.13459</t>
  </si>
  <si>
    <t>NS3BG</t>
  </si>
  <si>
    <t>WOS:000567338600001</t>
  </si>
  <si>
    <t>Wasser, SK; Clark, WJ; Drori, O; Kisamo, ES; Mailand, C; Mutayoba, B; Stephens, M</t>
  </si>
  <si>
    <t>Wasser, Samuel K.; Clark, William Joseph; Drori, Ofir; Kisamo, Emily Stephen; Mailand, Celia; Mutayoba, Benezeth; Stephens, Matthew</t>
  </si>
  <si>
    <t>African elephant; DNA; assignment tests; ivory trade; poaching; wildlife trafficking</t>
  </si>
  <si>
    <t>ORIGIN</t>
  </si>
  <si>
    <t>International wildlife crime is burgeoning in this climate of global trade. We contend that the most effective way to contain this illegal trade is to determine where the wildlife is being removed. This allows authorities to direct law enforcement to poaching hot spots, potentially stops trade before the wildlife is actually killed, prevents countries from denying their poaching problems at home, and thwarts trade before it enters into an increasingly complex web of international criminal activity. Forensic tools have been limited in their ability to determine product origin because the information they can provide typically begins only at the point of shipment. DNA assignment analyses can determine product origin, but its use has been limited by the inability to assign samples to locations where reference samples do not exist. We applied new DNA assignment methods that can determine the geographic origin(s) of wildlife products from anywhere within its range. We used these methods to examine the geographic origin(s) of 2 strings of seizures involving large volumes of elephant ivory, 1 string seized in Singapore and Malawi and the other in Hong Kong and Cameroon. These ivory traffickers may comprise 2 of the largest poaching rings in Africa. In both cases all ivory seized in the string had common origins, which indicates that crime syndicates are targeting specific populations for intense exploitation. This result contradicts the dominant belief that dealers are using a decentralized plan of procuring ivory stocks as they became available across Africa. Large quantities of ivory were then moved, in multiple shipments, through an intermediate country prior to shipment to Asia, as a risk-reduction strategy that distances the dealer from the poaching locale. These smuggling strategies could not have been detected by forensic information, which typically begins only at the shipping source.</t>
  </si>
  <si>
    <t>[Wasser, Samuel K.; Mailand, Celia] Univ Washington, Ctr Conservat Biol, Dept Biol, Seattle, WA 98195 USA; [Clark, William Joseph] Israel Nat &amp; Pk Author, Interpol Working Grp Wildlife Crime, IL-95463 Jerusalem, Israel; [Clark, William Joseph] Israel Nat &amp; Pk Author, Dept Law Enforcement, IL-95463 Jerusalem, Israel; [Drori, Ofir] Last Great Ape Org, Vallee Nlongkak, Younde, Cameroon; [Kisamo, Emily Stephen] Lusaka Agreement Task Force, Nairobi, Kenya; [Mutayoba, Benezeth] Sokoine Univ Agr, Fac Vet Med, Morogoro, Tanzania; [Stephens, Matthew] Univ Chicago, Dept Human Genet &amp; Stat, Chicago, IL 60637 USA</t>
  </si>
  <si>
    <t>University of Washington; University of Washington Seattle; Sokoine University of Agriculture; University of Chicago</t>
  </si>
  <si>
    <t>Wasser, SK (corresponding author), Univ Washington, Ctr Conservat Biol, Dept Biol, Seattle, WA 98195 USA.</t>
  </si>
  <si>
    <t>wassers@u.washington.edu</t>
  </si>
  <si>
    <t>Stephens, Matthew/ABM-1177-2022; Wasser, Samuel/I-5542-2015</t>
  </si>
  <si>
    <t>COMMERCE PLACE, 350 MAIN ST, MALDEN 02148, MA USA</t>
  </si>
  <si>
    <t>10.1111/j.1523-1739.2008.01012.x</t>
  </si>
  <si>
    <t>334IX</t>
  </si>
  <si>
    <t>WOS:000258216600032</t>
  </si>
  <si>
    <t>Tamario, C; Calles, O; Watz, J; Nilsson, PA; Degerman, E</t>
  </si>
  <si>
    <t>Tamario, Carl; Calles, Olle; Watz, Johan; Nilsson, P. Anders; Degerman, Erik</t>
  </si>
  <si>
    <t>barriers; dams; dispersal; eel ladders; eel management; electrofishing; fish passage; fishways; ramps</t>
  </si>
  <si>
    <t>FRESH-WATER BIODIVERSITY; UPSTREAM PASSAGE; SWIMMING PERFORMANCE; CATCHMENT; MIGRATION; PATTERNS; ROSTRATA; BEHAVIOR; FLOW</t>
  </si>
  <si>
    <t>Many diadromous fish populations are declining and at risk of collapse. Lack of river connectivity is a major contributor to these declines, as free migration routes between marine and freshwater habitats are crucial for life-history completion. For the conservation and ultimately recovery of such species, it is imperative that remedial measures aimed at increasing connectivity are effective. This study investigated the distribution patterns of ascending juvenile European eel (Anguilla anguilla L.) in rivers in south-western Sweden, with a focus on the effects of barriers and measures that aim to reduce the impact of barriers, i.e. fish-passage solutions (FPSs). Eel occurrence data were spatially and temporally integrated with the national databases of dams and FPSs in a Geographic Information System (GIS) environment to evaluate their effect on ascending eel distribution. The types of barriers assessed were: (i) dams with nature-like fishways; (ii) dams with eel ramps; (iii) dams with technical fishways; and (iv) dams without FPSs. Dams fitted with eel ramps or technical fishways, as well as dams without FPSs, produced a significant negative effect on the probability of eel occurrence upstream. This negative effect was not found for dams fitted with nature-like fishways, indicating that these solutions may function better than the other FPS types in this study. The probability of eel occurrence decreased with distance from the sea and increased with area sampled, number of electrofishing runs, water temperature, and with the size of the bottom substrate. We suggest that future conservation strategies for improving the natural immigration of juvenile eels should include optimizing FPS function (e.g. placement and design), the continued maintenance of FPSs, the construction of nature-like fishways, and preferably the removal of dams, which will also benefit the downstream migration of maturing eels as well as restoring other ecosystem services.</t>
  </si>
  <si>
    <t>[Tamario, Carl; Degerman, Erik] Swedish Univ Agr Sci, Dept Aquat Resources, Inst Freshwater Res, Drottningholm, Sweden; [Tamario, Carl] Linnaeus Univ, Dept Biol &amp; Environm Sci, Ctr Ecol &amp; Evolut Microbial Syst, EEMiS, Kalmar, Sweden; [Calles, Olle; Watz, Johan; Nilsson, P. Anders] Karlstad Univ, Dept Environm &amp; Life Sci, River Ecol &amp; Management Res Grp RivEM, Karlstad, Sweden; [Watz, Johan] Hokkaido Univ, Fac Environm Earth Sci, Sapporo, Hokkaido, Japan; [Nilsson, P. Anders] Lund Univ, Dept Biol Aquat Ecol, Lund, Sweden</t>
  </si>
  <si>
    <t>Swedish University of Agricultural Sciences; Linnaeus University; Karlstad University; Hokkaido University; Lund University</t>
  </si>
  <si>
    <t>Tamario, C (corresponding author), Linnaeus Univ, Dept Biol &amp; Environm Sci, Ctr Ecol &amp; Evolut Microbial Syst, EEMiS, Kalmar, Sweden.</t>
  </si>
  <si>
    <t>carl.tamario@lnu.se</t>
  </si>
  <si>
    <t>Calles, Olle/O-6403-2014; Nilsson, Anders/H-6836-2014</t>
  </si>
  <si>
    <t>Calles, Olle/0000-0002-8738-8815; Watz, Johan/0000-0002-4417-6636; Tamario, Carl/0000-0002-3176-130X; Nilsson, Anders/0000-0002-3541-9835</t>
  </si>
  <si>
    <t>Stiftelsen Oscar och Lili Lamms Minne [DO2017-0050]; Svenska Forskningsradet Formas [2015-824, 2017-00346]; Formas [2017-00346] Funding Source: Formas; Vinnova [2017-00346] Funding Source: Vinnova</t>
  </si>
  <si>
    <t>Stiftelsen Oscar och Lili Lamms Minne; Svenska Forskningsradet Formas(Swedish Research Council Formas); Formas(Swedish Research Council Formas); Vinnova(Vinnova)</t>
  </si>
  <si>
    <t>Stiftelsen Oscar och Lili Lamms Minne, Grant/Award Number: DO2017-0050; Svenska Forskningsradet Formas, Grant/Award Numbers: 2015-824 and 2017-00346</t>
  </si>
  <si>
    <t>10.1002/aqc.3064</t>
  </si>
  <si>
    <t>HV4NF</t>
  </si>
  <si>
    <t>WOS:000465962300010</t>
  </si>
  <si>
    <t>Comte, L; Olden, JD</t>
  </si>
  <si>
    <t>Comte, Lise; Olden, Julian D.</t>
  </si>
  <si>
    <t>NICHE EVOLUTION; BIODIVERSITY; CONSERVATION; ADAPTATION; ECOREGIONS; LATITUDE; IMPACT; RATES; HEAT; MAP</t>
  </si>
  <si>
    <t>Climate change is a mounting threat to biological diversity(1), compromising ecosystem structure and function, and undermining the delivery of essential services worldwide(2). As the magnitude and speed of climate change accelerates(3), greater understanding of the taxonomy and geography of climatic vulnerability is critical to guide effective conservation action. However, many uncertainties remain regarding the degree and variability of climatic risk within entire clades and across vast ecosystem boundaries(4). Here we integrate physiological estimates of thermal sensitivity for 2,960 ray-finned fishes with future climatic exposure, and demonstrate that global patterns of vulnerability differ substantially between freshwater and marine realms. Our results suggest that climatic vulnerability for freshwater faunas will be predominantly determined by elevated levels of climatic exposure predicted for the Northern Hemisphere, whereas marine faunas in the tropics will be the most at risk, reflecting their higher intrinsic sensitivity. Spatial overlap between areas of high physiological risk and high human impacts, together with evidence of low past rates of evolution in upper thermal tolerance, highlights the urgency of global conservation actions and policy initiatives if harmful climate effects on the world's fishes are to be mitigated in the future.</t>
  </si>
  <si>
    <t>[Comte, Lise; Olden, Julian D.] Univ Washington, Sch Aquat &amp; Fishery Sci, Seattle, WA 98103 USA</t>
  </si>
  <si>
    <t>University of Washington; University of Washington Seattle</t>
  </si>
  <si>
    <t>Comte, L (corresponding author), Univ Washington, Sch Aquat &amp; Fishery Sci, Seattle, WA 98103 USA.</t>
  </si>
  <si>
    <t>lcomte@uw.edu</t>
  </si>
  <si>
    <t>Olden, Julian/A-8535-2010; Comte, Lise/AAS-5036-2021</t>
  </si>
  <si>
    <t>Olden, Julian/0000-0003-2143-1187; Comte, Lise/0000-0001-8030-0019</t>
  </si>
  <si>
    <t>H. Mason Keeler Endowed Professorship (School of Aquatic and Fishery Sciences, University of Washington)</t>
  </si>
  <si>
    <t>We acknowledge the World Climate Research Programme's Working Group on Coupled Modeling, and the climate modelling groups (listed in Supplementary Table 3) for producing and making available their model output. Comments by L. Kuehne improved the manuscript. Financial support was provided by a H. Mason Keeler Endowed Professorship (School of Aquatic and Fishery Sciences, University of Washington) to J.D.O. (also supporting L.C.).</t>
  </si>
  <si>
    <t>10.1038/NCLIMATE3382</t>
  </si>
  <si>
    <t>FI5FL</t>
  </si>
  <si>
    <t>WOS:000412007700018</t>
  </si>
  <si>
    <t>Kovach, RP; Al-Chokhachy, R; Whited, DC; Schmetterling, DA; Dux, AM; Muhlfeld, CC</t>
  </si>
  <si>
    <t>Kovach, Ryan P.; Al-Chokhachy, Robert; Whited, Diane C.; Schmetterling, David A.; Dux, Andrew M.; Muhlfeld, Clint C.</t>
  </si>
  <si>
    <t>bull trout Salvelinus confluentus; climate change; fish; freshwater; invasive species; management; population dynamics; temperature; trout</t>
  </si>
  <si>
    <t>TROUT SALVELINUS-CONFLUENTUS; BULL TROUT; REDD COUNTS; MANAGEMENT; TEMPERATURE; ABUNDANCE; IMPACTS; STREAMS; GEOMORPHOLOGY; BIODIVERSITY</t>
  </si>
  <si>
    <t>1. Climate change is an additional stressor in a complex suite of threats facing freshwater biodiversity, particularly for cold-water fishes. Research addressing the consequences of climate change on cold-water fish has generally focused on temperature limits defining spatial distributions, largely ignoring how climatic variation influences population dynamics in the context of other existing stressors. 2. We used long-term data from 92 populations of bull trout Salvelinus confluentus - one of North America's most cold-adapted fishes - to quantify additive and interactive effects of climate, invasive species and land use on population dynamics (abundance, variability and growth rate). 3. Populations were generally depressed, more variable and declining where spawning and rearing stream habitat was limited, invasive species and land use were prevalent and stream temperatures were highest. Increasing stream temperature acted additively and independently, whereas land use and invasive species had additive and interactive effects (i.e. the impact of one stressor depended on exposure to the other stressor). 4. Most (58%-78%) of the explained variation in population dynamics was attributed to the presence of invasive species, differences in life history and management actions in foraging habitats in rivers, lakes and reservoirs. Although invasive fishes had strong negative effects on populations in foraging habitats, proactive control programmes appeared to effectively temper their negative impact. 5. Synthesis and applications. Long-term demographic data emphasize that climate warming will exacerbate imperilment of cold-water specialists like bull trout, yet other stressors - especially invasive fishes - are immediate threats that can be addressed by proactive management actions. Therefore, climate-adaptation strategies for freshwater biodiversity should consider existing abiotic and biotic stressors, some of which provide potential and realized opportunity for conservation of freshwater biodiversity in a warming world.</t>
  </si>
  <si>
    <t>[Kovach, Ryan P.; Muhlfeld, Clint C.] US Geol Survey, Northern Rocky Mt Sci Ctr, West Glacier, MT 59936 USA; [Al-Chokhachy, Robert] US Geol Survey, Northern Rocky Mt Sci Ctr, Bozeman, MT 59715 USA; [Whited, Diane C.; Muhlfeld, Clint C.] Univ Montana, Flathead Biol Stn, Polson, MT 59860 USA; [Schmetterling, David A.] Montana Fish Wildlife &amp; Pk, 3201 Spurgin Rd, Missoula, MT 59801 USA; [Dux, Andrew M.] Idaho Dept Fish &amp; Game, 2885 W Kathleen Ave, Coeur Dalene, ID 83815 USA</t>
  </si>
  <si>
    <t>United States Department of the Interior; United States Geological Survey; United States Department of the Interior; United States Geological Survey; University of Montana System; University of Montana</t>
  </si>
  <si>
    <t>Kovach, RP (corresponding author), US Geol Survey, Northern Rocky Mt Sci Ctr, West Glacier, MT 59936 USA.</t>
  </si>
  <si>
    <t>rkovach@usgs.gov</t>
  </si>
  <si>
    <t>Schmetterling, David/0000-0002-2561-9753</t>
  </si>
  <si>
    <t>The USGS National Climate Change and Wildlife Science Center; Mendenhall Fellowship</t>
  </si>
  <si>
    <t>The USGS National Climate Change and Wildlife Science Center and Mendenhall Fellowship supported this work. We thank the numerous biologists who helped collect and interpret these data, especially Ken Bouwens, Chris Downs, Wade Fredenberg, Mike Hensler, Ladd Knotek, Ryan Kriener, Brad Lierman, Ron Pierce, Leo Rosenthal, Rob Ryan, Carson Watkins and Tom Weaver. We thank Matt Boyer, Sam Bourret, Angela Strecker and two anonymous reviewers for helpful comments on this manuscript. Any use of trade, firm or product names is for descriptive purposes only and does not imply endorsement by the US Government.</t>
  </si>
  <si>
    <t>10.1111/1365-2664.12766</t>
  </si>
  <si>
    <t>EQ2VW</t>
  </si>
  <si>
    <t>WOS:000397930300031</t>
  </si>
  <si>
    <t>Giersch, JJ; Jordan, S; Luikart, G; Jones, LA; Hauer, FR; Muhlfeld, CC</t>
  </si>
  <si>
    <t>Giersch, J. Joseph; Jordan, Steve; Luikart, Gordon; Jones, Leslie A.; Hauer, F. Richard; Muhlfeld, Clint C.</t>
  </si>
  <si>
    <t>FRESHWATER SCIENCE</t>
  </si>
  <si>
    <t>Plecoptera; Zapada; environmental change; biogeography; alpine stream invertebrates; connectivity; population fragmentation; vulnerability assessment; phylogeography; DNA barcoding; Bayesian phylogenetics</t>
  </si>
  <si>
    <t>STREAM; BIODIVERSITY; PLECOPTERA; DIVERSITY; DNA; DISPERSAL; MIGRATION; GLACIERS; BARCODE; TRENDS</t>
  </si>
  <si>
    <t>Climate warming poses a serious threat to alpine-restricted species worldwide, yet few studies have empirically documented climate-induced changes in distributions. The rare stonefly, Zapada glacier (Baumann and Gaufin), endemic to alpine streams of Glacier National Park (GNP), Montana, was recently petitioned for listing under the US Endangered Species Act because of climate-change-induced glacier loss, yet little was known about its current status and distribution. We resampled streams throughout the historical distribution of Z. glacier to investigate trends in occurrence associated with changes in temperature and glacial extent. The current geographic distribution of the species was assessed using morphological characteristics of adults and DNA barcoding of nymphs. Bayesian phylogenetic analysis of mtDNA data revealed 8 distinct clades of the genus corresponding with 7 known species from GNP, and one potentially cryptic species. Climate model simulations indicate that average summer air temperature increased (0.67-1.00 degrees C) during the study period (1960-2012), and glacial surface area decreased by approximate to 35% from 1966 to 2005. We detected Z. glacier in only 1 of the 6 historically occupied streams and at 2 new locations in GNP. These results suggest that an extremely restricted historical distribution of Z. glacier in GNP has been further reduced over the past several decades by an upstream retreat to higher, cooler sites as water temperatures increased and glacial masses decreased. More research is urgently needed to determine the status, distribution, and vulnerability of Z. glacier and other alpine stream invertebrates threatened by climate change in mountainous ecosystems.</t>
  </si>
  <si>
    <t>[Giersch, J. Joseph; Jones, Leslie A.; Muhlfeld, Clint C.] US Geol Survey, Northern Rocky Mt Sci Ctr, Glacier Natl Pk, West Glacier, MT 59936 USA; [Jordan, Steve] Bucknell Univ, Dept Biol, Lewisburg, PA 17837 USA; [Luikart, Gordon; Hauer, F. Richard; Muhlfeld, Clint C.] Univ Montana, Flathead Lake Biol Stn, Polson, MT 59860 USA; [Jones, Leslie A.] Univ Montana, Dept Biol Sci, Missoula, MT 59812 USA; [Hauer, F. Richard] Univ Montana, Inst Ecosyst, Missoula, MT 59812 USA</t>
  </si>
  <si>
    <t>United States Department of the Interior; United States Geological Survey; Bucknell University; University of Montana System; University of Montana; University of Montana System; University of Montana; University of Montana System; University of Montana</t>
  </si>
  <si>
    <t>Giersch, JJ (corresponding author), US Geol Survey, Northern Rocky Mt Sci Ctr, Glacier Natl Pk, West Glacier, MT 59936 USA.</t>
  </si>
  <si>
    <t>jgiersch@usgs.gov; steve.jordan@bucknell.edu; gordon.luikart@mso.umt.edu; lajones@usgs.gov; ric.hauer@mso.umt.edu; cmuhlfeld@usgs.gov</t>
  </si>
  <si>
    <t>luikart, gordon/L-8888-2013</t>
  </si>
  <si>
    <t>Jordan, Steve/0000-0001-5949-0102</t>
  </si>
  <si>
    <t>US Fish and Wildlife Service; Great Northern Landscape Conservation Cooperative (GNLCC); Bucknell University Department of Biology; National Science Foundation (NSF) [DGE 1313190]</t>
  </si>
  <si>
    <t>US Fish and Wildlife Service(US Fish &amp; Wildlife Service); Great Northern Landscape Conservation Cooperative (GNLCC); Bucknell University Department of Biology; National Science Foundation (NSF)(National Science Foundation (NSF))</t>
  </si>
  <si>
    <t>Our study was funded by the US Fish and Wildlife Service, the Great Northern Landscape Conservation Cooperative (GNLCC), and the Bucknell University Department of Biology. LAJ was supported by a National Science Foundation (NSF) Graduate Research Fellowship, grant DGE 1313190. Any use of trade, firm, or product names is for descriptive purposes only and does not imply endorsement by the US Government.</t>
  </si>
  <si>
    <t>UNIV CHICAGO PRESS</t>
  </si>
  <si>
    <t>CHICAGO</t>
  </si>
  <si>
    <t>1427 E 60TH ST, CHICAGO, IL 60637-2954 USA</t>
  </si>
  <si>
    <t>2161-9549</t>
  </si>
  <si>
    <t>2161-9565</t>
  </si>
  <si>
    <t>FRESHW SCI</t>
  </si>
  <si>
    <t>Freshw. Sci.</t>
  </si>
  <si>
    <t>10.1086/679490</t>
  </si>
  <si>
    <t>CB9ZV</t>
  </si>
  <si>
    <t>WOS:000349995000005</t>
  </si>
  <si>
    <t>Harsch, MA; HilleRisLambers, J</t>
  </si>
  <si>
    <t>Harsch, Melanie A.; HilleRisLambers, Janneke</t>
  </si>
  <si>
    <t>Climate Warming and Seasonal Precipitation Change Interact to Limit Species Distribution Shifts across Western North America</t>
  </si>
  <si>
    <t>RANGE; GROWTH; TEMPERATURE; ESTABLISHMENT; SENSITIVITY; DISPERSAL; PHENOLOGY; ELEVATION; IMPACTS; STRESS</t>
  </si>
  <si>
    <t>Using an extensive network of occurrence records for 293 plant species collected over the past 40 years across a climatically diverse geographic section of western North America, we find that plant species distributions were just as likely to shift upwards (i.e., towards higher elevations) as downward (i.e., towards lower elevations)-despite consistent warming across the study area. Although there was no clear directional response to climate warming across the entire study area, there was significant region-to region-variation in responses (i.e. from as many as 73% to as few as 32% of species shifting upward). To understand the factors that might be controlling region-specific distributional shifts of plant species, we explored the relationship between the direction of change in distribution limits and the nature of recent climate change. We found that the direction that distribution limits shifted was explained by an interaction between the rate of change in local summer temperatures and seasonal precipitation. Specifically, species were more likely to shift upward at their upper elevational limit when minimum temperatures increased and snowfall was unchanging or declined at slower rates (&lt; 0.5 mm/year). This suggests that both low temperature and water availability limit upward shifts at upper elevation limits. By contrast, species were more likely to shift upwards at their lower elevation limit when maximum temperatures increased, but also shifted upwards under conditions of cooling temperatures when precipitation decreased. This suggests increased water stress may drive upward shifts at lower elevation limits. Our results suggest that species' elevational distribution shifts are not predictable by climate warming alone but depend on the interaction between seasonal temperature and precipitation change.</t>
  </si>
  <si>
    <t>[Harsch, Melanie A.; HilleRisLambers, Janneke] Univ Washington, Dept Biol, Seattle, WA 98195 USA</t>
  </si>
  <si>
    <t>Harsch, MA (corresponding author), Univ Washington, Dept Biol, Seattle, WA 98195 USA.</t>
  </si>
  <si>
    <t>harsch.melanie@gmail.com</t>
  </si>
  <si>
    <t>HilleRisLambers, Janneke/0000-0001-5523-0354</t>
  </si>
  <si>
    <t>National Science Foundation (NSF DEB Career) [DEB-1054012]; National Science Foundation (NSF DEB PRFB) [DEB-1103734]; Direct For Biological Sciences; Division Of Environmental Biology [1054012] Funding Source: National Science Foundation</t>
  </si>
  <si>
    <t>National Science Foundation (NSF DEB Career)(National Science Foundation (NSF)NSF - Directorate for Biological Sciences (BIO)); National Science Foundation (NSF DEB PRFB)(National Science Foundation (NSF)NSF - Directorate for Biological Sciences (BIO)); Direct For Biological Sciences; Division Of Environmental Biology(National Science Foundation (NSF)NSF - Directorate for Biological Sciences (BIO))</t>
  </si>
  <si>
    <t>This work was supported by the National Science Foundation (NSF DEB Career #DEB-1054012 to JH, NSF DEB PRFB #DEB-1103734 to MH). Any opinions, findings, and conclusions or recommendations expressed in this material are those of the authors and do not necessarily reflect the views of the National Science Foundation.</t>
  </si>
  <si>
    <t>e0159184</t>
  </si>
  <si>
    <t>10.1371/journal.pone.0159184</t>
  </si>
  <si>
    <t>DS5CT</t>
  </si>
  <si>
    <t>WOS:000380799000015</t>
  </si>
  <si>
    <t>Monahan, WB; Fisichelli, NA</t>
  </si>
  <si>
    <t>Monahan, William B.; Fisichelli, Nicholas A.</t>
  </si>
  <si>
    <t>Climate Exposure of US National Parks in a New Era of Change</t>
  </si>
  <si>
    <t>CONSERVATION; ECOSYSTEMS; IMPACTS; VULNERABILITY; MANAGEMENT</t>
  </si>
  <si>
    <t>US national parks are challenged by climate and other forms of broad-scale environmental change that operate beyond administrative boundaries and in some instances are occurring at especially rapid rates. Here, we evaluate the climate change exposure of 289 natural resource parks administered by the US National Park Service (NPS), and ask which are presently (past 10 to 30 years) experiencing extreme (&lt;5th percentile or &gt;95th percentile) climates relative to their 19012012 historical range of variability (HRV). We consider parks in a landscape context (including surrounding 30 km) and evaluate both mean and inter-annual variation in 25 biologically relevant climate variables related to temperature, precipitation, frost and wet day frequencies, vapor pressure, cloud cover, and seasonality. We also consider sensitivity of findings to the moving time window of analysis (10, 20, and 30 year windows). Results show that parks are overwhelmingly at the extreme warm end of historical temperature distributions and this is true for several variables (e. g., annual mean temperature, minimum temperature of the coldest month, mean temperature of the warmest quarter). Precipitation and other moisture patterns are geographically more heterogeneous across parks and show greater variation among variables. Across climate variables, recent inter-annual variation is generally well within the range of variability observed since 1901. Moving window size has a measureable effect on these estimates, but parks with extreme climates also tend to exhibit low sensitivity to the time window of analysis. We highlight particular parks that illustrate different extremes and may facilitate understanding responses of park resources to ongoing climate change. We conclude with discussion of how results relate to anticipated future changes in climate, as well as how they can inform NPS and neighboring land management and planning in a new era of change.</t>
  </si>
  <si>
    <t>[Monahan, William B.; Fisichelli, Nicholas A.] Natl Pk Serv, Ft Collins, CO 80525 USA</t>
  </si>
  <si>
    <t>United States Department of the Interior; US National Park Service</t>
  </si>
  <si>
    <t>Monahan, WB (corresponding author), Natl Pk Serv, Ft Collins, CO 80525 USA.</t>
  </si>
  <si>
    <t>Bill_Monahan@nps.gov</t>
  </si>
  <si>
    <t>National Park Service; NASA [10-BIOCLIM10-0034]</t>
  </si>
  <si>
    <t>National Park Service; NASA(National Aeronautics &amp; Space Administration (NASA))</t>
  </si>
  <si>
    <t>Support for this study was provided by the National Park Service, and by the NASA Applied Sciences program through award number 10-BIOCLIM10-0034. The funders had no role in study design, data collection and analysis, decision to publish, or preparation of the manuscript.</t>
  </si>
  <si>
    <t>e101302</t>
  </si>
  <si>
    <t>10.1371/journal.pone.0101302</t>
  </si>
  <si>
    <t>AO5BA</t>
  </si>
  <si>
    <t>WOS:000341354100075</t>
  </si>
  <si>
    <t>Choe, H; Thorne, JH</t>
  </si>
  <si>
    <t>Choe, Hyeyeong; Thorne, James H.</t>
  </si>
  <si>
    <t>CLIMATIC CHANGE</t>
  </si>
  <si>
    <t>SPECIES DISTRIBUTION MODELS; CONSERVATION; BIODIVERSITY; SHIFTS; TREES; VULNERABILITY; MANAGEMENT; PHENOLOGY; SCIENCE; FUTURE</t>
  </si>
  <si>
    <t>The impacts of climate change traverse administrative borders, which calls for new strategies for forest ecosystem conservation and adaptive management. Despite relatively high biodiversity, the temperate forests in East Asia have lacked a comprehensive regional evaluation of potential climate change impacts. Here, we assess the level of climate change exposure of the Temperate Broadleaf and Mixed Forests Biome of East Asia by 2070. These temperate forests occupy 18 ecoregions, five countries, and 102 provinces. We categorize climate change exposure by classifying baseline (1960-1990) climate conditions for the current geographic distribution of five temperate forest types within each ecoregion and within the biome. We then measure the level of change under four future climates: a warmer or a hotter future climate and under reduced emissions (RCP4.5) or with emissions continuing unabated (RCP8.5). By 2070, using the RCP8.5 emission scenario, 24.5-65.7% of these forests enter non-analog or the most marginal 1% of baseline climate conditions. These results reveal the need for extensive transboundary governmental coordination, including forest preservation actions among 51 of 54 provinces that will retain some forest locations in climatically stable or low-risk conditions. Furthermore, among 96 provinces with forests that will be highly exposed, 90 will require transboundary climate change adaptation strategies because these forests span their borders, including the border areas of China, the Russian Federation, and North Korea. The analytical approach of this study could serve as a template for supporting transboundary institutional coordination to address climate change.</t>
  </si>
  <si>
    <t>[Choe, Hyeyeong] Kangwon Natl Univ, Dept Ecol Landscape Architecture Design, Chunchon 24341, Gangwon Do, South Korea; [Thorne, James H.] Univ Calif Davis, Dept Environm Sci &amp; Policy, Davis, CA 95616 USA</t>
  </si>
  <si>
    <t>Kangwon National University; University of California System; University of California Davis</t>
  </si>
  <si>
    <t>Choe, H (corresponding author), Kangwon Natl Univ, Dept Ecol Landscape Architecture Design, Chunchon 24341, Gangwon Do, South Korea.</t>
  </si>
  <si>
    <t>hychoe@kangwon.ac.kr</t>
  </si>
  <si>
    <t>Choe, Hyeyeong/0000-0003-2130-1622</t>
  </si>
  <si>
    <t>National Research Foundation of Korea (NRF) - Korean government (MSIT) [2019R1G1A1005770]</t>
  </si>
  <si>
    <t>National Research Foundation of Korea (NRF) - Korean government (MSIT)</t>
  </si>
  <si>
    <t>We appreciate the global data depositories for public use including the World Wildlife Fund, USGS Land Cover Institute, WorldClim, and Natural Earth. We thank Professor James F. Quinn for providing lab and computing facilities and Professor Mark W. Schwartz for comments on the manuscript. This work was supported by the National Research Foundation of Korea (NRF) grant funded by the Korean government (MSIT) (No. 2019R1G1A1005770).</t>
  </si>
  <si>
    <t>0165-0009</t>
  </si>
  <si>
    <t>1573-1480</t>
  </si>
  <si>
    <t>Clim. Change</t>
  </si>
  <si>
    <t>10.1007/s10584-019-02493-8</t>
  </si>
  <si>
    <t>JG3QB</t>
  </si>
  <si>
    <t>WOS:000491987900004</t>
  </si>
  <si>
    <t>Seim, A; Omurova, G; Azisov, E; Musuraliev, K; Aliev, K; Tulyaganov, T; Nikolyai, L; Botman, E; Helle, G; Liñan, ID; Jivcov, S; Linderholm, HW</t>
  </si>
  <si>
    <t>Seim, Andrea; Omurova, Gulzar; Azisov, Erlan; Musuraliev, Kanaat; Aliev, Kumar; Tulyaganov, Timur; Nikolyai, Lyutsian; Botman, Evgeniy; Helle, Gerd; Dorado Linan, Isabel; Jivcov, Sandra; Linderholm, Hans W.</t>
  </si>
  <si>
    <t>Climate Change Increases Drought Stress of Juniper Trees in the Mountains of Central Asia</t>
  </si>
  <si>
    <t>WATER-USE EFFICIENCY; TIEN-SHAN; GROWTH; RESPONSES; TEMPERATURES; IMPACTS; REGION; SPRUCE; SHIFT; RIVER</t>
  </si>
  <si>
    <t>Assessments of climate change impacts on forests and their vitality are essential for semi-arid environments such as Central Asia, where the mountain regions belong to the globally important biodiversity hotspots. Alterations in species distribution or drought-induced tree mortality might not only result in a loss of biodiversity but also in a loss of other ecosystem services. Here, we evaluate spatial trends and patterns of the growth-climate relationship in a tree-ring network comprising 33 juniper sites from the northern Pamir-Alay and Tien Shan mountain ranges in eastern Uzbekistan and across Kyrgyzstan for the common period 1935-2011. Junipers growing at lower elevations are sensitive to summer drought, which has increased in intensity during the studied period. At higher elevations, juniper growth, previously favored by warm summer temperatures, has in the recent few decades become negatively affected by increasing summer aridity. Moreover, response shifts are observed during all seasons. Rising temperatures and alterations in precipitation patterns during the past eight decades can account for the observed increase in drought stress of junipers at all altitudes. The implications of our findings are vital for the application of adequate long-term measures of ecosystem conservation, but also for paleo-climatic approaches and coupled climate-vegetation model simulations for Central Asia.</t>
  </si>
  <si>
    <t>[Seim, Andrea; Linderholm, Hans W.] Univ Gothenburg, Dept Earth Sci, Reg Climate Grp, Gothenburg, Sweden; [Omurova, Gulzar; Azisov, Erlan] CAIAG, Bishkek, Kyrgyzstan; [Omurova, Gulzar; Musuraliev, Kanaat] KNAU, Bishkek, Kyrgyzstan; [Musuraliev, Kanaat] Natl Acad Sci Republ Kyrgyzstan, Innovat Ctr Phytotechnol, Bishkek, Kyrgyzstan; [Aliev, Kumar] Univ Cent Asia, Bishkek, Kyrgyzstan; [Tulyaganov, Timur; Nikolyai, Lyutsian; Botman, Evgeniy] RSPCDGF, Tashkent, Uzbekistan; [Helle, Gerd] Helmholtz Ctr Potsdam, German Ctr Geosci Climate Dynam &amp; Landscape Evolu, Potsdam, Germany; [Dorado Linan, Isabel] Inst Nacl Invest &amp; Tecnol Agr &amp; Alimentaria INIA, Forest Res Ctr, Madrid, Spain; [Jivcov, Sandra] Univ Cologne, Inst Geol &amp; Mineral, D-50931 Cologne, Germany</t>
  </si>
  <si>
    <t>University of Gothenburg; Central-Asian Institute for Applied Geosciences (CAIAG); Kyrgyz National Agrarian University; National Academy of Sciences of the Kyrgyz Republic (NAS KR); University of Central Asia; Helmholtz Association; Helmholtz-Center Potsdam GFZ German Research Center for Geosciences; Instituto Nacional Investigacion Tecnologia Agraria Alimentaria (INIA); University of Cologne</t>
  </si>
  <si>
    <t>Seim, A (corresponding author), Univ Gothenburg, Dept Earth Sci, Reg Climate Grp, Gothenburg, Sweden.</t>
  </si>
  <si>
    <t>andrea.seim@gvc.gu.se</t>
  </si>
  <si>
    <t>Helle, Gerhard/G-5380-2013; Dorado Liñán, Isabel/B-4393-2017; Linderholm, Hans/N-1020-2013; Seim, Anea/MGU-8729-2025; Botman, Evgeniy/AAC-3857-2021</t>
  </si>
  <si>
    <t>Helle, Gerhard/0000-0001-9988-6638; Omurova, Gulzar/0000-0002-9951-3628; Dorado Liñán, Isabel/0000-0002-8913-0420; Linderholm, Hans/0000-0002-1522-8919; Seim, Anea/0000-0002-7201-8010;</t>
  </si>
  <si>
    <t>Kungliga Vetenskapsakademien (KVA, Margit Althins Stipendiefond); Svenska Sallskapet for Antropologi och Geografi (SSAG); Wilhelm och Martina Lundgrens Vetenskapsfond; Swedish International Development Cooperation Agency SIDA [SWE-2009-245]</t>
  </si>
  <si>
    <t>Kungliga Vetenskapsakademien (KVA, Margit Althins Stipendiefond); Svenska Sallskapet for Antropologi och Geografi (SSAG); Wilhelm och Martina Lundgrens Vetenskapsfond; Swedish International Development Cooperation Agency SIDA(Norwegian Agency for Development Cooperation - NORAD)</t>
  </si>
  <si>
    <t>The study was partially funded by Kungliga Vetenskapsakademien (KVA, including the Margit Althins Stipendiefond), Svenska Sallskapet for Antropologi och Geografi (SSAG), Wilhelm och Martina Lundgrens Vetenskapsfond and Swedish International Development Cooperation Agency SIDA (project SWE-2009-245). The funders had no role in study design, data collection and analysis, decision to publish, or preparation of the manuscript.</t>
  </si>
  <si>
    <t>APR 21</t>
  </si>
  <si>
    <t>e0153888</t>
  </si>
  <si>
    <t>10.1371/journal.pone.0153888</t>
  </si>
  <si>
    <t>DK4OR</t>
  </si>
  <si>
    <t>WOS:000374898500086</t>
  </si>
  <si>
    <t>Soroye, P; Newbold, T; Kerr, J</t>
  </si>
  <si>
    <t>Soroye, Peter; Newbold, Tim; Kerr, Jeremy</t>
  </si>
  <si>
    <t>OCCUPANCY ESTIMATION; IMPACTS; TRAITS; RISK</t>
  </si>
  <si>
    <t>Climate change could increase species' extinction risk as temperatures and precipitation begin to exceed species' historically observed tolerances. Using long-term data for 66 bumble bee species across North America and Europe, we tested whether this mechanism altered likelihoods of bumble bee species' extinction or colonization. Increasing frequency of hotter temperatures predicts species' local extinction risk, chances of colonizing a new area, and changing species richness. Effects are independent of changing land uses. The method developed in this study permits spatially explicit predictions of climate change-related population extinction-colonization dynamics within species that explains observed patterns of geographical range loss and expansion across continents. Increasing frequencies of temperatures that exceed historically observed tolerances help explain widespread bumble bee species decline. This mechanism may also contribute to biodiversity loss more generally.</t>
  </si>
  <si>
    <t>[Soroye, Peter; Kerr, Jeremy] Univ Ottawa, Dept Biol, Ottawa, ON K1N 6N5, Canada; [Newbold, Tim] UCL, Dept Genet Evolut &amp; Environm, Ctr Biodivers &amp; Environm Res, London WC1E 6BT, England</t>
  </si>
  <si>
    <t>University of Ottawa; University of London; University College London</t>
  </si>
  <si>
    <t>Soroye, P (corresponding author), Univ Ottawa, Dept Biol, Ottawa, ON K1N 6N5, Canada.</t>
  </si>
  <si>
    <t>peter.soroye@gmail.com</t>
  </si>
  <si>
    <t>; Newbold, Tim/R-8958-2019; Soroye, Peter/Y-4133-2019</t>
  </si>
  <si>
    <t>Kerr, Jeremy/0000-0002-3972-7560; Newbold, Tim/0000-0001-7361-0051; Soroye, Peter/0000-0001-9810-3363</t>
  </si>
  <si>
    <t>Natural Sciences and Engineering Research Council of Canada (NSERC); University Research Chair in Macroecology and Conservation at the University of Ottawa; Canada Foundation for Innovation; Royal Society; NSERC Postgraduate Scholarship; Royal Society University Research Fellowship; UK Natural Environment Research Council [NE/R010811/1]; NERC [NE/R010811/1] Funding Source: UKRI</t>
  </si>
  <si>
    <t>Natural Sciences and Engineering Research Council of Canada (NSERC)(Natural Sciences and Engineering Research Council of Canada (NSERC)); University Research Chair in Macroecology and Conservation at the University of Ottawa; Canada Foundation for Innovation(Canada Foundation for InnovationCGIAR); Royal Society(Royal Society UK); NSERC Postgraduate Scholarship(Natural Sciences and Engineering Research Council of Canada (NSERC)); Royal Society University Research Fellowship(Royal Society UK); UK Natural Environment Research Council(UK Research &amp; Innovation (UKRI)Natural Environment Research Council (NERC)); NERC(UK Research &amp; Innovation (UKRI)Natural Environment Research Council (NERC))</t>
  </si>
  <si>
    <t>J.K. is grateful for Discovery Grant and Discovery Accelerator Supplement from the Natural Sciences and Engineering Research Council of Canada (NSERC)and funds from his University Research Chair in Macroecology and Conservation at the University of Ottawa. J.K. is also supported through infrastructure funds from the Canada Foundation for Innovation. This collaboration was funded by a Royal Society grant to T.N. and J.K. and an NSERC Postgraduate Scholarship award to P.S. to work with K.T.N. was supported by a Royal Society University Research Fellowship and a grant from the UK Natural Environment Research Council (NE/R010811/1).</t>
  </si>
  <si>
    <t>FEB 7</t>
  </si>
  <si>
    <t>10.1126/science.aax8591</t>
  </si>
  <si>
    <t>KJ9OE</t>
  </si>
  <si>
    <t>WOS:000512382900032</t>
  </si>
  <si>
    <t>Ashcroft, MB; Chisholm, LA; French, KO</t>
  </si>
  <si>
    <t>Ashcroft, Michael B.; Chisholm, Laurie A.; French, Kristine O.</t>
  </si>
  <si>
    <t>bioclimatic envelope; climate change; elevation; exposure; humidity; refugia; species distribution model; temperature; vegetation; wind</t>
  </si>
  <si>
    <t>SPECIES DISTRIBUTIONS; ENVELOPE MODELS; BIODIVERSITY; PROJECTIONS; IMPACTS; ASSESSMENTS; DIVERSITY; NICHE</t>
  </si>
  <si>
    <t>Current predictions of how species will respond to climate change are based on coarse-grained climate surfaces or idealized scenarios of uniform warming. These predictions may erroneously estimate the risk of extinction because they neglect to consider spatially heterogenous warming at the landscape scale or identify refugia where species can persist despite unfavourable regional climate. To address this issue, we investigated the heterogeneity in warming that has occurred in a 10 km x 10km area from 1972 to 2007. We developed estimates by combining long-term daily observations from a limited number of weather stations with a more spatially comprehensive dataset (40 sites) obtained during 2005-2006. We found that the spatial distribution of warming was greater inland, at lower elevations, away from streams, and at sites exposed to the northwest (NW). These differences corresponded with changes in weather patterns, such as an increasing frequency of hot, dry NW winds. As plant species were biased in the topographic and geographic locations they occupied, these differences meant that some species experienced more warming than others, and are at greater risk from climate change. This species bias could not be detected at coarser scales. The uneven seasonal nature of warming (e. g. more warming in winter, minimums increased more than maximums) means that climate change predictions will vary according to which predictors are selected in species distribution models. Models based on a limited set of predictors will produce erroneous predictions when the correct limiting factor is not selected, and this is difficult to avoid when temperature predictors are correlated because they are produced using elevation-sensitive interpolations. The results reinforce the importance of down-scaling coarse-grained (similar to 50 km) temperature surfaces, and suggest that the accuracy of this process could be improved by considering regional weather patterns (wind speed, direction, humidity) and topographic exposure to key wind directions.</t>
  </si>
  <si>
    <t>[Ashcroft, Michael B.; Chisholm, Laurie A.] Univ Wollongong, GeoQuEST Res Ctr, Sch Earth &amp; Environm Sci, Wollongong, NSW 2522, Australia; [Ashcroft, Michael B.; French, Kristine O.] Univ Wollongong, Sch Biol Sci, Inst Conservat Biol &amp; Law, Wollongong, NSW 2522, Australia; [Ashcroft, Michael B.] Australian Museum, Sydney, NSW 2010, Australia</t>
  </si>
  <si>
    <t>University of Wollongong; University of Wollongong; Australian Museum</t>
  </si>
  <si>
    <t>Ashcroft, MB (corresponding author), Univ Wollongong, GeoQuEST Res Ctr, Sch Earth &amp; Environm Sci, Wollongong, NSW 2522, Australia.</t>
  </si>
  <si>
    <t>mba97@uow.edu.au</t>
  </si>
  <si>
    <t>; French, Kris/I-8202-2012</t>
  </si>
  <si>
    <t>Ashcroft, Michael/0000-0003-2157-5965; French, Kris/0000-0001-6938-2017</t>
  </si>
  <si>
    <t>University Postgraduate Award</t>
  </si>
  <si>
    <t>This research was conducted as part of a Ph. D. at the University of Wollongong with a University Postgraduate Award scholarship. The research could not have been completed without the data obtained from the Spatial Analysis Laboratory in the School of Earth and Environmental Sciences, much of which has been supplied by AAMHatch, the NSW Department of Environment and Climate Change and the NSW Department of Primary Industries. Thanks to Bernard Ashcroft, Imke Busing, Berit Fehlau, Jodie Dunn, Carolyn Blomley, Anders Bofeldt, Roger Ferguson, Elfi Ashcroft, Roger Starkie, Andrea Kubler, and Rike Arnold for help with the fieldwork, to the many landholders who generously granted us permission to access their land, and to John Gollan and three anonymous reviewers for providing helpful comments on previous drafts.</t>
  </si>
  <si>
    <t>10.1111/j.1365-2486.2008.01762.x</t>
  </si>
  <si>
    <t>404EV</t>
  </si>
  <si>
    <t>WOS:000263134600010</t>
  </si>
  <si>
    <t>Zimkus, BM; Baláz, V; Belasen, AM; Bell, RCD; Channing, A; Doumbia, J; Fokam, EBN; Gonwouo, LN; Greenbaum, E; Gvozdík, V; Hirschfeld, M; Jackson, K; James, TY; Kusamba, C; Larson, JG; Mavoungou, LB; Rödel, MO; Zassi-Boulou, AG; Penner, J</t>
  </si>
  <si>
    <t>Zimkus, Breda M.; Balaz, Vojtech; Belasen, Anat M.; Bell, Rayna C. D.; Channing, Alan; Doumbia, Joseph; Fokam, Eric B. N.; Gonwouo, Legrand N.; Greenbaum, Eli; Gvozdik, Vaclav; Hirschfeld, Mareike; Jackson, Kate; James, Timothy Y.; Kusamba, Chifundera; Larson, Joanna G.; Mavoungou, Lise-Bethy; Roedel, Mark-Oliver; Zassi-Boulou, Ange-Ghislain; Penner, Johannes</t>
  </si>
  <si>
    <t>Chytrid Pathogen (Batrachochytrium dendrobatidis) in African Amphibians: A Continental Analysis of Occurrences and Modeling of Its Potential Distribution</t>
  </si>
  <si>
    <t>HERPETOLOGICA</t>
  </si>
  <si>
    <t>Chytridiomycosis; Fungus; Habitat; Life history; Maxent; Taxonomy</t>
  </si>
  <si>
    <t>HIGH PREVALENCE; LETHAL CHYTRIDIOMYCOSIS; POPULATION DECLINES; XENOPUS-LAEVIS; NATIONAL-PARK; LIFE-CYCLE; RIVER FROG; SAO-TOME; SP-NOV; FUNGUS</t>
  </si>
  <si>
    <t>The fungal pathogen Batrachochytrium dendrobatidis (Bd) is implicated in global declines of amphibian populations and has been documented in African specimens originally collected as far back as the 1930s. Numerous recent surveys focusing on regional pathogen prevalence have greatly increased the number of known occurrences of Bd in African species, but few studies have focused on continental distribution patterns. We analyzed all known positive occurrences of Bd in African amphibians to date, including newly reported data from Cameroon, the Democratic Republic of the Congo, Gabon, Namibia, and the Republic of the Congo. Records from both Namibia and the Republic of the Congo reported herein represent first positive occurrences for these countries. With this most comprehensive sampling of the African continent to date we identified patterns of Bd-positive occurrences associated with (1) location (i.e., biogeographic region, country), (2) taxonomy, (3) life history, and (4) threat of extinction. We used fine-grained (30 arc seconds) environmental niche models (ENMs) to predict the continental distribution of Bd and identify hotspots for the pathogen, including areas not previously modeled to have high suitability for the fungus, and areas of high amphibian biodiversity from which Bd has not yet been documented. Our ENMs predicted that the environmentally suitable range of Bd encompasses vast areas of high amphibian biodiversity, including the Congo Basin and the Albertine Rift. Although our ENMs indicated that West Africa is environmentally suitable for Bd, the fungus has not been reported west of the Dahomey Gap. Likewise, the ENMs also identified regions across the Congo Basin and coastal Angola that are environmentally suitable for the pathogen but from which Bd has not yet been reported, underscoring a need for Bd surveys in these regions. Although amphibian declines in Africa have not been directly attributed to chytridiomycosis, Bd has been detected in over one fifth of the most-threatened African amphibians. Given the presence of the hypervirulent Bd global panzootic lineage (BdGPL) in Africa, we believe that the threat of Bd as a novel pathogen may be underestimated and that focused research is urgently needed to identify which species are susceptible to Bd-driven declines.</t>
  </si>
  <si>
    <t>[Zimkus, Breda M.] Harvard Univ, Museum Comparat Zool, Cambridge, MA 02138 USA; [Balaz, Vojtech] Univ Vet &amp; Pharmaceut Sci Brno, Fac Vet Hyg &amp; Ecol, Dept Biol &amp; Wildlife Dis, Brno 61242, Czech Republic; [Belasen, Anat M.] Cornell Univ, Dept Ecol &amp; Evolutionary Biol, Ithaca, NY 14853 USA; [Belasen, Anat M.; James, Timothy Y.; Larson, Joanna G.] Univ Michigan, Dept Ecol &amp; Evolutionary Biol, Ann Arbor, MI 48109 USA; [Bell, Rayna C. D.] Smithsonian Inst, Natl Museum Nat Hist, Dept Vertebrate Zool, Washington, DC 20560 USA; [Bell, Rayna C. D.] Calif Acad Sci, Herpetol Dept, San Francisco, CA 94118 USA; [Channing, Alan] North West Univ, Unit Environm Sci &amp; Management, ZA-2520 Potchefstroom, South Africa; [Doumbia, Joseph] ONG EnviSud Guinee, Commune Ratoma 030BP 558 4720, Conakry, Guinea; [Fokam, Eric B. N.] Univ Buea, Dept Zool &amp; Anim Physiol, Buea 00237, Cameroon; [Gonwouo, Legrand N.] Univ Yaounde I, Fac Sci, Lab Zool, POB 812, Yaounde, Cameroon; [Greenbaum, Eli] Univ Texas El Paso, Dept Biol Sci, 500 W Univ Ave, El Paso, TX 79968 USA; [Gvozdik, Vaclav] Czech Acad Sci, Inst Vertebrate Biol, Brno 60365, Czech Republic; [Gvozdik, Vaclav] Natl Museum, Dept Zool, Prague 19300, Czech Republic; [Hirschfeld, Mareike; Roedel, Mark-Oliver; Penner, Johannes] Leibniz Inst Evolut &amp; Biodivers Sci, Museum Nat Kunde Berlin, Invalidenstr 43, D-10115 Berlin, Germany; [Jackson, Kate] Whitman Coll, Dept Biol, 345 Boyer Ave, Walla Walla, WA 99362 USA; [Kusamba, Chifundera] Ctr Rech Sci Nat, Dept Biol, Lwiro, DEM REP CONGO; [Mavoungou, Lise-Bethy; Zassi-Boulou, Ange-Ghislain] Inst Natl Rech Sci Exactes &amp; Nat IRSEN, Cite Sci Ex ORSTOM, Brazzaville 2400, Rep Congo; [Penner, Johannes] Univ Freiburg, Chair Wildlife Ecol &amp; Wildlife Management, Tennenbacher Str 4, D-79106 Freiburg, Germany</t>
  </si>
  <si>
    <t>Harvard University; University of Veterinary Sciences Brno; Cornell University; University of Michigan System; University of Michigan; Smithsonian Institution; Smithsonian National Museum of Natural History; California Academy of Sciences; North West University - South Africa; University of Yaounde I; University of Texas System; University of Texas El Paso; Czech Academy of Sciences; Institute of Vertebrate Biology of the Czech Academy of Sciences; National Museum; Leibniz Institut fur Evolutions und Biodiversitatsforschung; Whitman College; University of Freiburg</t>
  </si>
  <si>
    <t>Zimkus, BM (corresponding author), Harvard Univ, Museum Comparat Zool, Cambridge, MA 02138 USA.</t>
  </si>
  <si>
    <t>bzimkus@oeb.harvard.edu</t>
  </si>
  <si>
    <t>Balaz, Vojtech/M-5314-2013; Zimkus, Breda/AGV-6362-2022; Fokam, Eric Bertrand/GPS-7655-2022; Larson, Joanna/JXO-0282-2024; CHIFUNDERA, KUSAMBA/HTO-3984-2023; Gvozdik, Vaclav/E-4043-2010</t>
  </si>
  <si>
    <t>Balaz, Vojtech/0000-0001-6521-5350; Zimkus, Breda/0000-0002-8973-526X; Fokam, Eric Bertrand/0000-0003-4531-3580; Larson, Joanna/0000-0002-1401-7837; Bell, Rayna/0000-0002-0123-8833;</t>
  </si>
  <si>
    <t>National Geographic Research and Exploration Grant [8556-08]; University of Texas at El Paso (UTEP); National Science Foundation (NSF) [DEB-1145459]; NSF [1145437]; Parcs Gabon Autorisation d'Entree dans les Parcs Nationaux [AE130014/PR/ANPN/SE/CS/AEPN]; Autorisation de Recherches sur le Territoire du Gabon [AR0013/13/MENESTFPRSCJS/CENAREST/CG/CST/CSAR]; CERTIFICAT D'ORIGINE POUR LES PRODUITS EXPORTES [79-84/DGFAP]; University of Michigan; Czech Science Foundation [15-13415Y]; Ministry of Culture of the Czech Republic [DKRVO 2019-2023/6.VII.b, 00023272]; Direct For Biological Sciences; Division Of Environmental Biology [1145437] Funding Source: National Science Foundation</t>
  </si>
  <si>
    <t>National Geographic Research and Exploration Grant(National Geographic Society); University of Texas at El Paso (UTEP); National Science Foundation (NSF)(National Science Foundation (NSF)); NSF(National Science Foundation (NSF)); Parcs Gabon Autorisation d'Entree dans les Parcs Nationaux; Autorisation de Recherches sur le Territoire du Gabon; CERTIFICAT D'ORIGINE POUR LES PRODUITS EXPORTES; University of Michigan(University of Michigan System); Czech Science Foundation(Grant Agency of the Czech Republic); Ministry of Culture of the Czech Republic; Direct For Biological Sciences; Division Of Environmental Biology(National Science Foundation (NSF)NSF - Directorate for Biological Sciences (BIO))</t>
  </si>
  <si>
    <t>We thank all those who provided global positioning system coordinates or assisted with questions regarding data associated with previously published studies including T. Goldberg, L. Scheinberg, and V. Vrendenburg. Fieldwork in Namibia by AC was completed under Ethics approval UWC 04/4/10; research and collecting permits (unnumbered) were obtained from the Ministry for the Environment and Tourism by M. Griffin. Fieldwork by EG and CK in Democratic Republic of the Congo was conducted under Permits Nos. LWI/27/BBa/MUH.M/BBY/141/09 (2009) and LWI/27/BBa/MUH.M/BBY/001/011 from the Director General of Centre de Recherche en Sciences Naturelles and was supported by a National Geographic Research and Exploration Grant (No. 8556-08), University of Texas at El Paso (UTEP), and a grant from the National Science Foundation (NSF; DEB-1145459); field companions Mwenebatu M. Aristote and Wandege M. Muninga assisted with collecting. Fieldwork in the Republic of Congo was completed under NSF research grant No. 1145437 to KJ under Groupe d-Etude et de Recherche sur la Diversite Biologique permits No. 108/DIR.08 and No. 037/DIR.10. KJ would like to thank the Smithsonian National Museum of Natural History (USNM) Herpetology Department, the Wildlife Conservation Society (WCS) Congo, and Institut National de Recherche en Sciences Exactes et Naturelles (IRSEN) in Brazzaville. Fieldwork by JGL in Gabon was completed under Parcs Gabon Autorisation d'Entree dans les Parcs Nationaux No. AE130014/PR/ANPN/SE/CS/AEPN, Autorisation de Recherches sur le Territoire du Gabon No. AR0013/13/MENESTFPRSCJS/CENAREST/CG/CST/CSAR, and CERTIFICAT D'ORIGINE No 79-84/DGFAP POUR LES PRODUITS EXPORTES. Funding for labwork on Gabonese samples was provided by the University of Michigan to JGL and TYJ. Fieldwork by VG in Cameroon was completed under Permits 1010/PRBS/MINFOF/SG/DFAP/SDVEF/SC and 1099/PRS/MINFOF/SG/DFAP/SDVEF/SC. VG would like to thank M. Dolinay and G.C. Tasse Taboue for help in the field and R. Tropek and A. Koda dkova for additional material. VG's research was supported by the Czech Science Foundation, Grant Number 15-13415Y, and the Ministry of Culture of the Czech Republic (DKRVO 2019-2023/6.VII.b, National Museum, 00023272). BZ is grateful to E. Ballerini and M. Laslo for assistance with RStudio and to D. Green for the invitation to speak at the amphibian population declines symposium that initiated this work.</t>
  </si>
  <si>
    <t>HERPETOLOGISTS LEAGUE</t>
  </si>
  <si>
    <t>C/O ALLEN PRESS, PO BOX 7065, LAWRENCE, KS 66044 USA</t>
  </si>
  <si>
    <t>0018-0831</t>
  </si>
  <si>
    <t>1938-5099</t>
  </si>
  <si>
    <t>10.1655/0018-0831-76.2.201</t>
  </si>
  <si>
    <t>MD2HI</t>
  </si>
  <si>
    <t>WOS:000543794000011</t>
  </si>
  <si>
    <t>Bruschi, D; Garcia, DA; Gugliermetti, F; Cumo, F</t>
  </si>
  <si>
    <t>Bruschi, Daniele; Garcia, Davide Astiaso; Gugliermetti, Franco; Cumo, Fabrizio</t>
  </si>
  <si>
    <t>Infrastructural Fragmentation Index (IFI); Sustainable transport; Transportation infrastructures; Geographic Information System (GIS); Habitat fragmentation; Italian National Parks (INPs)</t>
  </si>
  <si>
    <t>HABITAT FRAGMENTATION; LANDSCAPE INDEXES; ROAD; CONNECTIVITY; CORRIDORS; PROVINCE; IMPACTS; PATTERN; ENERGY; MODEL</t>
  </si>
  <si>
    <t>In the last decades, due to the population increase and the relative need of new land to cultivate, expand urban centers and develop transportation networks, most of the Italian natural protected areas are subject to different typologies of human pressures that generally cause habitat fragmentation. This process represents a major concern for biodiversity conservation and a key driver of species loss. The main purpose of this paper was to investigate levels of natural habitat fragmentation due to roads and railways networks in the Italian National Parks (INPs) through the use of an Infrastructural Fragmentation Index (IFI). All the operations (geospatial analysis, image classification, and fragmentation analysis) were performed using a Geographic Information System (GIS) software for elaborating a national database. The obtained results include an IFI value for each natural territorial unit inside any INP. Moreover, in order to highlight which are the INPs characterized by higher infrastructural fragmentations, an IFI weighted mean was calculated for each INP. These results represent important indicators for the prioritization of,biodiversity conservation interventions and the planning of a INPs sustainable management. (C) 2015 Elsevier Ltd. All rights reserved.</t>
  </si>
  <si>
    <t>[Bruschi, Daniele; Garcia, Davide Astiaso; Gugliermetti, Franco] Univ Roma La Sapienza, Dept Astronaut Elect &amp; Energy Engn DIAEE, I-00184 Rome, Italy; [Cumo, Fabrizio] Univ Roma La Sapienza, Interdisciplinary Ctr Landscape Bldg Conservat En, I-00197 Rome, Italy</t>
  </si>
  <si>
    <t>Sapienza University Rome; Sapienza University Rome</t>
  </si>
  <si>
    <t>Bruschi, D (corresponding author), Univ Roma La Sapienza, Dept Astronaut Elect &amp; Energy Engn DIAEE, Via Eudossiana 18, I-00184 Rome, Italy.</t>
  </si>
  <si>
    <t>daniele.bruschi@uniroma1.it</t>
  </si>
  <si>
    <t>Gugliermetti, Franco/F-2513-2011; cumo, fabrizio/H-6478-2019; Astiaso Garcia, Davide/H-6478-2019</t>
  </si>
  <si>
    <t>Gugliermetti, Franco/0000-0002-8174-732X; cumo, fabrizio/0000-0003-4348-2305; Astiaso Garcia, Davide/0000-0003-0752-2146</t>
  </si>
  <si>
    <t>General Directorate for Nature and Sea Protection of the Italian Ministry for the Environment, Land and Sea</t>
  </si>
  <si>
    <t>The authors wish to thank the General Directorate for Nature and Sea Protection of the Italian Ministry for the Environment, Land and Sea, in the person of the Director General, Aldo Cosentino, for the financial contribution and for the continuous direction given to the general strategy of the project, linked with the impacts analysis on biodiversity due to the human activities inside the Italian National Parks (INPs).</t>
  </si>
  <si>
    <t>10.1016/j.trd.2015.02.006</t>
  </si>
  <si>
    <t>CH0WF</t>
  </si>
  <si>
    <t>WOS:000353742400003</t>
  </si>
  <si>
    <t>Li, MS; Zhu, ZL; Vogelmann, JE; Xu, D; Wen, WS; Liu, AX</t>
  </si>
  <si>
    <t>Li, Mingshi; Zhu, Zhiliang; Vogelmann, James E.; Xu, Da; Wen, Weisong; Liu, Anxing</t>
  </si>
  <si>
    <t>Collective forests; Forest fragmentation; Fragmentation model; Landsat TM/ETM; China</t>
  </si>
  <si>
    <t>LANDSCAPE; PATTERN; AREAS; USA; DEFORESTATION</t>
  </si>
  <si>
    <t>Tropical and subtropical forests provide important ecosystem goods and services including carbon sequestration and biodiversity conservation. These forests are facing increasing socioeconomic pressures and are rapidly being degraded and fragmented. This analysis focuses on the rate of change and patterns of fragmentation in a collective forest area in Zhejiang province, China, during the time period 1988-2005. The research consisted of two parts. The first was the development of general land cover maps and the identification of land cover changes by interpreting Landsat Thematic Mapper (TM) and Enhanced Thematic Mapper Plus (ETM+) time series imagery. The second part involved the computation and analysis of forest fragmentation metrics. For this portion of the study, fragmentation statistics were analyzed, and images were developed to depict forest fragmentation patterns and trends. Results revealed that there was a net loss of 7.8% in forest coverage, dropping from 66.8% in 1988 to 59.0% in 2005, primarily caused by agricultural expansion and poor forest management practices. An acceleration of forest fragmentation was also witnessed during the time intervals, which was evidenced by a decreasing trend in interior forest (57.2% in 1988, 55.0% in 1996 and 54.8% in 2005 respectively) coupled with the scales of the selected geospatial metrics. Continued forest loss and fragmentation are closely correlated with the existing political, educational, institutional and economic processes of contemporary China. To unlock the developmental potentials of the collective forests and to effectively mitigate the rate of forest loss and fragmentation, reforms of forest tenure and ecological immigration practices are recognized as a prospective alternative. The produced fragmentation maps further illustrates the importance of assessing landscape change history, especially the spatiotemporal patterns of forest fragments, when developing landscape level plans for biodiversity conservation, land use management and ecologically sustainable forestry. (C) 2011 Elsevier Ltd. All rights reserved.</t>
  </si>
  <si>
    <t>[Li, Mingshi] Nanjing Forestry Univ, Coll Forest Resources &amp; Environm, Nanjing 210037, Peoples R China; [Zhu, Zhiliang] USGS Headquarters, Reston, VA 20192 USA; [Vogelmann, James E.] USGS Earth Resources Observat &amp; Sci EROS Ctr, Sioux Falls, SD 57198 USA; [Xu, Da; Wen, Weisong; Liu, Anxing] Zhejiang Prov Ctr Forest Resources Monitoring, Hangzhou 310020, Zhejiang, Peoples R China</t>
  </si>
  <si>
    <t>Nanjing Forestry University; United States Department of the Interior; United States Geological Survey; United States Department of the Interior; United States Geological Survey</t>
  </si>
  <si>
    <t>Li, MS (corresponding author), Nanjing Forestry Univ, Coll Forest Resources &amp; Environm, Longpan Rd 159, Nanjing 210037, Peoples R China.</t>
  </si>
  <si>
    <t>nfulms@yahoo.com.cn</t>
  </si>
  <si>
    <t>Li, Mingshi/AAD-6706-2020</t>
  </si>
  <si>
    <t>Vogelmann, James/0000-0002-0804-5823</t>
  </si>
  <si>
    <t>10.1016/j.apgeog.2011.02.004</t>
  </si>
  <si>
    <t>776YU</t>
  </si>
  <si>
    <t>WOS:000291578000017</t>
  </si>
  <si>
    <t>Stewart, KR; Lewison, RL; Dunn, DC; Bjorkland, RH; Kelez, S; Halpin, PN; Crowder, LB</t>
  </si>
  <si>
    <t>Stewart, Kelly R.; Lewison, Rebecca L.; Dunn, Daniel C.; Bjorkland, Rhema H.; Kelez, Shaleyla; Halpin, Patrick N.; Crowder, Larry B.</t>
  </si>
  <si>
    <t>Characterizing Fishing Effort and Spatial Extent of Coastal Fisheries</t>
  </si>
  <si>
    <t>SMALL-SCALE FISHERIES; MARINE FOOD WEBS; GLOBAL FISHERIES; SEA; CONSERVATION; ECOSYSTEMS; CHALLENGES; MANAGEMENT; RESOURCE; IMPACTS</t>
  </si>
  <si>
    <t>Biodiverse coastal zones are often areas of intense fishing pressure due to the high relative density of fishing capacity in these nearshore regions. Although overcapacity is one of the central challenges to fisheries sustainability in coastal zones, accurate estimates of fishing pressure in coastal zones are limited, hampering the assessment of the direct and collateral impacts (e. g., habitat degradation, bycatch) of fishing. We compiled a comprehensive database of fishing effort metrics and the corresponding spatial limits of fisheries and used a spatial analysis program (FEET) to map fishing effort density (measured as boat-meters per km(2)) in the coastal zones of six ocean regions. We also considered the utility of a number of socioeconomic variables as indicators of fishing pressure at the national level; fishing density increased as a function of population size and decreased as a function of coastline length. Our mapping exercise points to intra and interregional 'hotspots' of coastal fishing pressure. The significant and intuitive relationships we found between fishing density and population size and coastline length may help with coarse regional characterizations of fishing pressure. However, spatially-delimited fishing effort data are needed to accurately map fishing hotspots, i.e., areas of intense fishing activity. We suggest that estimates of fishing effort, not just target catch or yield, serve as a necessary measure of fishing activity, which is a key link to evaluating sustainability and environmental impacts of coastal fisheries.</t>
  </si>
  <si>
    <t>[Stewart, Kelly R.] Natl Marine Fisheries Serv, Protected Resources Div, SW Fisheries Sci Ctr, La Jolla, CA 92038 USA; [Lewison, Rebecca L.] San Diego State Univ, Dept Biol, San Diego, CA 92182 USA; [Dunn, Daniel C.; Halpin, Patrick N.] Duke Univ, Marine Lab, Nicholas Sch Environm, Marine Geospatial Ecol Lab, Beaufort, NC 28516 USA; [Bjorkland, Rhema H.; Kelez, Shaleyla; Crowder, Larry B.] Duke Univ, Marine Lab, Nicholas Sch Environm, Duke Ctr Marine Conservat, Beaufort, NC 28516 USA</t>
  </si>
  <si>
    <t>National Oceanic Atmospheric Admin (NOAA) - USA; California State University System; San Diego State University; Duke University; Duke University</t>
  </si>
  <si>
    <t>Stewart, KR (corresponding author), Natl Marine Fisheries Serv, Protected Resources Div, SW Fisheries Sci Ctr, La Jolla, CA 92038 USA.</t>
  </si>
  <si>
    <t>rlewison@sciences.sdsu.edu</t>
  </si>
  <si>
    <t>; Kelez, Shaleyla/AAE-8259-2020</t>
  </si>
  <si>
    <t>Dunn, Daniel/0000-0001-8932-0681; Kelez, Shaleyla/0000-0003-3296-8721; Lewison, Rebecca L/0000-0003-3065-2926</t>
  </si>
  <si>
    <t>Gordon and Betty Moore Foundation</t>
  </si>
  <si>
    <t>Gordon and Betty Moore Foundation(Gordon &amp; Betty Moore Foundation)</t>
  </si>
  <si>
    <t>This work was supported by a grant from the Gordon and Betty Moore Foundation to Project GloBAL (Global Bycatch Assessment of Long-lived species http://bycatch.env.duke.edu). The funders had no role in study design, data collection and analysis, decision to publish, or preparation of the manuscript.</t>
  </si>
  <si>
    <t>DEC 29</t>
  </si>
  <si>
    <t>e14451</t>
  </si>
  <si>
    <t>10.1371/journal.pone.0014451</t>
  </si>
  <si>
    <t>701CZ</t>
  </si>
  <si>
    <t>WOS:000285793200007</t>
  </si>
  <si>
    <t>Hedd, A; Regular, PM; Wilhelm, SI; Rail, JF; Drolet, B; Fowler, M; Pekarik, C; Robertson, GJ</t>
  </si>
  <si>
    <t>Hedd, April; Regular, Paul M.; Wilhelm, Sabina I.; Rail, Jean-Francois; Drolet, Bruno; Fowler, Mark; Pekarik, Cynthia; Robertson, Gregory J.</t>
  </si>
  <si>
    <t>ocean; coastal; monitoring; ecosystem approach; birds; fishing; long-lining; trawling; gillnetting; purse seining</t>
  </si>
  <si>
    <t>SHEARWATERS PUFFINUS-GRISEUS; INTEGRATED WEIGHT LONGLINES; GILLNET FISHERIES; INCIDENTAL CATCH; FALKLAND ISLANDS; DIOMEDEA-EXULANS; FACTORY TRAWLERS; SOUTH-GEORGIA; MARINE BIRDS; MORTALITY</t>
  </si>
  <si>
    <t>1. Seabird bycatch in commercial fisheries has been a growing conservation concern over the past 25 years. Large-scale fisheries employing gears known to incidentally catch seabirds operate off eastern Canada, however, regional bycatch information is limited. 2. Using data collected from 1998-2011 by observers onboard Canadian domestic and foreign vessels, fishery sectors and target fisheries taking seabirds were identified, as were the seabirds most frequently taken. In addition, maps of seabird bycatch rates were used to identify localized areas where catch rates were high. 3. Seabird bycatch was widespread. Despite generally low observer coverage, &gt; 5000 bird deaths were recorded; most observed mortalities occurred in gillnet and longline sectors during summer and autumn. While the overall magnitude of seabird bycatch has likely decreased substantially since closure of the Atlantic cod Gadus morhua and Atlantic salmon Salmo salar gillnet fisheries in 1992, localized areas with high bycatch rates persist. 4. For example, in Baffin Bay and Davis Strait, bycatch rates of northern fulmars Fulmarus glacialis were high in gillnet and longline fisheries targeting Greenland halibut Reinhardtius hippoglossoides near breeding colonies. In offshore areas of the Grand Bank, catch rates of migrant shearwaters (Puffinus and Calonectris spp.) were high in deep-set gillnet fisheries for Greenland halibut and monkfish Lophius americanus during summer. In inshore regions of eastern Newfoundland, gillnets set for Atlantic cod near breeding colonies resulted in high bycatch rates of murres Uria spp. and shearwaters during summer. High bycatch rates were also observed in pelagic longline fisheries along the Scotian Shelf. 5. While the observer data have highlighted several localized areas with high bycatch rates, information for inshore gillnet fisheries, which take seabirds but are poorly covered by the observer programme, and regional information on fishing effort must both be considered for comprehensive assessment of seabird risk areas and consequent management needs in eastern Canada. Copyright (C) 2015 John Wiley &amp; Sons, Ltd.</t>
  </si>
  <si>
    <t>[Hedd, April; Regular, Paul M.] Mem Univ, Dept Psychol, Cognit &amp; Behav Ecol, St John, NF A1C 3C9, Canada; [Wilhelm, Sabina I.] Environm Canada, Canadian Wildlife Serv, Mt Pearl, NF, Canada; [Rail, Jean-Francois; Drolet, Bruno] Environm Canada, Canadian Wildlife Serv, Quebec City, PQ, Canada; [Fowler, Mark] Bedford Inst Oceanog, Dept Fisheries &amp; Oceans, Populat Ecol Div, Dartmouth, NS, Canada; [Pekarik, Cynthia] Environm Canada, Canadian Wildlife Serv, Gatineau, PQ, Canada; [Robertson, Gregory J.] Environm Canada, Wildlife Res Div, Mt Pearl, NF, Canada</t>
  </si>
  <si>
    <t>Memorial University Newfoundland; Environment &amp; Climate Change Canada; Canadian Wildlife Service; Environment &amp; Climate Change Canada; Canadian Wildlife Service; Fisheries &amp; Oceans Canada; Bedford Institute of Oceanography; Environment &amp; Climate Change Canada; Canadian Wildlife Service; Environment &amp; Climate Change Canada; Canadian Wildlife Service; Wildlife Research Division - Environment Canada</t>
  </si>
  <si>
    <t>Hedd, A (corresponding author), Mem Univ, Dept Psychol, Cognit &amp; Behav Ecol, St John, NF A1C 3C9, Canada.</t>
  </si>
  <si>
    <t>ahedd@mun.ca</t>
  </si>
  <si>
    <t>; Robertson, Greg/AAI-5849-2020; Regular, Paul/AAY-5741-2021</t>
  </si>
  <si>
    <t>Hedd, April/0000-0003-2222-2627; Robertson, Greg/0000-0001-8452-5506; Wilhelm, Sabina/0000-0002-7842-7317;</t>
  </si>
  <si>
    <t>We are grateful to Joe Firth, Carol Ann Peters, Todd Inkpen (DFO, Newfoundland and Labrador region) and Edith Lachance (DFO, Quebec region) for providing access to and advice on interpreting data collected through DFO's regional Fisheries Observer programmes. We are also indebted to the many observers who collected data onboard fishing vessels. The authors thank Bill Montevecchi for constructive comments which greatly improved an earlier draft of this manuscript. Funding for this project was provided through Environment Canada.</t>
  </si>
  <si>
    <t>10.1002/aqc.2551</t>
  </si>
  <si>
    <t>DW5FR</t>
  </si>
  <si>
    <t>WOS:000383669200011</t>
  </si>
  <si>
    <t>de Abreua, RCR; Durigan, G</t>
  </si>
  <si>
    <t>de Abreua, Rodolfo C. R.; Durigan, Giselda</t>
  </si>
  <si>
    <t>Changes in the plant community of a Brazilian grassland savannah after 22 years of invasion by Pinus elliottii Engelm</t>
  </si>
  <si>
    <t>PLANT ECOLOGY &amp; DIVERSITY</t>
  </si>
  <si>
    <t>CERRADO VEGETATION; WATER-RESOURCES; SOUTH-AFRICA; PATTERNS; THREATS; TIME</t>
  </si>
  <si>
    <t>Background: The invasion by Pinus elliottii is one of the most serious threats to the remaining native cerrado vegetation in Sao Paulo State, Brazil, causing biodiversity losses yet to be evaluated. We conducted a study in an area where P. elliottii began establishing in 1988. Aims: To estimate diversity losses in the plant community and to understand the floristic and structural changes resulting from pine tree invasion of grassland savannah. Methods: All plants taller than 50 cm were sampled in 35 plots (64 m(2) each) within an area densely invaded by P. elliottii and in 10 plots in non-invaded grassland savannah. Density, species richness, diversity, ground cover and spatial distribution were compared by Wilcoxon tests, non-metric multidimensional scaling and Payandeh indices. Results: Twenty-two years after the arrival of the first invasive trees (founders), the grassland savannah has become a dense pine forest with 12,455 individuals ha(-1), a basal area of 26.44 m(2) ha(-1), a sparse native woody understory comprised of 16 species (H' = 0.44), density of 1210 individuals ha(-1) and the herbaceous layer totally absent. Conclusions: Invasion by Pinus elliottii has completely changed the structure of the grassland savannah and caused severe plant diversity losses. Native species surviving the invasion in the understory do not typically represent the previous composition and functional traits of the native vegetation.</t>
  </si>
  <si>
    <t>[de Abreua, Rodolfo C. R.; Durigan, Giselda] Univ Sao Paulo, Res Ctr Water Resources &amp; Appl Ecol, Engn Sch Sao Carlos, Sao Carlos, SP, Brazil; [Durigan, Giselda] Forestry Inst Sao Paulo State, Assis, SP, Brazil</t>
  </si>
  <si>
    <t>Universidade de Sao Paulo</t>
  </si>
  <si>
    <t>de Abreua, RCR (corresponding author), Univ Sao Paulo, Res Ctr Water Resources &amp; Appl Ecol, Engn Sch Sao Carlos, Sao Carlos, SP, Brazil.</t>
  </si>
  <si>
    <t>rodolfodeabreu@gmail.com</t>
  </si>
  <si>
    <t>Durigan, Giselda/B-9657-2012; Abreu, Rodolfo/B-9828-2012</t>
  </si>
  <si>
    <t>Durigan, Giselda/0000-0003-0693-3154; Abreu, Rodolfo/0000-0002-8797-4654</t>
  </si>
  <si>
    <t>CNPq (Brazilian Council for Scientific Research) [260108 - 013.650/2009 (SMA-SP/IF)]</t>
  </si>
  <si>
    <t>CNPq (Brazilian Council for Scientific Research)(Conselho Nacional de Desenvolvimento Cientifico e Tecnologico (CNPQ)Fundacao de Apoio a Pesquisa do Distrito Federal (FAPDF))</t>
  </si>
  <si>
    <t>We thank Edivaldo Furlan for help with the field work, and the staff of SBES for logistical facilities. We also thank ES Pinheiro for drawing Figure 1 and ALC Rochelle for Mantel test explanations. We further acknowledge CNPq (Brazilian Council for Scientific Research) for a Ph.D. scholarship to R.C.R.A., and a productivity grant to G.D., research permit # 260108 - 013.650/2009 (SMA-SP/IF).</t>
  </si>
  <si>
    <t>1755-0874</t>
  </si>
  <si>
    <t>1755-1668</t>
  </si>
  <si>
    <t>PLANT ECOL DIVERS</t>
  </si>
  <si>
    <t>Plant Ecol. Divers.</t>
  </si>
  <si>
    <t>2-3</t>
  </si>
  <si>
    <t>10.1080/17550874.2011.594101</t>
  </si>
  <si>
    <t>886YH</t>
  </si>
  <si>
    <t>WOS:000299890600014</t>
  </si>
  <si>
    <t>Carvalho, R; Adami, M; Amaral, S; Bezerra, FG; de Aguiar, APD</t>
  </si>
  <si>
    <t>Carvalho, Raquel; Adami, Marcos; Amaral, Silvana; Bezerra, Francisco Gilney; Dutra de Aguiar, Ana Paula</t>
  </si>
  <si>
    <t>Secondary vegetation; Clustering patterns; Pasture; Agriculture; Brazilian Amazon</t>
  </si>
  <si>
    <t>LAND-USE; FOREST REGENERATION; LEGAL AMAZON; SHIFTING CULTIVATION; ECOSYSTEM SERVICES; ABANDONED PASTURE; SUCCESSION FOREST; SOY MORATORIUM; OIL-PALM; PERSISTENCE</t>
  </si>
  <si>
    <t>Tropical secondary vegetation is of particular interest as carbon sinks, potential lands for agriculture and livestock expansion, biodiversity conservation and ecosystem services. Until mid-2000s estimates of secondary vegetation in the Brazilian Amazon indicated a progressive increase of this cover, however after 2010, only 1197 km(2) of additional secondary vegetation were generated, while 42,040 km(2) were converted into other land-covers. Meanwhile, deforestation rates progressively decreased to be around 6000 km(2) in contrast to the peak of 27,772 km(2) in 2004, what suggests that changes in land-cover dynamics with respect to deforestation may be related to a reduction in secondary vegetation. Hence, in this paper, we work with the hypothesis that, in a context of decreasing deforestation rates, the historic pattern of progressive accumulation of secondary vegetation in the Brazilian Amazon changed as a consequence of the re-conversion of this cover, as well as other land-covers relevant in the process of regeneration, into different land-covers that expanded in this period. Our focus was then to investigate, on a regional scale, the spatiotemporal patterns of secondary vegetation with respect to different land-covers in Para based on (i) a quantitative analysis of transitions between land-covers, and (ii) on clustering patterns of secondary vegetation cover and their relations with clustering patterns of pastures, small-scale and industrial agriculture. We found that more secondary vegetation was converted into land-covers that expanded in the period i.e. dean pasture, mechanized agriculture, and palm oil, with secondary vegetation and land-covers important for regeneration (i.e. small-scale agriculture and regeneration with pasture) experiencing an overall reduction and contributing less to the concentration of secondary vegetation after 2010. Clusters of high values (hotspots) of secondary vegetation prevailed in the north, while clusters of low values (cold spots) prevailed in the south of Para, a pattern that is explained by different histories of occupation and deforestation dynamics, as well as distinct regional land dynamics in the past decade. As a first contribution to understanding the dynamics of secondary vegetation in a context of decreasing deforestation rates, our results show that the increased pressure to halt deforestation had effects over the dynamics of this land-cover, as well as over land-covers relevant to regeneration.</t>
  </si>
  <si>
    <t>[Carvalho, Raquel] Inst Nacl Pesquisas Espaciais, Posgrad Ctr Ciencia Sistema Terrestre, Ave Astronautas 1-758,Sala 1,1 Andar, BR-12227010 Sao Jose Dos Campos, SP, Brazil; [Adami, Marcos] Inst Nacl Pesquisas Espaciais, Ctr Reg Amazonia, Parque Ciencia &amp; Tecnol Guama,Ave Perimetral 2651, BR-66077830 Belem, Para, Brazil; [Amaral, Silvana] Inst Nacl Pesquisas Espaciais, DPI, Ave Astronautas 1-758,Sala 45,SERE 2, BR-12227010 Sao Jose Dos Campos, SP, Brazil; [Bezerra, Francisco Gilney; Dutra de Aguiar, Ana Paula] Inst Nacl Pesquisas Espaciais, Ctr Ciencia Sistema Terrestre, Ave Astronautas 1-758,Sala 12,3 Andar, BR-12227010 Sao Jose Dos Campos, SP, Brazil</t>
  </si>
  <si>
    <t>Instituto Nacional de Pesquisas Espaciais (INPE); Instituto Nacional de Pesquisas Espaciais (INPE); Instituto Nacional de Pesquisas Espaciais (INPE); Instituto Nacional de Pesquisas Espaciais (INPE)</t>
  </si>
  <si>
    <t>Carvalho, R (corresponding author), Inst Nacl Pesquisas Espaciais, Posgrad Ctr Ciencia Sistema Terrestre, Ave Astronautas 1-758,Sala 1,1 Andar, BR-12227010 Sao Jose Dos Campos, SP, Brazil.</t>
  </si>
  <si>
    <t>raca.raquel.carvalho@gmail.com; marcos.adami@inpe.br; silvana@dpi.inpe.br; francisco.gilney@inpe.br; ana.aguiar@inpe.br</t>
  </si>
  <si>
    <t>Silva Bezerra, Francisco Gilney/J-4387-2017; Aguiar, Ana Paula/R-9256-2016; amaral, silvana/AAG-9463-2021; Adami, Marcos/AAK-8358-2020</t>
  </si>
  <si>
    <t>Silva Bezerra, Francisco Gilney/0000-0001-9635-0336; Aguiar, Ana Paula/0000-0002-0683-1142; amaral, silvana/0000-0003-4314-7291; Adami, Marcos/0000-0003-4247-4477</t>
  </si>
  <si>
    <t>Capes Foundation; Amazonia Fund (MSA-BNDES/MODELAGEM)</t>
  </si>
  <si>
    <t>Capes Foundation(Coordenacao de Aperfeicoamento de Pessoal de Nivel Superior (CAPES)); Amazonia Fund (MSA-BNDES/MODELAGEM)</t>
  </si>
  <si>
    <t>This study was supported by Capes Foundation and Amazonia Fund (MSA-BNDES/MODELAGEM).</t>
  </si>
  <si>
    <t>10.1016/j.apgeog.2019.03.001</t>
  </si>
  <si>
    <t>HW6VB</t>
  </si>
  <si>
    <t>WOS:000466827700004</t>
  </si>
  <si>
    <t>Di Marco, M; Venter, O; Possingham, HP; Watson, JEM</t>
  </si>
  <si>
    <t>Di Marco, Moreno; Venter, Oscar; Possingham, Hugh P.; Watson, James E. M.</t>
  </si>
  <si>
    <t>CONSERVATION; IMPACT; BIODIVERSITY; DECLINE; MODELS; WORLDS; MAP</t>
  </si>
  <si>
    <t>Predicting how species respond to human pressure is essential to anticipate their decline and identify appropriate conservation strategies. Both human pressure and extinction risk change over time, but their inter-relationship is rarely considered in extinction risk modelling. Here we measure the relationship between the change in terrestrial human footprint (HFP)-representing cumulative human pressure on the environment-and the change in extinction risk of the world's terrestrial mammals. We find the values of HFP across space, and its change over time, are significantly correlated to trends in species extinction risk, with higher predictive importance than environmental or life-history variables. The anthropogenic conversion of areas with low pressure values ( HFP &lt; 3 out of 50) is the most significant predictor of change in extinction risk, but there are biogeographical variations. Our framework, calibrated on past extinction risk trends, can be used to predict the impact of increasing human pressure on biodiversity.</t>
  </si>
  <si>
    <t>[Di Marco, Moreno; Possingham, Hugh P.; Watson, James E. M.] Univ Queensland, Ctr Biodivers &amp; Conservat Sci, Brisbane, Qld 4072, Australia; [Di Marco, Moreno] CSIRO Land &amp; Water, EcoSci Precinct, 41 Boggo Rd, Dutton Pk, Qld 4102, Australia; [Venter, Oscar] Univ Northern British Columbia, Nat Resource &amp; Environm Studies Inst, 3333 Univ Way, Prince George, BC V2N 4Z9, Canada; [Possingham, Hugh P.] Nature Conservancy, 4245 North Fairfax Dr,Suite 100, Arlington, VA 22203 USA; [Watson, James E. M.] Wildlife Conservat Soc, Global Conservat Program, 2300 Southern Blvd, Bronx, NY 10460 USA</t>
  </si>
  <si>
    <t>University of Queensland; Commonwealth Scientific &amp; Industrial Research Organisation (CSIRO); CSIRO Land &amp; Water; University of Northern British Columbia; Nature Conservancy; Wildlife Conservation Society</t>
  </si>
  <si>
    <t>Di Marco, M (corresponding author), Univ Queensland, Ctr Biodivers &amp; Conservat Sci, Brisbane, Qld 4072, Australia.;Di Marco, M (corresponding author), CSIRO Land &amp; Water, EcoSci Precinct, 41 Boggo Rd, Dutton Pk, Qld 4102, Australia.</t>
  </si>
  <si>
    <t>Possingham, Hugh/B-1337-2008; Di Marco, Moreno/J-4285-2012; Venter, Oscar/ABE-1477-2021; Watson, James/D-8779-2013</t>
  </si>
  <si>
    <t>Di Marco, Moreno/0000-0002-8902-4193; Venter, Oscar/0000-0003-1719-8474; Watson, James/0000-0003-4942-1984</t>
  </si>
  <si>
    <t>ARC Centre of Excellence for Environmental Decision</t>
  </si>
  <si>
    <t>ARC Centre of Excellence for Environmental Decision(Australian Research Council)</t>
  </si>
  <si>
    <t>M.D.M. acknowledges the support of the ARC Centre of Excellence for Environmental Decision.</t>
  </si>
  <si>
    <t>10.1038/s41467-018-07049-5</t>
  </si>
  <si>
    <t>GZ3EM</t>
  </si>
  <si>
    <t>WOS:000449269900003</t>
  </si>
  <si>
    <t>Mezgebu, A; Workineh, G</t>
  </si>
  <si>
    <t>Mezgebu, Adane; Workineh, Getachew</t>
  </si>
  <si>
    <t>Afro-alpine ecosystem; Bale eco-region; Fragmentation; FRAGSTAT; Landscape change; Management strategies; Remote sensing; Simulation</t>
  </si>
  <si>
    <t>Introduction: Ecosystem change and respective conservation needs were at top priority areas in the globe especially at biodiversity hotspot zones and places of endemism like Bale eco-region. In this aspect, this study had tried to assess historical landscape changes of afro-alpine forest ecosystem with its respective driving forces and effectiveness of different institutional arrangements to protect this ecosystem. Methods: The study utilized satellite imagery from Landsat series starting from 1986 to 2016, ground truth data from GPS-based field survey, focus group discussions, and reconnaissance field survey. Historical landscape maps were prepared with a mix of supervised and unsupervised image classification methods. Future landscape change simulation was undertaken by using cellular automata modeling on Dynamic Environment for Geoprocessing Objects (Dinamica EGO) software. Beyond areal change and transition of landscape elements, level of ecosystem fragmentation was assessed with FRAGSTAT software. Results: Results have shown that there is encroachment of human-induced land use patterns especially agriculture and grazing while closed canopy forest and woodland ecosystems have decreased in their extent. Simulation outputs for the coming three decades have also shown similar patterns with historical trends. Beyond changes in areal extent, landscape matrix analysis results indicated that there is increasing class and landscape level fragmentation both in its historical and future probable likelihoods. Effectiveness of different management strategies at different institutional arrangement were differ in their effectiveness that federal and regional government were not able to curve landscape change. Conclusions: In conclusion, increasing population pressure and weak policy implementation and legal enforcement has caused threats for alpine forest ecosystem in Bale eco-region. Except participatory forest management, management strategies at different institutional arrangements were failed to conserve forest. These calls reinnovated participatory forest management strategies that base community participation while simultaneously keeps livelihoods demands of local community.</t>
  </si>
  <si>
    <t>[Mezgebu, Adane] Hawassa Univ, Hawassa, Ethiopia; [Workineh, Getachew] Debre Tabor Univ, Debre Tabor, Ethiopia</t>
  </si>
  <si>
    <t>Hawassa University</t>
  </si>
  <si>
    <t>Workineh, G (corresponding author), Debre Tabor Univ, Debre Tabor, Ethiopia.</t>
  </si>
  <si>
    <t>getawork71@gmail.com</t>
  </si>
  <si>
    <t>Gella, Getachew Workineh/0000-0002-9442-8918</t>
  </si>
  <si>
    <t>SHARE Bale Project</t>
  </si>
  <si>
    <t>Authors were appreciating SHARE Bale Project for their financial support for AD to undertake field survey.</t>
  </si>
  <si>
    <t>NOV 23</t>
  </si>
  <si>
    <t>10.1186/s13717-017-0108-2</t>
  </si>
  <si>
    <t>VI7WN</t>
  </si>
  <si>
    <t>WOS:000514082700001</t>
  </si>
  <si>
    <t>Hermoso, V; Cattarino, L; Kennard, MJ; Watts, M; Linke, S</t>
  </si>
  <si>
    <t>Hermoso, Virgilio; Cattarino, Lorenzo; Kennard, Mark J.; Watts, Mathew; Linke, Simon</t>
  </si>
  <si>
    <t>Catchment zoning for freshwater conservation: refining plans to enhance action on the ground</t>
  </si>
  <si>
    <t>catchment management zone; connectivity; conservation planning; cost-effectiveness; critical management zones; freshwater focal areas; Marxan with Zones; systematic planning</t>
  </si>
  <si>
    <t>PROTECTED AREAS; RIVER; CONNECTIVITY; REPRESENTATION; BIODIVERSITY; MANAGEMENT; NETWORK</t>
  </si>
  <si>
    <t>Recent advances in freshwater conservation planning allow addressing some of the specific needs of these systems. These include spatial connectivity or propagation of threats along stream networks, essential to ensure the maintenance of ecosystem processes and the biodiversity they sustain. However, these peculiarities make conservation recommendations difficult to implement as they often require considering large areas that cannot be managed under conventional conservation schemes (e.g. strict protection). To facilitate the implementation of conservation in freshwater systems, a multizoning approach with different management zones subject to different management regimes was proposed. So far, this approach has only been used in post hoc exercises where zones were allocated using expert criteria. This might undermine the cost-effectiveness of conservation recommendations, because both the allocation and extent of these zones have never been optimized using the principles of systematic planning. Here, we demonstrate how to create a catchment multizone plan by using a commonly applied tool in marine and terrestrial realms. We first test the capability of Marxan with Zones to address problems in rivers by using a simulated example and then apply the findings to a real case in the Daly River catchment, northern Australia. We also demonstrate how to address common conservation planning issues, such as accounting for threats or species-specific connectivity needs in this multizone framework, and evaluate their effects on the spatial distribution and extent of different zones. We found that by prioritizing the allocation of zones subject to different management regimes, we could minimize the total area in need of strict conservation by a twofold factor. This reduction can be further reduced (threefold) when considering species' connectivity needs. The integration of threats helped reduce the average threats of areas selected by a twofold factor.Synthesis and applications. Catchment zoning can help refine conservation recommendations and enhance cost-effectiveness by prescribing different management regimes informed by ecological needs or distribution of threats. Reliable information on these factors is a key to ensure soundness of planning. Freely available software can be used to implement the approach we demonstrate here. Catchment zoning can help refine conservation recommendations and enhance cost-effectiveness by prescribing different management regimes informed by ecological needs or distribution of threats. Reliable information on these factors is a key to ensure soundness of planning. Freely available software can be used to implement the approach we demonstrate here.</t>
  </si>
  <si>
    <t>[Hermoso, Virgilio; Cattarino, Lorenzo; Kennard, Mark J.; Linke, Simon] Griffith Univ, Australian Rivers Inst, Nathan, Qld 4111, Australia; [Hermoso, Virgilio; Cattarino, Lorenzo; Kennard, Mark J.; Linke, Simon] Griffith Univ, Trop Rivers &amp; Coastal Knowledge, Natl Environm Res Program Northern Australia Hub, Nathan, Qld 4111, Australia; [Hermoso, Virgilio] Ctr Tecnol Forestal Catalunya, Solsona 25280, Lleida, Spain; [Watts, Mathew] Univ Queensland, Sch Biol Sci, ARC Ctr Excellence Environm Decis, St Lucia, Qld 4102, Australia</t>
  </si>
  <si>
    <t>Griffith University; Griffith University; Centre Tecnologic Forestal de Catalunya (CTFC); University of Queensland</t>
  </si>
  <si>
    <t>Hermoso, V (corresponding author), Griffith Univ, Australian Rivers Inst, Nathan, Qld 4111, Australia.</t>
  </si>
  <si>
    <t>virgilio.hermoso@gmail.com</t>
  </si>
  <si>
    <t>Kennard, Mark/C-3425-2008; Linke, Simon/G-5440-2010; Hermoso, Virgilio/H-8276-2015</t>
  </si>
  <si>
    <t>Kennard, Mark/0000-0003-4383-4999; Linke, Simon/0000-0002-1797-3947; Cattarino, Lorenzo/0000-0003-3975-550X; Hermoso, Virgilio/0000-0003-3205-5033</t>
  </si>
  <si>
    <t>Australian Research Council [DP120103353, DECRA DE130100565]; Australian Government Department of Sustainability, Environment, Water, Population and Communities; Tropical Rivers and Coastal Knowledge (TRaCK) Research Hub; National Environmental Research Program Northern Australia Hub; Australian Rivers Institute, Griffith University</t>
  </si>
  <si>
    <t>Australian Research Council(Australian Research Council); Australian Government Department of Sustainability, Environment, Water, Population and Communities(Australian Government); Tropical Rivers and Coastal Knowledge (TRaCK) Research Hub; National Environmental Research Program Northern Australia Hub; Australian Rivers Institute, Griffith University</t>
  </si>
  <si>
    <t>We acknowledge funding support provided by the Australian Research Council (Discovery Grant DP120103353 to SL and MK; DECRA DE130100565 to SL), the Australian Government Department of Sustainability, Environment, Water, Population and Communities, the Tropical Rivers and Coastal Knowledge (TRaCK) Research Hub, the National Environmental Research Program Northern Australia Hub and the Australian Rivers Institute, Griffith University.</t>
  </si>
  <si>
    <t>10.1111/1365-2664.12454</t>
  </si>
  <si>
    <t>WOS:000358004300017</t>
  </si>
  <si>
    <t>Borah, J; Jena, J; Yumnam, B; Puia, L</t>
  </si>
  <si>
    <t>Borah, Jimmy; Jena, Jyotirmay; Yumnam, Bibek; Puia, Lalthan</t>
  </si>
  <si>
    <t>Corridors; India; Occupancy; Presence; Satpura-Maikal landscape; Tiger</t>
  </si>
  <si>
    <t>LEOPARD PANTHERA-PARDUS; MAMMAL CONSERVATION; TIGRIS</t>
  </si>
  <si>
    <t>We assessed occupancy for tigers Panthera tigris across Kanha-Pench corridor (KPC) in Madhya Pradesh, India. Tiger presence information was recorded by sign detection data generated from occupancy sampling of 17 grids, each of 100 km(2). We used spatially replicated survey to explicitly address imperfect detections. We modelled occupancy (psi) as a function of proportion of forested habitat, relative occurrence of prey species, and anthropogenic disturbances. Models were developed using a first-order Markovian dependence model implemented in program PRESENCE. Our results show that density of prey and levels of human disturbance were key determinants affecting tiger presence. We estimated that of the 2200 km(2) potential tiger habitat available in KPC, tigers occupy 84 %, or an area of 1848 km(2) (SE = 332.64 km(2)). Model averaging resulted in a replicate level detection probability p (SE) = 0.33 (0.08) for signs and a tiger habitat occupancy estimate of psi (SE) = 0.84 (0.18). Landscape-level occupancy sign surveys are useful to assess large carnivore spatial distributions and determine factors governing their presence or absence. Occupancy results support earlier findings that prey presence and absence of human disturbance were key determinants for survival of tigers. We highlight the importance of corridors, habitats, and linkages which are important lifelines for large carnivores, tigers in particular. We discuss current infrastructural development pressure in the area and provide recommendations on critical local linkages to focus conservation efforts to maintain and improve current habitat connectivity for tigers and other carnivores in the area.</t>
  </si>
  <si>
    <t>[Borah, Jimmy; Jena, Jyotirmay] World Wide Fund Nat WWF India, 172-B,Lodhi Estate, New Delhi 110003, India; [Yumnam, Bibek; Puia, Lalthan] Wildlife Inst India, POB 18, Dehra Dun 248001, Uttarakhand, India</t>
  </si>
  <si>
    <t>Wildlife Institute of India</t>
  </si>
  <si>
    <t>Borah, J (corresponding author), World Wide Fund Nat WWF India, 172-B,Lodhi Estate, New Delhi 110003, India.</t>
  </si>
  <si>
    <t>jimmyborah@gmail.com</t>
  </si>
  <si>
    <t>Borah, Jimmy/E-7502-2011</t>
  </si>
  <si>
    <t>Borah, Jimmy/0000-0003-3984-6671; Yumnam, Bibek/0000-0002-5772-6617</t>
  </si>
  <si>
    <t>South Seoni Division</t>
  </si>
  <si>
    <t>We offer our sincere gratitude to the Principal Chief Conservator of Forest, Madhya Pradesh Forest Department, for providing requisite permissions for the field work. We are also thankful to the Divisional Forest Officers of Mandla, Balaghat, and South Seoni Division for their immense help and support for this study. We are thankful to all Range Officers of the ranges in our study area for their immense help during the field study. Thanks are also due to the Forest Guards who accompanied us during the survey in field. We are also grateful to Dr. Y. V. Jhala and Mr. Qamar Qureshi of Wildlife Institute of India (WII), Dehradun, for their valuable inputs and advice in designing the research methodology and data analysis. We are thankful to the team members Mr. K. Narsimma Rajan and Ms. Divya Ramesh from Wildlife Institute of India for carrying out the field surveys along with us and without which the huge area may not have been possible to cover within the time line and resources. We also thank WWF-India staffs, Mr. Sanjay Thakur for all the liasoning with the forest officials and Mr. Sunny Shah, for working with us in field survey. A lot of thanks to our field officers Mr. Kamal Thakur and Mr. Naveen Srivastav for their immense help during the survey from working in the field to looking our logistic arrangements to sometime driving the vehicle for almost 12 h per day. We also acknowledge Mr. Ravi Singh, Secretary General and Chief Executive Officer of WWF-India, as well as Dr. Sejal Worah, Dr. Diwakar Sharma, Dr. Dipankar Ghose, Mr. Joseph Vattakaven, Advisor, WWF-TAI and Dr. Shivaji Chauhan (Former Landscape Coordinator, SML), from WWF-India for their encouragement and support for this work. The authors are grateful to the anonymous reviewers for their useful comments and suggestions to make the manuscript better.</t>
  </si>
  <si>
    <t>10.1007/s10113-015-0904-0</t>
  </si>
  <si>
    <t>DT0ZR</t>
  </si>
  <si>
    <t>WOS:000381212000005</t>
  </si>
  <si>
    <t>Moullec, F; Velez, L; Verley, P; Barrier, N; Ulses, C; Carbonara, P; Esteban, A; Follesa, C; Gristina, M; Jadaud, A; Ligas, A; Díaz, EL; Maiorano, P; Peristeraki, P; Spedicato, MT; Thasitis, I; Valls, M; Guilhaumon, F; Shin, YJ</t>
  </si>
  <si>
    <t>Moullec, Fabien; Velez, Laure; Verley, Philippe; Barrier, Nicolas; Ulses, Caroline; Carbonara, Pierluigi; Esteban, Antonio; Follesa, Cristina; Gristina, Michele; Jadaud, Angelique; Ligas, Alessandro; Lopez Diaz, Eduardo; Maiorano, Porzia; Peristeraki, Panagiota; Spedicato, Maria Teresa; Thasitis, Ioannis; Valls, Maria; Guilhaumon, Francois; Shin, Yunne-Jai</t>
  </si>
  <si>
    <t>PROGRESS IN OCEANOGRAPHY</t>
  </si>
  <si>
    <t>Ecosystem model; Ecosystem Approach to Fisheries Management; OSMOSE model; NEMOMED model; Eco3M-S model; Global change</t>
  </si>
  <si>
    <t>ANCHOVY ENGRAULIS-ENCRASICOLUS; INDIVIDUAL-BASED MODEL; FOOD-WEB STRUCTURE; ECOSYSTEM MODEL; SPECIES DISTRIBUTION; FISHERIES CATCHES; PARAPENAEUS-LONGIROSTRIS; SENSITIVITY-ANALYSIS; SARDINA-PILCHARDUS; POTENTIAL IMPACTS</t>
  </si>
  <si>
    <t>The Mediterranean Sea is one of the main hotspots of marine biodiversity in the world. The combined pressures of fishing activity and climate change have also made it a hotspot of global change amidst increasing concern about the worsening status of exploited marine species. To anticipate the impacts of global changes in the Mediterranean Sea, more integrated modelling approaches are needed, which can then help policymakers prioritize management actions and formulate strategies to mitigate impacts and adapt to changes. The aim of this study was to develop a holistic model of marine biodiversity in the Mediterranean Sea with an explicit representation of the spatial, multispecies dynamics of exploited resources subject to the combined influence of climate variability and fishing pressure. To this end, we used the individual-based OSMOSE model (Object-oriented Simulator of Marine ecOSystEms), including 100 marine species (fish, cephalopods and crustaceans) representing about 95% of the total declared catch, at a high spatial resolution (400 km(2)) and a large spatial scale (the entire Mediterranean basin) - the first time such a resolution and scale have been modelled. We then combined OSMOSE with the NEMOMED 12 physical model and the Eco3M-S biogeochemical low trophic level model to build the end-to-end model, OSMOSE-MED. We fitted OSMOSE-MED model with observed or estimated biomass and commercial catch data using a likelihood approach and an evolutionary optimization algorithm. The outputs of OSMOSE-MED were then verified against observed biomass and catch data, and compared with independent datasets (MEDITS data, diet composition and trophic levels). The model results - at different hierarchical levels, from individuals to the scale of the ecosystem - were consistent with current knowledge of the structure, functioning and dynamics of the ecosystems in the Mediterranean Sea. While the model could be further improved in future iterations, all the modelling steps - the comprehensive representation of key ecological processes and feedback, the selective parameterization of the model, and the comparison with observed data in the validation process - strengthened the predictive performance of OSMOSE-MED and thus its relevance as an impact model to explore the future of marine biodiversity under scenarios of global change. It is a promising tool to support ecosystem-based fishery management in the Mediterranean Sea.</t>
  </si>
  <si>
    <t>[Moullec, Fabien; Velez, Laure; Guilhaumon, Francois; Shin, Yunne-Jai] Univ Montpellier, Marine Biodivers Exploitat &amp; Conservat MARBEC, IFREMER, IRD,CNRS, Montpellier, France; [Verley, Philippe] CIRAD, Bot &amp; Bioinformat Architecture Plantes AMAP IRD, Blvd Lironde, F-34398 Montpellier 5, France; [Barrier, Nicolas; Jadaud, Angelique] Univ Montpellier, Marine Biodivers Exploitat &amp; Conservat MARBEC, IFREMER, IRD,CNRS, Sete, France; [Ulses, Caroline] Univ Toulouse, Lab Aerol, CNRS, UPS, Toulouse, France; [Carbonara, Pierluigi; Spedicato, Maria Teresa] COISPA Tecnol &amp; Ric, Staz Sperimentale Studio Risorse Mare, Bari, Italy; [Esteban, Antonio] Ctr Oceanog Murcia, IEO, Murcia, Spain; [Follesa, Cristina] Univ Cagliari, Dipartimento Biol Anim Ecol, Cagliari, Italy; [Gristina, Michele] CNR, Inst Coastal Marine Environm, Mazara Del Vallo, Italy; [Ligas, Alessandro] Consorzio Ctr Interuniv Biol Marina &amp; Ecol Applic, Virile N Sauro 4, I-57128 Livorno, Italy; [Lopez Diaz, Eduardo] Ctr Oceanog Malaga, IEO, Malaga, Spain; [Maiorano, Porzia] Univ Bari, Dept Biol, Bari, Italy; [Peristeraki, Panagiota] Hellen Ctr Marine Res, Iraklion, Greece; [Peristeraki, Panagiota] Univ Crete, Biol Dept, Iraklion, Greece; [Thasitis, Ioannis] Minist Agr Nat Resources &amp; Environm, Dept Fisheries &amp; Marine Res, Nicosia, Cyprus; [Valls, Maria] IEO, Ctr Oceanog Balears S-N, Palma De Mallorca 07015, Spain; [Shin, Yunne-Jai] Univ Cape Town, Marine Res MA Re Inst, Private Bag X3, ZA-7701 Rondebosch, South Africa; [Shin, Yunne-Jai] Univ Cape Town, Dept Biol Sci, Private Bag X3, ZA-7701 Rondebosch, South Africa</t>
  </si>
  <si>
    <t>Universite de Montpellier; Centre National de la Recherche Scientifique (CNRS); Ifremer; Institut de Recherche pour le Developpement (IRD); CIRAD; Centre National de la Recherche Scientifique (CNRS); Institut de Recherche pour le Developpement (IRD); Ifremer; Universite de Montpellier; Universite de Toulouse; Universite Toulouse III - Paul Sabatier; Centre National de la Recherche Scientifique (CNRS); LAERO; Spanish Institute of Oceanography; University of Cagliari; Consiglio Nazionale delle Ricerche (CNR); Consorzio per il Centro Interuniversitario di Biologia Marina ed Ecologia Applicata G. Bacci; Spanish Institute of Oceanography; Universita degli Studi di Bari Aldo Moro; Hellenic Centre for Marine Research; University of Crete; University of Cape Town; University of Cape Town</t>
  </si>
  <si>
    <t>Moullec, F (corresponding author), Univ Montpellier, Marine Biodivers Exploitat &amp; Conservat MARBEC, IFREMER, IRD,CNRS, Montpellier, France.</t>
  </si>
  <si>
    <t>fabien.moullec@ird.fr; laure.velez@umontpellier.fr; philippe.verley@ird.fr; nicolas.barrier@ird.fr; caroline.ulses@aero.obs-mip.fr; carbonara@coispa.it; antonio.esteban@ieo.es; follesac@unica.it; michele.gristina@iamc.cnr.it; angelique.jadaud@ifremer.fr; ligas@cibm.it; eduardo.lopez@ieo.es; porzia.maiorano@uniba.it; notap@her.hcmr.gr; spedicato@coispa.it; ithasitis@dfmr.moa.gov.cy; maria.valls@ieo.es; francois.guilhaumon@ird.fr; yunne-jai.shin@ird.fr</t>
  </si>
  <si>
    <t>; Moullec, Fabien/MIO-9639-2025; Barrier, Nicolas/JME-3194-2023; Guilhaumon, François/GPX-7180-2022; Shin, Yunne-Jai/A-7575-2012; Carbonara, Pierluigi/A-9231-2018; Valls, Maria/L-5641-2014</t>
  </si>
  <si>
    <t>velez, laure/0000-0001-9555-6770; Moullec, Fabien/0000-0001-8006-1169; Spedicato, Maria Teresa/0000-0001-9939-9426; Barrier, Nicolas/0000-0002-1693-4719; Verley, Philippe/0000-0002-5686-2764; Guilhaumon, François/0000-0003-4707-8932; Ligas, Alessano/0000-0003-1036-3553; Shin, Yunne-Jai/0000-0002-7259-9265; Carbonara, Pierluigi/0000-0002-2529-2535; Valls, Maria/0000-0001-9070-8181</t>
  </si>
  <si>
    <t>French Ministry of Higher Education, Research and Innovation; Mediterranean Centre for Environment and Biodiversity Laboratory of Excellence (LabEx CeMEB) USBIO project (Uncertainty in Scenarios of Biodiversity), an Agence Nationale de Recherche (ANR) 'Investissements d'avenir' program [ANR-10-LABX-04-01]; SOMBEE project of the joint BiodivERsA and Belmont Forum BiodivScen 2018 call [ANR-18-EBI4-0003-01]</t>
  </si>
  <si>
    <t>French Ministry of Higher Education, Research and Innovation; Mediterranean Centre for Environment and Biodiversity Laboratory of Excellence (LabEx CeMEB) USBIO project (Uncertainty in Scenarios of Biodiversity), an Agence Nationale de Recherche (ANR) 'Investissements d'avenir' program; SOMBEE project of the joint BiodivERsA and Belmont Forum BiodivScen 2018 call</t>
  </si>
  <si>
    <t>The authors would like to thank the Pole de Calcul et de Donnees Marines (PCDM) for providing access to their DATARMOR computing resources (http://www.ifremer.fr/pcdm).We are also grateful to the participants of the MEDITS survey, conducted within the Data Collection Framework (DCF) since 1994. Sabrine Drira's help was very valuable in developing the species distribution models. Fabien Moullec was funded by a PhD grant from the French Ministry of Higher Education, Research and Innovation. This work was partially funded by the Mediterranean Centre for Environment and Biodiversity Laboratory of Excellence (LabEx CeMEB) USBIO project (Uncertainty in Scenarios of Biodiversity), an Agence Nationale de Recherche (ANR) 'Investissements d'avenir' program (ANR-10-LABX-04-01), and the SOMBEE project of the joint BiodivERsA and Belmont Forum BiodivScen 2018 call (ANR-18-EBI4-0003-01).</t>
  </si>
  <si>
    <t>0079-6611</t>
  </si>
  <si>
    <t>1873-4472</t>
  </si>
  <si>
    <t>PROG OCEANOGR</t>
  </si>
  <si>
    <t>Prog. Oceanogr.</t>
  </si>
  <si>
    <t>10.1016/j.pocean.2019.102179</t>
  </si>
  <si>
    <t>Oceanography</t>
  </si>
  <si>
    <t>JN4IC</t>
  </si>
  <si>
    <t>WOS:000496861900020</t>
  </si>
  <si>
    <t>Jones, AR; Doubleday, ZA; Prowse, TAA; Wiltshire, KH; Deveney, MR; Ward, T; Scrivens, SL; Cassey, P; O'Connell, LG; Gillanders, BM</t>
  </si>
  <si>
    <t>Jones, Alice R.; Doubleday, Zoe A.; Prowse, Thomas A. A.; Wiltshire, Kathryn H.; Deveney, Marty R.; Ward, Tim; Scrivens, Sally L.; Cassey, Phillip; O'Connell, Laura G.; Gillanders, Bronwyn M.</t>
  </si>
  <si>
    <t>SPENCER GULF; MARINE; ECOSYSTEM; COASTAL; STRESSORS; VULNERABILITY; ANTAGONISM; MANAGEMENT; SYNERGISM; MAP</t>
  </si>
  <si>
    <t>Understanding the spatial distribution of human impacts on marine environments is necessary for maintaining healthy ecosystems and supporting 'blue economies'. Realistic assessments of impact must consider the cumulative impacts of multiple, coincident threats and the differing vulnerabilities of ecosystems to these threats. Expert knowledge is often used to assess impact in marine ecosystems because empirical data are lacking; however, this introduces uncertainty into the results. As part of a spatial cumulative impact assessment for Spencer Gulf, South Australia, we asked experts to estimate score ranges (best-case, most-likely and worst-case), which accounted for their uncertainty about the effect of 32 threats on eight ecosystems. Expert scores were combined with data on the spatial pattern and intensity of threats to generate cumulative impact maps based on each of the three scoring scenarios, as well as simulations and maps of uncertainty. We compared our method, which explicitly accounts for the experts' knowledge-based uncertainty, with other approaches and found that it provides smaller uncertainty bounds, leading to more constrained assessment results. Collecting these additional data on experts' knowledge-based uncertainty provides transparency and simplifies interpretation of the outputs from spatial cumulative impact assessments, facilitating their application for sustainable resource management and conservation.</t>
  </si>
  <si>
    <t>[Jones, Alice R.; Doubleday, Zoe A.; Prowse, Thomas A. A.; Scrivens, Sally L.; Cassey, Phillip; Gillanders, Bronwyn M.] Univ Adelaide, Sch Biol Sci, Adelaide, SA 5005, Australia; [Jones, Alice R.; Doubleday, Zoe A.; Prowse, Thomas A. A.; Scrivens, Sally L.; Cassey, Phillip; Gillanders, Bronwyn M.] Univ Adelaide, Environm Inst, Adelaide, SA 5005, Australia; [Wiltshire, Kathryn H.; Deveney, Marty R.; Ward, Tim] South Australian Res &amp; Dev Inst, Aquat Sci, West Beach, SA 5024, Australia; [O'Connell, Laura G.] Queens Univ, Dept Geol Sci &amp; Geol Engn, Kingston, ON K7L 3N6, Canada; [Prowse, Thomas A. A.] Univ Adelaide, Sch Math Sci, Adelaide, SA 5005, Australia; [O'Connell, Laura G.] Southern Illinois Univ, Geol, Carbondale, IL 62901 USA</t>
  </si>
  <si>
    <t>Adelaide University; University of Adelaide; Adelaide University; University of Adelaide; South Australian Research &amp; Development Institute (SARDI); Queens University - Canada; Adelaide University; University of Adelaide; Southern Illinois University System; Southern Illinois University</t>
  </si>
  <si>
    <t>Jones, AR; Gillanders, BM (corresponding author), Univ Adelaide, Sch Biol Sci, Adelaide, SA 5005, Australia.;Jones, AR; Gillanders, BM (corresponding author), Univ Adelaide, Environm Inst, Adelaide, SA 5005, Australia.</t>
  </si>
  <si>
    <t>alice.jones01@adelaide.edu.au; bronwyn.gillanders@adelaide.edu.au</t>
  </si>
  <si>
    <t>; Wiltshire, Kathryn/AAR-7410-2021; Gillanders, Bronwyn/B-4218-2013; Ward, Timothy Mark/KDN-7596-2024; Doubleday, Zoe/N-9955-2013</t>
  </si>
  <si>
    <t>Jones, Alice/0000-0002-6157-2024; Wiltshire, Kathryn/0000-0002-4524-7686; Prowse, Thomas/0000-0002-4093-767X; Gillanders, Bronwyn/0000-0002-7680-2240; Cassey, Phillip/0000-0002-2626-0172; Ward, Timothy Mark/0000-0002-9003-2772; Doubleday, Zoe/0000-0003-0045-6377</t>
  </si>
  <si>
    <t>University of Adelaide Environment Institute</t>
  </si>
  <si>
    <t>The Spencer Gulf Ecosystem Development Initiative (SGEDI) is a collaboration between a broad range of industry investors, the University of Adelaide, South Australian Research and Development Institute (SARDI) - a division of Primary Industries and Regions SA and Flinders University. The program aims to reduce costs, aid development and answer environmental challenges for one of South Australia's leading economic development zones. Additional funding was provided by the University of Adelaide Environment Institute. We thank our research partners from SARDI Aquatic Sciences (S. Goldsworthy, F. Bailleul, A. Mackay), Flinders University (C. Huveneers, W. Robbins) and all expert survey respondents. We received spatial data and advice from the South Australian Department of Environment Water and Natural Resources (special thanks to M. Royal); oceanographic and aquaculture data and advice from SARDI (special thanks to M. Doubell); fisheries data from the Government of South Australia Primary Industries and Regions; and advice from S. Gaylard at the South Australian Environment Protection Authority. We are very grateful for the constructive comments provided by three anonymous reviewers, whose suggestions helped improve and clarify this manuscript.</t>
  </si>
  <si>
    <t>JAN 23</t>
  </si>
  <si>
    <t>10.1038/s41598-018-19354-6</t>
  </si>
  <si>
    <t>FT3KS</t>
  </si>
  <si>
    <t>WOS:000423046600013</t>
  </si>
  <si>
    <t>Seimon, TA; Miquelle, DG; Chang, TY; Newton, AL; Korotkova, I; Ivanchuk, G; Lyubchenko, E; Tupikov, A; Slabe, E; McAloose, D</t>
  </si>
  <si>
    <t>Seimon, Tracie A.; Miquelle, Dale G.; Chang, Tylis Y.; Newton, Alisa L.; Korotkova, Irina; Ivanchuk, Galina; Lyubchenko, Elena; Tupikov, Andre; Slabe, Evgeny; McAloose, Denise</t>
  </si>
  <si>
    <t>Canine Distemper Virus: an Emerging Disease in Wild Endangered Amur Tigers (Panthera tigris altaica)</t>
  </si>
  <si>
    <t>MBIO</t>
  </si>
  <si>
    <t>RUSSIAN FAR-EAST; SIBERIAN TIGERS; CARNIVORES; PATHOGEN</t>
  </si>
  <si>
    <t>Fewer than 500 Amur tigers (Panthera tigris altaica) remain in the wild. Due to low numbers and their solitary and reclusive nature, tiger sightings across their range in the Russian Far East and China are rare; sightings of sick tigers are rarer still. Serious neurologic disease observed in several wild tigers since 2001 suggested disease emergence in this endangered species. To investigate this possibility, histology, immunohistochemistry (IHC), in situ hybridization (ISH), and reverse transcription-PCR (RT-PCR) were performed on tissues from 5 affected tigers that died or were destroyed in 2001, 2004, or 2010. Our results reveal canine distemper virus (CDV) infection as the cause of neurologic disease in two tigers and definitively establish infection in a third. Nonsuppurative encephalitis with demyelination, eosinophilic nuclear viral inclusions, and positive immunolabeling for CDV by IHC and ISH were present in the two tigers with available brain tissue. CDV phosphoprotein (P) and hemagglutinin (H) gene products were obtained from brains of these two tigers by RT-PCR, and a short fragment of CDV P gene sequence was detected in lymph node tissue of a third tiger. Phylogenetically, Amur tiger CDV groups with an Arctic-like strain in Baikal seals (Phoca siberica). Our results, which include mapping the location of positive tigers and recognition of a cluster of cases in 2010, coupled with a lack of reported CDV antibodies in Amur tigers prior to 2000 suggest wide geographic distribution of CDV across the tiger range and recent emergence of CDV as a significant infectious disease threat to endangered Amur tigers in the Russian Far East. IMPORTANCE Recognition of disease emergence in wildlife is a rare occurrence. Here, for the first time, we identify and characterize a canine distemper virus (CDV), the second most common cause of infectious disease death in domestic dogs and a viral disease of global importance in common and endangered carnivores, as the etiology of neurologic disease and fatal encephalitis in wild, endangered Amur tigers. We establish that in 2010 CDV directly or indirectly killed similar to 1% of Amur tigers. Location of positive cases over an expansive geographic area suggests that CDV is widely distributed across the tiger range. Interspecies interactions are increasing as human populations grow and expand into wildlife habitats. Identifying animal reservoirs for CDV and identifying the CDV strains that are transmissible to and among wildlife species, including Amur tigers and sympatric critically endangered Amur leopards (Panthera pardus orientalis), is essential for guiding conservation and mitigation efforts.</t>
  </si>
  <si>
    <t>[Seimon, Tracie A.; Miquelle, Dale G.; Newton, Alisa L.; McAloose, Denise] Wildlife Conservat Soc, Bronx, NY USA; [Chang, Tylis Y.] Yeshiva Univ, Albert Einstein Coll Med, Bronx, NY USA; [Korotkova, Irina; Ivanchuk, Galina; Lyubchenko, Elena] Primorskaya State Agr Acad, Ussuriisk, Russia; [Tupikov, Andre] Bur Forens Examinat, Ussurisk Dept Hlth Serv, Ussuriisk, Russia; [Slabe, Evgeny] Terney Cty Veterinarian Serv, Primorskii Krai, Russia</t>
  </si>
  <si>
    <t>Wildlife Conservation Society; Montefiore Medical Center; Albert Einstein College of Medicine; Yeshiva University</t>
  </si>
  <si>
    <t>McAloose, D (corresponding author), Wildlife Conservat Soc, Bronx, NY USA.</t>
  </si>
  <si>
    <t>dmcaloose@wcs.org</t>
  </si>
  <si>
    <t>Seimon, Tracie/0000-0003-3658-1364</t>
  </si>
  <si>
    <t>Dunemere Foundation</t>
  </si>
  <si>
    <t>Funding was generously provided by the Dunemere Foundation.</t>
  </si>
  <si>
    <t>AMER SOC MICROBIOLOGY</t>
  </si>
  <si>
    <t>1752 N ST NW, WASHINGTON, DC 20036-2904 USA</t>
  </si>
  <si>
    <t>2150-7511</t>
  </si>
  <si>
    <t>e00410-13</t>
  </si>
  <si>
    <t>10.1128/mBio.00410-13</t>
  </si>
  <si>
    <t>Microbiology</t>
  </si>
  <si>
    <t>250UK</t>
  </si>
  <si>
    <t>WOS:000326881100034</t>
  </si>
  <si>
    <t>Dalu, MTB; Wasserman, RJ; Dalu, T</t>
  </si>
  <si>
    <t>Dalu, Mwazvita T. B.; Wasserman, Ryan J.; Dalu, Tatenda</t>
  </si>
  <si>
    <t>PHYSICS AND CHEMISTRY OF THE EARTH</t>
  </si>
  <si>
    <t>Crabs; Potamonautid; Invertebrates; Illegal mining; Livelihood framework; Human population; Poverty; Eastern Highlands</t>
  </si>
  <si>
    <t>FRESH-WATER BIODIVERSITY; PROTECTED AREAS; SOUTHERN AFRICA; ZIMBABWE; INSECTS; THREATS; FUTURE</t>
  </si>
  <si>
    <t>In this study, we assessed direct or indirect community livelihoods impacts on the preservation of Potamonautes spp., in the Eastern Highlands region of Zimbabwe and attempted to identify opportunities and constraints to conservation of crabs within the pre-existing livelihoods of community households. Random and snowball sampling methods were used to select households for informal open-ended interviews and participants for the focus group discussions. We found that increasing human populations, poverty, crab consumption, and illegal mining (i.e. resulting in water pollution, degradation of habitats) are threatening freshwater crabs in the Eastern Highlands. The combined and interacting influences of the above highlighted anthropogenic factors have resulted in Potamonautes crab population declines in populated areas. Potamonautes spp. crabs were, therefore, found to be largely restricted to upstream mountainous sites where human populations were less dense. Patterns of spatial overlap of rural population, higher poverty prevalence and crab abundance revealed in this study indicate priority areas of possible conflicts of interest, but also areas where benefits to both conservation and livelihoods can potentially be realised. (C) 2017 Elsevier Ltd. All rights reserved.</t>
  </si>
  <si>
    <t>[Dalu, Mwazvita T. B.] Rhodes Univ, Environm Sci, Grahamstown, Eastern Cape, South Africa; [Wasserman, Ryan J.] Monash Univ Malaysia, Sch Sci, Jalan Lagoon Selatan, Bandar Sunway 47500, Selangor Darul, Malaysia; [Dalu, Tatenda] Rhodes Univ, Zool &amp; Entomol, Grahamstown, Eastern Cape, South Africa</t>
  </si>
  <si>
    <t>Rhodes University; Monash University; Monash University Malaysia; Rhodes University</t>
  </si>
  <si>
    <t>Dalu, T (corresponding author), Rhodes Univ, Zool &amp; Entomol, Grahamstown, Eastern Cape, South Africa.</t>
  </si>
  <si>
    <t>dalutatenda@yahoo.co.uk</t>
  </si>
  <si>
    <t>Wasserman, Ryan J/D-5492-2012; Dalu, Tatenda/K-3089-2012; Dalu, Mwazvita TB/J-2112-2019</t>
  </si>
  <si>
    <t>Wasserman, Ryan J/0000-0002-4162-1503; Dalu, Tatenda/0000-0002-9019-7702; Dalu, Mwazvita TB/0000-0001-6757-316X</t>
  </si>
  <si>
    <t>IdeaWild and Rufford Foundation [16137-1, 21054-2]</t>
  </si>
  <si>
    <t>IdeaWild and Rufford Foundation</t>
  </si>
  <si>
    <t>T.D. was supported by a grant from the IdeaWild and Rufford Foundation (grant numbers: 16137-1 and 21054-2). The funders did not have any additional role in the study design, data collection and analysis, decision to publish, or preparation of the manuscript. The National Parks and Wildlife Management of Zimbabwe (NPWM; permit no. 23(1)(C)(II)01/2015) and Tanganda Tea Estates granted sampling permission. Thanks goes to Dennis M Dalu, Shepherd Ruzvidzo, National Parks and Wildlife Management and Tanganda personnel who assisted in the field.</t>
  </si>
  <si>
    <t>1474-7065</t>
  </si>
  <si>
    <t>1873-5193</t>
  </si>
  <si>
    <t>PHYS CHEM EARTH</t>
  </si>
  <si>
    <t>Phys. Chem. Earth</t>
  </si>
  <si>
    <t>10.1016/j.pce.2017.06.007</t>
  </si>
  <si>
    <t>FO3FB</t>
  </si>
  <si>
    <t>WOS:000416704100007</t>
  </si>
  <si>
    <t>Zydelis, R; Bellebaum, J; Österblom, H; Vetemaa, M; Schirmeister, B; Stipniece, A; Dagys, M; van Eerden, M; Garthe, S</t>
  </si>
  <si>
    <t>Zydelis, Ramunas; Bellebaum, Jochen; Osterblom, Henrik; Vetemaa, Markus; Schirmeister, Bernd; Stipniece, Antra; Dagys, Mindaugas; van Eerden, Mennobart; Garthe, Stefan</t>
  </si>
  <si>
    <t>Waterbird mortality; Bycatch; Gillnets; Coastal fisheries; Populations; Seabirds; Conflict resolution</t>
  </si>
  <si>
    <t>GUILLEMOTS URIA-AALGE; MARINE BIRDS; BALTIC SEA; ALBATROSS POPULATIONS; SEABIRD MORTALITY; FISHING NETS; MAMMALS; MANAGEMENT; IMPACTS; CATCH</t>
  </si>
  <si>
    <t>Bird mortality in fishing gear is a global conservation issue and it is recognised that bycatch in industrial longline and trawl fisheries threatens several seabird species. Little is known however about the effects of bycatch in small-scale gillnet fisheries on bird populations. Here we review 30 studies reporting bird bycatch in coastal gillnet fisheries in the Baltic Sea and the North Sea region in order to assess the magnitude of this problem and potential effects on bird populations. All species of diving birds that occur in the study region, including divers (loons), grebes, sea ducks, diving ducks, auks and cormorants, have been reported as dying in fishing nets. The cumulative bycatch estimate extracted from several localized studies providing such information, suggests that about 90,000 birds die in fishing nets annually, a number that is almost certainly a substantial underestimate. We conclude that it is likely that between 100,000 and 200,000 waterbirds are killed per year. Geographic and temporal patterns of bycatch generally matched species distribution and periods of presence. Also, bycatch rates varied depending on species' foraging technique and were influenced by net parameters and fishing depth. To evaluate effects of additive mortality on bird populations, we applied the Potential Biological Removal (PBR) concept to three species with the most extensive bycatch information. Agreeing with PBR assumptions we conclude that bycatch is a matter of concern for at least two of the three assessed species. We suggest that bycatch research in Europe and beyond should aim at unification of principles for bycatch assessment, setting new standards for the monitoring of waterbird populations so that vital rates and mortality data are recorded, and implementing quantifiable criteria for evaluating effects of fisheries bycatch. (C) 2009 Elsevier Ltd. All rights reserved.</t>
  </si>
  <si>
    <t>[Zydelis, Ramunas] Duke Univ, Marine Lab, Duke Ctr Marine Conservat, Nicholas Sch Environm, Beaufort, NC 28516 USA; [Bellebaum, Jochen] Inst Appl Ecol Ltd, D-18184 Neu Broderstorf, Germany; [Osterblom, Henrik] Stockholm Univ, Balt Nest Inst, Stockholm Resilience Ctr, S-10691 Stockholm, Sweden; [Vetemaa, Markus] Univ Tartu, Estonian Marine Inst, EE-51014 Tartu, Estonia; [Schirmeister, Bernd] Usedom Reg Grp, Nat &amp; Biodivers Conservat Union, D-17429 Seebad Bansin, Germany; [Stipniece, Antra] Latvian State Univ, Ornithol Lab, Inst Biol, LV-2169 Salaspils, Latvia; [Dagys, Mindaugas] Vilnius State Univ, Inst Ecol, LT-08412 Vilnius, Lithuania; [van Eerden, Mennobart] Ctr Water Management, NL-8200 AA Lelystad, Netherlands; [Garthe, Stefan] Univ Kiel, Res &amp; Technol Ctr FTZ, D-25761 Busum, Germany</t>
  </si>
  <si>
    <t>Duke University; Stockholm University; University of Tartu; Estonian Marine Institute; University of Latvia; Vilnius University; University of Kiel</t>
  </si>
  <si>
    <t>Zydelis, R (corresponding author), DHI Water Environm Hlth, Agern Alle 5, DK-2970 Horsholm, Denmark.</t>
  </si>
  <si>
    <t>rzy@dhi.dk; jochen.bellebaum@t-online.de; henrik.osterblom@stockholmresilience.su.se; markus.vetemaa@ut.ee; bernd_schirmeister@web.de; antra@lob.lv; dagys@ekoi.lt; mennobart.van.eerden@rws.nl; garthe@ftz-west.uni-kiel.de</t>
  </si>
  <si>
    <t>Osterblom, Henrik/D-4249-2012; Žydelis, Ramūnas/A-8992-2008</t>
  </si>
  <si>
    <t>Osterblom, Henrik/0000-0002-1913-5197; Žydelis, Ramūnas/0000-0001-8019-6880; Stīpniece, Antra/0000-0002-8904-7029</t>
  </si>
  <si>
    <t>10.1016/j.biocon.2009.02.025</t>
  </si>
  <si>
    <t>WOS:000266752500003</t>
  </si>
  <si>
    <t>Ripple, WJ; Abernethy, K; Betts, MG; Chapron, G; Dirzo, R; Galetti, M; Levi, T; Lindsey, PA; Macdonald, D; Machovina, B; Newsome, TM; Peres, CA; Wallach, AD; Wolf, C; Young, H</t>
  </si>
  <si>
    <t>Ripple, William J.; Abernethy, Katharine; Betts, Matthew G.; Chapron, Guillaume; Dirzo, Rodolfo; Galetti, Mauro; Levi, Taal; Lindsey, Peter A.; Macdonald, DavidW.; Machovina, Brian; Newsome, Thomas M.; Peres, Carlos A.; Wallach, Arian D.; Wolf, Christopher; Young, Hillary</t>
  </si>
  <si>
    <t>ROYAL SOCIETY OPEN SCIENCE</t>
  </si>
  <si>
    <t>wild meat; bushmeat; hunting; mammals; extinction</t>
  </si>
  <si>
    <t>TROPICAL FORESTS; AMAZONIAN FORESTS; WILDLIFE POPULATIONS; AFRICAN SAVANNA; SEED DISPERSAL; CENTRAL GABON; EMPTY FOREST; CONSERVATION; IMPACTS; SUSTAINABILITY</t>
  </si>
  <si>
    <t>Terrestrial mammals are experiencing a massive collapse in their population sizes and geographical ranges around the world, but many of the drivers, patterns and consequences of this decline remain poorly understood. Here we provide an analysis showing that bushmeat hunting for mostly food and medicinal products is driving a global crisis whereby 301 terrestrial mammal species are threatened with extinction. Nearly all of these threatened species occur in developing countries where major coexisting threats include deforestation, agricultural expansion, human encroachment and competition with livestock. The unrelenting decline of mammals suggests many vital ecological and socio-economic services that these species provide will be lost, potentially changing ecosystems irrevocably. We discuss options and current obstacles to achieving effective conservation, alongside consequences of failure to stem such anthropogenic mammalian extirpation. We propose a multi-pronged conservation strategy to help save threatened mammals from immediate extinction and avoid a collapse of food security for hundreds of millions of people.</t>
  </si>
  <si>
    <t>[Ripple, William J.; Betts, Matthew G.; Levi, Taal; Wolf, Christopher] Oregon State Univ, Dept Forest Ecosyst &amp; Soc, GlobalTroph Cascades Program, Corvallis, OR 97331 USA; [Ripple, William J.; Betts, Matthew G.; Levi, Taal; Wolf, Christopher] Oregon State Univ, Dept Forest Ecosyst &amp; Soc, Forest Biodivers Res Network, Corvallis, OR 97331 USA; [Levi, Taal] Oregon State Univ, Dept Fisheries &amp; Wildlife, Corvallis, OR 97331 USA; [Abernethy, Katharine] Univ Stirling, Sch Nat Sci, Stirling FK9 4LA, Scotland; [Abernethy, Katharine] CENAREST, Inst Rech Ecol Trop, BP 842, Libreville, Gabon; [Chapron, Guillaume] Swedish Univ Agr Sci, Dept Ecol, Grimso Wildlife Res Stn, S-73091 Riddarhyttan, Sweden; [Dirzo, Rodolfo] Stanford Univ, Dept Biol, Stanford, CA 94305 USA; [Galetti, Mauro] Univ Estadual Paulista UNESP, Inst Biociencias, Dept Ecol, BR-13506900 Rio Claro, SP, Brazil; [Galetti, Mauro] Aarhus Univ, Dept Biosci Ecoinformat &amp; Biodivers, DK-8000 Aarhus, Denmark; [Lindsey, Peter A.] Panthera, 8 West 40th St,18th Floor, New York, NY 10018 USA; [Lindsey, Peter A.] Univ Pretoria, Dept Zool &amp; Entomol, Mammal Res Inst, Pretoria, Gauteng, South Africa; [Machovina, Brian] Florida Int Univ, Dept Biol Sci, Miami, FL 33199 USA; [Newsome, Thomas M.] Deakin Univ, Ctr Integrat Ecol, Sch Life &amp; Environm Sci, Burwood Campus, Geelong, Vic 3125, Australia; [Newsome, Thomas M.] Univ Sydney, Sch Life &amp; Environm Sci, Sydney, NSW 2006, Australia; [Newsome, Thomas M.] Univ Washington, Sch Environm &amp; Forest Sci, Seattle, WA 98195 USA; [Peres, Carlos A.] Univ East Anglia, Sch Environm Sci, Norwich NR4 7TJ, Norfolk, England; [Wallach, Arian D.] Univ Technol Sydney, Sch Life Sci, Ctr Compassionate Conservat, POB 123, Broadway, NSW 2007, Australia; [Young, Hillary] Univ Calif Santa Barbara, Dept Ecol &amp; Evolutionary Biol, Santa Barbara, CA 93106 USA</t>
  </si>
  <si>
    <t>Oregon State University; Oregon State University; Oregon State University; University of Stirling; Swedish University of Agricultural Sciences; Stanford University; Universidade Estadual Paulista; Aarhus University; University of Pretoria; State University System of Florida; Florida International University; Deakin University; University of Sydney; University of Washington; University of Washington Seattle; University of East Anglia; University of Technology Sydney; University of California System; University of California Santa Barbara</t>
  </si>
  <si>
    <t>Ripple, WJ (corresponding author), Oregon State Univ, Dept Forest Ecosyst &amp; Soc, GlobalTroph Cascades Program, Corvallis, OR 97331 USA.;Ripple, WJ (corresponding author), Oregon State Univ, Dept Forest Ecosyst &amp; Soc, Forest Biodivers Res Network, Corvallis, OR 97331 USA.</t>
  </si>
  <si>
    <t>bill.ripple@oregonstate.edu</t>
  </si>
  <si>
    <t>Galetti, Mauro/M-8751-2013; Abernethy, Katharine/KBB-1586-2024; Betts, Matthew/Q-2978-2019; Newsome, Thomas/AET-0276-2022; Peres, Carlos/B-1276-2013; Wolf, Christopher/G-6418-2013; Wallach, Arian/ABC-9215-2020; Peres, Carlos/B-1276-2013; Lindsey, Peter/J-8368-2012; Ripple, William/ABE-9353-2020; Young, Hillary/S-1514-2017</t>
  </si>
  <si>
    <t>Galetti, Mauro/0000-0002-8187-8696; Abernethy, Katharine/0000-0002-0393-9342; Chapron, Guillaume/0000-0002-6727-1070; Betts, Matthew/0000-0002-7100-2551; Levi, Taal/0000-0003-1853-8311; Newsome, Thomas/0000-0003-3457-3256; Wallach, Arian/0000-0002-6640-3887; Peres, Carlos/0000-0002-1588-8765;</t>
  </si>
  <si>
    <t>2054-5703</t>
  </si>
  <si>
    <t>ROY SOC OPEN SCI</t>
  </si>
  <si>
    <t>R. Soc. Open Sci.</t>
  </si>
  <si>
    <t>10.1098/rsos.160498</t>
  </si>
  <si>
    <t>EE0CS</t>
  </si>
  <si>
    <t>WOS:000389241700035</t>
  </si>
  <si>
    <t>Gallao, JE; Bichuette, ME</t>
  </si>
  <si>
    <t>Gallao, Jonas Eduardo; Bichuette, Maria Elina</t>
  </si>
  <si>
    <t>ZOOKEYS</t>
  </si>
  <si>
    <t>caves; Neotropical region; IUCN Red list; troglobites</t>
  </si>
  <si>
    <t>HIGH DIVERSITY; BIODIVERSITY; CAVE; CONSERVATION; LIST</t>
  </si>
  <si>
    <t>The subterranean environment harbors species that are not capable of establishing populations in the epigean environment, i.e., the obligatory subterranean species. These organisms live in a unique selective regime in permanent darkness and usually low food availability, high air humidity in terrestrial habitats, and low temperature range allied to other unique conditions related to lithologies and past climatic influences. The pressure to increase Brazil's economic growth relies on agricultural/pastoral industries and exporting of raw materials such as iron, limestone, ethanol, soybean, cotton, and meat, as well as huge reservoir constructions to generate electricity. Mining (even on a small scale), agricultural expansion, and hydroelectric projects are extremely harmful to subterranean biodiversity, via the modification and even destruction of hypogean habitats. The Brazilian subterranean species were analyzed with respect to their distributions, presence on the IUCN Red List, and current and potential threats to hypogean habitats. A map and three lists are presented, one with the described obligatory subterranean species, one with undescribed taxa, and one with the current and potential threats to the hypogean environment. To date, 150 obligatory subterranean species have been recorded in Brazil, plus at least 156 undescribed troglomorphic taxa, totaling 306 Brazilian troglobites/obligatory cave fauna. We also analyzed the current and potential cave threats and the conservation actions that are underway to attempt to compensate for loss of these habitats. In according to the Brazilian legislation (Decree 6640) only caves of maximum relevance are fully protected. One strategy to protect the subterranean fauna of Brazil is the inclusion of these species in the IUCN Red List (one of attributes that determines maximum relevance for caves); however, one of the IUCN assumptions is that the taxa must be formally described. It is clear that the description and proposed protection of Brazilian subterranean biodiversity depends on more systematics studies.</t>
  </si>
  <si>
    <t>[Gallao, Jonas Eduardo; Bichuette, Maria Elina] Univ Fed Sao Carlos, Dept Ecol &amp; Biol Evolut, Lab Estudos Subterraneos, Sao Carlos, SP, Brazil</t>
  </si>
  <si>
    <t>Universidade Federal de Sao Carlos</t>
  </si>
  <si>
    <t>Gallao, JE (corresponding author), Univ Fed Sao Carlos, Dept Ecol &amp; Biol Evolut, Lab Estudos Subterraneos, Sao Carlos, SP, Brazil.</t>
  </si>
  <si>
    <t>jonasgallao@gmail.com</t>
  </si>
  <si>
    <t>Gallão, Jonas/G-7356-2019; Bichuette, Maria Elina Bichuette/C-5262-2013</t>
  </si>
  <si>
    <t>Bichuette, Maria Elina Bichuette/0000-0002-9515-4832</t>
  </si>
  <si>
    <t>1313-2989</t>
  </si>
  <si>
    <t>1313-2970</t>
  </si>
  <si>
    <t>MAR 26</t>
  </si>
  <si>
    <t>10.3897/zookeys.746.15140</t>
  </si>
  <si>
    <t>GA5RL</t>
  </si>
  <si>
    <t>WOS:000428391200001</t>
  </si>
  <si>
    <t>Vasapollo, C; Virgili, M; Petetta, A; Bargione, G; Sala, A; Lucchetti, A</t>
  </si>
  <si>
    <t>Vasapollo, Claudio; Virgili, Massimo; Petetta, Andrea; Bargione, Giada; Sala, Antonello; Lucchetti, Alessandro</t>
  </si>
  <si>
    <t>ADRIATIC SEA; BYCATCH; FISHERIES; REDUCTION; BIODIVERSITY; MORTALITY</t>
  </si>
  <si>
    <t>The Mediterranean Sea is a biodiversity hotspot where intense fishing pressure is associated with high bycatch rates of protected species (sea turtles and cetaceans) and top predators (sharks). Since the conservation of these species has become a priority, fishery scientists are faced with the challenge of reducing incidental catch, which entails high rates of mortality. Among the species threatened by fishing activities, the loggerhead turtle (Caretta caretta) is a charismatic species considered as vulnerable at the global scale. In the Mediterranean Sea trawl nets are the gears with the highest probability of catching protected species incidentally. A new flexible Turtle Excluder Device (TED) was tested for the first time on commercial bottom trawlers to assess its effectiveness in reducing bycatch in the Mediterranean Sea. Analysis of the total catches of the hauls made with and without the TED showed that the difference in terms of weight was not significant. The catch of the main commercial species showed similar rates without a significant loss of size (i.e. total length) with the exception of the largest anglerfish (Lophius spp.). The bycatch of control nets included mostly rays and sharks, but never turtles, although the authors learned from the crews of other vessels operating in the same areas at the time of the trials that they had caught some loggerhead turtles. Our study demonstrates that TED scan be adopted without significantly affecting commercial catch. This informs fishers and managers for a practical and effective means that may reduce the bycatch of threatened species in coastal Mediterranean demersal multispecies fisheries. The measures involving gear modifications require significant investment but they are technically feasible and are capable of improving the conservation prospects of these endangered species. Besides ensuring normal earnings, the TED induced a significant reduction of debris and litter in the codend, thus reducing catch sorting time and improving catch quality.</t>
  </si>
  <si>
    <t>[Vasapollo, Claudio; Virgili, Massimo; Petetta, Andrea; Bargione, Giada; Sala, Antonello; Lucchetti, Alessandro] Univ Bologna, Inst Biol Resources &amp; Marine Biotechnol Irb, Natl Res Council CNR, Dept Biol, Piazza Porta San Donato, Bologna, Italy; [Vasapollo, Claudio; Virgili, Massimo; Petetta, Andrea; Bargione, Giada; Sala, Antonello; Lucchetti, Alessandro] Natl Res Council CNR, Inst Biol Resources &amp; Marine Biotechnol IRBIM, Ancona, Italy; [Petetta, Andrea; Bargione, Giada] Univ Bologna, Dept Biol Geol &amp; Environm Sci, Piazza Porta San Donato, Bologna, Italy</t>
  </si>
  <si>
    <t>University of Bologna; Consiglio Nazionale delle Ricerche (CNR); Istituto per le Risorse Biologiche Biotecnologie Marine (IRBIM-CNR); Consiglio Nazionale delle Ricerche (CNR); Istituto per le Risorse Biologiche Biotecnologie Marine (IRBIM-CNR); University of Bologna</t>
  </si>
  <si>
    <t>Vasapollo, C (corresponding author), Natl Res Council CNR, Inst Biol Resources &amp; Marine Biotechnol IRBIM, Ancona, Italy.</t>
  </si>
  <si>
    <t>c.vasapollo@irbim.cnr.it</t>
  </si>
  <si>
    <t>Lucchetti, Alessano/AAV-7188-2020; Sala, Antonello/B-8517-2016; Vasapollo, Claudio/A-4456-2014; Petetta, Anea/AAD-4089-2020; Virgili, Massimo/Q-4506-2018</t>
  </si>
  <si>
    <t>Lucchetti, Alessano/0000-0001-8418-9848; Sala, Antonello/0000-0001-7066-1152; Vasapollo, Claudio/0000-0002-5381-6690; Petetta, Anea/0000-0003-1976-8995;</t>
  </si>
  <si>
    <t>LIFE financial instrument of the European Community, TartaLife Project -Reduction of sea turtle mortality in professional fishing [LIFE12NAT/IT/000937]</t>
  </si>
  <si>
    <t>LIFE financial instrument of the European Community, TartaLife Project -Reduction of sea turtle mortality in professional fishing</t>
  </si>
  <si>
    <t>AL received fundings by LIFE financial instrument of the European Community, TartaLife Project -Reduction of sea turtle mortality in professional fishing (LIFE12NAT/IT/000937). The funders had no role in study design, data collection and analysis, decision to publish, or preparation of the manuscript.</t>
  </si>
  <si>
    <t>e0216023</t>
  </si>
  <si>
    <t>10.1371/journal.pone.0216023</t>
  </si>
  <si>
    <t>LP0BN</t>
  </si>
  <si>
    <t>WOS:000533987600003</t>
  </si>
  <si>
    <t>Lin, DL; Fu, SW; Yuan, HW; Ding, TS</t>
  </si>
  <si>
    <t>Lin, Da-Li; Fu, Shu-Wei; Yuan, Hsiao-Wei; Ding, Tzung-Su</t>
  </si>
  <si>
    <t>Bird species richness in relation to land-use patch structure and vegetation structure in a forest-agriculture mosaic</t>
  </si>
  <si>
    <t>ORNITHOLOGICAL SCIENCE</t>
  </si>
  <si>
    <t>Avian diversity; Landscape configuration; Patch size; Urban planning; Vegetation physiognomy</t>
  </si>
  <si>
    <t>COMMUNITY COMPOSITION; HABITAT FRAGMENTATION; LANDSCAPE; DIVERSITY; HETEROGENEITY; BIODIVERSITY; SELECTION; WOODLAND; PATTERNS; PACKAGE</t>
  </si>
  <si>
    <t>Habitat degradation and fragmentation are serious threats to global biodiversity. Attributes of vegetation structure and patch structure have been considered critical factors in sustaining species diversity, but their relative importance remains unclear. This study aimed at identifying key vegetation and patch structure variables for bird species richness and examining their relative importance. We surveyed and mapped all individual birds in a 50-ha forest-farm landscape mosaic over three breeding seasons and recorded the vegetation in 286 patches of six land-use types. Native forests and conifer plantations (covering 59% of the area) contained 89% of the individuals and all of the bird species recorded. The effects of vegetation structure variables, tree family richness, and foliage coverage were more significant than those of patch-structure variables. Although conifer plantations were low in tree family richness of the canopy layer, they had a high tree family richness in the sub-canopy layer, and had similar bird density and species richness values as native forests. Creating and maintaining patches with a complex vegetation structure are critical for supporting animal abundance and species diversity. Forest patches dominated by only a few tree species in the canopy layer can be greatly improved by increasing the floristic composition of the sub-canopy layer. Large patches with a complex vegetation structure are important for sustaining biodiversity and should be kept as intact as possible.</t>
  </si>
  <si>
    <t>[Lin, Da-Li; Fu, Shu-Wei; Yuan, Hsiao-Wei; Ding, Tzung-Su] Natl Taiwan Univ, Sch Forestry &amp; Resource Conservat, 1,Sec 4,Roosevelt Rd, Taipei 106, Taiwan; [Lin, Da-Li] Endem Species Res Inst, 1 Ming Shen East Rd, Nantou 552, Taiwan; [Lin, Da-Li] Univ Queensland, Sch Biol Sci, St Lucia, Qld 4072, Australia; [Fu, Shu-Wei] Forestry Bur, Aerial Survey Off, 100,Sec 2,Heping West Rd, Taipei 100, Taiwan; [Ding, Tzung-Su] Natl Taiwan Univ, Expt Forest, Coll Bioresources &amp; Agr, 12,Sec 1,Qianshan Rd, Nantou 557, Taiwan</t>
  </si>
  <si>
    <t>National Taiwan University; University of Queensland; National Taiwan University</t>
  </si>
  <si>
    <t>Ding, TS (corresponding author), Natl Taiwan Univ, Sch Forestry &amp; Resource Conservat, 1,Sec 4,Roosevelt Rd, Taipei 106, Taiwan.;Ding, TS (corresponding author), Natl Taiwan Univ, Expt Forest, Coll Bioresources &amp; Agr, 12,Sec 1,Qianshan Rd, Nantou 557, Taiwan.</t>
  </si>
  <si>
    <t>ding@ntu.edu.tw</t>
  </si>
  <si>
    <t>DING, Tzung-Su/AAG-7712-2019; Lin, Da-Li/IZP-7532-2023</t>
  </si>
  <si>
    <t>DING, Tzung-Su/0000-0002-1102-3879;</t>
  </si>
  <si>
    <t>Ministry of Science and Technology, Taiwan [NSC942621-B002-012, NSC95-2621-B002-006, NSC96-2621-B002-006]</t>
  </si>
  <si>
    <t>Ministry of Science and Technology, Taiwan(Ministry of Science and Technology, Taiwan)</t>
  </si>
  <si>
    <t>This study was supported by grants from the Ministry of Science and Technology, Taiwan (NSC942621-B002-012, NSC95-2621-B002-006, and NSC96-2621-B002-006) to Tzung-Su Ding. We thank Chen-Wei Lin for conducting part of the fieldwork, and the Meifeng Highlands Experimental Farm of the National Taiwan University for providing facilities and logistical support.</t>
  </si>
  <si>
    <t>ORNITHOLOGICAL SOC JAPAN, UNIV TOKYO, SCH AGR</t>
  </si>
  <si>
    <t>YAYOI 1-1-1, TOKYO, 113-8657, JAPAN</t>
  </si>
  <si>
    <t>1347-0558</t>
  </si>
  <si>
    <t>ORNITHOL SCI</t>
  </si>
  <si>
    <t>Ornithol. Sci.</t>
  </si>
  <si>
    <t>10.2326/osj.18.147</t>
  </si>
  <si>
    <t>KG1HV</t>
  </si>
  <si>
    <t>WOS:000509693500003</t>
  </si>
  <si>
    <t>Munteanu, C; Pidgeon, AM; Radeloff, VC</t>
  </si>
  <si>
    <t>Munteanu, Catalina; Pidgeon, Anna M.; Radeloff, Volker C.</t>
  </si>
  <si>
    <t>Conservation responsibility; Land abandonment; Reforestation; Historic available habitat</t>
  </si>
  <si>
    <t>POPULATION TRENDS; BIODIVERSITY CONSERVATION; FARMLAND ABANDONMENT; NATURAL VARIABILITY; EASTERN-EUROPE; FOREST; HABITAT; FRAGMENTATION; CONSEQUENCES; WOODPECKERS</t>
  </si>
  <si>
    <t>Land use change alters species' abundance and distributions by affecting habitat availability and quality. The decline of bird populations worldwide is of major concern, and habitat protection and restoration are primary conservation actions. However, conservation decisions largely consider only short-term habitat changes and species' population dynamics in a given area. Disregarding long term modifications in species' available habitat, and the role of a given population for a species' global population may lead to misdirected conservation action. Our goal here was to combine the assessment of conservation responsibility, with that of century-long available habitat dynamics, in order to inform better conservation practice. We compiled available habitat data for 170 bird species in the Carpathian Region from 1860 to 2010 from historic maps and satellite data. We analyzed these species' range distributions, IUCN extinction risk and population trends, and we identified 29 species of high conservation responsibility, and all of them were forest or and grassland specialists. Furthermore, we found major land use trends including cropland abandonment and increase in forests and grasslands that resulted in increases in potential habitat for the species for which the Carpathians have high conservation responsibility. The loss of row-crop agriculture, on the other hand, reduced habitat for species for which the Carpathians do not have high responsibility, and thus subsidizing agriculture may not be warranted from a conservation perspective. More broadly, many regions worldwide are undergoing rapid land use changes, and we suggest that these should be analyzed relative to a given regions' conservation responsibility to see if there are opportunities for conservation, i.e., cases similar to the Carpathians, where conservation efforts 'only' have to foster current land use trends, and make them permanent, rather than to try to revert the loss of habitat.</t>
  </si>
  <si>
    <t>[Munteanu, Catalina; Pidgeon, Anna M.; Radeloff, Volker C.] Univ Wisconsin Madison, Dept Forest &amp; Wildlife Ecol, SILVIS Lab, 1630 Linden Dr, Madison, WI 53706 USA; [Munteanu, Catalina] Leibniz Inst Agr Dev Transit Econ IAMO, Theodor Lieser Str 2, D-06120 Halle, Saale, Germany; [Munteanu, Catalina] Humboldt Univ, Dept Geog, Unter Linden 6, D-10099 Berlin, Germany</t>
  </si>
  <si>
    <t>University of Wisconsin System; University of Wisconsin Madison; Leibniz Association; Leibniz Institut fur Agrarentwicklung in Transformationsokonomien (IAMO); Humboldt University of Berlin</t>
  </si>
  <si>
    <t>Munteanu, C (corresponding author), Univ Wisconsin Madison, Dept Forest &amp; Wildlife Ecol, SILVIS Lab, 1630 Linden Dr, Madison, WI 53706 USA.;Munteanu, C (corresponding author), Leibniz Inst Agr Dev Transit Econ IAMO, Theodor Lieser Str 2, D-06120 Halle, Saale, Germany.;Munteanu, C (corresponding author), Humboldt Univ, Dept Geog, Unter Linden 6, D-10099 Berlin, Germany.</t>
  </si>
  <si>
    <t>catalina.munteanu@geo.hu-berlin.de</t>
  </si>
  <si>
    <t>Radeloff, Volker/B-6124-2016</t>
  </si>
  <si>
    <t>Radeloff, Volker/0000-0001-9004-221X; Munteanu, Catalina/0000-0003-1616-9639</t>
  </si>
  <si>
    <t>Land-Cover and Land-Use Change Program of the National Aeronautic Space Administration (NASA); NASA Earth System Science Fellowship Program (NESSF)</t>
  </si>
  <si>
    <t>We are most grateful to all partners and student collaborators who helped digitize the historic land use maps. We thank J. Kolecek and two anonymous reviewers for their valuable comments on an earlier version of the manuscript. We gratefully acknowledge support by the Land-Cover and Land-Use Change Program of the National Aeronautic Space Administration (NASA) and the NASA Earth System Science Fellowship Program (NESSF).</t>
  </si>
  <si>
    <t>10.1007/s10531-018-1524-z</t>
  </si>
  <si>
    <t>WOS:000434255200015</t>
  </si>
  <si>
    <t>D'Amico, M; Martins, RC; Alvarez-Martínez, JM; Porto, M; Barrientos, R; Moreira, F</t>
  </si>
  <si>
    <t>D'Amico, Marcello; Martins, Ricardo C.; Alvarez-Martinez, Jose M.; Porto, Miguel; Barrientos, Rafael; Moreira, Francisco</t>
  </si>
  <si>
    <t>collision; exposure; extinction risk; life-history traits; power lines; susceptibility</t>
  </si>
  <si>
    <t>MORTALITY; MARKING; CRANE; RISK; ELECTROCUTION; TRAITS; WIRE</t>
  </si>
  <si>
    <t>Aim Power lines can represent an important source of bird mortality through collision. The identification of more susceptible species, in terms of expected population-level impacts, requires detailed biological and mortality information that is often difficult to obtain. Here, we propose a species prioritization method based on relatively easily accessed information, aimed to identify both species and areas with the potentially highest extinction risk due to collision with power lines. Location As a case study, we applied this method to the communities of resident breeding birds of Spain and Portugal. Methods For each considered species, the method takes into account the morpho-behavioural susceptibility to collision with power lines, the susceptibility to extinction and the spatial exposure to collision with power lines. Results Our method highlighted that the most susceptible species were large, long-lived and slow-reproducing birds, often habitat specialists with hazardous behavioural traits (especially flight height and flocking flight), with high spatial exposure to collision risk with power lines and unfavourable conservation status. Based on the distribution ranges of these species, we produced a map of hotspots for extinction risk due to collision of such priority species for each country. These areas should be considered a priority for the implementation of mitigation measures including route planning and wire marking. Main conclusions Overall, the proposed method can be applied to any bird community in any geographic area of the world where information on power-line distribution and published information on species traits, distribution and conservation status is available, generating valuable lists of both priority species and areas in which collision risk with power lines can potentially produce local or even global extinctions.</t>
  </si>
  <si>
    <t>[D'Amico, Marcello; Martins, Ricardo C.; Moreira, Francisco] Univ Porto, CIBIO InBIO, REN Biodivers Chair, Vairao, Portugal; [D'Amico, Marcello; Martins, Ricardo C.; Porto, Miguel; Barrientos, Rafael; Moreira, Francisco] Univ Lisbon, Sch Agr, CEABN InBIO, Lisbon, Portugal; [Alvarez-Martinez, Jose M.] Univ Cantabria, Environm Hydraul Inst IHCantabria, Santander, Spain; [Porto, Miguel] Univ Porto, CIBIO InBIO, Appl Populat &amp; Community Ecol Lab, Vairao, Portugal; [Barrientos, Rafael] Univ Porto, CIBIO InBIO, IP Biodivers Chair, Vairao, Portugal</t>
  </si>
  <si>
    <t>Universidade do Porto; Universidade de Lisboa; Universidad de Cantabria; Universidade do Porto; Universidade do Porto</t>
  </si>
  <si>
    <t>D'Amico, M (corresponding author), Univ Porto, CIBIO InBIO, REN Biodivers Chair, Vairao, Portugal.</t>
  </si>
  <si>
    <t>damico@cibio.up.pt</t>
  </si>
  <si>
    <t>D'Amico, Marcello/B-5322-2016; Álvarez-Martínez, Jose Manuel/B-4389-2018; Porto, Miguel/L-7365-2013; Barrientos, Rafael/I-2102-2015; Martins, Ricardo C/AAB-7012-2019; Moreira, Francisco/B-2873-2008</t>
  </si>
  <si>
    <t>D'Amico, Marcello/0000-0002-0573-9184; Álvarez-Martínez, Jose Manuel/0000-0002-8150-0802; Porto, Miguel/0000-0001-7640-0623; Barrientos, Rafael/0000-0002-1677-3214; Martins, Ricardo C/0000-0003-2540-8574; Moreira, Francisco/0000-0003-4393-8018</t>
  </si>
  <si>
    <t>Universidad de Alcala; Secretaria de Estado de Investigacion, Desarrollo e Innovacion; Fundacao para a Ciencia e a Tecnologia; Infraestruturas de Portugal; REN - Redes Energeticas Nacionais</t>
  </si>
  <si>
    <t>Universidad de Alcala; Secretaria de Estado de Investigacion, Desarrollo e Innovacion; Fundacao para a Ciencia e a Tecnologia(Fundacao para a Ciencia e a Tecnologia (FCT)); Infraestruturas de Portugal; REN - Redes Energeticas Nacionais</t>
  </si>
  <si>
    <t>REN - Redes Energeticas Nacionais; Universidad de Alcala; Secretaria de Estado de Investigacion, Desarrollo e Innovacion; Fundacao para a Ciencia e a Tecnologia; Infraestruturas de Portugal</t>
  </si>
  <si>
    <t>10.1111/ddi.12903</t>
  </si>
  <si>
    <t>HY9NI</t>
  </si>
  <si>
    <t>WOS:000468467600010</t>
  </si>
  <si>
    <t>Löfvenhaft, K; Runborg, S; Sjögren-Gulve, P</t>
  </si>
  <si>
    <t>Meeting on Indigenous Vegetation within Urban Development</t>
  </si>
  <si>
    <t>AUG 14-16, 2002</t>
  </si>
  <si>
    <t>Swedish Univ Agr Sci, Uppsala, SWEDEN</t>
  </si>
  <si>
    <t>Swedish Univ Agr Sci</t>
  </si>
  <si>
    <t>biodiversity; continuity; environmental assessment; indicators; land cover change; resilience; time-lag; wetland</t>
  </si>
  <si>
    <t>HABITAT FRAGMENTATION; SPECIES RICHNESS; CONSERVATION; BIODIVERSITY; FROG; BIOLOGY; INDEXES; TOAD</t>
  </si>
  <si>
    <t>We investigated how information on biotope patterns over time and spatio-temporal distribution patterns of focal species (amphibians) in Stockholm, can assist in identifying landscape-ecological zones and give support to urban planning. Species data were combined with biotope patterns interpreted from aerial photographs (1998 and 1945/1950). These were then compared with information on roads with heavy traffic (1998 and 1950), with anticipated serious isolation effects. Spatial analyses were conducted using GIS (ArcView). We found that temporal distribution of amphibians is negatively related to increased fragmentation of valuable biotope configurations. Our use of context sensitive data on biotopes and species, provided insight into the ability of ecosystems to buffer land cover changes. We identified a time-lag of several decades between changes in urban land and road traffic intensity, and the response in species occurrence. This time-lag is not recognised in present-day planning and, therefore, the view of the status of wetland biodiversity in Stockholm's natural and semi-natural areas remains too optimistic. To maintain the resilience of biotopes in urban areas, we argue that organisations responsible for implementing any active plan regarding biodiversity should more fully consider comprehensive reference data in their analysis programme, i.e. biotope and species data with a time-span that covers all land and waters in the given municipality. This is to develop a greater capacity to adapt physical planning work to the different risk of biodiversity loss in specifically chosen areas. (C) 2003 Elsevier B.V. All rights reserved.</t>
  </si>
  <si>
    <t>Stockholm Univ, Dept Phys Geog &amp; Quaternary Geol, SE-10691 Stockholm, Sweden; Uppsala Univ, Dept Conservat Biol &amp; Genet, SE-75236 Uppsala, Sweden</t>
  </si>
  <si>
    <t>Stockholm University; Uppsala University</t>
  </si>
  <si>
    <t>Löfvenhaft, K (corresponding author), Stockholm Univ, Dept Phys Geog &amp; Quaternary Geol, SE-10691 Stockholm, Sweden.</t>
  </si>
  <si>
    <t>katarina.lofvenhaft@natgeo.su.se</t>
  </si>
  <si>
    <t>10.1016/S0169-2046(03)00154-3</t>
  </si>
  <si>
    <t>Science Citation Index Expanded (SCI-EXPANDED); Social Science Citation Index (SSCI); Conference Proceedings Citation Index - Social Science &amp; Humanities (CPCI-SSH); Conference Proceedings Citation Index - Science (CPCI-S)</t>
  </si>
  <si>
    <t>817CZ</t>
  </si>
  <si>
    <t>WOS:000221156900006</t>
  </si>
  <si>
    <t>Diwediga, B; Wala, K; Folega, F; Dourma, M; Woegan, YA; Akpagana, K; Le, QB</t>
  </si>
  <si>
    <t>Diwediga, Badabate; Wala, Kperkouma; Folega, Fousseni; Dourma, Marra; Woegan, Yao A.; Akpagana, Koffi; Le, Quang Bao</t>
  </si>
  <si>
    <t>Landscape patterns; DCA; Eco-edaphical factors; Human disturbances; Ecological conservation; Mo basin; Togo; West Africa</t>
  </si>
  <si>
    <t>FOREST DEGRADATION; LAND DEGRADATION; PROTECTED AREAS; BIODIVERSITY; VEGETATION; DEFORESTATION; DEPENDENCE; REGENERATION; RESOURCES; DIVERSITY</t>
  </si>
  <si>
    <t>In mountainous areas, biophysical settings and human disturbances strongly influence landscape patterns and dynamics requiring a permanent understanding of their combined influence. In this study, we investigated the diversity and patterns of wild landscapes in relation to ecological factors, human disturbances and land protection regime in the Mo river basin (Central Togo). First, we used geographical information systems (GIS) and remote sensing techniques to quantify and spatially explicit the major land cover types occurring in the area. We performed a supervised classification of Landsat 8 image from 2014. Next, we used vegetation ordination and classification methods to detect vegetation group types and their similarity level from forest inventory data collected at 75 sites. Data from soil samples at the 75 sites and DEM-based topographical indices were used as biophysical variables to analyze factors of current landscape structure. Both satellite image classification and the outputs from ordination methods indicated that three major vegetation types (forestlands, woodlands and savannahs/shrubs) occurred in protected (PA) and unprotected (UPA) areas. Image classification showed that savannahs/shrubs are the most widespread vegetation types (54.4%) while forestlands and woodlands cover 10.4% and 26.4% of the total area, respectively. UPA showed high rates of human disturbances that shaped the occurrence of a fourth vegetation type made up mainly by degraded savannahs and woodlands. Along the land protection gradient, the landscapes are driven by soil nutrients and moisture, in combination with the influence of topography and human disturbances. In both PA and UPA, and along protection gradient, majority of features exhibited significant differences among plant communities. The spatial analyses combined with the field data providing information on vegetation cover, species richness, and human footprint indices suggested that some areas outside protection still exhibit high potentials for land conservation. In multifunctional landscapes of Mo basin, conservation strategies could also be encouraged in the wild landscapes of community common lands to promote both biodiversity conservation and sustainable provision of ecosystem services. (C) 2015 Elsevier B.V. All rights reserved.</t>
  </si>
  <si>
    <t>[Diwediga, Badabate] Kwame Nkrumah Univ Sci &amp; Technol, Dept Civil Engn, Grad Res Programme, West African Sci Serv Ctr Climate Change &amp; Adapte, Kumasi, Ghana; [Diwediga, Badabate; Wala, Kperkouma; Folega, Fousseni; Dourma, Marra; Woegan, Yao A.; Akpagana, Koffi] Univ Lome, Lab Bot &amp; Plant Ecol, Lome 01, Togo; [Le, Quang Bao] Int Ctr Agr Res Dry Areas, CGIAR Res Program Dryland Syst, Amman 11195, Jordan</t>
  </si>
  <si>
    <t>Kwame Nkrumah University Science &amp; Technology; University of Lome; CGIAR; International Center for Agricultural Research in the Dry Areas (ICARDA)</t>
  </si>
  <si>
    <t>Diwediga, B (corresponding author), Kwame Nkrumah Univ Sci &amp; Technol, Dept Civil Engn, Grad Res Programme, West African Sci Serv Ctr Climate Change &amp; Adapte, Kumasi, Ghana.</t>
  </si>
  <si>
    <t>diwedigaba@gmail.com; kpwala75@yahoo.fr; q.le@cgiar.org</t>
  </si>
  <si>
    <t>Diwediga, Badabate/AAK-9995-2020; Le, Quang Bao/AAG-5174-2019; FOUSSENI, FOLEGA/D-9534-2011</t>
  </si>
  <si>
    <t>Diwediga, Badabate/0000-0001-5884-5370; Le, Quang Bao/0000-0001-8514-1088; FOUSSENI, FOLEGA/0000-0001-9097-3524</t>
  </si>
  <si>
    <t>German Federal Ministry of Education and Research (BMBF) through WASCAL research programme; CGIAR Research Program in Dryland Systems (CRP-DS), Overarching Cluster of Integrated Systems Analysis and Modelling [910101]</t>
  </si>
  <si>
    <t>German Federal Ministry of Education and Research (BMBF) through WASCAL research programme; CGIAR Research Program in Dryland Systems (CRP-DS), Overarching Cluster of Integrated Systems Analysis and Modelling</t>
  </si>
  <si>
    <t>The authors are grateful to the German Federal Ministry of Education and Research (BMBF), which supported this research through WASCAL research programme. Special thanks to WASCAL Graduate Research Programme in Climate Change and Land Use (Kwame Nkrumah University of Science and Technology - KNUST, Ghana). We also thank the Ministry of Environment and Forest Resources of Togo, and the Central Region office of Environment in Togo. We gratefully acknowledge the technical support from the Foundation Franz Weber of Fazao-Malfakassa National Park during our field-works. The CGIAR Research Program in Dryland Systems (CRP-DS), Overarching Cluster of Integrated Systems Analysis and Modelling (budget code 910101) funded for Quang Bao Le's contribution. Thanks to the anonymous reviewers for their valuable comments to the quality of the work.</t>
  </si>
  <si>
    <t>10.1016/j.ecoleng.2015.09.059</t>
  </si>
  <si>
    <t>CW9ML</t>
  </si>
  <si>
    <t>WOS:000365322700013</t>
  </si>
  <si>
    <t>Troia, MJ; McManamay, RA</t>
  </si>
  <si>
    <t>Troia, Matthew J.; McManamay, Ryan A.</t>
  </si>
  <si>
    <t>conservation prioritization; fish communities; GIS mapping; multivariate regression trees; stream classification; trait-based ecology</t>
  </si>
  <si>
    <t>FRESH-WATER FISH; CONTERMINOUS UNITED-STATES; LIFE-HISTORY STRATEGIES; NEW-SOUTH-WALES; REGRESSION TREES; ECOLOGICAL DATA; CLIMATE-CHANGE; RIVER; BIODIVERSITY; ASSEMBLAGES</t>
  </si>
  <si>
    <t>Aim Present a hybrid biogeographic and environmentally constrained clustering approach to classify similar to 853,000 stream reaches in the eastern United States. Examine the frequency of stream typologies in the landscape relative to anthropogenic stressors to identify potential stream conservation needs. Location Eastern United States. Methods Fish communities at 956 least-disturbed sampling reaches were characterized using taxonomic and functional composition of native species. Environmental variables summarized within stream reaches included stream discharge, channel gradient, hydrologic regime, summer water temperature and boundaries of freshwater ecoregions. Multivariate regression trees were used to relate environmental variables to fish communities while simultaneously developing taxa- and trait-specific biogeographic classifications. We then overlaid stream classifications with indices of anthropogenic disturbances to evaluate rarity and risk of complete loss of natural representation of stream types. Results Taxonomically based classes represented a combination of ecoregional boundaries and environmental gradients, whereas temperature gradients were most important in differentiating functional composition. An optimal taxonomy-based classification contained 13 classes and explained 26.4% of community variation, and the optimal trait-based classification contained 6 classes, explaining 25.2% of community variation. Overlaying class maps with an anthropogenic disturbance index revealed substantial variation in the severity of degradation among classes relative to their abundance in the landscape, especially rare classes (i.e., large rivers and cold headwater systems). Main conclusions We demonstrate the value of integrating local, regional and historical biogeographic factors with taxonomic and functional characteristics of freshwater biota to classify ecosystems based on mechanistic biota-environment relationships. This approach is important to addressing the challenge of developing stream classifications that reconcile the environmental drivers of community trait composition with the constraints of biogeographic regionality at large spatial scales. Furthermore, the spatially explicit and high-resolution maps disseminated here can uniquely inform management decisions regarding anthropogenic threats to the biodiverse freshwaters of the eastern United States.</t>
  </si>
  <si>
    <t>[Troia, Matthew J.] Univ Texas San Antonio, Dept Environm Sci &amp; Ecol, San Antonio, TX USA; [McManamay, Ryan A.] Baylor Univ, Dept Environm Sci, Baylor Sci Bldg,BSB A 409,One Bear Pl 97266, Waco, TX 76798 USA</t>
  </si>
  <si>
    <t>University of Texas System; University of Texas at San Antonio; Baylor University</t>
  </si>
  <si>
    <t>McManamay, RA (corresponding author), Baylor Univ, Dept Environm Sci, Baylor Sci Bldg,BSB A 409,One Bear Pl 97266, Waco, TX 76798 USA.</t>
  </si>
  <si>
    <t>Ryan_McManamay@baylor.edu</t>
  </si>
  <si>
    <t>McManamay, Ryan/0000-0002-5551-3140</t>
  </si>
  <si>
    <t>U.S. Department of Energy [DE-AC05-00OR22725]; Office of Energy Efficiency and Renewable Energy; Water Power Technologies Office</t>
  </si>
  <si>
    <t>U.S. Department of Energy(United States Department of Energy (DOE)); Office of Energy Efficiency and Renewable Energy(United States Department of Energy (DOE)); Water Power Technologies Office</t>
  </si>
  <si>
    <t>U.S. Department of Energy, Grant/Award Number: DE-AC05-00OR22725; Office of Energy Efficiency and Renewable Energy; Water Power Technologies Office</t>
  </si>
  <si>
    <t>10.1111/ddi.13001</t>
  </si>
  <si>
    <t>NOV 2019</t>
  </si>
  <si>
    <t>JR7FS</t>
  </si>
  <si>
    <t>WOS:000494533200001</t>
  </si>
  <si>
    <t>Dalle Laste, KC; Durigan, G; Andersen, AN</t>
  </si>
  <si>
    <t>Dalle Laste, Keila Caroline; Durigan, Giselda; Andersen, Alan N.</t>
  </si>
  <si>
    <t>biodiversity conservation; functional composition; land mosaic; savanna; species richness</t>
  </si>
  <si>
    <t>FUNCTIONAL-GROUPS; HYMENOPTERA-FORMICIDAE; FOREST RESTORATION; ECOSYSTEM SERVICES; EUCALYPT FOREST; WESTERN-GHATS; CONSERVATION; DISTURBANCE; VEGETATION; INDICATORS</t>
  </si>
  <si>
    <t>Given that land-use change is the main cause of global biodiversity decline, there is widespread interest in adopting land-use practices that maintain high levels of biodiversity, and in restoring degraded land that previously had high biodiversity value. In this study, we use ant taxonomic and functional diversity to examine the effects of different land uses (agriculture, pastoralism, silviculture and conservation) and restoration practices on Cerrado (Brazilian savanna) biodiversity. We also examine the extent to which ant diversity and composition can be explained by vegetation attributes that apply across the full land management spectrum. We surveyed vegetation attributes and ant communities in five replicate plots of each of 13 land-use and restoration treatments, including two types of native vegetation as reference sites: cerrado sensu stricto and cerradAo. Several land-use and restoration treatments had comparable plot richness to that of the native reference habitats. Ant species and functional composition varied systematically among land-use treatments following a gradient from open habitats such as agricultural fields to forested sites. Tree basal area and grass cover were the strongest predictors of ant species richness. Losses in ant diversity were higher in land-use systems that transform vegetation structure. Among productive systems, therefore, uncleared pastures and old pine plantations had similar species composition to that occurring in cerrado sensu stricto. Restoration techniques currently applied to sites that were previously Cerrado have focused on returning tree cover, and have failed to restore ant communities typical of savanna. To improve restoration outcomes for Cerrado biodiversity, greater attention needs to be paid to the re-establishment and maintenance of the grass layer, which requires frequent fire. At the broader scale, conservation planning in agricultural landscapes, should recognize the value of land-use mosaics and the risks of homogenization.</t>
  </si>
  <si>
    <t>[Dalle Laste, Keila Caroline] Univ Estadual Paulista UNESP, Fac Ciencias Agron, Rua Jose Barbosa Barros 1780, BR-18610307 Botucatu, SP, Brazil; [Durigan, Giselda] Inst Florestal, Floresta Estadual Assis, Lab Ecol &amp; Hidrol Florestal, Assis, SP, Brazil; [Durigan, Giselda] Univ Estadual Campinas, Inst Biol, Campinas, SP, Brazil; [Andersen, Alan N.] CSIRO Land &amp; Water, Trop Ecosyst Res Ctr, Winnellie, Australia; [Andersen, Alan N.] Charles Darwin Univ, Res Inst Environm &amp; Livelihoods, Darwin, NT, Australia</t>
  </si>
  <si>
    <t>Universidade Estadual Paulista; Universidade Estadual de Campinas; Universidade de Sao Paulo; Commonwealth Scientific &amp; Industrial Research Organisation (CSIRO); CSIRO Land &amp; Water; Charles Darwin University</t>
  </si>
  <si>
    <t>Dalle Laste, KC (corresponding author), Univ Estadual Paulista UNESP, Fac Ciencias Agron, Rua Jose Barbosa Barros 1780, BR-18610307 Botucatu, SP, Brazil.</t>
  </si>
  <si>
    <t>keilalaste@yahoo.com.br</t>
  </si>
  <si>
    <t>Andersen, Alan/F-8763-2010; Durigan, Giselda/B-9657-2012</t>
  </si>
  <si>
    <t>National Council for Scientific and Technological Development (CNPq) [303402/2012-1]; Coordination for the Improvement of Higher Education Personnel (CAPES) [99999.004652/2014-02]</t>
  </si>
  <si>
    <t>National Council for Scientific and Technological Development (CNPq)(Conselho Nacional de Desenvolvimento Cientifico e Tecnologico (CNPQ)); Coordination for the Improvement of Higher Education Personnel (CAPES)(Coordenacao de Aperfeicoamento de Pessoal de Nivel Superior (CAPES))</t>
  </si>
  <si>
    <t>We thank E. Berto, W. Santos and D. Machado for help in the field, R. Pacheco for ant identification and N.A. Pilon for help with statistical analysis. G.D. thanks the National Council for Scientific and Technological Development (CNPq) for the productivity grant #303402/2012-1, and K.C.D.L thanks the Coordination for the Improvement of Higher Education Personnel (CAPES) for PhD scholarship grant # 99999.004652/2014-02. The Forestry Institute of SAo Paulo State provided the research sites and logistical support for this study.</t>
  </si>
  <si>
    <t>10.1111/aec.12676</t>
  </si>
  <si>
    <t>HQ0OU</t>
  </si>
  <si>
    <t>WOS:000462095600013</t>
  </si>
  <si>
    <t>Verones, F; Pfister, S; van Zelm, R; Hellweg, S</t>
  </si>
  <si>
    <t>Verones, Francesca; Pfister, Stephan; van Zelm, Rosalie; Hellweg, Stefanie</t>
  </si>
  <si>
    <t>INTERNATIONAL JOURNAL OF LIFE CYCLE ASSESSMENT</t>
  </si>
  <si>
    <t>Animal taxa; Biodiversity; Life cycle impact assessment; Spatially differentiated; Vascular plants; Water consumption; Wetlands</t>
  </si>
  <si>
    <t>LAND-USE IMPACTS; ENVIRONMENTAL IMPACTS; WETLANDS</t>
  </si>
  <si>
    <t>Purpose Agriculture is a major water user worldwide, potentially depriving many ecosystems of water. Comprehensive global impact assessment methodologies are therefore required to assess impacts from water consumption on biodiversity. Since scarcity of water, as well as species richness, varies greatly between different world regions, a spatially differentiated approach is needed. Therefore, our aim is to enhance a previously published methodology in terms of spatial and species coverage. Methods We developed characterization factors for lifecycle impact assessment (LCIA) targeting biodiversity loss of various animal taxa (i.e., birds, reptiles, mammals, and amphibians) in wetlands. Data was collected for more than 22,000 wetlands worldwide, distinguishing between surface water- and groundwater-fed wetlands. Additionally, we account for a loss of vascular plant species in terrestrial ecosystems, based on precipitation. The characterization factors are expressed as global fractions of potential species extinctions (PDF) per cubic meter of water consumed annually and are developed with a spatial resolution of 0.05 arc degrees. Based on the geographic range of species, as well as their current threat level, as indicated by the International Union for Conservation of Nature (IUCN), we developed a vulnerability indicator that is included in the characterization factor. Results and discussion Characterization factors have maximal values in the order of magnitude of 10(-11) PDF. year/m(3) for animal taxa combined and 10(-12) PDF.year/m(3) for vascular plants. The application of the developed factors for global cultivation of wheat, maize, cotton, and rice highlights that the amount of water consumption alone is not sufficient to indicate the places of largest impacts but that species richness and vulnerability of species are indeed important factors to consider. Largest impacts are calculated for vascular plants in Madagascar, for maize, and for animal taxa; in Australia and the USA for surface water consumption (cotton); and in Algeria and Tunisia for groundwater consumption (cotton). Conclusions We developed a spatially differentiated approach to account for impacts from water consumption on a global level. We demonstrated its functionality with an application to a global case study of four different crops.</t>
  </si>
  <si>
    <t>[Verones, Francesca] NTNU, Ind Ecol Programme, Dept Energy &amp; Proc Engn, N-7491 Trondheim, Norway; [Verones, Francesca; van Zelm, Rosalie] Radboud Univ Nijmegen, Inst Water &amp; Wetland Res, Dept Environm Sci, NL-6500 GL Nijmegen, Netherlands; [Pfister, Stephan; Hellweg, Stefanie] Swiss Fed Inst Technol, Inst Environm Engn, CH-8093 Zurich, Switzerland</t>
  </si>
  <si>
    <t>Norwegian University of Science &amp; Technology (NTNU); Radboud University Nijmegen; Swiss Federal Institutes of Technology Domain; ETH Zurich</t>
  </si>
  <si>
    <t>Verones, F (corresponding author), NTNU, Ind Ecol Programme, Dept Energy &amp; Proc Engn, N-7491 Trondheim, Norway.;Verones, F (corresponding author), Radboud Univ Nijmegen, Inst Water &amp; Wetland Res, Dept Environm Sci, NL-6500 GL Nijmegen, Netherlands.</t>
  </si>
  <si>
    <t>francesca.verones@ntnu.no</t>
  </si>
  <si>
    <t>van Zelm, Rosalie/D-4108-2011; Pfister, Stephan/B-1317-2011; Hellweg, Stefanie/AAA-7756-2019</t>
  </si>
  <si>
    <t>van Zelm, Rosalie/0000-0002-2365-9436; Pfister, Stephan/0000-0001-8984-2041; Hellweg, Stefanie/0000-0001-6376-9878; Verones, Francesca/0000-0002-2908-328X</t>
  </si>
  <si>
    <t>0948-3349</t>
  </si>
  <si>
    <t>1614-7502</t>
  </si>
  <si>
    <t>INT J LIFE CYCLE ASS</t>
  </si>
  <si>
    <t>Int. J. Life Cycle Assess.</t>
  </si>
  <si>
    <t>10.1007/s11367-016-1236-0</t>
  </si>
  <si>
    <t>FA2TD</t>
  </si>
  <si>
    <t>WOS:000405292800007</t>
  </si>
  <si>
    <t>Lyon, K; Cottrell, SP; Siikamäki, P; Van Marwijk, R</t>
  </si>
  <si>
    <t>Lyon, Katie; Cottrell, Stuart P.; Siikamaki, Pirkko; Van Marwijk, Ramona</t>
  </si>
  <si>
    <t>SCANDINAVIAN JOURNAL OF HOSPITALITY AND TOURISM</t>
  </si>
  <si>
    <t>Biodiversity; social-ecological hotspots; nature-based tourism; Finland</t>
  </si>
  <si>
    <t>PROTECTED AREAS; TOURISM; CONSERVATION; MANAGEMENT; RECREATION; RICHNESS; IMPACTS</t>
  </si>
  <si>
    <t>Oulanka National Park, Finland aims to ensure nature conservation while providing high quality visitor experiences. The growth of outdoor recreation and nature tourism, however, has fueled concern about consequent pressures on the natural resources of the park. This analysis assessed the spatial relationship between biodiversity hotspots and visitor distributions within Oulanka National Park. Known occurrences of rare or threatened species (lichen, moss, fungi, and vascular plants) within the park were used as indicators of biodiversity. Areas with a high density of threatened and endangered species (i.e. biodiversity hotspots) were identified through kernel density analysis and compared to the spatial distribution of visitor use within the park. Results indicate important habitats for endangered species are often located nearby or on the edge of high visitor use zones leaving them vulnerable to human impacts. Further research will investigate the relationships between visitor experiences at specific spots and acceptance of nature management measures.</t>
  </si>
  <si>
    <t>[Lyon, Katie; Cottrell, Stuart P.] Colorado State Univ, Ft Collins, CO 80523 USA; [Siikamaki, Pirkko] Metsahallitus, Kuusamo, Finland; [Van Marwijk, Ramona] Wageningen Univ, Wageningen, Netherlands</t>
  </si>
  <si>
    <t>Colorado State University System; Colorado State University Fort Collins; Wageningen University &amp; Research</t>
  </si>
  <si>
    <t>Cottrell, SP (corresponding author), Colorado State Univ, Ft Collins, CO 80523 USA.</t>
  </si>
  <si>
    <t>Cottrell@cnr.colostate.edu</t>
  </si>
  <si>
    <t>Lyon, Katie/B-6654-2011</t>
  </si>
  <si>
    <t>Lyon, Katie/0000-0002-7455-6891</t>
  </si>
  <si>
    <t>1502-2250</t>
  </si>
  <si>
    <t>1502-2269</t>
  </si>
  <si>
    <t>SCAND J HOSP TOUR</t>
  </si>
  <si>
    <t>Scand. J. Hosp. Tour.</t>
  </si>
  <si>
    <t>10.1080/15022250.2011.629909</t>
  </si>
  <si>
    <t>Hospitality, Leisure, Sport &amp; Tourism; Sociology</t>
  </si>
  <si>
    <t>Social Sciences - Other Topics; Sociology</t>
  </si>
  <si>
    <t>886SG</t>
  </si>
  <si>
    <t>WOS:000299873600007</t>
  </si>
  <si>
    <t>Balzotti, CS; Kitchen, SG; McCarthy, C</t>
  </si>
  <si>
    <t>Balzotti, Christopher S.; Kitchen, Stanley G.; McCarthy, Clinton</t>
  </si>
  <si>
    <t>Beyond the single species climate envelope: a multifaceted approach to mapping climate change vulnerability</t>
  </si>
  <si>
    <t>Centrocercus urophasianus; climate change vulnerability; climate envelope; sage-grouse</t>
  </si>
  <si>
    <t>GREATER SAGE-GROUSE; WYOMING BIG SAGEBRUSH; WESTERN JUNIPER; HUMAN FOOTPRINT; GAS DEVELOPMENT; CONSERVATION; IMPACTS; PATTERNS; HABITAT; FIRE</t>
  </si>
  <si>
    <t>Federal land management agencies and conservation organizations have begun incorporating climate change vulnerability assessments (CCVAs) as an important component in the management and conservation of landscapes. It is often a challenge to translate that knowledge into management plans and actions, even when research infers species risk. Predictive maps can improve current CCVAs and assist in quantifying and visualizing species climate change vulnerability across large areas. We assessed the climate change risk for Greater Sage-Grouse (Centrocercus urophasianus; sage-grouse) habitat at two spatial scales in Utah and Nevada. At the local scale, multiple species climate envelopes were evaluated with additional stressors (fire, conifer encroachment, invasive grass, and human impact) to create risk maps for mesic (Strawberry) and xeric (Sheeprock) sage-grouse landscapes in Utah. Both landscapes were predicted to be at risk, but Sheeprock was found to be at higher risk due to future climate change implications coupled with additional habitat-degrading stressors. By using models, we are able to integrate complex interactions, and visualize the distribution of risk across broad spatial scales, providing land managers and researchers a valuable tool for CCVA and action plans.</t>
  </si>
  <si>
    <t>[Balzotti, Christopher S.] Brigham Young Univ, Dept Plant &amp; Wildlife Sci, Provo, UT 84602 USA; [Kitchen, Stanley G.] US Forest Serv, USDA, Rocky Mt Res Stn, Provo, UT 84606 USA; [McCarthy, Clinton] US Forest Serv, USDA, Intermt Reg, Ogden, UT 84403 USA; [Balzotti, Christopher S.] Carnegie Inst Sci, Dept Global Ecol, 206 Panama St, Stanford, CA 94305 USA</t>
  </si>
  <si>
    <t>Brigham Young University; United States Department of Agriculture (USDA); United States Forest Service; United States Department of Agriculture (USDA); United States Forest Service; Carnegie Institution for Science</t>
  </si>
  <si>
    <t>Balzotti, CS (corresponding author), Brigham Young Univ, Dept Plant &amp; Wildlife Sci, Provo, UT 84602 USA.;Balzotti, CS (corresponding author), Carnegie Inst Sci, Dept Global Ecol, 206 Panama St, Stanford, CA 94305 USA.</t>
  </si>
  <si>
    <t>cbalzotti@carnegiescience.edu</t>
  </si>
  <si>
    <t>USDA Forest Service, WO Climate Change Advisor's Office, Western Wildland Environmental Threat Assessment Center, Rocky Mountain Research Station; Region 4</t>
  </si>
  <si>
    <t>For valuable direction in developing the scope and vision of this work, we thank P. Soucek, J. Bruggink, J. Chambers, J. Engert, D. Finch, S. Hines, L. Jacobson, N. Little, R. Mazur, S. Petersen, J. Shivik, D. Tart, and R. Tausch. We thank two anonymous reviewers for helpful suggestions that improved the manuscript. We would also like to thank the Geospatial Habitat Laboratory, Brigham Young University, for access to data and analysis tools. This work was funded by the USDA Forest Service, WO Climate Change Advisor's Office, Western Wildland Environmental Threat Assessment Center, Rocky Mountain Research Station, and Region 4.</t>
  </si>
  <si>
    <t>e01444</t>
  </si>
  <si>
    <t>10.1002/ecs2.1444</t>
  </si>
  <si>
    <t>EB2RR</t>
  </si>
  <si>
    <t>WOS:000387210100006</t>
  </si>
  <si>
    <t>Jongsomjit, D; Stralberg, D; Gardali, T; Salas, L; Wiens, J</t>
  </si>
  <si>
    <t>Jongsomjit, Dennis; Stralberg, Diana; Gardali, Thomas; Salas, Leonardo; Wiens, John</t>
  </si>
  <si>
    <t>California; Exurban development; Generalized additive models; Land-use change; Species distribution models; Urbanization</t>
  </si>
  <si>
    <t>LAND-USE CHANGE; WILDLAND-URBAN INTERFACE; LANDSCAPE PATTERNS; SPECIES RICHNESS; PROTECTED AREAS; BIODIVERSITY; FUTURE; EXTINCTION; GROWTH; DIVERSITY</t>
  </si>
  <si>
    <t>Although the effects of climate change on species distributions have received considerable attention, land-use change continues to threaten wildlife by contributing to habitat loss and degradation. We compared projected spatial impacts of climate change and housing development across a range of housing densities on California's birds to evaluate the relative potential impacts of each. We used species-distribution models in concert with current and future climate projections and spatially explicit housing-development density projections in California. We compared their potential influence on the distributions of 64 focal bird species representing six major vegetation communities. Averaged across GCMs, species responding positively to climate change were projected to gain 253,890 km 2 and species responding negatively were projected to lose 335,640 km(2). Development accounted for 32 % of the overall reductions in projected species distributions. In terms of land area, suburban and exurban development accounted for the largest portion of land-use impacts on species' distributions. Areas in which climatic suitability and housing density were both projected to increase were concentrated along the foothills of the Sierra Nevada and areas of the north coast. Areas of decreasing climatic suitability and increasing housing density were largely concentrated within the Central Valley. Our analyses suggest that the cumulative effects of future housing development and climate change will be large for many bird species, and that some species projected to expand their distributions with climate change may actually lose ground to development. This suggests that a key climate change adaptation strategy will be to minimize the impacts of housing development. To do this effectively, comprehensive policies to guide land use decisions are needed at the broader scales of climate change.</t>
  </si>
  <si>
    <t>[Jongsomjit, Dennis; Stralberg, Diana; Gardali, Thomas; Salas, Leonardo; Wiens, John] PRBO Conservat Sci, Petaluma, CA 94954 USA</t>
  </si>
  <si>
    <t>Jongsomjit, D (corresponding author), PRBO Conservat Sci, 3820 Cypress Dr, Petaluma, CA 94954 USA.</t>
  </si>
  <si>
    <t>djongsomjit@prbo.org</t>
  </si>
  <si>
    <t>Stralberg, Diana/W-9267-2019; Wiens, John/K-4819-2012</t>
  </si>
  <si>
    <t>Stralberg, Diana/0000-0003-4900-024X;</t>
  </si>
  <si>
    <t>David and Lucille Packard Foundation; National Fish and Wildlife Foundation; U.S. Forest Service; Bureau of Land Management; National Park Service; Bureau of Reclamation, Fish and Wildlife Service; California Department of Fish and Game; Faucett Family Foundation; U.S. Fish and Wildlife California Landscape Conservation Cooperative; National Science Foundation [DBI-0542868]; Natural Sciences and Engineering Research Council of Canada; University of Alberta; Alberta Ingenuity Fund</t>
  </si>
  <si>
    <t>David and Lucille Packard Foundation(The David &amp; Lucile Packard Foundation); National Fish and Wildlife Foundation; U.S. Forest Service(United States Department of Agriculture (USDA)United States Forest Service); Bureau of Land Management; National Park Service; Bureau of Reclamation, Fish and Wildlife Service; California Department of Fish and Game; Faucett Family Foundation; U.S. Fish and Wildlife California Landscape Conservation Cooperative; National Science Foundation(National Science Foundation (NSF)); Natural Sciences and Engineering Research Council of Canada(Natural Sciences and Engineering Research Council of Canada (NSERC)CGIAR); University of Alberta(University of Alberta); Alberta Ingenuity Fund</t>
  </si>
  <si>
    <t>Data collection was funded by the David and Lucille Packard Foundation, National Fish and Wildlife Foundation, U.S. Forest Service, Bureau of Land Management, National Park Service, Bureau of Reclamation, Fish and Wildlife Service, California Department of Fish and Game. The Nature Conservancy, the Marin Municipal Water District, The Presidio Trust, and the CALFED Bay-Delta Program. An anonymous donor, the Faucett Family Foundation, the U.S. Fish and Wildlife California Landscape Conservation Cooperative, and the National Science Foundation (DBI-0542868) supported the research. D. Stralberg was supported by doctoral scholarships from the Natural Sciences and Engineering Research Council of Canada, the University of Alberta, and the Alberta Ingenuity Fund. We thank M. Snyder (UCSC) for the regional climate models, B. Bierwagen for access to the land-use models, and C.J. Ralph (RSL), J. Alexander (KBO), and the North American Breeding Bird Survey for access to and help with data, and countless PRBO biologists and staff for data collection. We are grateful to M. Fitzgibbon, D. Moody, and S. Veloz for help with data preparation and analysis, and to T. Root for inspiring this research. We appreciate the comments provided by G. Ballard, M. Araujo, J. Elith, E. Gustafson, and anonymous reviewers, which greatly improved this paper. This is PRBO contribution #1746.</t>
  </si>
  <si>
    <t>10.1007/s10980-012-9825-1</t>
  </si>
  <si>
    <t>108JT</t>
  </si>
  <si>
    <t>WOS:000316289800002</t>
  </si>
  <si>
    <t>Winemiller, KO; McIntyre, PB; Castello, L; Fluet-Chouinard, E; Giarrizzo, T; Nam, S; Baird, IG; Darwall, W; Lujan, NK; Harrison, I; Stiassny, MLJ; Silvano, RAM; Fitzgerald, DB; Pelicice, FM; Agostinho, AA; Gomes, LC; Albert, JS; Baran, E; Petrere, M; Zarfl, C; Mulligan, M; Sullivan, JP; Arantes, CC; Sousa, LM; Koning, AA; Hoeinghaus, DJ; Sabaj, M; Lundberg, JG; Armbruster, J; Thieme, ML; Petry, P; Zuanon, J; Vilara, GT; Snoeks, J; Ou, C; Rainboth, W; Pavanelli, CS; Akama, A; van Soesbergen, A; Sáenz, L</t>
  </si>
  <si>
    <t>Winemiller, K. O.; McIntyre, P. B.; Castello, L.; Fluet-Chouinard, E.; Giarrizzo, T.; Nam, S.; Baird, I. G.; Darwall, W.; Lujan, N. K.; Harrison, I.; Stiassny, M. L. J.; Silvano, R. A. M.; Fitzgerald, D. B.; Pelicice, F. M.; Agostinho, A. A.; Gomes, L. C.; Albert, J. S.; Baran, E.; Petrere, M., Jr.; Zarfl, C.; Mulligan, M.; Sullivan, J. P.; Arantes, C. C.; Sousa, L. M.; Koning, A. A.; Hoeinghaus, D. J.; Sabaj, M.; Lundberg, J. G.; Armbruster, J.; Thieme, M. L.; Petry, P.; Zuanon, J.; Vilara, G. Torrente; Snoeks, J.; Ou, C.; Rainboth, W.; Pavanelli, C. S.; Akama, A.; van Soesbergen, A.; Saenz, L.</t>
  </si>
  <si>
    <t>DAMS</t>
  </si>
  <si>
    <t>[Winemiller, K. O.; Fitzgerald, D. B.; Arantes, C. C.] Texas A&amp;M Univ, College Stn, TX 77843 USA; [McIntyre, P. B.; Fluet-Chouinard, E.; Baird, I. G.; Koning, A. A.] Univ Wisconsin, Madison, WI 53706 USA; [Castello, L.] Virginia Polytech Inst &amp; State Univ, Blacksburg, VA 24061 USA; [Giarrizzo, T.] Fed Univ Para, BR-66077830 Belem, Para, Brazil; [Nam, S.] Mekong River Commiss Secretariat, Phnom Penh, Cambodia; [Darwall, W.] IUCN, Cambridge CB2 3QZ, Cambs, England; [Lujan, N. K.; Sabaj, M.; Lundberg, J. G.] Univ Toronto, Toronto, ON M1C 1A4, Canada; [Harrison, I.] IUCN, Conservat Int, Arlington, VA 22202 USA; [Stiassny, M. L. J.] Amer Museum Nat Hist, New York, NY 10024 USA; [Silvano, R. A. M.] Univ Fed Rio Grande do Sul, BR-91501970 Porto Alegre, RS, Brazil; [Pelicice, F. M.] Univ Fed Tocantins, BR-77500000 Porto Nacl, Tocantins, Brazil; [Agostinho, A. A.; Gomes, L. C.; Pavanelli, C. S.] Univ Estadual Maringa, BR-87020900 Maringa, Parana, Brazil; [Albert, J. S.] Univ Louisiana, Dept Biol, Lafayette, LA 70451 USA; [Baran, E.] WorldFish Ctr, Phnom Penh, Cambodia; [Petrere, M., Jr.] Univ Fed Sao Carlos, Sao Paulo, Brazil; [Petrere, M., Jr.] UNISANTA, UFSCar, BR-11045907 Sao Paulo, Brazil; [Zarfl, C.] IGB, D-12587 Berlin, Germany; [Zarfl, C.] Univ Tubingen, D-72074 Tubingen, Germany; [Mulligan, M.] Kings Coll London, London WC2R 2LS, England; [Sullivan, J. P.] Cornell Univ, Ithaca, NY 14850 USA; [Sousa, L. M.] Fed Univ Para, BR-68372040 Altamira, Para, Brazil; [Hoeinghaus, D. J.] Univ N Texas, Denton, TX 76203 USA; [Armbruster, J.] Auburn Univ, Auburn, AL 36849 USA; [Thieme, M. L.] World Wildlife Fund, Washington, DC 20037 USA; [Petry, P.] Nature Conservancy, Arlington, VA 22203 USA; [Zuanon, J.] Inst Nacl de Pesquisas da Amazonia, BR-69067375 Manaus, Amazonas, Brazil; [Vilara, G. Torrente] Univ Fed Amazonas, BR-69077000 Manaus, Amazonas, Brazil; [Snoeks, J.] Royal Museum Cent Africa, Tervuren, Belgium; [Ou, C.] Sch Field Studies, Siem Reap, Cambodia; [Rainboth, W.] Univ Wisconsin, Oshkosh, WI 54901 USA; [Akama, A.] Museu Paraense Emilio Goeldi, Belem, Para, Brazil; [van Soesbergen, A.] UNEP World Conservat Monitoring Ctr, Cambridge CB3 0DL, England; [Saenz, L.] Conservat Int, Arlington, VA 22202 USA</t>
  </si>
  <si>
    <t>Texas A&amp;M University System; Texas A&amp;M University College Station; University of Wisconsin System; University of Wisconsin Madison; Virginia Polytechnic Institute &amp; State University; Universidade Federal do Para; University of Toronto; Conservation International; American Museum of Natural History (AMNH); Universidade Federal do Rio Grande do Sul; Universidade Federal do Tocantins (UFT); Universidade Estadual de Maringa; University of Louisiana Lafayette; CGIAR; Worldfish; Universidade Federal de Sao Carlos; Universidade Federal de Sao Carlos; Universidade Santa Cecilia; Leibniz Association; Leibniz Institut fur Gewasserokologie und Binnenfischerei (IGB); Eberhard Karls University of Tubingen; University of London; King's College London; Cornell University; Universidade Federal do Para; University of North Texas System; University of North Texas Denton; Auburn University System; Auburn University; World Wildlife Fund; Nature Conservancy; Institute Nacional de Pesquisas da Amazonia; Universidade Federal de Amazonas; Royal Museum for Central Africa; University of Wisconsin System; Museu Paraense Emilio Goeldi; Conservation International</t>
  </si>
  <si>
    <t>Winemiller, KO (corresponding author), Texas A&amp;M Univ, College Stn, TX 77843 USA.</t>
  </si>
  <si>
    <t>k-winemiller@tamu.edu</t>
  </si>
  <si>
    <t>Giarrizzo, Tommaso/G-8482-2016; Sullivan, John P/ABH-8966-2020; Silvano, Renato/G-1282-2012; Mulligan, Mark/V-9275-2019; Fluet-Chouinard, Etienne/KIH-8576-2024; Fapesp, Biota/F-8655-2017; Pelicice, Fernando/D-8768-2013; Pavanelli, Carla/G-6399-2012; Hoeinghaus, David/A-3190-2008; Sousa, Leano/I-6108-2012; Zuanon, Jansen/E-5791-2013; Agostinho, Angelo Antonio/S-1538-2019; Castello, Leandro/K-4389-2012; gomes, Luiz/D-5886-2013; Baird, Ian/AAA-4727-2021; Torrente-Vilara, Gislene/AAF-1559-2021</t>
  </si>
  <si>
    <t>Giarrizzo, Tommaso/0000-0002-5116-5206; Sullivan, John P/0000-0003-0585-5617; Silvano, Renato/0000-0003-0171-6628; Mulligan, Mark/0000-0002-0132-0888; Fluet-Chouinard, Etienne/0000-0003-4380-2153; Winemiller, Kirk/0000-0003-0236-5129; Fapesp, Biota/0000-0002-9887-8449; Pelicice, Fernando/0000-0002-9700-1194; Pavanelli, Carla/0000-0003-4059-984X; Hoeinghaus, David/0000-0003-0363-8723; McIntyre, Peter/0000-0003-1809-7552; Lujan, Nathan/0000-0002-9022-1506; Petrere Jr, Miguel/0000-0003-2000-6699; van Soesbergen, Arnout/0000-0002-3263-4011; Thieme, Michele/0000-0003-3216-9129; Sousa, Leano/0000-0002-0793-9737; Petry, Paulo/0000-0003-1104-5709; Zuanon, Jansen/0000-0001-8354-2750; Agostinho, Angelo Antonio/0000-0002-4707-9444; gomes, Luiz/0000-0001-7295-723X; Baird, Ian/0000-0001-7747-2485; Torrente-Vilara, Gislene/0000-0002-2048-7691</t>
  </si>
  <si>
    <t>Division Of Environmental Biology; Direct For Biological Sciences [1256090, 1354511] Funding Source: National Science Foundation; Division Of Environmental Biology; Direct For Biological Sciences [1023403] Funding Source: National Science Foundation; ICER; Directorate For Geosciences [1342973] Funding Source: National Science Foundation</t>
  </si>
  <si>
    <t>Division Of Environmental Biology; Direct For Biological Sciences(National Science Foundation (NSF)NSF - Directorate for Biological Sciences (BIO)); Division Of Environmental Biology; Direct For Biological Sciences(National Science Foundation (NSF)NSF - Directorate for Biological Sciences (BIO)); ICER; Directorate For Geosciences(National Science Foundation (NSF)NSF - Directorate for Geosciences (GEO))</t>
  </si>
  <si>
    <t>JAN 8</t>
  </si>
  <si>
    <t>10.1126/science.aac7082</t>
  </si>
  <si>
    <t>DA4XQ</t>
  </si>
  <si>
    <t>WOS:000367806500018</t>
  </si>
  <si>
    <t>Simon, C; du Toit, AN; Smith, MKS; Claassens, L; Smith, F; Smith, P</t>
  </si>
  <si>
    <t>Simon, C.; du Toit, A. N.; Smith, M. K. S.; Claassens, L.; Smith, F.; Smith, P.</t>
  </si>
  <si>
    <t>Bait collecting by subsistence and recreational fishers in Knysna Estuary may impact management and conservation</t>
  </si>
  <si>
    <t>AFRICAN ZOOLOGY</t>
  </si>
  <si>
    <t>Arenicola; bloodworm; Diopatra; moonshine worm; mudprawns; polychaetes; recreational fishers; subsistence fishers; Upogebia</t>
  </si>
  <si>
    <t>SOUTH-AFRICAN ESTUARIES; ABUNDANCE; KRAUSSI; POLYCHAETE; DIVERSITY; POLICY; WORMS; BLOOM; SHORE</t>
  </si>
  <si>
    <t>To facilitate development of tailored management strategies for bait species within Knysna Estuary (South Africa), demand for bait, harvesting activity and perceptions around conservation among recreational and subsistence bait fishers were investigated. In 2015 and 2016, bait collectors were interviewed (n = 84) and observed (n = 167) during low tides at six sites during peak and off-peak holiday periods. Significant associations among subsistence and recreational fishers and their favoured bait species, collecting spots and method, frequency of collection, views on regulations and desired daily limit for mudprawns suggest differences that may warrant different management strategies. Furthermore, observed methods and duration of bait collecting differed according to site, suggesting spatial variation in baiting pressures. Subsistence fishers potentially collect more mudprawns more frequently than do recreational fishers and consequently have a greater impact on mudprawn populations. By contrast, recreational fishers collect more polychaete worms, but because they are mainly active during holidays, their impact on these species may be localised and not yet critical. Most subsistence fishers would like increased daily bag limits, to sell bait and would welcome a rotational zonation scheme to replace the current permanent exclusion zone. The merits and disadvantages of these management options and suggestions are discussed.</t>
  </si>
  <si>
    <t>[Simon, C.; du Toit, A. N.] Stellenbosch Univ, Dept Bot &amp; Zool, Stellenbosch, South Africa; [Smith, M. K. S.] South African Natl Pk, Rondevlei Sci Serv, Sedgefield, South Africa; [Claassens, L.; Smith, F.; Smith, P.] Knysna Basin Project, Knysna, South Africa; [Claassens, L.] Rhodes Univ, Dept Zool &amp; Entomol, Makhanda, South Africa</t>
  </si>
  <si>
    <t>Stellenbosch University; Rhodes University</t>
  </si>
  <si>
    <t>Simon, C (corresponding author), Stellenbosch Univ, Dept Bot &amp; Zool, Stellenbosch, South Africa.</t>
  </si>
  <si>
    <t>csimon@sun.ac.za</t>
  </si>
  <si>
    <t>Simon, Carol/0000-0001-9613-5222</t>
  </si>
  <si>
    <t>National Research Foundation Incentive Funding</t>
  </si>
  <si>
    <t>We thank SANParks, the Knysna Basin Project, Stellenbosch University, field assistants who helped with observations and most importantly, the interviewees without whom this project would not have been possible. We also thank two anonymous reviewers whose input greatly improved the manuscript. Funding was provided by National Research Foundation Incentive Funding granted to CAS.</t>
  </si>
  <si>
    <t>ZOOLOGICAL SOC SOUTHERN AFRICA</t>
  </si>
  <si>
    <t>SCOTTSVILLE</t>
  </si>
  <si>
    <t>AFRICAN ZOOLOGY CIRCULATION OFFICE, UNIV KWAZULU-NATAL, SCHOOL BIOL &amp; CONSERVATION SCI, P B X01, SCOTTSVILLE 3209, SOUTH AFRICA</t>
  </si>
  <si>
    <t>1562-7020</t>
  </si>
  <si>
    <t>2224-073X</t>
  </si>
  <si>
    <t>AFR ZOOL</t>
  </si>
  <si>
    <t>Afr. Zool.</t>
  </si>
  <si>
    <t>JUL 5</t>
  </si>
  <si>
    <t>10.1080/15627020.2019.1608862</t>
  </si>
  <si>
    <t>IJ5EW</t>
  </si>
  <si>
    <t>WOS:000475926600002</t>
  </si>
  <si>
    <t>Thaxter, CB; Ross-Smith, VH; Bouten, W; Clark, NA; Conway, GJ; Masden, EA; Ewley, GDC; Barber, LJ; Burton, NHK</t>
  </si>
  <si>
    <t>Thaxter, Chris B.; Ross-Smith, Viola H.; Bouten, Willem; Clark, Nigel A.; Conway, Greg J.; Masden, Elizabeth A.; Ewley, Gary D. C.; Barber, Lee J.; Burton, Niall H. K.</t>
  </si>
  <si>
    <t>bird; collision risk; GPS telemetry; human-wildlife conflict; renewable energy; sensitivity; vulnerability; wind turbine</t>
  </si>
  <si>
    <t>ADULT GOLDEN EAGLES; AQUILA-CHRYSAETOS; BIRD POPULATIONS; FLIGHT HEIGHTS; MOVEMENTS; SELECTION; RAPTORS; IMPACT; RISK; SEA</t>
  </si>
  <si>
    <t>Wind energy generation has become an important means to reduce reliance on fossil fuels and mitigate against human-induced climate change, but could also represent a significant human-wildlife conflict. Airborne taxa such as birds may be particularly sensitive to collision mortality with wind turbines, yet the relative vulnerability of species' populations across their annual life cycles has not been evaluated. Using GPS telemetry, we studied the movements of lesser black-backed gulls Larus fuscus from three UK breeding colonies through their annual cycle. We modelled the distance travelled by birds at altitudes between the minimum and maximum rotor sweep zone of turbines, combined with the probability of collision, to estimate sensitivity to collision. Sensitivity was then combined with turbine density (exposure) to evaluate spatio-temporal vulnerability. Sensitivity was highest near to colonies during the breeding season, where a greater distance travelled by birds was in concentrated areas where they were exposed to turbines. Consequently, vulnerability was high near to colonies but was also high at some migration bottlenecks and wintering sites where, despite a reduced sensitivity, exposure to turbines was greatest. Synthesis and applications. Our framework combines bird-borne telemetry and spatial data on the location of wind turbines to identify potential areas of conflict for migratory populations throughout their annual cycle. This approach can aid the wind farm planning process by: (a) providing sensitivity maps to inform wind farm placement, helping minimize impacts; (b) identifying areas of high vulnerability where mitigation warrants exploration; (c) highlighting potential cumulative impacts of developments over international boundaries and (d) informing the conservation status of species at protected sites. Our methods can identify pressures and linkages for populations using effect-specific metrics that are transferable and could help resolve other human-wildlife conflicts.</t>
  </si>
  <si>
    <t>[Thaxter, Chris B.; Ross-Smith, Viola H.; Clark, Nigel A.; Conway, Greg J.; Ewley, Gary D. C.; Barber, Lee J.; Burton, Niall H. K.] British Trust Ornithol, Norfolk, England; [Bouten, Willem] Univ Amsterdam, Inst Biodivers &amp; Ecosyst Dynam, Computat Geoecol, Amsterdam, Netherlands; [Masden, Elizabeth A.] Univ Highlands &amp; Isl, North Highland Coll, Environm Res Inst, Thurso, Scotland</t>
  </si>
  <si>
    <t>British Trust for Ornithology; University of Amsterdam; University of the Highlands &amp; Islands</t>
  </si>
  <si>
    <t>Thaxter, CB (corresponding author), British Trust Ornithol, Norfolk, England.</t>
  </si>
  <si>
    <t>chris.thaxter@bto.org</t>
  </si>
  <si>
    <t>; Thaxter, Chris/J-4787-2017; Masden, Elizabeth/F-2858-2010; Bouten, Willem/G-4383-2018</t>
  </si>
  <si>
    <t>Clewley, Gary/0000-0002-6068-2221; Thaxter, Chris/0000-0003-0341-4199; Masden, Elizabeth/0000-0002-1995-3712; Conway, Greg/0000-0001-8766-9142; Bouten, Willem/0000-0002-5250-8872</t>
  </si>
  <si>
    <t>UK Department for Business, Energy and Industrial Strategy; European Regional Development Fund; Highlands and Islands Enterprise; Scottish Funding Council</t>
  </si>
  <si>
    <t>UK Department for Business, Energy and Industrial Strategy; European Regional Development Fund(European Union (EU)); Highlands and Islands Enterprise; Scottish Funding Council</t>
  </si>
  <si>
    <t>10.1111/1365-2664.13488</t>
  </si>
  <si>
    <t>SEP 2019</t>
  </si>
  <si>
    <t>JK2TK</t>
  </si>
  <si>
    <t>WOS:000489550800001</t>
  </si>
  <si>
    <t>Manenti, R; Bonelli, M; Scaccini, D; Binda, A; Zugnoni, A</t>
  </si>
  <si>
    <t>Manenti, Raoul; Bonelli, Marco; Scaccini, Davide; Binda, Arturo; Zugnoni, Anna</t>
  </si>
  <si>
    <t>Invasive species; Crayfish; Freshwater management; Austropotamobius italicus; Barrier</t>
  </si>
  <si>
    <t>INVASIVE CRAYFISH; RIVER; DIVERSITY; DYNAMICS; COMMUNITIES; ASTACIDAE; PATTERNS; DECAPODA; COMPLEX; EUROPE</t>
  </si>
  <si>
    <t>One of the main threats to native European crayfish is the spread of alien crayfish species that are immune carriers of the detrimental crayfish plague Aphanomyces astaci. In this study we analyzed both at a regional and at a local scale factors determining native and alien crayfish distribution in an area where the species Procambarus clarkii is currently spreading. We aim to understand which management strategies could prevent the extinction of native populations. We sampled 81 waterbodies in Lombardy (NW Italy) to assess the Austropotamobius pallipes complex and alien crayfish occurrence; we also monitored the only first order stream in our study area that we found to be currently inhabited by A. pallipes upstream and by P. clarkii downstream. A. pallipes generally occurred in small brooks, near the spring, and was linked to low periphyton abundance, while P. clarkii occurred in sites at lower altitudes, far from the spring area, mainly in lentic waterbodies with large widths; this allochthonous species was positively related to periphyton abundance. Our monitoring showed that physical barriers such as dams may prevent P. clarkii dispersal upstream. Our results confirm that A. pallipes and P. clarkii have different ecological requirements and show that, at least during the first years of invasion, P. clarkii spreading involves lowland or downstream altered sites. We suggest the need for management strategies maximizing connectivity among native populations, to avoid isolation, and promoting the separation of native populations from those of P. clarkii. (C) 2014 Elsevier GmbH. All rights reserved.</t>
  </si>
  <si>
    <t>[Manenti, Raoul] Univ Milan, Dipartimento Biosci, Via Celoria 26, I-20133 Milan, Italy; [Bonelli, Marco; Scaccini, Davide; Zugnoni, Anna] Associaz WWF Lecco, I-23851 Galbiate, LC, Italy; [Binda, Arturo] Associaz Le Contrade Onlus, I-22044 Inverigo, CO, Italy</t>
  </si>
  <si>
    <t>University of Milan</t>
  </si>
  <si>
    <t>Manenti, R (corresponding author), Univ Milan, Dipartimento Biosci, Via Celoria 26, I-20133 Milan, Italy.</t>
  </si>
  <si>
    <t>raoul.manenti@unimi.it; sezione@wwf.lecco.it; arturo.binda@libero.it</t>
  </si>
  <si>
    <t>Scaccini, Davide/Z-3901-2019; Bonelli, Marco/AAP-9820-2020; Manenti, Raoul/O-5166-2017</t>
  </si>
  <si>
    <t>Scaccini, Davide/0000-0002-6850-7911; Bonelli, Marco/0000-0003-2853-6598; Manenti, Raoul/0000-0001-6071-8194</t>
  </si>
  <si>
    <t>10.1016/j.jnc.2014.09.001</t>
  </si>
  <si>
    <t>AT4YW</t>
  </si>
  <si>
    <t>WOS:000344950700013</t>
  </si>
  <si>
    <t>Phoenix, GK; Hicks, WK; Cinderby, S; Kuylenstierna, JCI; Stock, WD; Dentener, FJ; Giller, KE; Austin, AT; Lefroy, RDB; Gimeno, BS; Ashmore, MR; Ineson, P</t>
  </si>
  <si>
    <t>Atmospheric nitrogen deposition in world biodiversity hotspots: the need for a greater global perspective in assessing N deposition impacts</t>
  </si>
  <si>
    <t>conservation; endemics; nitrogen deposition; plant diversity; pollution; species loss</t>
  </si>
  <si>
    <t>SPECIES RICHNESS; CONSEQUENCES; POPULATION; SULFUR; NOX</t>
  </si>
  <si>
    <t>Increased atmospheric nitrogen (N) deposition is known to reduce plant diversity in natural and semi-natural ecosystems, yet our understanding of these impacts comes almost entirely from studies in northern Europe and North America. Currently, we lack an understanding of the threat of N deposition to biodiversity at the global scale. In particular, rates of N deposition within the newly defined 34 world biodiversity hotspots, to which 50% of the world's floristic diversity is restricted, has not been quantified previously. Using output from global chemistry transport models, here we provide the first estimates of recent (mid-1990s) and future (2050) rates and distributions of N deposition within biodiversity hotspots. Our analysis shows that the average deposition rate across these areas was 50% greater than the global terrestrial average in the mid-1990s and could more than double by 2050, with 33 of 34 hotspots receiving greater N deposition in 2050 compared with 1990. By this time, 17 hotspots could have between 10% and 100% of their area receiving greater than 15 kg N ha(-1) yr(-1), a rate exceeding critical loads set for many sensitive European ecosystems. Average deposition in four hotspots is predicted to be greater than 20 kg N ha(-1) yr(-1). This elevated N deposition within areas of high plant diversity and endemism may exacerbate significantly the global threat of N deposition to world floristic diversity. Overall, we highlight the need for a greater global approach to assessing the impacts of N deposition.</t>
  </si>
  <si>
    <t>Univ Sheffield, Dept Anim &amp; Plant Sci, Sheffield S10 2TN, S Yorkshire, England; Univ York, Stockholm Environm Inst, York YO10 5DD, N Yorkshire, England; Edith Cowan Univ, Ctr Ecosyst Management, Joondalup 6027, Australia; Univ Cape Town, Dept Bot, ZA-7701 Rondebosch, Cape Town, South Africa; Inst Environm &amp; Sustainabil, Joint Res Ctr, Climate Change Unit, I-21020 Ispra, Va, Italy; Univ Wageningen &amp; Res Ctr, Dept Plant Sci, Plant Prod Syst Grp, NL-6700 AK Wageningen, Netherlands; Univ Buenos Aires, IFEVA, Buenos Aires, DF, Argentina; Univ Buenos Aires, Dept Ecol, Fac Agron, Buenos Aires, DF, Argentina; Univ Buenos Aires, CONICET, Buenos Aires, DF, Argentina; Ctr Int Agr Trop, Viangchan, Laos; CIEMAT, Madrid 28040, Spain; Univ York, Dept Environm, York YO10 5DD, N Yorkshire, England; Univ York, Dept Biol, York YO10 5DD, N Yorkshire, England</t>
  </si>
  <si>
    <t>University of Sheffield; University of York - UK; Edith Cowan University; University of Cape Town; European Commission Joint Research Centre; EC JRC ISPRA Site; Wageningen University &amp; Research; University of Buenos Aires; University of Buenos Aires; University of Buenos Aires; Consejo Nacional de Investigaciones Cientificas y Tecnicas (CONICET); Centro de Investigaciones Energeticas, Medioambientales Tecnologicas; University of York - UK; University of York - UK</t>
  </si>
  <si>
    <t>Phoenix, GK (corresponding author), Univ Sheffield, Dept Anim &amp; Plant Sci, Sheffield S10 2TN, S Yorkshire, England.</t>
  </si>
  <si>
    <t>g.phoenix@sheffield.ac.uk</t>
  </si>
  <si>
    <t>Ineson, Phil/JKD-1157-2023; Stock, William/B-8858-2008; Sánchez Gimeno, Benjamin/AAA-1550-2019; Giller, Ken/K-2799-2012; Austin, Amy/E-7988-2011</t>
  </si>
  <si>
    <t>Stock, William/0000-0003-2475-2963; Phoenix, Gareth/0000-0002-0911-8107; Giller, Ken/0000-0002-5998-4652; Austin, Amy/0000-0002-7468-5861</t>
  </si>
  <si>
    <t>10.1111/j.1365-2486.2006.01104.x</t>
  </si>
  <si>
    <t>021YY</t>
  </si>
  <si>
    <t>WOS:000236023000006</t>
  </si>
  <si>
    <t>Trebilco, R; Gales, R; Baker, GB; Terauds, A; Sumner, MD</t>
  </si>
  <si>
    <t>Trebilco, Rowan; Gales, Rosemary; Baker, G. Barry; Terauds, Aleks; Sumner, Michael D.</t>
  </si>
  <si>
    <t>Giant petrels; Macronectes; Macquarie Island; Marine protected areas; RFMOs; Satellite tracking</t>
  </si>
  <si>
    <t>FORAGING STRATEGIES; MIROUNGA-LEONINA; ELEPHANT SEALS; SOUTHERN-OCEAN; ALBATROSSES; CONSERVATION; SEABIRDS</t>
  </si>
  <si>
    <t>Satellite tracking devices were used to examine the at sea movements of southern and northern giant petrels from Macquarie island during the Austral summers of 2005-06 and 2006-07. Time spent at sea for nine northern giant petrels (four breeding adults, five recently fledged juveniles) and 10 southern giant petrels (three breeding adults, one non-breeding adult, and six recently fledged juveniles) was examined in relation to marine protected areas and fishing activity in the area immediately adjacent to Macquarie Island in 2005-06, and in terms of the jurisdictions of Regional Fisheries Management Authorities (RFMOs) at a broader scale during both seasons. Breeding adult southern and northern giant petrels spent a large proportion of their time at sea in the Macquarie Island Marine Park (25% and 65%, respectively), primarily during chick rearing. Further from Macquarie Island, the most important foraging areas for adult giant petrels were the Commission for the Conservation of Antarctic Marine Living Resources (CCAMLR) statistical sub-areas 58.4.1 and 88.1, where foraging activity was concentrated around the ice edge and the Polar Frontal Zone. Fledglings of both species spent time in the Marine Park immediately after fledging, before moving into international waters. We found significant temporal and spatial overlap in the areas used by recently fledged juvenile northern giant petrels and the areas utilised by the single trawler that operated in these waters during 2005-06. Adult giant petrels spent little time in RFMO waters other than those under the jurisdiction of CCAMLR, but fledgling southern and northern giant petrels spent considerable time (56% and 78% of total time at sea) on the high seas of the Pacific Ocean, in areas under the jurisdictions of the Commission for the Conservation of Southern Bluefin Tuna (CCSBT), the Western and Central Pacific Fisheries Commission (WCPFC), the Inter American Tropical Tuna Commission (IATTC) and the South Pacific Regional Fisheries Management Organisation (SPRFMO). Band returns indicate that the international Commission for the Conservation of Atlantic Tunas (ICCAT) and the South East Atlantic Fisheries Organisation (SEAFO) areas are likely to be extensively utilised by Macquarie Island giant petrels in the first three years after fledging. Overall, Macquarie Island's giant petrel populations are well protected by marine reserves during the breeding season. However, after fledging birds move into RFMO areas that currently have low standards of observer coverage and by catch mitigation, and where fisheries related mortality is likely to pose a significant risk. (c) 2008 Elsevier Ltd. All rights reserved.</t>
  </si>
  <si>
    <t>[Baker, G. Barry] Univ Tasmania, Sch Govt, Hobart, Tas 7001, Australia; [Baker, G. Barry] Univ Tasmania, Antarctic Climate &amp; Ecosyst Cooperat Res Ctr, Hobart, Tas 7001, Australia; [Trebilco, Rowan; Gales, Rosemary; Terauds, Aleks] Dept Primary Ind &amp; Water, Wildlife &amp; Marine Conservat Sect, Hobart, Tas 7001, Australia; [Sumner, Michael D.] Univ Tasmania, Sch Zool, Sch Math &amp; Phys, IASOS,Antarctic Wildlife Res Unit, Hobart, Tas 7005, Australia</t>
  </si>
  <si>
    <t>University of Tasmania; Antarctic Climate &amp; Ecosystems Cooperative Research Centre (ACE CRC); University of Tasmania; University of Tasmania</t>
  </si>
  <si>
    <t>Baker, GB (corresponding author), Univ Tasmania, Sch Govt, Private Bag 22, Hobart, Tas 7001, Australia.</t>
  </si>
  <si>
    <t>barry.baker@latitude42.com.au</t>
  </si>
  <si>
    <t>Sumner, Michael/J-3478-2013; Terauds, Aleks/A-4991-2010; Trebilco, Rowan/I-5311-2012</t>
  </si>
  <si>
    <t>Sumner, Michael/0000-0002-2471-7511; Terauds, Aleks/0000-0001-7804-6648; Trebilco, Rowan/0000-0001-9712-8016; Baker, G Barry/0000-0003-4766-8182</t>
  </si>
  <si>
    <t>Natural Heritage Trust,; Department of Environment and Water Resources (DEW); Department of Primary industries and Water</t>
  </si>
  <si>
    <t>This project was jointly funded by the Natural Heritage Trust, through the Department of Environment and Water Resources (DEW), and the Department of Primary industries and Water. We are grateful to Astrida Mednis and Ian Hay, of DEW, for facilitating the funding from the Natural Heritage Trust. We are very grateful to Cleo Small, from BirdLife international, who was extremely helpful in providing information on the boundaries and characteristics of Southern Ocean RFMOs. Thanks also to Martin Exel, Thim Skousen and Lachlan Kranz tor assistance in processing and providing Fisheries-location data; and to Nick Murray and Georgie Hedley for their assistance in deploying the satellite trackers. We also appreciate the support provided by Drew Lee, Sam Thalmann and Rachael Alderman. The comments by two anonymous referees were valuable in improving the manuscript.</t>
  </si>
  <si>
    <t>10.1016/j.biocon.2008.07.027</t>
  </si>
  <si>
    <t>381ZR</t>
  </si>
  <si>
    <t>WOS:000261574900004</t>
  </si>
  <si>
    <t>McClanahan, TR; Maina, JM; Muthiga, NA</t>
  </si>
  <si>
    <t>McClanahan, Tim R.; Maina, Joseph M.; Muthiga, Nyawira A.</t>
  </si>
  <si>
    <t>Africa; biodiversity; climate change; environmental stress; latitudinal patterns; marine protected areas; prioritization; resilience; spatial autocorrelation</t>
  </si>
  <si>
    <t>BIODIVERSITY HOTSPOTS; TEMPERATURE-VARIATION; DISTRIBUTION MODELS; PHASE-SHIFTS; CONSERVATION; COMMUNITIES; MANAGEMENT; MARINE; SUSCEPTIBILITY; RESILIENCE</t>
  </si>
  <si>
    <t>Climatic-oceanographic stress and coral reef diversity were mapped in the western Indian Ocean (WIO) in order to determine if there were associations between high diversity coral reefs and regions with low-to-moderate climate stress. A multivariate stress model developed to estimate environmental exposure to stress, an empirical index of the coral community's susceptibility to stress, and field data on numbers of fish and corals taxa from 197 WIO sites were overlain to evaluate these associations. Exposure to stress was modeled from satellite data based on nine geophysical-biological oceanographic characteristics known to influence coral bleaching (i.e. temperature, light, and current variables). The environmental stress model and the coral community's susceptibility index were moderately correlated (r=-0.51) with southern and eastern parts of the WIO identified as areas with low environmental stress and coral communities with greater dominance of bleaching stress-sensitive taxa. Numbers of coral and fish taxa were positive and moderately correlated (r=0.47) but high diversity regions for fish were in the north and west while diversity was highest for corals in central regions from Tanzania to northwestern Madagascar. Combining three and four of these variables into composite maps identified a region from southern Kenya to northern Mozambique across to northern-eastern Madagascar and the Mascarene Islands and the Mozambique-South Africa border as areas where low-moderate environmental exposure overlaps with moderate-high taxonomic diversity. In these areas management efforts aimed at maintaining high-diversity and intact ecosystems are considered least likely to be undermined by climate disturbances in the near term. Reducing additional human disturbances, such as fishing and pollution, in these areas is expected to improve the chances for their persistence. These reefs are considered a high priority for increased local, national, and international management efforts aimed at establishing coral reef refugia for climate change impacts.</t>
  </si>
  <si>
    <t>[McClanahan, Tim R.; Maina, Joseph M.; Muthiga, Nyawira A.] Marine Programs, Wildlife Conservat Soc, Bronx, NY 10460 USA; [Maina, Joseph M.] Macquarie Univ, Computat Ecol Grp, Dept Biol Sci, Sydney, NSW 2109, Australia</t>
  </si>
  <si>
    <t>Wildlife Conservation Society; Macquarie University</t>
  </si>
  <si>
    <t>McClanahan, TR (corresponding author), Kibaki Flats 12,POB 99470, Mombasa 80107, Kenya.</t>
  </si>
  <si>
    <t>Maina, Joseph/KFR-6167-2024; McClanahan, Timothy/K-4998-2019</t>
  </si>
  <si>
    <t>Maina, Joseph/0000-0003-1268-6137; McClanahan, Timothy/0000-0001-5821-3584</t>
  </si>
  <si>
    <t>Marine Science for Management (MASMA-SIDA) program</t>
  </si>
  <si>
    <t>The WIO Marine Science Association's (WIOMSA) Marine Science for Management (MASMA-SIDA) program and D. John and T. Catherine from the MacArthur Foundation supported this research. Assistance with ideas, comments and field data by M. Ateweberhan, J. H. Bruggemann, N. A. J. Graham, M. M. M. Guillaume, C. Ruiz Sebastian, and S. K. Wilson are greatly appreciated. Logistical support from the Kenya Wildlife Service, the Institute of Marine Sciences University of Dar es Salaam, WCS and IHSM Madagascar, and WWF Mozambique, and Mauritius Oceanographic institute is also appreciated.</t>
  </si>
  <si>
    <t>10.1111/j.1365-2486.2011.02395.x</t>
  </si>
  <si>
    <t>751TV</t>
  </si>
  <si>
    <t>WOS:000289641400002</t>
  </si>
  <si>
    <t>Hu, ZY; Hu, HD; Huang, YX</t>
  </si>
  <si>
    <t>Hu, Zhiyong; Hu, Hongda; Huang, Yuxia</t>
  </si>
  <si>
    <t>Light pollution; Sea turtle; VIIRS; Spatial statistics; Generalized linear model; Eigenvectors spatial filtering; Generalized estimating equations; GIS; Remote sensing</t>
  </si>
  <si>
    <t>SPATIAL-FILTERING SPECIFICATION; SPECTRAL SENSITIVITY; BEACH; ORIENTATION; EXPOSURE</t>
  </si>
  <si>
    <t>Artificial lighting at night has becoming a new type of pollution posing an important anthropogenic environmental pressure on organisms. The objective of this research was to examine the potential association between nighttime artificial light pollution and nest densities of the three main sea turtle species along Florida beaches, including green turtles, loggerheads, and leatherbacks. Sea turtle survey data was obtained from the Florida Statewide Nesting Beach Survey program. We used the new generation of satellite sensor Visible Infrared Imaging Radiometer Suite (VIIRS) (version 1 D/N Band) nighttime annual average radiance composite image data. We defined light pollution as artificial light brightness greater than 10% of the natural sky brightness above 45 degrees of elevation (&gt;1.14 x 10(-11) Wm(-2)sr(-1)). We fitted a generalized linear model (GLM), a GLM with eigenvectors spatial filtering (GLM-ESF), and a generalized estimating equations (GEE) approach for each species to examine the potential correlation of nest density with light pollution. Our models are robust and reliable in terms of the ability to deal with data distribution and spatial autocorrelation (SA) issues violating model assumptions. All three models found that nest density is significantly negatively correlated with light pollution for each sea turtle species: the higher light pollution, the lower nest density. The two spatially extended models (GLM-ESF and GEE) show that light pollution influences nest density in a descending order from green turtles, to loggerheads, and then to leatherbacks. The research findings have an implication for sea turtle conservation policy and ordinance making. Near-coastal lights-out ordinances and other approaches to shield lights can protect sea turtles and their nests. The VIIRS DNB light data, having significant improvements over comparable data by its predecessor, the DMSP-OLS, shows promise for continued and improved research about ecological effects of artificial light pollution. (C) 2018 Elsevier Ltd. All rights reserved.</t>
  </si>
  <si>
    <t>[Hu, Zhiyong] Univ West Florida, Dept Earth &amp; Environm Sci, Pensacola, FL 32514 USA; [Hu, Hongda] Gangzhou Inst Geog, Guangzhou, Guangdong, Peoples R China; [Huang, Yuxia] Texas A&amp;M Univ Corpus Christi, Dept Comp Sci, Corpus Christi, TX USA</t>
  </si>
  <si>
    <t>State University System of Florida; University of West Florida; Texas A&amp;M University System; Texas A&amp;M University Corpus Christi</t>
  </si>
  <si>
    <t>Hu, ZY (corresponding author), Univ West Florida, Dept Earth &amp; Environm Sci, Pensacola, FL 32514 USA.</t>
  </si>
  <si>
    <t>zhu@uwf.edu; dadagiser@gdas.ac.cn; Lucy.Huang@tamucc.edu</t>
  </si>
  <si>
    <t>Hu, Zhiyong/Q-6907-2017</t>
  </si>
  <si>
    <t>10.1016/j.envpol.2018.04.021</t>
  </si>
  <si>
    <t>GI8AS</t>
  </si>
  <si>
    <t>WOS:000434744800004</t>
  </si>
  <si>
    <t>Das, S; Pradhan, B; Shit, PK; Alamri, AM</t>
  </si>
  <si>
    <t>Das, Subhasis; Pradhan, Biswajeet; Shit, Pravat Kumar; Alamri, Abdullah M.</t>
  </si>
  <si>
    <t>Assessment of Wetland Ecosystem Health Using the Pressure-State-Response (PSR) Model: A Case Study of Mursidabad District of West Bengal (India)</t>
  </si>
  <si>
    <t>wetlands; ecosystem health; GIS; remote sensing; AHP</t>
  </si>
  <si>
    <t>COASTAL WETLANDS; LANDSCAPE; INDICATOR; BAY</t>
  </si>
  <si>
    <t>Wetlands are essential for protein production, water sanctification, groundwater recharge, climate purification, nutrient cycling, decreasing floods and biodiversity preservation. The Mursidabad district in West Bengal (India) is situated in the floodplain of the Ganga-Padma and Bhagirathi rivers. The region is characterized by diverse types of wetlands; however, the wetlands are getting depredated day-by-day due to hydro-ecological changes, uncontrolled human activities and rapid urbanization. This study attempted to explore the health status of the wetland ecosystem in 2013 and 2020 at the block level in the Mursidabad district, using the pressure-state-response model. Based on wetland ecosystem health values, we categorized the health conditions and identified the blocks where the health conditions are poor. A total of seven Landsat ETM+ spaceborne satellite images in 2001, 2013 and 2020 were selected as the data sources. The statistical data included the population density and urbanization increase rate, for all administrative units, and were collected from the census data of India for 2001 and 2011. We picked nine ecosystem indicators for the incorporated assessment of wetland ecosystem health. The indicators were selected considering every block in the Mursidabad district and for the computation of the wetland ecosystem health index by using the analytical hierarchy processes method. This study determined that 26.92% of the blocks fell under the sick category in 2013, but increased to 30.77% in 2020, while the percentage of blocks in the very healthy category has decreased markedly from 11.54% to 3.85%. These blocks were affected by higher human pressure, such as population density, urbanization growth rate and road density, which resulted in the degradation of wetland health. The scientific protection and restoration techniques of these wetlands should be emphasized in these areas.</t>
  </si>
  <si>
    <t>[Das, Subhasis; Shit, Pravat Kumar] Raja NL Khan Womens Coll Autonomous, Dept Geog, Midnapore 721102, W Bengal, India; [Pradhan, Biswajeet] Univ Technol Sydney, Fac Engn &amp; IT, Ctr Adv Modelling &amp; Geospatial Informat Syst CAMG, Sch Informat Syst &amp; Modelling, Sydney, NSW 2007, Australia; [Alamri, Abdullah M.] King Saud Univ, Coll Sci, Dept Geol &amp; Geophys, Riyadh 11451, Saudi Arabia</t>
  </si>
  <si>
    <t>University of Technology Sydney; King Saud University</t>
  </si>
  <si>
    <t>Pradhan, B (corresponding author), Univ Technol Sydney, Fac Engn &amp; IT, Ctr Adv Modelling &amp; Geospatial Informat Syst CAMG, Sch Informat Syst &amp; Modelling, Sydney, NSW 2007, Australia.</t>
  </si>
  <si>
    <t>subhasisdas4592@gmail.com; Biswajeet.Pradhan@uts.edu.au; pravatgeo2007@gmail.com; amsamri@ksu.edu.sa</t>
  </si>
  <si>
    <t>DAS, SUBHASIS/ABC-1210-2021; alamri, abdul/CAH-0281-2022; Shit, Pravat kumar/AAB-2177-2022; Pradhan, Biswajeet/E-8226-2010</t>
  </si>
  <si>
    <t>Shit, Pravat kumar/0000-0001-5834-0495; Pradhan, Biswajeet/0000-0001-9863-2054</t>
  </si>
  <si>
    <t>Centre for Advanced Modelling and Geospatial Information Systems (CAMGIS), Faculty of Engineering and IT in the University of Technology Sydney (UTS); King Saud University, Riyadh, Saudi Arabia [RSP-2020/14]</t>
  </si>
  <si>
    <t>Centre for Advanced Modelling and Geospatial Information Systems (CAMGIS), Faculty of Engineering and IT in the University of Technology Sydney (UTS); King Saud University, Riyadh, Saudi Arabia(King Saud University)</t>
  </si>
  <si>
    <t>This research was supported by the Centre for Advanced Modelling and Geospatial Information Systems (CAMGIS), Faculty of Engineering and IT in the University of Technology Sydney (UTS). This research was also supported by Researchers Supporting Project number RSP-2020/14, King Saud University, Riyadh, Saudi Arabia.</t>
  </si>
  <si>
    <t>10.3390/su12155932</t>
  </si>
  <si>
    <t>NA1EN</t>
  </si>
  <si>
    <t>WOS:000559561200001</t>
  </si>
  <si>
    <t>Jarvis, A; Touval, JL; Schmitz, MC; Sotomayor, L; Hyman, GG</t>
  </si>
  <si>
    <t>Jarvis, Andy; Touval, Jerome L.; Schmitz, Mauricio Castro; Sotomayor, Leonardo; Hyman, Glenn Graham</t>
  </si>
  <si>
    <t>Conservation; South America; Threats; Spatial analysis; GIS</t>
  </si>
  <si>
    <t>South America is blessed with both world-leading levels of biodiversity, and world-record breaking levels of habitat conversion in some areas. Under this highly dynamic context, sound conservation planning is needed and one component of effectively prioritising conservation interventions is through the assessment of threats to natural ecosystems. Here we present a continent-wide and spatially explicit threats assessment to natural ecosystems. A conceptual framework is presented which quantifies threat as a function of both the magnitude of the impacts of specific damaging human activities, and the variable response of different ecosystems to those impacts. The frame work is then applied on seven different threat layers (accessibility, conversion to agriculture, fires, grazing pressure, infrastructure, oil and gas, recent conversion) to map out and spatially quantify the level of threat expected over the coming 2-5 year period. An aggregate threat layer is calculated, and the threats to major habitat types are evaluated. Tropical and Subtropical Grasslands, Savannas and Shrublands and Flooded Grasslands and Savannas are found to be under the greatest threat (0.36 and 0.35 aggregate threat respectively), both threatened most by fires (0.96), the former by accessibility (0.72) and the latter by grazing pressure (0.62). Tropical and Subtropical Moist Broad leaf Forests are the least threatened of all ecosystems (0.13), closely followed by Montane Grasslands and Shrublands (0.14). Overall, accessibility is shown to be a major issue across much of the continent, and fires area significant threat in some identified regions. The results are being used by The Nature Conservancy to target conservation efforts in the region, and also to drive policies for threat abatement. Furthermore, the conceptual framework and methodology is applicable to any region and presents a useful means of prioritising conservation interventions across broad geographic regions. (C) 2009 Elsevier GmbH. All rights reserved.</t>
  </si>
  <si>
    <t>[Jarvis, Andy; Hyman, Glenn Graham] Ctr Int Agr Trop, Palmira, Colombia</t>
  </si>
  <si>
    <t>Alliance; International Center for Tropical Agriculture - CIAT</t>
  </si>
  <si>
    <t>Jarvis, A (corresponding author), Ctr Int Agr Trop, Km 17 Recta Cali, Palmira, Colombia.</t>
  </si>
  <si>
    <t>a.jarvis@cgiar.org; jtouval@tnc.org; mcastro@tnc.org; lsotomayor@tnc.org; g.hyman@cgiar.org</t>
  </si>
  <si>
    <t>Jarvis, Andy/K-5516-2013</t>
  </si>
  <si>
    <t>Jarvis, Andy/0000-0001-6543-0798</t>
  </si>
  <si>
    <t>10.1016/j.jnc.2009.08.003</t>
  </si>
  <si>
    <t>609IT</t>
  </si>
  <si>
    <t>WOS:000278650600004</t>
  </si>
  <si>
    <t>Chiranjibi, P; Sudhakar, RC; Manikya, RP</t>
  </si>
  <si>
    <t>Chiranjibi, Pattanaik; Sudhakar, C. Reddy; Manikya, P. Reddy</t>
  </si>
  <si>
    <t>deforestation; forest dynamics; GIS remote sensing; tropical forest; Malkangiri, Orissa</t>
  </si>
  <si>
    <t>LAND-USE; LANDSCAPE CHANGE; CHANGBAI MOUNTAIN; EASTERN GHATS; DEFORESTATION; FRAGMENTATION; CONSERVATION; PATTERNS; AREA; BIODIVERSITY</t>
  </si>
  <si>
    <t>Tropical forests have been recognized as having global conservation importance. However, they are being rapidly destroyed in many regions of the world. Regular monitoring of forests is necessary for an adaptive management approach and the successful implementation of ecosystem management. The present study analyses the temporal changes in forest ecosystem structure in tribal dominated Malkangiri district of Orissa, India, during 1973-2004 period based on digitized forest cover maps using geographic information system (GIS) and interpretation of satellite data. Three satellite images Landsat MSS (1973), Landsat TM (1990) and IRS P6 LISS III (2004) were used to determine changes. Six land cover types were delineated which includes dense forest, open forest, scrub land, agriculture, barren land and water body. Different forest types were also demarcated within forest class for better understanding the degradation pattern in each forest types. The results showed that there was a net decrease of 475.7 km(2) forest cover (rate of deforestation = 2.34) from 1973 to 1990 and 402.3 km(2) (rate of deforestation = 2.27) from 1990 to 2004. Forest cover has changed over time depending on a few factors such as large-scale deforestation, shifting cultivation, dam and road construction, unregulated management actions, and social pressure. A significant increase of 1222.8 km(2) agriculture area (1973-2004) clearly indicated the conversion of forest cover to agricultural land. These alterations had resulted in significant environmental consequences, including decline in forest cover, soil erosion, and loss of biodiversity. There is an urgent need for rational management of the remaining forest for it to be able to survive beyond next decades. Particular attention must be paid to tropical forests, which are rapidly being deforested.</t>
  </si>
  <si>
    <t>[Chiranjibi, Pattanaik] Salim Ali Ctr Ornithol &amp; Nat Hist, Hyderabad 500017, Andhra Pradesh, India; [Sudhakar, C. Reddy] Natl Remote Sensing Ctr, Forestry &amp; Ecol Div, Hyderabad 500625, Andhra Pradesh, India; [Manikya, P. Reddy] Osmania Univ, Dept Bot, Hyderabad 500007, Andhra Pradesh, India</t>
  </si>
  <si>
    <t>Salim Ali Center for Ornithology &amp; Natural History (SACON); Department of Space (DoS), Government of India; Indian Space Research Organisation (ISRO); National Remote Sensing Centre (NRSC); Osmania University</t>
  </si>
  <si>
    <t>Chiranjibi, P (corresponding author), Salim Ali Ctr Ornithol &amp; Nat Hist, 12-13-588-B, Hyderabad 500017, Andhra Pradesh, India.</t>
  </si>
  <si>
    <t>chiranjibipattanaik@gmail.com</t>
  </si>
  <si>
    <t>Chintala, Sudhakar Reddy/C-4049-2015</t>
  </si>
  <si>
    <t>Chintala, Sudhakar Reddy/0000-0002-5979-1412</t>
  </si>
  <si>
    <t>Department of Biotechnology (DBT) and Department of Space (DOS), Government of India</t>
  </si>
  <si>
    <t>Department of Biotechnology (DBT) and Department of Space (DOS), Government of India(Department of Biotechnology (DBT) IndiaDepartment of Space (DoS), Government of India)</t>
  </si>
  <si>
    <t>The authors are grateful to Director, NRSA, Hyderabad, and Head, SACON, Deccan Regional Station, Hyderabad for their encouragement and providing facilities to carry out the work. The study was undertaken with financial assistance from the Department of Biotechnology (DBT) and Department of Space (DOS), Government of India in form of a research project on Biodiversity characterization at landscape level in Eastern Ghats of India.</t>
  </si>
  <si>
    <t>10.1007/s11442-011-0837-6</t>
  </si>
  <si>
    <t>703NP</t>
  </si>
  <si>
    <t>WOS:000285985800013</t>
  </si>
  <si>
    <t>Pasha, SV; Behera, MD; Mahawar, SK; Barik, SK; Joshi, SR</t>
  </si>
  <si>
    <t>Pasha, S. V.; Behera, Mukunda D.; Mahawar, S. K.; Barik, S. K.; Joshi, S. R.</t>
  </si>
  <si>
    <t>TROPICAL ECOLOGY</t>
  </si>
  <si>
    <t>Jhum hotspot; Jhum land dynamics; Species composition; Vegetation indices</t>
  </si>
  <si>
    <t>BURN AGRICULTURE; AREAS</t>
  </si>
  <si>
    <t>Shifting cultivation (Jhum) has been a threat to the rich biodiversity of Northeastern India (NEI). Here, we applied an integrated spectral enhancement technique to map the shifting cultivation fallow/ current jhum area in NEI for 2014, 2016 and 2018 using Landsat-8 data. The natural vegetation in shifting cultivation fallow land was analyzed through field sampling. Manipur state occupied the highest shifting cultivation fallow area of 1528.5 km(2) (2014), and it was minimum in Tripura state with 178.3 km(2) (2018). The shifting cultivation fallow hotspot map was derived to identify the repetitive patches, in which the state of Arunachal Pradesh topped with 24.9% and Tripura with lowest 3.6%. Field sampling revealed dominance of four invasive species viz., Mikania micrantha, Ageratum houstonianum, Chromolaena odorata and Ageratina adenophora. We provided an insight into shifting cultivation fallow dynamics and vegetation composition in less than 3 year old shifting cultivation fallow lands. The study using remote sensing approach revealed that the fragile ecosystems of NEI are still facing the threat from shifting cultivation, though the trend has started declining. The generated database can be regularly updated in future using recent Sentinel-2 data with higher spatial and temporal resolution that would enhance the quality of land use management plans.</t>
  </si>
  <si>
    <t>[Pasha, S. V.; Behera, Mukunda D.; Mahawar, S. K.] Indian Inst Technol Kharagpur, Ctr Oceans Rivers Atmosphere &amp; Land Sci CORAL, Kharagpur, W Bengal, India; [Barik, S. K.; Joshi, S. R.] CSIR, Natl Bot Res Inst, Lucknow, Uttar Pradesh, India; [Barik, S. K.; Joshi, S. R.] North Eastern Hill Univ, Dept Biotechnol &amp; Bioinformat, Shillong, Meghalaya, India</t>
  </si>
  <si>
    <t>Indian Institute of Technology System (IIT System); Indian Institute of Technology (IIT) - Kharagpur; Council of Scientific &amp; Industrial Research (CSIR) - India; CSIR - National Botanical Research Institute (NBRI); North Eastern Hill University</t>
  </si>
  <si>
    <t>Behera, MD (corresponding author), Indian Inst Technol Kharagpur, Ctr Oceans Rivers Atmosphere &amp; Land Sci CORAL, Kharagpur, W Bengal, India.</t>
  </si>
  <si>
    <t>mdbehera@coral.iitkgp.ac.in</t>
  </si>
  <si>
    <t>; Barik, Saroj Kanta/IXW-8353-2023; Shaik, Vazeed Pasha/HOF-1362-2023</t>
  </si>
  <si>
    <t>Behera, Mukunda/0000-0002-9976-6270; Barik, Saroj Kanta/0000-0002-1795-9539; Shaik, Vazeed Pasha/0000-0003-4877-9482</t>
  </si>
  <si>
    <t>National Mission on Himalayan Studies (NMHS) under the Ministry of Environment, Forest &amp; Climate Change (MoEF CC)</t>
  </si>
  <si>
    <t>We would like to thank National Mission on Himalayan Studies (NMHS) sponsored project under the Ministry of Environment, Forest &amp; Climate Change (MoEF &amp; CC) for financial support. Authors are grateful to North Eastern Hill University (NEHU), Shillong, Meghalaya, Tripura State Forest Department, Central University of Nagaland, Mizoram and Manipur for support during field sampling.</t>
  </si>
  <si>
    <t>SCIENTIFIC PUBLISHERS</t>
  </si>
  <si>
    <t>JODHPUR</t>
  </si>
  <si>
    <t>5A, NEW PALI RD, JODHPUR, RAJASTHAN 342 001, INDIA</t>
  </si>
  <si>
    <t>0564-3295</t>
  </si>
  <si>
    <t>2661-8982</t>
  </si>
  <si>
    <t>TROP ECOL</t>
  </si>
  <si>
    <t>Trop. Ecol.</t>
  </si>
  <si>
    <t>10.1007/s42965-020-00062-0</t>
  </si>
  <si>
    <t>LR4RW</t>
  </si>
  <si>
    <t>WOS:000535685100008</t>
  </si>
  <si>
    <t>Seidel, D; Hähn, N; Annighöfer, P; Benten, A; Vor, T; Ammer, C</t>
  </si>
  <si>
    <t>Seidel, Dominik; Haehn, Nalise; Annighoefer, Peter; Benten, Anke; Vor, Torsten; Ammer, Christian</t>
  </si>
  <si>
    <t>TOF; Roe deer; Landscape; Vehicle collision; AVC; Accident; KDE</t>
  </si>
  <si>
    <t>KERNEL DENSITY-ESTIMATION; COLLISIONS; MANAGEMENT; PATTERNS; SWEDEN; SIZE</t>
  </si>
  <si>
    <t>Animal-vehicle collisions (AVCs) pose a serious threat to human and animal welfare, and result in increasing costs for society. Mitigation efforts have been in the focus of research for decades but have revealed only few generalities on where and why AVCs occur. Uncertainty therefore remains on how to make decisions regarding nature conservation, wildlife and transportation management. In our study, we used GPS data on almost 1000 AVCs between October 2014 and October 2016 involving roe deer (Capreolus capreolus L.) in the administrative district of Gottingen, Germany, to identify accident hotspots based on Kernel Density analysis. We then used information from a mapping campaign of trees outside forests (TOF), including hedges, bushes, groves, isolated trees and other non-forest vegetation to investigate whether TOF abundance is larger near accident hotspots when compared to areas showing no hotspots (assumed as reference area). We found that near hotspots, TOF are significantly more abundant than in the remaining reference area. We conclude that future transportation management should consider TOF management as a possible indicator for AVCs.</t>
  </si>
  <si>
    <t>[Seidel, Dominik; Haehn, Nalise; Annighoefer, Peter; Benten, Anke; Vor, Torsten; Ammer, Christian] Univ Gottingen, Fac Forest Sci, Dept Silviculture Temperate Zones, Busgenweg 1, D-37077 Gottingen, Germany</t>
  </si>
  <si>
    <t>University of Gottingen</t>
  </si>
  <si>
    <t>Seidel, D (corresponding author), Univ Gottingen, Fac Forest Sci, Dept Silviculture Temperate Zones, Busgenweg 1, D-37077 Gottingen, Germany.</t>
  </si>
  <si>
    <t>dseidel@gwdg.de</t>
  </si>
  <si>
    <t>Annighöfer, Peter/AAS-8418-2021; Ammer, Christian/ABG-4629-2020; Seidel, Dominik/M-1122-2013; Benten, Anke/MIN-4732-2025</t>
  </si>
  <si>
    <t>Seidel, Dominik/0000-0003-4131-9424; Hahn, Nalise/0000-0001-6268-3693; Benten, Anke/0000-0001-7523-3448</t>
  </si>
  <si>
    <t>German Insurers Accident Research (UDV)</t>
  </si>
  <si>
    <t>The wildlife collision data used in this study was collected within a project funded by the German Insurers Accident Research (UDV). We are grateful for getting access to this data.</t>
  </si>
  <si>
    <t>10.1016/j.apgeog.2018.02.015</t>
  </si>
  <si>
    <t>GD8PT</t>
  </si>
  <si>
    <t>WOS:000430775300007</t>
  </si>
  <si>
    <t>Grigolato, S; Mologni, O; Proto, AR; Zimbalatti, G; Cavalli, R</t>
  </si>
  <si>
    <t>Grigolato, Stefano; Mologni, Omar; Proto, Andrea Rosario; Zimbalatti, Giuseppe; Cavalli, Raffaele</t>
  </si>
  <si>
    <t>Noise propagation; Helicopter logging; Firewood; Environmentally sensitive area; GIS modelling</t>
  </si>
  <si>
    <t>FOREST OPERATIONS; ROAD NETWORK; SPOTTED OWLS; CONSERVATION; RECREATION; MANAGEMENT; WILDLIFE; IMPACTS; SOUND</t>
  </si>
  <si>
    <t>The use of helicopter rises discussion about environmental noise propagation especially when it operates in proximity of environmentally sensitive areas (ESAs) for an extended period because of its potential implications in wildlife behaviours. In order to support decisions on helicopter logging operation management in proximity of ESAs, this study focused on (i) analysing the noise spectrum of a light-lift helicopter during logging operations and on (ii) assessing the noise propagation in the surrounding environments. This study investigated a helicopter logging operation for wood fuel extraction in the eastern part of the Italian Alps. The potential disturbance area covered for the entire helicopter logging operation was evaluated by a specific GIS application according to hearing sensitivity of the most sensitive wildlife species in the study area (different strigiform species). The noise level at the ground appeared to be affected by the location regardless both the use of equivalent continuous sound pressures level dB(A) (LAeq) and the single-event level (SEL) noise metrics. The lowest values were recorded when the helicopter was flown over the sound meter level located under the forest canopy, while the highest was recorded when the helicopter was unhooking the loads at the landing. The GIS application highlighted the consistent of the exceeded noise area (weighted to strigiform hearing range and sensitivity) for the lower frequency bands (0.016-0.250 kHz). A more restricted exceeded noise area concerned instead the most sensitive frequency bands for the strigiform (1-2 kHz).</t>
  </si>
  <si>
    <t>[Grigolato, Stefano; Mologni, Omar; Cavalli, Raffaele] Univ Padua, Dept Land Environm Agr &amp; Forestry, Viale Univ 16, I-35040 Padua, Italy; [Proto, Andrea Rosario; Zimbalatti, Giuseppe] Univ Reggio Calabria, Dept Agr, I-89122 Reggio Di Calabria, Italy</t>
  </si>
  <si>
    <t>University of Padua; Universita Mediterranea di Reggio Calabria</t>
  </si>
  <si>
    <t>Grigolato, S (corresponding author), Univ Padua, Dept Land Environm Agr &amp; Forestry, Viale Univ 16, I-35040 Padua, Italy.</t>
  </si>
  <si>
    <t>stefano.grigolato@unipd.it; omar.mologni@phd.unipd.it; andrea.proto@unirc.it; g.zimbalatti@unirc.it; raffaele.cavalli@unipd.it</t>
  </si>
  <si>
    <t>Cavalli, Raffaele/AAM-6104-2020; Grigolato, Stefano/C-2697-2014; Proto, Anea R/A-7256-2012; Mologni, Omar/B-3664-2016</t>
  </si>
  <si>
    <t>Grigolato, Stefano/0000-0002-2089-3892; Proto, Anea R/0000-0003-4630-8986; Mologni, Omar/0000-0002-0888-0028</t>
  </si>
  <si>
    <t>10.1007/s10661-018-6464-2</t>
  </si>
  <si>
    <t>FU8OT</t>
  </si>
  <si>
    <t>WOS:000424113700034</t>
  </si>
  <si>
    <t>Diwediga, B; Agodzo, S; Wala, K; Le, QB</t>
  </si>
  <si>
    <t>Diwediga, Badabate; Agodzo, Sampson; Wala, Kperkouma; Le Quang Bao</t>
  </si>
  <si>
    <t>land cover dynamics; spatio-temporal patterns; swap change; landscape fragmentation; protected areas; Mo River Basin; Togo</t>
  </si>
  <si>
    <t>LAND-COVER CHANGES; PROTECTED AREAS; DRIVING FORCES; FOREST COVER; ECOSYSTEM SERVICES; CHANGE TRAJECTORIES; USE/COVER CHANGE; CLIMATE-CHANGE; SRI-LANKA; DEFORESTATION</t>
  </si>
  <si>
    <t>In this study, historical landscape dynamics were investigated to (i) map the land use/cover types for the years 1972, 1987, 2000 and 2014; (ii) determine the types and processes of landscape dynamics; and (iii) assess the landscape fragmentation and habitat loss over time. Supervised classification of multi-temporal Landsat images was used through a pixel-based approach. Post-classification methods included systematic and random change detection, trajectories analysis and landscape fragmentation assessment. The overall accuracies (and Kappa statistics) were of 68.86% (0.63), 91.32% (0.79), 90.66% (0.88) and 91.88% (0.89) for 1972, 1987, 2000 and 2014, respectively. The spatio-temporal analyses indicated that forests, woodlands and savannahs dominated the landscapes during the four dates, though constant areal decreases were observed. The most important dynamic process was the decline of woodlands with an average annual net loss rate of -2%. Meanwhile, the most important land transformation occurred during the transition 2000-2014, due to anthropogenic pressures. Though the most important loss of vegetation greenness occurred in the unprotected areas, the overall analyses of change indicated a declining trend of land cover quality and an increasing landscape fragmentation. Sustainable conservation strategies should be promoted while focusing restoration attention on degraded lands and fragmented ecosystems in order to support rural livelihood and biodiversity conservation.</t>
  </si>
  <si>
    <t>[Diwediga, Badabate] Kwame Nkrumah Univ Sci &amp; Technol, WASCAL Grad Res Program Climate Change &amp; Land Use, Dept Civil Engn, Kumasi, Ghana; [Agodzo, Sampson] Kwame Nkrumah Univ Sci &amp; Technol, Dept Agr Engn, Kumasi, Ghana; [Diwediga, Badabate; Wala, Kperkouma] Univ Lome, Lab Bot &amp; Plant Ecol, Lome, Togo; [Le Quang Bao] ICARDA, CGIAR Res Program Dryland Syst CRP DS, Amman 11195, Jordan</t>
  </si>
  <si>
    <t>Kwame Nkrumah University Science &amp; Technology; Kwame Nkrumah University Science &amp; Technology; University of Lome; CGIAR; International Center for Agricultural Research in the Dry Areas (ICARDA)</t>
  </si>
  <si>
    <t>Diwediga, B (corresponding author), Kwame Nkrumah Univ Sci &amp; Technol, WASCAL Grad Res Program Climate Change &amp; Land Use, Dept Civil Engn, Kumasi, Ghana.</t>
  </si>
  <si>
    <t>diwedigaba@gmail.com</t>
  </si>
  <si>
    <t>Diwediga, Badabate/AAK-9995-2020; Le, Quang Bao/AAG-5174-2019; Agodzo, Samspon/JNR-9873-2023</t>
  </si>
  <si>
    <t>Le, Quang Bao/0000-0001-8514-1088;</t>
  </si>
  <si>
    <t>German Federal Ministry for Education and Research (BMBF)</t>
  </si>
  <si>
    <t>German Federal Ministry for Education and Research (BMBF)(Federal Ministry of Education &amp; Research (BMBF))</t>
  </si>
  <si>
    <t>This study is part of a PhD research performed within the WASCAL (West African Science Service Center on Climate Change and Adapted Land Use) program on Climate Change and Land Use, funded by the German Federal Ministry for Education and Research (BMBF) and hosted by the Kwame Nkrumah University of Science and Technology of Kumasi, Ghana. We are grateful to the Laboratory of Botany and Plant Ecology (University of Lome, Togo) for fieldwork support. We acknowledge the contribution of CGIAR-DS through the funding to Quang Bao Le. May the soul of the late supervisor (Dr E. Ofori) of the first author rest in peace. Thanks to the unknown reviewers for their invaluable contributions to the work.y</t>
  </si>
  <si>
    <t>10.1007/s11442-017-1394-4</t>
  </si>
  <si>
    <t>EQ6RQ</t>
  </si>
  <si>
    <t>WOS:000398211200005</t>
  </si>
  <si>
    <t>Pullanikkatil, D; Palamuleni, L; Ruhiiga, T</t>
  </si>
  <si>
    <t>Pullanikkatil, Deepa; Palamuleni, Lobina; Ruhiiga, Tabukeli</t>
  </si>
  <si>
    <t>DPSIR framework; Land use mapping; Livelihoods; Remote sensing; Rural; Zomba</t>
  </si>
  <si>
    <t>ECOSYSTEM SERVICES; WATER-QUALITY; BIODIVERSITY</t>
  </si>
  <si>
    <t>The provisioning ecosystem services of Likangala River catchment located in Southern Malawi provides food, construction materials, fuel-wood, timber, ornamental products and water for its inhabitants. However, poor land use practices, deforestation and exploitation of natural resources by local communities have negative impact on the ecosystem services. The aim of this study was to evaluate land cover changes from 1984 to 2013 and how the changes may affect provisioning ecosystem services. Remote sensing techniques were used to inventory temporal changes of land use changes in the catchment and the Drivers, Pressures, States, Impacts, Responses (DPSIR) framework was used to explain the complexity of such changes. The analysis of land use maps indicate that deforestation, river bank cultivation, pollution and over extraction of natural resources were threatening sustainability of provisioning ecosystem services in Likangala River catchment. Land use/land cover change detection between 1984 and 2013 revealed that woodlands have decline by 88.5%, shrublands have declined by 16.7%, agricultural areas have increased by 443% and urban areas increased by 143%. The study revealed that the main drivers of change in this catchment are the demand for agricultural land as population grows. The pressures identified are expansion of agricultural land, construction materials, medicinal plants, wood and waste generation. The impacts include declining provisioning ecosystem services, water borne diseases and biodiversity loss through loss of habitats from land use and land cover change. As a response, the study noted that reducing deforestation, enforcement of buffers along river banks, waste management for improving water quality, improving sanitation, providing civic education to communities could assist in improving the state of the catchment. The study highlights the integration of remote sensing techniques for land cover change detection and the use of focus group discussions to capture the understanding and responses of the community to ecosystem degradation in order to achieve the outcome of an ecologically sustainable society. (C) 2016 Elsevier Ltd. All rights reserved.</t>
  </si>
  <si>
    <t>[Pullanikkatil, Deepa; Palamuleni, Lobina; Ruhiiga, Tabukeli] North West Univ, Dept Geog &amp; Environm Sci, Mafikeng Campus, Mmabatho, South Africa</t>
  </si>
  <si>
    <t>Pullanikkatil, D (corresponding author), North West Univ, Dept Geog &amp; Environm Sci, Mafikeng Campus, Mmabatho, South Africa.</t>
  </si>
  <si>
    <t>d_pullani@yahoo.com</t>
  </si>
  <si>
    <t>; Palamuleni, Lobina/Q-2577-2019</t>
  </si>
  <si>
    <t>Pullanikkatil, Deepa/0000-0003-1685-4548;</t>
  </si>
  <si>
    <t>North West University</t>
  </si>
  <si>
    <t>Jonathan Gwaligwali from Chancellor college and Dr.John Wilson is thanked. PhD bursary of North West University helped provide funds for this study.</t>
  </si>
  <si>
    <t>10.1016/j.apgeog.2016.04.005</t>
  </si>
  <si>
    <t>DO4CM</t>
  </si>
  <si>
    <t>WOS:000377729400002</t>
  </si>
  <si>
    <t>Mucova, SAR; Leal, W; Azeiteiro, UM; Pereira, MJ</t>
  </si>
  <si>
    <t>Rui Mucova, Serafino Afonso; Leal Filho, Walter; Azeiteiro, Ulisses Miranda; Pereira, Mario Jorge</t>
  </si>
  <si>
    <t>Conservation biodiversity; Land use and land cover; Landsat; Quirimbas National Park</t>
  </si>
  <si>
    <t>ATMOSPHERIC CORRECTION; BRAZILIAN CERRADO; USE/COVER CHANGES; USE/LAND COVER; SATELLITE; AREA; GIS; CLASSIFICATION; DELTA; PREDICTION</t>
  </si>
  <si>
    <t>National parks are established with the aim of guaranteeing and protecting natural biodiversity and ecosystems, in a multi-level and integrated approach. Biodiversity conservation, management of protected areas and sustainable development with strategies targeting rural populations are current challenges in Africa, in the context of exponential human population growth, overexploitation of natural resources, forest destruction and climate change. The Quirimbas National Park (QNP) has been suffering from severe and constant threats originating from different sources and changes in land use and land cover. These changes, and in the context of global climate change, pose permanent challenges to the managers of this conservation area of Mozambique. The research aimed to analyze the historical and recent LULC over the last 38 years, to provide consistent and scientific information for decision making on biodiversity conservation approaches; to identify the main changes and their impacts on the ecosystem to implement/develop appropriate mitigation strategies. A combined and integrated methodological approach has been developed from satellite imagery analyzes of Landsat 2 and 5 MSS (Multispectral Scanner); Landsat 5 TM (Thematic Mapper), Landsat 8 OLI (Operational Land Imager), and fieldwork (field observation and communities and QNP staff meetings). The results show that the overall map classification obtained was between very good and excellent: 1979 - Kappa 71.84%, Overall Accuracy 86.55%; 1989 - Kappa 83.49%, Overall Accuracy 93.01%; 1999 - Kappa 85.03%, Overall Accuracy 90.07%; 2009 - Kappa 79.57%, Overall Accuracy 86.42%; 2017 - Kappa 80.24%, Overall Accuracy 86.95%. For 38 years, the QNP lost about 301,761.7ha, corresponding to 41.67% of the total QNP coverage land. The main causes are associated with intensive agriculture, human settlements, population growth, illegal exploitation of forest resources and miners inside of the Quirimbas National Park. The impact extends from territory reduction and fragmentation to vegetation and animal biodiversity loss, human-wildlife conflicts, habitat connectivity loss, species isolation and scaring, and basic resources scarcity for the community's livelihoods. (C) 2018 The Authors. Published by Elsevier B.V.</t>
  </si>
  <si>
    <t>[Rui Mucova, Serafino Afonso] Lurio Univ, Fac Nat Sci, POB 958, Pemba, Mozambique; [Rui Mucova, Serafino Afonso; Azeiteiro, Ulisses Miranda; Pereira, Mario Jorge] Univ Aveiro, Dept Biol, Aveiro, Portugal; [Rui Mucova, Serafino Afonso; Azeiteiro, Ulisses Miranda; Pereira, Mario Jorge] Univ Aveiro, CESAM Ctr Environm &amp; Marine Studies, Aveiro, Portugal; [Leal Filho, Walter] Hamburg Univ Appl Sci, Hamburg, Germany; [Leal Filho, Walter] Manchester Metropolitan Univ, Sch Sci &amp; Environm, Manchester, Lancs, England</t>
  </si>
  <si>
    <t>Universidade de Aveiro; Universidade de Aveiro; Hochschule Angewandte Wissenschaft Hamburg; Manchester Metropolitan University</t>
  </si>
  <si>
    <t>Mucova, SAR (corresponding author), Lurio Univ, Fac Nat Sci, POB 958, Pemba, Mozambique.</t>
  </si>
  <si>
    <t>smucova@gmail.com</t>
  </si>
  <si>
    <t>Leal Filho, Walter/ACX-9082-2022; Azeiteiro, Ulisses/C-5933-2008</t>
  </si>
  <si>
    <t>Leal Filho, Walter/0000-0002-1241-5225; Azeiteiro, Ulisses/0000-0002-5252-1700; Pereira, Mário J/0000-0003-1826-391X; Mucova, Serafino AR/0000-0001-7637-0671</t>
  </si>
  <si>
    <t>e00447</t>
  </si>
  <si>
    <t>10.1016/j.gecco.2018.e00447</t>
  </si>
  <si>
    <t>HG5CV</t>
  </si>
  <si>
    <t>WOS:000454994500007</t>
  </si>
  <si>
    <t>Talukdar, NR; Ahmed, R; Choudhury, P; Barbhuiya, NA</t>
  </si>
  <si>
    <t>Talukdar, Nazimur Rahman; Ahmed, Raihan; Choudhury, Parthankar; Barbhuiya, Nazrina Akter</t>
  </si>
  <si>
    <t>Edge; Fragmentation; Forest health; Management; Northeast India; Thematic map</t>
  </si>
  <si>
    <t>LAND-COVER-CHANGE; LANDSCAPE FRAGMENTATION; HABITAT FRAGMENTATION; ECOSYSTEM FRAGMENTATION; EXTINCTION RISK; TIGER RESERVE; NATIONAL-PARK; LIFE-HISTORY; CLIMATE; RESPONSES</t>
  </si>
  <si>
    <t>Diverse anthropogenic pressure has led to land use change in the form of decline of vegetation and fragmented habitats. With rising anthropogenic threats, many species are restricted to fragmented and degraded habitats and declining biodiversity. The aim of the study was to understand the forest health status in Patharia Hills Reserve Forest (RF) using land use land cover (LULC) trajectories along with forest cover and fragmentation approach. Landsat TM and OLI images for three particular days of each of the year 1988, 1997 and 2016 were used to assess spatio-temporal variation in forest cover. Fragmentation model was used to examine the patterns of forest fragmentation in the Patharia Hills RF during the study period. The results indicated an overall increase in forest cover (10.52%) along with rise in human settlements and agriculture, while decrease in grasslands between 1988 and 2016. However, the fragmentation analysis revealed that the health of the RF has been deteriorating. Increasing edge effects with declining core areas were the prime indicators of disturbances on the forest. The eastern border of the RF is under tremendous influence of anthropogenic activities and most of the land use land cover change was observed in that side. Human settlements, agriculture, and developmental activities were main contributors to forest fragmentation at that side of the RF, while better protection at the international border area was the major factor to increase forested areas at the western part of the RF. Forest fragmentation has a large impact on biodiversity and increase risks for survival for many species, especially primate and the migratory elephant would suffer more in the study area. Fragmentation habitats would lead to increasing Human-Elephant Conflict (HEC). To control the habitat fragmentation, proper management strategies should be prepared which include afforestation in the perforated areas, reduce anthropogenic pressures, and demarcate the RF for its better protection.</t>
  </si>
  <si>
    <t>[Talukdar, Nazimur Rahman; Choudhury, Parthankar] Assam Univ, Dept Ecol &amp; Environm Sci, Wildlife Res &amp; Conservat Lab, Silchar 788011, India; [Talukdar, Nazimur Rahman; Barbhuiya, Nazrina Akter] Ctr Biodivers &amp; Climate Change Res, Udhayan 788155, Haikandi, India; [Ahmed, Raihan] Jamia Millia Islamia, Dept Geog, Fac Nat Sci, New Delhi 110025, India</t>
  </si>
  <si>
    <t>Assam University; Jamia Millia Islamia</t>
  </si>
  <si>
    <t>Choudhury, P (corresponding author), Assam Univ, Dept Ecol &amp; Environm Sci, Wildlife Res &amp; Conservat Lab, Silchar 788011, India.</t>
  </si>
  <si>
    <t>parthankar@rediffmail.com</t>
  </si>
  <si>
    <t>Ahmed, Raihan/AHA-4929-2022; RAHMAN TALUKDAR, NAZIMUR/I-5825-2018; Talukdar, Nazimur Rahman/I-5825-2018</t>
  </si>
  <si>
    <t>RAHMAN TALUKDAR, NAZIMUR/0000-0002-0667-460X;</t>
  </si>
  <si>
    <t>10.1007/s40808-019-00652-5</t>
  </si>
  <si>
    <t>KK9SD</t>
  </si>
  <si>
    <t>WOS:000513073600003</t>
  </si>
  <si>
    <t>Berthon, K; Esperon-Rodriguez, M; Beaumont, LJ; Carnegie, AJ; Leishman, MR</t>
  </si>
  <si>
    <t>Berthon, K.; Esperon-Rodriguez, M.; Beaumont, L. J.; Carnegie, A. J.; Leishman, M. R.</t>
  </si>
  <si>
    <t>Invasive species; Maxent; Myrtaceae; Pathogen; Plant disease; Species distribution models</t>
  </si>
  <si>
    <t>PUCCINIA-PSIDII; EUCALYPTUS RUST; GUAVA RUST; DISEASE; PATHOGEN; DISTRIBUTIONS; PREDICTION; MYRTACEAE; FORESTS; MODELS</t>
  </si>
  <si>
    <t>Myrtle rust (Austropuccinia psidii) is an invasive rust fungus that attacks species of the Myrtaceae family, one of the most dominant plant families in Australia. The potential extent of myrtle rust affected areas and the high number of potential host species make a species prioritisation scheme essential to direct conservation and management efforts. This study builds on previous work by: compiling an up-to-date list of myrtle rust occurrences and host species; mapping current and future climate suitability for myrtle rust; and identifying host species at risk based on range overlaps and susceptibility data. Suitable habitat for myrtle rust is restricted to eastern and southern coastal areas of Australia, with minor areas in the Northern Territory and Western Australia. This coastal distribution remains present under future climates, with some extension in inland New South Wales and Tasmania, and a reduction of suitable habitat in northern Queensland and Western Australia. Contrary to previous studies, our results indicate that south-west Western Australia has low climatic suitability for myrtle rust. Under current climate, 1285 Myrtaceae species are at risk of exposure to myrtle rust. This number decreases to 1224 species under future climate. We divide species exposed to myrtle rust into three priority categories, giving highest priority to species with at least 70% of their range overlapping regions climatically suitable for myrtle rust under current or future climates. We find 23 species are of high priority for conservation action. Finally, we provide a series of recommendations for management of species within each priority category.</t>
  </si>
  <si>
    <t>[Berthon, K.; Esperon-Rodriguez, M.; Beaumont, L. J.; Leishman, M. R.] Macquarie Univ, Dept Biol Sci, N Ryde, NSW, Australia; [Carnegie, A. J.] NSW Forest Sci, NSW Dept Primary Ind, Parramatta, Australia</t>
  </si>
  <si>
    <t>Macquarie University; Department of Primary Industries &amp; Regional Development NSW</t>
  </si>
  <si>
    <t>Berthon, K (corresponding author), Macquarie Univ, Room 103 Bldg E8B,Balaclava Rd, N Ryde, NSW 2113, Australia.</t>
  </si>
  <si>
    <t>katherine.berthon@mq.edu.au</t>
  </si>
  <si>
    <t>Beaumont, Linda/D-5499-2012; Carnegie, Angus/H-6153-2015; Leishman, Michelle/AAU-4102-2020; Esperón-Rodríguez, Manuel/H-3668-2019</t>
  </si>
  <si>
    <t>Beaumont, Linda/0000-0001-6307-1680; Berthon, Katherine/0000-0001-8224-2828; Carnegie, Angus/0000-0002-6854-4974; Leishman, Michelle/0000-0003-4830-5797; Esperón-Rodríguez, Manuel/0000-0003-3649-2134</t>
  </si>
  <si>
    <t>New South Wales Government through its Environmental Trust [2014 RD 0073]</t>
  </si>
  <si>
    <t>New South Wales Government through its Environmental Trust</t>
  </si>
  <si>
    <t>We would like to thank the state Chief Plant Protection Officers for access to their myrtle rust location data, and Phil Craven, Peter Entwistle, Amy Ross-Davies and colleagues, Geoff Pegg, Tim Rudman and David Smith for their contribution of myrtle rust records to our dataset. A special thanks to Bob Malcinson for keeping us up to date with his inspiring enthusiasm and assistance in data collection. We also thank three anonymous reviewers, whose comments led to substantial improvements in the manuscript. This project has been assisted by the New South Wales Government through its Environmental Trust [grant number 2014 RD 0073].</t>
  </si>
  <si>
    <t>10.1016/j.biocon.2017.11.035</t>
  </si>
  <si>
    <t>WOS:000424177400019</t>
  </si>
  <si>
    <t>Mach, ME; Wedding, LM; Reiter, SM; Micheli, F; Fujita, RM; Martone, RG</t>
  </si>
  <si>
    <t>Mach, Megan E.; Wedding, Lisa M.; Reiter, Sarah M.; Micheli, Fiorenza; Fujita, Rod M.; Martone, Rebecca G.</t>
  </si>
  <si>
    <t>Cumulative impacts; Multiple stressors; Coasts and beaches; Marine protected area; Marine reserves</t>
  </si>
  <si>
    <t>OCEAN ACIDIFICATION; CLIMATE-CHANGE; CONSERVATION; STRESSORS</t>
  </si>
  <si>
    <t>In response to concerns about human impacts to coastal ecosystems, conservationists and practitioners are increasingly turning to networks of marine protected areas (MPAs). Although MPAs manage for fishing pressure, many species and habitats in MPAs remain exposed to a multitude of stressors, including stressors from global climate change and regional land-and ocean-based activities. To support the adaptive management of MPAs that are subject to multiple interacting stressors, coastal managers need to understand the potential impacts from other single and multiple stressors. To demonstrate how this can be done, we quantify and map cumulative impacts resulting from multiple stressors to California's network of MPAs, using a widely available cumulative impacts Mapping tool. Among individual stressors, those related to climate, including ocean acidification, UV radiation increases, and SST anomalies, were found to have the most intense impacts, especially on surface waters and in the rocky intertidal. Climate stressors are challenging to limit at the local MPA scale, but intense land-and ocean based impacts that were found to affect a majority of MPAs, such as sediment increases, invasive species, organic pollutants and pollution from shipping and ports, may be more easily regulated at a regional or local scale. This is especially relevant for South and Central coast MPAs where these impacts are the greatest on beaches, tidal flats, and coastal marshes. Accounting for curnulative impacts from these and other stressors when developing monitoring and management plans in California and across the world, would help to improve the efficacy of MPAs. (C) 2016 Elsevier Ltd. All rights reserved.</t>
  </si>
  <si>
    <t>[Mach, Megan E.; Wedding, Lisa M.; Reiter, Sarah M.; Martone, Rebecca G.] Stanford Univ, Ctr Ocean Solut, 99 Pacific St,Suite 555E, Monterey, CA 93940 USA; [Mach, Megan E.; Micheli, Fiorenza] Stanford Univ, Hopkins Marine Stn, 120 Ocean View Blvd, Pacific Grove, CA 93950 USA; [Fujita, Rod M.] Environm Def Fund, 123 Mission St 28, San Francisco, CA 94105 USA; [Reiter, Sarah M.] Monterey Bay Aquarium, 886 Cannery Row, Pacific Grove, CA 93940 USA</t>
  </si>
  <si>
    <t>Stanford University; Stanford University; Environmental Defense Fund; Monterey Bay Aquarium Research Institute</t>
  </si>
  <si>
    <t>Mach, ME (corresponding author), Stanford Univ, Hopkins Marine Stn, 120 Ocean View Blvd, Pacific Grove, CA 93950 USA.</t>
  </si>
  <si>
    <t>mmach@stanford.edu</t>
  </si>
  <si>
    <t>; Wedding, Lisa/GRY-3972-2022</t>
  </si>
  <si>
    <t>Micheli, Fiorenza/0000-0002-6865-1438; Mach, Megan/0000-0003-2697-1254;</t>
  </si>
  <si>
    <t>Resources Legacy Fund (RLF)</t>
  </si>
  <si>
    <t>Resources Legacy Fund (RLF) for prompting and funding this work as part of a larger project looking at policies that regulate these various cumulative impacts. Matt Armsby, JD (RLF), Dr. Mary Gleason (The Nature Conservancy), and Dr. Ben Halpern all provided key feedback in the development of this manuscript.</t>
  </si>
  <si>
    <t>10.1016/j.ocecoaman.2016.11.028</t>
  </si>
  <si>
    <t>EK7AF</t>
  </si>
  <si>
    <t>WOS:000394077000001</t>
  </si>
  <si>
    <t>Röder, A; Pröpper, M; Stellmes, M; Schneibel, A; Hill, J</t>
  </si>
  <si>
    <t>Roeder, Achim; Proepper, Michael; Stellmes, Marion; Schneibel, Anne; Hill, Joachim</t>
  </si>
  <si>
    <t>Remote sensing; Ethnography; Land use change; Cross-border comparison; Angola; Namibia</t>
  </si>
  <si>
    <t>SUPPORT VECTOR MACHINES; DRIVING FORCES; DEFORESTATION; MASHARE</t>
  </si>
  <si>
    <t>The Okavango catchment is a hot spot of accelerating land use change. In particular, climate predictions, demographic developments and a growing utilization of ecosystem services and functions are expected to increase pressure on resources and land. Land use conflicts, the sustenance of precarious livelihoods, deforestation of woodland savannahs, upstream-downstream water issues and human-wildlife conflicts are among the processes that are characteristic of policy and management challenges in the region. In the Eastern and Western Kavango regions of Namibia and the Cuando-Cubango province of Angola, a unique cross-border situation exists that allows assessing how the combination of local traditions, regional land management and national policies determines spatial patterns of land use and land cover transformation processes. To map major land use types and change processes we used a set of multi-temporal Landsat-5 TM and Landsat-7 ETM+ data sets, support vector machine (SVM) classification and iterative spectral mixture analysis (ISMA) on images covering the period from 1990 to 2010. Integrating satellite imagery with literature reviews, interviews, census and household survey data, we assessed the contrasting development of resource utilization on both sides of the Okavango River. We investigated if and how policies and regulations at different levels drive land use decisions, and how these decisions manifest spatially. We found a strong and interconnected urban growth on both sides of the river. The area around Rundu has constantly been evolving to become Namibia's second largest city, also functioning as a hub of development and transborder commerce with opposing Calai. This trend was found to affect adjacent settlement areas and cause widespread conversion of woodland savannahs to agricultural land or their utilization for timber extraction. The conversion of woodland savannah to arable land was by far the dominant land use change process on both sides of the river, with a total conversion area of 460 km(2) (Namibia) and 293 km(2) (Angola) observed during the observation period. Strong spatial change gradients occurred in relation to determining factors, such as accessibility, proximity to water, urban centres, etc., while relations to settlements where less obvious. Assessing results by country illustrated the difference in land use intensity and resource consumption between Angola and Namibia, which relate directly to historical developments, with a long period of stability in Namibia standing opposed to the recent and ongoing recovery from civil war in Angola. These are added to by statutory and traditional policy frameworks, the national endowment with natural capital (e.g. oil, uranium, diamonds, zinc) and the integration into global markets, which strongly affects national economies of both countries at large. Underlying land use decisions were found to be largely driven by individualized perspectives on growth ideologies, consumerism and wealth-aspirations connected to globalization processes. However, at present the result of these perspectives is still mainly a small-structured conversion to rainfed agriculture as a component of subsistence strategies of local livelihoods, and thus stands opposed to other regions of the world, where change processes are much more driven by large companies or follow national regulations and result in more intensive uses. (C) 2016 Elsevier Ltd. All rights reserved.</t>
  </si>
  <si>
    <t>[Roeder, Achim; Stellmes, Marion; Schneibel, Anne; Hill, Joachim] Univ Trier, Dept Environm Remote Sensing &amp; Geoinformat, Campus 2, D-54286 Trier, Germany; [Proepper, Michael] Univ Hamburg, Inst Social &amp; Cultural Anthropol, Martinistr 52, D-20146 Hamburg, Germany</t>
  </si>
  <si>
    <t>Universitat Trier; University of Hamburg</t>
  </si>
  <si>
    <t>Röder, A (corresponding author), Univ Trier, Dept Environm Remote Sensing &amp; Geoinformat, Campus 2, D-54286 Trier, Germany.</t>
  </si>
  <si>
    <t>roeder@uni-trier.de</t>
  </si>
  <si>
    <t>; Stellmes, Marion/AAC-9909-2019</t>
  </si>
  <si>
    <t>Röder, Achim/0000-0002-2746-6607; Stellmes, Marion/0000-0001-7325-6152</t>
  </si>
  <si>
    <t>German Federal Ministry of Education and Research (BMBF)</t>
  </si>
  <si>
    <t>German Federal Ministry of Education and Research (BMBF)(Federal Ministry of Education &amp; Research (BMBF))</t>
  </si>
  <si>
    <t>This study has been carried out in the frame of the Future Okavango project, which is funded by the German Federal Ministry of Education and Research (BMBF) under the Sustainable Land Management Programme. This support is gratefully acknowledged. The authors wish to thank Peter Scarth and Neil Flood (Queensland Department of Science, Information Technology, Innovation and the Arts, Australia) for support in Landsat data pre-processing, and two anonymous reviewers whose comments have greatly helped improve the manuscript.</t>
  </si>
  <si>
    <t>10.1016/j.landusepol.2014.08.020</t>
  </si>
  <si>
    <t>DI5OW</t>
  </si>
  <si>
    <t>WOS:000373549500011</t>
  </si>
  <si>
    <t>SUPPORT VECTOR MACHINES; DRIVING FORCES; TM/ETM PLUS; DEFORESTATION; MASHARE; BIODIVERSITY; INVESTMENTS; MANAGEMENT; TRADE; BASIN</t>
  </si>
  <si>
    <t>The Okavango catchment is a hot spot of accelerating land use change. In particular, climate predictions, demographic developments and a growing utilization of ecosystem services and functions are expected to increase pressure on resources and land. Land use conflicts, the sustenance of precarious livelihoods, deforestation of woodland savannahs, upstream-downstream water issues and human-wildlife conflicts are among the processes that are characteristic of policy and management challenges in the region. In the Eastern and Western Kavango regions of Namibia and the Cuando-Cubango province of Angola, a unique cross-border situation exists that allows assessing how the combination of local traditions, regional land management and national policies determines spatial patterns of land use and land cover transformation processes. To map major land use types and change processes we used a set of multi-temporal Landsat-5 TM and Landsat-7 ETM+ data sets, support vector machine (SVM) classification and iterative spectral mixture analysis (ISMA) on images covering the period from 1990 to 2010. Integrating satellite imagery with literature reviews, interviews, census and household survey data, we assessed the contrasting developrnent of resource utilization on both sides of the Okavango River. We investigated if and how policies and regulations at different levels drive land use decisions, and how these decisions manifest spatially. We found a strong and interconnected urban growth on both sides of the river. The area around Rundu has constantly been evolving to become Namibia's second largest city, also functioning as a hub of development and transborder commerce with opposing Calai. This trend was found to affect adjacent settlement areas and cause widespread conversion of woodland savannahs to agricultural land or their utilization for timber extraction. The conversion of woodland savannah to arable land was by far the dominant land use change process on both sides of the river, with a total conversion area of 460 km(2) (Namibia) and 293 km2 (Angola) observed during the observation period. Strong spatial change gradients occurred in relation to determining factors, such as accessibility, proximity to water, urban centres, etc., while relations to settlements where less obvious. Assessing results by country illustrated the difference in land use intensity and resource consumption between Angola and Namibia, which relate directly to historical developments, with a long period of stability in Namibia standing opposed to the recent and ongoing recovery from civil war in Angola. These are added to by statutory and traditional policy frameworks, the national endowment with natural capital (e.g. oil, uranium, diamonds, zinc) and the integration into global markets, which strongly affects national economies of both countries at large. Underlying land use decisions were found to be largely driven by individualized perspectives on growth ideologies, consumerism and wealth-aspirations connected to globalization processes. However, at present the result of these perspectives is still mainly a small-structured conversion to rainfed agriculture as a component of subsistence strategies of local livelihoods, and thus stands opposed to other regions of the world, where change processes are much more driven by large companies or follow national regulations and result in more intensive uses. (C) 2014 Elsevier Ltd. All rights reserved.</t>
  </si>
  <si>
    <t>[Roeder, Achim; Stellmes, Marion; Schneibel, Anne; Hill, Joachim] Univ Trier, Dept Environm Remote Sensing &amp; Geoinformat, D-54286 Trier, Germany; [Proepper, Michael] Univ Hamburg, Inst Social &amp; Cultural Anthropol, D-20146 Hamburg, Germany</t>
  </si>
  <si>
    <t>Stellmes, Marion/AAC-9909-2019</t>
  </si>
  <si>
    <t>Stellmes, Marion/0000-0001-7325-6152; Röder, Achim/0000-0002-2746-6607</t>
  </si>
  <si>
    <t>10.1016/j.landusepol.2014.08.008</t>
  </si>
  <si>
    <t>AX6FN</t>
  </si>
  <si>
    <t>WOS:000347018700032</t>
  </si>
  <si>
    <t>Panlasigui, S; Davis, AJS; Mangiante, MJ; Darling, JA</t>
  </si>
  <si>
    <t>Panlasigui, Stephanie; Davis, Amy J. S.; Mangiante, Michael J.; Darling, John A.</t>
  </si>
  <si>
    <t>Freshwater biodiversity; Priority mapping; Threatened and endangered species; Invasive species; Non-native species</t>
  </si>
  <si>
    <t>PROTECTED AREAS; GLOBAL DISTRIBUTION; PATTERNS; DIVERSITY; RICHNESS; ALIEN; FISH; PLANTS; VULNERABILITY; METAANALYSIS</t>
  </si>
  <si>
    <t>Non-native species pose one of the greatest threats to native biodiversity, and can have severe negative impacts in freshwater ecosystems. Identifying regions of spatial overlap between high freshwater biodiversity and high invasion pressure may thus better inform the prioritization of freshwater conservation efforts. We employ geospatial analysis of species distribution data to investigate the potential threat of non-native species to aquatic animal taxa across the continental United States. We mapped non-native aquatic plant and animal species richness and cumulative invasion pressure to estimate overall negative impact associated with species introductions. These distributions were compared to distributions of native aquatic animal taxa derived from the International Union for the Conservation of Nature (IUCN) database. To identify hotspots of native biodiversity we mapped total species richness, number of threatened and endangered species, and a community index of species rarity calculated at the watershed scale. An overall priority index allowed identification of watersheds experiencing high pressure from non-native species and also exhibiting high native biodiversity conservation value. While priority regions are roughly consistent with previously reported prioritization maps for the US, we also recognize novel priority areas characterized by moderate-to-high native diversity but extremely high invasion pressure. We further compared priority areas with existing conservation protections as well as projected future threats associated with land use change. Our findings suggest that many regions of elevated freshwater biodiversity value are compromised by high invasion pressure, and are poorly safeguarded by existing conservation mechanisms and are likely to experience significant additional stresses in the future.</t>
  </si>
  <si>
    <t>[Panlasigui, Stephanie; Davis, Amy J. S.; Mangiante, Michael J.] US EPA, Res Triangle Pk, NC 27711 USA; [Darling, John A.] US Environm Res Agcy, Natl Exposure Res Lab, Res Triangle Pk, NC USA</t>
  </si>
  <si>
    <t>Panlasigui, S (corresponding author), Eno River Assoc, 4404 Guess Rd, Durham, NC 27712 USA.</t>
  </si>
  <si>
    <t>srpanlasigui@gmail.com</t>
  </si>
  <si>
    <t>Davis, Amy/ORK-4153-2025; Darling, John/B-5451-2014</t>
  </si>
  <si>
    <t>Davis, Amy/0000-0001-6178-1734; Panlasigui, Stephanie/0000-0002-5209-9431</t>
  </si>
  <si>
    <t>United States Environmental Protection Agency, through its Office of Research and Development</t>
  </si>
  <si>
    <t>United States Environmental Protection Agency, through its Office of Research and Development(United States Environmental Protection Agency)</t>
  </si>
  <si>
    <t>The authors wish to thank A. Neale, M. Mehaffey, B. Schaeffer, E. Urquhart, W. Salls, J. Iiames, J. Wickham, and R. Lunetta for helpful discussion during the design of this research and the development of the manuscript. The United States Environmental Protection Agency, through its Office of Research and Development, supported the research described here. Though it has been subjected to Agency administrative review and approved for publication, its content does not necessarily reflect official Agency policy.</t>
  </si>
  <si>
    <t>10.1016/j.biocon.2018.05.019</t>
  </si>
  <si>
    <t>GN9PY</t>
  </si>
  <si>
    <t>WOS:000439537600022</t>
  </si>
  <si>
    <t>Easterday, K; McIntyre, PJ; Thorne, JH; Santos, MJ; Kelly, M</t>
  </si>
  <si>
    <t>Easterday, Kelly; McIntyre, Patrick J.; Thorne, James H.; Santos, Maria J.; Kelly, Maggi</t>
  </si>
  <si>
    <t>Assessing Threats and Conservation Status of Historical Centers of Oak Richness in California</t>
  </si>
  <si>
    <t>URBAN PLANNING</t>
  </si>
  <si>
    <t>Quercus; species distribution models; urban planning; vegetation type mapping</t>
  </si>
  <si>
    <t>BIOCLIMATE ENVELOPE MODELS; SPECIES DISTRIBUTION; CLIMATE-CHANGE; BIODIVERSITY HOTSPOTS; URBAN; ECOLOGY; NICHE; PREDICTION; WOODLANDS; MANAGEMENT</t>
  </si>
  <si>
    <t>Oak trees are emblematic of California landscapes, they serve as keystone cultural and ecological species and as indicators of natural biological diversity. As historically undeveloped landscapes are increasingly converted to urban environments, endemic oak woodland extent is reduced, which underscores the importance of strategic placement and reintroduction of oaks and woodland landscape for the maintenance of biodiversity and reduction of habitat fragmentation. This paper investigated the effects of human urban development on oak species in California by first modeling historical patterns of richness for eight oak tree species using historical map and plot data from the California Vegetation Type Mapping (VTM) collection. We then examined spatial intersections between hot spots of historical oak richness and modern urban and conservation lands and found that impacts from development and conservation vary by both species and richness. Our findings suggest that the impact of urban development on oaks has been small within the areas of highest oak richness but that areas of highest oak richness are also poorly conserved. Third, we argue that current policy measures are inadequate to conserve oak woodlands and suggest regions to prioritize acquisition of conservation lands as well as examine urban regions where previous centers of oak richness were lost as potential frontiers for oak reintroduction. We argue that urban planning could benefit from the adoption of historical data and modern species distribution modelling techniques primarily used in natural resources and conservation fields to better locate hot spots of species richness, understand where habitats and species have been lost historically and use this evidence as incentive to recover what was lost and preserve what still exists. This adoption of historical data and modern techniques would then serve as a paradigm shift in the way Urban Planners recognize, quantify, and use landscape history in modern built environments.</t>
  </si>
  <si>
    <t>[Easterday, Kelly; Kelly, Maggi] Univ Calif Berkeley, Dept Environm Sci &amp; Policy, Berkeley, CA 94720 USA; [McIntyre, Patrick J.] Calif Dept Fish &amp; Wildlife, Biogeog Data Branch, Sacramento, CA 95814 USA; [Thorne, James H.] Univ Calif Davis, Dept Environm Sci &amp; Policy, Davis, CA 95616 USA; [Santos, Maria J.] Univ Utrecht, Fac Geosci, Dept Innovat Environm &amp; Energy Sci, Copernicus Inst Sustainable Dev, NL-3508 TC Utrecht, Netherlands; [Kelly, Maggi] Univ Calif Davis, Div Agr &amp; Nat Resources, Davis, CA 95618 USA; [Kelly, Maggi] Univ Calif Berkeley, Geospatial Innovat Facil, Berkeley, CA 94720 USA</t>
  </si>
  <si>
    <t>University of California System; University of California Berkeley; University of California System; University of California Davis; Utrecht University; University of California System; University of California Davis; University of California System; University of California Berkeley</t>
  </si>
  <si>
    <t>Kelly, M (corresponding author), Univ Calif Berkeley, Dept Environm Sci &amp; Policy, Berkeley, CA 94720 USA.;Kelly, M (corresponding author), Univ Calif Davis, Div Agr &amp; Nat Resources, Davis, CA 95618 USA.;Kelly, M (corresponding author), Univ Calif Berkeley, Geospatial Innovat Facil, Berkeley, CA 94720 USA.</t>
  </si>
  <si>
    <t>kjeasterday@berkeley.edu; ptmcintyre@gmail.com; jhthorne@ucdavis.edu; m.j.ferreiradossantos@uu.nl; maggi@berkeley.edu</t>
  </si>
  <si>
    <t>; Santos, Maria Joao/M-5034-2013</t>
  </si>
  <si>
    <t>McIntyre, Patrick/0000-0002-7800-6416; Thorne, James/0000-0002-9130-9921; Santos, Maria Joao/0000-0002-6558-7477; Easterday, Kelly/0000-0002-1678-0975</t>
  </si>
  <si>
    <t>USDA Forest Service, Pacific Northwest Forest Inventory and Analysis; USDA Forest Service Pacific Southwest Research Station; Region 5 UC Forest Service; California Energy Commission [500-09-037]</t>
  </si>
  <si>
    <t>USDA Forest Service, Pacific Northwest Forest Inventory and Analysis; USDA Forest Service Pacific Southwest Research Station(United States Department of Agriculture (USDA)United States Forest Service); Region 5 UC Forest Service; California Energy Commission</t>
  </si>
  <si>
    <t>We would like to thank our funding sources: Jeremy Fried at the USDA Forest Service, Pacific Northwest Forest Inventory and Analysis, and Carol Dumuth at the USDA Forest Service Pacific Southwest Research Station; Hugh Safford, Region 5 UC Forest Service, and Grant 500-09-037 from the California Energy Commission. We would also like to acknowledge several students and staff who helped with the VTM data digitization project: Tim Doherty, Amy Romanek, Ann Huber, Ken-ichi Ueda, Brian Thomas, Thuy N'goc Le, Andrew Holguin, Ryan Boynton, and Jacquelyn Bjorkman.</t>
  </si>
  <si>
    <t>COGITATIO PRESS</t>
  </si>
  <si>
    <t>LISBON</t>
  </si>
  <si>
    <t>RUA FIALHO ALMEIDA 14, 2 ESQ, LISBON, 1070-129, PORTUGAL</t>
  </si>
  <si>
    <t>2183-7635</t>
  </si>
  <si>
    <t>URBAN PLAN</t>
  </si>
  <si>
    <t>Urban Plan.</t>
  </si>
  <si>
    <t>10.17645/up.v1i4.726</t>
  </si>
  <si>
    <t>Urban Studies</t>
  </si>
  <si>
    <t>FF3QA</t>
  </si>
  <si>
    <t>WOS:000408826700007</t>
  </si>
  <si>
    <t>Clarke, TM; Espinoza, M; Chaves, RR; Wehrtrnann, IS</t>
  </si>
  <si>
    <t>Clarke, Tayler M.; Espinoza, Mario; Chaves, Raquel Romero; Wehrtrnann, Ingo S.</t>
  </si>
  <si>
    <t>Ecological risk assessment; Costa Rica; Sharks; Skates; Rays; Potential risk; Productivity Susceptibility Analysis; Hotspot analysis</t>
  </si>
  <si>
    <t>LOCAL SPATIAL AUTOCORRELATION; SCALLOPED HAMMERHEAD SHARK; BROWN SMOOTHHOUND SHARK; EXTINCTION RISK; SPHYRNA-LEWINI; LIFE-HISTORY; ARTISANAL FISHERIES; FEEDING ECOLOGY; MUSTELUS-HENLEI; GOLFO DULCE</t>
  </si>
  <si>
    <t>The impact of shrimp trawl fisheries on slow-growing demersal sharks, skates and rays has been widely documented. Yet, a lack of catch records and biological information has hindered improvements in elasmobranch bycatch management, particularly in tropical regions. When information is scarce, data-poor methods can be valuable tools to guide the management and conservation of vulnerable marine taxa. Here we combined an Ecological Risk Assessment commonly used in data-deficient fisheries (Productivity Susceptibility Analysis or PSA) with a spatial analysis (Hotspot Analysis) to (i) identify which elasmobranch species are most vulnerable to the Costa Rican shrimp trawl fishery, and (ii) locate areas and seasons with high concentrations of vulnerable elasmobranchs. According to the results of our PSA, the scalloped hammerhead (Sphyrna lewini), prickly shark (Echinorhinus cookei), and long-tail stingray (Hypanus longus) were the most vulnerable species, while the least vulnerable species were small batoids of the Urotrygonidae family. We identified large information gaps, namely demographic parameter estimates and long-term bycatch trends. Spatial aggregations of vulnerable elasmobranchs occurred near highly productive estuaries and coastal habitats, especially at depths of 50-100 m. Based on our findings, PSA and Hotspot analyses can be powerful tools to identify spatial areas where trawl fishing grounds overlap with the habitat of vulnerable bycatch species, and thus can be used to design spatial trawling closures that protect species at risk. We therefore conclude that our methodological approach may aid in the implementation of ecosystem-based fisheries management in data-poor situations.</t>
  </si>
  <si>
    <t>[Clarke, Tayler M.] Univ Costa Rica, Ctr Invest Ciencias Mar &amp; Limnol CIMAR, Programa Posgrad Gest Integrada Areas Costeras Tr, San Jose 115012060, Costa Rica; [Clarke, Tayler M.; Espinoza, Mario; Chaves, Raquel Romero; Wehrtrnann, Ingo S.] Univ Costa Rica, Ctr Invest Ciencias Mar &amp; Limnol CIMAR, Unidad Invest Pesquera &amp; Acuicultura UNIP, San Jose 115012060, Costa Rica; [Espinoza, Mario; Wehrtrnann, Ingo S.] Univ Costa Rica, Escuela Biol, San Jose 115012060, Costa Rica; [Clarke, Tayler M.] Univ British Columbia, Inst Oceans &amp; Fisheries, Changing Ocean Res Unit, 242-2202 Main Mall, Vancouver, BC V6T 1Z4, Canada</t>
  </si>
  <si>
    <t>Universidad Costa Rica; Universidad Costa Rica; Universidad Costa Rica; University of British Columbia</t>
  </si>
  <si>
    <t>Clarke, TM (corresponding author), Univ Costa Rica, Ctr Invest Ciencias Mar &amp; Limnol CIMAR, Programa Posgrad Gest Integrada Areas Costeras Tr, San Jose 115012060, Costa Rica.;Clarke, TM (corresponding author), Univ Costa Rica, Ctr Invest Ciencias Mar &amp; Limnol CIMAR, Unidad Invest Pesquera &amp; Acuicultura UNIP, San Jose 115012060, Costa Rica.;Clarke, TM (corresponding author), Univ British Columbia, Inst Oceans &amp; Fisheries, Changing Ocean Res Unit, 242-2202 Main Mall, Vancouver, BC V6T 1Z4, Canada.</t>
  </si>
  <si>
    <t>t.clarke@oceans.ubc.ca</t>
  </si>
  <si>
    <t>; Espinoza, Mario/AAV-3460-2020; Wehrtmann, Ingo/AIB-9968-2022</t>
  </si>
  <si>
    <t>Clarke, Tayler McLellan/0000-0002-9438-5794; Romero-Chaves, Raquel/0000-0003-0191-7438; Wehrtmann, Ingo/0000-0002-6826-7938</t>
  </si>
  <si>
    <t>Conservacion Internacional; MarViva; Universidad de Costa Rica [808-B0-536, 111-A4-508]; Rainbow Jewels S. A., Puntarenas, Costa Rica</t>
  </si>
  <si>
    <t>Conservacion Internacional; MarViva; Universidad de Costa Rica; Rainbow Jewels S. A., Puntarenas, Costa Rica</t>
  </si>
  <si>
    <t>This work was supported by Conservacion Internacional, MarViva, the Universidad de Costa Rica [VI project no. 808-B0-536; 111-A4-508], and the Rainbow Jewels S. A., Puntarenas, Costa Rica.</t>
  </si>
  <si>
    <t>10.1016/j.biocon.2017.11.015</t>
  </si>
  <si>
    <t>FT2VX</t>
  </si>
  <si>
    <t>WOS:000423005200035</t>
  </si>
  <si>
    <t>Seimon, TA; Ayebare, S; Sekisambu, R; Muhindo, E; Mitamba, G; Greenbaum, E; Menegon, M; Pupin, F; McAloose, D; Ammazzalorso, A; Meirte, D; Lukwago, W; Behangana, M; Seimon, A; Plumptre, AJ</t>
  </si>
  <si>
    <t>Seimon, Tracie A.; Ayebare, Samuel; Sekisambu, Robert; Muhindo, Emmanuel; Mitamba, Guillain; Greenbaum, Eli; Menegon, Michele; Pupin, Fabio; McAloose, Denise; Ammazzalorso, Alyssa; Meirte, Danny; Lukwago, Wilbur; Behangana, Mathias; Seimon, Anton; Plumptre, Andrew J.</t>
  </si>
  <si>
    <t>Assessing the Threat of Amphibian Chytrid Fungus in the Albertine Rift: Past, Present and Future</t>
  </si>
  <si>
    <t>AFRICAN CLAWED FROGS; BATRACHOCHYTRIUM-DENDROBATIDIS; HIGH PREVALENCE; ANURA ARTHROLEPTIDAE; CHYTRIDIOMYCOSIS; PATHOGEN; CLIMATE; DISEASE; CONSERVATION; TEMPERATURE</t>
  </si>
  <si>
    <t>Batrachochytrium dendrobatidis (Bd), the cause of chytridiomycosis, is a pathogenic fungus that is found worldwide and is a major contributor to amphibian declines and extinctions. We report results of a comprehensive effort to assess the distribution and threat of Bd in one of the Earth's most important biodiversity hotspots, the Albertine Rift in central Africa. In herpetological surveys conducted between 2010 and 2014, 1018 skin swabs from 17 amphibian genera in 39 sites across the Albertine Rift were tested for Bd by PCR. Overall, 19.5% of amphibians tested positive from all sites combined. Skin tissue samples from 163 amphibians were examined histologically; of these two had superficial epidermal intracorneal fungal colonization and lesions consistent with the disease chytridiomycosis. One amphibian was found dead during the surveys, and all others encountered appeared healthy. We found no evidence for Bd-induced mortality events, a finding consistent with other studies. To gain a historical perspective about Bd in the Albertine Rift, skin swabs from 232 museum-archived amphibians collected as voucher specimens from 1925-1994 were tested for Bd. Of these, one sample was positive; an Itombwe River frog (Phrynobatrachus asper) collected in 1950 in the Itombwe highlands. This finding represents the earliest record of Bd in the Democratic Republic of Congo. We modeled the distribution of Bd in the Albertine Rift using MaxEnt software, and trained our model for improved predictability. Our model predicts that Bd is currently widespread across the Albertine Rift, with moderate habitat suitability extending into the lowlands. Under climatic modeling scenarios our model predicts that optimal habitat suitability of Bd will decrease causing a major range contraction of the fungus by 2080. Our baseline data and modeling predictions are important for comparative studies, especially if significant changes in amphibian health status or climactic conditions are encountered in the future.</t>
  </si>
  <si>
    <t>[Seimon, Tracie A.; Ayebare, Samuel; Muhindo, Emmanuel; Mitamba, Guillain; McAloose, Denise; Ammazzalorso, Alyssa; Seimon, Anton; Plumptre, Andrew J.] Wildlife Conservat Soc, Bronx, NY USA; [Sekisambu, Robert; Lukwago, Wilbur; Behangana, Mathias] Makerere Univ, Dept Environm Sci, Kampala, Uganda; [Greenbaum, Eli] Univ Texas El Paso, Dept Biol Sci, El Paso, TX 79968 USA; [Menegon, Michele; Pupin, Fabio] Sci Museum Trento, MUSE, Trop Biodivers Sect, Trento, Italy; [Meirte, Danny] Royal Museum Cent Africa, Dept African Biol, Tervuren, Belgium</t>
  </si>
  <si>
    <t>Wildlife Conservation Society; Makerere University; University of Texas System; University of Texas El Paso; Royal Museum for Central Africa</t>
  </si>
  <si>
    <t>Seimon, TA (corresponding author), Wildlife Conservat Soc, Bronx, NY USA.</t>
  </si>
  <si>
    <t>tseimon@wcs.org</t>
  </si>
  <si>
    <t>Behangana, Mathias/JEZ-5361-2023; Plumptre, Andrew/X-3145-2019</t>
  </si>
  <si>
    <t>Seimon, Tracie/0000-0003-3658-1364; Seimon, Anton/0000-0001-7326-0442</t>
  </si>
  <si>
    <t>United States Fish and the Wildlife Service's (USFWS) Amphibian in Decline Fund [F12AP01162, F13AP00871]; IUCN Save our Species Fund [2011A-012]; John D. and Catherine T. MacArthur Foundation [09-93424-000 GSS]; Institute of Tropical Forest Conservation (ITFC); Institut Congolais pour la Conservation de la Nature (ICCN); Ugandan Wildlife Authority; Rwandan Development Board; Division Of Environmental Biology; Direct For Biological Sciences [1145459] Funding Source: National Science Foundation</t>
  </si>
  <si>
    <t>United States Fish and the Wildlife Service's (USFWS) Amphibian in Decline Fund; IUCN Save our Species Fund; John D. and Catherine T. MacArthur Foundation; Institute of Tropical Forest Conservation (ITFC); Institut Congolais pour la Conservation de la Nature (ICCN); Ugandan Wildlife Authority; Rwandan Development Board; Division Of Environmental Biology; Direct For Biological Sciences(National Science Foundation (NSF)NSF - Directorate for Biological Sciences (BIO))</t>
  </si>
  <si>
    <t>This study was made possible by the generous support from the United States Fish and the Wildlife Service's (USFWS) Amphibian in Decline Fund (F12AP01162; F13AP00871) and the IUCN Save our Species Fund to AP (2011A-012), the John D. and Catherine T. MacArthur Foundation to AS (09-93424-000 GSS), the Institute of Tropical Forest Conservation (ITFC) and donors supporting the Wildlife Conservation Society Zoological and Health Programs to TAS and RS. The funders had no role in study design, data collection and analysis, decision to publish, or preparation of the manuscript. We are grateful to the Institut Congolais pour la Conservation de la Nature (ICCN), Ugandan Wildlife Authority, and Rwandan Development Board for support for this research and help with the export of specimens for testing. We are grateful to WCS Rwanda, Uganda and DRC Programs, particularily Simon Nampindo, Deo Kujirakwinja, Doug Sheil, Miriam van Heist, who provided intellectual and logistical support, or helped arrange permits, and Mwenebatu M. Aristote and Wandege M. Moninga, who helped our teams collect specimens.</t>
  </si>
  <si>
    <t>DEC 28</t>
  </si>
  <si>
    <t>e0145841</t>
  </si>
  <si>
    <t>10.1371/journal.pone.0145841</t>
  </si>
  <si>
    <t>CZ9XO</t>
  </si>
  <si>
    <t>WOS:000367451400083</t>
  </si>
  <si>
    <t>Rajah, P; Odindi, J; Mutanga, O</t>
  </si>
  <si>
    <t>Rajah, P.; Odindi, J.; Mutanga, O.</t>
  </si>
  <si>
    <t>Invasive alien plant; Grassland biome; Sentinel-2; Vegetation Indices; Spectral reflectance; Support Vector Machine (SVM)</t>
  </si>
  <si>
    <t>SOUTH-AFRICA</t>
  </si>
  <si>
    <t>Grassland biomes are valuable socio-economic and ecological resources. However, the invasion of grasslands by alien plant species has emerged as one of the biggest threats to their sustainability, management and conservation. Timely, cost-effective and accurate determination of invasive alien plant spatial distribution is paramount for mitigating the adverse effects of alien plants on natural grasslands. Whereas literature on use of optical bands for invasive alien plants detection and mapping is abound, there is paucity in literature on the integration of Vegetation Indices (VIs) and optical reflectance bands in invasive species mapping. Specifically, there is need to test the efficacy of improved and freely available sensors like Sentinel-2 in understanding landscape invasion. Hence, this study sought to assess the efficacy of Sentinel-2's optical bands and VIs for improving the mapping of American Bramble (Rubus cuneifolius) within a grassland biome. Variable Importance in the Projection (VIP) was used to identify the most influential reflectance bands and VIs, which were then fused at a feature level to determine Bramble spatial distribution. To determine the optimal season for Bramble mapping, seasonal classification accuracies were executed in Support Vector Machine (SVM) learning algorithm and accuracies for Spring, Summer, Autumn and Winter seasons compared. Results show that although the highest overall accuracy was achieved using only optical bands, fused imagery increased overall classification accuracies during spring and autumn i.e. 70% to 73% and 63% to 65%, respectively. However, the fused imagery failed to improve on the benchmark of optical imagery during summer and winter. Findings from this study underline the efficacy of complementing VIs and optical bands in determining the distribution of invasive species within grasslands at specific seasons. Furthermore, this study advocates for the adoption and fusion of freely available new generation satellite imagery such as Sentinel-2 as a cost effective option in landscape mapping.</t>
  </si>
  <si>
    <t>[Rajah, P.; Odindi, J.; Mutanga, O.] Univ KwaZulu Natal, Sch Agr Earth &amp; Environm Sci, Pietermaritzburg, South Africa</t>
  </si>
  <si>
    <t>Odindi, J (corresponding author), Univ KwaZulu Natal, Sch Agr Earth &amp; Environm Sci, Pietermaritzburg, South Africa.</t>
  </si>
  <si>
    <t>Odindi@ukzn.ac.za</t>
  </si>
  <si>
    <t>Mutanga, Onisimo/D-8094-2013</t>
  </si>
  <si>
    <t>10.4314/sajg.v9i1.6</t>
  </si>
  <si>
    <t>KS6HH</t>
  </si>
  <si>
    <t>WOS:000518407400006</t>
  </si>
  <si>
    <t>Robillard, CM; Kerr, JT</t>
  </si>
  <si>
    <t>Robillard, Cassandra M.; Kerr, Jeremy T.</t>
  </si>
  <si>
    <t>conservation planning; habitat; implementation; land-use change; private lands; resilience; restoration; return on investment</t>
  </si>
  <si>
    <t>RETURN; INVESTMENT; BIODIVERSITY; PRIORITIZATION; OPPORTUNITY; UNCERTAIN; SELECTION; RESERVES; SHIFTS; NEED</t>
  </si>
  <si>
    <t>High costs of land in agricultural regions warrant spatial prioritization approaches to conservation that explicitly consider land prices to produce protected-area networks that accomplish targets efficiently. However, land-use changes in such regions and delays between plan design and implementation may render optimized plans obsolete before implementation occurs. To measure the shelf life of cost-efficient conservation plans, we simulated a land-acquisition and restoration initiative aimed at conserving species at risk in Canada's farmlands. We accounted for observed changes in land-acquisition costs and in agricultural intensity based on censuses of agriculture taken from 1986 to 2011. For each year of data, we mapped costs and areas of conservation priority designated using Marxan. We compared plans to test for changes through time in the arrangement of high-priority sites and in the total cost of each plan. For acquisition costs, we measured the savings from accounting for prices during site selection. Land-acquisition costs and land-use intensity generally rose over time independent of inflation (24-78%), although rates of change were heterogeneous through space and decreased in some areas. Accounting for spatial variation in land price lowered the cost of conservation plans by 1.73-13.9%, decreased the range of costs by 19-82%, and created unique solutions from which to choose. Despite the rise in plan costs over time, the high conservation priority of particular areas remained consistent. Delaying conservation in these critical areas may compromise what optimized conservation plans can achieve. In the case of Canadian farmland, rapid conservation action is cost-effective, even with moderate levels of uncertainty in how to implement restoration goals.</t>
  </si>
  <si>
    <t>[Robillard, Cassandra M.; Kerr, Jeremy T.] Univ Ottawa, Dept Biol, Canadian Facil Ecoinformat, 30 Marie Curie Pvt, Ottawa, ON K1N 6N5, Canada</t>
  </si>
  <si>
    <t>Robillard, CM (corresponding author), Univ Ottawa, Dept Biol, Canadian Facil Ecoinformat, 30 Marie Curie Pvt, Ottawa, ON K1N 6N5, Canada.</t>
  </si>
  <si>
    <t>cassandra.robillard@gmail.com</t>
  </si>
  <si>
    <t>Natural Sciences and Engineering Research Council; University Research Chair Program in Macroecology and Conservation at the University of Ottawa; University of Ottawa Excellence and Admission Scholarship Programs</t>
  </si>
  <si>
    <t>Natural Sciences and Engineering Research Council(Natural Sciences and Engineering Research Council of Canada (NSERC)); University Research Chair Program in Macroecology and Conservation at the University of Ottawa; University of Ottawa Excellence and Admission Scholarship Programs</t>
  </si>
  <si>
    <t>We thank S. Haas for invaluable technical expertise and provision of processed data sets, K. Duncan for processing of GIS files, and R. Soares and anonymous reviewers for helpful comments on the manuscript. This work was supported by the Natural Sciences and Engineering Research Council (Discovery Grant Program, J.T.K.; Canada Graduate Scholarship, C.M.R.), the University Research Chair Program in Macroecology and Conservation at the University of Ottawa (J.T.K.), and the University of Ottawa Excellence and Admission Scholarship Programs (C.M.R.).</t>
  </si>
  <si>
    <t>10.1111/cobi.12886</t>
  </si>
  <si>
    <t>FA5BG</t>
  </si>
  <si>
    <t>WOS:000405457000011</t>
  </si>
  <si>
    <t>Redfern, JV; Mckenna, MF; Moore, TJ; Calambokidis, J; Deangelis, ML; Becker, EA; Barlow, J; Forney, KA; Fiedler, PC; Chivers, SJ</t>
  </si>
  <si>
    <t>Redfern, J. V.; Mckenna, M. F.; Moore, T. J.; Calambokidis, J.; Deangelis, M. L.; Becker, E. A.; Barlow, J.; Forney, K. A.; Fiedler, P. C.; Chivers, S. J.</t>
  </si>
  <si>
    <t>commercial shipping; generalized additive models; habitat modeling; risk analysis</t>
  </si>
  <si>
    <t>EASTERN NORTH PACIFIC; BLUE; ABUNDANCE; AUTOCORRELATION; HUMPBACK; HABITAT; MODEL; FIN</t>
  </si>
  <si>
    <t>Marine spatial planning provides a comprehensive framework for managing multiple uses of the marine environment and has the potential to minimize environmental impacts and reduce conflicts among users. Spatially explicit assessments of the risks to key marine species from human activities are a requirement of marine spatial planning. We assessed the risk of ships striking humpback (Megaptera novaeangliae), blue (Balaenoptera musculus), and fin (Balaenoptera physalus) whales in alternative shipping routes derived from patterns of shipping traffic off Southern California (U.S.A.). Specifically, we developed whale-habitat models and assumed ship-strike risk for the alternative shipping routes was proportional to the number of whales predicted by the models to occur within each route. This definition of risk assumes all ships travel within a single route. We also calculated risk assuming ships travel via multiple routes. We estimated the potential for conflict between shipping and other uses (military training and fishing) due to overlap with the routes. We also estimated the overlap between shipping routes and protected areas. The route with the lowest risk for humpback whales had the highest risk for fin whales and vice versa. Risk to both species may be ameliorated by creating a new route south of the northern Channel Islands and spreading traffic between this new route and the existing route in the Santa Barbara Channel. Creating a longer route may reduce the overlap between shipping and other uses by concentrating shipping traffic. Blue whales are distributed more evenly across our study area than humpback and fin whales; thus, risk could not be ameliorated by concentrating shipping traffic in any of the routes we considered. Reducing ship-strike risk for blue whales may be necessary because our estimate of the potential number of strikes suggests that they are likely to exceed allowable levels of anthropogenic impacts established under U.S. laws.</t>
  </si>
  <si>
    <t>[Redfern, J. V.; Moore, T. J.; Barlow, J.; Fiedler, P. C.; Chivers, S. J.] Natl Ocean &amp; Atmospher Adm, Protected Resources Div, SW Fisheries Sci Ctr, Natl Marine Fisheries Serv, La Jolla, CA 92037 USA; [Mckenna, M. F.] Marine Mammal Commiss, Bethesda, MD 20814 USA; [Calambokidis, J.] Cascadia Res, Olympia, WA 98501 USA; [Deangelis, M. L.] Natl Ocean &amp; Atmospher Adm, Protected Resources Div, Southwest Reg Off, Natl Marine Fisheries Serv, Long Beach, CA 90802 USA; [Becker, E. A.; Forney, K. A.] Natl Ocean &amp; Atmospher Adm, Protected Resources Div, SW Fisheries Sci Ctr, Natl Marine Fisheries Serv, Santa Cruz, CA 95060 USA</t>
  </si>
  <si>
    <t>National Oceanic Atmospheric Admin (NOAA) - USA; National Oceanic Atmospheric Admin (NOAA) - USA; National Aeronautics &amp; Space Administration (NASA); National Oceanic Atmospheric Admin (NOAA) - USA</t>
  </si>
  <si>
    <t>Redfern, JV (corresponding author), Natl Ocean &amp; Atmospher Adm, Protected Resources Div, SW Fisheries Sci Ctr, Natl Marine Fisheries Serv, 8901 La Jolla Shores Dr, La Jolla, CA 92037 USA.</t>
  </si>
  <si>
    <t>jessica.redfern@noaa.gov</t>
  </si>
  <si>
    <t>Moore, Thomas/AAP-9346-2020; Barlow, Jay/D-3565-2019</t>
  </si>
  <si>
    <t>Moore, Thomas/0000-0002-0243-6049; Barlow, Jay/0000-0001-7862-855X</t>
  </si>
  <si>
    <t>10.1111/cobi.12029</t>
  </si>
  <si>
    <t>113UN</t>
  </si>
  <si>
    <t>WOS:000316694600008</t>
  </si>
  <si>
    <t>Petit, S; Elbersen, B</t>
  </si>
  <si>
    <t>Petit, Sandrine; Elbersen, Berien</t>
  </si>
  <si>
    <t>SPECIES RICHNESS; BIODIVERSITY; CONSERVATION; NITROGEN; LANDSCAPES; QUALITY; BALANCE; LAND; UK</t>
  </si>
  <si>
    <t>Intensification of farming practices is still a major driver of biodiversity loss in Europe, despite the implementation of policies that aim to reverse this trend. A conceptual framework called MIRABEL was previously developed that enabled a qualitative and expert-based assessment of the impact of agricultural intensification on ecologically valuable habitats. We present a quantitative update of the previous assessment that uses newly available pan-European spatially explicit data on pressures and habitats at risk. This quantitative assessment shows that the number of calcareous grasslands potentially at risk of eutrophication and overgrazing is rapidly increasing in Europe. Decreases in nitrogen surpluses and stocking densities that occurred between 1990 and 2000 have rarely led to values that were below the ecological thresholds. At the same time, a substantial proportion of calcareous grassland that has so far experienced low values for indicators of farming intensification has faced increases between 1990 and 2000 and could well become at high risk from farming intensification in the near future. As such, this assessment is an early warning signal, especially for habitats located in areas that have traditionally been farmed extensively. When comparing the outcome of this assessment with the previous qualitative MIRABEL assessment, it appears that if pan-European data are useful to assess the intensity of the pressures, more work is needed to identify regional variations in the response of biodiversity to such pressures. This is where a qualitative approach based on regional expertise should be used to complement data-driven assessments.</t>
  </si>
  <si>
    <t>Lancaster Environm Ctr, Ctr Ecol &amp; Hydrol, Lancaster LA1 4AP, England; Alterra Green World, Landscape &amp; Spatial Planning Dept, NL-6700 AA Wageningen, Netherlands</t>
  </si>
  <si>
    <t>Lancaster University; UK Centre for Ecology &amp; Hydrology (UKCEH); Wageningen University &amp; Research</t>
  </si>
  <si>
    <t>Petit, S (corresponding author), Lancaster Environm Ctr, Ctr Ecol &amp; Hydrol, Lib Ave, Lancaster LA1 4AP, England.</t>
  </si>
  <si>
    <t>spet@ceh.ac.uk; Berien.Elbersen@wur.nl</t>
  </si>
  <si>
    <t>Petit, Sanine/C-3310-2013; Petit, Sandrine/C-3310-2013</t>
  </si>
  <si>
    <t>Petit, Sanine/0000-0001-8781-8873;</t>
  </si>
  <si>
    <t>Natural Environment Research Council [CEH010021] Funding Source: researchfish</t>
  </si>
  <si>
    <t>Natural Environment Research Council(UK Research &amp; Innovation (UKRI)Natural Environment Research Council (NERC))</t>
  </si>
  <si>
    <t>10.1579/06-R-125R.1</t>
  </si>
  <si>
    <t>105NZ</t>
  </si>
  <si>
    <t>WOS:000242038700005</t>
  </si>
  <si>
    <t>Schürmann, A; Kleemann, J; Fürst, C; Teucher, M</t>
  </si>
  <si>
    <t>Schuermann, Alina; Kleemann, Janina; Fuerst, Christine; Teucher, Mike</t>
  </si>
  <si>
    <t>Land rights; Land investments; Mixed methods; GIS; Socio-economic survey; Population pressure</t>
  </si>
  <si>
    <t>FOOD SECURITY; PRODUCTIVITY; CONSERVATION; AFRICA; IMPACT</t>
  </si>
  <si>
    <t>Land as an essential resource is becoming increasingly scarce due to population growth. In the case of the Kenyan coast, population pressure causes land cover changes in the Arabuko Sokoke Forest, which is an important habitat for endangered species. Forest and bushland have been changed to agricultural land in order to provide livelihood for the rural population who are highly dependent on small-scale farming. Unclear land rights and misbalanced access to land cause uncontrolled expansion and insecure livelihoods. Secure land rights are crucial to improve living conditions for the local smallholders. Socio-economic and land tenure conditions were assessed in a study area close to Malindi in south-east Kenya to understand the human-induced changes in land cover. A combination between biophysical and socio-economic methods was used to identify the relationship between land cover change, land tenure and other socio-economic factors. Analyses in Geographic Information System (GIS) were chosen to examine in historical photographs and recent satellite imagery land cover changes between 1954 and 2017. This analysis was combined with quantitative questionnaires conducted on-site in 2017 and 2018 to identify factors influencing the land cover changes and especially to analyze the effects of land tenure on sustainable land use to reduce further land conversion. Moreover, this study statistically investigated the impact of land tenure issues on the tree population of the respective land plots using non-parametric tests as well as dependency analyses. We found significant relationships between the income of the interviewees and the tree population on land plots. It also appears that the fragmentation of land cover on a plot differs between respondents who have inherited their land and respondents who have purchased their land.</t>
  </si>
  <si>
    <t>[Schuermann, Alina; Kleemann, Janina; Fuerst, Christine] Martin Luther Univ Halle Wittenberg, Inst Geosci &amp; Geog, Dept Sustainable Landscape Dev, Halle, Saale, Germany; [Teucher, Mike] Martin Luther Univ Halle Wittenberg, Inst Geosci &amp; Geog, Dept Geoecol, Halle, Saale, Germany</t>
  </si>
  <si>
    <t>Martin Luther University Halle Wittenberg; Martin Luther University Halle Wittenberg</t>
  </si>
  <si>
    <t>Schürmann, A (corresponding author), Martin Luther Univ Halle Wittenberg, Inst Geosci &amp; Geog, Von Seckendorff Pl 4, D-06120 Halle, Saale, Germany.</t>
  </si>
  <si>
    <t>alina.schuermann@geo.uni-halle.de</t>
  </si>
  <si>
    <t>Kleemann, Janina/AAN-7171-2020; Fürst, Christine/H-8682-2012</t>
  </si>
  <si>
    <t>Kleemann, Janina/0000-0001-6316-6209;</t>
  </si>
  <si>
    <t>10.1016/j.landusepol.2020.104625</t>
  </si>
  <si>
    <t>LU5VQ</t>
  </si>
  <si>
    <t>WOS:000537823200060</t>
  </si>
  <si>
    <t>Crosti, R; Arcangeli, A; Romeo, T; Andaloro, F</t>
  </si>
  <si>
    <t>Crosti, Roberto; Arcangeli, Antonella; Romeo, Teresa; Andaloro, Franco</t>
  </si>
  <si>
    <t>Fishing capacity; Drift nets; Fishing gear; Fleet Register</t>
  </si>
  <si>
    <t>STRIPED DOLPHINS; BY-CATCH; MORTALITY; CONSERVATION; POPULATIONS; DYNAMICS; STRAIT</t>
  </si>
  <si>
    <t>Cetacean strandings are a constant phenomenon that occurs on coastlines; mortality is related to several factors but commercial fishing is considered one of the main pressures, in the Mediterranean, that can impact small cetacean species such as common bottlenose dolphin (Tursiops truncatus) and striped dolphin (Stenella coeruleoalba). Since all eight species of cetaceans residing in the Mediterranean Sea are listed in the Habitats Directive, there is a legislative and management need to survey and report their conservation status every 6 years. The aim of this study was to assess the relationship, in Sicily, between strandings of two species and the fishery capacity, using records from 1995 to 2012. Positions and densities of all the strandings were compared with values of engine power from all the fishing vessels registered in 48 Sicilian ports. In addition, the relationship between strandings and the wild population at sea was investigated. Results showed that trends of fishing capacity and strandings both decreased, with a strong positive association. Trends were also confirmed when data were grouped into 6-year periods or into different geographical sub-areas. Strandings were clustered near ports with higher fishing capacities; S. coeruleoalba records were distributed more homogenously along the coastline compared to T. truncatus, whose strandings were mostly distributed on the southern coastline, where the fishing capacity of bottom otter trawls was greater. The ratio between the two cetacean species was similar both for strandings and at-sea populations. Results show that fishing capacity is a pertinent indicator of pressure/threat to small cetacean species, and stranding records could complement at-sea data to assess population status within the framework of EU Directives.</t>
  </si>
  <si>
    <t>[Crosti, Roberto; Romeo, Teresa; Andaloro, Franco] ISPRA, STS Palermo, Via S Puglisi, Palermo, Italy; [Crosti, Roberto] MATTM, VIa C Colombo 44, Rome, Italy; [Arcangeli, Antonella] ISPRA, Dipartimento Difesa Nat, Via Brancati, Rome, Italy</t>
  </si>
  <si>
    <t>European Commission Joint Research Centre; EC JRC ISPRA Site; Italian Institute for Environmental Protection &amp; Research (ISPRA)</t>
  </si>
  <si>
    <t>Crosti, R (corresponding author), ISPRA, STS Palermo, Via S Puglisi, Palermo, Italy.;Crosti, R (corresponding author), MATTM, VIa C Colombo 44, Rome, Italy.</t>
  </si>
  <si>
    <t>robertocrosti@gmail.com</t>
  </si>
  <si>
    <t>Crosti, Roberto/AAY-8381-2020; Arcangeli, Antonella/I-1209-2019; Romeo, Teresa/AAA-1711-2020</t>
  </si>
  <si>
    <t>Arcangeli, Antonella/0000-0003-2156-9987; Romeo, Teresa/0000-0001-8515-1964;</t>
  </si>
  <si>
    <t>10.1007/s10344-017-1111-8</t>
  </si>
  <si>
    <t>EX2UW</t>
  </si>
  <si>
    <t>WOS:000403084900014</t>
  </si>
  <si>
    <t>Strubbe, D; Matthysen, E; Graham, CH</t>
  </si>
  <si>
    <t>Strubbe, Diederik; Matthysen, Erik; Graham, Catherine H.</t>
  </si>
  <si>
    <t>biological invasions; boosted regression trees; cavity; competition; impact; species distribution modelling; threat</t>
  </si>
  <si>
    <t>IMPROVE PREDICTION; ABUNDANCE; DISTRIBUTIONS; BIRDS</t>
  </si>
  <si>
    <t>P&gt;1. Biological invasions are a major threat to biodiversity. Given the large number of invasive species, we need to be able to identify invaders with large effects in order to prioritize management efforts. Here, we present a framework using species distribution modelling to predict how abundance of native species will change as a result of competition with an invasive species using ring-necked parakeets Psittacula krameri and nuthatches Sitta europaea as a case study. 2. Ring-necked parakeets are widely introduced throughout Europe and compete with native cavity-nesters. Using the relationship between parakeet abundance and environmental variables in Brussels (Belgium), we predict parakeet abundance across Flanders. A competition coefficient, quantifying the parakeets' impact on nuthatches, was obtained by a regression on a data set of parakeet and nuthatch abundance. An estimate of the number of nuthatches that will be lost when parakeets have occupied all suitable sites was calculated by superimposing the abundance maps of the two species and applying the competition coefficient. 3. Our results predict a potential population of about 22 000 parakeet pairs, indicating that they could become one of the most numerous cavity-nesters in the region. Parakeet abundance is the highest in older, more fragmented forest in urban areas whereas nuthatches prefer larger, old and oak-dominated forests. 4. Our models indicate that throughout much of their range, and in a variety of habitats, parakeets and nuthatches will compete for nesting cavities, but as the competition strength is only moderate, the total impact of parakeets on nuthatch populations will be limited, with at most one-third of the population at risk. 5. Synthesis and applications. Species distribution models combined with empirical estimates of competition strength can be used as a general tool to make an assessment of the potential impact of established invasive species. Such information is required to make effective decisions on how to prioritize management effort and resources across the multitude of invasive species that currently threaten native ecosystems. For the ring-necked parakeet, our results indicate that there is no compelling evidence indicating that parakeets pose a threat large enough to justify an eradication campaign where they are currently present.</t>
  </si>
  <si>
    <t>[Strubbe, Diederik; Graham, Catherine H.] SUNY Stony Brook, Dept Ecol &amp; Evolut, Stony Brook, NY 11794 USA; [Strubbe, Diederik; Matthysen, Erik] Univ Antwerp, Dept Biol, Evolutionary Ecol Grp, B-2020 Antwerp, Belgium</t>
  </si>
  <si>
    <t>State University of New York (SUNY) System; Stony Brook University; University of Antwerp</t>
  </si>
  <si>
    <t>Strubbe, D (corresponding author), SUNY Stony Brook, Dept Ecol &amp; Evolut, 650 Life Sci Bldg, Stony Brook, NY 11794 USA.</t>
  </si>
  <si>
    <t>diederik.strubbe@ua.ac.be</t>
  </si>
  <si>
    <t>; Graham, Catherine/A-9560-2011; Strubbe, Diederik/J-4299-2015</t>
  </si>
  <si>
    <t>Matthysen, Erik/0000-0002-7521-9248; Graham, Catherine/0000-0001-9267-7948; Strubbe, Diederik/0000-0002-2613-4985</t>
  </si>
  <si>
    <t>Belgian American Educational Foundation; Research Foundation-Flanders</t>
  </si>
  <si>
    <t>Belgian American Educational Foundation; Research Foundation-Flanders(FWO)</t>
  </si>
  <si>
    <t>We thank the authors of the Flemish Breeding Bird Atlas and citizen scientists for the nuthatch data. Jane Elith and Simon Wood provided advice on BRT and GAMM respectively. D.S. thanks D. Reulen and D. Toor, without whose support this project would not have been possible. Funding was provided by a Fellowship of the Belgian American Educational Foundation and a Travel Grant of the Research Foundation-Flanders to D.S. D.S. also thanks his labmates at stony Brook University, Olivier Broennimann and Juan L. Parra, for their advice on the manuscript, and for all their help with R and ArcGIS.</t>
  </si>
  <si>
    <t>10.1111/j.1365-2664.2010.01808.x</t>
  </si>
  <si>
    <t>589QP</t>
  </si>
  <si>
    <t>WOS:000277168000006</t>
  </si>
  <si>
    <t>Ramp, D; Wilson, VK; Croft, DB</t>
  </si>
  <si>
    <t>road-based fatalities; reserve systems; predictive models; kernel density estimates; wildlife populations</t>
  </si>
  <si>
    <t>BREEDING BIRD POPULATIONS; CONSERVATION BIOLOGY; VEHICLE ACCIDENTS; MAJOR ROADS; MORTALITY; HIGHWAY; DENSITY; MAMMALS; MODEL; FRAGMENTATION</t>
  </si>
  <si>
    <t>For protected reserves set aside for conservation, the impact of roads and traffic on wildlife can be severe, particularly for those in the peri-urban environment. Often reserves possess many sealed roads that have regular traffic from tourists and local residents. As managerial bodies struggle to control the wide variety of threats to the fauna within these reserves, the loss of life on roads only compounds the precarious nature of wildlife survival in these disturbed environments. As a first step to addressing this concern in Australia, this study quantifies the fatalities of wildlife killed on roads within the Royal National Park in New South Wales, and estimates those wildlife species using roadside habitat in order to identify species susceptible to collisions. Modelling of fatality data indicated that mammals were most likely to be killed where forage was abundant on the roadside verge and where there was plenty of protective cover, while birds were most likely to be killed when the height of roadside vegetation was low. A number of collision hotspots were identified along the surveyed road that should be the target of mitigation efforts. The average speed of vehicles travelling within the park peaked at night. This is of particular concern as activity by Australian mammals tends to be greatest at night. The findings indicate that roads in periurban reserves have the potential to alter the movement of animals and impact on their populations through loss of life. (c) 2005 Elsevier Ltd. All rights reserved.</t>
  </si>
  <si>
    <t>Univ New S Wales, Sch Biol Earth &amp; Environm Sci, Sydney, NSW 2052, Australia</t>
  </si>
  <si>
    <t>Ramp, D (corresponding author), Univ New S Wales, Sch Biol Earth &amp; Environm Sci, High St, Sydney, NSW 2052, Australia.</t>
  </si>
  <si>
    <t>d.ramp@unsw.edu.au</t>
  </si>
  <si>
    <t>Ramp, Daniel/C-3692-2008; Croft, David Benjamin/Q-7049-2019</t>
  </si>
  <si>
    <t>Ramp, Daniel/0000-0003-3202-9898; Croft, David Benjamin/0000-0002-6320-0582</t>
  </si>
  <si>
    <t>10.1016/j.biocon.2005.11.002</t>
  </si>
  <si>
    <t>034VV</t>
  </si>
  <si>
    <t>WOS:000236959600006</t>
  </si>
  <si>
    <t>Ortiz, AMD; Torres, JNV</t>
  </si>
  <si>
    <t>Ortiz, Andrea Monica D.; Torres, Justine Nicole V.</t>
  </si>
  <si>
    <t>Assessing the Impacts of Agriculture and Its Trade on Philippine Biodiversity</t>
  </si>
  <si>
    <t>biodiversity; banana; pineapple; agriculture; trade; protected areas; conservation; Philippines</t>
  </si>
  <si>
    <t>BANANA PRODUCTION; CROPLAND EXPANSION; PROTECTED AREAS; COSTA-RICA; CONSERVATION; FUTURE; INTENSIFICATION; PERSPECTIVES; DATABASE; SYSTEMS</t>
  </si>
  <si>
    <t>Many Philippine species are at risk of extinction because of habitat loss and degradation driven by agricultural land use and land-use change. The Philippines is one of the world's primary banana and pineapple producers. The input-intensive style of plantation agriculture for these typically exported crops has many adverse effects on the environment. While global studies have attempted to understand the biodiversity impacts of agricultural goods, there are few studies that have investigated the Philippines specifically. In this study, Philippine policies and data are investigated to better characterize the nexus between agriculture, biodiversity, and trade. An analysis of key national policies highlights that more stringent definitions and protections for biodiversity are needed to recognize the increasing roles that agricultural production, and importantly, its global trade, have on threatened Philippine species. A geographical analysis shows that many banana and pineapple plantations in Mindanao and their surrounding agricultural impact zones overlap with ecologically important areas, such as Protected Areas and Important Bird Areas. Overlaps of recorded species occurrence are observed within the immediate zones surrounding 250 plantations for banana and pineapple in Mindanao, with 83 threatened species of Philippine fauna and tree at risk of exposure to the impacts of intensive agriculture.</t>
  </si>
  <si>
    <t>[Ortiz, Andrea Monica D.] UCL Inst Sustainable Resources, Bartlett Sch Environm Energy &amp; Resources, Cent House,14 Upper Woburn Pl, London WC1H 0NN, England; [Ortiz, Andrea Monica D.; Torres, Justine Nicole V.] Parabukas Pte Inc, Singapore 051531, Singapore</t>
  </si>
  <si>
    <t>University of London; University College London</t>
  </si>
  <si>
    <t>Ortiz, AMD (corresponding author), UCL Inst Sustainable Resources, Bartlett Sch Environm Energy &amp; Resources, Cent House,14 Upper Woburn Pl, London WC1H 0NN, England.;Ortiz, AMD (corresponding author), Parabukas Pte Inc, Singapore 051531, Singapore.</t>
  </si>
  <si>
    <t>m.ortiz@ucl.ac.uk; nicole@parabukas.com</t>
  </si>
  <si>
    <t>Ortiz, Anea Monica D/GLR-7369-2022</t>
  </si>
  <si>
    <t>Ortiz, Anea Monica D/0000-0003-2641-7931</t>
  </si>
  <si>
    <t>UK Natural Environment Research Council [NE/R010811/1]; NERC [NE/R010811/1] Funding Source: UKRI</t>
  </si>
  <si>
    <t>UK Natural Environment Research Council(UK Research &amp; Innovation (UKRI)Natural Environment Research Council (NERC)); NERC(UK Research &amp; Innovation (UKRI)Natural Environment Research Council (NERC))</t>
  </si>
  <si>
    <t>AMDO is funded by UK Natural Environment Research Council grant (NE/R010811/1).</t>
  </si>
  <si>
    <t>10.3390/land9110403</t>
  </si>
  <si>
    <t>OX1YD</t>
  </si>
  <si>
    <t>WOS:000593368100001</t>
  </si>
  <si>
    <t>Sangil, C; Martín-García, L; Clemente, S</t>
  </si>
  <si>
    <t>Sangil, Carlos; Martin-Garcia, Laura; Clemente, Sabrina</t>
  </si>
  <si>
    <t>Diadema africana; Trophic cascades; Conservation status; Zoning impacts; Canary Islands; NE Atlantic Ocean</t>
  </si>
  <si>
    <t>DIADEMA AFF. ANTILLARUM; MARINE PROTECTED AREAS; SEA-URCHIN; TROPHIC CASCADES; CANARY-ISLANDS; ASSEMBLAGES; RESERVES; COMMUNITIES; FISHERIES; ABUNDANCE</t>
  </si>
  <si>
    <t>In this paper we develop a tool to assess the impact of fishing on ecosystem functioning in shallow rocky reefs. The relationships between biological parameters (fishes, sea urchins, seaweeds), and fishing activities (fish traps, boats, land-based fishing, spearfishing) were tested in La Palma island (Canary Islands). Data from fishing activities and biological parameters were analyzed using principal component analyses. We produced two models using the first component of these analyses. This component was interpreted as a new variable that described the fishing pressure and the conservation status at each studied site. Subsequently the scores on the first axis were mapped using universal kriging methods and the models obtained were extrapolated across the whole island to display the expected fishing pressure and conservation status more widely. The fishing pressure and conservation status models were spatially related; zones where fishing pressure was high coincided with zones in the unhealthiest ecological state. (C) 2013 Elsevier Ltd. All rights reserved.</t>
  </si>
  <si>
    <t>[Sangil, Carlos] Smithsonian Inst, Smithsonian Trop Res Inst, Panama City 084303092, Panama; [Martin-Garcia, Laura; Clemente, Sabrina] Univ La Laguna, Dept Biol Anim, San Cristobal la Laguna 38206, Spain</t>
  </si>
  <si>
    <t>Smithsonian Institution; Smithsonian Tropical Research Institute; Universidad de la Laguna</t>
  </si>
  <si>
    <t>Sangil, C (corresponding author), Smithsonian Inst, Smithsonian Trop Res Inst, Panama City 084303092, Panama.</t>
  </si>
  <si>
    <t>casangil@ull.es; lmargar@ull.es; msclemen@ull.es</t>
  </si>
  <si>
    <t>; Clemente, Sabrina/B-3855-2014</t>
  </si>
  <si>
    <t>Martín García, Laura/0000-0003-1086-8762; Sangil, Carlos/0000-0002-1840-9379; Clemente, Sabrina/0000-0003-1930-2052</t>
  </si>
  <si>
    <t>Reserva Mundial de la Biosfera La Palma; Fundacion Biodiversidad (from the Spanish Ministry of Agriculture, food and Environmental Affairs)</t>
  </si>
  <si>
    <t>This study was part of Marcopalma Project. Funding for this project was provided by Reserva Mundial de la Biosfera La Palma and Fundacion Biodiversidad (from the Spanish Ministry of Agriculture, food and Environmental Affairs). We are thankful to Manfredi di Lorenzo, Laura Concepcion and Raul Fernandez for their collaboration during the field work. Jose Carlos Hernandez comments have greatly inspired many parts of this study.</t>
  </si>
  <si>
    <t>10.1016/j.marpolbul.2013.08.041</t>
  </si>
  <si>
    <t>266EI</t>
  </si>
  <si>
    <t>WOS:000328005800037</t>
  </si>
  <si>
    <t>Jiang, F; Song, PF; Zhang, JJ; Cai, ZY; Chi, XW; Gao, HM; Qin, W; Li, SQ; Zhang, TZ</t>
  </si>
  <si>
    <t>Jiang, Feng; Song, Pengfei; Zhang, Jingjie; Cai, Zhenyuan; Chi, Xiangwen; Gao, Hongmei; Qin, Wen; Li, Shengqing; Zhang, Tongzuo</t>
  </si>
  <si>
    <t>Elephant; Foot-and-mouth disease; Risk assessment; Global warming; Maximum entropy</t>
  </si>
  <si>
    <t>VIRUS; SUSCEPTIBILITY; POPULATION; WILDLIFE; INDIA</t>
  </si>
  <si>
    <t>Elephants are the largest extant terrestrial animals and are important for maintaining regional ecosystem balance and community diversity. However, poaching, population growth, habitat fragmentation, and viruses are major threats to global elephant populations. Foot-and-mouth disease (FMD) is one of the major threats to the health of elephants. Global warming has a serious impact on wildlife and accelerates the spread of viruses. In this study, the effects of climate change on the risk of disease in elephants were evaluated based on 1833 sites with reported FMD cases. Maximum entropy (MaxEnt) was used to model the current and future geographic distributions of FMD and to assess the risk of FMD in elephants under climate change. The results showed that the average annual temperature and annual precipitation were higher in elephant habitats than in the range of the FMD virus. The mean temperature in the driest quarter, temperature seasonality, annual mean temperature, and precipitation in the driest month had relatively large contributions to the risk of FMD, with a cumulative contribution rate of 82.8%. Both Asian elephants and African elephants had high overlap with the FMD virus with respect to altitude, annual mean temperature, and annual precipitation. An overall high risk of disease was detected at a certain band, mainly concentrated from 10 degrees N to 50 degrees N in the northern hemisphere and from 10 degrees S to 35 degrees S in the southern hemisphere. The risk of FMD was higher for the Asian elephant than the African elephant. The FMD risk increased gradually from the southeast to northwest in habitats of the Asian elephant, and presented a pattern of high northesouth risk and low intermediate risk in the habitats of the African elephant. The area proportions of high risk, medium risk, and low risk in the distribution of both the Asian elephant and African elephant were all higher than the proportions of all risk types worldwide. Under global warming, the FMD risk was not expected to change significantly in most of the habitat areas of the Asian elephant or the African elephant in the 2050s and 2070s. Moreover, the areas and proportions of high risk, medium risk, and low risk were likely to change slightly. These results could benefit the conservation of elephants and provide relevant data for the prevention of FMD in high-risk areas under climate change. (c) 2020 The Author(s). Published by Elsevier B.V. This is an open access article under the CC BY license (http://creativecommons.org/licenses/by/4.0/).</t>
  </si>
  <si>
    <t>[Jiang, Feng; Song, Pengfei; Zhang, Jingjie; Cai, Zhenyuan; Chi, Xiangwen; Gao, Hongmei; Qin, Wen; Zhang, Tongzuo] Chinese Acad Sci, Northwest Inst Plateau Biol, Key Lab Adaptat &amp; Evolut Plateau Biota, Xining 810001, Qinghai, Peoples R China; [Jiang, Feng; Song, Pengfei; Zhang, Jingjie; Cai, Zhenyuan; Gao, Hongmei; Qin, Wen] Univ Chinese Acad Sci, Beijing 100049, Peoples R China; [Jiang, Feng; Song, Pengfei; Zhang, Jingjie; Chi, Xiangwen; Zhang, Tongzuo] Qinghai Prov Key Lab Anim Ecol Genom, Xining 810001, Qinghai, Peoples R China; [Li, Shengqing] Qinghai Univ, Qinghai Acad Anim Sci &amp; Vet Med, Xining 810016, Qinghai, Peoples R China</t>
  </si>
  <si>
    <t>Chinese Academy of Sciences; Chinese Academy of Sciences; University of Chinese Academy of Sciences, CAS; Qinghai University</t>
  </si>
  <si>
    <t>Zhang, TZ (corresponding author), Chinese Acad Sci, Northwest Inst Plateau Biol, 23 Xinning Rd, Xining 810001, Qinghai, Peoples R China.</t>
  </si>
  <si>
    <t>zhangtz@nwipb.cas.cn</t>
  </si>
  <si>
    <t>Strategic Priority Research Program of the Chinese Academy of Sciences [XDA23060602, XDA2002030302]; National Key R&amp;D Program of China [2017YFC0506405]; Second Tibetan Plateau Scientific Expedition and Research (STEP) program [2019QZKK0501]; Qinghai Key R&amp;D and Transformation Program [2019-SF-150]</t>
  </si>
  <si>
    <t>Strategic Priority Research Program of the Chinese Academy of Sciences(Chinese Academy of Sciences); National Key R&amp;D Program of China; Second Tibetan Plateau Scientific Expedition and Research (STEP) program; Qinghai Key R&amp;D and Transformation Program</t>
  </si>
  <si>
    <t>This work was supported by the Strategic Priority Research Program of the Chinese Academy of Sciences (XDA23060602 and XDA2002030302), the National Key R&amp;D Program of China (2017YFC0506405), the Supported by the Second Tibetan Plateau Scientific Expedition and Research (STEP) program (2019QZKK0501) and the Qinghai Key R&amp;D and Transformation Program (2019-SF-150).</t>
  </si>
  <si>
    <t>e01176</t>
  </si>
  <si>
    <t>10.1016/j.gecco.2020.e01176</t>
  </si>
  <si>
    <t>NN3ZJ</t>
  </si>
  <si>
    <t>WOS:000568729100009</t>
  </si>
  <si>
    <t>Enrichetti, F; Bo, M; Morri, C; Montefalcone, M; Toma, M; Bavestrello, G; Tunesi, L; Canese, S; Giusti, M; Salvati, E; Bertolotto, RM; Bianchi, CN</t>
  </si>
  <si>
    <t>Enrichetti, Francesco; Bo, Marzia; Morri, Carla; Montefalcone, Monica; Toma, Margherita; Bavestrello, Giorgio; Tunesi, Leonardo; Canese, Simonepietro; Giusti, Michela; Salvati, Eva; Bertolotto, Rosa Maria; Bianchi, Carlo Nike</t>
  </si>
  <si>
    <t>Mesophotic reefs; Environmental status; ROV; Marine Strategy Framework Directive; Coralligenous; Mediterranean Sea</t>
  </si>
  <si>
    <t>CORALLIGENOUS REEFS; PARAMURICEA-CLAVATA; MARINE; INDEX; ASSEMBLAGES; FRAMEWORK; SEA; MANAGEMENT; HABITATS; NAPLES</t>
  </si>
  <si>
    <t>Temperate mesophotic reefs (circalittoral and offshore circalittoral hard/ firm habitats), host complex three-dimensional animal forests and are vulnerable habitats protected by international agreements. In order to evaluate and monitor the environmental status of these ecosystems, the multi-parametric index Mesophotic Assemblages Conservation Status (MACS) was developed, including two independent components, namely Index of Status (I-s) and Index of Impact (I-i). The I-s includes six metrics, targeting conspicuous species diversity, basal layer and canopy composition, whilst the I-i is composed by six metrics targeting siltation level, canopy condition and marine litter occurrence. Underwater video transects recorded with a Remotely Operated Vehicle (ROV) along the Ligurian and Tyrrhenian Seas offered the chance to test the index on a large geographic scale and various ecological settings, for a total of 14 sites subjected to different human pressures. MACS index showed a high potentiality to distinguish among a wide range of environmental conditions, with local critical situations mainly related to high fishing pressure. With respect to other existing indices, MACS is based on a larger number of parameters, resulting in a higher ability to disentangle natural and anthropogenic factors, hence it leads to a better interpretation of local situations. This tool represents a contribution to the requirements for the monitoring of these marine environments, set by the EU Marine Strategy Framework Directive, the Habitats Directive, and the guidelines of the Integrated Monitoring and Assessment Programme of the Mediterranean Sea and Coast of the Barcelona Convention.</t>
  </si>
  <si>
    <t>[Enrichetti, Francesco; Bo, Marzia; Morri, Carla; Montefalcone, Monica; Toma, Margherita; Bavestrello, Giorgio; Bianchi, Carlo Nike] Univ Genoa, Dipartimento Sci Terra Ambiente &amp; Vita, Corso Europa 26, I-16132 Genoa, Italy; [Tunesi, Leonardo; Canese, Simonepietro; Giusti, Michela; Salvati, Eva] Ist Super Protez &amp; Ric Ambientale, Via Brancati 48, I-00144 Rome, Italy; [Bertolotto, Rosa Maria] Agenzia Reg Protez Ambiente Ligure, Via Bombrini 8, I-16149 Genoa, Italy</t>
  </si>
  <si>
    <t>University of Genoa; Italian Institute for Environmental Protection &amp; Research (ISPRA); Regional Environmental Protection Agency - Italy</t>
  </si>
  <si>
    <t>Enrichetti, F (corresponding author), Univ Genoa, Dipartimento Sci Terra Ambiente &amp; Vita, Corso Europa 26, I-16132 Genoa, Italy.</t>
  </si>
  <si>
    <t>fraenrichetti@gmail.com</t>
  </si>
  <si>
    <t>Salvati, Eva/AAC-5878-2020; Canese, Simonepietro/AAA-5499-2019; Tunesi, Leonardo/AGF-5524-2022; Bavestrello, Giorgio/JXN-5230-2024; Giusti, Michela/AAV-4856-2020; Montefalcone, Monica/NVM-8364-2025</t>
  </si>
  <si>
    <t>Salvati, Eva/0000-0003-2710-1007; Toma, Margherita/0000-0003-4038-5673; Canese, Simonepietro/0000-0001-6049-4506; Tunesi, Leonardo/0000-0003-1334-2491; Giusti, Michela/0000-0002-4558-9491; MONTEFALCONE, MONICA/0000-0002-3851-1880;</t>
  </si>
  <si>
    <t>Italian Ministry for Environment</t>
  </si>
  <si>
    <t>Authors would like to thank the ship crews of R/V Astrea for their help in the surveys. Authors would also like to thank Alessandro Dagnino and Paolo Moretto of the Agenzia Regionale per la Protezione dell'Ambiente Liguria (ARPAL). Finally, authors would like to thank the anonymous reviewers for significantly improve the value of this manuscript. This study has been done in the framework of the MSFD monitoring funded by the Italian Ministry for Environment.</t>
  </si>
  <si>
    <t>10.1016/j.ecolind.2019.02.028</t>
  </si>
  <si>
    <t>IC4VG</t>
  </si>
  <si>
    <t>WOS:000470964500021</t>
  </si>
  <si>
    <t>Bourgoin, C; Oszwald, J; Bourgoin, J; Gond, V; Blanc, L; Dessard, H; Phan, TV; Sist, P; Läderach, P; Reymondin, L</t>
  </si>
  <si>
    <t>Bourgoin, Clement; Oszwald, Johan; Bourgoin, Jeremy; Gond, Valery; Blanc, Lilian; Dessard, Helene; Trong Van Phan; Sist, Plinio; Laderach, Peter; Reymondin, Louis</t>
  </si>
  <si>
    <t>Deforestation; Forest degradation; Vietnam; Ecological vulnerability; Landscape approach</t>
  </si>
  <si>
    <t>ECOSYSTEM SERVICES; LAND-USE; DEFORESTATION; SUSTAINABILITY; FRAGMENTATION; SYSTEMS; ADAPTATION; FRAMEWORK; MAPS</t>
  </si>
  <si>
    <t>Forest conservation in human-dominated tropical landscapes ensures provision of major ecosystem services. However, conservation goals are threatened by growing demands for agricultural products. As the expansion of agricultural frontiers continues to exert increasing pressure on forest cover, it is crucial to provide indicators on forest vulnerability to improve our understanding of forest dynamics and prioritize management actions by local decision-makers. The purpose of this study is to develop a rigorous methodological framework to assess forest ecological vulnerability. We aim at evaluating the potential of remote sensing to characterize forest landscape dynamics in spatial and temporal dimensions. We present an innovative method that spatially integrates current landscape mosaic mapping with 45 years of landscape trajectories using Sentinel-2 and Landsat imagery. We derive indicators of exposure to cropland expansion, sensitivity linked with forest degradation and fragmentation, and forest capacity to respond based on forest landscape composition in Di Linh district in the Central Highlands of Vietnam. We map current forest-agricultural mosaics with high accuracy to assess landscape intensification (kappa index = 0.78). We also map the expansion of the agricultural frontier and highlighted heterogeneous agricultural encroachment on forested areas (kappa index = 0.72-0.93). Finally, we identify degradation and fragmentation trajectories that affect forest cover at different rates and intensity. Combined, these indicators pinpoint hotspots of forest vulnerability. This study provides tailored management responses and levers for action by local decision makers. The accessibility of multi-dimensional remote sensing data and the developed landscape approach open promising perspectives for continuously monitoring agricultural frontiers.</t>
  </si>
  <si>
    <t>[Bourgoin, Clement; Gond, Valery; Blanc, Lilian; Dessard, Helene; Sist, Plinio] CIRAD, Forets &amp; Soc, F-34398 Montpellier, France; [Bourgoin, Clement; Gond, Valery; Blanc, Lilian; Dessard, Helene; Sist, Plinio] Univ Montpellier, CIRAD, Forets &amp; Soc, Montpellier, France; [Bourgoin, Clement; Trong Van Phan; Laderach, Peter; Reymondin, Louis] Int Ctr Trop Agr CIAT, Hanoi, Vietnam; [Oszwald, Johan] Univ Rennes 2, Lab Geog &amp; Remote Sensing COSTEL, CNRS, UMR 6554,LETG, Rennes, France; [Bourgoin, Jeremy] CIRAD, UMR TETIS, F-34398 Montpellier, France; [Bourgoin, Jeremy] Univ Montpellier, TETIS, AgroParisTech, CIRAD,CNRS,IRSTEA, Montpellier, France</t>
  </si>
  <si>
    <t>CIRAD; Universite de Montpellier; CIRAD; Alliance; International Center for Tropical Agriculture - CIAT; Centre National de la Recherche Scientifique (CNRS); CNRS - Institute of Ecology &amp; Environment (INEE); Universite de Rennes; Universite Rennes 2; CIRAD; AgroParisTech; AgroParisTech; INRAE; CIRAD; Universite de Montpellier; Centre National de la Recherche Scientifique (CNRS)</t>
  </si>
  <si>
    <t>Bourgoin, C (corresponding author), Campus Int Baillarguet,TA C-105-D, Montpellier, France.</t>
  </si>
  <si>
    <t>clement.bourgoin@cirad.fr</t>
  </si>
  <si>
    <t>Blanc, Lilian/0000-0003-3605-4230; Reymondin, Louis/0000-0002-8022-9977</t>
  </si>
  <si>
    <t>CGIAR Fund Donors</t>
  </si>
  <si>
    <t>CGIAR Fund Donors(CGIAR)</t>
  </si>
  <si>
    <t>This work was implemented as part of the CGIAR Research Program on Forest Trees and Agroforestry (FTA) and on Climate Change, Agriculture and Food Security (CCAFS), the latter with support from CGIAR Fund Donors and through bilateral funding agreements. For details, please visit https://ccafs.cgiar.org/donors.The views expressed in this document cannot be taken to reflect the official opinions of these organizations.</t>
  </si>
  <si>
    <t>10.1016/j.jag.2019.101958</t>
  </si>
  <si>
    <t>JU0YG</t>
  </si>
  <si>
    <t>WOS:000501404500006</t>
  </si>
  <si>
    <t>Chowdhury, A; Maiti, SK</t>
  </si>
  <si>
    <t>Chowdhury, Abhiroop; Maiti, Subodh Kumar</t>
  </si>
  <si>
    <t>HUMAN AND ECOLOGICAL RISK ASSESSMENT</t>
  </si>
  <si>
    <t>ecological risk index; mangrove conservation; contamination factor; principal component analysis; ecotourism</t>
  </si>
  <si>
    <t>WATER-QUALITY; TRACE-METALS; RIVER; SEDIMENTS; CONTAMINATION; BANGLADESH; IDENTIFICATION; CHINA; RESILIENCE; MANAGEMENT</t>
  </si>
  <si>
    <t>Sundarbans Biosphere Reserve (SBR) is the world's largest contiguous conserved mangrove forest with unique flora and fauna, but it still has to bear the brunt of anthropogenic disturbances due to huge population pressure. This study aimed to identify the sources, extent of metal pollution (Cd, Cr, Mn, Ni, Pb, and Zn), and their potential ecological risk in this fragile ecosystem. Sediments were collected from 10 locations with varied levels of anthropogenic pressure from the fringe of the reserve forest. Cluster analysis (CA) and factor analysis (FA) identified Ni, Cd, and Pb as the major anthropogenic pollutants in this area. Concentrations of Pb (27.79-47.07mg/kg) and Cd (0.8-3.3mg/kg) were found to be higher in areas reliant on fossil fuel-operated motorboats for transport and dependent on rechargeable batteries to cope with the shortage of electricity. The contamination factor (C-f), geoaccumulation index (I-geo), and ecological risk index (ERI) highlight that populated areas are mostly exposed to Cd, Pb, and Cr contamination. Interpolation maps identified that the central part of the area is acutely affected by Cd pollution, whereas the main ecotourism routes within the reserve forest have high Pb concentrations. This study concludes that conservation-friendly ecotourism and improper disposal of batteries can also pose a threat to this ecosystem and these possibilities could be considered during formulation of conservation plans.</t>
  </si>
  <si>
    <t>[Chowdhury, Abhiroop; Maiti, Subodh Kumar] Indian Sch Mines, Dept Environm Sci &amp; Engn, Dhanbad 826004, Jharkhand, India</t>
  </si>
  <si>
    <t>Indian Institute of Technology System (IIT System); Indian Institute of Technology (Indian School of Mines) Dhanbad</t>
  </si>
  <si>
    <t>Chowdhury, A (corresponding author), Indian Sch Mines, Dept Environm Sci &amp; Engn, Dhanbad 826004, Jharkhand, India.</t>
  </si>
  <si>
    <t>abhiroop.chowdhury@gmail.com</t>
  </si>
  <si>
    <t>Maiti, Subodh Kumar/J-2031-2019; Chowdhury, Abhiroop/R-3309-2018</t>
  </si>
  <si>
    <t>Maiti, Subodh Kumar/0000-0001-9850-8408; Chowdhury, Abhiroop/0000-0001-6985-0722</t>
  </si>
  <si>
    <t>Indian School of Mines, Dhanbad; Ministry of Human Resource Development, India</t>
  </si>
  <si>
    <t>Indian School of Mines, Dhanbad; Ministry of Human Resource Development, India(Ministry of Higher Education &amp; Scientific Research (MHESR))</t>
  </si>
  <si>
    <t>A. Chowdhury is thankful to the Indian School of Mines, Dhanbad, and Ministry of Human Resource Development, India, for providing the fellowship to conduct this study.</t>
  </si>
  <si>
    <t>TAYLOR &amp; FRANCIS INC</t>
  </si>
  <si>
    <t>PHILADELPHIA</t>
  </si>
  <si>
    <t>530 WALNUT STREET, STE 850, PHILADELPHIA, PA 19106 USA</t>
  </si>
  <si>
    <t>1080-7039</t>
  </si>
  <si>
    <t>1549-7860</t>
  </si>
  <si>
    <t>HUM ECOL RISK ASSESS</t>
  </si>
  <si>
    <t>Hum. Ecol. Risk Assess.</t>
  </si>
  <si>
    <t>10.1080/10807039.2016.1190636</t>
  </si>
  <si>
    <t>DV2ZB</t>
  </si>
  <si>
    <t>WOS:000382789700006</t>
  </si>
  <si>
    <t>Murray, KA; Retallick, RWR; Puschendorf, R; Skerratt, LF; Rosauer, D; McCallum, HI; Berger, L; Speare, R; VanDerWal, J</t>
  </si>
  <si>
    <t>Murray, Kris A.; Retallick, Richard W. R.; Puschendorf, Robert; Skerratt, Lee F.; Rosauer, Dan; McCallum, Hamish I.; Berger, Lee; Speare, Rick; VanDerWal, Jeremy</t>
  </si>
  <si>
    <t>Assessing spatial patterns of disease risk to biodiversity: implications for the management of the amphibian pathogen, Batrachochytrium dendrobatidis</t>
  </si>
  <si>
    <t>amphibian declines; bioclimatic modelling; chytrid fungus; chytridiomycosis; infectious disease; Maxent; species distribution model</t>
  </si>
  <si>
    <t>EMERGING INFECTIOUS-DISEASES; PSEUDO-ABSENCE DATA; SPECIES DISTRIBUTION; DISTRIBUTION MODELS; CHYTRID FUNGUS; LIFE-HISTORY; BOREAL TOADS; CHYTRIDIOMYCOSIS; NICHE; PREDICTION</t>
  </si>
  <si>
    <t>P&gt;1. Emerging infectious diseases can have serious consequences for wildlife populations, ecosystem structure and biodiversity. Predicting the spatial patterns and potential impacts of diseases in free-ranging wildlife are therefore important for planning, prioritizing and implementing research and management actions. 2. We developed spatial models of environmental suitability (ES) for infection with the pathogen Batrachochytrium dendrobatidis, which causes the most significant disease affecting vertebrate biodiversity on record, amphibian chytridiomycosis. We applied relatively newly developed methods for modelling ES (Maxent) to the first comprehensive, continent-wide data base (comprising &gt; 10000 observations) on the occurrence of infection with this pathogen and employed novel methodologies to deal with common but rarely addressed sources of model uncertainty. 3. We used ES to (i) predict the minimum potential geographic distribution of infection with B. dendrobatidis in Australia and (ii) test the hypothesis that ES for B. dendrobatidis should help explain patterns of amphibian decline given its theoretical and empirical link with organism abundance (intensity of infection), a known determinant of disease severity. 4. We show that (i) infection with B. dendrobatidis has probably reached its broad geographic limits in Australia under current climatic conditions but that smaller areas of invasion potential remain, (ii) areas of high predicted ES for B. dendrobatidis accurately reflect areas where population declines due to severe chytridiomycosis have occurred and (iii) that a host-specific metric of ES for B. dendrobatidis (ES for Bd(species)) is the strongest predictor of decline in Australian amphibians at a continental scale yet discovered. 5. Synthesis and applications. Our results provide quantitative information that helps to explain both the spatial distribution and potential effects (risk) of amphibian infection with B. dendrobatidis at the population level. Given scarce conservation resources, our results can be used immediately in Australia and our methods applied elsewhere to prioritize species, regions and actions in the struggle to limit further biodiversity loss.</t>
  </si>
  <si>
    <t>[Murray, Kris A.] Univ Queensland, Sch Biol Sci, Ctr Ecol, Brisbane, Qld 4072, Australia; [Retallick, Richard W. R.] GHD Pty Ltd, Melbourne, Vic 3000, Australia; [Puschendorf, Robert; VanDerWal, Jeremy] James Cook Univ, Sch Marine &amp; Trop Biol, Ctr Trop Biodivers &amp; Climate Change Res, Townsville, Qld 4811, Australia; [Skerratt, Lee F.; Berger, Lee; Speare, Rick] James Cook Univ, Amphibian Dis Ecol Grp, Sch Publ Hlth Trop Med &amp; Rehabil Sci, Townsville, Qld 4811, Australia; [Rosauer, Dan] Univ New S Wales, Sch Biol Earth &amp; Environm Sci, Sydney, NSW 2052, Australia; [Rosauer, Dan] Ctr Plant Biodivers Res, Canberra, ACT 2601, Australia; [McCallum, Hamish I.] Griffith Univ, Sch Environm, Nathan, Qld 4111, Australia</t>
  </si>
  <si>
    <t>University of Queensland; James Cook University; James Cook University; University of New South Wales Sydney; Griffith University</t>
  </si>
  <si>
    <t>Murray, KA (corresponding author), Univ Queensland, Sch Biol Sci, Ctr Ecol, Brisbane, Qld 4072, Australia.</t>
  </si>
  <si>
    <t>k.murray1@uq.edu.au</t>
  </si>
  <si>
    <t>VanDerWal, Jeremy/C-7457-2009; Rosauer, Dan/C-3735-2008; McCallum, Hamish/E-1638-2013; Murray, Kris/AAY-6137-2020; Puschendorf, Robert/B-6280-2011; Skerratt, Lee/L-2797-2013</t>
  </si>
  <si>
    <t>VanDerWal, Jeremy/0000-0001-7439-8953; Berger, Lee/0000-0001-9227-5439; Rosauer, Dan/0000-0002-2371-1767; McCallum, Hamish/0000-0002-3493-0412; Murray, Kris/0000-0002-8382-0674; Puschendorf, Robert/0000-0002-8105-171X; Speare, Rick/0000-0002-9993-1213; Skerratt, Lee/0000-0003-3471-7512</t>
  </si>
  <si>
    <t>Australian Postgraduate Award; Australian Biosecurity CRC; Wildlife Preservation Society of Australia; Australian Research Council; School of Public Health and Tropical Medicine; James Cook University; National Science Foundation Integrated Research Challenges in Environmental Biology</t>
  </si>
  <si>
    <t>Australian Postgraduate Award(Australian Government); Australian Biosecurity CRC(Australian GovernmentDepartment of Industry, Innovation and ScienceCooperative Research Centres (CRC) Programme); Wildlife Preservation Society of Australia; Australian Research Council(Australian Research Council); School of Public Health and Tropical Medicine; James Cook University; National Science Foundation Integrated Research Challenges in Environmental Biology(National Science Foundation (NSF))</t>
  </si>
  <si>
    <t>We are indebted to the many authors and contributors named in Murray et al. (2010) for the production of the Bd occurrence data base. In particular, we thank K. McDonald, K. Aplin, H. Hines, D. Mendez, A. Felton, P. Kirkpatrick, D. Hunter, R. Campbell, M. Pauza, M. Driessen, S. Richards, M. Mahony, A. Freeman, A. Phillott, J-M. Hero, K. Kriger and D. Driscoll. KAM thanks D. Segan, M. Watts and C. Klein for GIS wisdom and spatial data, R. Wilson and H. Possingham for lab space, B. Sutherst, M. Zalucki and D. Kriticos for fruitful discussions and M. Araujo and R. Pearson for running a timely SDM workshop at the University of Queensland. We also thank Dr Marc Cadotte, Professor Christl Donnelly and three anonymous reviewers for excellent comments and discussion on earlier versions of the manuscript. KAM was supported by an Australian Postgraduate Award, an Australian Biosecurity CRC professional development award and a Wildlife Preservation Society of Australia student research award. Part of this work was conducted when RWRR was supported by the Australian Research Council, the School of Public Health and Tropical Medicine, James Cook University and a National Science Foundation Integrated Research Challenges in Environmental Biology grant awarded to J. Collins at Arizona State University, USA. RWRR thanks J. Collins and C. Carey.</t>
  </si>
  <si>
    <t>10.1111/j.1365-2664.2010.01890.x</t>
  </si>
  <si>
    <t>703RX</t>
  </si>
  <si>
    <t>WOS:000286000100019</t>
  </si>
  <si>
    <t>Balotari-Chiebao, F; Brommer, JE; Saurola, P; Ijäs, A; Laaksonen, T</t>
  </si>
  <si>
    <t>Balotari-Chiebao, Fabio; Brommer, Jon E.; Saurola, Pertti; Ijas, Asko; Laaksonen, Toni</t>
  </si>
  <si>
    <t>Raptors; Turbine; Renewable energy; Conservation; Landscape ecology; Land use</t>
  </si>
  <si>
    <t>MORTALITY; NORWAY; FARMS</t>
  </si>
  <si>
    <t>The expansion of wind energy over large areas may be accompanied by major conflicts with birds, including birds of prey. Hence, it is desirable that the space use of species known to be vulnerable to wind energy be assessed in light of current and future developments. Here, we report on the large-scale dispersal movements of pre-breeding white-tailed eagles (Haliaeetus albicilla) in Finland, where a currently modest wind-energy capacity is expected to increase in the near future. We studied white-tailed eagle space use with a particular focus on the potential for annual power production (GWh) at specific locations, as estimated by the Finnish Wind Atlas. Also, we aimed to detect a potential human-wildlife conflict by assessing white-tailed eagle space use against the spatial distribution of existing and recently proposed wind farms. We found that, despite visiting a large proportion of the country, the eagles stayed primarily within coastal areas and islands, restricted to where human infrastructure was present only at very small amounts. Because of the distribution of wind resources, such areas were found to contain considerable potential for power production. The eagles visited most of the areas targeted for wind-energy development. However, these areas did not coincide with a higher-than-average eagle relocation frequency, suggesting that the existing and recently proposed wind farms do not represent an elevated threat to dispersing eagles. Caution should nevertheless be taken against interpreting that co-occurrence poses no threat at any given site, as site selection is paramount to avoid conflicts with avian conservation.</t>
  </si>
  <si>
    <t>[Balotari-Chiebao, Fabio; Brommer, Jon E.; Laaksonen, Toni] Univ Turku, Dept Biol, Sect Ecol, Turku 20014, Finland; [Saurola, Pertti] Univ Helsinki, Finnish Museum Nat Hist, Ringing Ctr, POB 17, Helsinki 00014, Finland; [Ijas, Asko] Univ Turku, Ctr Maritime Studies, Brahea Ctr, POB 181, Pori 28101, Finland</t>
  </si>
  <si>
    <t>University of Turku; University of Helsinki; University of Turku</t>
  </si>
  <si>
    <t>Balotari-Chiebao, F (corresponding author), Univ Turku, Dept Biol, Sect Ecol, Turku 20014, Finland.</t>
  </si>
  <si>
    <t>fabach@utu.fi; jon.brommer@utu.fi; pertti.saurola@helsinki.fi; tokrla@utu.fi</t>
  </si>
  <si>
    <t>; Balotari Chiebao, Fabio/HHN-1091-2022; Laaksonen, Toni/B-4241-2014; Brommer, Jon/C-3613-2008</t>
  </si>
  <si>
    <t>Balotari Chiebao, Fabio/0000-0001-5937-9981; Saurola, Pertti Lauri/0000-0002-8468-9751; Laaksonen, Toni/0000-0001-9035-7131; Brommer, Jon/0000-0002-2435-2612</t>
  </si>
  <si>
    <t>10.1016/j.landurbplan.2018.05.012</t>
  </si>
  <si>
    <t>GM3AG</t>
  </si>
  <si>
    <t>WOS:000437967500023</t>
  </si>
  <si>
    <t>Baláz, V; Vörös, J; Civis, P; Vojar, J; Hettyey, A; Sós, E; Dankovics, R; Jehle, R; Christiansen, DG; Clare, F; Fisher, MC; Garner, TWJ; Bielby, J</t>
  </si>
  <si>
    <t>Balaz, Vojtech; Voeroes, Judit; Civis, Petr; Vojar, Jiri; Hettyey, Attila; Sos, Endre; Dankovics, Robert; Jehle, Robert; Christiansen, Ditte G.; Clare, Frances; Fisher, Matthew C.; Garner, Trenton W. J.; Bielby, Jon</t>
  </si>
  <si>
    <t>amphibians &lt; animals; conservation planning; disease; epidemiology; Europe; inventory and monitoring; risk assessment</t>
  </si>
  <si>
    <t>CHYTRID FUNGUS; SPECIES-DIVERSITY; CLIMATE-CHANGE; BUFO-BUFO; DISEASE; CHYTRIDIOMYCOSIS; SUSCEPTIBILITY; BIODIVERSITY; AMPHIBIANS; DECLINES</t>
  </si>
  <si>
    <t>Amphibians are globally threatened, but not all species are affected equally by different threatening processes. This is true for the threat posed by the chytridiomycete fungus (Batrachochytrium dendrobatidis). We compiled a European data set for B. dendrobatidis to analyze the trends of infection in European amphibians. The risk of infection was not randomly distributed geographically or taxonomically across Europe. Within countries with different prevalence, infection was nonrandom in certain amphibian taxa. Brown frogs of the genus Rana were unlikely to be infected, whereas frogs in the families Alytidae and Bombinatoridae were significantly more likely to be infected than predicted by chance. Frogs in the 2 families susceptible to B. dendrobatidis should form the core of attempts to develop spatial surveillance studies of chytridiomycosis in Europe. Ideally, surveys for B. dendrobatidis should be augmented by sampling the widespread genus Pelophylax because this taxon exhibits geographically inconsistent overinfection with B. dendrobatidis and surveillance of it may facilitate recognition of factors causing spatial variability of infection intensity. Several European amphibian taxa were not represented in our data set; however, surveillance of unsampled species should also occur when warranted.</t>
  </si>
  <si>
    <t>[Balaz, Vojtech] Univ Vet &amp; Pharmaceut Sci Brno, Dept Biol &amp; Wildlife Dis, Fac Vet Hyg &amp; Ecol, Brno 61242, Czech Republic; [Voeroes, Judit] Hungarian Nat Hist Museum, H-1088 Budapest, Hungary; [Civis, Petr; Vojar, Jiri] Czech Univ Life Sci Prague, Fac Environm Sci, CZ-16521 Prague, Czech Republic; [Hettyey, Attila] Univ Vet Med Vienna, Dept Integrat Biol &amp; Evolut, Konrad Lorenz Inst Ethol, A-1160 Vienna, Austria; [Hettyey, Attila] Hungarian Acad Sci, Lendulet Evolutionary Ecol Res Grp, Inst Plant Protect, Agr Res Ctr, H-1022 Budapest, Hungary; [Sos, Endre] Budapest Zoo &amp; Bot Garden, H-1146 Budapest, Hungary; [Dankovics, Robert] Savaria Museum, H-9700 Szombathely, Hungary; [Jehle, Robert] Univ Salford, Sch Environm &amp; Life Sci, Salford M5 4WT, Greater Manches, England; [Christiansen, Ditte G.] Univ Zurich, Inst Evolutionary Biol &amp; Environm Studies, CH-8057 Zurich, Switzerland; [Clare, Frances; Garner, Trenton W. J.; Bielby, Jon] Zool Soc London, Inst Zool, London NW1 4RY, England; [Clare, Frances; Fisher, Matthew C.] Univ London Imperial Coll Sci Technol &amp; Med, Dept Infect Dis Epidemiol, St Marys Hosp, London, England</t>
  </si>
  <si>
    <t>University of Veterinary Sciences Brno; Czech University of Life Sciences Prague; University of Veterinary Medicine Vienna; HUN-REN; HUN-REN Centre for Agricultural Research; Plant Protection Institute - HAS; Hungarian Academy of Sciences; University of Salford; University of Zurich; Zoological Society of London; Imperial College London</t>
  </si>
  <si>
    <t>Baláz, V (corresponding author), Univ Vet &amp; Pharmaceut Sci Brno, Dept Biol &amp; Wildlife Dis, Fac Vet Hyg &amp; Ecol, Palackeho Tr 1-3, Brno 61242, Czech Republic.</t>
  </si>
  <si>
    <t>trent.garner@ioz.ac.uk</t>
  </si>
  <si>
    <t>Fisher, Matthew/B-9094-2011; Bielby, Jon/KFA-9402-2024; Vojar, Jiri/AAC-9775-2019; Hettyey, Attila/AFJ-8104-2022; Balaz, Vojtech/M-5314-2013; Garner, Trenton/D-6873-2011</t>
  </si>
  <si>
    <t>Fisher, Matthew/0000-0002-1862-6402; Bielby, Jon/0000-0003-4586-0429; Vojar, Jiri/0000-0002-6824-9449; Hettyey, Attila/0000-0003-0678-0936; Balaz, Vojtech/0000-0001-6521-5350; Garner, Trenton/0000-0002-0336-9706; Vörös, Judit/0000-0001-9707-1443</t>
  </si>
  <si>
    <t>EU; Morris Animal Foundation; Faculty of Environmental Science, Czech University of Life Sciences in Prague [42900/1312/3114]; Prague City Hall [OOP/A579/2007]; NERC [NE/K014455/1, NE/G002193/1] Funding Source: UKRI; Natural Environment Research Council [NE/K014455/1, NE/G002193/1] Funding Source: researchfish</t>
  </si>
  <si>
    <t>EU(European Union (EU)); Morris Animal Foundation; Faculty of Environmental Science, Czech University of Life Sciences in Prague; Prague City Hall; NERC(UK Research &amp; Innovation (UKRI)Natural Environment Research Council (NERC)); Natural Environment Research Council(UK Research &amp; Innovation (UKRI)Natural Environment Research Council (NERC))</t>
  </si>
  <si>
    <t>Funding for this project was in part provided by the EU BiodivErsA scheme through the RACE Project (Risk Assessment of Chytridiomycosis to European Amphibian Biodiversity), the Morris Animal Foundation, a Research Project of the Faculty of Environmental Science, Czech University of Life Sciences in Prague (42900/1312/3114), and Prague City Hall (OOP/A579/2007).</t>
  </si>
  <si>
    <t>10.1111/cobi.12128</t>
  </si>
  <si>
    <t>WOS:000330265900022</t>
  </si>
  <si>
    <t>Bhatt, JP; Manish, K; Mehta, R; Pandit, MK</t>
  </si>
  <si>
    <t>Bhatt, Jay P.; Manish, Kumar; Mehta, Rajender; Pandit, Maharaj K.</t>
  </si>
  <si>
    <t>Assessing Potential Conservation and Restoration Areas of Freshwater Fish Fauna in the Indian River Basins</t>
  </si>
  <si>
    <t>Conservation; Conservation value index; Freshwater fish fauna; Restoration; Vulnerability index</t>
  </si>
  <si>
    <t>BIODIVERSITY CONSERVATION; BIOLOGICAL DIVERSITY; PROTECTED AREAS; PRIORITIZATION; PRIORITY; SCALE; BUTTERFLIES; CHALLENGES; MANAGEMENT; LANDSCAPE</t>
  </si>
  <si>
    <t>Conservation efforts globally are skewed toward terrestrial ecosystems. To date, conservation of aquatic ecosystems, in particular fish fauna, is largely neglected. We provide a country-wide assessment of Indian river ecosystems in order to identify and prioritize areas for protection and restoration of freshwater fish fauna. Using various biodiversity and anthropogenic attributes, coupled with tools of ecological modeling, we delineated areas for fish fauna conservation and restoration in the 20 major river basins of India. To do this, we used prioritization analyses and reserve selection algorithms to derive conservation value index (CVI) and vulnerability index (VI) of the river basins. CVI was estimated using endemicity, rarity, conservation value, and taxonomic singularity, while VI was estimated using a disturbance index derived from percent geographic area of the basin under human settlements, human population density, predominant land use, and total number of exotic fish species in each basin. The two indices, CVI and VI, were converted into geo-referenced maps, and each map was super-imposed onto species richness and forest cover maps, respectively. After superimposition, areas with high CVI and low VI shade intensities were delineated for conservation, while areas with high CVI and high VI shade intensities were demarcated for restoration. In view of the importance of freshwater fish for human livelihoods and consumption, and ecosystems of India's rivers, we call for urgent attention to the conservation of their fish fauna along with restoration of their degraded habitats.</t>
  </si>
  <si>
    <t>[Bhatt, Jay P.; Manish, Kumar; Mehta, Rajender; Pandit, Maharaj K.] Univ Delhi, Ctr Interdisciplinary Studies Mt &amp; Hill Environm, Delhi 110007, India; [Manish, Kumar; Pandit, Maharaj K.] Univ Delhi, Dept Environm Studies, Delhi 110007, India; [Pandit, Maharaj K.] Harvard Univ, Radcliffe Inst Adv Study, Cambridge, MA 02138 USA</t>
  </si>
  <si>
    <t>University of Delhi; University of Delhi; Harvard University</t>
  </si>
  <si>
    <t>Pandit, MK (corresponding author), Univ Delhi, Ctr Interdisciplinary Studies Mt &amp; Hill Environm, Delhi 110007, India.;Pandit, MK (corresponding author), Univ Delhi, Dept Environm Studies, Delhi 110007, India.;Pandit, MK (corresponding author), Harvard Univ, Radcliffe Inst Adv Study, Cambridge, MA 02138 USA.</t>
  </si>
  <si>
    <t>mkpandit@cismhe.org</t>
  </si>
  <si>
    <t>; Manish, Kumar/M-5034-2019; Pandit, Maharaj/A-4065-2014</t>
  </si>
  <si>
    <t>Bhatt, Jay/0000-0002-2930-5209; Manish, Kumar/0000-0002-0373-0426; Pandit, Maharaj/0000-0001-6611-560X</t>
  </si>
  <si>
    <t>CISMHE; DU-DST-Purse grant; Department of Science &amp; Technology INSPIRE Research Fellowship, Government of India</t>
  </si>
  <si>
    <t>The authors thank the editors and two anonymous reviewers for their constructive comments. JPB acknowledges the financial support of CISMHE for this study. MKP acknowledges the financial support of DU-DST-Purse grant sanctioned to him as Professor in Department of Environmental Studies, University of Delhi and Radcliffe Institute for Advanced Study, Harvard University for providing necessary facilities, and KM acknowledges the support of Department of Science &amp; Technology INSPIRE Research Fellowship, Government of India.</t>
  </si>
  <si>
    <t>10.1007/s00267-016-0670-x</t>
  </si>
  <si>
    <t>DJ4KU</t>
  </si>
  <si>
    <t>WOS:000374174800013</t>
  </si>
  <si>
    <t>Katzner, TE; Braham, MA; Conkling, TJ; Diffendorfer, JE; Duerr, AE; Loss, SR; Nelson, DM; Vander Zanden, HB; Yee, JL</t>
  </si>
  <si>
    <t>Katzner, Todd E.; Braham, Melissa A.; Conkling, Tara J.; Diffendorfer, Jay E.; Duerr, Adam E.; Loss, Scott R.; Nelson, David M.; Vander Zanden, Hannah B.; Yee, Julie L.</t>
  </si>
  <si>
    <t>anthropogenic stressors; bats; birds; demographic impacts; integrated population model; renewable energy; stable isotope analysis</t>
  </si>
  <si>
    <t>WIND ENERGY DEVELOPMENT; HUMAN-CAUSED MORTALITY; GENETIC-MARKERS; BIRDS; CONSERVATION; MIGRATION; MODELS; BATS; ABUNDANCE; FATALITY</t>
  </si>
  <si>
    <t>Human activity influences wildlife. However, the ecological and conservation significances of these influences are difficult to predict and depend on their population-level consequences. This difficulty arises partly because of information gaps, and partly because the data on stressors are usually collected in a count-based manner (e.g., number of dead animals) that is difficult to translate into rate-based estimates important to infer population-level consequences (e.g., changes in mortality or population growth rates). However, ongoing methodological developments can provide information to make this transition. Here, we synthesize tools from multiple fields of study to propose an overarching, spatially explicit framework to assess population-level consequences of anthropogenic stressors on terrestrial wildlife. A key component of this process is using ecological information from affected animals to upscale from count-based field data on individuals to rate-based demographic inference. The five steps to this framework are (1) framing the problem to identify species, populations, and assessment parameters; (2) field-based measurement of the effect of the stressor on individuals; (3) characterizing the location and size of the populations of interest; (4) demographic modeling for those populations; and (5) assessing the significance of stressor-induced changes in demographic rates. The tools required for each of these steps are well developed, and some have been used in conjunction with each other, but the entire group has not previously been unified together as we do in this framework. We detail these steps and then illustrate their application for two species affected by different anthropogenic stressors. In our examples, we use stable hydrogen isotope data to infer a catchment area describing the geographic origins of affected individuals, as the basis to estimate population size for that area. These examples reveal unexpectedly greater potential risks from stressors for the more common and widely distributed species. This work illustrates key strengths of the framework but also important areas for subsequent theoretical and technical development to make it still more broadly applicable.</t>
  </si>
  <si>
    <t>[Katzner, Todd E.; Conkling, Tara J.] US Geol Survey, Forest &amp; Rangeland Ecosyst Sci Ctr, Boise, ID 83702 USA; [Braham, Melissa A.] West Virginia Univ, Div Geol &amp; Geog, Morgantown, WV 26506 USA; [Diffendorfer, Jay E.] US Geol Survey, Geosci &amp; Environm Change Sci Ctr, Box 25046, Denver, CO 80225 USA; [Duerr, Adam E.] Bloom Res, Los Angeles, CA USA; [Duerr, Adam E.] West Virginia Univ, Div Forestry &amp; Nat Resources, Morgantown, WV 26506 USA; [Loss, Scott R.] Oklahoma State Univ, Dept Nat Resource Ecol &amp; Management, Stillwater, OK 74078 USA; [Nelson, David M.] Univ Maryland, Ctr Environm Sci, Appalachian Lab, Frostburg, MD USA; [Vander Zanden, Hannah B.] Univ Florida, Dept Biol, Gainesville, FL USA; [Yee, Julie L.] US Geol Survey, Western Ecol Res Ctr, Santa Cruz, CA USA</t>
  </si>
  <si>
    <t>United States Department of the Interior; United States Geological Survey; West Virginia University; United States Department of the Interior; United States Geological Survey; West Virginia University; Oklahoma State University System; Oklahoma State University - Stillwater; University System of Maryland; University of Maryland Center for Environmental Science; State University System of Florida; University of Florida; United States Department of the Interior; United States Geological Survey</t>
  </si>
  <si>
    <t>Katzner, TE (corresponding author), US Geol Survey, Forest &amp; Rangeland Ecosyst Sci Ctr, Boise, ID 83702 USA.</t>
  </si>
  <si>
    <t>tkatzner@usgs.gov</t>
  </si>
  <si>
    <t>; Loss, Scott/B-1504-2014; Nelson, David/AAP-9412-2020</t>
  </si>
  <si>
    <t>Yee, Julie/0000-0003-1782-157X; Duerr, Adam/0000-0002-6145-8897; Conkling, Tara/0000-0003-1926-8106; Vander Zanden, Hannah/0000-0003-3366-5116; Braham, Melissa/0000-0001-7917-1889; Diffendorfer, Jay/0000-0003-1093-6948; Loss, Scott/0000-0002-8753-2995; Nelson, David/0000-0003-2755-5535</t>
  </si>
  <si>
    <t>California Energy Commission [EPC-14-061]; US Bureau of Land Management</t>
  </si>
  <si>
    <t>California Energy Commission; US Bureau of Land Management</t>
  </si>
  <si>
    <t>Funding for this work was provided by the California Energy Commission, grant EPC-14-061, and the US Bureau of Land Management. Samples from wildlife were collected by renewable energy operators under site-specific special purpose utility (SPUT) permits. Samples were held by the authors under USFWS permit MB72348B-1, and precursors. Because no live animals were used in this work, IACUC and animal capture permits were not required. R. Culver, P. Ortiz, D. Schmidt, R. Paulman. T. Dietsch, P. Sanzenbacher, and many others assisted with sample collection and processing. T. Allison and D. Stoms provided helpful reviews of versions of the manuscript. Statement of author contributions: TK designed this study and led conceptual development and writing; TK led acquisition of avian carcasses and sample collection from them; DN and HVZ conducted and analyzed stable isotope data with input from TK and TC; HVZ and MB created maps and with TK estimated population sizes; TC designed and ran demographic models with the assistance of JD, AD, SL, TK, and JY; all authors participated in multiple discussions that led to the application for funding and to the creation and refinement of this framework and all authors contributed to writing the manuscript. Any use of trade, firm, or product names is for descriptive purposes only and does not imply endorsement by the U.S. Government.</t>
  </si>
  <si>
    <t>e03046</t>
  </si>
  <si>
    <t>10.1002/ecs2.3046</t>
  </si>
  <si>
    <t>LJ8PG</t>
  </si>
  <si>
    <t>WOS:000530422900014</t>
  </si>
  <si>
    <t>Alcaraz, C; Carmona-Catot, G; Risueño, P; Perea, S; Pérez, C; Doadrio, I; Aparicio, E</t>
  </si>
  <si>
    <t>Alcaraz, Carles; Carmona-Catot, Gerard; Risueno, Pilar; Perea, Silvia; Perez, Cristina; Doadrio, Ignacio; Aparicio, Enric</t>
  </si>
  <si>
    <t>ENVIRONMENTAL BIOLOGY OF FISHES</t>
  </si>
  <si>
    <t>Fish conservation; Invasive species; Water management; Cyprinidae; Jucar nase; Iberian Peninsula</t>
  </si>
  <si>
    <t>FRESH-WATER FISH; MEDITERRANEAN STREAMS; BIODIVERSITY CRISIS; IBERIAN PENINSULA; NONNATIVE FISH; INVASIVE FISH; HABITAT; ECOSYSTEMS; IMPACTS; BIOLOGY</t>
  </si>
  <si>
    <t>Biodiversity is currently declining in the Mediterranean, particularly in freshwater ecosystems. The Iberian Peninsula is not an exception with many fish species threatened or endangered. This is the case of Parachondrostoma arrigonis, which has experienced a marked reduction of more than 80 % in both number and area of occupancy in the last 20 years. Species historical records showed a widespread distribution in the JA(0)car Basin, but according to recent records, P. arrigonis was completely absent in the main river course, being restricted to only some tributaries. Current fish distribution was grouped into only seven fish population nuclei geographically isolated among them. Only two population nuclei showed with well-developed fish populations. Factors affecting P. arrigonis distribution are associated to human activities, such as river channelization, flow regulation, pollution and habitat degradation, being concentrated in the middle and lower river reaches where the JA(0)car nase is in marked regression. Another key factor was the presence of introduced species, reporting a strong spatial segregation with the translocated Pseudochondrostoma polylepis, an ecologically similar species, and with the exotic piscivorous Micropterus salmoides and Esox lucius, which are currently occupying most of the P. arrigonis historical range. Because its dramatic situation, conservation measures must be urgently taken, for instance, by establishing conservation areas, an exotic fish removal programme, and by developing a flow regulation program to minimize dam effects. However it is necessary to increase our knowledge regarding the habitat requirements of the JA(0)car nase and its interactions with invasive species. If measures are not implemented its extinction seems inevitable.</t>
  </si>
  <si>
    <t>[Alcaraz, Carles] IRTA Aquat Ecosyst, San Carlos de la Rapita 43540, Catalonia, Spain; [Alcaraz, Carles; Carmona-Catot, Gerard; Aparicio, Enric] Univ Girona, Inst Aquat Ecol, Girona 17071, Catalonia, Spain; [Risueno, Pilar] Generalitat Valenciana, Ctr Invest Piscicola El Palmar, Conselleria Infraestruct Terr &amp; Medio Ambiente, Valencia 46011, Spain; [Perea, Silvia; Doadrio, Ignacio] Museo Nacl Ciencias Nat, Dept Biodiversidad &amp; Biol Evolut, Madrid 28006, Spain; [Perez, Cristina] Univ Salamanca, Fac Ciencias Agr &amp; Ambientales, Salamanca 37007, Castilla Leon, Spain</t>
  </si>
  <si>
    <t>IRTA; Universitat de Girona; Consejo Superior de Investigaciones Cientificas (CSIC); CSIC - Museo Nacional de Ciencias Naturales (MNCN); University of Salamanca</t>
  </si>
  <si>
    <t>Alcaraz, C (corresponding author), IRTA Aquat Ecosyst, Carretera Poble Nou Km 5-5, San Carlos de la Rapita 43540, Catalonia, Spain.</t>
  </si>
  <si>
    <t>carles.alcaraz@gmail.com</t>
  </si>
  <si>
    <t>Perea, Silvia/A-7620-2018; Alcaraz, Carles/D-1930-2009; Doaio, Ignacio/F-8448-2016; Aparicio, Enric/C-2578-2017</t>
  </si>
  <si>
    <t>Perea, Silvia/0000-0003-0436-8577; Alcaraz, Carles/0000-0002-2147-4796; Doaio, Ignacio/0000-0003-4863-9711; Aparicio, Enric/0000-0001-8810-0783</t>
  </si>
  <si>
    <t>Spanish Ministry of Environment (MMA) [CGL2010-231BOS]; DOC-INIA programme - Spanish National Institute for Agricultural and Food Research and Technology (INIA), Spanish Ministry of Economy and Competitiveness; University of Girona [BR2010/10]</t>
  </si>
  <si>
    <t>Spanish Ministry of Environment (MMA); DOC-INIA programme - Spanish National Institute for Agricultural and Food Research and Technology (INIA), Spanish Ministry of Economy and Competitiveness; University of Girona</t>
  </si>
  <si>
    <t>Financial support was provided by the Spanish Ministry of Environment (MMA) through the project CGL2010-231BOS. CA held a postdoctoral contract (DOC-INIA programme) granted by the Spanish National Institute for Agricultural and Food Research and Technology (INIA), Spanish Ministry of Economy and Competitiveness; and GCC held a doctoral fellowship (BR2010/10) from the University of Girona during preparation of the manuscript. We want to thank Jose Velazquez Cano and Jesus Hernandez Nunez de Arenas (Biodiversity Service from the Conselleria de Medio Ambiente, Generalitat Valenciana), and Elisabeth Fernandez, (URS, United Research Services) for field assistance. Specials thanks are also due to CHJ for data provided. All appropriate ethics and permissions required for the realization of this manuscript were obtained, previously, by the authors.</t>
  </si>
  <si>
    <t>0378-1909</t>
  </si>
  <si>
    <t>1573-5133</t>
  </si>
  <si>
    <t>ENVIRON BIOL FISH</t>
  </si>
  <si>
    <t>Environ. Biol. Fishes</t>
  </si>
  <si>
    <t>10.1007/s10641-014-0274-3</t>
  </si>
  <si>
    <t>AU5CS</t>
  </si>
  <si>
    <t>WOS:000345625400038</t>
  </si>
  <si>
    <t>Karimi, A; Jones, K</t>
  </si>
  <si>
    <t>Karimi, Azadeh; Jones, Kendall</t>
  </si>
  <si>
    <t>Human footprint; Human population; Human pressure; Iran; IUCN management categories; Protected areas</t>
  </si>
  <si>
    <t>PROTECTED AREAS; LAND; CHALLENGES; HABITAT; THREATS; MAP</t>
  </si>
  <si>
    <t>Recent global-scale studies have revealed intense levels of human activities within many protected areas worldwide. However, these analyses rely on coarse global-scale data, making their utility for informing local-scale conservation action limited. We developed a spatially explicit national human footprint index for Iran, a biologically diverse country in west Asia, based on the latest high-resolution datasets available for human pressures. We assessed the extent and intensity of human pressure within Iranian protected areas, and across the biomes and ecoregions of Iran. We found that almost one-quarter (22%) of officially protected land was under intense human pressure, mostly located in north-west and west of the country. Protected areas within temperate grasslands, savannas, and shrublands are most impacted, with two-third of their area under intense pressure. The findings provide valuable information for targeting management strategies to alleviate human pressures within protected areas, and also act as a comprehensive database to track the state of protected areas through time.</t>
  </si>
  <si>
    <t>[Karimi, Azadeh] Ferdowsi Univ Mashhad, Fac Nat Resources &amp; Environm, Dept Environm, Mashhad 9177948974, Razavi Khorasan, Iran; [Jones, Kendall] Wildlife Conservat Soc, Global Conservat Program, Bronx, NY 10460 USA</t>
  </si>
  <si>
    <t>Ferdowsi University Mashhad; Wildlife Conservation Society</t>
  </si>
  <si>
    <t>Karimi, A (corresponding author), Ferdowsi Univ Mashhad, Fac Nat Resources &amp; Environm, Dept Environm, Mashhad 9177948974, Razavi Khorasan, Iran.</t>
  </si>
  <si>
    <t>az-karimi@um.ac.ir; krjones@wcs.org</t>
  </si>
  <si>
    <t>Karimi, Azadeh/U-2105-2019; Jones, Kendall/N-2464-2015</t>
  </si>
  <si>
    <t>Karimi, Azadeh/0000-0002-0892-6647; Jones, Kendall/0000-0003-2221-9938</t>
  </si>
  <si>
    <t>10.1007/s13280-019-01305-8</t>
  </si>
  <si>
    <t>MC7EE</t>
  </si>
  <si>
    <t>WOS:000543444600005</t>
  </si>
  <si>
    <t>Ye, X; Liu, GH; Li, ZS; Wang, H; Zeng, Y</t>
  </si>
  <si>
    <t>Ye, Xin; Liu, Guohua; Li, Zongshan; Wang, Hao; Zeng, Yuan</t>
  </si>
  <si>
    <t>Assessing Local and Surrounding Threats to the Protected Area Network in a Biodiversity Hotspot: The Hengduan Mountains of Southwest China</t>
  </si>
  <si>
    <t>WOLONG NATURE-RESERVE; LAND-USE CHANGE; TROPICAL FORESTS; NATIONAL-PARKS; CONSERVATION; VULNERABILITY; DEFORESTATION; DEGRADATION; MANAGEMENT; VEGETATION</t>
  </si>
  <si>
    <t>Protected areas (PAs) not only serve as refuges of biodiversity conservation but are also part of large ecosystems and are vulnerable to change caused by human activity from surrounding lands, especially in biodiversity hotspots. Assessing threats to PAs and surrounding areas is therefore a critical step in effective conservation planning. We apply a threat framework as a means of quantitatively assessing local and surrounding threats to different types of PAs with gradient buffers, and to main ecoregions in the Hengduan Mountain Hotspot of southwest China. Our findings show that national protected areas (NPAs) have lower and significantly lower threat values (p&lt; 0.05) than provincial protected areas (PPAs) and other protected areas (OPAs), respectively, which indicates that NPAs are lands with a lower threat level and higher levels of protection and management. PAs have clear edge effects, as the proportion of areas with low threat levels decline dramatically in the 5-kilometer buffers just outside the PAs. However, NPAs suffered greater declines (58.3%) than PPAs (34.8%) and OPAs (33.4%) in the 5-kilometer buffers. Moreover, a significant positive correlation was found between the size of PAs and the proportion of areas with low threat levels that they contained in both PAs and PA buffers (p&lt; 0.01). To control or mitigate current threats at the regional scale, PA managers often require quantitative information related to threat intensities and spatial distribution. The threat assessment in the Hengduan Mountain Hotspot will be useful to policy makers and managers in their efforts to establish effective plans and target-oriented management strategies.</t>
  </si>
  <si>
    <t>[Ye, Xin; Liu, Guohua; Li, Zongshan; Wang, Hao] Chinese Acad Sci, Ecoenvironm Sci Res Ctr, State Key Lab Urban &amp; Reg Ecol, Beijing, Peoples R China; [Ye, Xin; Wang, Hao] Univ Chinese Acad Sci, Beijing, Peoples R China; [Zeng, Yuan] Chinese Acad Sci, Inst Remote Sensing &amp; Digital Earth, Beijing, Peoples R China</t>
  </si>
  <si>
    <t>Chinese Academy of Sciences; Research Center for Eco-Environmental Sciences (RCEES), CAS; Chinese Academy of Sciences; University of Chinese Academy of Sciences, CAS; Chinese Academy of Sciences; The Institute of Remote Sensing &amp; Digital Earth, CAS</t>
  </si>
  <si>
    <t>Liu, GH (corresponding author), Chinese Acad Sci, Ecoenvironm Sci Res Ctr, State Key Lab Urban &amp; Reg Ecol, POB 934, Beijing, Peoples R China.</t>
  </si>
  <si>
    <t>ghliu@rcees.ac.cn</t>
  </si>
  <si>
    <t>National Science &amp; Technology Pillar Program during the Twelfth Five-year Plan Period [2011BAC09B00, 2011BAC09B08]</t>
  </si>
  <si>
    <t>National Science &amp; Technology Pillar Program during the Twelfth Five-year Plan Period</t>
  </si>
  <si>
    <t>This study was supported by National Science &amp; Technology Pillar Program during the Twelfth Five-year Plan Period (Nos. 2011BAC09B00 and 2011BAC09B08). The funders had no role in study design, data collection and analysis, decision to publish, or preparation of the manuscript.</t>
  </si>
  <si>
    <t>SEP 18</t>
  </si>
  <si>
    <t>e0138533</t>
  </si>
  <si>
    <t>10.1371/journal.pone.0138533</t>
  </si>
  <si>
    <t>CS0ZE</t>
  </si>
  <si>
    <t>WOS:000361790200121</t>
  </si>
  <si>
    <t>Magliozzi, C; Tsiamis, K; Vigiak, O; Deriu, I; Gervasini, E; Cardoso, AC</t>
  </si>
  <si>
    <t>Magliozzi, Chiara; Tsiamis, Konstantinos; Vigiak, Olga; Deriu, Ivan; Gervasini, Eugenio; Cardoso, Ana Cristina</t>
  </si>
  <si>
    <t>River management; Ecological status; Freshwater; Invasion; Alien species of union concern; Ecosystem</t>
  </si>
  <si>
    <t>FRESH-WATER FISHES; CONSERVATION; BIODIVERSITY; PRIORITIZATION; DETERMINANTS; POLICIES; DRIVERS; THREATS</t>
  </si>
  <si>
    <t>Invasive alien species (IAS) induce changes to community structure and functions which lead to a decline of endemic species and major irreversible changes to the local physical habitat. The distribution and the impacts of multiple freshwater IAS are not well known, and they have not been investigated simultaneously at catchment and at European scales. This study provides an assessment of the distribution and cumulative impact of freshwater IAS over European catchments. IAS occurrences were retrieved from the European Alien Species Information Network geospatial dataset and updated with the most recent records from the literature. The Cumulative Impact Index of Invasive Alien Species (CIMPAL) was derived by aggregating the impacts of species and their occupied area at catchment level by following three steps: i) IAS were scored by both the magnitude of impacts on freshwater ecosystems and the strength of evidence in the literature, ii) scores were mapped over the catchment area, and iii) scores were summed across IAS over the catchment. The distribution of CIMPAL in the river ecological classes of the Water Framework Directive was examined and increasing/decreasing patterns identified across ecological statuses. Results showed strong spatial variation in the documented distribution and impacts of IAS in Europe. Catchments with CIMPAL scores &gt; 40 (range 0-55) clustered in Western European countries (e.g. Belgium and France) were characterised by plant, invertebrate and vertebrate IAS that had both a large impact in magnitude and colonisation at local (catchment level) and large scale (across catchments). CIMPAL showed statistically significant and increasing values from high to bad ecological classes in eight countries only (Belgium, the Czech Republic, Germany, France, Hungary, Italy, Luxemburg, Poland). This study provides comprehensive evidence of the distribution and impact of IAS within freshwater environments that could be used to improve understanding of the ecological pressures at catchment scale.</t>
  </si>
  <si>
    <t>[Magliozzi, Chiara; Tsiamis, Konstantinos; Vigiak, Olga; Deriu, Ivan; Gervasini, Eugenio; Cardoso, Ana Cristina] European Commiss, Joint Res Ctr, Ispra, Italy</t>
  </si>
  <si>
    <t>European Commission Joint Research Centre; EC JRC ISPRA Site</t>
  </si>
  <si>
    <t>Magliozzi, C (corresponding author), CNR ISTI, Area Ric CNR, Via G Moruzzi 1, I-56124 Pisa, Italy.</t>
  </si>
  <si>
    <t>chiara.magliozzi@isti.cnr.it</t>
  </si>
  <si>
    <t>; Vigiak, Olga/ABA-4538-2021</t>
  </si>
  <si>
    <t>Cardoso, Ana Cristina/0000-0002-0350-0727; magliozzi, chiara/0000-0002-7975-5320; Gervasini, Eugenio/0009-0003-2728-965X; Vigiak, Olga/0009-0007-3216-2337</t>
  </si>
  <si>
    <t>European Commission [294324]; European Research Council (ERC) [294324] Funding Source: European Research Council (ERC)</t>
  </si>
  <si>
    <t>European Commission(European Union (EU)European Commission Joint Research Centre); European Research Council (ERC)(European Research Council (ERC))</t>
  </si>
  <si>
    <t>This research was funded by the European Commission, JRC job no. 294324 entitled EASIN: Linking to alien species records in the literature.</t>
  </si>
  <si>
    <t>AUG 25</t>
  </si>
  <si>
    <t>10.1016/j.scitotenv.2020.138677</t>
  </si>
  <si>
    <t>LX7IU</t>
  </si>
  <si>
    <t>WOS:000540001800006</t>
  </si>
  <si>
    <t>Arkema, KK; Verutes, G; Bernhardt, JR; Clarke, C; Rosado, S; Canto, M; Wood, SA; Ruckelshaus, M; Rosenthal, A; McField, M; de Zegher, J</t>
  </si>
  <si>
    <t>Arkema, Katie K.; Verutes, Gregory; Bernhardt, Joanna R.; Clarke, Chantalle; Rosado, Samir; Canto, Maritza; Wood, Spencer A.; Ruckelshaus, Mary; Rosenthal, Amy; McField, Melanie; de Zegher, Joann</t>
  </si>
  <si>
    <t>Assessing habitat risk from human activities to inform coastal and marine spatial planning: a demonstration in Belize</t>
  </si>
  <si>
    <t>risk assessment; habitats; coastal zone management; coastal and marine planning; stressors; Belize; cumulative impacts</t>
  </si>
  <si>
    <t>ECOSYSTEM-BASED MANAGEMENT; HUMAN IMPACTS; SERVICES; CONSERVATION; VULNERABILITY; LESSONS; OCEAN; MAP</t>
  </si>
  <si>
    <t>Integrated coastal and ocean management requires transparent and accessible approaches for understanding the influence of human activities on marine environments. Here we introduce a model for assessing the combined risk to habitats from multiple ocean uses. We apply the model to coral reefs, mangrove forests and seagrass beds in Belize to inform the design of the country's first Integrated Coastal Zone Management (ICZM) Plan. Based on extensive stakeholder engagement, review of existing legislation and data collected from diverse sources, we map the current distribution of coastal and ocean activities and develop three scenarios for zoning these activities in the future. We then estimate ecosystem risk under the current and three future scenarios. Current levels of risk vary spatially among the nine coastal planning regions in Belize. Empirical tests of the model are strong-three-quarters of the measured data for coral reef health lie within the 95% confidence interval of interpolated model data and 79% of the predicted mangrove occurrences are associated with observed responses. The future scenario that harmonizes conservation and development goals results in a 20% reduction in the area of high-risk habitat compared to the current scenario, while increasing the extent of several ocean uses. Our results are a component of the ICZM Plan for Belize that will undergo review by the national legislature in 2015. This application of our model to marine spatial planning in Belize illustrates an approach that can be used broadly by coastal and ocean planners to assess risk to habitats under current and future management scenarios.</t>
  </si>
  <si>
    <t>[Arkema, Katie K.; Wood, Spencer A.; Ruckelshaus, Mary] Univ Washington, Sch Environm &amp; Forest Sci, Stanford Univ, Nat Capital Project, Seattle, WA 98195 USA; [Verutes, Gregory; Rosenthal, Amy] Stanford Univ, Nat Capital Project, World Wildlife Fund US, Washington, DC 20037 USA; [Bernhardt, Joanna R.] Univ British Columbia, Dept Zool, Vancouver, BC V6T 1Z4, Canada; [Bernhardt, Joanna R.] Univ British Columbia, Biodivers Res Ctr, Vancouver, BC V6T 1Z4, Canada; [Clarke, Chantalle; Rosado, Samir; Canto, Maritza] Belize Coastal Zone Management Author &amp; Inst, Belize City, Belize; [McField, Melanie] Smithsonian Inst, Hlth Reefs Initiat, Belize City, Belize; [de Zegher, Joann] Stanford Univ, Sch Earth Sci, Stanford, CA 94305 USA</t>
  </si>
  <si>
    <t>University of Washington; University of Washington Seattle; Stanford University; Stanford University; University of British Columbia; University of British Columbia; Stanford University</t>
  </si>
  <si>
    <t>Arkema, KK (corresponding author), Univ Washington, Sch Environm &amp; Forest Sci, Stanford Univ, Nat Capital Project, Box 352100, Seattle, WA 98195 USA.</t>
  </si>
  <si>
    <t>karkema@stanford.edu</t>
  </si>
  <si>
    <t>Bernhardt, Joey/ABG-5168-2021; Wood, Spencer/A-3603-2009</t>
  </si>
  <si>
    <t>Verutes, Gregory/0000-0002-7667-7902; Rosenthal, Amy/0000-0002-4329-5377; Wood, Spencer/0000-0002-5794-2619; ruckelshaus, mary/0000-0001-9492-2708</t>
  </si>
  <si>
    <t>Google Inc. Charitable Giving Fund of Tides Foundation; Summit Foundation; Gordon and Betty Moore Foundation</t>
  </si>
  <si>
    <t>Google Inc. Charitable Giving Fund of Tides Foundation(Google Incorporated); Summit Foundation; Gordon and Betty Moore Foundation(Gordon &amp; Betty Moore Foundation)</t>
  </si>
  <si>
    <t>We are grateful for support from Google Inc. Charitable Giving Fund of Tides Foundation, the Summit Foundation, and the Gordon and Betty Moore Foundation. We thank the staff at the Belize Coastal Zone Management Authority and Institute for facilitating site visits, time, expertise and vision for the coastal planning process. In addition, we thank the many government departments, non-governmental organizations and individuals in Belize that provided data, review and local knowledge, particularly Nadia Bood, Julie Robinson, Emil Cherrington and Leandra Cho-Ricketts. We are further indebted to David Fisher, Katherine Wyatt, Jameal Samhouri and Anne Guerry for their critical roles in helping this work reach the publication phase. Finally, we thank World Wildlife Fund for its commitment to our partnership and efforts to advance coastal zone planning in Belize.</t>
  </si>
  <si>
    <t>10.1088/1748-9326/9/11/114016</t>
  </si>
  <si>
    <t>AW9JS</t>
  </si>
  <si>
    <t>WOS:000346573900022</t>
  </si>
  <si>
    <t>Hausmann, A; Toivonen, T; Fink, C; Heikinheimo, V; Tenkanen, H; Butchart, SHM; Brooks, TM; Di Minin, E</t>
  </si>
  <si>
    <t>Hausmann, Anna; Toivonen, Tuuli; Fink, Christoph; Heikinheimo, Vuokko; Tenkanen, Henrikki; Butchart, Stuart H. M.; Brooks, Thomas M.; Di Minin, Enrico</t>
  </si>
  <si>
    <t>Social media; Biodiversity; Big data; Ecotourism; IBAs; Threat</t>
  </si>
  <si>
    <t>CONSERVATION; INDICATOR; TOURISM</t>
  </si>
  <si>
    <t>Understanding worldwide patterns of human use of sites of international significance for biodiversity conservation is crucial for meeting global conservation targets. However, robust global datasets are scarce. In this study, we used social media data, mined from Flickr and Twitter, geolocated in Important Bird and Biodiversity Areas (IBAs) to assess i) patterns of popularity; ii) relationships of this popularitywith geographical and biological variables; and iii) identify sites under high pressure fromvisitors. IBAs located in Europe and Asia, and in temperate biomes, had the highest density of users. Sites of importance for congregatory species, which were also more accessible, more densely populated and provided more tourism facilities, received higher visitation than did sites richer in bird species. Wefound 17% of all IBAs assessed to be under very high threat also received high visitation. Our results showinwhich IBAs enhancedmonitoring should be implemented to reduce potential visitation risks to sites of conservation concern for birds, and to harness the potential benefits of tourism for conservation. (C) 2019 The Authors. Published by Elsevier B.V.</t>
  </si>
  <si>
    <t>[Hausmann, Anna; Toivonen, Tuuli; Fink, Christoph; Heikinheimo, Vuokko; Tenkanen, Henrikki; Di Minin, Enrico] Univ Helsinki, Dept Geosci &amp; Geog, FI-00014 Helsinki, Finland; [Hausmann, Anna; Toivonen, Tuuli; Fink, Christoph; Heikinheimo, Vuokko; Tenkanen, Henrikki; Di Minin, Enrico] Univ Helsinki, Helsinki Inst Sustainabil Sci HEISUS, FI-00014 Helsinki, Finland; [Butchart, Stuart H. M.] BirdLife Int, David Atienborough Bldg Pembroke St, Cambridge CB2 3QZ, England; [Butchart, Stuart H. M.] Univ Cambridge, Dept Zool, Downing St, Cambridge CB2 3EJ, England; [Brooks, Thomas M.] Int Union Conservat Nat, 28 Rue Mauverney, CH-1196 Gland, Switzerland; [Brooks, Thomas M.] Univ Philippines Los Banos, World Agroforestry Ctr ICRAF, Laguna 4031, Philippines; [Brooks, Thomas M.] Univ Tasmania, Inst Marine &amp; Antarctic Studies, Hobart, Tas 7001, Australia; [Di Minin, Enrico] Univ Kwazulu Natal, Sch Life Sci, Durban, South Africa</t>
  </si>
  <si>
    <t>University of Helsinki; University of Helsinki; BirdLife International; University of Cambridge; University of the Philippines System; University of the Philippines Los Banos; CGIAR; World Agroforestry (ICRAF); University of Tasmania; University of Kwazulu Natal</t>
  </si>
  <si>
    <t>Hausmann, A (corresponding author), Univ Helsinki, Dept Geosci &amp; Geog, FI-00014 Helsinki, Finland.;Hausmann, A (corresponding author), Univ Helsinki, Helsinki Inst Sustainabil Sci HEISUS, FI-00014 Helsinki, Finland.</t>
  </si>
  <si>
    <t>anna.hausmann@helsinki.fi</t>
  </si>
  <si>
    <t>Tenkanen, Henrikki/N-2183-2019; Butchart, Stuart/Y-2711-2018; Di Minin, Enrico/J-6904-2013; Fink, Christoph/AEX-0106-2022</t>
  </si>
  <si>
    <t>Tenkanen, Henrikki/0000-0002-0918-4710; Toivonen, Tuuli/0000-0002-6625-4922; Butchart, Stuart/0000-0002-1140-4049; Hausmann, Anna/0000-0002-9639-9532; Di Minin, Enrico/0000-0002-5562-318X; Fink, Christoph/0000-0003-1251-9726; Heikinheimo, Vuokko/0000-0001-5119-0957</t>
  </si>
  <si>
    <t>KONE Foundation; Helsinki Institute of Sustainability Science (HELSUS); University of Helsinki; Helsinki-Metropolitan Region Urban Research Program (KATUMETRO); DENVI doctoral school; Academy of Finland [296524]; HELSUS</t>
  </si>
  <si>
    <t>KONE Foundation; Helsinki Institute of Sustainability Science (HELSUS); University of Helsinki(University of Helsinki); Helsinki-Metropolitan Region Urban Research Program (KATUMETRO); DENVI doctoral school; Academy of Finland(Research Council of Finland); HELSUS</t>
  </si>
  <si>
    <t>A.H. was supported by KONE Foundation and Helsinki Institute of Sustainability Science (HELSUS). V.H. thanks KONE Foundation for support. C.F. thanks the University of Helsinki for support. H.T. thanks Helsinki-Metropolitan Region Urban Research Program (KATUMETRO) and DENVI doctoral school for support. E.D.M. thanks the Academy of Finland 2016-2019, Grant 296524, HELSUS, and the University of Helsinki for support. We are thankful for CSC - IT Center for Science Ltd. and oGIIR infrastructure for computational services.</t>
  </si>
  <si>
    <t>10.1016/j.scitotenv.2019.05.268</t>
  </si>
  <si>
    <t>ID4PA</t>
  </si>
  <si>
    <t>WOS:000471657600063</t>
  </si>
  <si>
    <t>Lin, T; Xue, XZ; Huang, J; Cui, SH</t>
  </si>
  <si>
    <t>Lin, Tao; Xue, Xiong-zhi; Huang, Jing; Cui, Sheng-hui</t>
  </si>
  <si>
    <t>INTERNATIONAL JOURNAL OF SUSTAINABLE DEVELOPMENT AND WORLD ECOLOGY</t>
  </si>
  <si>
    <t>1st Xiamen International Forum on Urban Environment</t>
  </si>
  <si>
    <t>NOV 28-29, 2007</t>
  </si>
  <si>
    <t>Xiamen, PEOPLES R CHINA</t>
  </si>
  <si>
    <t>egrets; ecological safety; assessment; urban environment.; Xiamen</t>
  </si>
  <si>
    <t>BIODIVERSITY; CONSERVATION</t>
  </si>
  <si>
    <t>In general, wildlife is facing increasing threats from rapid urbanisation in China. Ecological safety for wildlife requires an ecosystem that provides the conditions necessary for sustaining life. In this paper, two major breeding habitats and ten typical foraging habitats of egrets living in the urban environment were selected to assess the extent to which the needs of egrets can be satisfied and maintained. Ecological suitability and impacts from humans are the two major factors affecting egret ecological safety. An ecological indicator system was adopted to assess the ecological suitability of areas. Different land-use types were used to represent different degrees of human impact oil the egret habitats, by employing a geographic information system. The results, show that the two breeding habitats are at a safe level, while the ten foraging habitats are on the whole marginally safe. Full attention should be given to the conservation of wildlife foraging habitats in Xiamen Island.</t>
  </si>
  <si>
    <t>[Xue, Xiong-zhi] Chinese Acad Sci, Inst Urban Environm, Xiamen, Peoples R China; Xiamen Univ, Coastal &amp; Ocean Management Inst, Xiamen 361005, Peoples R China</t>
  </si>
  <si>
    <t>Chinese Academy of Sciences; Institute of Urban Environment, CAS; Xiamen University</t>
  </si>
  <si>
    <t>Xue, XZ (corresponding author), Chinese Acad Sci, Inst Urban Environm, Xiamen, Peoples R China.</t>
  </si>
  <si>
    <t>xzxue@jingxian.xmu.edu.cn</t>
  </si>
  <si>
    <t>Cui, shenghui/B-3926-2008; Xue, XZ/G-3418-2010; Lin, Tao/B-7256-2009</t>
  </si>
  <si>
    <t>Lin, Tao/0000-0002-7479-2333</t>
  </si>
  <si>
    <t>1350-4509</t>
  </si>
  <si>
    <t>1745-2627</t>
  </si>
  <si>
    <t>INT J SUST DEV WORLD</t>
  </si>
  <si>
    <t>Int. J. Sustain. Dev. World Ecol.</t>
  </si>
  <si>
    <t>10.3843/SusDev.15.4:15</t>
  </si>
  <si>
    <t>Green &amp; Sustainable Science &amp; Technology; Ecology</t>
  </si>
  <si>
    <t>347QT</t>
  </si>
  <si>
    <t>WOS:000259156800015</t>
  </si>
  <si>
    <t>Bradley, BA</t>
  </si>
  <si>
    <t>Bradley, Bethany A.</t>
  </si>
  <si>
    <t>Assessing ecosystem threats from global and regional change: hierarchical modeling of risk to sagebrush ecosystems from climate change, land use and invasive species in Nevada, USA</t>
  </si>
  <si>
    <t>WESTERN JUNIPER; GREAT-BASIN; BIOLOGICAL INVASIONS; HABITAT; COVER; PLANT; DISTRIBUTIONS; IMPACTS; CHEATGRASS; DIVERSITY</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</si>
  <si>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</si>
  <si>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Princeton Univ, Woodrow Wilson Sch, Princeton, NJ 08544 USA</t>
  </si>
  <si>
    <t>Princeton University</t>
  </si>
  <si>
    <t>Bradley, BA (corresponding author), Princeton Univ, Woodrow Wilson Sch, Princeton, NJ 08544 USA.</t>
  </si>
  <si>
    <t>bethanyb@princeton.edu</t>
  </si>
  <si>
    <t>Bradley, Bethany/B-1964-2008</t>
  </si>
  <si>
    <t>Bradley, Bethany/0000-0003-4912-4971</t>
  </si>
  <si>
    <t>Wilburforce Foundation through a grant for Nevada Conservation Area Design; Office of Science, U.S. Dept of Energy</t>
  </si>
  <si>
    <t>Wilburforce Foundation through a grant for Nevada Conservation Area Design; Office of Science, U.S. Dept of Energy(United States Department of Energy (DOE))</t>
  </si>
  <si>
    <t>This work was supported by the Wilburforce Foundation through a grant for Nevada Conservation Area Design. I thank Erica Fleishman, Nathan Gregory, Dave Marvin, and two anonymous reviewers for their constructive comments on earlier versions of the manuscript. I gratefully acknowledge the modeling groups for providing their data for analysis, the Program for Climate Model Diagnosis and Intercomparison (PCMDI) for collecting and archiving the model output, and the JSC/CLIVAR Working Group on Coupled Modelling (WGCM) for organizing the model data analysis activity. The IPCC Data Archive is supported by the Office of Science, U.S. Dept of Energy.</t>
  </si>
  <si>
    <t>10.1111/j.1600-0587.2009.05684.x</t>
  </si>
  <si>
    <t>564HZ</t>
  </si>
  <si>
    <t>WOS:000275205200020</t>
  </si>
  <si>
    <t>Li, XW; Hou, XY; Song, Y; Shan, K; Zhu, SY; Yu, XB; Mo, XQ</t>
  </si>
  <si>
    <t>Li, Xiaowei; Hou, Xiyong; Song, Yang; Shan, Kai; Zhu, Shuyu; Yu, Xiubo; Mo, Xunqiang</t>
  </si>
  <si>
    <t>Shorebird; Habitat quality; Tidal flat; InVEST</t>
  </si>
  <si>
    <t>SPATIAL-DISTRIBUTION; THREATS; CONSERVATION; BIODIVERSITY; TERRESTRIAL; POPULATIONS; FRAMEWORK</t>
  </si>
  <si>
    <t>The population of shorebirds in the East Asian-Australasian Flyway (EAAF) has severely declined over the past several decades. One reason for this condition is low survival in stopover sites in the Yellow Sea Ecoregion (YSE) due to habitat degradation. Here, we focused on shorebird habitat quality in the Yellow River Delta (YRD), which is a representative shorebird stopover site in the YSE on the EAAF. We used the InVEST model to assess the past and future shorebird habitat quality changes by considering the effects of anthropogenic threats. The entire duration of the study was 1999-2016, and the modeling was done on 2000 and 2015 data. Our results indicate that the abundance of 11 shorebird species had significant downward trends (70-97% reduction) during 1999-2015. Tidal flats in the nature reserve had higher habitat quality than that in the northwestern (NW) and eastern (E) parts of the YRD because major mariculture occurred in NW and E. The mean habitat qualities in NW and E decreased by 27 and 31% during 2000-2015, respectively. The optimal habitat in the YRD declined from 1433km(2) in 2000 to 1154km(2) in 2015. The habitat quality decreased significantly in E and Dongying Port parts during 2015-2020.</t>
  </si>
  <si>
    <t>[Li, Xiaowei; Hou, Xiyong; Song, Yang] Chinese Acad Sci, Yantai Inst Coastal Zone Res, Yantai 264003, Shandong, Peoples R China; [Li, Xiaowei; Hou, Xiyong; Song, Yang] Chinese Acad Sci, Key Lab Coastal Environm Proc &amp; Ecol Remediat, Yantai Inst Coastal Zone Res YIC, Yantai 264003, Shandong, Peoples R China; [Li, Xiaowei; Hou, Xiyong; Song, Yang] YICCAS, Shandong Prov Key Lab Coastal Environm Proc, Yantai 264003, Shandong, Peoples R China; [Song, Yang] Univ Chinese Acad Sci, Beijing 100049, Peoples R China; [Shan, Kai; Zhu, Shuyu] Yellow River Delta Nat Reserve Bur, Dongying 257091, Shandong, Peoples R China; [Yu, Xiubo] Chinese Acad Sci, Inst Geog Sci &amp; Nat Resources Res, Key Lab Ecosyst Network Observat &amp; Modeling, Beijing 100101, Peoples R China; [Mo, Xunqiang] Tianjin Normal Univ, Coll Urban &amp; Environm Sci, Tianjin 300387, Peoples R China</t>
  </si>
  <si>
    <t>Chinese Academy of Sciences; Yantai Institute of Coastal Zone Research, CAS; Chinese Academy of Sciences; Yantai Institute of Coastal Zone Research, CAS; Chinese Academy of Sciences; University of Chinese Academy of Sciences, CAS; Chinese Academy of Sciences; Institute of Geographic Sciences &amp; Natural Resources Research, CAS; Tianjin Normal University</t>
  </si>
  <si>
    <t>Hou, XY (corresponding author), Chinese Acad Sci, Yantai Inst Coastal Zone Res, Yantai 264003, Shandong, Peoples R China.;Hou, XY (corresponding author), Chinese Acad Sci, Key Lab Coastal Environm Proc &amp; Ecol Remediat, Yantai Inst Coastal Zone Res YIC, Yantai 264003, Shandong, Peoples R China.;Hou, XY (corresponding author), YICCAS, Shandong Prov Key Lab Coastal Environm Proc, Yantai 264003, Shandong, Peoples R China.</t>
  </si>
  <si>
    <t>xyhou@yic.ac.cn</t>
  </si>
  <si>
    <t>Mo, Xunqiang/GWV-7205-2022; Yu, Xiubo/A-5875-2016</t>
  </si>
  <si>
    <t>Mo, Xunqiang/0000-0003-0186-4479;</t>
  </si>
  <si>
    <t>National Natural Science Foundation of China [31500389]; Yantai Institute of Coastal Zone Research, Chinese Academy of Sciences [YICY755021012]; Strategic Priority Research Program of the Chinese Academy of Sciences [XDA19060205]</t>
  </si>
  <si>
    <t>National Natural Science Foundation of China(National Natural Science Foundation of China (NSFC)); Yantai Institute of Coastal Zone Research, Chinese Academy of Sciences; Strategic Priority Research Program of the Chinese Academy of Sciences(Chinese Academy of Sciences)</t>
  </si>
  <si>
    <t>This study was supported by the National Natural Science Foundation of China (No. 31500389), the self-deployment project of Yantai Institute of Coastal Zone Research, Chinese Academy of Sciences (Grant No. YICY755021012), and the Strategic Priority Research Program of the Chinese Academy of Sciences (Grant No. XDA19060205). We are grateful to Dr. Wu Li and Dr. Di Xianghong for their contributions during LU data downloading and processing. We also thank the anonymous reviewers for their precise and insightful comments.</t>
  </si>
  <si>
    <t>10.1007/s13157-018-1075-9</t>
  </si>
  <si>
    <t>HP8TH</t>
  </si>
  <si>
    <t>WOS:000461965200007</t>
  </si>
  <si>
    <t>Hein, MY; Lamb, JB; Scott, C; Willis, BL</t>
  </si>
  <si>
    <t>Hein, Margaux Y.; Lamb, Joleah B.; Scott, Chad; Willis, Bette L.</t>
  </si>
  <si>
    <t>Coral reefs; Diseases; Koh Tao; Ecosystem management; Marine parks; Scuba diving; Snorkelling; Sediments; Tourism</t>
  </si>
  <si>
    <t>GREAT-BARRIER-REEF; DISEASE PREVALENCE; BAND DISEASE; KOH TAO; IMPACTS; ISLAND; MANAGEMENT; TOURISM; ECOLOGY; ALGAE</t>
  </si>
  <si>
    <t>While coral reefs are increasingly threatened worldwide, they are also increasingly used for recreational activities. Given the environmental and socio-economic significance of coral reefs, understanding the links between human activities and coral health and evaluating the efficacy of marine protected areas (MPAs) as a management regime to prevent further deterioration are critically important. The aim of this study was to quantify indicators of coral health at sites inside and outside a newly rezoned MPA framework in the dive tourism hotspot of Koh Tao, Thailand. We found that patterns in the health and diversity of coral communities one year on did not reflect the protected status conferred by newly zoned MPAs, but instead reflected past history of recreational use around the island. Sites characterised as past high-use sites had lower mean percent cover of hard corals overall and of corals in the typically disease- and disturbance-susceptible family Acroporidae, but higher mean cover of species in the more weedy family Agariciidae. Past high use sites also had higher mean prevalence of infectious diseases and other indicators of compromised health. Sites within the newly established MPAs are currently subjected to higher levels of environmental and anthropogenic pressures, with sedimentation, algal overgrowth, feeding scars from Drupella snails, and breakage particularly prevalent compared to sites in non-MPA areas. Given the greater prevalence of these factors within protected sites, the capacity of the MPA framework to effectively prevent further deterioration of Koh Tao's reefs is unclear. Nevertheless, our study constitutes a strong baseline for future long-term evaluations of the potential of MPAs to maintain coral health and diversity on highly threatened reefs. (C) 2014 Elsevier Ltd. All rights reserved.</t>
  </si>
  <si>
    <t>[Hein, Margaux Y.; Lamb, Joleah B.; Willis, Bette L.] James Cook Univ, Coll Marine &amp; Environm Sci, Townsville, Qld 4811, Australia; [Hein, Margaux Y.; Lamb, Joleah B.; Willis, Bette L.] Australian Res Council, Ctr Excellence Coral Reef Studies, Townsville, Qld 4811, Australia; [Lamb, Joleah B.; Willis, Bette L.] Australian Inst Marine Sci, Townsville, Qld 4811, Australia; [Lamb, Joleah B.; Willis, Bette L.] James Cook Univ AIMS JCU, Townsville, Qld 4811, Australia; [Scott, Chad] New Heaven Reef Conservat Program, Koh Tao 84360, Suratthani, Thailand</t>
  </si>
  <si>
    <t>James Cook University; Australian Institute of Marine Science; James Cook University</t>
  </si>
  <si>
    <t>Hein, MY (corresponding author), James Cook Univ, Coll Marine &amp; Environm Sci, Townsville, Qld 4811, Australia.</t>
  </si>
  <si>
    <t>margaux.hein@my.jcu.edu.au</t>
  </si>
  <si>
    <t>; Lamb, Joleah/D-1994-2018</t>
  </si>
  <si>
    <t>Scott, Chad/0000-0003-3254-8647; Lamb, Joleah/0000-0002-7005-9994; Hein, Margaux/0000-0001-6951-4075</t>
  </si>
  <si>
    <t>Australian Research Council (ARC) Centre of Excellence for Coral Reef Studies and James Cook University</t>
  </si>
  <si>
    <t>Australian Research Council (ARC) Centre of Excellence for Coral Reef Studies and James Cook University(Australian Research Council)</t>
  </si>
  <si>
    <t>This project was funded by the Australian Research Council (ARC) Centre of Excellence for Coral Reef Studies and James Cook University. We thank Devrim Zahir, Fanny Couture and the team from the New Heaven Reef Conservation Program in Koh Tao for their assistance in the field, and Dr Wayne Phillips and Mahidol University in Bangkok for assistance with the sediment samples. We also thank Dr JB Raina for his constructive comments on this manuscript.</t>
  </si>
  <si>
    <t>10.1016/j.marenvres.2014.11.008</t>
  </si>
  <si>
    <t>AZ5JU</t>
  </si>
  <si>
    <t>WOS:000348258300007</t>
  </si>
  <si>
    <t>Dutta, S; Sahana, M; Guchhait, SK</t>
  </si>
  <si>
    <t>Dutta, Shyamal; Sahana, Mehebub; Guchhait, Sanat Kumar</t>
  </si>
  <si>
    <t>SPATIAL INFORMATION RESEARCH</t>
  </si>
  <si>
    <t>Forest health; Forest fragmentation; Forest disturbances; Proximity analysis; Population growth; Anthropogenic interference</t>
  </si>
  <si>
    <t>LAND-COVER CHANGE; LANDSCAPE; DYNAMICS; CONSERVATION; PATTERN; CONSEQUENCES; STATE; AREA</t>
  </si>
  <si>
    <t>With the increasing degradation and encroachment of natural landscape environmentalists are now highly concerned with declining forest cover as well as increasing forest fragmentation at different scales across the world for last several decades. Considering the major fourfold effect of forest fragmentation i. e., reduction in habitat area, increased number of fragmented habitats, decrease in area coverage of habitat patch and increased number of isolated patches forest fragmentation is recognized as a major threat to forest ecosystems. Indicators of forest fragmentation are thereby gaining gradual importance at national and international environmental programs. But Spatio-temporal change of forest cover using forest fragmentation along with incorporation of population growth and associated anthropogenic intervention, at a micro-spatial scale has become the major thrust area in the present study. Kanksa is one of the few forest dominated block in Barddhaman District mostly affected by the rapid population growth, land use change in terms of increase in irrigated area as well as agricultural land, rapid urbanization in the last three decades. Present study focuses on forest fragmentation and spatio-temporal dynamics of forest cover from the beginning of 1990s up to present using geospatial techniques.</t>
  </si>
  <si>
    <t>[Dutta, Shyamal; Guchhait, Sanat Kumar] Univ Burdwan, Dept Geog, Barddhaman, W Bengal, India; [Sahana, Mehebub] Jamia Millia Islamia, Dept Geog, New Delhi, India</t>
  </si>
  <si>
    <t>University of Burdwan; Jamia Millia Islamia</t>
  </si>
  <si>
    <t>Sahana, M (corresponding author), Jamia Millia Islamia, Dept Geog, New Delhi, India.</t>
  </si>
  <si>
    <t>mehebubsahana@gmail.com</t>
  </si>
  <si>
    <t>Sahana, Goutam/AAI-7579-2021</t>
  </si>
  <si>
    <t>DUTTA, SHYAMAL/0000-0002-5382-3890</t>
  </si>
  <si>
    <t>SPRINGER SINGAPORE PTE LTD</t>
  </si>
  <si>
    <t>SINGAPORE</t>
  </si>
  <si>
    <t>#04-01 CENCON I, 1 TANNERY RD, SINGAPORE 347719, SINGAPORE</t>
  </si>
  <si>
    <t>2366-3286</t>
  </si>
  <si>
    <t>2366-3294</t>
  </si>
  <si>
    <t>SPAT INF RES</t>
  </si>
  <si>
    <t>Spat. Inf. Res.</t>
  </si>
  <si>
    <t>10.1007/s41324-017-0117-3</t>
  </si>
  <si>
    <t>FK2GV</t>
  </si>
  <si>
    <t>WOS:000413301600017</t>
  </si>
  <si>
    <t>Pontius, J; Martin, M; Plourde, L; Hallett, R</t>
  </si>
  <si>
    <t>Pontius, Jennifer; Martin, Mary; Plourde, Lucie; Hallett, Richard</t>
  </si>
  <si>
    <t>forest health; pre-visual decline; Agrilus planipennis; EAB; remote sensing; high resolution</t>
  </si>
  <si>
    <t>VEGETATION APPARENT REFLECTANCE; RED EDGE POSITION; CHLOROPHYLL CONTENT; SPECTRAL REFLECTANCE; INFRARED REFLECTANCE; BROAD-BAND; LEAF; INDEXES; FLUORESCENCE; CANOPY</t>
  </si>
  <si>
    <t>The emerald ash borer (EAB) is an exotic insect pest currently threatening ash species in the Great Lakes region. Because of the potential impact on forests in this area, multiple government agencies are currently focusing their efforts on developing new technologies to detect, monitor and control this insect pest. Previous work has shown that hyperspectral remote sensing technologies can produce detailed maps of forest health and species abundance on a landscape scale. This study examines the capability of a commercially available sensor (SpecTIR VNIR) to map ash decline due to exotic EAB infestations in Michigan and Ohio. A 6-term linear regression equation based on known stress- and chlorophyll-sensitive indices was able to predict decline on a continuous 0- to 10 scale with an r-squared of 0.71 and an average jackknifed residual of 0.61. Treated as an integer, decline was predicted to within one class with 97% accuracy. The ability of this instrument to assess decline below class 4 (when dieback and transparency reach levels first noticeable in the field) is based upon pre-visual reductions in chlorophyll content and function that are characteristic of early stress. The identification of early stress is critical in containing newly introduced exotics such as EAB. While this decline prediction technique is not stress- or species-specific, it will enable land managers to assess and monitor detailed forest health across the landscape. (C) 2008 Elsevier Inc. All rights reserved.</t>
  </si>
  <si>
    <t>[Pontius, Jennifer; Hallett, Richard] US Forest Serv, USDA, NRS, Durham, NH 03024 USA; [Martin, Mary; Plourde, Lucie] Univ New Hampshire, Complex Syst Res Ctr, Durham, NH 03824 USA</t>
  </si>
  <si>
    <t>United States Department of Agriculture (USDA); United States Forest Service; University System Of New Hampshire; University of New Hampshire</t>
  </si>
  <si>
    <t>Pontius, J (corresponding author), US Forest Serv, USDA, NRS, 271 Mast Rd, Durham, NH 03024 USA.</t>
  </si>
  <si>
    <t>jennifer.pontius@unh.edu</t>
  </si>
  <si>
    <t>; Hallett, Rich/G-2194-2010</t>
  </si>
  <si>
    <t>Lepine, Lucie/0000-0003-1028-2534;</t>
  </si>
  <si>
    <t>10.1016/j.rse.2007.12.011</t>
  </si>
  <si>
    <t>WOS:000255370700057</t>
  </si>
  <si>
    <t>Brito, JC; Durant, SM; Pettorelli, N; Newby, J; Canney, S; Algadafi, W; Rabeil, T; Crochet, PA; Pleguezuelos, JM; Wacher, T; de Smet, K; Gonçalves, DV; da Silva, MJF; Martínez-Freiría, F; Abáigar, T; Campos, JC; Comizzoli, P; Fahd, S; Fellous, A; Garba, HHM; Hamidou, D; Harouna, A; Hatcha, MH; Nagy, A; Silva, TL; Sow, AS; Vale, CG; Boratynski, Z; Rebelo, H; Carvalho, SB</t>
  </si>
  <si>
    <t>Brito, Jose Carlos; Durant, Sarah M.; Pettorelli, Nathalie; Newby, John; Canney, Susan; Algadafi, Walid; Rabeil, Thomas; Crochet, Pierre-Andre; Manuel Pleguezuelos, Juan; Wacher, Tim; de Smet, Koen; Vasconcelos Goncalves, Duarte; Ferreira da Silva, Maria Joana; Martinez-Freiria, Fernando; Abaigar, Teresa; Campos, Joao Carlos; Comizzoli, Pierre; Fahd, Soumia; Fellous, Amina; Garba, Hamissou Halilou Malam; Hamidou, Dieng; Harouna, Abdoulaye; Hatcha, Mahamat Hassan; Nagy, Abdullah; Silva, Teresa Luisa; Sow, Andack Saad; Vale, Candida Gomes; Boratynski, Zbyszek; Rebelo, Hugo; Carvalho, Silvia B.</t>
  </si>
  <si>
    <t>accessibility; biodiversity loss; conservation actions; human development; illegal wildlife killing; megafauna; natural resources extraction; political instability; population decline; threat mapping</t>
  </si>
  <si>
    <t>Increasing conflicts and social insecurity are expected to accelerate biodiversity decline and escalate illegal wildlife killing. Sahara-Sahel megafauna has experienced recent continuous decline due to unsustainable hunting pressure. Here, we provide the best available data on distribution and population trends of threatened, large vertebrates, to illustrate how escalating regional conflict (565% growth since 2011) is hastening population decline in areas that were formerly refugia for megafauna. Without conservation action, the unique and iconic biodiversity of Earth's largest desert will be forever lost. We recommend: (1) establishing strong commitments for change in global attitude toward nature; (2) engraining a culture of environmental responsibility among all stakeholders; (3) fostering environmental awareness to drive societal change; (4) reinforcing regional security and firearms control; and (5) implementing local research and wildlife monitoring schemes. We identify relevant international partners needed to tackle these challenges and to make strong policy change for biodiversity conservation and regional stability.</t>
  </si>
  <si>
    <t>[Brito, Jose Carlos; Vasconcelos Goncalves, Duarte; Ferreira da Silva, Maria Joana; Martinez-Freiria, Fernando; Campos, Joao Carlos; Silva, Teresa Luisa; Vale, Candida Gomes; Boratynski, Zbyszek; Rebelo, Hugo; Carvalho, Silvia B.] Univ Porto, Ctr Invest Biodiversidade &amp; Recursos Genet, CIBIO InBIO, R Padre Armando Quintas 11, P-4485661 Vairao, Portugal; [Brito, Jose Carlos; Vasconcelos Goncalves, Duarte; Campos, Joao Carlos; Silva, Teresa Luisa] Univ Porto, Fac Ciencias, Dept Biol, Rua Campo Alegre, P-4169007 Porto, Portugal; [Durant, Sarah M.; Pettorelli, Nathalie; Wacher, Tim] Zool Soc London, Inst Zool, Regents Pk, London NW1 4RY, England; [Newby, John; Rabeil, Thomas] Sahara Conservat Fund Europe, Immeuble Grand Pl,3 Bis Grand Pl, F-77600 Bussy St Georges, France; [Canney, Susan] Univ Oxford, Zool Dept, South Parks Rd, Oxford OX1 3PS, England; [Algadafi, Walid] Wolverhampton Univ, Wulfruna St, Wolverhampton WV1 1LY, England; [Crochet, Pierre-Andre] Univ Montpellier, Univ Paul Valery Montpellier, EPHE, CNRS,CEFEUMR5175, 1919 Route Mende, F-34293 Montpellier 5, France; [Manuel Pleguezuelos, Juan] Univ Granada, Fac Ciencias, Dept Zool, E-18071 Granada, Spain; [de Smet, Koen] Drabst 288, Mortsel, Belgium; [Vasconcelos Goncalves, Duarte] Univ Pompeu Fabra, CSIC, Inst Evolutionary Biol, Passeig Maritim Barceloneta 37-49, E-08003 Barcelona, Spain; [Ferreira da Silva, Maria Joana] Cardiff Univ, Sch Biosci, Organisms &amp; Environm 1, Cardiff CF10 3AX, S Glam, Wales; [Ferreira da Silva, Maria Joana] Univ Tecn Lisboa, Sch Social &amp; Polit Sci, CAPP, Rua Almerindo Lessa, P-1300663 Lisbon, Portugal; [Abaigar, Teresa] CSIC, EEZA, Carretera Sacramento S-N, Almeria 04120, Spain; [Comizzoli, Pierre] Conservat &amp; Res Ctr, Ctr Species Survival, Dept Reprod Sci, Smithsonians Natl Zool Pk, Front Royal, VA USA; [Fahd, Soumia] Univ Abdelmalek Essaadi, Fac Sci, Dept Biol, Tetouan, Morocco; [Fellous, Amina] ENSA, Algiers, Algeria; [Fellous, Amina] ANN Agence Natl Conservat Nat, Algiers, Algeria; [Garba, Hamissou Halilou Malam] Div Global Environm Facil Coordinat, Div Aires Protegees, Niamey, Niger; [Hamidou, Dieng] Univ Sci Technol &amp; Med Nouakchott, Fac Sci &amp; Tech, Nouakchott, Mauritania; [Harouna, Abdoulaye] Saharienne Reserve Nat Natl Termit &amp; Tin Toumma, PCBR Partenariat Conservat Biodiversite Sahelo, Zinder, Niger; [Hatcha, Mahamat Hassan] Minist Environnem &amp; Peche, Direct Conservat Faune &amp; Aires Protegees, Ndjamena, Chad; [Nagy, Abdullah] Al Azhar Univ, 1 Al Mokhaym Al Daem, Cairo, Egypt; [Sow, Andack Saad] Minist Environnem &amp; Dev Durable, Direct Controle Environnem, Nouakchott, Mauritania</t>
  </si>
  <si>
    <t>Universidade do Porto; Universidade do Porto; Zoological Society of London; University of Oxford; University of Wolverhampton; Universite de Montpellier; Centre National de la Recherche Scientifique (CNRS); Universite PSL; Ecole Pratique des Hautes Etudes (EPHE); University of Granada; Consejo Superior de Investigaciones Cientificas (CSIC); CSIC-UPF - Institut de Biologia Evolutiva (IBE); Pompeu Fabra University; Cardiff University; Universidade de Lisboa; Consejo Superior de Investigaciones Cientificas (CSIC); CSIC - Estacion Experimental de Zonas Aridas (EEZA); Smithsonian Institution; Smithsonian National Zoological Park &amp; Conservation Biology Institute; Abdelmalek Essaadi University of Tetouan; Ecole Nationale Superieure d'Agronomie; University of Nouakchott; Egyptian Knowledge Bank (EKB); Al Azhar University</t>
  </si>
  <si>
    <t>Brito, JC (corresponding author), Univ Porto, Ctr Invest Biodiversidade &amp; Recursos Genet, CIBIO InBIO, R Padre Armando Quintas 11, P-4485661 Vairao, Portugal.</t>
  </si>
  <si>
    <t>jcbrito@cibio.up.pt</t>
  </si>
  <si>
    <t>Campos, João Carlos/L-7901-2013; Nagy, Abdullah/KZU-7419-2024; Fahd, Soumia/GRR-1653-2022; Ferreira da Silva, Maria Joana/C-5373-2012; Rebelo, Hugo/C-9005-2009; Silva, Teresa Luísa/AAF-4772-2021; Martínez-Freiría, Fernando/L-7075-2013; Abáigar, Teresa/R-3582-2019; Durant, Sarah/AAB-9659-2019; Pettorelli, Nathalie/AAW-8438-2021; Brito, José Carlos/A-7831-2010; Boratynski, Zbyszek/AAF-2389-2020; Carvalho, Silvia/AAE-9566-2020; Gonçalves, Duarte/H-7868-2012; Gomes Vale, Cândida/AAD-9655-2019</t>
  </si>
  <si>
    <t>Campos, João Carlos/0000-0002-9144-4680; Nagy, Abdullah/0000-0001-6058-3488; Fahd, Soumia/0000-0002-4464-4145; Canney, Susan/0000-0003-1103-7370; Ferreira da Silva, Maria Joana/0000-0001-6747-9827; Rebelo, Hugo/0000-0002-7118-4068; Silva, Teresa Luísa/0000-0002-6868-7035; Martínez-Freiría, Fernando/0000-0003-2311-8960; Abáigar, Teresa/0000-0001-5177-4143; Durant, Sarah/0000-0003-0724-0878; Pettorelli, Nathalie/0000-0002-1594-6208; Brito, José Carlos/0000-0001-5444-8132; Boratynski, Zbyszek/0000-0003-4668-4922; Carvalho, Silvia/0000-0003-4368-4708; Gonçalves, Duarte/0000-0003-4299-0375; Gomes Vale, Cândida/0000-0003-1764-8607; Rabeil, Thomas/0000-0001-9871-4914</t>
  </si>
  <si>
    <t>National Geographic Society [CRE-7629-04, CRE-8412-08, GEFNE-53-12]; Rufford Foundation [SG-15399-1]; Fundacao para a Ciencia e Tecnologia [PTDC/BIA-BEC/099934/2008, PTDC/BIA-BIC/2903/2012]; FEDER through COMPETE-Operational Programme for Competitiveness Factors [FCOMP-01-0124-FEDER-008917, FCOMP-01-0124-FEDER-028276]; Mohammed bin Zayed Species Conservation Fund [11052709, 11052707, 11052499, 13257467]; Fundação para a Ciência e a Tecnologia [PTDC/BIA-BIC/2903/2012] Funding Source: FCT</t>
  </si>
  <si>
    <t>National Geographic Society(National Geographic Society); Rufford Foundation; Fundacao para a Ciencia e Tecnologia(Fundacao para a Ciencia e a Tecnologia (FCT)); FEDER through COMPETE-Operational Programme for Competitiveness Factors; Mohammed bin Zayed Species Conservation Fund; Fundação para a Ciência e a Tecnologia(Fundacao para a Ciencia e a Tecnologia (FCT))</t>
  </si>
  <si>
    <t>National Geographic Society, Grant/Award Numbers: CRE-7629-04, CRE-8412-08, GEFNE-53-12; Rufford Foundation, Grant/Award Number: SG-15399-1; Fundacao para a Ciencia e Tecnologia, Grant/Award Numbers: PTDC/BIA-BEC/099934/2008, PTDC/BIA-BIC/2903/2012; FEDER through COMPETE-Operational Programme for Competitiveness Factors, Grant/Award Numbers: FCOMP-01-0124-FEDER-008917, -028276; Mohammed bin Zayed Species Conservation Fund, Grant/Award Numbers: 11052709, 11052707, 11052499, 13257467</t>
  </si>
  <si>
    <t>e12446</t>
  </si>
  <si>
    <t>10.1111/conl.12446</t>
  </si>
  <si>
    <t>GW3SF</t>
  </si>
  <si>
    <t>WOS:000446827300003</t>
  </si>
  <si>
    <t>Cosandey-Godin, A; Krainski, ET; Worm, B; Flemming, JM</t>
  </si>
  <si>
    <t>Cosandey-Godin, Aurelie; Krainski, Elias Teixeira; Worm, Boris; Flemming, Joanna Mills</t>
  </si>
  <si>
    <t>PELAGIC LONGLINE FISHERY; SEABIRD BYCATCH; ECOLOGICAL ANALYSIS; BY-CATCH; RISK; UNCERTAINTY; INFERENCE; RATES; INFECTIONS; MITIGATION</t>
  </si>
  <si>
    <t>Understanding and reducing the incidence of accidental bycatch, particularly for vulnerable species such as sharks, is a major challenge for contemporary fisheries management. Here we establish integrated nested Laplace approximations (INLA) and stochastic partial differential equations (SPDE) as two powerful tools for modelling patterns of bycatch through time and space. These novel, computationally fast approaches are applied to fit zero-inflated hierarchical spatiotemporal models to Greenland shark (Somniosus microcephalus) bycatch data from the Baffin Bay Greenland halibut (Reinhardtius hippoglossoides) gillnet fishery. Results indicate that Greenland shark bycatch is clustered in space and time, varies significantly from year to year, and there are both tractable factors (number of gillnet panels, total Greenland halibut catch) and physical features (bathymetry) leading to the high incidence of Greenland shark bycatch. Bycatch risk could be reduced by limiting access to spatiotemporal hotspots or by establishing a maximum number of panels per haul. Our method explicitly models the spatiotemporal correlation structure inherent in bycatch data at a very reasonable computational cost, such that the forecasting of bycatch patterns and simulating conservation strategies becomes more accessible.</t>
  </si>
  <si>
    <t>[Cosandey-Godin, Aurelie; Worm, Boris] Dalhousie Univ, Dept Biol, Halifax, NS B3H 4R2, Canada; [Cosandey-Godin, Aurelie] WWF Canada, Halifax, NS B3J 1P3, Canada; [Krainski, Elias Teixeira] Norwegian Univ Sci &amp; Technol, Dept Math Sci, N-7491 Trondheim, Norway; [Flemming, Joanna Mills] Dalhousie Univ, Dept Math &amp; Stat, Halifax, NS B3H 4R2, Canada</t>
  </si>
  <si>
    <t>Dalhousie University; World Wildlife Fund; Norwegian University of Science &amp; Technology (NTNU); Dalhousie University</t>
  </si>
  <si>
    <t>Cosandey-Godin, A (corresponding author), Dalhousie Univ, Dept Biol, Halifax, NS B3H 4R2, Canada.</t>
  </si>
  <si>
    <t>godina@dal.ca</t>
  </si>
  <si>
    <t>Mills Flemming, Joanna/D-6323-2011; Teixeira Krainski, Elias/AGP-2119-2022; Worm, Boris/ADW-9659-2022</t>
  </si>
  <si>
    <t>Mills Flemming, Joanna/0000-0002-3517-3089; Teixeira Krainski, Elias/0000-0002-7063-2615; Worm, Boris/0000-0002-5742-8716</t>
  </si>
  <si>
    <t>Natural Sciences and Engineering Research Council of Canada (NSERC); Canada Strategic Network Grant via the Ocean Tracking Network [NETGP 375118-08]; WWF-Canada; Research Council of Norway</t>
  </si>
  <si>
    <t>Natural Sciences and Engineering Research Council of Canada (NSERC)(Natural Sciences and Engineering Research Council of Canada (NSERC)); Canada Strategic Network Grant via the Ocean Tracking Network; WWF-Canada; Research Council of Norway(Research Council of Norway)</t>
  </si>
  <si>
    <t>We acknowledge DFO, especially Margaret Treble, who provided in-depth details on the Greenland halibut fishery, and Todd Inkpen and Carol Ann Peters, who supplied the observer data. We are greatly indebted to Havard Rue for hosting A.C.G. and for generous advice and suggestions throughout this project. This research was supported by the Natural Sciences and Engineering Research Council of Canada (NSERC) through an Industrial Post-graduate Scholarship to A.C.G., a Discovery Grant to J.M.F., and a Canada Strategic Network Grant (NETGP 375118-08) to J.M.F. via the Ocean Tracking Network. In addition, A.C.G. received funding from WWF-Canada, and E.T.K. received funds from the Research Council of Norway.</t>
  </si>
  <si>
    <t>CANADIAN SCIENCE PUBLISHING, NRC RESEARCH PRESS</t>
  </si>
  <si>
    <t>65 AURIGA DR, SUITE 203, OTTAWA, ON K2E 7W6, CANADA</t>
  </si>
  <si>
    <t>10.1139/cjfas-2014-0159</t>
  </si>
  <si>
    <t>CA3GX</t>
  </si>
  <si>
    <t>WOS:000348795800004</t>
  </si>
  <si>
    <t>Esselman, PC; Allan, JD</t>
  </si>
  <si>
    <t>Esselman, Peter C.; Allan, J. D.</t>
  </si>
  <si>
    <t>Marxan; migratory fish; protected areas; species distribution modelling; tropics</t>
  </si>
  <si>
    <t>FRESH-WATER BIODIVERSITY; PROTECTED AREAS; RIO-PLATANO; PREDICTION; PISCES; BASIN; CLASSIFICATION; ASSEMBLAGES; PERSISTENCE; MUGILIDAE</t>
  </si>
  <si>
    <t>P&gt;1. Protected area networks for river ecosystems must account for the highly connected nature of river habitats and the fact that conditions in distant locations can influence downstream habitats and biota. We used Marxan conservation planning software to address the unique constraints of reserve design in river ecosystems and structure a reserve network to overcome key challenges to freshwater conservation. 2. The range limits of 63 fish species in Mesoamerica were predicted and used in Marxan to design a network of conservation focal areas that encompasses 15% of the range of each species in areas with low risk of environmental degradation. Upstream risk intensity was estimated by propagating landscape-based sources of stress downstream along the direction of flow in GIS. We constrained Marxan solutions to account for basin divides, and we defined critical management zones to include important habitats that contribute to species persistence and mitigate threats. 3. The proposed reserve network encompassed 11% of the study area, half of which was contained within existing protected areas. Our exercise also identified important gaps in protection. Because terrestrial-based environmental risks were propagated through the river network and considered in the solution, focal areas were constrained to catchments with low levels of upstream human activity. Addition of critical management zones - riparian buffers and fish migration corridors - expanded the network area by one-fifth. 4. Our application of Marxan allowed longitudinal connectivity and topographic barriers to species movement to be considered. Adding critical management zones expanded the size of the reserve network, but is crucial to the network's conservation efficacy. We call for an evaluation of the added management capacity needed to conserve critical management zones and suggest ways to further improve the reserve design process.</t>
  </si>
  <si>
    <t>[Esselman, Peter C.] Michigan State Univ, Dept Fisheries &amp; Wildlife, E Lansing, MI 48824 USA; [Allan, J. D.] Univ Michigan, Sch Nat Resources &amp; Environm, Ann Arbor, MI 48109 USA</t>
  </si>
  <si>
    <t>Michigan State University; University of Michigan System; University of Michigan</t>
  </si>
  <si>
    <t>Esselman, PC (corresponding author), Michigan State Univ, Dept Fisheries &amp; Wildlife, 13 Nat Resources Bldg, E Lansing, MI 48824 USA.</t>
  </si>
  <si>
    <t>pce@msu.edu</t>
  </si>
  <si>
    <t>Esselman, Peter/0000-0002-0085-903X</t>
  </si>
  <si>
    <t>World Bank Development Grants Facility; Belize Protected Areas Conservation Trust; Rackham Graduate School at the University of Michigan (UM); UM School of Natural Resources and Environment; UM Office of the Vice President for Research</t>
  </si>
  <si>
    <t>This work was funded by the Inter-American Biodiversity Information Network on a grant from the World Bank Development Grants Facility, the Belize Protected Areas Conservation Trust, the Rackham Graduate School at the University of Michigan (UM), the UM School of Natural Resources and Environment and the UM Office of the Vice President for Research. This work would not have been possible without facilitation by the Belize Foundation for Research and Environmental Education, El Colegio de la Frontera Sur, The Guatemala Program of the Nature Conservancy, the Belize Fisheries Department (Beverly Wade, George Myvett, and Rigoberto Quintana), and the Belize Forest Department (Wilbur Sabido, Raul Chun). We thank Simon Linke, David Strayer and two anonymous reviewers for helpful comments. Special thanks are also due to Rebecca Esselman, Vincent Abreu, Juan Jacobo Schmitter-Soto, Matt Cushing, Shannon Brines, Steve Schill, Emil Cherrington, Sandor Ricketts, Rennick Jackson, David Buck, Sonny Gabutt, Michael Issa, Miles, Lars and Irin Lish. All field data collected as part of this research were conducted under protocol #09339 issued by the University of Michigan University Committee on the Use and Care of Animals.</t>
  </si>
  <si>
    <t>10.1111/j.1365-2427.2010.02417.x</t>
  </si>
  <si>
    <t>694MF</t>
  </si>
  <si>
    <t>WOS:000285301600006</t>
  </si>
  <si>
    <t>Favilli, F; Bil, M; Sedonik, J; Andrásik, R; Kasal, P; Agreiter, A; Streifeneder, T</t>
  </si>
  <si>
    <t>Favilli, Filippo; Bil, Michal; Sedonik, Jiri; Andrasik, Richard; Kasal, Peter; Agreiter, Andreas; Streifeneder, Thomas</t>
  </si>
  <si>
    <t>Animal-vehicle collisions; Bolzano; Hotspots; Kernel density estimation; Italy; South Tyrol</t>
  </si>
  <si>
    <t>KERNEL DENSITY-ESTIMATION; HAZARDOUS ROAD LOCATIONS; TRAFFIC ACCIDENTS; NATIONAL-PARK; WILDLIFE; DEER; PATTERNS; CONSERVATION; HIGHWAY; IDENTIFICATION</t>
  </si>
  <si>
    <t>This paper is the first dealing with animal-vehicle collisions (AVC) with red and roe deer in South Tyrol, Northern Italy. The Autonomous Province of Bolzano (South Tyrol) has been collecting AVC data since 2012 on the entire provincial road network. Each year, AVC data accounted for more than 700 cases per year, with several socioeconomic and ecological implications. The aim of this research is to identify the locations where AVC occur more frequently than expected (hotspots) and better outline subsequent implementation of mitigation measures. For an effective identification of AVC hotspots, we applied a combined methodology of temporal and spatial analysis on AVC data collected on the South Tyrol road network in the years 2012-2014. AVC data enabled the identification of the temporal patterns, which showed different behaviors of the two target species in close proximity of the road network and throughout the 12months. The KDE+ software applied to the 2012-2014 AVC database allowed for spatial analysis and the identification of hotspots, i.e., the road sections having the highest risk for drivers. The integration of the results, coming from the abovementioned methodologies, contributes to a detailed assessment of roads that would allow the identification of the local contributing factors and a base-line of potential problematic areas that will highlight the need for further investigation to assess whether the risk-rank is accurate and allocate effectively limited resources to a feasible number of identified hotspots and reduce the current degree of AVC in the South Tyrolean road network.</t>
  </si>
  <si>
    <t>[Favilli, Filippo; Streifeneder, Thomas] Eurac Res, Inst Reg Dev, Viale Druso 1, I-39100 Bolzano, Italy; [Bil, Michal; Sedonik, Jiri; Andrasik, Richard] CDV Transport Res Ctr, Lisenska 33a, Brno 63600, Czech Republic; [Kasal, Peter] Autonomous Prov Bolzano Adm, Dept Nat Landscape &amp; Spatial Dev, Via Renon 4, I-39100 Bolzano, Italy; [Agreiter, Andreas] Autonomous Prov Bolzano Adm, Off Hunting &amp; Fishery Control, Via Brennero 6, I-39100 Bolzano, Italy</t>
  </si>
  <si>
    <t>European Academy of Bozen-Bolzano; Transport Research Centre CDV</t>
  </si>
  <si>
    <t>Favilli, F (corresponding author), Eurac Res, Inst Reg Dev, Viale Druso 1, I-39100 Bolzano, Italy.</t>
  </si>
  <si>
    <t>filippo.favilli@eurac.edu</t>
  </si>
  <si>
    <t>Andrášik, Richard/HTR-1796-2023; Bíl, Michal/AAQ-2544-2021; Favilli, Filippo/AAA-8738-2022; Sedoník, Jiří/JZV-7971-2024</t>
  </si>
  <si>
    <t>Andrášik, Richard/0000-0002-6892-7246; Bíl, Michal/0000-0002-0461-3109; Favilli, Filippo/0000-0001-8101-0689; Streifeneder, Thomas/0000-0002-7588-8206; Sedoník, Jiří/0000-0001-5763-9874</t>
  </si>
  <si>
    <t>project of Transport RD Centre [LO1610]; [CZ.1.05/2.1.00/03.0064]</t>
  </si>
  <si>
    <t>project of Transport RD Centre;</t>
  </si>
  <si>
    <t>Michal Bil, Jiri Sedonik, and Richard Andrasik were supported by project of Transport R&amp;D Centre (LO1610) and the research infrastructure acquired from CZ.1.05/2.1.00/03.0064.</t>
  </si>
  <si>
    <t>10.1007/s10344-018-1214-x</t>
  </si>
  <si>
    <t>GV0LP</t>
  </si>
  <si>
    <t>WOS:000445753000001</t>
  </si>
  <si>
    <t>Nematollahi, S; Fakheran, S; Kienast, F; Jafari, A</t>
  </si>
  <si>
    <t>Nematollahi, Shekoufeh; Fakheran, Sima; Kienast, Felix; Jafari, Ali</t>
  </si>
  <si>
    <t>Ecosystem services; InVEST; Habitat quality; Ecological impacts; SPROADI; Road network</t>
  </si>
  <si>
    <t>SPECIES DISTRIBUTION MODELS; ECOSYSTEM SERVICES; PROTECTED AREAS; WILD SHEEP; LANDSCAPE; BIODIVERSITY; IMPACTS; INFRASTRUCTURE; FRAGMENTATION; CONNECTIVITY</t>
  </si>
  <si>
    <t>There has been a growing pressure of human activities, especially road network, on natural habitats of the world, which has led to habitat degradation and loss of ecosystem services. To mitigate the impacts of human activities, appropriate studies quantifying ecosystem services and assessing ecological impacts of road network are essential. The main goal of this study was modeling habitat quality and habitat degradation of Chaharmahal and Bakhtiari province in the southwestern part of Iran, which is among the most important habitats for wild sheep (Ovis orientalis) classified as vulnerable on the IUCN Red List. In this study, we used the habitat quality module of the InVEST software (IntegratedValuation ofEnvironmentalServices andTradeoffs), which was driven from land use/cover data, information on anthropogenic threats, and expert knowledge. We tested the reliability of the habitat quality values by comparing them with the distribution map of wild sheep obtained from the Department of the Environment. Then, to have a more comprehensive assessment of the roads' effects on the natural habitats of this province, considering ecosystem services model, the Spatial Road Disturbance Index (SPROADI) was applied as a landscape index. The results of this study revealed that the east and north eastern parts of the study area which were among the most suitable habitats for wild sheep were highly affected by road network. Overall, findings of our study provided useful information on the spatially explicit distribution of habitat quality and degradation which were a valuable input for conservation planning and enhancing ecosystem services.</t>
  </si>
  <si>
    <t>[Nematollahi, Shekoufeh; Fakheran, Sima] Isfahan Univ Technol, Dept Nat Resources, Esfahan 8415683111, Iran; [Nematollahi, Shekoufeh; Kienast, Felix] Snow &amp; Landscape Res WSL Swiss Fed Inst Forest, Zurcherstr 111, CH-8903 Birmensdorf, Switzerland; [Jafari, Ali] Shahrekord Univ, Dept Nat Resources &amp; Earth Sci, Shahrekord 8818634141, Iran</t>
  </si>
  <si>
    <t>Isfahan University of Technology; Shahrekord University</t>
  </si>
  <si>
    <t>Fakheran, S (corresponding author), Isfahan Univ Technol, Dept Nat Resources, Esfahan 8415683111, Iran.</t>
  </si>
  <si>
    <t>shekoofenematallahy@yahoo.com; fakheran@cc.iut.ac.ir; felix.kienast@wsl.ch; jafari.ali@sku.ac.ir</t>
  </si>
  <si>
    <t>Fakheran, Sima/W-1395-2019; Kienast, Felix/L-3536-2013</t>
  </si>
  <si>
    <t>Fakheran, Sima/0000-0003-2378-1754;</t>
  </si>
  <si>
    <t>10.1007/s10661-020-08460-6</t>
  </si>
  <si>
    <t>MM0WY</t>
  </si>
  <si>
    <t>WOS:000549881600002</t>
  </si>
  <si>
    <t>Winchell, M; Peranginangin, N; Estes, T; Padilla, L; Bang, JS; Budreski, K</t>
  </si>
  <si>
    <t>Jones, RL; Shamim, M; Jackson, SH</t>
  </si>
  <si>
    <t>Winchell, Michael; Peranginangin, Natalia; Estes, Tammara; Padilla, Lauren; Bang, JiSu; Budreski, Katie</t>
  </si>
  <si>
    <t>Application of an Approach for Predicting Pesticide Concentrations in Static Water Bodies Using Spatially Explicit Hydrography, Landscape, and Pesticide Use Data</t>
  </si>
  <si>
    <t>DESCRIBING THE BEHAVIOR AND EFFECTS OF PESTCIDES IN URBAN AND AGRICULTURAL SETTINGS</t>
  </si>
  <si>
    <t>246th National Meeting of the American-Chemical-Society (ACS)</t>
  </si>
  <si>
    <t>SEP 08-12, 2013</t>
  </si>
  <si>
    <t>Indianapolis, IN</t>
  </si>
  <si>
    <t>Amer Chem Soc</t>
  </si>
  <si>
    <t>MODELS</t>
  </si>
  <si>
    <t>The standard regulatory approach for predicting aquatic pesticide Expected Environmental Concentrations (EECs) in an ecological risk assessment is to use the PRZM/EXAMS model to simulate a ten hectare field draining into a one hectare pond. This approach assumes that 100% of the crop area draining into the pond is treated with the pesticide on a soil representative of the geographic region and crop. In reality, the characteristics of pond drainage areas vary widely over the geographic extent of interest for a typical exposure assessment. An approach that accounts for variability in soils, weather, percent cropped area, and pesticide use was developed to predict aquatic pesticide concentrations as part of an endangered species risk assessment. The approach used spatially explicit data and the PRZM/EXAMS model to predict a probability distribution of aquatic EECs reflective of the species habitat area and may be applied in exposure assessments required for other ecological risk assessments.</t>
  </si>
  <si>
    <t>[Winchell, Michael; Estes, Tammara; Padilla, Lauren; Budreski, Katie] Stone Environm, 535 Stone Cutters Way, Montpelier, VT 05602 USA; [Peranginangin, Natalia; Bang, JiSu] Syngenta Crop Protect, LLC, Greensboro 27409, NC USA</t>
  </si>
  <si>
    <t>Stone Environmental Inc.; Syngenta</t>
  </si>
  <si>
    <t>Winchell, M (corresponding author), Stone Environm, 535 Stone Cutters Way, Montpelier, VT 05602 USA.</t>
  </si>
  <si>
    <t>mwinchell@stone-env.com</t>
  </si>
  <si>
    <t>978-0-8412-2974-7</t>
  </si>
  <si>
    <t>Agriculture, Multidisciplinary; Chemistry, Multidisciplinary; Environmental Sciences</t>
  </si>
  <si>
    <t>Agriculture; Chemistry; Environmental Sciences &amp; Ecology</t>
  </si>
  <si>
    <t>BB6OS</t>
  </si>
  <si>
    <t>WOS:000344904500013</t>
  </si>
  <si>
    <t>Kopec, D; Sabat-Tomala, A; Michalska-Hejduk, D; Jarocinska, A; Niedzielko, J</t>
  </si>
  <si>
    <t>Kopec, Dominik; Sabat-Tomala, Anita; Michalska-Hejduk, Dorota; Jarocinska, Anna; Niedzielko, Jan</t>
  </si>
  <si>
    <t>Habitat's threats; Data fusion; ALS; Random forest; Invasive alien species; HySpex</t>
  </si>
  <si>
    <t>REFLECTANCE INDEX; PROTECTED AREAS; LAND-USE; VEGETATION; CLASSIFICATION; FORESTS; IMAGERY; VISUALIZATION; RESOLUTION; CONTEXT</t>
  </si>
  <si>
    <t>Remote sensing is increasingly widely used in nature conservation management. The research focuses on developing an optimal set of airborne raster data for the identification of the invasive alien species Spiraea tomentosa L. The plant species selected for the purposes of this study poses a serious threat to peat bog plant communities, moist coniferous forests, and meadows in Central Europe. The impact of the data acquisition time on the accuracy of classification and the percentage cover limit required for correct identification of a target species using the developed method were also investigated. The study area is located in the Lower Silesian forests in Poland and is protected as a Natura 2000 site. Airborne hyperspectral and laser scanning data were simultaneously acquired two times in the growing season (August and September 2016) parallel to on-ground reference data collection. The 1 m resolution HySpex images with spectral range of 0.4-2.5 mu m were corrected atmospherically, radiometrically and geometrically. Airborne Laser Scanning (ALS) data acquired at 7 points/m(2) were used to generate several products, e.g. Canopy Height Model (CHM), rasters representing morphometric features of the area (Multiresolution Index of the Ridge Top Flatness or Valley Bottom Flatness-MRRTF, MRVBF), wetness relations (Topographic Wetness Index-TWI) and the availability of light (Total Insolation-TI), intensity of laser pulse reflection and geometric relations of vegetation points (i.a. Vegetation Cover, Vegetation Mean Intensity). The Random Forest (RF) classification and different raster datasets were used to identify the target species. As a result, the highest accuracy was obtained for the scenario based on HySpex images acquired in September. The accuracy (f1 score) for the target species achieved 83%. The developed method for the identification of Spiraea tomentosa has a great potential for application and can be used for monitoring peat bogs threatened by invasion of alien plants.</t>
  </si>
  <si>
    <t>[Kopec, Dominik; Michalska-Hejduk, Dorota] Univ Lodz, Fac Biol &amp; Environm Protect, Dept Geobot &amp; Plant Ecol, Banacha 1-3, PL-90237 Lodz, Poland; [Sabat-Tomala, Anita; Jarocinska, Anna] Univ Warsaw, Fac Geog &amp; Reg Studies, Chair Geomat &amp; Informat Syst, Dept Geoinformat Cartog &amp; Remote Sensing, Przedmiescie 30, PL-00927 Warsaw, Poland; [Kopec, Dominik; Niedzielko, Jan] MGGP Aero, Kaczkowskiego 6, PL-33100 Tarnow, Poland</t>
  </si>
  <si>
    <t>University of Lodz; University of Warsaw</t>
  </si>
  <si>
    <t>Kopec, D (corresponding author), Univ Lodz, Fac Biol &amp; Environm Protect, Dept Geobot &amp; Plant Ecol, Banacha 1-3, PL-90237 Lodz, Poland.</t>
  </si>
  <si>
    <t>dominik.kopec@biol.uni.lodz.pl; anita.sabat@uw.edu.pl; ajarocinska@uw.edu.pl</t>
  </si>
  <si>
    <t>; Jarocińska, Anna/AAP-2459-2020; Sabat-Tomala, Anita/AAR-7413-2020; Kopeć, Dominik/AHA-5976-2022</t>
  </si>
  <si>
    <t>Niedzielko, Jan/0000-0002-6531-0267; Jarocińska, Anna/0000-0003-3610-4656; Sabat-Tomala, Anita/0000-0001-8954-5047; Kopeć, Dominik/0000-0003-0831-2992</t>
  </si>
  <si>
    <t>Polish National Centre for Research and Development (NCBR); MGGP Aero under the programme Natural Environment, Agriculture and Forestry'' BIOSTRATEG II.: The innovative approach supporting monitoring of non-forest Natura 2000 habitats, using remote sensing methods (HabitARS) [DZP/BIOSTRATEG-II/390/2015]</t>
  </si>
  <si>
    <t>Polish National Centre for Research and Development (NCBR); MGGP Aero under the programme Natural Environment, Agriculture and Forestry'' BIOSTRATEG II.: The innovative approach supporting monitoring of non-forest Natura 2000 habitats, using remote sensing methods (HabitARS)</t>
  </si>
  <si>
    <t>The study was co-financed by the Polish National Centre for Research and Development (NCBR) and MGGP Aero under the programme Natural Environment, Agriculture and Forestry'' BIOSTRATEG II.: The innovative approach supporting monitoring of non-forest Natura 2000 habitats, using remote sensing methods (HabitARS), project number: DZP/BIOSTRATEG-II/390/2015. The Consortium Leader is MGGP Aero. The project partners include the University of Lodz, the University of Warsaw, Warsaw University of Life Sciences, the Institute of Technology and Life Sciences, the University of Silesia in Katowice, Warsaw University of Technology.</t>
  </si>
  <si>
    <t>10.1007/s11273-020-09719-y</t>
  </si>
  <si>
    <t>LN2HB</t>
  </si>
  <si>
    <t>WOS:000521924500001</t>
  </si>
  <si>
    <t>Bendell, LI; Wan, PCY</t>
  </si>
  <si>
    <t>Bendell, Leah I.; Wan, Peter C. Y.</t>
  </si>
  <si>
    <t>Application of aerial photography in combination with GIS for coastal management at small spatial scales: a case study of shellfish aquaculture</t>
  </si>
  <si>
    <t>JOURNAL OF COASTAL CONSERVATION</t>
  </si>
  <si>
    <t>Aerial photography; GIS; Spatial analysis; Cumulative affects; Anthropogenic footprint</t>
  </si>
  <si>
    <t>COMMUNITY STRUCTURE; BRITISH-COLUMBIA; HABITAT; MARINE; CONSERVATION</t>
  </si>
  <si>
    <t>Coastal zones are among the planets most threatened ecosystems and effective management of these systems requires spatial tools at appropriate spatial scales. Here we apply aerial photography with Geographic Information Systems (GIS), to map the cumulative anthropogenic footprint of an industry in a spatially defined ecologically important region of the British Columbian coast. Resolution required for such an analysis was made possible through highly detailed aerial photography of the region taken at an elevation of 305 m, at a 1:3000 scale. The approach applied here was successful in accurately detailing the cumulative extent of the anthropogenic activity on the foreshore which could have not been achieved at a coarser resolution. Such information was then effectively applied to visualize and assess the potential impact of an industrial development of the foreshore on bird distribution within the spatially identified region. The degree of overlap between the anthropogenic footprint and small estuaries within the region was also successfully assessed. For ecologically important regions such as Marine Protected Areas, and other such designated sensitive coastal regions, detailed mapping through aerial photography and GIS can aid in first identifying the true extent of an anthropogenic activity and then secondly used to link to possible ecological consequences. This in turn greatly enhances our ability to best manage the region of interest such that conservation priorities can be met.</t>
  </si>
  <si>
    <t>[Bendell, Leah I.; Wan, Peter C. Y.] Simon Fraser Univ, Dept Biol Sci, Ctr Coastal Studies, Burnaby, BC V5A 1S6, Canada</t>
  </si>
  <si>
    <t>Simon Fraser University</t>
  </si>
  <si>
    <t>Bendell, LI (corresponding author), Simon Fraser Univ, Dept Biol Sci, Ctr Coastal Studies, 8888 Univ Dr, Burnaby, BC V5A 1S6, Canada.</t>
  </si>
  <si>
    <t>bendell@sfu.ca</t>
  </si>
  <si>
    <t>National Science and Engineering Research Council (NSERC) [STPGP246079-01]</t>
  </si>
  <si>
    <t>National Science and Engineering Research Council (NSERC)(Natural Sciences and Engineering Research Council of Canada (NSERC))</t>
  </si>
  <si>
    <t>We thank R. Ydenberg for allowing us access to the 2003-2005 bird count data. Funding for this study was through a National Science and Engineering Research Council (NSERC) Strategic Operating Grant (STPGP246079-01) to LB.</t>
  </si>
  <si>
    <t>1400-0350</t>
  </si>
  <si>
    <t>1874-7841</t>
  </si>
  <si>
    <t>J COAST CONSERV</t>
  </si>
  <si>
    <t>J. Coast. Conserv.</t>
  </si>
  <si>
    <t>10.1007/s11852-010-0101-8</t>
  </si>
  <si>
    <t>Biodiversity Conservation; Environmental Sciences; Marine &amp; Freshwater Biology; Water Resources</t>
  </si>
  <si>
    <t>Biodiversity &amp; Conservation; Environmental Sciences &amp; Ecology; Marine &amp; Freshwater Biology; Water Resources</t>
  </si>
  <si>
    <t>834DS</t>
  </si>
  <si>
    <t>WOS:000295940200002</t>
  </si>
  <si>
    <t>Vanthomme, HPA; Tobi, E; Todd, AF; Korte, L; Alonso, A</t>
  </si>
  <si>
    <t>Vanthomme, Hadrien P. A.; Tobi, Elie; Todd, Angelique F.; Korte, Lisa; Alonso, Alfonso</t>
  </si>
  <si>
    <t>adaptive management; African forest elephant (Loxodonta cyclotis); Bayesian occupancy model; oil and gas industry; snare; spatiotemporal trends</t>
  </si>
  <si>
    <t>IMPACTS; FRAMEWORK; WINBUGS; TRENDS; OIL</t>
  </si>
  <si>
    <t>Unsustainable hunting outside protected areas is threatening tropical biodiversity worldwide and requires conservationists to engage increasingly in antipoaching activities. Following the example of ecocertified logging companies, we argue that other extractive industries managing large concessions should engage in antipoaching activities as part of their environmental management plans. Onshore hydrocarbon concessions should also adopt antipoaching protocols as a standard because they represent a biodiversity threat comparable to logging. We examined the spatiotemporal patterns of small-and large-mammal poaching in an onshore oil concession in Gabon, Central Africa, with a Bayesian occupancy model based on signs of poaching collected from 2010 to 2015 on antipoaching patrols. Patrol locations were initially determined based on local intelligence and past patrol successes (adaptive management) and subsequently with a systematic sampling of the concession. We generated maps of poaching probability in the concession and determined the temporal trends of this threat over 5 years. The spatiotemporal patterns of large-and small-mammal poaching differed throughout the concession, and likely these groups will need different management strategies. By elucidating the relationship between site-specific sampling effort and detection probability, the Bayesian method allowed us to set goals for future antipoaching patrols. Our results indicate that a combination of systematic sampling and adaptive management data is necessary to infer spatiotemporal patterns with the statistical method we used. On the basis of our case study, we recommend hydrocarbon companies interested in implementing efficient antipoaching activities in their onshore concessions to lay the foundation of long-needed industry standards by: adequately measuring antipoaching effort; mixing adaptive management and balanced sampling; setting goals for antipoaching effort; pairing patrols with large-mammal monitoring; supporting antipoaching patrols across the landscape; restricting access to their concessions; performing random searches for bushmeat and mammal products at points of entry; controlling urban and agricultural expansion; supporting bushmeat alternatives; and supporting land-use planning.</t>
  </si>
  <si>
    <t>[Vanthomme, Hadrien P. A.] Smithsonian Conservat Biol Inst, Ctr Conservat &amp; Sustainabil, Calle Libertadores 215, San Isidro Lima 27, Peru; [Tobi, Elie; Todd, Angelique F.; Korte, Lisa] Smithsonian Conservat Biol Inst, Ctr Conservat &amp; Sustainabil, BP 48, Gamba, Gabon; [Alonso, Alfonso] Smithsonian Conservat Biol Inst, Ctr Conservat &amp; Sustainabil, POB 37012,MRC 705, Washington, DC 20013 USA</t>
  </si>
  <si>
    <t>Smithsonian Institution; Smithsonian National Zoological Park &amp; Conservation Biology Institute</t>
  </si>
  <si>
    <t>Vanthomme, HPA (corresponding author), Smithsonian Conservat Biol Inst, Ctr Conservat &amp; Sustainabil, Calle Libertadores 215, San Isidro Lima 27, Peru.</t>
  </si>
  <si>
    <t>vanthommeh@si.edu</t>
  </si>
  <si>
    <t>; Todd, Angelique/AAR-3087-2021</t>
  </si>
  <si>
    <t>Vanthomme, Haien/0000-0003-3882-0517; Todd, Angelique/0000-0002-9207-4925</t>
  </si>
  <si>
    <t>Gabonese National Center for Scientific and Technological Research (CENAREST) [AR0021/15/MESRS/CENAREST/CG/CST/CSAR]; Shell Gabon</t>
  </si>
  <si>
    <t>Gabonese National Center for Scientific and Technological Research (CENAREST); Shell Gabon</t>
  </si>
  <si>
    <t>We thank the Gabonese National Center for Scientific and Technological Research (CENAREST) for authoriz-ing our study (permit AR0021/15/MESRS/CENAREST/CG/CST/CSAR). We also thank Shell Gabon for funding this study. Many thanks to the partners from the GMPENRFS, the National Park Agency, and others who helped collect data and manage the study: M. Eyang Ossima, M. Onanga, T. Boyogho, L. Bikagassa, J. Bindang, E. Kengue, J.-E. Makaya, J. L. Louemba, G.-R. Mihindou, M. Omb 'enotori Erere, A. Mihindou, A. Megne Nguema, G. Bos, R. Chippendale, P. Mijsbergh, T. Moussotsi, O. Pauwels, J.-L. Bost, A. Jocktane Mbourou, I. Mamelongoue, N. Mbadinga, E. Mubamu Makadi, E. Ngounga, A. Nzague, D. Rousseaux, and A. Time. We also thank those who helped collect, format, and enter data: A. B. Fama, A. Litona Boubeya, P. B. Maganga, B. S.Nzamba, S. Sondjimbouniarra, A. Soumouna, and S. Verhage. This is contribution number 150 of the Gabon Biodiversity Program.</t>
  </si>
  <si>
    <t>10.1111/cobi.12854</t>
  </si>
  <si>
    <t>EU3WP</t>
  </si>
  <si>
    <t>WOS:000400962000021</t>
  </si>
  <si>
    <t>Gabriel, MW; Woods, LW; Poppenga, R; Sweitzer, RA; Thompson, C; Matthews, SM; Higley, JM; Keller, SM; Purcell, K; Barrett, RH; Wengert, GM; Sacks, BN; Clifford, DL</t>
  </si>
  <si>
    <t>Gabriel, Mourad W.; Woods, Leslie W.; Poppenga, Robert; Sweitzer, Rick A.; Thompson, Craig; Matthews, Sean M.; Higley, J. Mark; Keller, Stefan M.; Purcell, Kathryn; Barrett, Reginald H.; Wengert, Greta M.; Sacks, Benjamin N.; Clifford, Deana L.</t>
  </si>
  <si>
    <t>Anticoagulant Rodenticides on our Public and Community Lands: Spatial Distribution of Exposure and Poisoning of a Rare Forest Carnivore</t>
  </si>
  <si>
    <t>STOATS MUSTELA ERMINEA; SEX-RATIO; NONTARGET WILDLIFE; INTOXICATION; BRODIFACOUM; ABUNDANCE; FISHERS; MAMMALS</t>
  </si>
  <si>
    <t>Anticoagulant rodenticide (AR) poisoning has emerged as a significant concern for conservation and management of nontarget wildlife. The purpose for these toxicants is to suppress pest populations in agricultural or urban settings. The potential of direct and indirect exposures and illicit use of ARs on public and community forest lands have recently raised concern for fishers (Martes pennanti), a candidate for listing under the federal Endangered Species Act in the Pacific states. In an investigation of threats to fisher population persistence in the two isolated California populations, we investigate the magnitude of this previously undocumented threat to fishers, we tested 58 carcasses for the presence and quantification of ARs, conducted spatial analysis of exposed fishers in an effort to identify potential point sources of AR, and identified fishers that died directly due to AR poisoning. We found 46 of 58 (79%) fishers exposed to an AR with 96% of those individuals having been exposed to one or more second-generation AR compounds. No spatial clustering of AR exposure was detected and the spatial distribution of exposure suggests that AR contamination is widespread within the fisher's range in California, which encompasses mostly public forest and park lands Additionally, we diagnosed four fisher deaths, including a lactating female, that were directly attributed to AR toxicosis and documented the first neonatal or milk transfer of an AR to an altricial fisher kit. These ARs, which some are acutely toxic, pose both a direct mortality or fitness risk to fishers, and a significant indirect risk to these isolated populations. Future research should be directed towards investigating risks to prey populations fishers are dependent on, exposure in other rare forest carnivores, and potential AR point sources such as illegal marijuana cultivation in the range of fishers on California public lands.</t>
  </si>
  <si>
    <t>[Gabriel, Mourad W.; Wengert, Greta M.] Integral Ecol Res Ctr, Blue Lake, CA USA; [Gabriel, Mourad W.; Sacks, Benjamin N.] Univ Calif Davis, Vet Genet Lab, Davis, CA 95616 USA; [Woods, Leslie W.; Poppenga, Robert] Univ Calif Davis, Calif Anim Hlth &amp; Food Safety Lab Syst, Davis, CA 95616 USA; [Sweitzer, Rick A.; Barrett, Reginald H.] Univ Calif Berkeley, Sierra Nevada Adapt Management Project, Berkeley, CA 94720 USA; [Thompson, Craig; Purcell, Kathryn] US Forest Serv, Pacific SW Res Stn, Sierra Nevada Res Ctr, Fresno, CA USA; [Matthews, Sean M.] Wildlife Conservat Soc, Hoopa, CA USA; [Higley, J. Mark] Hoopa Tribal Forestry, Dept Wildlife, Hoopa, CA USA; [Keller, Stefan M.] Univ Calif Davis, Dept Pathol Microbiol &amp; Immunol, Davis, CA 95616 USA; [Clifford, Deana L.] Calif Dept Fish &amp; Game, Wildlife Invest Lab, Rancho Cordova, CA 95670 USA</t>
  </si>
  <si>
    <t>University of California System; University of California Davis; University of California System; University of California Davis; University of California System; University of California Berkeley; United States Department of Agriculture (USDA); United States Forest Service; Wildlife Conservation Society; University of California System; University of California Davis</t>
  </si>
  <si>
    <t>Gabriel, MW (corresponding author), Integral Ecol Res Ctr, Blue Lake, CA USA.</t>
  </si>
  <si>
    <t>mwgabriel@ucdavis.edu</t>
  </si>
  <si>
    <t>Keller, Stefan/ABK-6651-2022; Barrett, Reginald/AAC-2608-2020; Purcell, Kathryn/S-2592-2016</t>
  </si>
  <si>
    <t>Keller, Stefan/0000-0002-5428-2985; Higley, Mark/0000-0002-7722-3785;</t>
  </si>
  <si>
    <t>JUL 13</t>
  </si>
  <si>
    <t>e40163</t>
  </si>
  <si>
    <t>10.1371/journal.pone.0040163</t>
  </si>
  <si>
    <t>974CF</t>
  </si>
  <si>
    <t>WOS:000306406700023</t>
  </si>
  <si>
    <t>Benslimane, N; Chakri, K; Haiahem, D; Guelmami, A; Samraoui, F; Samraoui, B</t>
  </si>
  <si>
    <t>Benslimane, Nouara; Chakri, Khemissa; Haiahem, Dalal; Guelmami, Anis; Samraoui, Farrah; Samraoui, Boudjema</t>
  </si>
  <si>
    <t>JOURNAL OF INSECT CONSERVATION</t>
  </si>
  <si>
    <t>Aquatic hemiptera; Climate change; Ecosystem services; Mosquitofish; North Africa; Remote sensing; Temporary ponds</t>
  </si>
  <si>
    <t>COMMUNITY SIZE STRUCTURE; FOOD-WEB STRUCTURE; TEMPORARY PONDS; GAMBUSIA-AFFINIS; COMPARATIVE BIODIVERSITY; INTRODUCED MOSQUITOFISH; GLOBAL BIODIVERSITY; NOTONECTA HEMIPTERA; PESTICIDE-RESIDUES; BUGS HETEROPTERA</t>
  </si>
  <si>
    <t>In arid North Africa, dune ponds qualify as hotspots of aquatic biodiversity, offering numerous sustainable ecosystem services. Despite mounting anthropogenic pressures that threaten their integrity, the overall consequences of these changes have yet to be documented and no strategy to mitigate potential impacts is being implemented. We monitored four dune ponds in northeast Algeria during five hydrological cycles spanning the period 1996-2013. The analysis revealed a steep decline in species richness (47%) and abundance (94%) over the study period. Remote sensing-based data indicated that marked human-induced changes in and around these dune ponds have over time led to a substantial expansion of built areas and cultivated plots and a reduction in both natural wet- and dry-land habitats. Fish predation by the introduced fish, Gambusia holbrooki, may have had both direct and indirect impacts on notonectids. We argue that aquatic hemipterans have undergone an alarming reduction driven by a combination of invasive species, human encroachment, agricultural runoffs, and possibly, climate change.</t>
  </si>
  <si>
    <t>[Benslimane, Nouara; Chakri, Khemissa; Haiahem, Dalal; Samraoui, Farrah; Samraoui, Boudjema] Univ 8 Mai 1945 Guelma, Lab Conservat Zones Humides, Guelma, Algeria; [Benslimane, Nouara; Chakri, Khemissa; Samraoui, Boudjema] Univ Annaba, Dept Biol, Annaba, Algeria; [Guelmami, Anis] Tour Valat Res Inst Conservat Mediterranean Wetla, F-13200 Arles, France; [Samraoui, Farrah] Univ 8 Mai 1945 Guelma, Dept Ecol, Guelma, Algeria</t>
  </si>
  <si>
    <t>Universite 8 Mai 1945 de Guelma; Universite Badji Mokhtar - Annaba; Universite 8 Mai 1945 de Guelma</t>
  </si>
  <si>
    <t>Samraoui, B (corresponding author), Univ 8 Mai 1945 Guelma, Lab Conservat Zones Humides, Guelma, Algeria.;Samraoui, B (corresponding author), Univ Annaba, Dept Biol, Annaba, Algeria.</t>
  </si>
  <si>
    <t>bsamraoui@gmail.com</t>
  </si>
  <si>
    <t>Samraoui, Boudjéma/E-6761-2011; Samraoui, Farrah/E-6757-2011</t>
  </si>
  <si>
    <t>Samraoui, Boudjéma/0000-0002-0608-9021; Samraoui, Farrah/0000-0003-2407-3004</t>
  </si>
  <si>
    <t>Algerian Ministere de l'Enseignement Superieur et de la Recherche Scientifique (MESRS)</t>
  </si>
  <si>
    <t>We are most grateful to the Associate Editor and two anonymous referees for their valuable comments and suggestions. Help from N. Layachi, F. Terki and M. Mekki is gratefully acknowledged. This work was supported by the Algerian Ministere de l'Enseignement Superieur et de la Recherche Scientifique (MESRS).</t>
  </si>
  <si>
    <t>1366-638X</t>
  </si>
  <si>
    <t>1572-9753</t>
  </si>
  <si>
    <t>J INSECT CONSERV</t>
  </si>
  <si>
    <t>J. Insect Conserv.</t>
  </si>
  <si>
    <t>10.1007/s10841-019-00133-1</t>
  </si>
  <si>
    <t>Biodiversity Conservation; Entomology</t>
  </si>
  <si>
    <t>Biodiversity &amp; Conservation; Entomology</t>
  </si>
  <si>
    <t>HZ4DS</t>
  </si>
  <si>
    <t>WOS:000468797900004</t>
  </si>
  <si>
    <t>Fryxell, JM; Avgar, T; Liu, BY; Baker, JA; Rodgers, AR; Shuter, J; Thompson, ID; Reid, DEB; Kittle, AM; Mosser, A; Newmaster, SG; Nudds, TD; Street, GM; Brown, GS; Patterson, B</t>
  </si>
  <si>
    <t>Fryxell, John M.; Avgar, Tal; Liu, Boyan; Baker, James A.; Rodgers, Arthur R.; Shuter, Jennifer; Thompson, Ian D.; Reid, Douglas E. B.; Kittle, Andrew M.; Mosser, Anna; Newmaster, Steven G.; Nudds, Tom D.; Street, Garrett M.; Brown, Glen S.; Patterson, Brent</t>
  </si>
  <si>
    <t>apparent competition; boreal; disturbance; forestry; growth rate; model; moose; movement; Ontario; population viability analysis; predation; survival; wolf; woodland caribou</t>
  </si>
  <si>
    <t>RANGIFER-TARANDUS-CARIBOU; HABITAT SELECTION; BEHAVIORAL-RESPONSE; ANIMAL MOVEMENT; PREDATION RISK; BOREAL FORESTS; BLACK BEARS; WOLVES; MOOSE; RANGE</t>
  </si>
  <si>
    <t>One of the most challenging tasks in wildlife conservation and management is to clarify how spatial variation in land cover due to anthropogenic disturbance influences wildlife demography and long-term viability. To evaluate this, we compared rates of survival and population growth by woodland caribou (Rangifer tarandus caribou) from 2 study sites in northern Ontario, Canada that differed in the degree of anthropogenic disturbance because of commercial logging and road development, resulting in differences in predation risk due to gray wolves (Canis lupus). We used an individual-based model for population viability analysis (PVA) that incorporated adaptive patterns of caribou movement in relation to predation risk and food availability to predict stochastic variation in rates of caribou survival. Field estimates of annual survival rates for adult female caribou in the unlogged (x over bar = 0.90) and logged (x over bar = 0.76) study sites recorded during 2010-2014 did not differ significantly (P &gt; 0.05) from values predicted by the individual-based PVA model (unlogged: x over bar = 0.87; logged: x over bar = 0.79). Outcomes from the individual-based PVA model and a simpler stage-structured matrix model suggest that substantial differences in adult survival largely due to wolf predation are likely to lead to long-term decline of woodland caribou in the commercially logged landscape, whereas the unlogged landscape should be considerably more capable of sustaining caribou. Estimates of population growth rates (lambda) for the 2010-2014 period differed little between the matrix model and the individual-based PVA model for the unlogged (matrix model x over bar = 1.01; individual-based model x over bar = 0.98) and logged landscape (matrix model x over bar = 0.88; individual-based model x over bar = 0.89). We applied the spatially explicit PVA model to assess the viability of woodland caribou across 14 woodland caribou ranges in Ontario. Outcomes of these simulations suggest that woodland caribou ranges that have experienced significant levels of commercial forestry activities in the past had annual growth rates &lt;0.89, whereas caribou ranges that had not experienced commercial forestry operations had population growth rates &gt;0.96. These differences were strongly related to regional variation in wolf densities. Our results suggest that increased wolf predation risk due to anthropogenic disturbance is of sufficient magnitude to cause appreciable risk of population decline in woodland caribou in Ontario. (c) 2020 The Authors. The Journal of Wildlife Management published by Wiley Periodicals, Inc. on behalf of The Wildlife Society.</t>
  </si>
  <si>
    <t>[Fryxell, John M.; Avgar, Tal; Liu, Boyan; Kittle, Andrew M.; Mosser, Anna; Newmaster, Steven G.; Nudds, Tom D.; Street, Garrett M.] Univ Guelph, Dept Integrat Biol, 50 Stone Rd E, Guelph, ON N1G 2W1, Canada; [Baker, James A.; Brown, Glen S.; Patterson, Brent] Ontario Minist Nat Resources &amp; Forestry, Wildlife Res &amp; Monitoring Sect, 300 Water St, Peterborough, ON K9J 8M5, Canada; [Rodgers, Arthur R.; Shuter, Jennifer; Reid, Douglas E. B.] Ontario Minist Nat Resources &amp; Forestry, Ctr Northern Forest Ecosyst Res, 435 James St, Thunder Bay, ON P7E 2VE, Canada; [Thompson, Ian D.] Canadian Forest Serv, 1219 Queen St East, Sault Ste Marie, ON P6A 2E5, Canada; [Avgar, Tal] Utah State Univ, Dept Wildland Resources, Logan, UT 84322 USA; [Mosser, Anna] Univ Minnesota Twin Cities, CBS Biol Teaching Learning, Room 3-133 MCB,420 Washington Ave SE, Minneapolis, MN 55455 USA; [Street, Garrett M.] Mississippi State Univ, Dept Wildlife Fisheries &amp; Aquaculture, Box 9690, Mississippi State, MS 39762 USA</t>
  </si>
  <si>
    <t>University of Guelph; Ministry of Natural Resources &amp; Forestry; Ministry of Natural Resources &amp; Forestry; Natural Resources Canada; Canadian Forest Service; Utah System of Higher Education; Utah State University; University of Minnesota System; University of Minnesota Twin Cities; Mississippi State University</t>
  </si>
  <si>
    <t>Fryxell, JM (corresponding author), Univ Guelph, Dept Integrat Biol, 50 Stone Rd E, Guelph, ON N1G 2W1, Canada.</t>
  </si>
  <si>
    <t>jfryxell@uoguelph.ca</t>
  </si>
  <si>
    <t>Avgar, Tal/W-9520-2019; , Doug/ISS-4158-2023</t>
  </si>
  <si>
    <t>Avgar, Tal/0000-0002-8764-6976; Kittle, Anew/0000-0002-7334-4766; Liu, Boyan/0000-0002-7646-5299</t>
  </si>
  <si>
    <t>Forest Ecosystem Science Cooperative; Ontario Ministry of Natural Resources and Forestry; Natural Sciences and Engineering Research Council of Canada Collaborative Research Grant Program; National Research Council of Canada; Canada Ministry of the Environment; W. Garfield Weston Foundation; Wildlife Conservation Society of Canada; NRCan-Canadian Forest Service; Natural Sciences and Engineering Research Council of Canada Strategic Grant Program</t>
  </si>
  <si>
    <t>Forest Ecosystem Science Cooperative; Ontario Ministry of Natural Resources and Forestry; Natural Sciences and Engineering Research Council of Canada Collaborative Research Grant Program(Natural Sciences and Engineering Research Council of Canada (NSERC)); National Research Council of Canada; Canada Ministry of the Environment; W. Garfield Weston Foundation; Wildlife Conservation Society of Canada; NRCan-Canadian Forest Service; Natural Sciences and Engineering Research Council of Canada Strategic Grant Program(Natural Sciences and Engineering Research Council of Canada (NSERC))</t>
  </si>
  <si>
    <t>We extend our sincere appreciation to the technicians and management at the Centre for Northern Forest Ecosystem Research and many student field assistants for their efforts in the field. We thank the Editor and Associate Editor and several reviewers for helpful suggestions on the manuscript. Funding for this work was provided by the Forest Ecosystem Science Cooperative, Ontario Ministry of Natural Resources and Forestry, Natural Sciences and Engineering Research Council of Canada Collaborative Research Grant Program, National Research Council of Canada, Canada Ministry of the Environment, W. Garfield Weston Foundation, Wildlife Conservation Society of Canada, NRCan-Canadian Forest Service, and Natural Sciences and Engineering Research Council of Canada Strategic Grant Program.</t>
  </si>
  <si>
    <t>10.1002/jwmg.21829</t>
  </si>
  <si>
    <t>LI2EO</t>
  </si>
  <si>
    <t>WOS:000512135800001</t>
  </si>
  <si>
    <t>Escobar, LE; Awan, MN; Qiao, HJ</t>
  </si>
  <si>
    <t>Escobar, Luis E.; Awan, Muhammad Naeem; Qiao, Huijie</t>
  </si>
  <si>
    <t>Ecological niche model; Disturbance; Habitat loss; Land use change; Nighttime lights; Ursus thibetanus</t>
  </si>
  <si>
    <t>GEOGRAPHIC DISTRIBUTIONS; CONSERVATION; BIODIVERSITY; MITIGATION; CENTRALITY; STRESS; TOOL</t>
  </si>
  <si>
    <t>Habitat loss is a critical factor driving extinction of biodiversity worldwide, with models of future land use anticipating increases in rates of destruction of native habitats worldwide. The Asian black bear (Ursus thibetanus) is a red-listed species with a broad geographic range that has been fragmented dramatically by land use change. Remaining populations of U. thibetanus occupy diverse habitats, ranging from highlands to coastal regions. We integrated ecological niche models (ENMs) with nighttime satellite imagery to identify areas suitable for U. thibetanus after anthropogenic alteration. We found that at least 10% of the potential distributional area for the species is not suitable owing to urban or suburban encroachment. U. thibetanus seems to persist in highland areas, characterized by low temperature and high precipitation, whereas humans concentrate in lowlands and less-extreme climatic conditions. ENMs based solely on climate frequently overestimate suitable areas available for species; nighttime light imagery offers a robust alternative to refining estimates of species' ranges, designing protected areas and corridors, prioritizing threatened species, and determining areas of human-wildlife conflict across broad areas. Our approach is transferable to other taxa and contexts, and should be considered in conservation planning and policy implementation. (C) 2015 Elsevier Ltd. All rights reserved.</t>
  </si>
  <si>
    <t>[Escobar, Luis E.] SUNY Upstate Med Univ, Ctr Global Hlth &amp; Translat Sci, Syracuse, NY 13210 USA; [Awan, Muhammad Naeem] Himalayan Nat Conservat Fdn, Muzaffarabad 13100, Azad Kashmir, Pakistan; [Awan, Muhammad Naeem] Univ Azad Jammu &amp; Kashmir, Dept Zool, Muzaffarabad, Pakistan; [Qiao, Huijie] Chinese Acad Sci, Inst Zool, Key Lab Anim Ecol &amp; Conservat Biol, Beijing 100101, Peoples R China</t>
  </si>
  <si>
    <t>State University of New York (SUNY) System; SUNY Upstate Medical University; University of Azad Jammu &amp; Kashmir; Chinese Academy of Sciences; Institute of Zoology, CAS</t>
  </si>
  <si>
    <t>Qiao, HJ (corresponding author), Chinese Acad Sci, Inst Zool, Key Lab Anim Ecol &amp; Conservat Biol, Beijing 100101, Peoples R China.</t>
  </si>
  <si>
    <t>ecoguate2003@gmail.com; ajkwildlife@gmail.com; qiaohj@ioz.ac.cn</t>
  </si>
  <si>
    <t>Escobar, Luis E/I-2204-2019</t>
  </si>
  <si>
    <t>Escobar, Luis E/0000-0001-5735-2750; Qiao, Huijie/0000-0002-5345-6234</t>
  </si>
  <si>
    <t>Global Emerging Infectious Disease Surveillance and Response System (GEIS) [P0435_14_UN]; National Natural Sciences Foundation of China [31100390]</t>
  </si>
  <si>
    <t>Global Emerging Infectious Disease Surveillance and Response System (GEIS); National Natural Sciences Foundation of China(National Natural Science Foundation of China (NSFC))</t>
  </si>
  <si>
    <t>Special thanks to A. Townsend Peterson for providing comments. Erin Saupe and Abby Morrison improved the English of an early version. The authors would like to thank the three anonymous reviewers for their voluntary suggestions and constructive critics that improved this manuscript. LEE's research was supported by the Global Emerging Infectious Disease Surveillance and Response System (GEIS) grant P0435_14_UN to Mark E. Polhemus. HQ was supported by the National Natural Sciences Foundation of China (grant 31100390).</t>
  </si>
  <si>
    <t>10.1016/j.biocon.2015.06.040</t>
  </si>
  <si>
    <t>WOS:000364257100046</t>
  </si>
  <si>
    <t>Yackulic, CB; Sanderson, EW; Uriarte, M</t>
  </si>
  <si>
    <t>Yackulic, Charles B.; Sanderson, Eric W.; Uriarte, Maria</t>
  </si>
  <si>
    <t>HUMAN-POPULATION; SPECIES BORDERS; HUMAN DENSITIES; EXTINCTION; CONSERVATION; ABUNDANCE; EVOLUTION; LIMITS; EDGE; CARNIVORES</t>
  </si>
  <si>
    <t>The extinction of a species is inevitably preceded by the extirpation of a series of local populations. Ecological theory predicts that vulnerability to extirpation varies between populations and is ultimately linked to environmental heterogeneity. If populations of a species are present in multiple regions separated by abrupt changes in environmental conditions (e.g., biomes), spatial variation in vulnerability to extirpation may be closely linked to the distribution of these regions. In the absence of abrupt shifts in environmental conditions, populations at the edge of a species' range should have low growth rates and be more vulnerable to extirpation, whereas populations located in the core of the species' range should be exposed to more favorable environmental conditions, have higher growth rates, and be less vulnerable. Here, we ask whether the distribution of biomes or range position better reflects spatial variation in vulnerability for 43 mammal species distributed through four continents. We control for the distribution of human threats and quantify the importance of protected areas in population persistence. We conclude that the distribution of biomes is a better predictor of vulnerability than position in the geographic range. We also find that core populations are less vulnerable than edge populations (after controlling for threats levels and protected areas). Protected areas are important for the persistence of most species we studied. By providing a measure of vulnerability linked directly to the distribution of threats, our results offer insights for scaling up from species vulnerability to extinction risk.</t>
  </si>
  <si>
    <t>[Yackulic, Charles B.; Uriarte, Maria] Columbia Univ, Dept Ecol Evolut &amp; Environm Biol, New York, NY 10027 USA; [Sanderson, Eric W.] Wildlife Conservat Soc, Bronx, NY 10460 USA</t>
  </si>
  <si>
    <t>Columbia University; Wildlife Conservation Society</t>
  </si>
  <si>
    <t>Yackulic, CB (corresponding author), Columbia Univ, Dept Ecol Evolut &amp; Environm Biol, New York, NY 10027 USA.</t>
  </si>
  <si>
    <t>c_yackulic@yahoo.com</t>
  </si>
  <si>
    <t>Uriarte, Maria/L-8944-2013; SANDERSON, ERIC W/O-1664-2019</t>
  </si>
  <si>
    <t>Yackulic, Charles/0000-0001-9661-0724; SANDERSON, ERIC W/0000-0002-7477-0193</t>
  </si>
  <si>
    <t>MAR 8</t>
  </si>
  <si>
    <t>10.1073/pnas.1015097108</t>
  </si>
  <si>
    <t>731PA</t>
  </si>
  <si>
    <t>WOS:000288120400041</t>
  </si>
  <si>
    <t>Cardoso, WC; Calvente, A; Dutra, VF; Sakuragui, CM</t>
  </si>
  <si>
    <t>Cardoso, Weverson Cavalcante; Calvente, Alice; Dutra, Valquiria Ferreira; Sakuragui, Cassia Monica</t>
  </si>
  <si>
    <t>Anthropic pressure on the diversity of Cactaceae in a region of Atlantic Forest in Eastern Brazil</t>
  </si>
  <si>
    <t>HASELTONIA</t>
  </si>
  <si>
    <t>Cacti; conservation; Espirito Santo; knowledge gaps; habitat destruction</t>
  </si>
  <si>
    <t>CONSERVATION; STATE</t>
  </si>
  <si>
    <t>Cactaceae are a highly endangered plant family with economical and ornamental potential. One of its centers of diversity and endemism is in Eastern Brazil, including the Atlantic Forest in the state of Espirito Santo. The latest Brazilian global floristic inventory recorded 41 cactus species for this state, however an exclusive study about Cactaceae is still necessary to survey and describe the actual diversity of the family in the region and current threats acting upon the cacti. The aim of this study was to survey the species of Cactaceae in Espirito Santo state and analyze the threats suffered by them. A database produced from fieldwork, herbarium and literature research resulted in 908 georeferenced records which served for the production of distribution maps and to analyze sampling efforts and species richness. The richest grid cells were positively correlated to the best sampled cells. In total 38 native species of Cactaceae were found, including epiphytic, rupicolous, and terricolous life-forms. Several threats to the conservation of cacti in the region are acting to reduce the habitat of native populations. Our results indicate the need to include an effective sampling of cactus specimens in order to understand the real conservation of the species of this highly endangered family.</t>
  </si>
  <si>
    <t>[Cardoso, Weverson Cavalcante; Sakuragui, Cassia Monica] Univ Fed Rio de Janeiro, Lab Integrado Sisternat Vegetal, Dept Bot, BR-21941902 Rio De Janeiro, RJ, Brazil; [Calvente, Alice] Univ Fed Rio Grande do Norte, Dept Bot &amp; Zool, Lab Bot Sistemat, BR-59078900 Natal, RN, Brazil; [Cardoso, Weverson Cavalcante; Dutra, Valquiria Ferreira] Univ Fed Espirito Santo, Dept Ciencias Biol, Herbario Vies, BR-29075910 Vitoria, ES, Brazil</t>
  </si>
  <si>
    <t>Universidade Federal do Rio de Janeiro; Universidade Federal do Rio Grande do Norte; Universidade Federal do Espirito Santo</t>
  </si>
  <si>
    <t>Cardoso, WC (corresponding author), Univ Fed Rio de Janeiro, Lab Integrado Sisternat Vegetal, Dept Bot, BR-21941902 Rio De Janeiro, RJ, Brazil.;Cardoso, WC (corresponding author), Univ Fed Espirito Santo, Dept Ciencias Biol, Herbario Vies, BR-29075910 Vitoria, ES, Brazil.</t>
  </si>
  <si>
    <t>cavalcantewc@gmail.com</t>
  </si>
  <si>
    <t>Calvente, Alice/I-3641-2012; Cardoso, Weverson/AAF-4576-2021; Sakuragui, Cassia/J-8603-2014; Dutra, Valquiria/B-3137-2016; Dutra, Valquiria/F-9228-2017; Cavalcante Cardoso, Weverson/AAF-4576-2021</t>
  </si>
  <si>
    <t>Calvente, Alice/0000-0001-5884-508X; Dutra, Valquiria/0000-0003-1547-1377; Cavalcante Cardoso, Weverson/0000-0001-8326-4658</t>
  </si>
  <si>
    <t>Conselho Nacional de Desenvolvimento Cientifico e Tecnologico (CNPq)</t>
  </si>
  <si>
    <t>Conselho Nacional de Desenvolvimento Cientifico e Tecnologico (CNPq)(Conselho Nacional de Desenvolvimento Cientifico e Tecnologico (CNPQ))</t>
  </si>
  <si>
    <t>We thank the Conselho Nacional de Desenvolvimento Cientifico e Tecnologico (CNPq) for the scholarship granted to WCC; Instituto Chico Mendes de Conservacao da Biodiversidade (ICMBio), Instituto Estadual de Meio Ambiente e Recursos Hidricos (IEMA), Instituto Nacional da Mata Atlantica (INMA) and Museu Nacional for the botanical collection authorizations in the Conservation Units, as well as their managers and guards who assisted us in the field trips. Thanks to A. Pope for collection authorizations and field support in the Kautsky Reserve, to curators of CVRD, MBML, R, RB, SAMES, SPF, UFG and VIES herbaria, and to A.L. Peixoto, J.F. Baumgratz, M.O. Trovo and V.L.M. Huszar for their revisions and suggestions in the manuscript.</t>
  </si>
  <si>
    <t>CACTUS SUCCULENT SOC AMER INC</t>
  </si>
  <si>
    <t>PAHRUMP</t>
  </si>
  <si>
    <t>2391 E CACTUS ST, PAHRUMP, NV 89048 USA</t>
  </si>
  <si>
    <t>1070-0048</t>
  </si>
  <si>
    <t>1938-2898</t>
  </si>
  <si>
    <t>10.2985/026.024.0105</t>
  </si>
  <si>
    <t>HZ6XV</t>
  </si>
  <si>
    <t>WOS:000468996700004</t>
  </si>
  <si>
    <t>Chen, HL; Koprowski, JL</t>
  </si>
  <si>
    <t>Chen, Hsiang Ling; Koprowski, John L.</t>
  </si>
  <si>
    <t>Road ecology; Traffic noise; Tree squirrels; Mammals; Site occupancy; Forest roads</t>
  </si>
  <si>
    <t>GRAHAM RED SQUIRRELS; TAMIASCIURUS-HUDSONICUS-GRAHAMENSIS; TRAFFIC NOISE; HIERARCHICAL-MODELS; BIRD POPULATIONS; ELK DISTRIBUTION; TREE SQUIRRELS; ROADS; FOREST; ABUNDANCE</t>
  </si>
  <si>
    <t>Habitat fragmentation, destruction, and disturbance are major threats to biodiversity. Global road networks represent one of the most significant human impacts on ecosystems, and a spatially extensive source of anthropogenic disturbance and noise. We developed a novel approach by combining traffic monitoring with noise mapping on the basis of a standardized traffic-noise stimulus generated by controlled vehicle operation to investigate temporal and spatial heterogeneity of traffic noise. We used animal presence or absence, radio-telemetric monitoring of space use, and remotely sensed habitat characteristics with occupancy modeling and spatial analysis to assess influences of distance from roads, habitat characteristics, and traffic noise level on site occupancy and space use of Mt. Graham red squirrels (Tamiasciurus hudsonicus grahamensis). Traffic noise had spatially extensive and negative effects on site occupancy. Animal occurrence decreased as traffic noise increased after accounting for distance from roads. Traffic noise levels in animal core home ranges were lower than noise levels within total home ranges. Our study disentangled effects of traffic noise from confounding environmental characteristics and demonstrated the chronic impacts of traffic noise on animal distribution. We highlight the importance of incorporating spatial and temporal heterogeneity of traffic noise at a local scale when investigating effects of anthropogenic noise on wildlife. (C) 2015 Elsevier B.V. All rights reserved.</t>
  </si>
  <si>
    <t>[Chen, Hsiang Ling; Koprowski, John L.] Univ Arizona, Sch Nat Resources &amp; Environm, Environm &amp; Nat Resources 2 N335, Tucson, AZ 85721 USA</t>
  </si>
  <si>
    <t>University of Arizona</t>
  </si>
  <si>
    <t>Chen, HL (corresponding author), Univ Arizona, Sch Nat Resources &amp; Environm, Environm &amp; Nat Resources 2 N335, 1064 East Lowell St, Tucson, AZ 85721 USA.</t>
  </si>
  <si>
    <t>cherlene@email.arizona.edu</t>
  </si>
  <si>
    <t>Koprowski, John/0000-0003-1406-9853</t>
  </si>
  <si>
    <t>University of Arizona, Arizona Agriculture Experiment Station; T&amp;E Incorporated's Grants for Conservation Research; American Society of Mammalogists</t>
  </si>
  <si>
    <t>We thank the University of Arizona, Arizona Agriculture Experiment Station, T&amp;E Incorporated's Grants for Conservation Research, and the American Society of Mammalogists' Grants-in-Aid Program for providing funding, R. Gimblett, C. Schwalbe, and R. Steidl for review and feedback on study design, and field technicians in assisting data collection.</t>
  </si>
  <si>
    <t>10.1016/j.biocon.2015.10.003</t>
  </si>
  <si>
    <t>CY6TB</t>
  </si>
  <si>
    <t>WOS:000366540600035</t>
  </si>
  <si>
    <t>Ramirez-Villegas, J; Jarvis, A; Touval, J</t>
  </si>
  <si>
    <t>Ramirez-Villegas, Julian; Jarvis, Andy; Touval, Jerry</t>
  </si>
  <si>
    <t>Species richness; Diversity; Anthropogenic activities; Extinction; Protected areas; Populations; Agriculture</t>
  </si>
  <si>
    <t>CLIMATE-CHANGE; BIODIVERSITY CONSERVATION; EXTINCTION RISK; GAP ANALYSIS; DIVERSITY; PATTERNS; DISTRIBUTIONS; ENDEMISM; IMPACTS; DESIGN</t>
  </si>
  <si>
    <t>South America houses a significant proportion of the world's plant diversity and therefore merits conservation attention. However, ongoing habitat fragmentation, degradation and destruction of natural habitats threaten biodiversity. A set of seven threats to natural ecosystems derived from a previous study (Jarvis et al. 2010), combined with a dataset of occurrences from 16,339 species, and also with the World Database of Protected Areas were used to analyse the patterns of threats to flora in South America and its conservation. Species richness per similar to 50 km side cell ranged from 1 to 2149 taxa, but with most of the areas presenting between 1 and 58 taxa. Population accessibility, expansion of agriculture and grazing pressure were found to be the key drivers of immediate extinction risk. A considerable (78.4%) number of species presented at least one population under high threat due to the expansion and intensification of these anthropogenic activities. In addition, some 13.8% of the analysed species presented up to 80% of their populations at risk of extinction (high threat index). On the conservation side, 82.3% of the analysed taxa have at least one population occurring within a protected site. However, it is important to note that for a protected area system to be effective and efficient, the conservation of within-taxon genetic diversity is required. The expansion, monitoring and strengthening of 24 existing protected areas holding up to 70% of South American plant diversity is suggested; as is the revision of seven additional sites where up to 200 species not currently conserved are present. Critical areas to monitor, expand and strengthen are mainly located in the Ecuadorian and Colombian Andes, southern Paraguay, the Guyana shield, southern Brazil, and Bolivia. (C) 2012 Elsevier GmbH. All rights reserved.</t>
  </si>
  <si>
    <t>[Ramirez-Villegas, Julian; Jarvis, Andy] CIAT, Ctr Int Agr Trop, Cali, Colombia; [Ramirez-Villegas, Julian] Univ Leeds, Sch Earth &amp; Environm, Inst Climat &amp; Atmospher Sci, Leeds LS2 9JT, W Yorkshire, England; [Ramirez-Villegas, Julian; Jarvis, Andy] CGIAR Res Program Climate Change Agr &amp; Food Secur, Cali, Colombia; [Touval, Jerry] Nature Conservancy, Arlington, VA 22203 USA</t>
  </si>
  <si>
    <t>Alliance; International Center for Tropical Agriculture - CIAT; University of Leeds; CGIAR; Nature Conservancy</t>
  </si>
  <si>
    <t>Ramirez-Villegas, J (corresponding author), CIAT, Ctr Int Agr Trop, Km 17 Recta Cali Palmira, Cali, Colombia.</t>
  </si>
  <si>
    <t>j.r.villegas@cgiar.org; a.jarvis@cgiar.org; jtouval@tnc.org</t>
  </si>
  <si>
    <t>Jarvis, Andy/K-5516-2013; Ramirez-Villegas, Julian/AAY-8073-2020</t>
  </si>
  <si>
    <t>Jarvis, Andy/0000-0001-6543-0798; Ramirez-Villegas, Julian/0000-0002-8044-583X</t>
  </si>
  <si>
    <t>Global Biodiversity Information Facility (GBIF)</t>
  </si>
  <si>
    <t>The authors thank Daniel Amariles and Hector Tobon, from the International Center for Tropical Agriculture (CIAT) for their valuable help on the cross-checking algorithms for the primary biodiversity data. This research was supported by the Global Biodiversity Information Facility (GBIF), who provided funding, support and the data. The authors thank Charlotte Lau, from the International Center for Tropical Agriculture (CIAT) for her valuable editorial work. Grateful acknowledgments to the two anonymous reviewers for their work, encouragement, and insightful comments aimed at improving the paper. Remaining errors and omissions are the author's responsibility.</t>
  </si>
  <si>
    <t>10.1016/j.jnc.2012.07.006</t>
  </si>
  <si>
    <t>032ET</t>
  </si>
  <si>
    <t>WOS:000310696300003</t>
  </si>
  <si>
    <t>Baig, MB; Aldosari, F</t>
  </si>
  <si>
    <t>Baig, M. B.; Aldosari, F.</t>
  </si>
  <si>
    <t>AN INVESTIGATION INTO THE VANISHING BIODIVERSITY: IMPLICATIONS FOR RURAL EXTENSION</t>
  </si>
  <si>
    <t>BULGARIAN JOURNAL OF AGRICULTURAL SCIENCE</t>
  </si>
  <si>
    <t>climate change; habitats destruction; anthropogenic activities; awareness creation; capacity building</t>
  </si>
  <si>
    <t>PAKISTAN</t>
  </si>
  <si>
    <t>Being rich in biological diversity, Pakistan represents at least three distinct bio-geographical regions, namely Pale-arctic, Ethiopian and Oriental. The country is blessed with a varied climate, dry and cold regions, tropical, subtropical, plains, deserts, estuaries and marine ecosystems. A huge variety of flora and fauna exist in their preferred habitats. However, the country has witnessed many ecological changes due to several factors, which include heavy biotic pressure, unsustainable use of biological resources, urbanization, deforestation etc. These pressures and exerting factors have resulted in the loss of suitable habitats and consequently extinction of several valuable species. The article presents an account of the factors responsible for the current losses of biodiversity. A review of the conservation measures is also presented in the article. However, the greater emphasis has been placed on the great potential role of extension</t>
  </si>
  <si>
    <t>[Baig, M. B.; Aldosari, F.] King Saud Univ, Riyadh, Saudi Arabia</t>
  </si>
  <si>
    <t>King Saud University</t>
  </si>
  <si>
    <t>Baig, MB (corresponding author), King Saud Univ, Riyadh, Saudi Arabia.</t>
  </si>
  <si>
    <t>mbbaig@ksu.edu.sa</t>
  </si>
  <si>
    <t>BAIG, MIRZA/0000-0001-7879-3117</t>
  </si>
  <si>
    <t>SCIENTIFIC ISSUES NATL CENTRE AGRARIAN SCIENCES</t>
  </si>
  <si>
    <t>125, TSARIGRADSKO SHOSSE BUL, BLOCK 1, SOFIA, 1113, BULGARIA</t>
  </si>
  <si>
    <t>1310-0351</t>
  </si>
  <si>
    <t>BULG J AGRIC SCI</t>
  </si>
  <si>
    <t>Bulg. J. Agric. Sci.</t>
  </si>
  <si>
    <t>018AF</t>
  </si>
  <si>
    <t>WOS:000309631600013</t>
  </si>
  <si>
    <t>Rodríguez-Merino, A; Fernández-Zamudio, R; García-Murillo, P</t>
  </si>
  <si>
    <t>Rodriguez-Merino, Argantonio; Fernandez-Zamudio, Rocio; Garcia-Murillo, Pablo</t>
  </si>
  <si>
    <t>ANALES DEL JARDIN BOTANICO DE MADRID</t>
  </si>
  <si>
    <t>Aquatic plants; bioclimatic factors; biological invasions; ecological niche models; freshwater ecosystems; map risk assessment; MaxEnt; non-native species; socio-economic factors; species distribution model</t>
  </si>
  <si>
    <t>ALIEN PLANT INVASIONS; SPECIES DISTRIBUTIONS; IMPROVE PREDICTION; CLIMATE-CHANGE; LAND-USE; DIVERSITY; MODELS; BIODIVERSITY; PATTERNS; LAKES</t>
  </si>
  <si>
    <t>Freshwater systems are particularly susceptible to non-native organisms, owing to their high sensitivity to the impacts that are caused by these organisms. Species distribution models, which are based on both environmental and socio-economic variables, facilitate the identification of the most vulnerable areas for the spread of non-native species. We used MaxEnt to predict the potential distribution of 20 non-native aquatic macrophytes in the Iberian Peninsula. Some selected variables, such as the temperature seasonality and the precipitation in the driest quarter, highlight the importance of the climate on their distribution. Notably, the human influence in the territory appears as a key variable in the distribution of studied species. The model discriminated between favorable and unfavorable areas with high accuracy. We used the model to build an invasion risk map of aquatic macrophytes for the Iberian Peninsula that included results from 20 individual models. It showed that the most vulnerable areas are located near to the sea, the major rivers basins, and the high population density areas. These facts suggest the importance of the human impact on the colonization and distribution of non-native aquatic macrophytes in the Iberian Peninsula, and more precisely agricultural development during the Green Revolution at the end of the 70's. Our work also emphasizes the utility of species distribution models for the prevention and management of biological invasions.</t>
  </si>
  <si>
    <t>[Rodriguez-Merino, Argantonio; Garcia-Murillo, Pablo] Univ Seville, Fac Pharm, Dept Plant Biol &amp; Ecol, Prof Garcia Gonzalez St 2, E-41012 Seville, Spain; [Fernandez-Zamudio, Rocio] CSIC, Donana Biol Stn, Americo Vespucio Ave Sn, Seville 41092, Spain</t>
  </si>
  <si>
    <t>University of Sevilla; Consejo Superior de Investigaciones Cientificas (CSIC); CSIC - Estacion Biologica de Donana (EBD)</t>
  </si>
  <si>
    <t>Rodríguez-Merino, A (corresponding author), Univ Seville, Fac Pharm, Dept Plant Biol &amp; Ecol, Prof Garcia Gonzalez St 2, E-41012 Seville, Spain.</t>
  </si>
  <si>
    <t>argantonio.rodriguez@gmail.com</t>
  </si>
  <si>
    <t>Fernandez-Zamudio, Rocio/A-6560-2017; Fernández-Zamudio, María del Rocío/A-6560-2017; Rodríguez-Merino, Argantonio/X-5680-2019; GARCIA-MURILLO, PABLO/L-7188-2014</t>
  </si>
  <si>
    <t>Fernández-Zamudio, María del Rocío/0000-0001-5804-9518; Rodríguez-Merino, Argantonio/0000-0002-1568-5087; GARCIA-MURILLO, PABLO/0000-0002-1761-9569</t>
  </si>
  <si>
    <t>0211-1322</t>
  </si>
  <si>
    <t>1988-3196</t>
  </si>
  <si>
    <t>AN JARDIN BOT MADRID</t>
  </si>
  <si>
    <t>Anal. Jardin Bot. Madrid.</t>
  </si>
  <si>
    <t>e055</t>
  </si>
  <si>
    <t>10.3989/ajbm.2452</t>
  </si>
  <si>
    <t>FE8KZ</t>
  </si>
  <si>
    <t>WOS:000408455300009</t>
  </si>
  <si>
    <t>Razgour, O; Taggart, JB; Manel, S; Juste, J; Ibáñez, C; Rebelo, H; Alberdi, A; Jones, G; Park, K</t>
  </si>
  <si>
    <t>Razgour, Orly; Taggart, John B.; Manel, Stephanie; Juste, Javier; Ibanez, Carlos; Rebelo, Hugo; Alberdi, Antton; Jones, Gareth; Park, Kirsty</t>
  </si>
  <si>
    <t>MOLECULAR ECOLOGY RESOURCES</t>
  </si>
  <si>
    <t>bats; conservation genomics; genotype-environment associations; global change; landscape genetics; range shifts</t>
  </si>
  <si>
    <t>EVAPORATIVE WATER-LOSS; SPECIES DISTRIBUTION; LANDSCAPE GENETICS; LOCAL ADAPTATION; EXTINCTION RISK; R PACKAGE; TOOL SET; CONSERVATION; BAT; FUTURE</t>
  </si>
  <si>
    <t>Climate change is a major threat to global biodiversity that will produce a range of new selection pressures. Understanding species responses to climate change requires an interdisciplinary perspective, combining ecological, molecular and environmental approaches. We propose an applied integrated framework to identify populations under threat from climate change based on their extent of exposure, inherent sensitivity due to adaptive and neutral genetic variation and range shift potential. We consider intraspecific vulnerability and population-level responses, an important but often neglected conservation research priority. We demonstrate how this framework can be applied to vertebrates with limited dispersal abilities using empirical data for the bat Plecotus austriacus. We use ecological niche modelling and environmental dissimilarity analysis to locate areas at high risk of exposure to future changes. Combining outlier tests with genotype-environment association analysis, we identify potential climate-adaptive SNPs in our genomic data set and differences in the frequency of adaptive and neutral variation between populations. We assess landscape connectivity and show that changing environmental suitability may limit the future movement of individuals, thus affecting both the ability of populations to shift their distribution to climatically suitable areas and the probability of evolutionary rescue through the spread of adaptive genetic variation among populations. Therefore, a better understanding of movement ecology and landscape connectivity is needed for predicting population persistence under climate change. Our study highlights the importance of incorporating genomic data to determine sensitivity, adaptive potential and range shift potential, instead of relying solely on exposure to guide species vulnerability assessments and conservation planning.</t>
  </si>
  <si>
    <t>[Razgour, Orly] Univ Southampton, Biol Sci, Southampton, Hants, England; [Razgour, Orly; Rebelo, Hugo; Jones, Gareth] Univ Bristol, Sch Biol Sci, Bristol, Avon, England; [Razgour, Orly; Park, Kirsty] Univ Stirling, Biol &amp; Environm Sci, Stirling, Scotland; [Taggart, John B.] Univ Stirling, Inst Aquaculture, Stirling, Scotland; [Manel, Stephanie] PSL Res Univ, CNRS, EPHE, UM,SupAgro,IND,INRA,UMR 5175,CEFE, Montpellier, France; [Juste, Javier; Ibanez, Carlos] CSIC, Estn Biol Donana, Seville, Spain; [Rebelo, Hugo] Univ Porto CIBIO UP, Ctr Invest Biodiversidade &amp; Recursos Genet, Vairao, Portugal; [Alberdi, Antton] Univ Copenhagen, Nat Hist Museum Denmark, Copenhagen K, Denmark</t>
  </si>
  <si>
    <t>University of Southampton; University of Bristol; University of Stirling; University of Stirling; Universite PSL; Ecole Pratique des Hautes Etudes (EPHE); Institut Agro; Montpellier SupAgro; CIRAD; Centre National de la Recherche Scientifique (CNRS); Institut de Recherche pour le Developpement (IRD); Universite Paul-Valery; Universite de Montpellier; CNRS - Institute of Ecology &amp; Environment (INEE); INRAE; Consejo Superior de Investigaciones Cientificas (CSIC); CSIC - Estacion Biologica de Donana (EBD); Universidade do Porto; University of Copenhagen</t>
  </si>
  <si>
    <t>Razgour, O (corresponding author), Univ Southampton, Biol Sci, Southampton, Hants, England.</t>
  </si>
  <si>
    <t>Orly.Razgour@soton.ac.uk</t>
  </si>
  <si>
    <t>Alberdi, Antton/M-2423-2017; Rebelo, Hugo/C-9005-2009; Ibanez, Carlos/H-7577-2015; Razgour, Orly/B-9646-2011; Juste, Javier/B-9253-2013</t>
  </si>
  <si>
    <t>Alberdi, Antton/0000-0002-2875-6446; Park, Kirsty/0000-0001-6080-7197; Rebelo, Hugo/0000-0002-7118-4068; Taggart, John/0000-0002-3843-9663; Ibanez, Carlos/0000-0003-1181-7641; Jones, Gareth/0000-0002-1904-3735; Razgour, Orly/0000-0003-3186-0313; Juste, Javier/0000-0003-1383-8462</t>
  </si>
  <si>
    <t>University of Stirling; Scottish Alliance for Geoscience Environment and Society; Natural Environment Research Council (NERC) [NE/M018660/1]; NERC [NE/M018660/2, NE/M018660/1] Funding Source: UKRI; Natural Environment Research Council [NE/M018660/2, NE/M018660/1] Funding Source: researchfish</t>
  </si>
  <si>
    <t>University of Stirling; Scottish Alliance for Geoscience Environment and Society; Natural Environment Research Council (NERC)(UK Research &amp; Innovation (UKRI)Natural Environment Research Council (NERC)); NERC(UK Research &amp; Innovation (UKRI)Natural Environment Research Council (NERC)); Natural Environment Research Council(UK Research &amp; Innovation (UKRI)Natural Environment Research Council (NERC))</t>
  </si>
  <si>
    <t>University of Stirling, Impact Fellowship; Scottish Alliance for Geoscience Environment and Society; Natural Environment Research Council (NERC) Independent Research Fellowship, NE/M018660/1</t>
  </si>
  <si>
    <t>1755-098X</t>
  </si>
  <si>
    <t>1755-0998</t>
  </si>
  <si>
    <t>MOL ECOL RESOUR</t>
  </si>
  <si>
    <t>Mol. Ecol. Resour.</t>
  </si>
  <si>
    <t>10.1111/1755-0998.12694</t>
  </si>
  <si>
    <t>FU8OI</t>
  </si>
  <si>
    <t>WOS:000424112000003</t>
  </si>
  <si>
    <t>Clark, MR; Tittensor, DP</t>
  </si>
  <si>
    <t>Clark, Malcolm R.; Tittensor, Derek P.</t>
  </si>
  <si>
    <t>Bottom trawl; exploitation; fisheries; habitat suitability; niche model; risk index; seamount; stony coral; vulnerability</t>
  </si>
  <si>
    <t>LOPHELIA-PERTUSA; DEEP; FISHERIES; IMPACTS; HABITAT; OCEAN</t>
  </si>
  <si>
    <t>Stony (scleractinian) corals are common on seamounts and can form extensive reef-like structures which in turn provide important habitat for associated species. Aggregations of fish also occur on seamounts, which in recent decades have become the target of commercial bottom trawl fisheries that have damaging impacts on benthic communities. Such fisheries occur throughout the world's oceans, and the majority are located on seamounts about which little is known of their biodiversity or likely fisheries impact. Here we develop an index of risk for stony corals on seamount summits. The index combines a metric of vulnerability measured by the coincidence of seamount summits, target fish ranges and likelihood of coral presence with an assessment of likely fisheries impact derived from a fishing intensity effects study and fishing effort-catch data. We provide spatial maps depicting the locations of vulnerable seamount features, and those at particular risk to bottom trawling. Application of the risk index may help to provide guidance to fisheries or environmental managers faced with balancing fisheries management and habitat conservation.</t>
  </si>
  <si>
    <t>[Clark, Malcolm R.] Natl Inst Water &amp; Atmospher Res NIWA, Wellington 6021, New Zealand; [Tittensor, Derek P.] Dalhousie Univ, Dept Biol, Halifax, NS, Canada</t>
  </si>
  <si>
    <t>Earth Sciences New Zealand; National Institute of Water &amp; Atmospheric Research (NIWA) - New Zealand; Dalhousie University</t>
  </si>
  <si>
    <t>Clark, MR (corresponding author), Natl Inst Water &amp; Atmospher Res NIWA, Wellington 6021, New Zealand.</t>
  </si>
  <si>
    <t>m.clark@niwa.co.nz</t>
  </si>
  <si>
    <t>Tittensor, Derek/AAV-1117-2021</t>
  </si>
  <si>
    <t>Tittensor, Derek/0000-0002-9550-3123</t>
  </si>
  <si>
    <t>CenSeam; FMAP (Future of Marine Animal Populations); NIWA [CO1X0508]</t>
  </si>
  <si>
    <t>CenSeam; FMAP (Future of Marine Animal Populations); NIWA</t>
  </si>
  <si>
    <t>Funding to support parts of this work was from Census of Marine Life programmes CenSeam (Census of Marine Life on Seamounts) and FMAP (Future of Marine Animal Populations), and NIWA (seamounts programme, FRST contract CO1X0508). We thank Peter McMillan (NIWA) for his help in defining the geographical and depth ranges of the fish species, W. Blanchard (Dalhousie University) for statistical advice and C. Mora (Dalhousie University) for assistance in digitizing ranges. Vladimir Vinnichenko (PINRO, Russian Federation) provided extensive information on global seamount fisheries. Rob Stewart and David Bowden (both NIWA) processed and analysed much of the 2006 Graveyard seamount survey data. We also thank the contributors to OBIS; for a full list see http://www.iobis.org. We appreciate comments on the manuscript by Ashley Rowden (NIWA) and two journal referees.</t>
  </si>
  <si>
    <t>10.1111/j.1439-0485.2010.00392.x</t>
  </si>
  <si>
    <t>649TO</t>
  </si>
  <si>
    <t>WOS:000281797000015</t>
  </si>
  <si>
    <t>Garcia, DA; Bruschi, D; Cinquepalmi, F; Cumo, F</t>
  </si>
  <si>
    <t>Pierucci, S; Klemes, JJ</t>
  </si>
  <si>
    <t>Garcia, Davide Astiaso; Bruschi, Daniele; Cinquepalmi, Federico; Cumo, Fabrizio</t>
  </si>
  <si>
    <t>An Estimation of Urban Fragmentation of Natural Habitats: Case Studies of the 24 Italian National Parks</t>
  </si>
  <si>
    <t>ICHEAP-11: 11TH INTERNATIONAL CONFERENCE ON CHEMICAL AND PROCESS ENGINEERING, PTS 1-4</t>
  </si>
  <si>
    <t>11th International Conference on Chemical and Process Engineering (ICheaP)</t>
  </si>
  <si>
    <t>JUN 02-05, 2013</t>
  </si>
  <si>
    <t>Milan, ITALY</t>
  </si>
  <si>
    <t>Italy is a densely populated country, where most of the land is actively used by its human population. As a result, many of the remaining natural areas are subject to different typologies of human pressures that generally cause habitat fragmentation. Habitat fragmentation, unanimously considered as one of the greatest threats to biodiversity conservation, is due to a variety of factors related to land use changes, such as urban sprawl, increasing of transport infrastructures, and the intensification of agriculture and forestry practices. The main purpose of this paper was to investigate levels of natural habitat fragmentation due to the presence of human settlements in the Italian National Parks through the use of the Urban Fragmentation Index (UFI). All the results were recorded in a GIS database (Geographic Information System), elaborating a new method for a comparative spatial analysis of these records in order to achieve a critical scale of the habitat fragmentation levels in each of the 24 Italian National Parks. The results represent an important indicator for the prioritization of biodiversity conservation interventions in the Italian National Parks.</t>
  </si>
  <si>
    <t>[Garcia, Davide Astiaso; Bruschi, Daniele; Cinquepalmi, Federico; Cumo, Fabrizio] Univ Roma La Sapienza, Via Eudossiana 18, I-00184 Rome, Italy</t>
  </si>
  <si>
    <t>Garcia, DA (corresponding author), Univ Roma La Sapienza, Via Eudossiana 18, I-00184 Rome, Italy.</t>
  </si>
  <si>
    <t>davide.astiasogarcia@uniroma1.it</t>
  </si>
  <si>
    <t>cumo, fabrizio/H-6478-2019; Astiaso Garcia, Davide/H-6478-2019</t>
  </si>
  <si>
    <t>cumo, fabrizio/0000-0003-4348-2305; Astiaso Garcia, Davide/0000-0003-0752-2146; CINQUEPALMI, FEDERICO/0000-0002-6931-1566</t>
  </si>
  <si>
    <t>AIDIC SERVIZI SRL</t>
  </si>
  <si>
    <t>MILANO</t>
  </si>
  <si>
    <t>VIA GIUSEPPE COLOMBO 81/A, MILANO, MI 20133, ITALY</t>
  </si>
  <si>
    <t>2283-9216</t>
  </si>
  <si>
    <t>978-88-95608-23-5</t>
  </si>
  <si>
    <t>CHEM ENGINEER TRANS</t>
  </si>
  <si>
    <t>10.3303/CET1332009</t>
  </si>
  <si>
    <t>Engineering, Chemical</t>
  </si>
  <si>
    <t>Engineering</t>
  </si>
  <si>
    <t>BA4LG</t>
  </si>
  <si>
    <t>WOS:000335952100009</t>
  </si>
  <si>
    <t>Wolaver, BD; Pierre, JP; Labay, BJ; LaDuc, TJ; Duran, CM; Ryberg, WA; Hibbitts, TJ</t>
  </si>
  <si>
    <t>Wolaver, Brad D.; Pierre, Jon Paul; Labay, Benjamin J.; LaDuc, Travis J.; Duran, Charles M.; Ryberg, Wade A.; Hibbitts, Toby J.</t>
  </si>
  <si>
    <t>ENVIRONMENTAL EARTH SCIENCES</t>
  </si>
  <si>
    <t>Unconventional shale oil and gas plays; Eagle Ford Shale Play; Permian Basin; Landscape alteration; Species Status Assessment (SSA); Spot-tailed Earless Lizard (Holbrookia lacerata)</t>
  </si>
  <si>
    <t>FOREST FRAGMENTATION; GAS DEVELOPMENT; COVER DATABASE; HABITAT LOSS; LANDSCAPE; CONSERVATION; MARCELLUS; URBANIZATION; DISTURBANCE; CHALLENGES</t>
  </si>
  <si>
    <t>This study presents a novel approach for evaluating land-use changes caused by energy development and other anthropogenic activities. We illustrate this technique by assessing the landscape footprint of energy development in the Eagle Ford Shale Play and Permian Basin of Texas, which saw rapid expansion in drilling during 2008-2012. We compare changes in land-use from oil and gas infrastructure construction during this time period with that of wind energy development in West Texas, urbanization in Central Texas, and extensive agricultural areas. Previous studies often use land-use proxies when comparing the footprint of energy infrastructure (e.g., 1 km(2) gridded well density or proposed wind project footprints) with other anthropogenic land-change. This study presents an improved technique because it compares high-resolution datasets of agricultural activity and urbanization with mapped-not surrogate-land-change from oil and gas and wind power infrastructure using high-resolution (1 m) aerial imagery. We found that changes in land-use caused by anthropogenic factors affected 1.06% (3456 km(2)) of the similar to 324,000 km(2) study area. Oil and gas development (well pads and pipelines) was similar to 48% of total changes in land-use (but did not account for access roads), changes in agriculture caused similar to 26%, and urbanization was similar to 24%. Construction of wind turbine pads and high voltage power transmission lines was less important (similar to 1%). We illustrate this approach for a single species (i.e., Spot-tailed Earless Lizard, Holbrookia lacerata) in Texas. This study is part of an ongoing, multi-year research program generating science to inform the federal Endangered Species Act listing decision for H. lacerata. Additionally, this technique can facilitate effective management of a variety of biotic resources in other rapidly developing environments globally by identifying what anthropogenic activities are most important and where land-change is most intense so that on-the-ground conservation strategies can be implemented where they are needed most.</t>
  </si>
  <si>
    <t>[Wolaver, Brad D.; Pierre, Jon Paul] Univ Texas Austin, Jackson Sch Geosci, Bur Econ Geol, Austin, TX 78758 USA; [Labay, Benjamin J.; LaDuc, Travis J.] Univ Texas Austin, Coll Nat Sci, Dept Integrat Biol, Austin, TX 78712 USA; [Duran, Charles M.] Nature Conservancy, San Antonio, TX 78215 USA; [Ryberg, Wade A.; Hibbitts, Toby J.] Texas A&amp;M Nat Resources Inst, College Stn, TX 77843 USA; [Hibbitts, Toby J.] Texas A&amp;M Univ, Dept Wildlife &amp; Fisheries Sci, Biodivers Res &amp; Teaching Collect, College Stn, TX 77843 USA; [Labay, Benjamin J.] Siglo Grp, Austin, TX 78702 USA</t>
  </si>
  <si>
    <t>Wolaver, BD (corresponding author), Univ Texas Austin, Jackson Sch Geosci, Bur Econ Geol, Austin, TX 78758 USA.</t>
  </si>
  <si>
    <t>brad.wolaver@beg.utexas.edu</t>
  </si>
  <si>
    <t>; LaDuc, Travis J/LXA-8929-2024; Hibbitts, Toby/MZR-6420-2025; Wolaver, Brad/F-9790-2013</t>
  </si>
  <si>
    <t>Ryberg, Wade/0000-0003-2548-8113; Pierre, Jon Paul/0000-0002-9357-9925; LaDuc, Travis J/0000-0003-4402-8745; Wolaver, Brad/0000-0002-3834-9983</t>
  </si>
  <si>
    <t>Texas Comptroller of Public Accounts Endangered Species Research Fund [14-000769]; University of Texas at Austin Jackson School of Geosciences; University of Texas at Austin College of Natural Sciences</t>
  </si>
  <si>
    <t>Texas Comptroller of Public Accounts Endangered Species Research Fund; University of Texas at Austin Jackson School of Geosciences; University of Texas at Austin College of Natural Sciences</t>
  </si>
  <si>
    <t>This study was funded by Texas Comptroller of Public Accounts Endangered Species Research Fund (Grant Number 14-000769 to LaDuc and Wolaver) and The University of Texas at Austin Jackson School of Geosciences and College of Natural Sciences.</t>
  </si>
  <si>
    <t>1866-6280</t>
  </si>
  <si>
    <t>1866-6299</t>
  </si>
  <si>
    <t>ENVIRON EARTH SCI</t>
  </si>
  <si>
    <t>Environ. Earth Sci.</t>
  </si>
  <si>
    <t>10.1007/s12665-018-7323-8</t>
  </si>
  <si>
    <t>Environmental Sciences; Geosciences, Multidisciplinary; Water Resources</t>
  </si>
  <si>
    <t>Environmental Sciences &amp; Ecology; Geology; Water Resources</t>
  </si>
  <si>
    <t>FZ1RB</t>
  </si>
  <si>
    <t>WOS:000427354000005</t>
  </si>
  <si>
    <t>Dang, DKD; Patterson, AC; Carrasco, LR</t>
  </si>
  <si>
    <t>Dang, D. K. D.; Patterson, A. C.; Carrasco, L. R.</t>
  </si>
  <si>
    <t>Patterson, Amy/KIA-3869-2024; Carrasco, Luis/H-8017-2012</t>
  </si>
  <si>
    <t>e0212596</t>
  </si>
  <si>
    <t>10.1371/journal.pone.0212596</t>
  </si>
  <si>
    <t>HL5JX</t>
  </si>
  <si>
    <t>WOS:000458763900085</t>
  </si>
  <si>
    <t>Dang, Doan K. D.; Patterson, Amy C.; Carrasco, Luis R.</t>
  </si>
  <si>
    <t>SCALE LAND ACQUISITIONS; CHALLENGES</t>
  </si>
  <si>
    <t>Tropical deforestation is one of the most pressing threats to biodiversity, and substantially reduces ecosystem services at the global scale. Little is known however about the global spatial distribution of the actors behind tropical deforestation. Newly available maps of global cropland field size offer an opportunity to gain understanding towards the spatial distribution of tropical deforestation actors. Here we use a map of global cropland field size and combine it with maps of forest loss to study the spatial association between field size and deforestation while accounting for other anthropogenic and geographical drivers of deforestation. We then use linear mixed-effects models and bootstrapping to determine what factors affect field sizes within deforested areas across all countries in the global tropics and subtropics. We find that field size within deforested areas is largely determined by country-level effects indicating the importance of socio-economic, cultural and institutional factors on the distribution of field sizes. Typically, small field sizes appear more commonly in deforested areas in Africa and Asia while the association was with larger field sizes in Australia and the Americas. In general, we find that smaller field sizes are associated with deforestation in protected areas and large field sizes with areas with lower agricultural value, although these results have low explanatory power. Our results suggest that the spatial patterns of actors behind deforestation are aggregated geographically which could help target conservation and sustainable land-use strategies.</t>
  </si>
  <si>
    <t>[Dang, Doan K. D.; Patterson, Amy C.; Carrasco, Luis R.] Natl Univ Singapore, Dept Biol Sci, Singapore, Singapore</t>
  </si>
  <si>
    <t>Carrasco, LR (corresponding author), Natl Univ Singapore, Dept Biol Sci, Singapore, Singapore.</t>
  </si>
  <si>
    <t>dbsctlr@nus.edu.sg</t>
  </si>
  <si>
    <t>Carrasco, Luis Roman/H-8017-2012; Patterson, Amy/KIA-3869-2024</t>
  </si>
  <si>
    <t>Carrasco, Luis Roman/0000-0002-2894-1473; Patterson, Amy/0000-0002-7725-0652</t>
  </si>
  <si>
    <t>Ministry of Education of Singapore [MOE2015-T2-2-121]</t>
  </si>
  <si>
    <t>L.R.C., A.C.P. and D.K.D.D. were supported by the Ministry of Education of Singapore under the Tier 2 grant MOE2015-T2-2-121.</t>
  </si>
  <si>
    <t>e0209918</t>
  </si>
  <si>
    <t>10.1371/journal.pone.0209918</t>
  </si>
  <si>
    <t>HJ4PJ</t>
  </si>
  <si>
    <t>WOS:000457155600015</t>
  </si>
  <si>
    <t>Enríquez-Andrade, R; Anaya-Reyna, G; Barrera-Guevara, JC; Carvajal-Moreno, MD; Martínez-Delgado, ME; Vaca-Rodriguez, J; Valdés-Casillas, C</t>
  </si>
  <si>
    <t>This article summarizes the results of a broad regional consulting process aimed to identify critical areas for biodiversity conservation and to determine the relative level of anthropogenic pressure on natural resources throughout the Gulf of California Region. The methodology was designed to achieve broad consensus by means of a highly participative process that involved the following: (1) the independent, but coordinated, work of experts in task groups to integrate all available information on the key ecological and socioeconomic processes, as well as to generate updated inventories of species; (2) a workshop to identify (based mainly on the information gathered during the first stage) the biologically important areas, and to spatially analyze the anthropogenic pressure on biodiversity, as well as the potentiality for social conflicts; and (3) the integration and spatial analysis of the results by means of a geographical information system. Results show that the areas subject to high anthropogenic pressure coincide with the areas of biological importance. It is expected that the information ensuing from this exercise will help the stakeholders to develop a meaningful conservation portfolio. (c) 2005 Elsevier Ltd. All rights reserved.</t>
  </si>
  <si>
    <t>Univ Autonoma Baja California, Fac Ciencias Marinas, Ensenada 22870, Baja California, Mexico; Isl Golfo Calif, Area Protecc Flora &amp; Fauna, La Paz 23000, BCS, Mexico; World Wildlife Fund, Gulf Calif Programa, Hermosillo, Sonora, Mexico; Conservat Int Mexico, Guaymas, Sonora, Mexico; Conservac Terr Insular Mexicano, La Paz, Baja California, Mexico; N Amer Commiss Environm Cooperat, Montreal, PQ, Canada</t>
  </si>
  <si>
    <t>Universidad Autonoma de Baja California</t>
  </si>
  <si>
    <t>Enríquez-Andrade, R (corresponding author), Univ Autonoma Baja California, Fac Ciencias Marinas, Km 103 Carretera Tijuana Ensenada, Ensenada 22870, Baja California, Mexico.</t>
  </si>
  <si>
    <t>enriquez@uabc.mx</t>
  </si>
  <si>
    <t>Vaca Rodríguez, Juan Guillermo/KYQ-7645-2024</t>
  </si>
  <si>
    <t>Vaca Rodríguez, Juan Guillermo/0009-0001-7650-4796</t>
  </si>
  <si>
    <t>10.1016/j.ocecoaman.2004.11.002</t>
  </si>
  <si>
    <t>921TV</t>
  </si>
  <si>
    <t>WOS:000228788800003</t>
  </si>
  <si>
    <t>Deb, S; Ahmed, A; Datta, D</t>
  </si>
  <si>
    <t>Deb, Shovik; Ahmed, Akram; Datta, Debajit</t>
  </si>
  <si>
    <t>Biodiversity; Buffer zone; Eco-sensitivity; Land use and land cover; Wildlife sanctuary; Forest management</t>
  </si>
  <si>
    <t>LAND-COVER CHANGE; NATIONAL-PARK; FOREST; GIS; CONSERVATION; MANAGEMENT; VEGETATION</t>
  </si>
  <si>
    <t>The dynamics, degradation, and conservation of forest ecosystems are matters of prime concerns worldwide at the present. Proper planning and management of a forest area are essentially needed to protect it from the grasp of burgeoning pressure of urban-industrial sprawl. Establishment of eco-sensitive zones (ESZs), which act as buffer areas around the core forests, is one of the key approaches towards achieving this goal. This paper deals with the applicability of geospatial techniques to identify the ESZ around an Indian wildlife sanctuary following the different rules and acts prescribed by the Government of India. Gumti Wildlife Sanctuary, located in the northeastern state of Tripura in India, has been selected here as a case study. Collected pieces of information on the distribution of biodiversity and human population in the area were also used to make the approach more holistic. As inferred from this study, remote sensing and geographical information systems were found to be easily implementable and time as well as cost-effective tools for this purpose with a distinct advantage of spatial as well as temporal accuracy in identifying the existing land use and land cover patterns in pilot assessments. However, the results indicated that only appropriate hybridization of field-based information on the biodiversity and ecological aspects of the forest as well as patterns of human interferences with the remote sensing and GIS-based data could make this approach more relevant in actual implementations.</t>
  </si>
  <si>
    <t>[Deb, Shovik] Indian Inst Technol, Agr &amp; Food Engn Dept, Kharagpur 721302, W Bengal, India; [Ahmed, Akram] Indian Inst Technol, Sch Water Resources, Kharagpur 721302, W Bengal, India; [Datta, Debajit] Taki Govt Coll, Dept Geog, Taki 743429, W Bengal, India</t>
  </si>
  <si>
    <t>Indian Institute of Technology System (IIT System); Indian Institute of Technology (IIT) - Kharagpur; Indian Institute of Technology System (IIT System); Indian Institute of Technology (IIT) - Kharagpur</t>
  </si>
  <si>
    <t>Deb, S (corresponding author), Indian Inst Technol, Agr &amp; Food Engn Dept, Kharagpur 721302, W Bengal, India.</t>
  </si>
  <si>
    <t>shovikiitkgp@gmail.com</t>
  </si>
  <si>
    <t>; Datta, Debajit/JMQ-1805-2023</t>
  </si>
  <si>
    <t>Deb, Shovik/0000-0002-1406-035X; Datta, Debajit/0000-0003-3996-8783</t>
  </si>
  <si>
    <t>10.1007/s10661-013-3567-7</t>
  </si>
  <si>
    <t>AB9YE</t>
  </si>
  <si>
    <t>WOS:000332150800053</t>
  </si>
  <si>
    <t>Spanowicz, AG; Teixeira, FZ; Jaeger, JAG</t>
  </si>
  <si>
    <t>Spanowicz, Arid G.; Teixeira, Fernanda Zimmermann; Jaeger, Jochen A. G.</t>
  </si>
  <si>
    <t>fence-end effect; FLOMS; mitigation measures; multiple scales; road ecology; road mortality; roadkill hotspots; thresholds; trade-offs</t>
  </si>
  <si>
    <t>CROSSING STRUCTURES; VEHICLE COLLISIONS; WILDLIFE; MITIGATION; PATTERNS; RISK; LOCATIONS; HIGHWAYS; FENCES; MODEL</t>
  </si>
  <si>
    <t>Mortality of animals on roads is a critical threat to many wildlife populations and is poised to increase strongly because of ongoing and planned road construction. If these new roads cannot be avoided, effective mitigation measures will be necessary to stop biodiversity decline. Fencing along roads effectively reduces roadkill and is often used in combination with wildlife passages. Because fencing the entire road is not always possible due to financial constraints, high-frequency roadkill areas are often identified to inform the placement of fencing. We devised an adaptive fence-implementation plan to prioritize road sections for fencing. In this framework, areas along roads of high, moderate, and low levels of animal mortality (respectively, roadkill hotspots, warmspots, and coldspots) are identified at multiple scales (i.e., in circles of different diameters [200-2000 m] in which mortality frequency is measured). Fence deployment is based on the relationship between the amount of fencing being added to the road, starting with the strongest roadkill hotspots, and potential reduction in road mortality (displayed in mortality-reduction graphs). We applied our approach to empirical and simulated spatial patterns of wildlife-vehicle collisions. The scale used for analysis affected the number and spatial extent of roadkill hot-, warm-, and coldspots. At fine scales (e.g., 200 m), more hotspots were identified than at coarse scales (e.g., 2000 m), but combined the fine-scale hotspots covered less road and less fencing was needed to reduce road mortality. However, many short fences may be less effective in practice due to a fence-end effect (i.e., animals moving around the fence more easily), resulting in a trade-off between few long and many short fences, which we call the FLOMS (few-long-or-many-short) fences trade-off. Thresholds in the mortality-reduction graphs occurred for some roadkill patterns, but not for others. Thresholds may be useful to consider when determining road-mitigation targets. The existence of thresholds at multiple scales and the FLOMS trade-off have important implications for biodiversity conservation.</t>
  </si>
  <si>
    <t>[Spanowicz, Arid G.; Jaeger, Jochen A. G.] Concordia Univ Montreal, Dept Geog Planning &amp; Environm, 1455 de Maisonneuve Blvd West,Suite H1255, Montreal, PQ H3G 1M8, Canada; [Teixeira, Fernanda Zimmermann] Univ Fed Rio Grande do Sul, Rd &amp; Railrd Ecol Res Grp NERF UFRGS, Av Bento Goncalves 9500, BR-91501970 Porto Alegre, RS, Brazil; [Teixeira, Fernanda Zimmermann] Univ Fed Rio Grande do Sul, Ecol Grad Program, Av Bento Goncalves 9500, BR-91501970 Porto Alegre, RS, Brazil; [Jaeger, Jochen A. G.] Concordia Univ Montreal, Loyola Sustainabil Res Ctr, 7141 Sherbrooke St West, Montreal, PQ H4B 1R6, Canada</t>
  </si>
  <si>
    <t>Universidade Federal do Rio Grande do Sul; Universidade Federal do Rio Grande do Sul</t>
  </si>
  <si>
    <t>Jaeger, JAG (corresponding author), Concordia Univ Montreal, Dept Geog Planning &amp; Environm, 1455 de Maisonneuve Blvd West,Suite H1255, Montreal, PQ H3G 1M8, Canada.;Jaeger, JAG (corresponding author), Concordia Univ Montreal, Loyola Sustainabil Res Ctr, 7141 Sherbrooke St West, Montreal, PQ H4B 1R6, Canada.</t>
  </si>
  <si>
    <t>jochen.jaeger@concordia.ca</t>
  </si>
  <si>
    <t>Zimmermann Teixeira, Fernanda/L-9457-2017</t>
  </si>
  <si>
    <t>Zimmermann Teixeira, Fernanda/0000-0002-5634-5142</t>
  </si>
  <si>
    <t>Ministere des Transports du Quebec (MTQ)</t>
  </si>
  <si>
    <t>We are very thankful to K. Belanger-Smith and J. Plante for all their fieldwork along Highway 175 (road mortality surveys). We also warmly thank the members of the Road and Railroad Ecology Research Lab (NERF-UFRGS), especially I. Pfeifer Coelho and A. Kindel for their work along RSC-453/ERS-486 and BR-101, and R. A. P. Dornas for helping with data analyses and image processing, and S. Re from Polytechnic University of Turin (Italy) for preparing Figure S2.3, as well as L. Fahrig and the members of the Geomatics and Landscape Ecology lab at Carleton University (Ottawa), P. Morrison, and 3 reviewers for constructive comments on an earlier version of this article. We are grateful to the Ministere des Transports, de la Mobilite durable et de l'Electrification des transports du Quebec (MTMDET), recently renamed Ministere des Transports du Quebec (MTQ), for funding this research.</t>
  </si>
  <si>
    <t>10.1111/cobi.13502</t>
  </si>
  <si>
    <t>WOS:000539834400001</t>
  </si>
  <si>
    <t>Scheele, B; Pasmans, F; Skerratt, LF; Berger, L; Martel, A; Beukema, W; Acevedo, AA; Burrowes, PA; Carvalho, T; Catenazzi, A; De la Riva, I; Fisher, MC; Flechas, SV; Foster, CN; Frias-Alvarez, P; Garner, TWJ; Gratwicke, B; Guayasamin, JM; Hirschfeld, M; Kolby, JE; Kosch, TA; La Marca, E; Lindenmayer, DB; Lips, KR; Longo, AV; Maneyro, R; McDonald, CA; Mendelson, J; Palacios-Rodriguez, P; Parra-Olea, G; Richards-Zawacki, CL; Rödel, MO; Rovito, SM; Soto-Azat, C; Toledo, LF; Voyles, J; Weldon, C; Whitfield, SM; Wilkinson, M; Zamudio, KR; Canessa, S</t>
  </si>
  <si>
    <t>Scheele, Ben C.; Pasmans, Frank; Skerratt, Lee F.; Berger, Lee; Martel, An; Beukema, Wouter; Acevedo, Aldemar A.; Burrowes, Patricia A.; Carvalho, Tamilie; Catenazzi, Alessandro; De la Riva, Ignacio; Fisher, Matthew C.; Flechas, Sandra V.; Foster, Claire N.; Frias-Alvarez, Patricia; Garner, Trenton W. J.; Gratwicke, Brian; Guayasamin, Juan M.; Hirschfeld, Mareike; Kolby, Jonathan E.; Kosch, Tiffany A.; La Marca, Enrique; Lindenmayer, David B.; Lips, Karen R.; Longo, Ana V.; Maneyro, Raul; McDonald, Cait A.; Mendelson, Joseph, III; Palacios-Rodriguez, Pablo; Parra-Olea, Gabriela; Richards-Zawacki, Corinne L.; Roedel, Mark-Oliver; Rovito, Sean M.; Soto-Azat, Claudio; Toledo, Luis Felipe; Voyles, Jamie; Weldon, Che; Whitfield, Steven M.; Wilkinson, Mark; Zamudio, Kelly R.; Canessa, Stefano</t>
  </si>
  <si>
    <t>BATRACHOCHYTRIUM-DENDROBATIDIS; POPULATION DECLINES; DISEASE; CHYTRIDIOMYCOSIS; EXTINCTION; PATHOGEN; TRAITS; ABUNDANCE; HISTORY; THREATS</t>
  </si>
  <si>
    <t>Anthropogenic trade and development have broken down dispersal barriers, facilitating the spread of diseases that threaten Earth's biodiversity. We present a global, quantitative assessment of the amphibian chytridiomycosis panzootic, one of the most impactful examples of disease spread, and demonstrate its role in the decline of at least 501 amphibian species over the past half-century, including 90 presumed extinctions. The effects of chytridiomycosis have been greatest in large-bodied, range-restricted anurans in wet climates in the Americas and Australia. Declines peaked in the 1980s, and only 12% of declined species show signs of recovery, whereas 39% are experiencing ongoing decline. There is risk of further chytridiomycosis outbreaks in new areas. The chytridiomycosis panzootic represents the greatest recorded loss of biodiversity attributable to a disease.</t>
  </si>
  <si>
    <t>[Scheele, Ben C.; Foster, Claire N.; Lindenmayer, David B.] Australian Natl Univ, Fenner Sch Environm &amp; Soc, GPO Box 4, Canberra, ACT 26013, Australia; [Scheele, Ben C.; Lindenmayer, David B.] Threatened Species Recovery Hub, Natl Environm Sci Programme, Canberra, ACT, Australia; [Scheele, Ben C.; Skerratt, Lee F.; Berger, Lee; Frias-Alvarez, Patricia; Kolby, Jonathan E.; Kosch, Tiffany A.] Univ Melbourne, Hlth Res Grp 1, Melbourne Vet Sch, Werribee, Vic 3030, Australia; [Pasmans, Frank; Martel, An; Beukema, Wouter; Canessa, Stefano] Univ Ghent, Fac Vet Med, Wildlife Hlth Ghent, Dept Pathol Bacteriol &amp; Avian Dis, B-9820 Merelbeke, Belgium; [Acevedo, Aldemar A.] Pontificia Univ Catolica Chile, Lab Biol Evolut, Programa Doctorado Ciencias Biol, Santiago, Chile; [Acevedo, Aldemar A.] Univ Pamplona, Grp Invest Ecol &amp; Biogeog, Km 1,Via Bucaramanga, Pamplona, Colombia; [Burrowes, Patricia A.] Univ Puerto Rico, Dept Biol, POB 23360, San Juan, PR 00936 USA; [Carvalho, Tamilie; Toledo, Luis Felipe] Univ Estadual Campinas, Dept Biol Anim, Inst Biol, Lab Hist Nat Anfibios Brasileiros LaHNAB, Campinas, SP, Brazil; [Catenazzi, Alessandro] Florida Int Univ, Dept Biol Sci, Miami, FL 33199 USA; [De la Riva, Ignacio] CSIC, Museo Nacl Ciencias Nat, C Jose Gutierrez Abascal 2, E-28006 Madrid, Spain; [Fisher, Matthew C.] Imperial Coll London, Sch Publ Hlth, MRC Ctr Global Infect Dis Anal, London W2 1PG, England; [Flechas, Sandra V.; Palacios-Rodriguez, Pablo] Univ Los Andes, Dept Biol Sci, Bogota, Colombia; [Flechas, Sandra V.] Inst Invest Recursos Biol Alexander von Humboldt, Paseo Bolivar 16, Bogota, Colombia; [Garner, Trenton W. J.] Zool Soc London, Inst Zool, Regents Pk, London NW1 4RY, England; [Garner, Trenton W. J.; Weldon, Che] North West Univ, Unit Environm Sci &amp; Management, ZA-2520 Potchefstroom, South Africa; [Gratwicke, Brian] Smithsonian Natl Zool Pk &amp; Conservat Biol Inst, Washington, DC 20008 USA; [Guayasamin, Juan M.] Univ San Francisco Quito USFQ, Colegio Ciencias Biol &amp; Ambientales COCIBA, Inst Invest Biol Ambientales BIOSFERA, Lab Biol Evolut, Campus Cumbaya, Quito, Ecuador; [Guayasamin, Juan M.] Univ Tecnol Indoamer, Fac Medio Ambiente, Ctr Invest Biodiversidad &amp; Cambio Climat BioCamb, Ingn Biodiversidad &amp; Cambio Climat, Quito, Ecuador; [Guayasamin, Juan M.] Colorado State Univ, Dept Biol, Ft Collins, CO 80523 USA; [Hirschfeld, Mareike; Roedel, Mark-Oliver] Leibniz Inst Evolut &amp; Biodivers Sci, Museum Nat Kunde, Invalidenstr 43, D-10115 Berlin, Germany; [Kolby, Jonathan E.] Lancetilla Bot Garden &amp; Res Ctr, Honduras Amphibian Rescue &amp; Conservat Ctr, Tela, Honduras; [Kolby, Jonathan E.] Conservat Agcy, Jamestown, RI 02835 USA; [Kosch, Tiffany A.] Massey Univ, AL Rae Ctr Genet &amp; Breeding, Palmerston North 4442, New Zealand; [La Marca, Enrique] Univ Los Andes, Fac Forestry Engn &amp; Environm Sci, Sch Geog, Merida, Venezuela; [Lips, Karen R.] Univ Maryland, Dept Biol, College Pk, MD 20742 USA; [Longo, Ana V.] Univ Florida, Dept Biol, Gainesville, FL 32611 USA; [Maneyro, Raul] Univ Republica, Fac Ciencias, Lab Sistemat &amp; Hist Nat Vertebrados, Igua 4225, Montevideo 11400, Uruguay; [McDonald, Cait A.; Zamudio, Kelly R.] Cornell Univ, Dept Ecol &amp; Evolutionary Biol, Ithaca, NY 14853 USA; [Mendelson, Joseph, III] Zoo Atlanta, Atlanta, GA 30315 USA; [Mendelson, Joseph, III] Georgia Inst Technol, Sch Biol Sci, Atlanta, GA 30332 USA; [Parra-Olea, Gabriela] Univ Nacl Autonoma Mexico, Inst Biol, Dept Zool, Mexico City, DF, Mexico; [Richards-Zawacki, Corinne L.] Univ Pittsburgh, Dept Biol Sci, Pittsburgh, PA 15260 USA; [Rovito, Sean M.] Inst Politecn Nacl, Ctr Invest &amp; Estudios Avanzados, Unidad Genom Avanzada Langebio, Km 9-6 Libramiento Norte Carretera Irapuato Leon, Guanajuato 36824, Mexico; [Soto-Azat, Claudio] Univ Andres Bello, Fac Ciencias Vida, Ctr Invest Sustentabilidad, Santiago 8370251, Chile; [Voyles, Jamie] Univ Nevada, Dept Biol, Reno, NV 89557 USA; [Whitfield, Steven M.] Zoo Miami, Conservat &amp; Res Dept, Miami, FL 33177 USA; [Whitfield, Steven M.] Florida Int Univ, Sch Earth Environm &amp; Soc, 11200 SW 8th St, Miami, FL 33199 USA; [Wilkinson, Mark] Nat Hist Museum, Dept Life Sci, London SW7 5BD, England</t>
  </si>
  <si>
    <t>Australian National University; University of Melbourne; Ghent University; Pontificia Universidad Catolica de Chile; University of Puerto Rico; University of Puerto Rico Medical Sciences Campus; Universidade Estadual de Campinas; Universidade de Sao Paulo; State University System of Florida; Florida International University; Consejo Superior de Investigaciones Cientificas (CSIC); CSIC - Museo Nacional de Ciencias Naturales (MNCN); Imperial College London; Universidad de los Andes (Colombia); Alliance; International Center for Tropical Agriculture - CIAT; Zoological Society of London; North West University - South Africa; Smithsonian Institution; Smithsonian National Zoological Park &amp; Conservation Biology Institute; Universidad San Francisco de Quito; Colorado State University System; Colorado State University Fort Collins; Leibniz Institut fur Evolutions und Biodiversitatsforschung; Massey University; University of Los Andes Venezuela; University System of Maryland; University of Maryland College Park; State University System of Florida; University of Florida; Universidad de la Republica, Uruguay; Cornell University; University System of Georgia; Georgia Institute of Technology; Universidad Nacional Autonoma de Mexico; Pennsylvania Commonwealth System of Higher Education (PCSHE); University of Pittsburgh; Instituto Politecnico Nacional - Mexico; CINVESTAV - Centro de Investigacion y de Estudios Avanzados del Instituto Politecnico Nacional; Universidad Andres Bello; Nevada System of Higher Education (NSHE); University of Nevada Reno; State University System of Florida; Florida International University; Natural History Museum London</t>
  </si>
  <si>
    <t>Scheele, B (corresponding author), Australian Natl Univ, Fenner Sch Environm &amp; Soc, GPO Box 4, Canberra, ACT 26013, Australia.;Scheele, B (corresponding author), Threatened Species Recovery Hub, Natl Environm Sci Programme, Canberra, ACT, Australia.;Scheele, B (corresponding author), Univ Melbourne, Hlth Res Grp 1, Melbourne Vet Sch, Werribee, Vic 3030, Australia.</t>
  </si>
  <si>
    <t>Lindenmayer, David B/P-7183-2017; Gratwicke, Brian/JFS-4405-2023; Garner, Trenton/D-6873-2011; Catenazzi, Alessano/C-8615-2009; Maneyro, Raúl/AAC-3722-2020; Weldon, Ché/ISA-6512-2023; Carvalho, Tamilie/N-8482-2018; Kolby, Jonathan/GWV-5557-2022; Kosch, Tiffany/A-3110-2017; Whitfield, Steven/AAT-4992-2021; Richards-Zawacki, Corinne/F-2731-2011; Fisher, Matthew/B-9094-2011; Skerratt, Lee/L-2797-2013; Beukema, Wouter/D-6365-2014; Pasmans, Frank/D-3667-2014; Toledo, Luís Felipe/I-4017-2012; Canessa, Stefano/J-2069-2014; Zamudio, Kelly/R-3533-2016; Rovito, Sean/IQV-0149-2023; Frias, Patricia/JND-9508-2023; Longo, Ana/AAH-1522-2020</t>
  </si>
  <si>
    <t>Lindenmayer, David B/0000-0002-4766-4088; Gratwicke, Brian/0000-0002-7332-4060; Catenazzi, Alessano/0000-0002-3650-4783; Maneyro, Raúl/0000-0003-3440-8701; Weldon, Ché/0000-0001-6716-0787; Carvalho, Tamilie/0000-0001-7300-2777; Kolby, Jonathan/0000-0002-8241-4711; Kosch, Tiffany/0000-0001-5158-5748; Petersen, Mareike/0000-0001-8666-1931; Whitfield, Steven/0000-0003-3026-9791; Richards-Zawacki, Corinne/0000-0002-4212-041X; Fisher, Matthew/0000-0002-1862-6402; Skerratt, Lee/0000-0003-3471-7512; Scheele, Benjamin/0000-0001-7284-629X; Beukema, Wouter/0000-0002-5839-7683; Pasmans, Frank/0000-0003-3160-503X; Burrowes, Patricia/0000-0002-3085-6681; Acevedo, Aldemar/0000-0002-4729-2093; De la Riva, Ignacio/0000-0001-5064-4507; Frías Álvarez, Patricia de Lourdes/0000-0002-2518-194X; McDonald, Coby/0000-0001-8291-6087; Toledo, Luís Felipe/0000-0002-4929-9598; Canessa, Stefano/0000-0002-0932-826X; Berger, Lee/0000-0001-9227-5439; Zamudio, Kelly/0000-0001-5107-6206;</t>
  </si>
  <si>
    <t>Australian National Environmental Science Program; Australian Research Council [FT100100375, LP110200240, DP120100811]; NSW Office of Environment and Heritage; Taronga Conservation Science Initiative; Research Foundation Flanders [FWO3E001916, FWO11ZK916N-11ZK918N, FWO16/PDO/019]; Ghent University [BOF16/GOA/024]; Conservation Leadership Program [0621310]; Vicerrectoria de Investigaciones; Universidad de Pamplona-Colombia; Colciencias [1121-659-44242]; Coordination for the Improvement of Higher Education Personnel; Amazon Conservation Association; Amphibian Specialist Group; Disney Worldwide Conservation Fund; Eppley Foundation; Mohammed bin Zayed Species Conservation Fund; NSF; Rufford Small Grants Foundation; Swiss National Foundation; Spanish Government [CGL2014-56160-P]; NERC [NE/K014455/1, NE/N009967/1, NE/K012509/1]; Leverhulme Trust [RPG-2014-273]; Morris Animal Foundation [D16ZO-022]; USFWS Wildlife without Borders [96200-0-G228]; AZA-Conservation Endowment Fund [08-836]; Conservation International Critically Endangered Species Fund; Mexican Research Council (CONACYT) [171465]; Universidad San Francisco de Quito [11164, 5447]; Elsa-Neumann-Foundation; German Academic Exchange Service (DAAD); Atkinson Center for a Sustainable Future; Cornell Center for Vertebrate Genomics; DGAPA-UNAM; CONACYT; NSF [1660311, DEB-1551488, IOS-1603808]; CONACYT Problemas Nacionales grant [PDCPN 2015-721]; UC Mexus-Conacy cooperative grant; Chilean National Science and Technology Fund [1181758]; Sao Paulo Research Foundation (FAPESP) [2016/25358-3]; National Council for Scientific and Technological Development (CNPq) [300896/2016-6]; South African National Research Foundation; Medical Research Council [MR/R015600/1] Funding Source: researchfish; Natural Environment Research Council [NE/N009967/1, NE/K014455/1, NE/N009800/1, NE/K012509/1, NE/S000992/1] Funding Source: researchfish; Division Of Environmental Biology; Direct For Biological Sciences [1660311] Funding Source: National Science Foundation; Fundacao de Amparo a Pesquisa do Estado de Sao Paulo (FAPESP) [16/25358-3] Funding Source: FAPESP; MRC [MR/R015600/1] Funding Source: UKRI; NERC [NE/N009967/1, NE/S000992/1, NE/K012509/1, NE/K014455/1, NE/N009800/1] Funding Source: UKRI</t>
  </si>
  <si>
    <t>Australian National Environmental Science Program; Australian Research Council(Australian Research Council); NSW Office of Environment and Heritage; Taronga Conservation Science Initiative; Research Foundation Flanders(FWO); Ghent University(Ghent University); Conservation Leadership Program; Vicerrectoria de Investigaciones; Universidad de Pamplona-Colombia; Colciencias(Departamento Administrativo de Ciencia, Tecnologia e Innovacion Colciencias); Coordination for the Improvement of Higher Education Personnel(Coordenacao de Aperfeicoamento de Pessoal de Nivel Superior (CAPES)); Amazon Conservation Association; Amphibian Specialist Group; Disney Worldwide Conservation Fund; Eppley Foundation; Mohammed bin Zayed Species Conservation Fund; NSF(National Science Foundation (NSF)); Rufford Small Grants Foundation; Swiss National Foundation(Swiss National Science Foundation (SNSF)); Spanish Government(Spanish Government); NERC(UK Research &amp; Innovation (UKRI)Natural Environment Research Council (NERC)); Leverhulme Trust(Leverhulme Trust); Morris Animal Foundation; USFWS Wildlife without Borders; AZA-Conservation Endowment Fund; Conservation International Critically Endangered Species Fund; Mexican Research Council (CONACYT)(Consejo Nacional de Ciencia y Tecnologia (CONACyT)); Universidad San Francisco de Quito; Elsa-Neumann-Foundation; German Academic Exchange Service (DAAD)(Deutscher Akademischer Austausch Dienst (DAAD)); Atkinson Center for a Sustainable Future; Cornell Center for Vertebrate Genomics; DGAPA-UNAM(Universidad Nacional Autonoma de Mexico); CONACYT(Consejo Nacional de Ciencia y Tecnologia (CONACyT)); NSF(National Science Foundation (NSF)); CONACYT Problemas Nacionales grant; UC Mexus-Conacy cooperative grant; Chilean National Science and Technology Fund; Sao Paulo Research Foundation (FAPESP)(Fundacao de Amparo a Pesquisa do Estado de Sao Paulo (FAPESP)); National Council for Scientific and Technological Development (CNPq)(Conselho Nacional de Desenvolvimento Cientifico e Tecnologico (CNPQ)); South African National Research Foundation(National Research Foundation - South Africa); Medical Research Council(UK Research &amp; Innovation (UKRI)Medical Research Council UK (MRC)); Natural Environment Research Council(UK Research &amp; Innovation (UKRI)Natural Environment Research Council (NERC)); Division Of Environmental Biology; Direct For Biological Sciences(National Science Foundation (NSF)NSF - Directorate for Biological Sciences (BIO)); Fundacao de Amparo a Pesquisa do Estado de Sao Paulo (FAPESP)(Fundacao de Amparo a Pesquisa do Estado de Sao Paulo (FAPESP)); MRC(UK Research &amp; Innovation (UKRI)Medical Research Council UK (MRC)); NERC(UK Research &amp; Innovation (UKRI)Natural Environment Research Council (NERC))</t>
  </si>
  <si>
    <t>B.C.S. and D.B.L. were supported by the Australian National Environmental Science Program. L.B., L.F.S., T.A.K., and B.C.S. were supported by the Australian Research Council (grants FT100100375, LP110200240, and DP120100811), the NSW Office of Environment and Heritage, and the Taronga Conservation Science Initiative. S.C., W.B., A.M., and F.P. were supported by Research Foundation Flanders grants FWO3E001916 and FWO11ZK916N-11ZK918N and Ghent University grant BOF16/GOA/024. S.C. was supported by Research Foundation Flanders grant FWO16/PDO/019. A. A. A. was supported by the Conservation Leadership Program (0621310), Vicerrectoria de Investigaciones, Universidad de Pamplona-Colombia, and Colciencias (1121-659-44242). T. C. was supported by the Coordination for the Improvement of Higher Education Personnel. A. C. was supported by the Amazon Conservation Association, the Amphibian Specialist Group, the Disney Worldwide Conservation Fund, the Eppley Foundation, the Mohammed bin Zayed Species Conservation Fund, the NSF, the Rufford Small Grants Foundation, and the Swiss National Foundation. I.D.I.R. was supported by the Spanish Government (CGL2014-56160-P). M.C.F. was supported by the NERC (NE/K014455/1), the Leverhulme Trust (RPG-2014-273), and the Morris Animal Foundation (D16ZO-022). S.V.F. was supported by the USFWS Wildlife without Borders (96200-0-G228), the AZA-Conservation Endowment Fund (08-836), and the Conservation International Critically Endangered Species Fund. P. F. A. was supported by a Postdoctoral Research fellowship from the Mexican Research Council (CONACYT, 171465). T.W.J.G. was supported by the NERC (NE/N009967/1 and NE/K012509/1). J.M.G. was supported by the Universidad San Francisco de Quito (collaboration grants 11164 and 5447). M.H. was supported by scholarships from the Elsa-Neumann-Foundation and the German Academic Exchange Service (DAAD). C. A. M. was supported by the Atkinson Center for a Sustainable Future and the Cornell Center for Vertebrate Genomics. G.P.-O. was supported by DGAPA-UNAM and CONACYT while on sabbatical at the University of Otago, New Zealand. C.L.R.-Z. was supported by the NSF (1660311). S.M.R. was supported by a CONACYT Problemas Nacionales grant (PDCPN 2015-721) and a UC Mexus-Conacy cooperative grant. C.S.-A. was supported by the Chilean National Science and Technology Fund (Fondecyt no. 1181758). L.F.T. was supported by the Sao Paulo Research Foundation (FAPESP 2016/25358-3) and the National Council for Scientific and Technological Development (CNPq 300896/2016-6). J.V. was supported by the NSF (DEB-1551488 and IOS-1603808). C. W. was supported by the South African National Research Foundation.S</t>
  </si>
  <si>
    <t>MAR 29</t>
  </si>
  <si>
    <t>10.1126/science.aav0379</t>
  </si>
  <si>
    <t>HQ9HP</t>
  </si>
  <si>
    <t>WOS:000462738000038</t>
  </si>
  <si>
    <t>Liu, XM; Zhan, Y; Luo, YZ; Zhang, MH; Geng, S; Xu, JM</t>
  </si>
  <si>
    <t>Liu, Xingmei; Zhan, Yu; Luo, Yuzhou; Zhang, Minghua; Geng, Shu; Xu, Jianming</t>
  </si>
  <si>
    <t>JOURNAL OF SOILS AND SEDIMENTS</t>
  </si>
  <si>
    <t>Almonds; Animal occurrence; Environmental risk; OP; Pyrethroid; Use trend</t>
  </si>
  <si>
    <t>RIVER-BASIN; PESTICIDES; CALIFORNIA; RUNOFF; TOXICITY; SEASON</t>
  </si>
  <si>
    <t>The purpose of the present study are to analyze the temporal and spatial trends of the pesticide use on almond crops and assess their associated risk to soil, surface water, and air, and to investigate the impacts of pesticide risk on biodiversity. California Pesticide Use Report database was used to determine the organophosphate (OP) and pyrethroid use trends in the San Joaquin Valley for almonds from 1992 to 2005. Environmental potential risk indicator for pesticides model was employed to evaluate associated environmental relative risks in soil and in surface water. Emission potential of pesticide product was used to estimate the air relative risk. Geographical Information System was used to delineate the spatial distribution patterns of environmental risk evaluation in almonds and biodiversity. OP pesticide use has been declined in any measurement in almonds. However, a converse result was found for pyrethroid pesticide. Pesticide use trends reflect the profound changes in pest management strategies in the California almond farm community. The model results in this study showed evidence that pyrethroid posed less environmental risks to soil, air, and water resources than OP. The physiochemical properties of pyrethroid reflect a strong tendency to adsorb to organic carbons, and therefore, potentially move off-site attached to sediment. Once in sediments, they can be bioavailable to the aquatic food web. So, more future study on environmental model should address pyrethroid environmental risk on sediment. Ecologists revealed that endangered species diversity has good correlation with total species diversity, so we developed a biodiversity index by using the survey data of endangered and rare animals in California. The results showed a negative relationship between count of animal occurrence and predicted environmental risk. This result would be useful to help conserve California's biological diversity by providing information to promote agricultural management and land-use decisions. Pesticide use trend is directly related to environmental risk. Pyrethroid posed less environmental risk than OP in this study. And also, this study got a noticeable result that pesticide uses in intensive agriculture and their associated environmental risks pose negative impacts on biodiversity.</t>
  </si>
  <si>
    <t>[Liu, Xingmei; Xu, Jianming] Zhejiang Univ, Inst Soil &amp; Water Resources &amp; Environm Sci, Zhejiang Prov Key Lab Subtrop Soil &amp; Plant Nutr, Hangzhou 310058, Zhejiang, Peoples R China; [Liu, Xingmei; Zhan, Yu; Luo, Yuzhou; Zhang, Minghua; Geng, Shu] Univ Calif Davis, Dept Land Air &amp; Water Resources, Davis, CA 95616 USA</t>
  </si>
  <si>
    <t>Zhejiang University; University of California System; University of California Davis</t>
  </si>
  <si>
    <t>Xu, JM (corresponding author), Zhejiang Univ, Inst Soil &amp; Water Resources &amp; Environm Sci, Zhejiang Prov Key Lab Subtrop Soil &amp; Plant Nutr, Hangzhou 310058, Zhejiang, Peoples R China.</t>
  </si>
  <si>
    <t>xmliu@zju.edu.cn; mhzhang@ucdavis.edu; jmxu@zju.edu.cn</t>
  </si>
  <si>
    <t>Luo, Yuzhou/A-7223-2010; zhang, xuyang/GQH-3712-2022; Xu, Jianming/C-8752-2016</t>
  </si>
  <si>
    <t>Luo, Yuzhou/0000-0003-0879-9622;</t>
  </si>
  <si>
    <t>California State Water Resource Control Board [06-001004]; Zhejiang Province Science and Technology Key Project [2008 C03009]; National Science and Technology Support Program [2012BAD15B04]; Project of Zhejiang Key Scientific and Technological Innovation Team [2010R50039]; National Natural Science Foundation of China [40901254]</t>
  </si>
  <si>
    <t>California State Water Resource Control Board; Zhejiang Province Science and Technology Key Project; National Science and Technology Support Program; Project of Zhejiang Key Scientific and Technological Innovation Team; National Natural Science Foundation of China(National Natural Science Foundation of China (NSFC))</t>
  </si>
  <si>
    <t>This research was supported by the California State Water Resource Control Board (06-001004), Zhejiang Province Science and Technology Key Project (2008 C03009), National Science and Technology Support Program (2012BAD15B04), the Project of Zhejiang Key Scientific and Technological Innovation Team (2010R50039), and the National Natural Science Foundation of China (40901254).</t>
  </si>
  <si>
    <t>1439-0108</t>
  </si>
  <si>
    <t>1614-7480</t>
  </si>
  <si>
    <t>J SOIL SEDIMENT</t>
  </si>
  <si>
    <t>J. Soils Sediments</t>
  </si>
  <si>
    <t>10.1007/s11368-012-0519-8</t>
  </si>
  <si>
    <t>Environmental Sciences; Soil Science</t>
  </si>
  <si>
    <t>Environmental Sciences &amp; Ecology; Agriculture</t>
  </si>
  <si>
    <t>971QF</t>
  </si>
  <si>
    <t>WOS:000306218200006</t>
  </si>
  <si>
    <t>Parry, L; Barlow, J; Peres, CA</t>
  </si>
  <si>
    <t>Parry, Luke; Barlow, Jos; Peres, Carlos A.</t>
  </si>
  <si>
    <t>Game birds; Large mammals; Non-timber forest products; Optimal foraging; Plantation forestry; Secondary forest</t>
  </si>
  <si>
    <t>PLANTATION FORESTS; TROPICAL FORESTS; BRAZILIAN AMAZON; SEED DISPERSAL; WESTERN PANAMA; RAIN-FOREST; PERUVIAN AMAZON; CONSERVATION; MANAGEMENT; SECONDARY</t>
  </si>
  <si>
    <t>Most tropical forest landscapes are modified by humans, but the effects of these changes on rural hunting patterns and hunted vertebrate populations remain poorly understood. We investigated subsistence hunting patterns across a highly heterogeneous landscape mosaic in the Brazilian Amazon, where hunters from three villages had access to primary forest, active and fallow agricultural fields, and active and fallow Eucalyptus plantations. Landscape composition and the areas used by hunters were defined using a remote-sensing approach combined with mapping. We quantified hunting effort accounting for the availability and spatial distribution of each habitat. Overall, 71% of the kills were sourced in primary forest, but hunting in primary forest, which was often combined with other extractive activities (such as Brazil nut harvesting), yielded the lowest catch-per-unit-effort of all habitats. Hunting effort per unit area was highest in fallow fields, followed by primary forest, and both of these habitats were over-represented within village hunting catchments when compared to the composition of the available landscape. Active and fallow fields sourced a limited number of species known to be resilient to hunting, but hunting had additional benefits through crop-raider control. In contrast, hunting pressure in active and fallow plantations was low, despite a high catch-per-unit-effort, presumably because there were limited additional benefits from visiting these habitats. These results indicate that large-scale tree plantation and forest regeneration schemes have limited conservation potential for large vertebrates, as they support few forest specialists and fail to attract hunters away from primary forest, (C) 2009 Elsevier Ltd. All rights reserved.</t>
  </si>
  <si>
    <t>[Parry, Luke; Peres, Carlos A.] Univ E Anglia, Sch Environm Sci, Norwich NR4 7TJ, Norfolk, England; [Parry, Luke] EMBRAPA, CIFOR, BR-66095100 Belem, Para, Brazil; [Barlow, Jos] Univ Lancaster, Lancaster Environm Ctr, Lancaster LA1 4YQ, England</t>
  </si>
  <si>
    <t>University of East Anglia; Empresa Brasileira de Pesquisa Agropecuaria (EMBRAPA); CGIAR; Center for International Forestry Research (CIFOR); Lancaster University</t>
  </si>
  <si>
    <t>Parry, L (corresponding author), Univ E Anglia, Sch Environm Sci, Norwich NR4 7TJ, Norfolk, England.</t>
  </si>
  <si>
    <t>l.parry@uea.ac.uk; josbarlow@gmail.com; c.peres@uea.ac.uk</t>
  </si>
  <si>
    <t>Peres, Carlos/B-1276-2013; Parry, Luke/LMN-8844-2024; Barlow, Jos/HGE-9486-2022; Peres, Carlos/B-1276-2013</t>
  </si>
  <si>
    <t>Peres, Carlos/0000-0002-1588-8765; Parry, Luke/0000-0003-0330-9516; Barlow, Jos/0000-0003-4992-2594;</t>
  </si>
  <si>
    <t>Center for International Forestry Research (CIFOR); Engineering and Physical Sciences Research Council [EP/E500811/1] Funding Source: researchfish</t>
  </si>
  <si>
    <t>Center for International Forestry Research (CIFOR)(CGIAR); Engineering and Physical Sciences Research Council(UK Research &amp; Innovation (UKRI)Engineering &amp; Physical Sciences Research Council (EPSRC))</t>
  </si>
  <si>
    <t>We thank the communities of Bananal, Sao Militao, and Vila Nova for their enthusiastic participation and Jari Celulose/Orsa Florestal for logistical support in Monte Dourado. T. Gardner and J. Hawes provided useful comments on an earlier version of this manuscript. The project was funded by the Karen Hanssen Trust, a Rufford Small Grant for Nature Conservation, the People's Trust for Endangered Species, and Columbus Zoo. LP was supported by a Forest Livelihoods Fellowship from the Center for International Forestry Research (CIFOR). We thank W. Overal (Museu Goeldi, Belem) and P. Shanley (CIFOR, Bogor) for support and advice. This is publication number 19 of the land-use change and Amazonian biodiversity project.</t>
  </si>
  <si>
    <t>10.1016/j.biocon.2009.03.018</t>
  </si>
  <si>
    <t>463DM</t>
  </si>
  <si>
    <t>WOS:000267409300025</t>
  </si>
  <si>
    <t>Mateo-Tomás, P; Olea, PP; Sánchez-Barbudo, IS; Mateo, R</t>
  </si>
  <si>
    <t>Mateo-Tomas, Patricia; Olea, Pedro P.; Sanchez-Barbudo, Ines S.; Mateo, Rafael</t>
  </si>
  <si>
    <t>Alleviating human-wildlife conflicts: identifying the causes and mapping the risk of illegal poisoning of wild fauna</t>
  </si>
  <si>
    <t>biodiversity; deliberate poisoning; livestock; MaxEnt; predators; protected areas; species distribution models</t>
  </si>
  <si>
    <t>RESTRICTIONS; PESTICIDES; DYNAMICS; RECOVERY</t>
  </si>
  <si>
    <t>1. Illegal human behaviour such as those affecting natural resource use or resulting from humanwildlife conflicts threaten the sustainable management of ecosystems and the conservation of biodiversity worldwide. However, the frequently scarce and incomplete data owing to the sensitive nature of illegal activities pose a challenge to developing tools to properly understand and prevent those activities. 2. We used species distribution models to identify factors related to a prominent illegal activity, wildlife poisoning, and to produce detailed, spatially explicit maps of the risk of occurrence in NW Spain. We alleviated the constraints of imperfect information and occurrence of absences by using presence-only methods, that is, maximum entropy modelling (MaxEnt). To our knowledge, this is the first time that this method has been used in the context of illegal activities affecting wildlife. 3. A total of 112 poisoning events involving 228 individuals of 25 different species were reported in the study area from 2000 to 2010. Most of the reported deaths (90.8%) were birds of prey (52.6%) and mammalian carnivores (38.2%), of which 95.2% were scavengers. Illegal poisoning affected eleven species classified as endangered at national and/or global level. 4. Our models highlighted the perceived risk of livestock predation by wolves Canis lupus, although not by bears Ursus arctos, as a major motivation for poisoning. The existence of protected areas was positively correlated to this illegal practice, while socioeconomic factors had less influence on predicting its occurrence. Over 56% of the study area was predicted to be under risk of illegal poisoning. 5. Synthesis and applications. We demonstrate a new use for presence-only models, illustrated using MaxEnt, to assist conservation managers dealing with illegal activities. This approach allows the main causes of an illegal practice to be identified and generates spatially explicit risk maps. Managers can take advantage of this modelling approach to allocate the scarce resources available in conservation to key sectors and locations. In our study system, actions against illegal poisoning should aim to resolve the potential conflict existing between cattle-farming and wolves, especially in protected areas.</t>
  </si>
  <si>
    <t>[Mateo-Tomas, Patricia; Sanchez-Barbudo, Ines S.; Mateo, Rafael] CSIC UCLM JCCM, Inst Invest Recursos Cineget IREC, Ciudad Real 13071, Spain; [Olea, Pedro P.] IE Univ, Sch Biol, Segovia 40003, Spain</t>
  </si>
  <si>
    <t>Universidad de Castilla-La Mancha; Consejo Superior de Investigaciones Cientificas (CSIC); CSIC - Instituto de Investigacion en Recursos Cinegeticos (IREC); IE University</t>
  </si>
  <si>
    <t>Mateo-Tomás, P (corresponding author), CSIC UCLM JCCM, Inst Invest Recursos Cineget IREC, Ronda Toledo S-N, Ciudad Real 13071, Spain.</t>
  </si>
  <si>
    <t>rktespejos@gmail.com</t>
  </si>
  <si>
    <t>Olea, Peo P/M-1502-2014; Mateo-Tomás, Patricia/L-8471-2014; Mateo, Rafael/A-3117-2011</t>
  </si>
  <si>
    <t>Olea, Peo P/0000-0001-5387-9598; Mateo-Tomás, Patricia/0000-0001-6762-9514; Mateo, Rafael/0000-0003-1307-9152; Sánchez Sánchez-Barbudo, Inés/0000-0002-2646-3420</t>
  </si>
  <si>
    <t>Junta de Comunidades de Castilla-La Mancha; Fondo Social Europeo</t>
  </si>
  <si>
    <t>Junta de Comunidades de Castilla-La Mancha(Junta de Comunidades de Castilla-La Mancha); Fondo Social Europeo(European Social Fund (ESF))</t>
  </si>
  <si>
    <t>We thank C. Cano, L. Varona, R. Menendez, Fundacion para la Conservacion del Quebrantahuesos, Junta de Castilla y Leon and SEPRONAfor information on poisoning events. J. Vinuela, two anonymous reviewers and editors provided useful comments on the manuscript. Toxicologic analyses performed at IREC were funded by Principado de Asturias. P. M. T. was supported by a post-doctoral grant funded by Junta de Comunidades de Castilla-La Mancha and Fondo Social Europeo.</t>
  </si>
  <si>
    <t>10.1111/j.1365-2664.2012.02119.x</t>
  </si>
  <si>
    <t>916BF</t>
  </si>
  <si>
    <t>WOS:000302070900009</t>
  </si>
  <si>
    <t>Ponnampalam, LS; Izmal, JHF; Adulyanukosol, K; Ooi, JLS; Reynolds, JE</t>
  </si>
  <si>
    <t>Ponnampalam, Louisa S.; Izmal, J. H. Fairul; Adulyanukosol, Kanjana; Ooi, Jillian L. S.; Reynolds, John E., III</t>
  </si>
  <si>
    <t>Aligning conservation and research priorities for proactive species and habitat management: the case of dugongs Dugong dugon in Johor, Malaysia</t>
  </si>
  <si>
    <t>Conservation; Dugong dugon; Johor; Malaysia; protected area</t>
  </si>
  <si>
    <t>PETROCHEMICALS; PHOTOSYNTHESIS; SUSTAINABILITY; SEAGRASSES; WILDLIFE; IMPACTS</t>
  </si>
  <si>
    <t>Conservation efforts use scientific data to provide an adaptive framework wherein habitat and wildlife sustainability can co-exist with human activities. Good science informs decision-makers and facilitates the development of successful conservation approaches. However, conservation concerns for the dugong Dugong dugon in South-east Asia are sufficiently urgent that action must be taken quickly, even though science has not provided complete answers to critical questions. In Johor, Malaysia, aerial surveys were conducted to assess dugong numbers, dugong high-use areas and overlap of dugong sightings with areas of seagrass. Dugong distribution included existing marine parks and locations where known conservation threats exist. We conclude that the Johor islands may represent a significant congregation site for dugongs in Peninsular Malaysia, with as many as 20 dugongs recorded in a single day. The existence of a marine park where the dugong sightings were most prominent is encouraging but only 38% of those sightings fell within the boundaries of the park. Anthropogenic threats need to be assessed and addressed prior to complex development activities such as dredging and coastal reclamation for tourism development in this critical area. We use this case to explore the concept of advancing species conservation through focused research and management, particularly where uncertainties exist because data are scarce.</t>
  </si>
  <si>
    <t>[Ponnampalam, Louisa S.] Univ Malaya, Inst Ocean &amp; Earth Sci, Kuala Lumpur 50603, Malaysia; [Izmal, J. H. Fairul; Reynolds, John E., III] MareCet Res Org, Shah Alam 40460, Malaysia; [Izmal, J. H. Fairul] Environm Resources Management, Kuala Lumpur, Malaysia; [Adulyanukosol, Kanjana] Marine &amp; Coastal Resources Res Ctr, Dept Marine &amp; Coastal Resources, Samut Sakhon, Thailand; [Ooi, Jillian L. S.] Univ Malaya, Fac Arts &amp; Social Sci, Dept Geog, Kuala Lumpur 50603, Malaysia; [Reynolds, John E., III] Mote Marine Lab, Sarasota, FL 34236 USA</t>
  </si>
  <si>
    <t>Universiti Malaya; Universiti Malaya; Mote Marine Laboratory &amp; Aquarium</t>
  </si>
  <si>
    <t>Ponnampalam, LS (corresponding author), Univ Malaya, Inst Ocean &amp; Earth Sci, Kuala Lumpur 50603, Malaysia.</t>
  </si>
  <si>
    <t>louisa.ponnampalam@gmail.com</t>
  </si>
  <si>
    <t>; PONNAMPALAM, LOUISA/B-8885-2010; Ooi, Jillian/B-5252-2010; OOI, JILLIAN/B-5252-2010</t>
  </si>
  <si>
    <t>Ponnampalam, Louisa/0000-0003-0371-2620; OOI, JILLIAN/0000-0002-1764-6495</t>
  </si>
  <si>
    <t>Titan Chemical Corp. Bhd</t>
  </si>
  <si>
    <t>Funding for this survey was provided by Titan Chemical Corp. Bhd. We thank our pilot, Capt. Cheng Xitao, for his contribution, and Vivian Kuit for assisting with editing of the figures.</t>
  </si>
  <si>
    <t>10.1017/S0030605313001580</t>
  </si>
  <si>
    <t>CR5LG</t>
  </si>
  <si>
    <t>WOS:000361383100030</t>
  </si>
  <si>
    <t>Herder, F; Schliewen, UK; Geiger, MF; Hadiaty, RK; Gray, SM; McKinnon, JS; Walter, RP; Pfaender, J</t>
  </si>
  <si>
    <t>Herder, Fabian; Schliewen, Ulrich K.; Geiger, Matthias F.; Hadiaty, Renny K.; Gray, Suzanne M.; McKinnon, Jeffrey S.; Walter, Ryan P.; Pfaender, Jobst</t>
  </si>
  <si>
    <t>AQUATIC INVASIONS</t>
  </si>
  <si>
    <t>invasive species; ancient lakes; adaptive radiation; biodiversity hotspot; conservation; flowerhorn cichlid; Pterygoplichthys</t>
  </si>
  <si>
    <t>FRESH-WATER FISH; SAILFIN SILVERSIDE; TELMATHERINA-SARASINORUM; ADAPTIVE RADIATION; GENETIC-STRUCTURE; TELEOSTEI; ATHERINOMORPHA; BELONIFORMES; LORICARIIDAE; EXTINCTION</t>
  </si>
  <si>
    <t>Invasive fish species can have major impacts on freshwater faunas, particularly in isolated systems harbouring adaptive animal radiations. Here, we report on the occurrence and recent rapid expansion of the hybridogenic flowerhorn cichlid in ancient Lake Matano, the hydrological head of the Malili Lakes system in Central Sulawesi, Indonesia. We show that flowerhorns rapidly dispersed along the lake's shoreline, inhabited most of the southern inshore habitats in 2010, and were present all around the lake in mid-2012. In addition, we present stomach content and observational data supporting the hypothesis that this cichlid threatens the local fauna through both predation and competition. We discuss 13 additional alien fish species recorded in the Malili Lakes drainage since 2000, including the recent, first record of the invasive sailfin catfish Pterygoplichthys pardalis for Sulawesi, highlighting the multitude of artificial introductions of foreign fish species into these unique and highly isolated freshwater systems. We conclude that alien fish species pose both serious and diverse threats to the fauna of the Malili Lakes system - an ecosystem of high socio-economic importance and an exceptional natural laboratory for study of evolution, referred to as Wallace's Dreamponds. Finally, we provide recommendations for minimizing future alien species introductions.</t>
  </si>
  <si>
    <t>[Herder, Fabian; Geiger, Matthias F.; Pfaender, Jobst] Zool Forsch Museum Alexander Koenig, Sekt Ichthyol, D-53113 Bonn, Germany; [Schliewen, Ulrich K.] Bavarian State Collect Zool ZSM, Dept Ichthyol, D-81247 Munich, Germany; [Hadiaty, Renny K.] Indonesian Inst Sci LIPI, Biol Res Ctr, Div Zool, Ichthyol Lab, Cibinong 16911, Indonesia; [Gray, Suzanne M.] McGill Univ, Dept Biol, Montreal, PQ H3A 1B1, Canada; [McKinnon, Jeffrey S.] E Carolina Univ, Dept Biol, Greenville, NC 27858 USA; [McKinnon, Jeffrey S.] E Carolina Univ, N Carolina Ctr Biodivers, Greenville, NC 27858 USA; [Walter, Ryan P.] Univ Windsor, Great Lakes Inst Environm Res, Windsor, ON N9B 3P4, Canada</t>
  </si>
  <si>
    <t>Zoologisches Forschungsmuseum Alexander Koenig (ZFMK); National Research &amp; Innovation Agency of Indonesia (BRIN); McGill University; University of North Carolina; East Carolina University; University of North Carolina; East Carolina University; University of Windsor</t>
  </si>
  <si>
    <t>Herder, F (corresponding author), Zool Forsch Museum Alexander Koenig, Sekt Ichthyol, Adenauerallee 160, D-53113 Bonn, Germany.</t>
  </si>
  <si>
    <t>f.herder.zfmk@uni-bonn.de; Schliewen@zsm.mwn.de; matthias.f.geiger@t-online.de; rani_hadiaty@yahoo.com; gray.suzanne@gmail.com; mckinnonj@ecu.edu; rdubsy@gmail.com; jobst.pfaender.zfmk@uni-bonn.de</t>
  </si>
  <si>
    <t>Gray, Suzanne/E-1116-2011; Geiger, Matthias/S-3459-2017</t>
  </si>
  <si>
    <t>Gray, Suzanne/0000-0002-7408-9664; Herder, Fabian/0009-0006-1882-0658; Geiger, Matthias/0000-0003-2403-0805</t>
  </si>
  <si>
    <t>DFG [SCHL 567/2-1, SCHL 567/2-2, SCHL 567/2-3, HE 5707/2-1]; NSF [RUI 9981638]; ARCBC</t>
  </si>
  <si>
    <t>DFG(German Research Foundation (DFG)); NSF(National Science Foundation (NSF)); ARCBC</t>
  </si>
  <si>
    <t>We thank the Indonesian Institute of Sciences (LIPI) and Kementerian Riset dan Teknologi Republik Indonesia (RISTEK) for the permits to conduct research in Indonesia. PT. INCO / PT. VALE Indonesia Tbk., provided outstanding logistic support in Sulawesi. Fieldwork benefited from logistic support in Indonesia by T. von Rintelen. For invaluable assistance in the field we thank A. F. Cerwenka, S. Chapuis, J. Frommen, J. Herder, M. Milanovic, A. W. Nolte, J. Schwarzer and F. Tantu. We are grateful to T. Lepel for identifying the Pseudotropheus species, and to T. Roberts for determining the Ophisternon. A. Indermaur and W. Salzburger caught Pterygoplichthys in L. Matano; D. Haffner reported flowerhorn occurrence at L. Matano's outlet. We acknowledge T. von Rintelen for providing access to digitized maps. Fieldwork was funded by several research grants (to U. K. Schliewen: DFG SCHL 567/2-1, 2, 3; to F. Herder: DFG HE 5707/2-1; to J.S. McKinnon NSF RUI 9981638; ARCBC 2001-2003 to S. Wirjoatmodjo). Three anonymous referees helped to improve the manuscript.</t>
  </si>
  <si>
    <t>PL 3, HELSINKI, 00981, FINLAND</t>
  </si>
  <si>
    <t>1798-6540</t>
  </si>
  <si>
    <t>1818-5487</t>
  </si>
  <si>
    <t>AQUAT INVASIONS</t>
  </si>
  <si>
    <t>Aquat. Invasions</t>
  </si>
  <si>
    <t>10.3391/ai.2012.7.4.009</t>
  </si>
  <si>
    <t>032NC</t>
  </si>
  <si>
    <t>WOS:000310725000009</t>
  </si>
  <si>
    <t>Struebig, MJ; Linkie, M; Deere, NJ; Martyr, DJ; Millyanawati, B; Faulkner, SC; Le Comber, SC; Mangunjaya, FM; Leader-Williams, N; McKay, JE; St John, FAV</t>
  </si>
  <si>
    <t>Struebig, Matthew J.; Linkie, Matthew; Deere, Nicolas J.; Martyr, Deborah J.; Millyanawati, Betty; Faulkner, Sally C.; Le Comber, Steven C.; Mangunjaya, Fachruddin M.; Leader-Williams, Nigel; McKay, Jeanne E.; St John, Freya A. V.</t>
  </si>
  <si>
    <t>ACCESSIBILITY; CONSERVATION; EVOLUTION; ATTITUDES; LIVESTOCK; BEHAVIOR; ECOLOGY; WILL</t>
  </si>
  <si>
    <t>Tigers are critically endangered due to deforestation and persecution. Yet in places, Sumatran tigers (Panthera tigris sumatrae) continue to coexist with people, offering insights for managing wildlife elsewhere. Here, we couple spatial models of encounter risk with information on tolerance from 2386 Sumatrans to reveal drivers of human-tiger conflict. Risk of encountering tigers was greater around populated villages that neighboured forest or rivers connecting tiger habitat; geographic profiles refined these predictions to three core areas. People's tolerance for tigers was related to underlying attitudes, emotions, norms and spiritual beliefs. Combining this information into socio-ecological models yielded predictions of tolerance that were 32 times better than models based on social predictors alone. Preemptive intervention based on these socio-ecological predictions could have averted up to 51% of attacks on livestock and people, saving 15 tigers. Our work provides further evidence of the benefits of interdisciplinary research on conservation conflicts.</t>
  </si>
  <si>
    <t>[Struebig, Matthew J.; Linkie, Matthew; Deere, Nicolas J.; McKay, Jeanne E.; St John, Freya A. V.] Univ Kent, Sch Anthropol &amp; Conservat, DICE, Canterbury CT2 7NR, Kent, England; [Linkie, Matthew] Indonesia Program, Wildlife Conservat Soc, Jl Tampomas 35, Bogor 16151, Indonesia; [Martyr, Deborah J.; Millyanawati, Betty] Kampus Univ Nas UNAS, Fauna &amp; Flora Int Indonesia Programme, JI Sawo Manila 61, Jakarta 12550, Indonesia; [Faulkner, Sally C.; Le Comber, Steven C.] Queen Mary Univ London, Sch Biol &amp; Chem Sci, London E1 4NS, England; [Mangunjaya, Fachruddin M.] Univ Nas UNAS, Fac Biol, Jakarta 12520, Indonesia; [Leader-Williams, Nigel] Univ Cambridge, Dept Geog, Downing Pl, Cambridge CB2 3EN, England; [St John, Freya A. V.] Bangor Univ, Sch Environm Nat Resources &amp; Geog, Bangor LL57 2UW, Gwynedd, Wales</t>
  </si>
  <si>
    <t>University of Kent; Wildlife Conservation Society - Indonesia; Universitas Nasional Pionir Perubahan; University of London; Queen Mary University London; University of Cambridge; Bangor University</t>
  </si>
  <si>
    <t>Struebig, MJ (corresponding author), Univ Kent, Sch Anthropol &amp; Conservat, DICE, Canterbury CT2 7NR, Kent, England.</t>
  </si>
  <si>
    <t>m.j.struebig@kent.ac.uk</t>
  </si>
  <si>
    <t>; Le Comber, Steven/B-8315-2008; Deere, Nicolas/LVS-4499-2024</t>
  </si>
  <si>
    <t>faulkner, sally/0000-0003-0342-4389; struebig, matthew/0000-0003-2058-8502; Mangunjaya, Fachruddin Majeri/0000-0001-5970-6524; St John, Freya/0000-0002-5707-310X</t>
  </si>
  <si>
    <t>UK Leverhulme Trust Research Project Grant; Natural Environment Research Council [1492081] Funding Source: researchfish</t>
  </si>
  <si>
    <t>UK Leverhulme Trust Research Project Grant(Leverhulme Trust); Natural Environment Research Council(UK Research &amp; Innovation (UKRI)Natural Environment Research Council (NERC))</t>
  </si>
  <si>
    <t>We thank Ika Agustin, Yulian Anggriawan, Karlina, and Erlinda Kartika for implementing the questionnaire surveys, Darmawan Liswanto for facilitating the study, and the thousands of people in Sumatra who shared their experiences living with tigers. This work was funded by a UK Leverhulme Trust Research Project Grant, and facilitated in Sumatra by Fauna and Flora International Indonesia programme.</t>
  </si>
  <si>
    <t>10.1038/s41467-018-05983-y</t>
  </si>
  <si>
    <t>GR6SD</t>
  </si>
  <si>
    <t>WOS:000442790100006</t>
  </si>
  <si>
    <t>Menegon, S; Depellegrin, D; Farella, G; Sarretta, A; Venier, C; Barbanti, A</t>
  </si>
  <si>
    <t>Menegon, Stefano; Depellegrin, Daniel; Farella, Giulio; Sarretta, Alessandro; Venier, Chiara; Barbanti, Andrea</t>
  </si>
  <si>
    <t>Webtools; Geoplatfonn; Cumulative effects assessment; Maritime use conflict analysis; Marine ecosystem services; MSP</t>
  </si>
  <si>
    <t>NORTHERN ADRIATIC SEA; ENVIRONMENTAL ASSESSMENT; MARINE; TOOLS; SENSITIVITY; FRAMEWORK; IMPACTS</t>
  </si>
  <si>
    <t>To solve conservation and planning challenges in the marine environment, researchers are increasingly developing geospatial tools to address impacts of anthropogenic activities on marine biodiversity. The paper presents a comprehensive set of built-in geospatial webtools to support Maritime Spatial Planning (MSP) and environmental management objectives implemented into the Tools4MSP interoperable GeoPlatform. The webtools include cumulative effects assessment (CEA), maritime use conflict (MUC) analysis, MSFD pressure-driven CEA and a CEA-based marine ecosystem service threat analysis (MES-Threat). The tools are tested for the Northern Adriatic (NA) Sea, one of the most industrialized sea areas of Europe using a case study driven modelling strategy. Overall results show that coastal areas within 0-9 nm in the Gulf of Trieste, Grado-Marano and Venice lagoon and Po Delta outlet are subjected to intense cumulative effects and high sea use conflicts mainly from port activities, fishery, coastal and maritime tourism and maritime shipping. Linking MES into CEA provided novel information on locally threatened high MES supporting and provisioning habitats such Cymodocea beds and infralittoral fine sands, threats to cultural MES are most pronounced in coastal areas. Results are discussed for their geospatial relevance for regional planning, resource management and their applicability within MSP and environmental assessment.</t>
  </si>
  <si>
    <t>[Menegon, Stefano; Depellegrin, Daniel; Farella, Giulio; Sarretta, Alessandro; Venier, Chiara; Barbanti, Andrea] CNR Natl Res Council Italy, ISMAR Inst Marine Sci Arsenale, Tesa 104,Castello 2737-F, I-30122 Venice, Italy</t>
  </si>
  <si>
    <t>Consiglio Nazionale delle Ricerche (CNR)</t>
  </si>
  <si>
    <t>Menegon, S; Depellegrin, D (corresponding author), CNR Natl Res Council Italy, ISMAR Inst Marine Sci Arsenale, Tesa 104,Castello 2737-F, I-30122 Venice, Italy.</t>
  </si>
  <si>
    <t>stefano.menegon@ismar.cnr.it; daniel.depellegrin@ve.ismar.cnr.it</t>
  </si>
  <si>
    <t>Menegon, Stefano/AAK-4256-2021; Sarretta, Alessano/AAV-9739-2020; Venier, Chiara/ABB-1251-2020; Farella, Giulio/HSH-4232-2023; Depellegrin, Daniel/AAJ-2713-2020; Barbanti, Anea/AAL-1470-2021</t>
  </si>
  <si>
    <t>Sarretta, Alessano/0000-0002-1475-8686; Venier, Chiara/0000-0001-6880-2745; Farella, Giulio/0000-0001-5710-911X; Depellegrin, Daniel/0000-0002-6493-9506; Barbanti, Anea/0000-0002-4871-7874</t>
  </si>
  <si>
    <t>This work was supported by: the Flagship Project RITMARE - Italian Research for the Sea, coordinated by the Italian National Research Council and funded by the Italian Ministry of Education, University and Research within the National Research Program 2012-2016.</t>
  </si>
  <si>
    <t>10.1016/j.ocecoaman.2018.07.009</t>
  </si>
  <si>
    <t>WOS:000444793600038</t>
  </si>
  <si>
    <t>Sciarretta, A; Marziali, L; Squarcini, M; Marianelli, L; Benassai, D; Logli, F; Roversi, PF</t>
  </si>
  <si>
    <t>Sciarretta, A.; Marziali, L.; Squarcini, M.; Marianelli, L.; Benassai, D.; Logli, F.; Roversi, P. F.</t>
  </si>
  <si>
    <t>Adaptive management of invasive pests in natural protected areas: the case of Matsucoccus feytaudi in Central Italy</t>
  </si>
  <si>
    <t>BULLETIN OF ENTOMOLOGICAL RESEARCH</t>
  </si>
  <si>
    <t>Matsucoccus feytaudi; Pinus pinaster; monitoring; spatial analysis; mass trapping</t>
  </si>
  <si>
    <t>SPECIES HEMIPTERA; INSECT; SPREAD; SCALE; PHEROMONE; SYSTEMS; TOOLS</t>
  </si>
  <si>
    <t>Invasive species are a significant threat to affected ecosystems, having serious environmental, economic and social impacts. The maritime pine bast scale, Matsucoccus feytaudi Ducasse (Hemiptera: Matsucoccidae), causes serious damage to Pinus pinaster forests in SE France, Corsica and Italy where it has been introduced. This study illustrates the adaptive management plan implemented in the Migliarino, San Rossore, Massaciuccoli Regional Natural Park in Tuscany, Italy, where M. feytaudi arrived in 2004, leading to the decay of local P. pinaster stands. The management programme, aimed at slowing the establishment and growth of M. feytaudi, was carried out in the main sector of the park, Tenuta di San Rossore, to retard the destruction of the P. pinaster coastal strip protecting the more internal woodland from sea salt and to allow replacement of P. pinaster trees with a more stable broad-leaved wood. The combined use of mass trapping and silvicultural interventions, applied in a targeted manner according to distribution maps of pest captures and damage, helped to delay forest destruction compared with a nearby unmanaged area of the park Tenuta di Tombolo. Although M. feytaudi continued to spread during the management period, the populations remained at low levels for 6 years, showing a marked increase in 2012. During this period, the P. pinaster stands were reduced from 320 to 249 ha. The final result of this ongoing gradual conversion process will be transformation of the P. pinaster forest into Holm oak woods and Mediterranean shrub land, while P. pinaster will survive as clusters or blocks of trees.</t>
  </si>
  <si>
    <t>[Sciarretta, A.] Univ Molise, Dept Agr Environm &amp; Food Sci, Via De Sanctis, I-86100 Campobasso, Italy; [Marziali, L.; Squarcini, M.; Benassai, D.; Roversi, P. F.] Consiglio Ric Agr &amp; Anal Econ Agr, CREA ABP Res Ctr Agrobiol &amp; Pedol, Via Lanciola 12-A, I-50125 Florence, Italy; [Marianelli, L.] Tuscany Reg Phytosanit Serv, Via Pietrapiana 30, I-50121 Florence, Italy; [Logli, F.] San Rossore, Migliarino, Massaciuccoli Reg Nat Pk, I-56122 Pisa, Italy</t>
  </si>
  <si>
    <t>University of Molise; Consiglio per la Ricerca in Agricoltura e L'analisi Dell'economia Agraria (CREA)</t>
  </si>
  <si>
    <t>Sciarretta, A (corresponding author), Univ Molise, Dept Agr Environm &amp; Food Sci, Via De Sanctis, I-86100 Campobasso, Italy.</t>
  </si>
  <si>
    <t>sciarretta@unimol.it</t>
  </si>
  <si>
    <t>; Sciarretta, Anea/C-5307-2008</t>
  </si>
  <si>
    <t>Roversi, Pio Federico/0000-0002-8098-8367; MARIANELLI, LEONARDO/0000-0002-4132-5245; Sciarretta, Anea/0000-0002-9443-4816</t>
  </si>
  <si>
    <t>Migliarino, San Rossore, Massaciuccoli Regional Natural Park (Pisa, Italy)</t>
  </si>
  <si>
    <t>This work was supported under the project 'Biocontrol - Biological control of the maritime pine bast scale Matsucoccus feytaudi (Ducasse)', funded by the Migliarino, San Rossore, Massaciuccoli Regional Natural Park (Pisa, Italy). We are grateful to the many colleagues of the Research Centre for Agrobiology and Pedology in Florence who have collaborated on the Biocontrol project over the years.</t>
  </si>
  <si>
    <t>0007-4853</t>
  </si>
  <si>
    <t>1475-2670</t>
  </si>
  <si>
    <t>B ENTOMOL RES</t>
  </si>
  <si>
    <t>Bull. Entomol. Res.</t>
  </si>
  <si>
    <t>10.1017/S0007485315000851</t>
  </si>
  <si>
    <t>Entomology</t>
  </si>
  <si>
    <t>DF2FJ</t>
  </si>
  <si>
    <t>WOS:000371157000002</t>
  </si>
  <si>
    <t>Deb, JC; Phinn, S; Butt, N; McAlpine, CA</t>
  </si>
  <si>
    <t>Deb, Jiban Chandra; Phinn, Stuart; Butt, Nathalie; McAlpine, Clive A.</t>
  </si>
  <si>
    <t>MITIGATION AND ADAPTATION STRATEGIES FOR GLOBAL CHANGE</t>
  </si>
  <si>
    <t>Mammal distribution ranges; Threatened species; Habitat suitability models; Mammal extinction; Conservation planning; Protected areas</t>
  </si>
  <si>
    <t>SPECIES DISTRIBUTION MODELS; POTENTIAL IMPACTS; EXTINCTION RISK; FOREST; DISTRIBUTIONS; VULNERABILITY; BIODIVERSITY; PREDICTION; SCENARIOS; PATTERNS</t>
  </si>
  <si>
    <t>Mammals can serve as an indicator of global climate change impacts on species' distributions due to the wide range of ecological niches they utilize. Tropical Asia encompasses several biodiversity hotspots, is the largest reservoir of mammalian diversity on earth, and has already experienced the extinction of several mammal species either regionally or locally. Global climate change could become a significant driver of species extinction, either directly or synergistically with other factors, such as habitat loss, agricultural expansion, overexploitation, and land use change. Despite the variability of climatic regimes across tropical Asia, the potential impacts of climate change on continental-scale distributions of mammals have not been examined. To address this issue, we developed habitat suitability models for four threatened large mammals (Ursus thibetanus, Elephas maximus, Hoolock hoolock, and Panthera tigris tigris), across their entire distributions in Asia. We used presence-only distribution records and nine bioclimatic and environmental variables and built species-specific habitat suitability models using a maximum entropy algorithm (MaxEnt). We used a moderate and an extreme climate scenario (RCP6.0 and RCP8.5) and three time steps: current, 2050, and 2070. Our results suggest that changes in annual precipitation, annual mean temperature, precipitation, and temperature seasonality could reduce suitable habitat for these mammals and therefore increase their extinction risks. However, several patches of stable habitat are projected to persist through the late twenty-first century, and these climate change refugia areas can be managed as an important strategy for conservation of the mammal species and the maintenance of biodiversity in the face of ongoing climate change. In this context, we recommend the following steps for the conservation of global mammal populations: (i) define the spatial extent (local, regional, or continental scale) of the target mammals, (ii) identify and prioritize climate change refugial areas following ecological niche models or other methods based on biological data, and (iii) implement management actions by analyzing current management tools and the strategies required (e.g., habitat restoration or assisted migration for prioritized species) to achieve long-term conservation goals.</t>
  </si>
  <si>
    <t>[Deb, Jiban Chandra; Phinn, Stuart] Univ Queensland, Sch Earth &amp; Environm Sci, Remote Sensing Res Ctr, Brisbane, Qld 4072, Australia; [Deb, Jiban Chandra] Shahjalal Univ Sci &amp; Technol, Dept Forestry &amp; Environm Sci, Sch Agr &amp; Mineral Sci, Sylhet 3114, Bangladesh; [Deb, Jiban Chandra] Univ New Brunswick, Fac Forestry &amp; Environm Management, Fredericton, NB E3B 5A3, Canada; [Butt, Nathalie] Univ Queensland, ARC Ctr Excellence Environm Decis, Brisbane, Qld 4072, Australia; [Butt, Nathalie] Univ Queensland, Sch Biol Sci, Brisbane, Qld 4072, Australia; [McAlpine, Clive A.] Univ Queensland, Sch Earth &amp; Environm Sci, Brisbane, Qld 4072, Australia; [McAlpine, Clive A.] Univ Queensland, Ctr Biodivers &amp; Conservat Sci, Brisbane, Qld 4072, Australia</t>
  </si>
  <si>
    <t>University of Queensland; Shahjalal University of Science &amp; Technology (SUST); University of New Brunswick; University of Queensland; University of Queensland; University of Queensland; University of Queensland</t>
  </si>
  <si>
    <t>Deb, JC (corresponding author), Univ Queensland, Sch Earth &amp; Environm Sci, Remote Sensing Res Ctr, Brisbane, Qld 4072, Australia.;Deb, JC (corresponding author), Shahjalal Univ Sci &amp; Technol, Dept Forestry &amp; Environm Sci, Sch Agr &amp; Mineral Sci, Sylhet 3114, Bangladesh.;Deb, JC (corresponding author), Univ New Brunswick, Fac Forestry &amp; Environm Management, Fredericton, NB E3B 5A3, Canada.</t>
  </si>
  <si>
    <t>j.deb@uq.edu.au; s.phinn@uq.edu.au; n.butt@uq.edu.au; c.mcalpine@uq.edu.au</t>
  </si>
  <si>
    <t>Butt, Nathalie/B-3558-2014; McAlpine, Clive/A-3907-2010; Phinn, Stuart/J-8457-2013; Deb, Jiban Chana/H-9014-2019</t>
  </si>
  <si>
    <t>Butt, Nathalie/0000-0003-1517-6191; McAlpine, Clive/0000-0003-0457-8144; Deb, Jiban Chana/0000-0002-3134-2682</t>
  </si>
  <si>
    <t>International Postgraduate Research Scholarship (IPRS); University of Queensland (UQ) Centennial Scholarship; School of Earth and Environmental Sciences, The University of Queensland</t>
  </si>
  <si>
    <t>International Postgraduate Research Scholarship (IPRS)(Australian Government); University of Queensland (UQ) Centennial Scholarship; School of Earth and Environmental Sciences, The University of Queensland</t>
  </si>
  <si>
    <t>This research was funded by International Postgraduate Research Scholarship (IPRS) and The University of Queensland (UQ) Centennial Scholarship to the first author. We would like to acknowledge the Research Grant from School of Earth and Environmental Sciences, The University of Queensland for funding this research. We also thank the anonymous reviewers for their excellent comments on the earlier version of this manuscript.</t>
  </si>
  <si>
    <t>1381-2386</t>
  </si>
  <si>
    <t>1573-1596</t>
  </si>
  <si>
    <t>MITIG ADAPT STRAT GL</t>
  </si>
  <si>
    <t>Mitig. Adapt. Strateg. Glob. Chang.</t>
  </si>
  <si>
    <t>10.1007/s11027-018-9810-3</t>
  </si>
  <si>
    <t>HI8TQ</t>
  </si>
  <si>
    <t>WOS:000456729200005</t>
  </si>
  <si>
    <t>Mullet, TC; Morton, JM; Gage, SH; Huettmann, F</t>
  </si>
  <si>
    <t>Mullet, Timothy C.; Morton, John M.; Gage, Stuart H.; Huettmann, Falk</t>
  </si>
  <si>
    <t>Alaska National Interest Lands Conservation Act; snowmobile noise; soundscape; wilderness; Wilderness Act</t>
  </si>
  <si>
    <t>SOUND-PROPAGATION; NATIONAL-PARKS; LANDSCAPE; RESPONSES; SOUNDSCAPES; EXPOSURE; HABITAT; LIBRARY; SILENCE; IMPACT</t>
  </si>
  <si>
    <t>Snowmobiling in Congressionally designated Wilderness (CW) in Alaska is a contentious issue in the arena of appropriate use of public lands. The 1980 Alaska National Interests Lands Conservation Act allows snowmobiling in CW for traditional activities. Conversely, the 1964 Wilderness Act prohibits motor vehicles in CW to preserve its naturalness and opportunities for solitude. These conflicting mandates challenge the ability of managers to preserve CW character. The Kenai National Wildlife Refuge (KENWR) manages 534,300 ha of CW, where 253,200 ha are open to snowmobiling. Snowmobile noise degrades CW character whereas natural quiet is indicative of naturalness and offers opportunities for solitude. We determined the acoustic footprint of snowmobile noise and areas of natural quiet refugia in CW by recording the soundscape at 27 locations inside, and 37 locations outside, KENWR CW. We calculated soundscape power (normalized watts/kHz) from 59,598 sound recordings and generated spatially explicit models of snowmobile noise and natural quiet using machine-learning (TreeNet). We calculated the area of CW with the highest and lowest soundscape power for snowmobile noise and natural quiet, respectively. Snowmobile noise occurred during daylight hours while natural quiet was predominant at night. Snowmobile noise was higher in February and March while January was quieter. Snowmobile noise affected 39% of CW open to snowmobiling while natural quiet made up 36%. Natural quiet occurred in 51% of all KENWR CW of which 39% was prohibited by management or inaccessible by snowmobiles. Our models identify areas where conservation of winter soundscapes in CW can be focused.</t>
  </si>
  <si>
    <t>[Mullet, Timothy C.; Huettmann, Falk] Univ Alaska Fairbanks, Inst Arctic Biol, Dept Biol &amp; Wildlife, EWHALE Lab, 419 Irving 1,902 North Koyukuk Dr, Fairbanks, AK 99775 USA; [Morton, John M.] US Fish &amp; Wildlife Serv, Kenai Natl Wildlife Refuge, POB 2139, Soldotna, AK 99669 USA; [Gage, Stuart H.] Michigan State Univ, Global Observ Ecosyst Serv, 101 Manly Miles Bldg,1405 South Harrison Rd, E Lansing, MI 48824 USA; [Mullet, Timothy C.] US Fish &amp; Wildlife Serv, Ecol Serv, 1208 B Main St, Daphne, AL 36526 USA</t>
  </si>
  <si>
    <t>University of Alaska System; University of Alaska Fairbanks; United States Department of the Interior; US Fish &amp; Wildlife Service; Michigan State University; United States Department of the Interior; US Fish &amp; Wildlife Service</t>
  </si>
  <si>
    <t>Mullet, TC (corresponding author), Univ Alaska Fairbanks, Inst Arctic Biol, Dept Biol &amp; Wildlife, EWHALE Lab, 419 Irving 1,902 North Koyukuk Dr, Fairbanks, AK 99775 USA.;Mullet, TC (corresponding author), US Fish &amp; Wildlife Serv, Ecol Serv, 1208 B Main St, Daphne, AL 36526 USA.</t>
  </si>
  <si>
    <t>timothy_mullet@fws.gov</t>
  </si>
  <si>
    <t>Mullet, Timothy/AAA-2739-2021; Lama, Sonam/P-3852-2018</t>
  </si>
  <si>
    <t>Mullet, Timothy/0000-0002-9565-0668;</t>
  </si>
  <si>
    <t>US Fish and Wildlife Service; Kenai National Wildlife Refuge; University of Alaska Fairbanks Graduate School</t>
  </si>
  <si>
    <t>US Fish and Wildlife Service(US Fish &amp; Wildlife Service); Kenai National Wildlife Refuge; University of Alaska Fairbanks Graduate School</t>
  </si>
  <si>
    <t>This study was funded by the US Fish and Wildlife Service, Kenai National Wildlife Refuge, and a research fellowship through the University of Alaska Fairbanks Graduate School. We appreciate the exceptional work by Ryan Park, Bennie Johnson, and Mandy Salminen, and the assistance of KENWR's staff. We thank Salford Systems Ltd. and Robin Tabone for the TreeNet license and technical support, respectively. We sincerely thank the reviewers of this manuscript for their helpful comments. Lastly, the findings and conclusions in this article are those of the authors and do not necessarily represent the views of any government agencies.</t>
  </si>
  <si>
    <t>10.3375/043.037.0308</t>
  </si>
  <si>
    <t>FA2KJ</t>
  </si>
  <si>
    <t>WOS:000405270000007</t>
  </si>
  <si>
    <t>Licata, F; Ficetola, GF; Freeman, K; Mahasoa, RH; Ravololonarivo, V; Fidy, JFSN; Koto-Jean, AB; Nahavitatsara, ER; Andreone, F; Crottini, A</t>
  </si>
  <si>
    <t>Licata, Fulvio; Ficetola, Gentile Francesco; Freeman, Karen; Mahasoa, Roderic Heriandrianina; Ravololonarivo, Veronique; Fidy, Jean Francois Solofo Niaina; Koto-Jean, Aurelien Bertino; Nahavitatsara, Elisah Rasoanomenjanahary; Andreone, Franco; Crottini, Angelica</t>
  </si>
  <si>
    <t>Distribution range; Spreading rate; Abundance estimation; Duttaphrynus melanostictus; N-mixture models; Toamasina</t>
  </si>
  <si>
    <t>N-MIXTURE MODELS; BUFO-MARINUS; CANE TOADS; RAIN-FORESTS; ECOLOGY; DISPERSAL; BARRIERS; DEFORESTATION; VULNERABILITY; POPULATION</t>
  </si>
  <si>
    <t>The Asian toad, Duttaphrynus melanostictus, was accidentally introduced to Toamasina (eastern Madagascar) around 2010, and since then has spread at a substantial rate across a larger area. This study documents the expansion of the invasive range of this species, calculates the invasion spread rate, and provides estimates of toad abundance and habitat preferences. Updates of the distribution range revealed a fivefold increase of the invaded area over 3 years, and a doubling of the rate of spread, showing a shift of the invasion towards the North-West, most probably because of the absence of ecological barriers. We used N-mixture models to estimate toad abundance on the basis of repeated count data of six areas in Toamasina and its surrounding countryside. Toad distribution shows heterogeneous density across the distribution range, with an average abundance of 184 toads ha(-1) (95% CI 132-263). The toad's abundance was highest in sites with the presence of organic waste, and was negatively related to the density of road networks in the proximity of study sites. The rapid expansion of the Asian toad in the Toamasina region suggests that this toad is an increasing threat for Madagascar. We propose immediate management actions that could limit the spread of alien toads in this megadiverse country.</t>
  </si>
  <si>
    <t>[Licata, Fulvio; Crottini, Angelica] Univ Porto, InBIO, Res Ctr Biodivers &amp; Genet Resources, CIBIO, Campus Agr Vairao,Rua Padre Armando Quintas 7, P-4485661 Vairao, Portugal; [Ficetola, Gentile Francesco] Univ Milan, Dept Environm Sci &amp; Policy, Milan, Italy; [Ficetola, Gentile Francesco] Univ Grenoble Alpes, CNRS, Lab Ecol Alpine LECA, F-38000 Grenoble, France; [Freeman, Karen; Mahasoa, Roderic Heriandrianina; Ravololonarivo, Veronique; Fidy, Jean Francois Solofo Niaina] Madagascar Fauna &amp; Flora Grp, BP442, Toamasina 501, Madagascar; [Mahasoa, Roderic Heriandrianina; Koto-Jean, Aurelien Bertino; Nahavitatsara, Elisah Rasoanomenjanahary] Univ Toamasina, ISSEDD, Toamasina, Madagascar; [Andreone, Franco] Museo Reg Sci Nat, Via G Giolitti 36, I-10123 Turin, Italy</t>
  </si>
  <si>
    <t>Universidade do Porto; University of Milan; Communaute Universite Grenoble Alpes; Universite Grenoble Alpes (UGA); Centre National de la Recherche Scientifique (CNRS); Universite Savoie Mont Blanc</t>
  </si>
  <si>
    <t>Licata, F (corresponding author), Univ Porto, InBIO, Res Ctr Biodivers &amp; Genet Resources, CIBIO, Campus Agr Vairao,Rua Padre Armando Quintas 7, P-4485661 Vairao, Portugal.</t>
  </si>
  <si>
    <t>fulvio.licata@gmail.com; francesco.ficetola@gmail.com; karenlmfreeman@gmail.com; rodericmahasoa@gmail.com; ravololonarivoveronique@gmail.com; jfsolofo@gmail.com; aurelienberthino@yahoo.fr; elisahnahavitatsara@gmail.com; franco.andreone@gmail.com; tiliquait@yahoo.it</t>
  </si>
  <si>
    <t>Licata, Fulvio/ADB-9038-2022; Ficetola, Gentile Francesco/A-2813-2008; Aneone, Franco/H-4942-2012; Crottini, Angelica/I-7680-2013</t>
  </si>
  <si>
    <t>Licata, Fulvio/0000-0001-8234-9676; Ficetola, Gentile Francesco/0000-0003-3414-5155; Aneone, Franco/0000-0001-9809-5818; Crottini, Angelica/0000-0002-8505-3050</t>
  </si>
  <si>
    <t>Portuguese National Funds through FCT-Foundation for Science and Technology [IF/00209/2014/CP1256/CT0011, IF/00209/2014]; FCT [SFRH/BD/131722/2017]; European Research Council under the European Community's Horizon 2020 Programme [772284]; Fundação para a Ciência e a Tecnologia [IF/00209/2014/CP1256/CT0011, SFRH/BD/131722/2017] Funding Source: FCT</t>
  </si>
  <si>
    <t>Portuguese National Funds through FCT-Foundation for Science and Technology(Fundacao para a Ciencia e a Tecnologia (FCT)); FCT(Fundacao para a Ciencia e a Tecnologia (FCT)); European Research Council under the European Community's Horizon 2020 Programme(European Research Council (ERC)); Fundação para a Ciência e a Tecnologia(Fundacao para a Ciencia e a Tecnologia (FCT))</t>
  </si>
  <si>
    <t>We are grateful to the Malagasy authorities, in particular the Ministere de l'Environnement, Ecologie et des Forets, for issuing research permits. Our thanks to the nine eco-volunteers who helped with toad surveys: A.L. Rafilipo, C.C. Razafimbelo; P. Razanajaza; F.R. Harison, Z.M. Raharisoa; J.F. Randrianasolo, R.F. Bredison, B. Andriantianan and L. Rabenantenaina. We extend our thanks to all the local people who helped us in the field and through the reporting of the toad's presence via the dedicated hotline. We thank the Meteorological Station of Toamasina that provided us with climate data. The work of AC is supported by the Portuguese National Funds through FCT-Foundation for Science and Technology-under the IF/00209/2014/CP1256/CT0011 Exploratory Research Project and the Investigador FCT (IF) Grant (IF/00209/2014). FL is funded by FCT through the Doctoral Programme (SFRH/BD/131722/2017). GFF is funded by the European Research Council under the European Community's Horizon 2020 Programme, Grant Agreement No. 772284 (Ice Communities). FA acknowledges the IUCN SSC Amphibian Specialist Group Madagascar. Among the organisations which supported him: Reptiland, Gondwana Conservation and Research, Regione Piemonte, and Museo Regionale di Scienze Naturali (Torino). Many thanks to James Reardon, New Zealand Department of Conservation, Wellington, for helpful comments on the manuscript.</t>
  </si>
  <si>
    <t>10.1007/s10530-019-01920-2</t>
  </si>
  <si>
    <t>HV3CU</t>
  </si>
  <si>
    <t>WOS:000465867500014</t>
  </si>
  <si>
    <t>Giordano, PF; Bellis, LM; Navarro, JL; Martella, MB</t>
  </si>
  <si>
    <t>Giordano, Paola F.; Bellis, Laura M.; Navarro, Joaquin L.; Martella, Monica B.</t>
  </si>
  <si>
    <t>BIRD CONSERVATION INTERNATIONAL</t>
  </si>
  <si>
    <t>AGROECOSYSTEM</t>
  </si>
  <si>
    <t>In Argentina the original landscape structure of the pampas grasslands has changed rapidly due to intensified and specialized agricultural practices. The conversion of grasslands into croplands has been suggested as a threat to Greater Rhea Rhea americana populations. The main goals of this study were to estimate the abundance of Greater Rheas and to analyse the species' spatial distribution at two sites of the pampas region with different land use: agro-ecosystem and grassland. The former was mainly devoted to crop production whereas the latter was mostly used for livestock grazing. Data were collected through 14 aerial surveys from 1998 to Zoos, and in 2004. Each survey consisted of six strip-transects per site, spaced at regular intervals. The total area surveyed represented 4% of each study site (113 km(2) in the grassland and 95 km2 in the agro-ecosystem). Greater Rhea density ( +/- SE) was significantly higher in the grassland (from 0.22 +/- 0.11 to o.86 +/- 0.24 ind. km(-2)) than in the agro-ecosystem (from 0.05 +/- 0.05 to 0.12 +/- 0.08 ind. km(-2)). Greater Rheas occupied 51% of the study area in the grassland but less than 5 in the agro-ecosystem. They showed a wide and uniform spatial distribution in the former area, whereas in the latter individuals occurred in small and isolated clusters. These results raise concern about the future of the species because, over recent years, land has been increasingly used for crop production. Hence, if the current rate of change in land use continues, the conservation status of this species will be seriously affected.</t>
  </si>
  <si>
    <t>[Giordano, Paola F.; Navarro, Joaquin L.; Martella, Monica B.] Univ Nacl Cordoba, Ctr Zool Aplicada, RA-5000 Cordoba, Argentina; [Bellis, Laura M.] Univ Nacl Cordoba, Fac Ciencias Exactas Fis &amp; Nat, Catedra Ecol, RA-5000 Cordoba, Argentina</t>
  </si>
  <si>
    <t>National University of Cordoba; National University of Cordoba</t>
  </si>
  <si>
    <t>Giordano, PF (corresponding author), Univ Nacl Cordoba, Ctr Zool Aplicada, CC 122, RA-5000 Cordoba, Argentina.</t>
  </si>
  <si>
    <t>pgiordano@com.uncor.edu</t>
  </si>
  <si>
    <t>0959-2709</t>
  </si>
  <si>
    <t>1474-0001</t>
  </si>
  <si>
    <t>BIRD CONSERV INT</t>
  </si>
  <si>
    <t>Bird Conserv. Int.</t>
  </si>
  <si>
    <t>10.1017/S0959270908000075</t>
  </si>
  <si>
    <t>Biodiversity Conservation; Ornithology</t>
  </si>
  <si>
    <t>Biodiversity &amp; Conservation; Zoology</t>
  </si>
  <si>
    <t>290CI</t>
  </si>
  <si>
    <t>WOS:000255100100007</t>
  </si>
  <si>
    <t>Raimondo, S; Sharpe, L; Oliver, L; McCaffrey, KR; Purucker, ST; Sinnathamby, S; Minucci, JM</t>
  </si>
  <si>
    <t>Raimondo, Sandy; Sharpe, Leah; Oliver, Leah; McCaffrey, Kelly R.; Purucker, S. Thomas; Sinnathamby, Sumathy; Minucci, Jeffrey M.</t>
  </si>
  <si>
    <t>Ecological risk assessment; Listed species; Ecosystem services; Geographically isolated wetlands</t>
  </si>
  <si>
    <t>ECOLOGICAL RISK-ASSESSMENT; GEOGRAPHICALLY ISOLATED WETLANDS; MASS-BALANCE MODELS; VERNAL POOLS; ORGANIC-CHEMICALS; CENTRAL VALLEY; BIOACCUMULATION; FRAMEWORK; CONNECTIVITY; SENSITIVITY</t>
  </si>
  <si>
    <t>The protection of listed species through the Ecological Risk Assessment (ERA) process is encumbered by the number and diversity of species that need protection and the limited data available to inform assessments. Ecological communities within isolated ecosystems often contain a number of biologically diverse endemic, endangered, and threatened species, as well as providing numerous ecosystem services (ES). We propose an approach that develops community-level protection goals using isolated wetlands that includes both listed species and Service Providing Units (SPUs) that drive ES for ecological risk assessments (ERAs). Community-level protection goals are achieved by developing a protection community and weighing lines of evidence to determine a set of focal species within that community upon which to base the assessment. Lines of evidence include chemical mechanism of action, likely routes of exposure, and taxa susceptibility, as well as relationships among species, and other ecological factors. We demonstrate the process using case studies of chlorpyrifos in California vernal pools and coal ash effluent in Carolina bays. In the California vernal pool case study, listed species were the primary SPUs for the ES provided by the critical habitat. The weight of evidence demonstrated the honey bee as the focal species for the terrestrial environment and the vernal pool fairy shrimp as the focal species for the aquatic environment. The protection community within the Carolina bay case study was more taxonomically diverse than vernal pools for both listed species and SPUs, with amphibians identified as the focal species for which to target mitigation goals and hazard levels. The approach presented here will reduce the time and resource investment required for assessment of risk to listed species and adds an ES perspective to demonstrate value of assessments beyond listed species concerns. Published by Elsevier B.V.</t>
  </si>
  <si>
    <t>[Raimondo, Sandy; Sharpe, Leah; Oliver, Leah; McCaffrey, Kelly R.] US EPA, Off Res &amp; Dev, Natl Hlth &amp; Environm Effects Lab, Gulf Ecol Div, 1 Sabine Isl Dr, Gulf Breeze, FL 32561 USA; [Purucker, S. Thomas] US EPA, Off Res &amp; Dev, Natl Exposure Res Lab, Computat Exposure Div, 960 Coll Stn Rd, Athens, GA 30605 USA; [Sinnathamby, Sumathy; Minucci, Jeffrey M.] US EPA, Oak Ridge Inst Sci &amp; Educ, 960 Coll Stn Rd, Athens, GA 30605 USA</t>
  </si>
  <si>
    <t>United States Environmental Protection Agency; United States Environmental Protection Agency; United States Environmental Protection Agency; Oak Ridge Associated Universities; United States Department of Energy (DOE); Oak Ridge Institute for Science &amp; Education</t>
  </si>
  <si>
    <t>Raimondo, S (corresponding author), US EPA, Off Res &amp; Dev, Natl Hlth &amp; Environm Effects Lab, Gulf Ecol Div, 1 Sabine Isl Dr, Gulf Breeze, FL 32561 USA.</t>
  </si>
  <si>
    <t>Raimondo.sandy@epa.gov</t>
  </si>
  <si>
    <t>Sharpe, Leah/MTJ-4869-2025</t>
  </si>
  <si>
    <t>Sharpe, Leah/0000-0001-7802-377X; McCaffrey, Kelly/0000-0001-7705-5876; Minucci, Jeffrey/0000-0001-5571-2599</t>
  </si>
  <si>
    <t>USEPA</t>
  </si>
  <si>
    <t>USEPA(United States Environmental Protection Agency)</t>
  </si>
  <si>
    <t>We thank Tanja Crk and Elizabeth George for critical review of a draft of this manuscript. The views expressed in this paper are those of the authors and do not necessarily reflect the views or policies of the U.S. Environmental Protection Agency (EPA). This document has been reviewed by the USEPA Office of Research and Development and approved for publication. Any mention of trade names, products, or services does not imply an endorsement by the US Government or the USEPA. This research was funded by the USEPA. The authors declare no conflicts of interest.</t>
  </si>
  <si>
    <t>10.1016/j.scitotenv.2019.01.153</t>
  </si>
  <si>
    <t>HN0EP</t>
  </si>
  <si>
    <t>WOS:000459858500047</t>
  </si>
  <si>
    <t>Elleouet, J; Albouy, C; Lasram, FB; Mouillot, D; Leprieur, F</t>
  </si>
  <si>
    <t>Elleouet, J.; Albouy, C.; Lasram, F. Ben Rais; Mouillot, D.; Leprieur, F.</t>
  </si>
  <si>
    <t>A trait-based approach for assessing and mapping niche overlap between native and exotic species: the Mediterranean coastal fish fauna as a case study</t>
  </si>
  <si>
    <t>Biological invasions; coastal fishes; endemic species; exotic species; functional traits; Mediterranean Sea; niche overlap</t>
  </si>
  <si>
    <t>FUNCTIONAL DIVERSITY; CLIMATE-CHANGE; RED-SEA; BIODIVERSITY; COMMUNITY; INVASIONS; REVEALS; HISTORY; REEF</t>
  </si>
  <si>
    <t>AimWe propose a trait-based approach for assessing and mapping potential niche overlap between native and exotic species at large spatial scales. LocationThe Mediterranean Sea. MethodsWe developed two complementary indices based on ecological, biological and ecomorphological similarities between native and exotic species. The first index (FNNr) allows identifying areas where native species are the most at risk in terms of potential ecological interactions with exotic species. The second index (FGO) is species-specific and allows identifying native species that display the broadest functional niche overlap and range overlap with exotic species. We illustrated our approach using the Mediterranean coastal fish fauna as a case study. ResultsWe found that endemic and exotic fishes had a similar global functional niche at the Mediterranean scale, that is, they filled the same functional space defined by trait axes. FNNr hotspots were found to be moderately congruent with exotic species richness hotspots. Higher values of FNNr were observed along the coasts of the Levantine Sea. The computation of the FGO index showed that the geographical range of a given endemic species overlapped in average with 52 exotic species. Species showing the highest FGO values displayed localized and/or fragmented distributions in the eastern Mediterranean basin. Main conclusionsOur findings suggest that the number of exotic species alone cannot be used as a broad-scale indicator of potential impact because this metric does not account for functional relatedness between native and exotic species. The trait-based indices developed in this study can be used for other taxa in both aquatic and terrestrial ecosystems and should help environmental managers to set up local-scale studies on areas where the potential impact of exotic species on native biodiversity is the highest.</t>
  </si>
  <si>
    <t>[Elleouet, J.; Albouy, C.; Mouillot, D.; Leprieur, F.] ECOSYM Ecol Syst Marins Cotiers, CNRS, IRD, IFREMER,UM1,UM2,UMR 5119, F-34095 Montpellier 5, France; [Elleouet, J.] Univ British Columbia, Ctr Forest Conservat Genet, Vancouver, BC V6T 1Z4, Canada; [Albouy, C.] Univ Quebec, Dept Biol Chim &amp; Geog, Rimouski, PQ G5L 3A1, Canada; [Lasram, F. Ben Rais] Inst Natl Agron Tunisie, Lab Ecosyst &amp; Ressources Aquat UR03AGRO1, Tunis 1082, Tunisia</t>
  </si>
  <si>
    <t>Centre National de la Recherche Scientifique (CNRS); Ifremer; Universite de Montpellier; Institut de Recherche pour le Developpement (IRD); University of British Columbia; University of Quebec; Universite de Carthage</t>
  </si>
  <si>
    <t>Leprieur, F (corresponding author), ECOSYM Ecol Syst Marins Cotiers, CNRS, IRD, IFREMER,UM1,UM2,UMR 5119, Pl Eugene Bataillon, F-34095 Montpellier 5, France.</t>
  </si>
  <si>
    <t>fabien.leprieur@univ-montp2.fr</t>
  </si>
  <si>
    <t>; Mouillot, David/HCH-5670-2022; albouy, camille/H-9317-2012; Leprieur, Fabien/ABA-4433-2020</t>
  </si>
  <si>
    <t>Ben Rais Lasram, Frida/0000-0003-3327-908X;</t>
  </si>
  <si>
    <t>Fondation Total; Fondation pour la Recherche sur la Biodiversite (project BIODIVMED); MELS-FQRNT post-doctoral fellowship; Marie Curie International Outgoing Fellowship (FISHECO) [IOF-GA-2009-236316]</t>
  </si>
  <si>
    <t>Fondation Total; Fondation pour la Recherche sur la Biodiversite (project BIODIVMED); MELS-FQRNT post-doctoral fellowship; Marie Curie International Outgoing Fellowship (FISHECO)(European Union (EU))</t>
  </si>
  <si>
    <t>We are grateful to two anonymous referees for their comments and suggestions. This study was partly funded by the Fondation Total and the Fondation pour la Recherche sur la Biodiversite (project BIODIVMED). C.A. was supported by a MELS-FQRNT post-doctoral fellowship. D.M. was supported by a Marie Curie International Outgoing Fellowship (FISHECO) with agreement number IOF-GA-2009-236316.</t>
  </si>
  <si>
    <t>10.1111/ddi.12235</t>
  </si>
  <si>
    <t>AR9BF</t>
  </si>
  <si>
    <t>WOS:000343865200010</t>
  </si>
  <si>
    <t>Gunson, KE; Ireland, D; Schueler, F</t>
  </si>
  <si>
    <t>Gunson, Kari E.; Ireland, Dave; Schueler, Fred</t>
  </si>
  <si>
    <t>NORTH-WESTERN JOURNAL OF ZOOLOGY</t>
  </si>
  <si>
    <t>IENE International Conference on Ecology and Transportation - Improving Connections in a Changing Environment</t>
  </si>
  <si>
    <t>SEP 27-OCT 01, 2010</t>
  </si>
  <si>
    <t>Velence, HUNGARY</t>
  </si>
  <si>
    <t>IENE</t>
  </si>
  <si>
    <t>Ontario; herpetofauna; Geographic Information System tool; mitigation; prioritize; landscape</t>
  </si>
  <si>
    <t>HABITAT; WILDLIFE; FRAGMENTATION; CONSERVATION; TERRESTRIAL; AMPHIBIANS; LINKAGES; MODELS; BEAR</t>
  </si>
  <si>
    <t>Roads are more frequently fragmenting natural habitats increasing the likelihood of collisions between wildlife and vehicles. The Canada Species at Risk Act (2002) lists species that are threatened with regional extinction, and roads have been identified as a significant threat for many:of these wildlife species in Ontario, e.g. turtles. In response to negative road impacts on wildlife, we developed a GIS modeling tool that predicts high-risk road mortality locations for selected wetland-forest herpetofaunal species that are representative of the landscape. We obtained a habitat suitability index (sum of weighted habitat scores) within a 12.6 hectare buffer surrounding each 15 x 15 m pixel of road in the landscape. Validation of the final model with dead and alive on-road herpetofaunal data showed animals were more at risk of road mortality when roads bisected large areas of wetland-forest habitat. The tool has been effective to promote proactive mitigation planning within government transportation agencies at the municipal and provincial level. Future work will develop species-specific models that identify road mortality locations along roads that re-connect habitat from a local and metapopulation perspective. In addition, the models will be used to prioritize locations along roads for effective mitigation solutions, e.g. turtle crossing signs and wildlife crossing structures.</t>
  </si>
  <si>
    <t>[Gunson, Kari E.] Ecokare Int, Peterborough, ON K9H 4A3, Canada; [Ireland, Dave] Royal Ontario Museum, Ontario Rd Ecol Grp, Toronto, ON M5S 2C6, Canada; [Schueler, Fred] Bishops Mills Nat Hist Ctr, Ontario Rd Ecol Grp, Oxford Stn, ON K0G 1T0, Canada</t>
  </si>
  <si>
    <t>Royal Ontario Museum</t>
  </si>
  <si>
    <t>Gunson, KE (corresponding author), Ecokare Int, 644 Bethune St, Peterborough, ON K9H 4A3, Canada.</t>
  </si>
  <si>
    <t>kegunson@eco-kare.com; davei@rom.on.ca; bckcdb@istar.ca</t>
  </si>
  <si>
    <t>Gunson, Kari/I-7356-2019</t>
  </si>
  <si>
    <t>UNIV ORADEA PUBL HOUSE</t>
  </si>
  <si>
    <t>ORADEA</t>
  </si>
  <si>
    <t>UNIVERSITATII NR 1, ORADEA, 410087, ROMANIA</t>
  </si>
  <si>
    <t>1584-9074</t>
  </si>
  <si>
    <t>1842-6441</t>
  </si>
  <si>
    <t>NORTH-WEST J ZOOL</t>
  </si>
  <si>
    <t>North-West. J. Zool.</t>
  </si>
  <si>
    <t>073SV</t>
  </si>
  <si>
    <t>WOS:000313763700032</t>
  </si>
  <si>
    <t>Wittig, R; König, K; Schmidt, M; Szarzynski, J</t>
  </si>
  <si>
    <t>Wittig, Ruediger; Koenig, Konstantin; Schmidt, Marco; Szarzynski, Joerg</t>
  </si>
  <si>
    <t>ENVIRONMENTAL SCIENCE AND POLLUTION RESEARCH</t>
  </si>
  <si>
    <t>Acacia; Burkina Faso; land use; life form spectra; precipitation; sahelisation; Sudanian zone</t>
  </si>
  <si>
    <t>RAINFALL VARIABILITY; DROUGHT</t>
  </si>
  <si>
    <t>Background, Aim and Scope. During the last decades ecological conditions in West Africa have dramatically changed. Very evident is the climate change, which has resulted in a southward shift of the climate zones, e.g. a spread of the desert (Sahara) into the Sahelian zone. After the drought period of the early 1970s and 1980s, livestock density increased resulting in an intensification of grazing pressure. This anthropogenous phenomenon leads to similar landscape changes as those caused by the climate. Only very few investigations exist on vegetation dynamics, climate changes and land use changes for the Sudanian zone. The paper presents data on changes of precipitation, of land use, of the geographical range of species, and of the composition of the flora, which have to be regarded as proofs of the sahelisation of large areas of the Sudanian zone. Materials and Methods: Area of investigation: Burkina Faso. Precipitation data analysis: precipitation data from 67 stations; time series analysis and geo-statistical spatial interpolation. Analysis of land use change: Landsat satellite MSS and ETM+ data, acquired for two different dates between 1972 and 2001 analyzed by the software ERDAS/IMAGINE version 8.6 and ArcView 3.2 with the Spatial Analyst extension. Intensive ground truthing (160 training areas). Inventory of the flora: based on the data of the Herbarium Senckenbergianum (FR) in Frankfurt, Germany, and of the herbarium of the university of Ouagadougou (OUA), Burkina Faso, as well as on various investigations on the vegetation of Burkina Faso carried out in the years 1990 to 2005 by the team of the senior author. Life form analysis of the flora: based on the inventory of permanent plots. Results and Discussion: Precipitation: Remarkable latitudinal shift of isohyets towards the South translates to a general reduction of average rainfall in great parts of the country. The last decade (1990-1999) shows some improvement, however, the more humid conditions of the 1950's and 1960's are not yet established again. Landcover change: In the study region the extent of arable fields and young fallows increased during the last 30 years from 580 km(2) in 1972 to 2870 km(2) in 2001. This means an average land cover conversion rate of 0.9% per year for the 6 departments considered. Change of the distribution of Sahelian and Sudanian species: Several species, mentioned in older literature as strictly Sahelian, today also occur in the Sudanian zone. Parallel to the spread of former strictly Sahelian species into the Sudanian zone, some former Sahelo-Sudanian species have withdrawn from the Sahel. Changes of the life form spectra of the flora: Considering their life form spectra, the flora of heavily grazed and of protected areas in the Sudanian zone show great differences. On areas intensively grazed the percentage of therophytes is evidently higher than on protected areas. Just the opposite is true for the phanerophytes. Their percentage is higher on the protected area than on the grazed zones. At the first glance, it is obvious to link the changes in flora and vegetation with the climate changes that have occurred during the last five decades (decrease of annual precipitation). However, not only climatic conditions have changed, but also population has increased, the percentage of land intensively used for agriculture and pasturing has increased and the time for soil regeneration today is much shorter than it was some decades ago. Thus, the landscape of the Sudanian zone has become a more Sahelian character. A comparison of the flora of an intensively used area of the Sudanian zone with that of a protected area shows a remarkable change in the life form spectra. The spectrum of the intensively used area is almost identical with that of the typical Sahelian flora. This comparison shows that the anthropogenic influence plays a greater role in the sahelisation of the Sudanian zone than the climate change. Conclusion. Climate change and anthropogenic influence both, lead to a sahelisation of landscape and flora. Thus in many parts of the Sudanian zone of West Africa sahelisation phenomena will remain and even increase independently from the reestablishment of the more humid climate conditions of the 1950ies. Recommendations and Perspectives. In order to maintain some parts of the characteristic Sudanian landscape with its characteristic flora and vegetation, the number and size of protected areas should be augmented. For all protected areas it has to be ensured, that protection is reality, i.e. respected an understood by local people, not only fiction. As long as the enlargement of intensively used areas continues the sahelisation of flora, vegetation and landscape will continue too.</t>
  </si>
  <si>
    <t>Goethe Univ Frankfurt, Inst Ecol Evolut &amp; Divers, D-60323 Frankfurt, Germany; Goethe Univ Frankfurt, Inst Phys Geog, D-60325 Frankfurt, Germany; Res Inst Senckenberg, D-60326 Frankfurt, Germany; ZEF, Ctr Dev Res, Div Ecol &amp; Nat Resources, D-53113 Bonn, Germany</t>
  </si>
  <si>
    <t>Goethe University Frankfurt; Goethe University Frankfurt; Leibniz Association; Senckenberg Gesellschaft fur Naturforschung (SGN); University of Bonn</t>
  </si>
  <si>
    <t>Wittig, R (corresponding author), Goethe Univ Frankfurt, Inst Ecol Evolut &amp; Divers, D-60323 Frankfurt, Germany.</t>
  </si>
  <si>
    <t>R.Wittig@em.uni-frankfurt.de</t>
  </si>
  <si>
    <t>Schmidt, Marco/C-3821-2009</t>
  </si>
  <si>
    <t>Schmidt, Marco/0000-0001-6087-6117</t>
  </si>
  <si>
    <t>0944-1344</t>
  </si>
  <si>
    <t>1614-7499</t>
  </si>
  <si>
    <t>ENVIRON SCI POLLUT R</t>
  </si>
  <si>
    <t>Environ. Sci. Pollut. Res.</t>
  </si>
  <si>
    <t>10.1065/espr2007.02.388</t>
  </si>
  <si>
    <t>168YK</t>
  </si>
  <si>
    <t>WOS:000246559700007</t>
  </si>
  <si>
    <t>Witt, MJ; Godley, BJ</t>
  </si>
  <si>
    <t>Witt, Matthew J.; Godley, Brendan J.</t>
  </si>
  <si>
    <t>A Step Towards Seascape Scale Conservation: Using Vessel Monitoring Systems (VMS) to Map Fishing Activity</t>
  </si>
  <si>
    <t>Background. Conservation of marine ecosystems will require a holistic understanding of fisheries with concurrent spatial patterns of biodiversity. Methodology/Principal Findings. Using data from the UK Government Vessel Monitoring System (VMS) deployed on UK-registered large fishing vessels we investigate patterns of fisheries activity on annual and seasonal scales. Analysis of VMS data shows that regions of the UK European continental shelf (i.e. Western Channel and Celtic Sea, Northern North Sea and the Goban Spur) receive consistently greater fisheries pressure than the rest of the UK continental shelf fishing zone. Conclusions/Significance. VMS provides a unique and independent method from which to derive patterns of spatially and temporally explicit fisheries activity. Such information may feed into ecosystem management plans seeking to achieve sustainable fisheries while minimising putative risk to non-target species (e.g. cetaceans, seabirds and elasmobranchs) and habitats of conservation concern. With multilateral collaboration VMS technologies may offer an important solution to quantifying and managing ecosystem disturbance, particularly on the high-seas.</t>
  </si>
  <si>
    <t>[Witt, Matthew J.; Godley, Brendan J.] Univ Exeter, Ctr Ecol &amp; Conservat, Penryn, Cornwall, England</t>
  </si>
  <si>
    <t>Godley, BJ (corresponding author), Univ Exeter, Ctr Ecol &amp; Conservat, Penryn, Cornwall, England.</t>
  </si>
  <si>
    <t>b.j.godley@ex.ac.uk</t>
  </si>
  <si>
    <t>godley, brendan/A-6139-2009; Witt, Matthew/V-3318-2018</t>
  </si>
  <si>
    <t>Natural Environment Research Council [NER/S/A/2004/12980]; European Social Fund</t>
  </si>
  <si>
    <t>Natural Environment Research Council(UK Research &amp; Innovation (UKRI)Natural Environment Research Council (NERC)); European Social Fund(European Social Fund (ESF))</t>
  </si>
  <si>
    <t>MJW is supported by a Natural Environment Research Council PhD studentship (NER/S/A/2004/12980) at the University of Exeter (Cornwall Campus). BJG receives funding from the European Social Fund.</t>
  </si>
  <si>
    <t>OCT 31</t>
  </si>
  <si>
    <t>e1111</t>
  </si>
  <si>
    <t>10.1371/journal.pone.0001111</t>
  </si>
  <si>
    <t>V10IW</t>
  </si>
  <si>
    <t>WOS:000207458700028</t>
  </si>
  <si>
    <t>Klarenberg, G; Muñoz-Carpena, R; Perz, S; Baraloto, C; Marsik, M; Southworth, J; Zhu, LK</t>
  </si>
  <si>
    <t>Klarenberg, Geraldine; Munoz-Carpena, Rafael; Perz, Stephen; Baraloto, Christopher; Marsik, Matthew; Southworth, Jane; Zhu, Likai</t>
  </si>
  <si>
    <t>SCIENTIFIC DATA</t>
  </si>
  <si>
    <t>Article; Data Paper</t>
  </si>
  <si>
    <t>TRI-NATIONAL FRONTIER; LAND-COVER CHANGE; TROPICAL FOREST; CLIMATE-CHANGE; RESILIENCE; DEFORESTATION; INFRASTRUCTURE; OSCILLATION; FEEDBACKS; FUTURE</t>
  </si>
  <si>
    <t>Road construction and paving bring socio-economic benefits to receiving regions but can also be drivers of deforestation and land cover change. Road infrastructure often increases migration and illegal economic activities, which in turn affect local hydrology, wildlife, vegetation structure and dynamics, and biodiversity. To evaluate the full breadth of impacts from a coupled natural-human systems perspective, information is needed over a sufficient timespan to include pre-and post-road paving conditions. In addition, the spatial scale should be appropriate to link local human activities and biophysical system components, while also allowing for upscaling to the regional scale. A database was developed for the tri-national frontier in the Southwestern Amazon, where the Inter-Oceanic Highway was constructed through an area of high biological value and cultural diversity. Extensive socio-economic surveys and botanical field work are combined with remote sensing and reanalysis data to provide a rich and unique database, suitable for coupled natural-human systems research.</t>
  </si>
  <si>
    <t>[Klarenberg, Geraldine] Univ Florida, Dept Wildlife Ecol &amp; Conservat, Gainesville, FL USA; [Munoz-Carpena, Rafael] Univ Florida, Dept Agr &amp; Biol Engn, Gainesville, FL 32611 USA; [Perz, Stephen] Univ Florida, Dept Sociol &amp; Criminol &amp; Law, Gainesville, FL USA; [Baraloto, Christopher] Florida Int Univ, Dept Biol Sci, Int Ctr Trop Bot, Miami, FL 33199 USA; [Marsik, Matthew] Univ Florida, Integrated Data Repository Clin &amp; Translat Sci In, Gainesville, FL USA; [Marsik, Matthew] Univ Florida, UF Hlth, Gainesville, FL USA; [Southworth, Jane] Univ Florida, Dept Geog, Gainesville, FL 32611 USA; [Zhu, Likai] Linyi Univ, Coll Resources &amp; Environm, Shandong Prov Key Lab Water &amp; Soil Conservat &amp; En, Linyi, Shandong, Peoples R China</t>
  </si>
  <si>
    <t>State University System of Florida; University of Florida; State University System of Florida; University of Florida; State University System of Florida; University of Florida; State University System of Florida; Florida International University; State University System of Florida; University of Florida; State University System of Florida; University of Florida; State University System of Florida; University of Florida; Linyi University</t>
  </si>
  <si>
    <t>Muñoz-Carpena, R (corresponding author), Univ Florida, Dept Agr &amp; Biol Engn, Gainesville, FL 32611 USA.</t>
  </si>
  <si>
    <t>carpena@ufl.edu</t>
  </si>
  <si>
    <t>Baraloto, Christopher/ABG-2500-2020; Muñoz-Carpena, Rafael/A-7588-2010</t>
  </si>
  <si>
    <t>Baraloto, Christopher/0000-0001-7322-8581; Southworth, Jane/0000-0002-7246-7879; Muñoz-Carpena, Rafael/0000-0003-2838-1514; Klarenberg, Geraldine/0000-0001-7490-1571</t>
  </si>
  <si>
    <t>US National Science Foundation (NSF) Human and Social Dynamics Program [HSD 0527511]; Dynamics of Coupled Natural Human Systems Program [CNH 1114924]; 'Investissement d'avenir' grant from the Agence Nationale de la Recherche (CEBA) [ANR-10-LABX-25-01]; US Agency for International Development, Latin America and Caribbean program in Environment [RLA-A-00-06-00071-00, 512-A-00-08-00003-00]; US NSF CNH [1114924]; Working Forests in the Tropics Program at the University of Florida - National Science Foundation [DGE-0221599]; US NSF HSD grant [0527511]</t>
  </si>
  <si>
    <t>US National Science Foundation (NSF) Human and Social Dynamics Program(National Science Foundation (NSF)); Dynamics of Coupled Natural Human Systems Program; 'Investissement d'avenir' grant from the Agence Nationale de la Recherche (CEBA)(Agence Nationale de la Recherche (ANR)); US Agency for International Development, Latin America and Caribbean program in Environment(United States Agency for International Development (USAID)); US NSF CNH; Working Forests in the Tropics Program at the University of Florida - National Science Foundation; US NSF HSD grant</t>
  </si>
  <si>
    <t>These data collection and compilation efforts were funded by different grants over time. Collection of botanical data, remote sensing imagery and training sample, and human variables were supported by the US National Science Foundation (NSF) Human and Social Dynamics Program (HSD 0527511), and its Dynamics of Coupled Natural Human Systems Program (CNH 1114924). Botanical data collection also received support from the French agriculture ministry (MAAP BGF GuyaSpaSE project) and the the 'Investissement d'avenir' grant from the Agence Nationale de la Recherche (CEBA, ref. ANR-10-LABX-25-01). Funding for the collection of data on human variables also came from the US Agency for International Development, Latin America and Caribbean program in Environment, Cooperative Agreements RLA-A-00-06-00071-00 and 512-A-00-08-00003-00. The above US NSF CNH grant also funded compilation of data from reanalysis and MODIS products, station data, soil types and forest types (#1114924). Funding for the forest cover data generation was provided by the Working Forests in the Tropics Program at the University of Florida supported by the National Science Foundation (DGE-0221599) for fieldwork, and by the above-mentioned US NSF HSD grant (#0527511). Youliang Qiu, Yibin Xia and Jing Sun from the Department of Geography at the University of Florida provided help in obtaining shapefiles, precipitation station data and the Digital Elevation Map. We are grateful to Erin Bunting from the same department with assistance in obtaining fire data from MODIS. Matteo Convertino made species richness data available and Alexander Shenkin assisted with paving and travel time data processing.</t>
  </si>
  <si>
    <t>2052-4463</t>
  </si>
  <si>
    <t>SCI DATA</t>
  </si>
  <si>
    <t>Sci. Data</t>
  </si>
  <si>
    <t>JUN 17</t>
  </si>
  <si>
    <t>10.1038/s41597-019-0093-7</t>
  </si>
  <si>
    <t>IE5VP</t>
  </si>
  <si>
    <t>WOS:000472446000001</t>
  </si>
  <si>
    <t>Pennino, MG; Arcangeli, A; Fonseca, VP; Campana, I; Pierce, GJ; Rotta, A; Bellido, JM</t>
  </si>
  <si>
    <t>Grazia Pennino, Maria; Arcangeli, Antonella; Prado Fonseca, Vinicius; Campana, Ilaria; Pierce, Graham J.; Rotta, Andrea; Maria Bellido, Jose</t>
  </si>
  <si>
    <t>BOTTLE-NOSED DOLPHINS; FIN WHALES; HABITAT; ARCHIPELAGO; MODELS; HARBOR; SHIPS</t>
  </si>
  <si>
    <t>Spatially explicit risk assessment is an essential component of Marine Spatial Planning (MSP), which provides a comprehensive framework for managing multiple uses of the marine environment, minimizing environmental impacts and conflicts among users. In this study, we assessed the risk of the exposure to high intensity vessel traffic areas for the three most abundant cetacean species (Stenella coeruleoalba, Tursiops truncatus and Balaenoptera physalus) in the southern area of the Pelagos Sanctuary, which is the only pelagic Marine Protected Area (MPA) for marine mammals in the Mediterranean Sea. In particular, we modeled the occurrence of the three cetacean species as a function of habitat variables in June by using hierarchical Bayesian spatial-temporal models. Similarly, we modelled the marine traffic intensity in order to find high risk areas and estimated the potential conflict due to the overlap with the cetacean home ranges. Results identified two main hot-spots of high intensity marine traffic in the area, which partially overlap with the area of presence of the studied species. Our findings emphasize the need for nationally relevant and transboundary planning and management measures for these marine species.</t>
  </si>
  <si>
    <t>[Grazia Pennino, Maria; Prado Fonseca, Vinicius; Maria Bellido, Jose] Univ Valencia, Dept Estadist &amp; Invest Operat, Stat Modeling Ecol Grp, Valencia, Spain; [Grazia Pennino, Maria; Maria Bellido, Jose] Ctr Oceanog Murcia, Inst Espanol Oceanog, Murcia, Spain; [Arcangeli, Antonella] ISPRA Dept Nat Conservat, Rome, Italy; [Prado Fonseca, Vinicius] Univ Fed Rio Grande do Norte, Dept Ecol, Natal, RN, Brazil; [Campana, Ilaria] Tuscia Univ, Ichthyogen Expt Marine Ctr CISMAR, Dept Ecol &amp; Biol Sci, Viterbo, Italy; [Campana, Ilaria] Accademia Leviatano, Rome, Italy; [Pierce, Graham J.] Univ Aberdeen, Sch Biol Sci, Oceanlab, Newburgh, Aberdeen, Scotland; [Pierce, Graham J.] Univ Aveiro, Dept Biol, Aveiro, Portugal; [Pierce, Graham J.] Univ Aveiro, CESAM, Aveiro, Portugal; [Pierce, Graham J.] CSIC, Inst Invest Marinas, Vigo, Spain; [Rotta, Andrea] Univ Sassari, Dipartimento Med Vet, Sassari, Italy</t>
  </si>
  <si>
    <t>University of Valencia; Spanish Institute of Oceanography; Italian Institute for Environmental Protection &amp; Research (ISPRA); Universidade Federal do Rio Grande do Norte; Tuscia University; University of Aberdeen; Universidade de Aveiro; Universidade de Aveiro; Consejo Superior de Investigaciones Cientificas (CSIC); CSIC - Instituto de Investigaciones Marinas (IIM); University of Sassari</t>
  </si>
  <si>
    <t>Pennino, MG (corresponding author), Univ Valencia, Dept Estadist &amp; Invest Operat, Stat Modeling Ecol Grp, Valencia, Spain.;Pennino, MG (corresponding author), Ctr Oceanog Murcia, Inst Espanol Oceanog, Murcia, Spain.</t>
  </si>
  <si>
    <t>grazia.pennino@mu.ieo.es</t>
  </si>
  <si>
    <t>; Bellido-Millán, J.M./ABG-5128-2020; Arcangeli, Antonella/I-1209-2019; pennino, maria grazia/E-3454-2015; Pierce, Graham/A-5404-2018</t>
  </si>
  <si>
    <t>CAMPANA, ILARIA/0000-0003-0801-0927; Bellido-Millán, JM/0000-0002-6887-4391; Arcangeli, Antonella/0000-0003-2156-9987; pennino, maria grazia/0000-0002-7577-2617; Pierce, Graham/0000-0002-4744-4501; Rotta, Alexane/0000-0002-4406-2276</t>
  </si>
  <si>
    <t>Banco di Sardegna Foundation [BAN6077]</t>
  </si>
  <si>
    <t>Banco di Sardegna Foundation(Fondazione Banco di Sardegna)</t>
  </si>
  <si>
    <t>This work was supported by the Banco di Sardegna Foundation (BAN6077). The funder had no role instudy design, data collection and analysis, decision to publish, o rpreparation of the manuscript.</t>
  </si>
  <si>
    <t>e0179686</t>
  </si>
  <si>
    <t>10.1371/journal.pone.0179686</t>
  </si>
  <si>
    <t>EY7CO</t>
  </si>
  <si>
    <t>WOS:000404145100034</t>
  </si>
  <si>
    <t>Gimpel, A; Stelzenmüller, V; Cormier, R; Floeter, J; Temming, A</t>
  </si>
  <si>
    <t>Gimpel, Antje; Stelzenmueller, Vanessa; Cormier, Roland; Floeter, Jens; Temming, Axel</t>
  </si>
  <si>
    <t>Effects; Generalised additive models (GAM); German EEZ; Geographic information system (GIS); Marine spatial planning (MSP); Nursery grounds; Pleuronectes platessa; Risk assessment; Spatial management scenario</t>
  </si>
  <si>
    <t>AGGREGATE EXTRACTION; JUVENILE FLATFISH; IMPACT; MANAGEMENT; HABITATS; EXAMPLE; PLAICE</t>
  </si>
  <si>
    <t>An ecosystem approach to marine spatial planning (MSP) promotes sustainable development by organizing human activities in a geo-spatial and temporal context. (1) This study develops and tests a spatially explicit risk assessment to support MSP. Using the German exclusive economic zone (EEZ) of the North Sea as a case study area, current and future spatial management scenarios are assessed. (2) Different tools are linked in order to carry out a comprehensive spatial risk assessment of current and future spatial management scenarios for ecologic and economic ecosystem components, i.e. Pleuronectes platessa nursery grounds. With the identification of key inputs and outputs the suitability of each tool is tested. (3) Here, the procedure as well as the main findings of the spatially explicit risk approach are summarised to demonstrate the applicability of the framework and the need for an ecosystem approach to risk management techniques using geo-spatial tools. (c) 2013 Elsevier Ltd. All rights reserved.</t>
  </si>
  <si>
    <t>[Gimpel, Antje] Johann Heinrich von Thunen Inst TI, Fed Res Inst Rural Areas Forestry &amp; Fisheries, Inst Sea Fisheries, D-22767 Hamburg, Germany; [Stelzenmueller, Vanessa] TI Inst Sea Fisheries, D-22767 Hamburg, Germany; [Cormier, Roland] Dept Fisheries &amp; Oceans Canada, Moncton, NB E1C 9B6, Canada; [Floeter, Jens; Temming, Axel] Univ Hamburg, Inst Hydrobiol &amp; Fisheries Sci, D-22767 Hamburg, Germany</t>
  </si>
  <si>
    <t>Johann Heinrich von Thunen Institute; Fisheries &amp; Oceans Canada; University of Hamburg</t>
  </si>
  <si>
    <t>Gimpel, A (corresponding author), Johann Heinrich von Thunen Inst TI, Fed Res Inst Rural Areas Forestry &amp; Fisheries, Inst Sea Fisheries, Palmaille 9, D-22767 Hamburg, Germany.</t>
  </si>
  <si>
    <t>Antje.Gimpel@ti.bund.de; vanessa.stelzenmueller@ti.bund.de; Roland.Cormier@dfo-mpo.gc.ca; jfloeter@uni-hamburg.de; atemming@uni-hamburg.de</t>
  </si>
  <si>
    <t>Stelzenmüller, Vanessa/0000-0002-6419-8357; Cormier, Roland/0000-0002-1186-4766</t>
  </si>
  <si>
    <t>University of Hamburg; TI SF; ICES</t>
  </si>
  <si>
    <t>Furthermore, we would like to thank the University of Hamburg, TI SF and ICES for the provision of funding for this study. The data were provided by the TI SF and BSH, Hamburg, Germany in raw, uninterpreted form.</t>
  </si>
  <si>
    <t>10.1016/j.marenvres.2013.02.013</t>
  </si>
  <si>
    <t>133KY</t>
  </si>
  <si>
    <t>WOS:000318138500007</t>
  </si>
  <si>
    <t>Bedrosian, G; Carlisle, JD; Woodbridge, B; Dunk, JR; Wallace, ZP; Dwyer, JF; Harness, RE; Mojica, EK; Williams, GE; Jones, T</t>
  </si>
  <si>
    <t>Bedrosian, Geoffrey; Carlisle, Jason D.; Woodbridge, Brian; Dunk, Jeffrey R.; Wallace, Zach P.; Dwyer, James F.; Harness, Richard E.; Mojica, Elizabeth K.; Williams, Gary E.; Jones, Tracy</t>
  </si>
  <si>
    <t>A SPATIALLY EXPLICIT MODEL TO PREDICT THE RELATIVE RISK OF GOLDEN EAGLE ELECTROCUTIONS IN THE NORTHWESTERN PLAINS, USA</t>
  </si>
  <si>
    <t>JOURNAL OF RAPTOR RESEARCH</t>
  </si>
  <si>
    <t>Golden Eagle; Aquila chrysaetos; power pole; prediction; raptor electrocution; risk analysis; spatially explicit model</t>
  </si>
  <si>
    <t>SELECTION; UTILITY; AREAS; HABITAT; RATES</t>
  </si>
  <si>
    <t>Electrocution of Golden Eagles (Aquila chrysaetos) on overhead power poles is a conservation concern in the western United States. The US Fish and Wildlife Service recommends retrofitting power poles to minimize electrocution risk as one mechanism for compensatory mitigation to offset permitted take for Golden Eagles. Because densities of Golden Eagles and power poles vary spatially, identifying where poles should be retrofitted to best meet compensatory mitigation goals is of conservation importance. We developed a model that predicts relative risk of eagle electrocution based on the overlap between spatial models of Golden Eagle nest-site density and power pole density within the Northwestern Plains ecoregion. Risk was unevenly distributed: areas with the highest electrocution risk were rare (1.1% by area), while lowest risk areas were common (53.6% by area). We tested model predictions with independent data consisting of locations of Golden Eagle electrocution mortalities (n = 342). Mortalities were distributed among six risk classes proportional to model predictions, with 87.7% of mortalities occurring in the top three risk categories. Prioritizing pole retrofitting in the highest-risk areas could prevent &gt;3 x the electrocutions expected by selecting areas at random and would be 89 x more effective than retrofitting in the lowest risk areas. Our risk model offers a consistent method to spatially prioritize retrofitting to increase effectiveness of electrocution reduction for Golden Eagle conservation and provides an efficient approach for utilities. This method of quantifying spatial overlap between indices of exposure and hazard is repeatable and accurate, and can be adapted to various forms of data whenever quantification and visualization of spatial prioritization is desired.</t>
  </si>
  <si>
    <t>[Bedrosian, Geoffrey] US Fish &amp; Wildlife Serv, Denver Fed Ctr, POB 25486, Denver, CO 80225 USA; [Carlisle, Jason D.] Western EcoSyst Technol Inc, 1610 East Reynolds St, Laramie, WY 82072 USA; [Woodbridge, Brian] US Fish &amp; Wildlife Serv, POB 2530, Corvallis, OR 97339 USA; [Dunk, Jeffrey R.] Humboldt State Univ, Dept Environm Sci &amp; Management, Arcata, CA 95521 USA; [Wallace, Zach P.] Univ Wyoming, Wyoming Nat Divers Database, Dept 3381,1000 East Univ Ave, Laramie, WY 82071 USA; [Dwyer, James F.; Harness, Richard E.; Mojica, Elizabeth K.] EDM Int, 4001 Automat Way, Ft Collins, CO 80525 USA; [Williams, Gary E.] US Fish &amp; Wildlife Serv, 5353 Yellowstone Rd,Suite 308A, Cheyenne, WY 82009 USA; [Jones, Tracy] Powder River Energy Corp, 221 Main St, Sundance, WY 82729 USA</t>
  </si>
  <si>
    <t>United States Department of the Interior; US Fish &amp; Wildlife Service; Western EcoSystems Technology, Inc.; United States Department of the Interior; US Fish &amp; Wildlife Service; California State University System; California State Polytechnic University, Humboldt; University of Wyoming; United States Department of the Interior; US Fish &amp; Wildlife Service</t>
  </si>
  <si>
    <t>Bedrosian, G (corresponding author), US Fish &amp; Wildlife Serv, Denver Fed Ctr, POB 25486, Denver, CO 80225 USA.</t>
  </si>
  <si>
    <t>geoffrey_bedrosian@fws.gov</t>
  </si>
  <si>
    <t>US Fish and Wildlife Service Western Golden Eagle Team; EDM International, Inc.; Western EcoSystems Technology, Inc.; US Fish and Wildlife Service [F17AC00995]</t>
  </si>
  <si>
    <t>US Fish and Wildlife Service Western Golden Eagle Team; EDM International, Inc.; Western EcoSystems Technology, Inc.; US Fish and Wildlife Service(US Fish &amp; Wildlife Service)</t>
  </si>
  <si>
    <t>The US Fish and Wildlife Service Western Golden Eagle Team, EDM International, Inc., and Western EcoSystems Technology, Inc. provided financial support of this work. Funding for JRD was provided by the US Fish and Wildlife Service (agreement F17AC00995). Powder River Energy Corporation, Operations and Environmental staff collected Golden Eagle electrocution mortality data. Bryan E. Bedrosian, Trent L. McDonald, and Jason D. Tack contributed ideas in related cooperative projects that were influential in the development of this project. David W. LaPlante and Todd M. Lickfett provided geospatial support. Reviews were provided by Brian A. Millsap, Juan M. Pe ' rez-Garc ' ia, two anonymous reviewers, and Associate Editor Steven J. Slater. The findings and conclusions in this article are those of the authors and do not necessarily represent the views of the US Fish and Wildlife Service.</t>
  </si>
  <si>
    <t>RAPTOR RESEARCH FOUNDATION INC</t>
  </si>
  <si>
    <t>Topeka</t>
  </si>
  <si>
    <t>P.O. Box 4444, Topeka, KS 66604, UNITED STATES</t>
  </si>
  <si>
    <t>0892-1016</t>
  </si>
  <si>
    <t>2162-4569</t>
  </si>
  <si>
    <t>J RAPTOR RES</t>
  </si>
  <si>
    <t>J. Raptor Res.</t>
  </si>
  <si>
    <t>10.3356/0892-1016-54.2.110</t>
  </si>
  <si>
    <t>LT4DI</t>
  </si>
  <si>
    <t>WOS:000537022100003</t>
  </si>
  <si>
    <t>Silva, JP; Palmeirim, JM; Alcazar, R; Correia, R; Delgado, A; Moreira, F</t>
  </si>
  <si>
    <t>Silva, Joao Paulo; Palmeirim, Jorge Manuel; Alcazar, Rita; Correia, Ricardo; Delgado, Ana; Moreira, Francisco</t>
  </si>
  <si>
    <t>Tetrax tetrax; Collision-prone species; Flight length; Flight height; Species distribution modelling; Collision risk maps</t>
  </si>
  <si>
    <t>TETRAX-TETRAX; HABITAT SELECTION; MORTALITY</t>
  </si>
  <si>
    <t>Collisions between birds and overhead power lines are an important cause of human-induced mortality. Mapping collision risk is an important prerequisite to minimise the negative impact of these structures on bird populations, particularly for species of high conservation concern and that are prone to collision. We mapped and modelled power line collision risk of a threatened and collision-prone species, the little bustard (Tetrax tetrax), based on three types of information: (i) the average daily distance flown by an individual, calculated from a satellite-telemetry study; (ii) the average percentage of flight movements at phase-conductor or shield-wire height, based on field focal observations; and (iii) a habitat suitability map for three different seasons (breeding, post-breeding and winter), modelled from an independent dataset of a nationwide population survey. An overall spatially explicit collision risk map was generated and validated with an independent mortality dataset derived from monitoring bird casualties in a sample of power lines. Collision risk of little bustards varied significantly both spatially and temporally. Compared to post-breeding and winter, little bustards moved smaller distances and flew at lower risk height during the breeding season, therefore minimising collision risk. The overall collision risk map contributed with relevant information to predict the likelihood of mortality events in a set of sampled power line sections. The described approach can be extended to transmission power lines, as well as to other bird species. (C) 2013 Elsevier Ltd. All rights reserved.</t>
  </si>
  <si>
    <t>[Silva, Joao Paulo; Delgado, Ana; Moreira, Francisco] Univ Lisbon, Ctr Appl Ecol Prof Baeta Neves InBIO, Inst Agron, P-1349017 Lisbon, Portugal; [Silva, Joao Paulo; Palmeirim, Jorge Manuel; Correia, Ricardo] Univ Lisbon, Fac Sci, Ctr Environm Biol, P-1749016 Lisbon, Portugal; [Alcazar, Rita] League Protect Nat, P-1500124 Lisbon, Portugal</t>
  </si>
  <si>
    <t>Universidade de Lisboa; Universidade de Lisboa</t>
  </si>
  <si>
    <t>Silva, JP (corresponding author), Univ Lisbon, Ctr Appl Ecol Prof Baeta Neves, Inst Agron, P-1349017 Lisbon, Portugal.</t>
  </si>
  <si>
    <t>silvaj@sapo.pt; palmeirim@fc.ul.pt; rita.alcazar@lpn.pt; rahc85@gmail.com; anamardelgado@gmail.com; fmoreira@isa.ulisboa.pt</t>
  </si>
  <si>
    <t>Silva, João Paulo/L-6745-2013; Moreira, Francisco/B-2873-2008; Correia, Ricardo/G-9427-2016; Palmeirim, Jorge/A-1323-2014</t>
  </si>
  <si>
    <t>Silva, João Paulo/0000-0002-1956-5779; Moreira, Francisco/0000-0003-4393-8018; Correia, Ricardo/0000-0001-7359-9091; Palmeirim, Jorge/0000-0003-4734-8162; Delgado, ana/0000-0002-0275-8734</t>
  </si>
  <si>
    <t>Fundacao para a Ciencia e Tecnologia [SFRH/BPD/72311/2010]; EDP S.A. Fundacao para a Biodiversidade; Fundação para a Ciência e a Tecnologia [SFRH/BPD/72311/2010] Funding Source: FCT</t>
  </si>
  <si>
    <t>Fundacao para a Ciencia e Tecnologia(Fundacao para a Ciencia e a Tecnologia (FCT)); EDP S.A. Fundacao para a Biodiversidade; Fundação para a Ciência e a Tecnologia</t>
  </si>
  <si>
    <t>Sociedade Portuguesa para o Estudo das Aves (SPEA) and Quercus Associacao Nacional de Conservacao da Natureza kindly provided the mortality data used to validate the method, and Instituto para a Conservacao da Natureza e Biodiversidade and SPEA the little bustard survey data. We are grateful to Andreia Santos, Beatriz Estanque and Rui Constantino for assisting with field work. J.P.S. was funded by Grant SFRH/BPD/72311/2010 from Fundacao para a Ciencia e Tecnologia. EDP S.A. Fundacao para a Biodiversidade funded the satellite tracking program.</t>
  </si>
  <si>
    <t>10.1016/j.biocon.2013.12.026</t>
  </si>
  <si>
    <t>WOS:000333774500029</t>
  </si>
  <si>
    <t>Muñoz, M; Reul, A; de Sola, LG; Lauerburg, RAM; Tello, O; Gimpel, A; Stelzenmüller, V</t>
  </si>
  <si>
    <t>Munoz, M.; Reul, A.; Gil de Sola, L.; Lauerburg, R. A. M.; Tello, O.; Gimpel, A.; Stelzenmueller, V.</t>
  </si>
  <si>
    <t>Risk assessment; Nursery area; Hake; Marine spatial planning; Vulnerability; Trawling; Mediterranean sea</t>
  </si>
  <si>
    <t>OFFSHORE WIND FARMS; CO-LOCATION; MANAGEMENT; FRAMEWORK; FISHERIES; IMPACTS; ASSEMBLAGES; WATERS; GULF</t>
  </si>
  <si>
    <t>Europe's Blue Growth strategy promotes the intensification of human activities at sea and increases the environmental risk such as the decline of the provision of key ecosystem services and potential conflicts among human activities. The fishing sector, in the Alboran Sea, is economically and culturally one of the most important and relies on overexploited target species such as European hake (Merlucius merlucius). Here we identified and quantified the impact of human pressures on the capacity of marine habitats to support the provision of food as an important ecosystem service. We modelled the spatial distribution of nursery areas of European hake in the Alboran Sea, using General Additive Models (GAM) and overlaid those with European Nature Information System (EUNIS) habitats. A sensitivity analysis of hake nursery areas to cumulative human impacts identified the Bay of Malaga as the most sensitive area with trawling frequencies up to 60 times higher than the habitats recovery time. Further, we identified an increased conflict potential among human activities such as trawling and extraction with the presence of Marine Protected Areas (MPAs), which provide MPAs a high vulnerability similar to that found in unprotected areas. Future scenarios considering the increase of renewable energy and alternative food production show conflicts between aquaculture and MPAs as well as offshore wind farms and offshore shipping. Hence, our results show strong arguments for an integrated spatial management approach, including benthic trawling. We also suggest restricting trawling activities inside MPAs to safeguard the habitats capacity to support ecosystem services. Our spatially explicit assessment framework is transparent and transferable to other Mediterranean regions. Thus, it can function as a model on how to incorporate cumulative effect assessments in marine spatial planning processes.</t>
  </si>
  <si>
    <t>[Munoz, M.; Reul, A.] Univ Malaga, Andalucia Tech, Dept Ecol &amp; Geol, Campus Teatinos S-N, E-29071 Malaga, Spain; [Gil de Sola, L.] Ctr Oceanog Malaga, Inst Espanol Oceanog, Puerto Pesquero S-N, Malaga 29640, Spain; [Lauerburg, R. A. M.] Univ Hamburg, Inst Marine Ecosyst &amp; Fishery Sci, Olbersweg 24, D-22767 Hamburg, Germany; [Tello, O.] Inst Espanol Oceanog, Sede Cent Madrid, Calle Corazon Maria 8, Madrid 28002, Spain; [Gimpel, A.; Stelzenmueller, V.] Thunen Inst Sea Fisheries, Herwigstr 31, D-27572 Bremerhaven, Germany</t>
  </si>
  <si>
    <t>Universidad de Malaga; Spanish Institute of Oceanography; University of Hamburg; Spanish Institute of Oceanography; Johann Heinrich von Thunen Institute</t>
  </si>
  <si>
    <t>Muñoz, M (corresponding author), Univ Malaga, Andalucia Tech, Dept Ecol &amp; Geol, Campus Teatinos S-N, E-29071 Malaga, Spain.</t>
  </si>
  <si>
    <t>mariamunoz@uma.es</t>
  </si>
  <si>
    <t>Reul, Aneas/L-7291-2014; Gil de Sola, Luis/ABE-6143-2020; Muñoz Muñoz, Maria/AAK-1972-2021</t>
  </si>
  <si>
    <t>Reul, Aneas/0000-0002-1951-8948; Gil de Sola, Luis/0000-0003-1987-9716; Stelzenmüller, Vanessa/0000-0002-6419-8357; Muñoz Muñoz, Maria/0000-0003-3805-2108</t>
  </si>
  <si>
    <t>10.1016/j.marenvres.2018.10.008</t>
  </si>
  <si>
    <t>HE0FZ</t>
  </si>
  <si>
    <t>WOS:000452943500021</t>
  </si>
  <si>
    <t>Mora, F</t>
  </si>
  <si>
    <t>Mora, Franz</t>
  </si>
  <si>
    <t>Anthropogenic impacts; Ecological integrity; Spatial indicators; Apex predators; Impact assessment</t>
  </si>
  <si>
    <t>HABITAT LOSS; DISCRETIZATION METHODS; BIOLOGICAL INTEGRITY; ECOSYSTEM INTEGRITY; BAYESIAN NETWORKS; SELF-ORGANIZATION; APEX-PREDATORS; TOP PREDATORS; CONSERVATION; BIODIVERSITY</t>
  </si>
  <si>
    <t>BackgroundThis paper presents several spatial indicators developed to evaluate anthropogenic impacts on predator-prey interactions and their relationship with ecological integrity loss in Mexico. Ecological integrity loss is defined as the inability to sustain viable populations, habitat functions, and species interactions of Nearctic and Neotropical apex predators as a result of anthropogenic effects. As direct impacts, the indicators evaluate habitat loss and the number of inhospitable habitats. As indirect impacts, the indicators evaluate the avoidance of human features such as highways, roads, and human locations. The total impact level is described at 1km(2) resolution, and registered within the domain defined by the spatial habitat requirements of apex predators. The impact level is associated with ecological integrity loss, or the ecosystem capacity to reorganize habitat functions and sustain predator-prey interactions as the most visible elements of ecological integrity. Ecological integrity loss is evaluated for different groups of apex predators that are classified with different levels of anthropogenic threat.ResultsThe framework presented here identifies the spatial information needed for the assessment of cumulative anthropogenic impacts. By characterizing their distribution range, Nearctic predators have significantly larger intact habitats than neotropical predators but with higher ecological degradation, less landscape transformation, and overall less ecological integrity. As observed within their distribution areas, indirect impacts have a generalized effect in the broad range of landscapes in Mexico. Ecological integrity loss is the result of road, highway, and human settlement avoidance; but landscape transformation and human activity control the threshold for which ecological integrity loss becomes critical. On the other hand, there are no significant differences in impact levels among threat conservation categories for apex predators, which indicate that all predator species have the same threat level and should be all included in protection efforts.ConclusionsWith the application of this spatial framework, the significance, scale, and baseline conditions can be established for evaluating anthropogenic impacts on ecological integrity. The analysis of the current condition shows the status for apex predator in the country, and identifies the ecological integrity threshold when human activities have severe to highly severe impacts in the landscape, threatening the viability of populations and their habitat.</t>
  </si>
  <si>
    <t>[Mora, Franz] Comis Nacl Conocimiento &amp; Uso Biodiversidad CONAB, Coordinac Sistema Informac Espacial Soporte Decis, Liga Perifer Insurgentes Sur 4903, Col Parques Del Pedregal 14010, Delegacion Tlal, Mexico</t>
  </si>
  <si>
    <t>Mora, F (corresponding author), Comis Nacl Conocimiento &amp; Uso Biodiversidad CONAB, Coordinac Sistema Informac Espacial Soporte Decis, Liga Perifer Insurgentes Sur 4903, Col Parques Del Pedregal 14010, Delegacion Tlal, Mexico.</t>
  </si>
  <si>
    <t>fmora@conabio.gob.mx</t>
  </si>
  <si>
    <t>Comision Nacional para la Conservacion y Uso de la Biodiversidad, Mexico</t>
  </si>
  <si>
    <t>This study was funded by Comision Nacional para la Conservacion y Uso de la Biodiversidad, Mexico, as a part of its yearly operational program.</t>
  </si>
  <si>
    <t>NOV 6</t>
  </si>
  <si>
    <t>10.1186/s13717-018-0146-4</t>
  </si>
  <si>
    <t>GZ4OZ</t>
  </si>
  <si>
    <t>WOS:000449377400001</t>
  </si>
  <si>
    <t>Grech, A; Marsh, H; Coles, R</t>
  </si>
  <si>
    <t>Grech, A.; Marsh, H.; Coles, R.</t>
  </si>
  <si>
    <t>bycatch; netting; spatial risk assessment; marine mammals; dugong; dugong dugon; GBRWHA</t>
  </si>
  <si>
    <t>GREAT-BARRIER-REEF; DUGONGS; ABUNDANCE; PARK; CONSERVATION; MANAGEMENT; AUSTRALIA; MEGAFAUNA; MORTALITY; FISHERIES</t>
  </si>
  <si>
    <t>1. Several species of marine mammals are at risk of extinction from being captured as bycatch in commercial fisheries. Various approaches have been developed and implemented to address this bycatch problem, including devices and gear changes, time and area closures and fisheries moratoria. Most of these solutions are difficult to implement effectively, especially for artisanal fisheries in developing countries and remote regions. 2. Re-zoning of the Great Barrier Reef World Heritage Area (GBRWHA) in 2004 closed 33% of the region to extractive activities. including commercial fishing. However, the impact of re-zoning and the associated industry restructuring on a threatened marine mammal, the dugong (Dugong dugon), is difficult to quantify. Accurate information on dugong bycatch in commercial nets is unavailable because of the large geographic extent of the GBRWHA, the remoteness of the region adjacent to the Cape York Peninsula where most dugongs occur and the artisanal nature of the fishery. 3. In the face of this uncertainty, a spatial risk-assessment approach was used to evaluate the re-zoning and associated industry restructuring for their ability to reduce the risk of dugong bycatch from commercial fisheries netting. 4. The new zoning arrangements appreciably reduced the risk of dugong bycatch by reducing the total area where commercial netting is permitted. Netting is currently not permitted in 67% of dugong habitats of high conservation value, a 56% improvement over the former arrangements. Re-zoning and industry restructuring also contributed to a 22% decline in the spatial extent of conducted netting. 5. Spatial risk assessment approaches that evaluate the risk of mobile marine mammals from bycatch are applicable to other situations where there is limited information on the location and intensity of bycatch, including remote regions and developing countries where resources are limited. Copyright (c) 2008 John Wiley &amp; Sons, Ltd.</t>
  </si>
  <si>
    <t>[Grech, A.; Marsh, H.] James Cook Univ, Sch Earth &amp; Environm Sci, Townsville, Qld 4811, Australia; [Grech, A.; Marsh, H.; Coles, R.] Reef &amp; Rainforest Res Ctr, Townsville, Qld 4810, Australia; [Coles, R.] Queensland Dept Primary Ind &amp; Fisheries, Cairns, Qld 4870, Australia</t>
  </si>
  <si>
    <t>James Cook University; Queensland Department of Agriculture &amp; Fisheries</t>
  </si>
  <si>
    <t>; Coles, Robert/O-5638-2014; Grech, Alana/U-7776-2019</t>
  </si>
  <si>
    <t>Marsh, Helene/0000-0003-3492-4992; Coles, Robert/0000-0002-3192-3778; Grech, Alana/0000-0003-4117-3779</t>
  </si>
  <si>
    <t>Queensland Government; Smart State Program; School of Earth and Environmental Sciences, James Cook University; CRC Reef Research Centre; Marine and Tropical Scientific Research Facility; Royal Zoological Society of New South Wales</t>
  </si>
  <si>
    <t>Queensland Government; Smart State Program; School of Earth and Environmental Sciences, James Cook University; CRC Reef Research Centre(Australian GovernmentDepartment of Industry, Innovation and ScienceCooperative Research Centres (CRC) Programme); Marine and Tropical Scientific Research Facility; Royal Zoological Society of New South Wales</t>
  </si>
  <si>
    <t>Funding was provided in part by the Queensland Government Growing the Smart State Program; School of Earth and Environmental Sciences, James Cook University; CRC Reef Research Centre; Marine and Tropical Scientific Research Facility; the Royal Zoological Society of New South Wales and an anonymous donor. We appreciate comments from our colleagues at GBRMPA and Queensland Department of Primary Industries and Fisheries oil this manuscript. Thanks also to Stephen Sutton of James Cook University for his advice. Spatial information was generously supplied by the Queensland Department of Primary Industries and Fisheries, Great Barrier Reef Marine Park Authority, James Cook</t>
  </si>
  <si>
    <t>JOHN WILEY &amp; SONS LTD</t>
  </si>
  <si>
    <t>CHICHESTER</t>
  </si>
  <si>
    <t>THE ATRIUM, SOUTHERN GATE, CHICHESTER PO19 8SQ, W SUSSEX, ENGLAND</t>
  </si>
  <si>
    <t>10.1002/aqc.943</t>
  </si>
  <si>
    <t>382BY</t>
  </si>
  <si>
    <t>WOS:000261581200005</t>
  </si>
  <si>
    <t>Duvall, SE; Barron, MG</t>
  </si>
  <si>
    <t>A screening level probabilistic risk assessment of mercury in Florida everglades food webs</t>
  </si>
  <si>
    <t>ECOTOXICOLOGY AND ENVIRONMENTAL SAFETY</t>
  </si>
  <si>
    <t>methylmercury; exposure; toxicity; wildlife; ecological risks; Everglades; food web</t>
  </si>
  <si>
    <t>BASS MICROPTERUS-SALMOIDES; METHYL MERCURY; SOUTHERN FLORIDA; WADING BIRDS; ARDEA-ALBUS; METHYLMERCURY; NESTLINGS; ECOSYSTEM; EXPOSURE</t>
  </si>
  <si>
    <t>A screening level probabilistic assessment of risks nas performed on three species of piscivorous wildlife at the top of Everglades aquatic food webs: the American alligator (Alligator mississippiensis), the great egret (Egretta alba), and the raccoon (Procyon lotor varius). Ranges of dietary exposure concentrations land probability distribution functions) were derived for two general areas of the Everglades: Shark Slough and the southcentral Everglades (highly contaminated with Hg), and the northern Everglades (a lower Hg contaminated area in and near Water Conservation Area 1), Ranges of toxicity reference values and probability distribution functions were derived from literature on the toxicity of dietary methyl Hg to birds and mammals. Probability distributions of risk estimates for each receptor were generated using Monte Carlo simulations and indicated that piscivorous wildlife feeding in the south-central region of the Everglades are at high risk from consumption of Hg-contaminated prey. Alligators had 100% exceedences of chronic risk thresholds, and great egrets had 99% exceedences. in the northern Everglades, exceedences of chronic risk thresholds were substantially lower but were still present (6-34% exceedences). Results support previous studies suggesting that top predators of the Everglades may be at risk from Hg contamination and indicate that Hg risks are location-dependent. (C) 2000 Academic Press</t>
  </si>
  <si>
    <t>Univ Colorado, Environm Studies Program, Boulder, CO 80309 USA; PEAK Res, Longmont, CO 80501 USA</t>
  </si>
  <si>
    <t>University of Colorado System; University of Colorado Boulder</t>
  </si>
  <si>
    <t>Barron, MG (corresponding author), Univ Colorado, Environm Studies Program, Boulder, CO 80309 USA.</t>
  </si>
  <si>
    <t>ACADEMIC PRESS INC</t>
  </si>
  <si>
    <t>SAN DIEGO</t>
  </si>
  <si>
    <t>525 B ST, STE 1900, SAN DIEGO, CA 92101-4495 USA</t>
  </si>
  <si>
    <t>0147-6513</t>
  </si>
  <si>
    <t>ECOTOX ENVIRON SAFE</t>
  </si>
  <si>
    <t>Ecotox. Environ. Safe.</t>
  </si>
  <si>
    <t>10.1006/eesa.2000.1949</t>
  </si>
  <si>
    <t>Environmental Sciences; Toxicology</t>
  </si>
  <si>
    <t>374RT</t>
  </si>
  <si>
    <t>WOS:000165358700011</t>
  </si>
  <si>
    <t>Alvarez-Filip, L; Estrada-Saldívar, NA; Pérez-Cervantes, E; Molina-Hernández, A; González-Barrios, FJ</t>
  </si>
  <si>
    <t>Alvarez-Filip, Lorenzo; Estrada-Saldivar, Nuria A.; Perez-Cervantes, Esmeralda; Molina-Hernandez, Ana; Javier Gonzalez-Barrios, F.</t>
  </si>
  <si>
    <t>White plague; Coral mortality; Disease prevalence; Reef monitoring; Long-term data; Reef functioning; White syndrome; SCTLD</t>
  </si>
  <si>
    <t>WHITE-BAND DISEASE; NUTRIENT ENRICHMENT; ELKHORN CORAL; REEFS; PREVALENCE; SEVERITY; IMPACTS; POX</t>
  </si>
  <si>
    <t>Caribbean reef corals have experienced unprecedented declines from climate change, anthropogenic stressors and infectious diseases in recent decades. Since 2014, a highly lethal, new disease, called stony coral tissue loss disease, has impacted many reef-coral species in Florida. During the summer of 2018, we noticed an anomalously high disease prevalence affecting different coral species in the northern portion of the Mexican Caribbean. We assessed the severity of this outbreak in 2018/2019 using the AGRRA coral protocol to survey 82 reef sites across the Mexican Caribbean. Then, using a subset of 14 sites, we detailed information from before the outbreak (2016/2017) to explore the consequences of the disease on the condition and composition of coral communities. Our findings show that the disease outbreak has already spread across the entire region by affecting similar species (with similar disease patterns) to those previously described for Florida. However, we observed a great variability in prevalence and tissue mortality that was not attributable to any geographical gradient. Using long-term data, we determined that there is no evidence of such high coral disease prevalence anywhere in the region before 2018, which suggests that the entire Mexican Caribbean was afflicted by the disease within a few months. The analysis of sites that contained pre-outbreak information showed that this event considerably increased coral mortality and severely changed the structure of coral communities in the region. Given the high prevalence and lethality of this disease, and the high number of susceptible species, we encourage reef researchers, managers and stakeholders across the Western Atlantic to accord it the highest priority for the near future.</t>
  </si>
  <si>
    <t>[Alvarez-Filip, Lorenzo; Estrada-Saldivar, Nuria A.; Perez-Cervantes, Esmeralda; Molina-Hernandez, Ana; Javier Gonzalez-Barrios, F.] Univ Nacl Autonoma Mexico, Biodivers &amp; Reef Conservat Lab, Unidad Acad Sistemas Arrecifales, Inst Ciencias Mary &amp; Limnol, Puerto Morelos, Quintana Roo, Mexico</t>
  </si>
  <si>
    <t>Universidad Nacional Autonoma de Mexico</t>
  </si>
  <si>
    <t>Alvarez-Filip, L (corresponding author), Univ Nacl Autonoma Mexico, Biodivers &amp; Reef Conservat Lab, Unidad Acad Sistemas Arrecifales, Inst Ciencias Mary &amp; Limnol, Puerto Morelos, Quintana Roo, Mexico.</t>
  </si>
  <si>
    <t>lorenzoaf@gmail.com</t>
  </si>
  <si>
    <t>Pérez-Cervantes, Esmeralda/HKN-9622-2023; Alvarez-Filip, Lorenzo/C-9552-2011; Molina Hernández, Ana Lilia/KFA-2117-2024; González Barrios, F Javier/J-4446-2018</t>
  </si>
  <si>
    <t>Pérez-Cervantes, Esmeralda/0000-0002-4244-9004; Alvarez-Filip, Lorenzo/0000-0002-5726-7238; ESTRADA SALDÍVAR, NURIA/0000-0001-9588-2955; Molina Hernández, Ana Lilia/0000-0003-0581-441X; González Barrios, F Javier/0000-0001-5089-0687</t>
  </si>
  <si>
    <t>Consejo Nacional de Ciencia y Tecnologia (CONACyT) [PDC-247104]; Royal Society Newton Advanced Fellowship [NA150360]; Universidad Nacional Autonoma de Mexico (Program UNAM-DGAPA-PAPIIT) [IN-205019]; Healthy Reefs Initiative; Comision Nacional de Areas Naturales Protegidas</t>
  </si>
  <si>
    <t>Consejo Nacional de Ciencia y Tecnologia (CONACyT)(Consejo Nacional de Ciencia y Tecnologia (CONACyT)); Royal Society Newton Advanced Fellowship(Royal Society UK); Universidad Nacional Autonoma de Mexico (Program UNAM-DGAPA-PAPIIT); Healthy Reefs Initiative; Comision Nacional de Areas Naturales Protegidas</t>
  </si>
  <si>
    <t>This study was supported by the Consejo Nacional de Ciencia y Tecnologia (CONACyT; PDC-247104), a Royal Society Newton Advanced Fellowship (NA150360), the Universidad Nacional Autonoma de Mexico (Program UNAM-DGAPA-PAPIIT, project IN-205019), and the Healthy Reefs Initiative and the Comision Nacional de Areas Naturales Protegidas. The funders had no role in study design, data collection and analysis, decision to publish, or preparation of the manuscript.</t>
  </si>
  <si>
    <t>e8069</t>
  </si>
  <si>
    <t>10.7717/peerj.8069</t>
  </si>
  <si>
    <t>JQ3HL</t>
  </si>
  <si>
    <t>WOS:000498840000002</t>
  </si>
  <si>
    <t>McCullough, IM; Davis, FW; Williams, AP</t>
  </si>
  <si>
    <t>McCullough, Ian M.; Davis, Frank W.; Williams, A. Park</t>
  </si>
  <si>
    <t>Dendroecology; Vapor pressure deficit; Global change-type drought; International Tree Ring Data Bank</t>
  </si>
  <si>
    <t>WATER-USE EFFICIENCY; DOUGLAS-FIR; GROWTH RELATIONSHIPS; HAPLOTYPE DISTRIBUTION; STOMATAL CONDUCTANCE; BIOMASS ALLOCATION; ELEVATED CO2; DROUGHT; MORTALITY; RESPONSES</t>
  </si>
  <si>
    <t>Climate change has emerged as a major threat to biodiversity, but there have been few assessments of variability in sensitivity to climate across species' ranges. We examined the sensitivity of ponderosa pine (Pinus ponderosa), a common, commercially important tree species found throughout the western United States, to climate variability using tree rings mostly from the International Tree Ring Data Bank (161 chronologies) and multiple climate products for 1930-1979. We compared interannual tree ring variation to water-year precipitation (wy ppt), May July vapor pressure deficit (MJJ VPD), April July precipitation (AMJJ ppt) and average winter (Dec-Feb) minimum temperature (winter tmn). We mapped growth climate correlations for each variable and applied hierarchical agglomerative cluster analysis to identify five main groups of climate sensitivities, one of which contained mostly climate-insensitive populations. Ponderosa pine growth was positively correlated with wy ppt and AMJJ ppt and negatively correlated with MJJ VPD throughout its range, but sensitivities were greater in the Southern Rockies and Northern Great Plains than in Pacific and Southwestern populations. Sensitivities to winter tmn were weaker than responses to other climate variables, but Pacific and interior populations mostly demonstrated positive and negative responses, respectively. In summary, our analyses revealed the general pattern that interior populations of ponderosa pine were more climate-sensitive than Pacific populations, but there is considerable heterogeneity in sensitivity throughout the species' range. Sensitivities to climate variables were related to position along corresponding climate gradients for all variables except MJJ VPD, but the unevenness of these relationships suggests a role of local adaptation. Our results illustrate the variation in climate response for a uniquely wide-ranging species and suggest that leading and trailing range edge concepts can oversimplify patterns of species exposure to climate change. (C) 2017 Elsevier B.V. All rights reserved.</t>
  </si>
  <si>
    <t>[McCullough, Ian M.; Davis, Frank W.] Univ Calif Santa Barbara, Bretz Sch Environm Sci &amp; Management, Santa Barbara, CA 93106 USA; [Williams, A. Park] Columbia Univ, Lamont Doherty Earth Observ, Palisades, NY 10964 USA</t>
  </si>
  <si>
    <t>University of California System; University of California Santa Barbara; Columbia University</t>
  </si>
  <si>
    <t>McCullough, IM (corresponding author), Univ Calif Santa Barbara, Bretz Sch Environm Sci &amp; Management, Santa Barbara, CA 93106 USA.</t>
  </si>
  <si>
    <t>immccull@gmail.com</t>
  </si>
  <si>
    <t>Willia, Park/IQU-0801-2023; Davis, Frank/B-7010-2009</t>
  </si>
  <si>
    <t>Willia, Park/0000-0001-8176-8166;</t>
  </si>
  <si>
    <t>National Science Foundation Macrosystems Biology Program, NSF [EF-1065864]; University of California Institute for the Study of Ecological and Evolutionary Climate Impacts (ISEECI); Earth Research Institute at the University of California, Santa Barbara (UCSB); Bren School of Environmental Science and Management at UCSB; Direct For Biological Sciences [1065864] Funding Source: National Science Foundation; Emerging Frontiers [1065864] Funding Source: National Science Foundation; Emerging Frontiers; Direct For Biological Sciences [1065824] Funding Source: National Science Foundation</t>
  </si>
  <si>
    <t>National Science Foundation Macrosystems Biology Program, NSF; University of California Institute for the Study of Ecological and Evolutionary Climate Impacts (ISEECI); Earth Research Institute at the University of California, Santa Barbara (UCSB); Bren School of Environmental Science and Management at UCSB; Direct For Biological Sciences(National Science Foundation (NSF)NSF - Directorate for Biological Sciences (BIO)); Emerging Frontiers; Emerging Frontiers; Direct For Biological Sciences(National Science Foundation (NSF)NSF - Directorate for Biological Sciences (BIO))</t>
  </si>
  <si>
    <t>This project was supported by the National Science Foundation Macrosystems Biology Program, NSF #EF-1065864, the University of California Institute for the Study of Ecological and Evolutionary Climate Impacts (ISEECI), the Earth Research Institute at the University of California, Santa Barbara (UCSB) and the Bren School of Environmental Science and Management at UCSB. We thank our collaborating investigators (John Dingman, Alan Flint, Lorraine Flint, Janet Franklin, Alex Hall, Lee Hannah, Max Moritz, Kelly Redmond, Helen Regan, Josep Serra-Diaz, Lynn Sweet and Alexandra Syphard) for associated projects that helped lead to this paper. We thank the University of Arizona Laboratory for Tree-Ring Research for providing advice for cross-dating samples from Tejon Ranch. We also thank the Tejon Ranch Company and Tejon Ranch Conservancy for their cooperation for this project. Elizabeth Hiroyasu, Jason McClure and Phoebe Prather assisted with tree-ring sampling at Tejon Ranch. Sage Davis at the Bren School assisted with sample mounting and preparation in the lab. Joel Michaelson of UCSB Geography, Michael White at the Tejon Ranch Conservancy and Christina Tague and James Frew of the Bren School were consultants in the early study design process.</t>
  </si>
  <si>
    <t>10.1016/j.foreco.2017.07.025</t>
  </si>
  <si>
    <t>FH9LU</t>
  </si>
  <si>
    <t>WOS:000411534000022</t>
  </si>
  <si>
    <t>Cubero-Pardo, P; Donovan, C; Urbán-Ramírez, J</t>
  </si>
  <si>
    <t>Cubero-Pardo, Priscilla; Donovan, Carl; Urban-Ramirez, Jorge</t>
  </si>
  <si>
    <t>A proposal to define vulnerability of cetacean areas to human development: variables and analysis procedures applied to the Gulf of California</t>
  </si>
  <si>
    <t>multivariate analysis; spatial modelling; large marine areas; principal component analysis; cetacean fragility; anthropogenic risks and damage; cetacean vulnerability</t>
  </si>
  <si>
    <t>BOTTLE-NOSED DOLPHINS; TURSIOPS-TRUNCATUS; CLIMATE-CHANGE; BALAENOPTERA-ACUTOROSTRATA; HUMPBACK WHALES; MARINE MAMMALS; MINKE WHALES; BAY; IMPACTS; RIVER</t>
  </si>
  <si>
    <t>1. Understanding spatial interactions between specific sources of anthropogenic impact on cetaceans and the ecological conditions intrinsic to these mammals, has several applications for conservation and management. Here cetacean habitats are classified into vulnerability levels by combining human development metrics and cetacean characteristics, allowing areas identified as more vulnerable to be given management priority. 2. Ten bio-physical and anthropogenic factors were identified as key shapers of cetacean habitats and, using the Gulf of California as a case study, 18 variables were defined to measure those factors. Principal component analysis (PCA) and GIS were used to distill the relationships across all variables, in order to obtain a vulnerability index. Aggregates of variables were also investigated to map the spatial distribution of anthropogenic impacts and cetacean characteristics (species richness, relative abundance of encounter, residence condition, diet specificity and threat status). For this latter purpose, separate indices representing five 'categories' (pollution from land sources, urban development, potential for accidents, resource depletion and fragility of cetacean areas) and three 'vulnerability components' (risk of hazards, intrinsic resilience and damage) were calculated. 3. The methodology clearly differentiated the study area according to levels for each 'category' and 'vulnerability component', as well as to levels of vulnerability of cetacean areas in relation to human activities; and identified those variables with the greatest contributions, without recourse to the subjective criteria common in other approaches. The analyses were conducted using environmental units generated by the Marine Ecological Zoning Plan for the Gulf of California (OEMGC, by its Spanish acronym) which tied model outputs to this planning framework. The variables selected were easily obtainable through governmental and research institutions which make them suitable for adaptive management purposes. Copyright (C) 2011 John Wiley &amp; Sons, Ltd.</t>
  </si>
  <si>
    <t>[Cubero-Pardo, Priscilla; Urban-Ramirez, Jorge] Univ Autonoma Baja California Sur, Posgrad Ciencias Marinas &amp; Costeras, La Paz, Baja California, Mexico; [Donovan, Carl] Univ St Andrews, Ctr Res Ecol &amp; Environm Modelling, St Andrews KY16 9AJ, Fife, Scotland</t>
  </si>
  <si>
    <t>Universidad Autonoma de Baja California; University of St Andrews</t>
  </si>
  <si>
    <t>Cubero-Pardo, P (corresponding author), Univ Autonoma Baja California Sur, Posgrad Ciencias Marinas &amp; Costeras, Carretera Km 5-5,Apartado Postal 19-B,Codigo Post, La Paz, Baja California, Mexico.</t>
  </si>
  <si>
    <t>pcubero@hotmail.com</t>
  </si>
  <si>
    <t>R., Jorge/J-8126-2019</t>
  </si>
  <si>
    <t>Donovan, Carl/0000-0002-1465-5193</t>
  </si>
  <si>
    <t>World Wildlife Fund-Telcel Alliance; Consejo Nacional de Ciencia y Tecnologia, Mexico; Consejo Nacional para Investigaciones Cientificas y Tecnologicas, Costa Rica</t>
  </si>
  <si>
    <t>World Wildlife Fund-Telcel Alliance; Consejo Nacional de Ciencia y Tecnologia, Mexico(Consejo Nacional de Ciencia y Tecnologia (CONACyT)); Consejo Nacional para Investigaciones Cientificas y Tecnologicas, Costa Rica</t>
  </si>
  <si>
    <t>The authors thank the governmental and research institutions in Mexico and the United States that provided the databases for this work, and the World Wildlife Fund-Telcel Alliance, the Consejo Nacional de Ciencia y Tecnologia, Mexico, and the Consejo Nacional para Investigaciones Cientificas y Tecnologicas, Costa Rica, for the financial support provided. We thank also, the Centre into Ecological and Environmental Modelling, University of St Andrews, Scotland, for the technical and logistical support given during the development of this publication.</t>
  </si>
  <si>
    <t>10.1002/aqc.1205</t>
  </si>
  <si>
    <t>811CW</t>
  </si>
  <si>
    <t>WOS:000294180600005</t>
  </si>
  <si>
    <t>Macdonald, DW; Burnham, D; Hinks, AE; Wrangham, R</t>
  </si>
  <si>
    <t>Macdonald, David W.; Burnham, Dawn; Hinks, Amy E.; Wrangham, Richard</t>
  </si>
  <si>
    <t>A Problem Shared Is a Problem Reduced: Seeking Efficiency in the Conservation of Felids and Primates</t>
  </si>
  <si>
    <t>FOLIA PRIMATOLOGICA</t>
  </si>
  <si>
    <t>Threat; Range; Hotspots; Habitat loss; Fragmentation; Hunting; Bushmeat; Persecution</t>
  </si>
  <si>
    <t>NATIONAL-PARK; PROTECTED AREAS; GORILLA-GORILLA; CATOPUMA-BADIA; PREDATION; CATS; BIODIVERSITY; POPULATION; CARNIVORES; LIVESTOCK</t>
  </si>
  <si>
    <t>Threats faced by mammalian species can be grouped into one of a handful of categories, such as habitat loss, unsustainable hunting and persecution. Insofar as they face common threats, diverse species may benefit from the same conservation intervention, thereby offering efficiencies in conservation action. We explore this proposition for primates and felids by examining coarse scale overlaps in geographical distributions, using IUCN Red List assessments of the primary threats posed to each species. A global analysis of primates and felids that face common threats reveals the greatest overlap is in Central and South Asia, where up to 14 primates and felids co-occur. More than 80% of the land where at least 1 threatened species of either primate or felid occurs also contains at least one threatened species of the other taxon, yet over 60% of these grid cells containing both threatened primates and felids lie outside Conservation International's hot spots. A review of IUCN Action Plans of the threats to felids and primates strongly supports the hypothesis that they are often the same and occur in the same place. In principle, steps to conserve big cats have the potential to benefit several species of threatened primates, and vice versa. Copyright (C) 2013 S. Karger AG, Basel</t>
  </si>
  <si>
    <t>[Macdonald, David W.; Burnham, Dawn; Hinks, Amy E.; Wrangham, Richard] Univ Oxford, Dept Zool, Wildlife Conservat Res Unit, Recanati Kaplan Ctr, Tubney OX13 5QL, England</t>
  </si>
  <si>
    <t>Macdonald, DW (corresponding author), Univ Oxford, Dept Zool, Wildlife Conservat Res Unit, Recanati Kaplan Ctr, Tubney House, Tubney OX13 5QL, England.</t>
  </si>
  <si>
    <t>david.macdonald@zoo.ox.ac.uk</t>
  </si>
  <si>
    <t>Recanati-Kaplan Foundation; Robertson Foundation; Woodspring Trust</t>
  </si>
  <si>
    <t>We thank Lucy Tallents for help with GIS, Paul Johnson for help with statistical analysis and Tom Moorhouse and Marion Valeix for critical comments on this manuscript (together with those of two anonymous referees). Tom Butynski and Jonathan Kingdon generously allowed us to review threats identified in the unpublished primate volume of MOA. We thank the Recanati-Kaplan Foundation, the Robertson Foundation and the Woodspring Trust for their support.</t>
  </si>
  <si>
    <t>BRILL</t>
  </si>
  <si>
    <t>0015-5713</t>
  </si>
  <si>
    <t>1421-9980</t>
  </si>
  <si>
    <t>FOLIA PRIMATOL</t>
  </si>
  <si>
    <t>Folia Primatol.</t>
  </si>
  <si>
    <t>3-6</t>
  </si>
  <si>
    <t>10.1159/000342399</t>
  </si>
  <si>
    <t>080KQ</t>
  </si>
  <si>
    <t>WOS:000314241200003</t>
  </si>
  <si>
    <t>Holon, F; Marre, G; Parravicini, V; Mouquet, N; Bockel, T; Descamp, P; Tribot, AS; Boissery, P; Deter, J</t>
  </si>
  <si>
    <t>Holon, Florian; Marre, Guilhem; Parravicini, Valeriano; Mouquet, Nicolas; Bockel, Thomas; Descamp, Pierre; Tribot, Anne-Sophie; Boissery, Pierre; Deter, Julie</t>
  </si>
  <si>
    <t>Species distribution modelling; Ecological status; Human impacts; Change point; Priority areas; Threats; Submersed aquatic vegetation; Coastal pressures management</t>
  </si>
  <si>
    <t>SEAGRASS POSIDONIA-OCEANICA; REGIME SHIFTS; RANDOM FORESTS; ANCHORING DAMAGE; CLIMATE-CHANGE; MEADOWS; BIODIVERSITY; SEA; BAY; EUTROPHICATION</t>
  </si>
  <si>
    <t>During the last fifty years, there has been a dramatic increase in the development of anthropogenic activities, and this is particularly threatening to marine coastal ecosystems. The management of these multiple and simultaneous anthropogenic pressures requires reliable and precise data on their distribution, as well as information (data, modelling) on their potential effects on sensitive ecosystems. Focusing on Posidonia oceanica beds, a threatened habitat-forming seagrass species endemic to the Mediterranean, we developed a statistical approach to study the complex relationship between human multiple activities and ecosystem status. We used Random Forest modelling to explain the degradation status of P. oceanica (defined herein as the shift from seagrass bed to dead matte) as a function of depth and 10 anthropogenic pressures along the French Mediterranean coast (1700 km of coastline including Corsica). Using a 50 x 50 m grid cells dataset, we obtained a particularly accurate model explaining 71.3% of the variance, with a Pearson correlation of 0.84 between predicted and observed values. Human-made coastline, depth, coastal population, urbanization, and agriculture were the best global predictors of P. oceanica's degradation status. Aquaculture was the least important predictor, although its local individual influence was among the highest. Non-linear relationship between predictors and seagrass beds status was detected with tipping points (i.e. thresholds) for all variables except agriculture and industrial effluents. Using these tipping points, we built a map representing the coastal seagrass beds classified into four categories according to an increasing pressure gradient and its risk of phase shift. Our approach provides important information that can be used to help managers preserve this essential and endangered ecosystem.</t>
  </si>
  <si>
    <t>[Holon, Florian; Marre, Guilhem; Bockel, Thomas; Descamp, Pierre; Deter, Julie] Andromede Oceanol, Carnon, France; [Holon, Florian; Mouquet, Nicolas; Tribot, Anne-Sophie; Deter, Julie] Univ Montpellier, CNRS, UMR 5554, IRD,EPHE,ISEM, Montpellier, France; [Parravicini, Valeriano] Univ Perpignan, LABEX Corail, CRIOBE, EPHE,CNRS,USR 3278,UPVD, Perpignan, France; [Boissery, Pierre] Agence Eau Rhone Mediterranee Corse, Marseille, France</t>
  </si>
  <si>
    <t>Universite PSL; Ecole Pratique des Hautes Etudes (EPHE); Centre National de la Recherche Scientifique (CNRS); Institut de Recherche pour le Developpement (IRD); Universite de Montpellier; CNRS - Institute of Ecology &amp; Environment (INEE); Universite PSL; Ecole Pratique des Hautes Etudes (EPHE); Centre National de la Recherche Scientifique (CNRS); CNRS - Institute of Ecology &amp; Environment (INEE); Universite Perpignan Via Domitia</t>
  </si>
  <si>
    <t>Holon, F (corresponding author), Andromede Oceanol, Carnon, France.</t>
  </si>
  <si>
    <t>TRIBOT, Anne-Sophie/X-4482-2019; Marre, Guilhem/LNP-5573-2024; Parravicini, Valeriano/A-8539-2011; Mouquet, Nicolas/AAL-1440-2021</t>
  </si>
  <si>
    <t>TRIBOT, Anne-Sophie/0000-0002-8194-5393; Marre, Guilhem/0000-0001-5280-7015; Parravicini, Valeriano/0000-0002-3408-1625; Mouquet, Nicolas/0000-0003-1840-6984</t>
  </si>
  <si>
    <t>French Water Agency [2016-0353]; LabEx CeMEB; Andromede Oceanologie; Fondation de France</t>
  </si>
  <si>
    <t>French Water Agency; LabEx CeMEB; Andromede Oceanologie; Fondation de France(Fondation de France)</t>
  </si>
  <si>
    <t>Data used to build the 1:10000 habitat map were collected by Andromede Oceanologie, Agence de l'Eau RMC, Conservatoire du Littoral, DREAL PACA; Egis Eau, ERAMM, GIS Posidonie, IFREMER, Institut oceanographique Paul Ricard, Nice Cote d'Azur, TPM, Programme CARTHAM-Agence des Aires Marines Protegees, ASCONIT Consultants, COMEX-SA, EVEMAR, IN VIVO, Sintinelle, Stareso, Programme MEDBENTH, Universite de Corse (EQEL), Ville de St Cyr-sur-mer, Ville de Cannes, Ville de Marseille, Ville de St Raphael and Ville de St Tropez. This study beneficiated from financing from the French Water Agency (2016-0353) (Agence de l'eau Rhone-Mediterranee-Corse). Florian Holon received a PhD grant (2013-2016) funded by LabEx CeMEB and Andromede Oceanologie. Anne-Sophie Tribot received a PhD grant (2014-2017) funded by Fondation de France. We thank three anonymous reviewers for their relevant comments. We are grateful to Amanda Bates (Biological conservation) and Chloe Ianson (Angloscribe) who contributed to improve the quality of the manuscript thanks to their efficient editing work.</t>
  </si>
  <si>
    <t>10.1016/j.biocon.2018.04.006</t>
  </si>
  <si>
    <t>GI8BD</t>
  </si>
  <si>
    <t>WOS:000434745900013</t>
  </si>
  <si>
    <t>Pusparini, W; Batubara, T; Surahmat, F; Ardiantiono; Sugiharti, T; Muslich, M; Amama, F; Marthy, W; Andayani, N</t>
  </si>
  <si>
    <t>Pusparini, Wulan; Batubara, Timbul; Surahmat, Fahrudin; Ardiantiono; Sugiharti, Tri; Muslich, Muhammad; Amama, Fahrul; Marthy, William; Andayani, Noviar</t>
  </si>
  <si>
    <t>A pathway to recovery: the Critically Endangered Sumatran tiger Panthera tigris sumatrae in an 'in danger' UNESCO World Heritage Site</t>
  </si>
  <si>
    <t>Camera-trapping; density estimation; Intensive Protection Zone; protected area management; single session occupancy model; spatially explicit capture-recapture</t>
  </si>
  <si>
    <t>PROTECTED AREA; POPULATION; DENSITY</t>
  </si>
  <si>
    <t>Reliable information on wildlife populations and the threats they face is crucial for assessing the performance of conservation strategies. As part of its efforts to improve the effectiveness of Bukit Barisan Selatan National Park in Sumatra, Indonesia, and aid the recovery of flagship species, the Park's management authority designated a 1,000 km(2) forest block an Intensive Protection Zone. To set a baseline from which to evaluate the performance of this zone, we investigated the density of tigers Panthera tigris sumatrae, and spatio-temporal interactions between tigers, their principle prey and threats. The estimated density of tigers was 2.8 per 100 km(2), whereas in 2002 camera-trapping failed to record any tigers in the Intensive Protection Zone. We found the study area contained a rich prey base, with muntjac deer Muntiacus muntjak, macaques Macaca nemestrina and wild pigs Sus scrofa occupying 8598% of the area, and sambar Rusa unicolor 61%. Despite these promising findings we also recorded a relatively high number of people entering the Park illegally, with 77 incidents over 6 months, of which 20% involved armed poachers. The poachers operated mainly at night and were concentrated in two locations. Law enforcement patrol teams were active during the day, and therefore had little overlap with the poachers. Prioritizing these at-risk areas for increased protection by rangers would further secure the Intensive Protection Zone, and expanding ranger activity across the Park would support efforts to remove the Park from UNESCO's List of World Heritage In Danger.</t>
  </si>
  <si>
    <t>[Pusparini, Wulan; Surahmat, Fahrudin; Ardiantiono; Muslich, Muhammad; Amama, Fahrul; Marthy, William; Andayani, Noviar] Wildlife Conservat Soc, Indonesia Program, Bogor, Indonesia; [Batubara, Timbul; Sugiharti, Tri] Bukit Barisan Selatan Natl Pk, Kota Agung, Lampung, Indonesia; [Andayani, Noviar] Univ Indonesia, Fac Math &amp; Sci, Dept Biol, Depok, Indonesia</t>
  </si>
  <si>
    <t>Wildlife Conservation Society - Indonesia; University of Indonesia</t>
  </si>
  <si>
    <t>Pusparini, W (corresponding author), Wildlife Conservat Soc, Indonesia Program, Bogor, Indonesia.</t>
  </si>
  <si>
    <t>wpusparini@wcs.org</t>
  </si>
  <si>
    <t>; Pusparini, Wulan/IXD-3688-2023; , Ardiantiono/JED-6518-2023</t>
  </si>
  <si>
    <t>Andayani, Noviar/0000-0002-1888-193X; Pusparini, Wulan/0000-0001-9909-0920; , Ardiantiono/0000-0001-8398-1948</t>
  </si>
  <si>
    <t>Panthera</t>
  </si>
  <si>
    <t>The Wildlife Conservation Society authors are grateful to the Indonesian Ministry of Environment and Forestry, especially the Bukit Barisan Selatan National Park (BBSNP) Management Authority, for granting permission to conduct the field surveys, and Park staff for assisting with the data collection. We thank Panthera for funding the camera-trapping work, and U.S. Fish &amp; Wildlife Service for its long-term species conservation support in BBSNP, Matthew Linkie for reviewing and supporting the development of this article, Mike Meredith for discussions about statistics, and Andi Cahyana for preparing the map.</t>
  </si>
  <si>
    <t>10.1017/S0030605317001144</t>
  </si>
  <si>
    <t>FU8WV</t>
  </si>
  <si>
    <t>WOS:000424137700007</t>
  </si>
  <si>
    <t>Alvarez-Romero, JG; Devlin, M; da Silva, ET; Petus, C; Ban, NC; Pressey, RL; Kool, J; Roberts, JJ; Cerdeira-Estrada, S; Wenger, AS; Brodie, J</t>
  </si>
  <si>
    <t>Alvarez-Romero, Jorge G.; Devlin, Michelle; da Silva, Eduardo Teixeira; Petus, Caroline; Ban, Natalie C.; Pressey, Robert L.; Kool, Johnathan; Roberts, Jason J.; Cerdeira-Estrada, Sergio; Wenger, Amelia S.; Brodie, Jon</t>
  </si>
  <si>
    <t>Marine spatial planning; River plume; Flood plume; Land-based pollution; Marine water quality; Marine conservation</t>
  </si>
  <si>
    <t>GREAT-BARRIER-REEF; WATER-QUALITY; SUSPENDED SEDIMENT; HUMAN IMPACT; SEAWIFS DATA; CORAL-REEFS; DYNAMICS; REGION; COLOR; TERRESTRIAL</t>
  </si>
  <si>
    <t>Increased loads of land-based pollutants are a major threat to coastal-marine ecosystems. Identifying the affected marine areas and the scale of influence on ecosystems is critical to assess the impacts of degraded water quality and to inform planning for catchment management and marine conservation. Studies using remotely-sensed data have contributed to our understanding of the occurrence and influence of river plumes, and to our ability to assess exposure of marine ecosystems to land-based pollutants. However, refinement of plume modeling techniques is required to improve risk assessments. We developed a novel, complementary, approach to model exposure of coastal-marine ecosystems to land-based pollutants. We used supervised classification of MODIS-Aqua true-color satellite imagery to map the extent of plumes and to qualitatively assess the dispersal of pollutants in plumes. We used the Great Barrier Reef (GBR), the world's largest coral reef system, to test our approach. We combined frequency of plume occurrence with spatially distributed loads (based on a cost-distance function) to create maps of exposure to suspended sediment and dissolved inorganic nitrogen. We then compared annual exposure maps (2007-2011) to assess inter-annual variability in the exposure of coral reefs and seagrass beds to these pollutants. We found this method useful to map plumes and qualitatively assess exposure to land-based pollutants. We observed inter-annual variation in exposure of ecosystems to pollutants in the GBR, stressing the need to incorporate a temporal component into plume exposure/risk models. Our study contributes to our understanding of plume spatial-temporal dynamics of the GBR and offers a method that can also be applied to monitor exposure of coastal-marine ecosystems to plumes and explore their ecological influences. (c) 2013 Elsevier Ltd. All rights reserved.</t>
  </si>
  <si>
    <t>[Alvarez-Romero, Jorge G.; Ban, Natalie C.; Pressey, Robert L.; Kool, Johnathan; Wenger, Amelia S.] James Cook Univ, Australian Res Council Ctr Excellence Coral Reef, Townsville, Qld 4811, Australia; [Alvarez-Romero, Jorge G.; Devlin, Michelle; da Silva, Eduardo Teixeira; Petus, Caroline; Wenger, Amelia S.; Brodie, Jon] James Cook Univ, Catchment Reef Res Grp, Ctr Trop Water &amp; Aquat Ecosyst Res, Townsville, Qld 4811, Australia; [Roberts, Jason J.] Duke Univ, Marine Lab, Marine Geospatial Ecol Lab, Beaufort, NC 28516 USA; [Cerdeira-Estrada, Sergio] Comis Nacl Conocimiento &amp; Uso Biodiversidad, Mexico City 14010, DF, Mexico</t>
  </si>
  <si>
    <t>James Cook University; James Cook University; Duke University</t>
  </si>
  <si>
    <t>Alvarez-Romero, JG (corresponding author), James Cook Univ, Australian Res Council Ctr Excellence Coral Reef, Townsville, Qld 4811, Australia.</t>
  </si>
  <si>
    <t>jorge.alvarez.romero@gmail.com; michelle.devlin@jcu.edu.au; dasilva.eduardoteixeira@gmail.com; caroline.petus@jcu.edu.au; natalie.ban@gmail.com; bob.pressey@jcu.edu.au; Johnathan.Kool@ga.gov.au; jason.roberts@duke.edu; s.cerdeira@gmail.com; amelia.wenger@my.jcu.edu.au; jon.brodie@jcu.edu.au</t>
  </si>
  <si>
    <t>Pressey, Bob/C-8370-2013; Petus, Caroline/A-6937-2015; Ban, Natalie/C-6938-2009; Wenger, Amelia/S-9135-2019; Devlin, Michelle Jillian/M-5870-2014; Devlin, Michelle/M-5870-2014; Cerdeira-Estrada, Sergio/U-9313-2017; Álvarez-Romero, Jorge/A-4557-2009</t>
  </si>
  <si>
    <t>Ban, Natalie/0000-0002-4682-2144; Wenger, Amelia/0000-0002-0433-6164; Devlin, Michelle Jillian/0000-0003-2194-2534; Cerdeira-Estrada, Sergio/0000-0003-1760-1921; Álvarez-Romero, Jorge/0000-0002-1141-0588; Kool, Johnathan/0000-0002-9902-3522</t>
  </si>
  <si>
    <t>Mexico's Consejo Nacional de Ciencia y Tecnologia (CONACYT); Secretaria de Educacion Publica (SEP); Australian Research Council Centre of Excellence for Coral Reef Studies; Centre for Tropical Water and Aquatic Ecosystem Research (Trop-WATER); Comision Nacional para el Conocimiento y Uso de la Biodiversidad (CONABIO); Australian Research Council</t>
  </si>
  <si>
    <t>Mexico's Consejo Nacional de Ciencia y Tecnologia (CONACYT)(Consejo Nacional de Ciencia y Tecnologia (CONACyT)); Secretaria de Educacion Publica (SEP); Australian Research Council Centre of Excellence for Coral Reef Studies(Australian Research Council); Centre for Tropical Water and Aquatic Ecosystem Research (Trop-WATER); Comision Nacional para el Conocimiento y Uso de la Biodiversidad (CONABIO); Australian Research Council(Australian Research Council)</t>
  </si>
  <si>
    <t>We thank Gordon Bailey for providing IT support and the High Performance Computing Unit at James Cook University for computational facilities. JGAR gratefully acknowledges support from Mexico's Consejo Nacional de Ciencia y Tecnologia (CONACYT) and Secretaria de Educacion Publica (SEP), as well as from the Australian Research Council Centre of Excellence for Coral Reef Studies, the Centre for Tropical Water and Aquatic Ecosystem Research (Trop-WATER) and Comision Nacional para el Conocimiento y Uso de la Biodiversidad (CONABIO). RLP and NCB acknowledge the support of the Australian Research Council.</t>
  </si>
  <si>
    <t>10.1016/j.jenvman.2013.01.036</t>
  </si>
  <si>
    <t>128VA</t>
  </si>
  <si>
    <t>WOS:000317796600021</t>
  </si>
  <si>
    <t>Ricardo, OB; Carvalho-Ribeiro, SM; Maia-Barbosa, PM</t>
  </si>
  <si>
    <t>de Oliveira, Brayan Ricardo; Carvalho-Ribeiro, Sonia Maria; Maia-Barbosa, Paulina Maria</t>
  </si>
  <si>
    <t>JOURNAL OF PLANNING LITERATURE</t>
  </si>
  <si>
    <t>Environmental management; Geographic information systems; Land use; Land use changes; Landscape ecology</t>
  </si>
  <si>
    <t>Maia-Barbosa, Paulina/S-5319-2019; Carvalho Ribeiro, Sónia/K-8068-2016</t>
  </si>
  <si>
    <t>0885-4122</t>
  </si>
  <si>
    <t>1552-6593</t>
  </si>
  <si>
    <t>J PLAN LIT</t>
  </si>
  <si>
    <t>J. Plan. Lit.</t>
  </si>
  <si>
    <t>37-6796</t>
  </si>
  <si>
    <t>Regional &amp; Urban Planning; Urban Studies</t>
  </si>
  <si>
    <t>Public Administration; Urban Studies</t>
  </si>
  <si>
    <t>ZQ9BS</t>
  </si>
  <si>
    <t>WOS:000767392200233</t>
  </si>
  <si>
    <t>de Oliveira, BR; Carvalho-Ribeiro, SM; Maia-Barbosa, PM</t>
  </si>
  <si>
    <t>JOURNAL OF ENVIRONMENTAL PLANNING AND MANAGEMENT</t>
  </si>
  <si>
    <t>landscape ecology; anthropomorphic land use change; GIS; environmental management; Rio Doce State Park</t>
  </si>
  <si>
    <t>AMAZONIAN FOREST FRAGMENTS; ATLANTIC FOREST; ECOLOGICAL CORRIDORS; ECOSYSTEM SERVICES; SPATIAL METRICS; PROTECTED AREAS; RIVER-BASIN; LANDSCAPE; EDGE; URBANIZATION</t>
  </si>
  <si>
    <t>This article uses a multiscale approach for assessing landscape changes in one of the world's biodiversity hotspots in Brazil, the Rio Doce State Park (PERD). In this article, we assess land use changes over a 30 year period. Our results show that, while inside the park landscape changes were minimal, in the park buffer zone human induced changes are steadily rising due to an increase in eucalyptus plantations and urban sprawl that grew by 4% and 1.9%, respectively. Agricultural land has been reduced by 6.35%, but there are trends that a form of welcome forest transition has been occurring. We report an increase in native forests from 40,588 ha in 1985 to 45,690 ha in 2015. The analysis of human impacts in the study area delivers very different results when varying the pixel size from 25 ha to 900 m(2). The former shows a very high level of human influence while the latter reveals small but vital patches of native forest offering hopeful opportunities for sustainable natural resource management in this critical biome. Our work stresses the importance of better targeted policy making and sympathetic land use management of buffer zones of protected areas. Currently, such zones suffer from many development pressures and often experience contradictory policy frameworks which encourage a clash between biodiversity conservation and intensive agro husbandry production.</t>
  </si>
  <si>
    <t>[de Oliveira, Brayan Ricardo; Carvalho-Ribeiro, Sonia Maria; Maia-Barbosa, Paulina Maria] Univ Fed Minas Gerais, Dept Gen Biol, Belo Horizonte, MG, Brazil; [Carvalho-Ribeiro, Sonia Maria; Maia-Barbosa, Paulina Maria] Univ Fed Minas Gerais, Dept Cartog, Belo Horizonte, MG, Brazil</t>
  </si>
  <si>
    <t>Universidade Federal de Minas Gerais; Universidade Federal de Minas Gerais</t>
  </si>
  <si>
    <t>de Oliveira, BR (corresponding author), Univ Fed Minas Gerais, Dept Gen Biol, Belo Horizonte, MG, Brazil.</t>
  </si>
  <si>
    <t>brayanro@hotmail.com</t>
  </si>
  <si>
    <t>Maia-Barbosa, Paulina/S-5319-2019; Ricardo de Oliveira, Brayan/D-9343-2014; Carvalho Ribeiro, Sónia Maria/K-8068-2016</t>
  </si>
  <si>
    <t>Ricardo de Oliveira, Brayan/0000-0002-2582-8969; Carvalho Ribeiro, Sónia Maria/0000-0002-3045-8632</t>
  </si>
  <si>
    <t>0964-0568</t>
  </si>
  <si>
    <t>1360-0559</t>
  </si>
  <si>
    <t>J ENVIRON PLANN MAN</t>
  </si>
  <si>
    <t>J. Environ. Plan. Manag.</t>
  </si>
  <si>
    <t>10.1080/09640568.2019.1617681</t>
  </si>
  <si>
    <t>Development Studies; Regional &amp; Urban Planning</t>
  </si>
  <si>
    <t>Development Studies; Public Administration</t>
  </si>
  <si>
    <t>KL3ES</t>
  </si>
  <si>
    <t>WOS:000513311200008</t>
  </si>
  <si>
    <t>Menegon, S; Depellegrin, D; Farella, G; Gissi, E; Ghezzo, M; Sarretta, A; Venier, C; Barbanti, A</t>
  </si>
  <si>
    <t>Menegon, Stefano; Depellegrin, Daniel; Farella, Giulio; Gissi, Elena; Ghezzo, Michol; Sarretta, Alessandro; Venier, Chiara; Barbanti, Andrea</t>
  </si>
  <si>
    <t>Cumulative effects assessment; Cumulative impacts; CEA backsourcing; Maritime spatial planning; Italy; Adriatic Sea</t>
  </si>
  <si>
    <t>IMPACT; TURTLES; NOISE; SET</t>
  </si>
  <si>
    <t>This research presents a comprehensive Cumulative Effects Assessment (CEA) based on the Tools4MSP modelling framework tested for the Italian Adriatic Sea. The CEA incorporates five methodological advancements: (1) linear and non-linear ecosystem response to anthropogenic pressures/effects, (2) modelling of additive, dominant and antagonist stressor effects, (3) implementation of a convolution distance model for stressor dispersion modelling, (4) application of a CEA backsourcing (CEA-B) model to identify and quantify sources of anthropogenic pressures affecting environmental components, based on the convolution distance model and (5) a novel CEA impact chain visualization tool based on Sankey diagrams. Results from CEA in the Italian Adriatic Sea show that highest CEA scores are located in the Northern Adriatic Sea (Port of Trieste and Venice Lagoon inlets) while abrasion, marine litter and selective extraction are the most pronounced pressures within the 12 nm. Results from CEA-B application for two case studies evidence a clear distinction among local human impacts (trawling, small scale fishery) versus long-range diffusive human impacts (underwater noise and marine litter). Results were discussed for their geospatial outcomes, importance for transboundary effects assessment, conservation planning and future application potentials.</t>
  </si>
  <si>
    <t>[Menegon, Stefano; Depellegrin, Daniel; Farella, Giulio; Ghezzo, Michol; Sarretta, Alessandro; Venier, Chiara; Barbanti, Andrea] ISMAR Inst Marine Sci, CNR Natl Res Council Italy, Venice, Italy; [Gissi, Elena] Univ Iuav Venezia, Dept Design &amp; Planning Complex Environm, Venice, Italy</t>
  </si>
  <si>
    <t>Consiglio Nazionale delle Ricerche (CNR); Istituto di Scienze Marine (ISMAR-CNR); IUAV University Venice</t>
  </si>
  <si>
    <t>Menegon, S; Depellegrin, D; Farella, G (corresponding author), ISMAR Inst Marine Sci, CNR Natl Res Council Italy, Venice, Italy.</t>
  </si>
  <si>
    <t>stefano.menegon@ismar.cnr.it; daniel.depellegrin@ve.ismar.cnr.it; giulio.farella@ve.ismar.cnr.it</t>
  </si>
  <si>
    <t>Menegon, Stefano/AAK-4256-2021; Barbanti, Anea/AAL-1470-2021; Sarretta, Alessano/AAV-9739-2020; GISSI, ELENA/T-1108-2019; Venier, Chiara/ABB-1251-2020; Depellegrin, Daniel/AAJ-2713-2020; Farella, Giulio/HSH-4232-2023</t>
  </si>
  <si>
    <t>Menegon, Stefano/0000-0003-4488-8745; Barbanti, Anea/0000-0002-4871-7874; Sarretta, Alessano/0000-0002-1475-8686; GISSI, ELENA/0000-0002-1666-8772; Venier, Chiara/0000-0001-6880-2745; Depellegrin, Daniel/0000-0002-6493-9506; Farella, Giulio/0000-0001-5710-911X</t>
  </si>
  <si>
    <t>Italian Flagship project RITMARE - Italian Research for the Sea (Ricerca ITaliana per il MARE, 2012-2016) - Ministry of Education, University and Research (MIUR)</t>
  </si>
  <si>
    <t>This research is financed by the Italian Flagship project RITMARE - Italian Research for the Sea (Ricerca ITaliana per il MARE, 2012-2016), supported by the Ministry of Education, University and Research (MIUR). Authors would like to thank two anonimous reviewers and the visiting fellow Md. Kemal Pinarbasi from AZTI-Tecnalia for its valuable comments contributing to the overall improvement of the manuscript.</t>
  </si>
  <si>
    <t>10.1016/j.ecolind.2018.03.060</t>
  </si>
  <si>
    <t>GT5BJ</t>
  </si>
  <si>
    <t>WOS:000444520600017</t>
  </si>
  <si>
    <t>Magris, RA; Marta-Almeida, M; Monteiro, JAF; Ban, NC</t>
  </si>
  <si>
    <t>Magris, Rafael A.; Marta-Almeida, Martinho; Monteiro, Jose A. F.; Ban, Natalie C.</t>
  </si>
  <si>
    <t>Vulnerability; Cross-system threat; Marine protected areas; Disasters; Environmental impact; Doce river</t>
  </si>
  <si>
    <t>GREAT-BARRIER-REEF; WATER-QUALITY; AGRICULTURAL WATERSHEDS; ENVIRONMENTAL IMPACTS; SUSPENDED SEDIMENT; RIVER; DOCE; MANAGEMENT; SURFACE; PLUME</t>
  </si>
  <si>
    <t>Analysis that link hydrological processes with oceanographic dispersion offer a promising approach for assessing impacts of land-based activities on marine ecosystems. However, such an analysis has not yet been customised to quantify specific pressures from mining activities on marine biodiversity including those from spillages resulting from tailing dam failure. Here, using a Brazilian catchment in which a tailing dam collapsed (Doce river) as a case study, we provide a modelling approach to assess the impacts on key ecosystems and marine protected areas subjected to two exposure regimes: (i) a pulse disturbance event for the period 2015-2016, following the immediate release of sediments after dam burst, which witnessed an average increase of 88% in sediment exports; and (ii) a press disturbance phase for the period 2017-2029, when impacts are sustained over time by sediments along the river's course. We integrated four components into impact assessments: hydrological modelling, coastal-circulation modelling, ecosystem mapping, and biological sensitivities. The results showed that pulse disturbance causes sharp increases in the amount of sediments entering the coastal area, exposing key sensitive ecosystems to pollution (e.g. rhodolith beds), highlighting an urgent need for developing restoration strategies for these areas. The intensity of impacts will diminish over time but the total area of sensitive ecosystems at risk are predicted to be enlarged. We determined monitoring and restoration priorities by evaluating and comparing the extent to which sensitive ecosystems within marine protected areas were exposed to disturbances. The information obtained in this study will allow the optimization of recovery efforts in the marine area affected, and valuation of ecosystem services lost. (c) 2018 Elsevier B.V. All rights reserved.</t>
  </si>
  <si>
    <t>[Magris, Rafael A.] Brazilian Minist Environm, Chico Mendes Inst Biodivers Conservat, Brasilia, DF, Brazil; [Magris, Rafael A.; Ban, Natalie C.] Univ Victoria, Sch Environm Studies, Victoria, BC, Canada; [Marta-Almeida, Martinho] Univ Vigo, Vigo, Spain; [Marta-Almeida, Martinho] IEO, Ctr Oceanograf A Coruna, Madrid, Spain; [Monteiro, Jose A. F.] Free Univ Berlin, Inst Biol, Biodiversity Theoret Ecol, Berlin, Germany</t>
  </si>
  <si>
    <t>University of Victoria; Universidade de Vigo; Free University of Berlin</t>
  </si>
  <si>
    <t>Magris, RA (corresponding author), Brazilian Minist Environm, Chico Mendes Inst Biodivers Conservat, Brasilia, DF, Brazil.;Magris, RA (corresponding author), Univ Victoria, Sch Environm Studies, Victoria, BC, Canada.</t>
  </si>
  <si>
    <t>rafael.magris@icmbio.gov.br</t>
  </si>
  <si>
    <t>Monteiro, José/A-8694-2013; Marta-Almeida, Martinho/C-1715-2008; Ban, Natalie/C-6938-2009</t>
  </si>
  <si>
    <t>Marta-Almeida, Martinho/0000-0001-8214-3096; MAGRIS, RAFAEL/0000-0002-1471-6603; Ban, Natalie/0000-0002-4682-2144</t>
  </si>
  <si>
    <t>CNPQ/Brazil; MITAC/Canada (Mitacs Globalink Early Career Fellowship program); ICMBio/MMA; German Research Foundation (DFG) [TI 824/3-1]; UVic; NSERC</t>
  </si>
  <si>
    <t>CNPQ/Brazil(Conselho Nacional de Desenvolvimento Cientifico e Tecnologico (CNPQ)); MITAC/Canada (Mitacs Globalink Early Career Fellowship program); ICMBio/MMA; German Research Foundation (DFG)(German Research Foundation (DFG)); UVic; NSERC(Natural Sciences and Engineering Research Council of Canada (NSERC))</t>
  </si>
  <si>
    <t>RAM is thankful to CNPQ/Brazil and MITAC/Canada (Mitacs Globalink Early Career Fellowship program) for financial support. RAM also acknowledges ICMBio/MMA and UVic for support in developing this project. NCB received financial support from NSERC. JAFM was funded by the German Research Foundation (DFG project TI 824/3-1).</t>
  </si>
  <si>
    <t>10.1016/j.scitotenv.2018.12.238</t>
  </si>
  <si>
    <t>HJ6JK</t>
  </si>
  <si>
    <t>WOS:000457293700082</t>
  </si>
  <si>
    <t>Selkoe, KA; Halpern, BS; Ebert, CM; Franklin, EC; Selig, ER; Casey, KS; Bruno, J; Toonen, RJ</t>
  </si>
  <si>
    <t>Selkoe, K. A.; Halpern, B. S.; Ebert, C. M.; Franklin, E. C.; Selig, E. R.; Casey, K. S.; Bruno, J.; Toonen, R. J.</t>
  </si>
  <si>
    <t>Threat assessment; Vulnerability; Ecosystem-based management; Marine-protected areas; Northwestern Hawaiian Islands</t>
  </si>
  <si>
    <t>FRENCH FRIGATE SHOALS; HAWAIIAN-ISLANDS; CLIMATE-CHANGE; NORTHWESTERN; ASSEMBLAGES; HABITAT; THREATS; ALGAE</t>
  </si>
  <si>
    <t>Effective and comprehensive regional-scale marine conservation requires fine-grained data on the spatial patterns of threats and their overlap. To address this need for the PapahAnaumokuAkea Marine National Monument (Monument) in Hawaii, USA, spatial data on 14 recent anthropogenic threats specific to this region were gathered or created, including alien species, bottom fishing, lobster trap fishing, ship-based pollution, ship strike risks, marine debris, research diving, research equipment installation, research wildlife sacrifice, and several anthropogenic climate change threats i.e., increase in ultraviolet (UV) radiation, seawater acidification, the number of warm ocean temperature anomalies relevant to disease outbreaks and coral bleaching, and sea level rise. These data were combined with habitat maps and expert judgment on the vulnerability of different habitat types in the Monument to estimate spatial patterns of current cumulative impact at 1 ha (0.01 km(2)) resolution. Cumulative impact was greatest for shallow reef areas and peaked at Maro Reef, where 13 of the 14 threats overlapped in places. Ocean temperature variation associated with disease outbreaks was found to have the highest predicted impact overall, followed closely by other climate-related threats, none of which have easily tractable management solutions at the regional scale. High impact threats most tractable to regional management relate to ship traffic. Sensitivity analyses show that the results are robust to both data availability and quality. Managers can use these maps to (1) inform management and surveillance priorities based on the ranking of threats and their distributions, (2) guide permitting decisions based on cumulative impacts, and (3) choose areas to monitor for climate change effects. Furthermore, this regional analysis can serve as a case study for managers elsewhere interested in assessing and mapping region-specific cumulative human impacts.</t>
  </si>
  <si>
    <t>[Selkoe, K. A.; Halpern, B. S.; Ebert, C. M.] Natl Ctr Ecol Anal &amp; Synth, Santa Barbara, CA 93101 USA; [Selkoe, K. A.; Franklin, E. C.; Toonen, R. J.] Univ Hawaii, Hawaii Inst Marine Biol, Kaneohe, HI 96744 USA; [Bruno, J.] Univ N Carolina, Dept Marine Sci, Chapel Hill, NC 27599 USA; [Casey, K. S.] NOAA, Natl Oceanog Data Ctr, Silver Spring, MD 20910 USA</t>
  </si>
  <si>
    <t>University of California System; University of California Santa Barbara; University of Hawaii System; University of North Carolina; University of North Carolina Chapel Hill; National Oceanic Atmospheric Admin (NOAA) - USA</t>
  </si>
  <si>
    <t>Selkoe, KA (corresponding author), Natl Ctr Ecol Anal &amp; Synth, 735 State St, Santa Barbara, CA 93101 USA.</t>
  </si>
  <si>
    <t>selkoe@nceas.ucsb.edu</t>
  </si>
  <si>
    <t>; Casey, Kenneth/D-4065-2013; Toonen, Robert J/V-6230-2019; Halpern, Benjamin/J-6141-2014</t>
  </si>
  <si>
    <t>Franklin, Erik/0000-0002-8660-3085; Casey, Kenneth/0000-0002-6052-7117; Toonen, Robert J/0000-0001-6339-4340;</t>
  </si>
  <si>
    <t>National Marine Sanctuaries [MOA 2005-008/66832]; David &amp; Lucille Packard Foundation; NCEAS</t>
  </si>
  <si>
    <t>National Marine Sanctuaries; David &amp; Lucille Packard Foundation(The David &amp; Lucile Packard Foundation); NCEAS</t>
  </si>
  <si>
    <t>Thanks to the Northwestern Hawaiian Islands scientific and management communities for their participation and data sharing. Thanks to Rusty Brainard for help with benthic cover data, the Marine Debris Team at the NOAA PIFSC Coral Reef Ecosystem Division, and John Guinotte for assistance with acidification data. Funding was provided through a National Marine Sanctuaries MOA 2005-008/66832 (KAS and RJT) and the David &amp; Lucille Packard Foundation and NCEAS (BSH).</t>
  </si>
  <si>
    <t>10.1007/s00338-009-0490-z</t>
  </si>
  <si>
    <t>474ZN</t>
  </si>
  <si>
    <t>WOS:000268323800009</t>
  </si>
  <si>
    <t>Pilcher, NJ; Adulyanukosol, K; Das, H; Davis, P; Hines, E; Kwan, D; Marsh, H; Ponnampalam, L; Reynolds, J</t>
  </si>
  <si>
    <t>Pilcher, Nicolas J.; Adulyanukosol, Kanjana; Das, Himansu; Davis, Patricia; Hines, Ellen; Kwan, Donna; Marsh, Helene; Ponnampalam, Louisa; Reynolds, John</t>
  </si>
  <si>
    <t>TRADITIONAL ECOLOGICAL KNOWLEDGE; LOCAL KNOWLEDGE; MANAGEMENT; BYCATCH</t>
  </si>
  <si>
    <t>Fisheries bycatch is a widespread and serious issue that leads to declines of many important and threatened marine species. However, documenting the distribution, abundance, population trends and threats to sparse populations of marine species is often beyond the capacity of developing countries because such work is complex, time consuming and often extremely expensive. We have developed a flexible tool to document spatial distribution and population trends for dugongs and other marine species in the form of an interview questionnaire supported by a structured data upload sheet and a comprehensive project manual. Recognising the effort invested in getting interviewers to remote locations, the questionnaire is comprehensive, but low cost. The questionnaire has already been deployed in 18 countries across the Indo-Pacific region. Project teams spent an average of USD 5,000 per country and obtained large data sets on dugong distribution, trends, catch and bycatch, and threat overlaps. Findings indicated that &gt;50% of respondents had never seen dugongs and that 20% had seen a single dugong in their lifetimes despite living and fishing in areas of known or suspected dugong habitat, suggesting that dugongs occurred in low numbers. Only 3% of respondents had seen mother and calf pairs, indicative of low reproductive output. Dugong hunting was still common in several countries. Gillnets and hook and line were the most common fishing gears, with the greatest mortality caused by gillnets. The questionnaire has also been used to study manatees in the Caribbean, coastal cetaceans along the eastern Gulf of Thailand and western Peninsular Malaysia, and river dolphins in Peru. This questionnaire is a powerful tool for studying distribution and relative abundance for marine species and fishery pressures, and determining potential conservation hotspot areas. We provide the questionnaire and supporting documents for open-access use by the scientific and conservation communities.</t>
  </si>
  <si>
    <t>[Pilcher, Nicolas J.] Marine Res Fdn, Kota Kinabalu, Sabah, Malaysia; [Adulyanukosol, Kanjana] Upper Gulf Thailand Marine &amp; Coastal Resource Res, Samut Sakhon, Thailand; [Das, Himansu] Environm Agcy Abu Dhabi, Abu Dhabi, U Arab Emirates; [Davis, Patricia] Community Centered Conservat, London, England; [Hines, Ellen] San Francisco State Univ, Romberg Tiburon Ctr Environm Studies, Dept Geog &amp; Environm, San Francisco, CA 94132 USA; [Kwan, Donna] Convent Migratory Species Off, Abu Dhabi, U Arab Emirates; [Marsh, Helene] James Cook Univ, Townsville, Qld, Australia; [Ponnampalam, Louisa] MareCet Res Org, Shah Alam, Malaysia; [Reynolds, John] Mote Marine Lab, Sarasota, FL 34236 USA</t>
  </si>
  <si>
    <t>California State University System; San Francisco State University; James Cook University; Mote Marine Laboratory &amp; Aquarium</t>
  </si>
  <si>
    <t>Pilcher, NJ (corresponding author), Marine Res Fdn, Kota Kinabalu, Sabah, Malaysia.</t>
  </si>
  <si>
    <t>npilcher@mrf-asia.org</t>
  </si>
  <si>
    <t>; PONNAMPALAM, LOUISA/B-8885-2010</t>
  </si>
  <si>
    <t>Ponnampalam, Louisa/0000-0003-0371-2620; Pilcher, Nicolas/0000-0002-9717-5469;</t>
  </si>
  <si>
    <t>UNEP-CMS; UNEP-CMS Dugong MoU; [SSFA/CMSAD/2009/002]; [SSFA/CMSAD/2009/004]; [SSFA/CMSAD/2001/006]; [SSFA/CMSAD/2011/005]; [SSFA/CMSAD/2011/006]; [SSFA/CMSAD/2011/008]</t>
  </si>
  <si>
    <t>UNEP-CMS; UNEP-CMS Dugong MoU; ; ; ; ; ;</t>
  </si>
  <si>
    <t>Funding to develop the questionnaire and implement it across the Indo Pacific region was provided by UNEP-CMS (http://www.cms.int/dugong/en) to the Marine Research Foundation and to several regional partners via small scale funding agreements SSFA/CMSAD/2009/002, SSFA/CMSAD/2009/004, SSFA/CMSAD/2001/006, SSFA/CMSAD/2011/005, SSFA/CMSAD/2011/006, and SSFA/CMSAD/2011/008. DK is employed by the funders and arranged for funding agreements, but the funding agency had no role in study design, data collection and analysis, decision to publish, or preparation of the manuscript.This questionnaire was based largely on the Rapid Bycatch Assessment developed Jeff Moore and colleagues (2010) which ensued from earlier discussions amongst Andy Read, Catherine Muir, and Jeremy Kiszka. We are grateful to Lisa Campbell and Grant Murray for their appraisal of the questionnaire through the lens of social scientists, and to Jeff Moore and Rebecca Lewison for insightful advice in the design of the questionnaire. The UNEP-CMS Dugong MoU Secretariat provided seed funding to develop this questionnaire and for subsequent trials in the field. We are grateful to the Environment Agency Abu Dhabi for their continued support of the MoU Secretariat and financial contributions to UNEP-CMS. We also thank Chris Cleguer for providing access to the model of dugong distribution and relative density based on information collected from aerial surveys in New Caledonia. We are all individually grateful to our respective institutions for allowing us to invest time into this endeavor, and to the countless project coordinators and interviewers who implemented the questionnaire programme out in the field. This manuscript is dedicated to the memory of Dr. Kanjana Adulyanukosol, whose immense contribution to dugong biology and biodiversity conservation across several developing countries will always be remembered.</t>
  </si>
  <si>
    <t>e0190021</t>
  </si>
  <si>
    <t>10.1371/journal.pone.0190021</t>
  </si>
  <si>
    <t>FR4KF</t>
  </si>
  <si>
    <t>WOS:000419033400026</t>
  </si>
  <si>
    <t>Winters, G; Edelist, D; Shem-Tov, R; Beer, S; Rilov, G</t>
  </si>
  <si>
    <t>Winters, Gidon; Edelist, Dor; Shem-Tov, Rachamim; Beer, Sven; Rilov, Gil</t>
  </si>
  <si>
    <t>Gulf of Aqaba; seagrass ecosystems; Halophila stipulacea; mapping; ecosystem services; management; conservation; geographic information system (GIS); seagrass meadows</t>
  </si>
  <si>
    <t>EELGRASS ZOSTERA-MARINA; HALOPHILA-STIPULACEA; INTERTIDAL SEAGRASSES; WATER-QUALITY; DEPTH-LIMIT; CORAL-REEFS; FLORIDA BAY; ECOSYSTEMS; DIVERSITY; GROWTH</t>
  </si>
  <si>
    <t>1. In the Gulf of Aqaba (GoA), coral reefs are considered the dominating ecosystem, while seagrass meadows, recognized worldwide as important ecosystems, have received little attention. Absence of comprehensive seagrass maps limits awareness, evaluations of associated ecosystem services, and implementation of conservation and management tools. 2. Presented here are the first detailed maps of seagrass meadows along the Israeli coast of the northern GoA. Mapping was performed by snorkelling along transects perpendicular to the shore above meadows growing at 15-25 m. Measurements along these transects included position, meadow depth and visual estimations of seagrass cover. Shallow boundaries of meadows, parallel to shore, were recorded by GPS tracking. Supplementary work included drop-camera boat surveys to determine the position of the deeper edge of meadows. In addition, GIS layers were created that indicated shoreline infrastructures, near-shore human activities and potential pollution threats. Ecosystem services of seagrass meadows mapped were valuated using a benefit transfer approach. 3. In total, 9.7 km of the 11 km shoreline were surveyed and 2830 data points collected. Seagrasses were growing along 7.5 km of the shoreline, with shallow (15-25 m) meadows found to cover an area of 707 000 m(2) and valued at more than US$ 2 000 000 yr(-1) in associated ecosystem services. Pilot drop-camera surveys (additional 283 data points) indicated that meadows can extend down to 50 m in some places. Coastal uses and threats varied in character and location. A municipality runoff point and drainage canal located close to the largest meadow were identified as the main threats to local seagrasses. 4. These low-cost methods enhance our understanding of seagrass distribution in the northern GoA. They demonstrate a GIS-based tool for assessing how environmental changes might affect the cover and state of seagrasses, improving efforts to conserve seagrass, and have particular relevance to seagrass mapping in developing countries and/or island nations. Copyright (c) 2016 John Wiley &amp; Sons, Ltd.</t>
  </si>
  <si>
    <t>[Winters, Gidon; Shem-Tov, Rachamim] Tamar Reg Council, Dead Sea &amp; Arava Sci Ctr, IL-86910 Dead Sea Mobile Post, Israel; [Edelist, Dor; Rilov, Gil] Natl Inst Oceanog, Haifa, Israel; [Beer, Sven] Tel Aviv Univ, Dept Mol Biol &amp; Ecol Plants, Tel Aviv, Israel</t>
  </si>
  <si>
    <t>Israel Oceanographic &amp; Limnological Research Institute; Tel Aviv University</t>
  </si>
  <si>
    <t>Winters, G (corresponding author), Tamar Reg Council, Dead Sea &amp; Arava Sci Ctr, IL-86910 Dead Sea Mobile Post, Israel.</t>
  </si>
  <si>
    <t>wintersg@adssc.org</t>
  </si>
  <si>
    <t>Winters, Gidon/AGK-4167-2022; edelist, dor/HGD-5614-2022</t>
  </si>
  <si>
    <t>Winters, Gidon/0000-0001-9997-2034; Rilov, Gil/0000-0002-1334-4887</t>
  </si>
  <si>
    <t>Israeli Ministry of Environmental Protection [121-4-1]; Israeli Nature Park Authority (INPA); Dead Sea and Arava Science Center (ADSSC)</t>
  </si>
  <si>
    <t>Israeli Ministry of Environmental Protection; Israeli Nature Park Authority (INPA); Dead Sea and Arava Science Center (ADSSC)</t>
  </si>
  <si>
    <t>This work was supported by the Israeli Ministry of Environmental Protection (grant number 121-4-1), the Israeli Nature Park Authority (INPA) and the Dead Sea and Arava Science Center (ADSSC). The authors are grateful to the staff at the Interuniversity Institute for Marine Sciences (IUI) in Eilat for their logistic support. We thank Tuvia Dulin, Tal Elmaliach and Raz Tamir for helping out in the field.</t>
  </si>
  <si>
    <t>10.1002/aqc.2688</t>
  </si>
  <si>
    <t>ER3EO</t>
  </si>
  <si>
    <t>WOS:000398678800003</t>
  </si>
  <si>
    <t>Orgiazzi, A; Panagos, P; Yigini, Y; Dunbar, MB; Gardi, C; Montanarella, L; Ballabio, C</t>
  </si>
  <si>
    <t>Orgiazzi, Alberto; Panagos, Panos; Yigini, Yusuf; Dunbar, Martha B.; Gardi, Ciro; Montanarella, Luca; Ballabio, Cristiano</t>
  </si>
  <si>
    <t>Soil biodiversity; Risk assessment; Land-use planning; Soil biota conservation</t>
  </si>
  <si>
    <t>ORGANIC-CARBON; MICROBIAL COMMUNITY; INFORMATION; MANAGEMENT; DROUGHT; EUROPE; LEGACY; FUNGI; MAP</t>
  </si>
  <si>
    <t>Because of the increasing pressures exerted on soil, below-ground life is under threat. Knowledge-based rankings of potential threats to different components of soil biodiversity were developed in order to assess the spatial distribution of threats on a European scale. A list of 13 potential threats to soil biodiversity was proposed to experts with different backgrounds in order to assess the potential for three major components of soil biodiversity: soil microorganisms, fauna, and biological functions. This approach allowed us to obtain knowledge-based rankings of threats. These classifications formed the basis for the development of indices through an additive aggregation model that, along with ad-hoc proxies for each pressure, allowed us to preliminarily assess the spatial patterns of potential threats. Intensive exploitation was identified as the highest pressure. In contrast, the use of genetically modified organisms in agriculture was considered as the threat with least potential. The potential impact of climate change showed the highest uncertainty. Fourteen out of the 27 considered countries have more than 40% of their soils with moderate-high to high potential risk for all three components of soil biodiversity. Arable soils are the most exposed to pressures. Soils within the boreal biogeographic region showed the lowest risk potential. The majority of soils at risk are outside the boundaries of protected areas. First maps of risks to three components of soil biodiversity based on the current scientific knowledge were developed. Despite the intrinsic limits of knowledge-based assessments, a remarkable potential risk to soil biodiversity was observed. Guidelines to preliminarily identify and circumscribe soils potentially at risk are provided. This approach may be used in future research to assess threat at both local and global scale and identify areas of possible risk and, subsequently, design appropriate strategies for monitoring and protection of soil biota. (C) 2015 The Authors. Published by Elsevier B.V.</t>
  </si>
  <si>
    <t>[Orgiazzi, Alberto; Panagos, Panos; Yigini, Yusuf; Dunbar, Martha B.; Gardi, Ciro; Montanarella, Luca; Ballabio, Cristiano] Commiss European Communities, IES, JRC, Land Resource Management Unit, Via E Fermi 2749, I-21027 Ispra, VA, Italy; [Gardi, Ciro] European Food Safety Author, Anim &amp; Plant Hlth, Via Carlo Magno 1A, I-43126 Parma, Italy</t>
  </si>
  <si>
    <t>European Commission Joint Research Centre; EC JRC ISPRA Site; European Food Safety Authority</t>
  </si>
  <si>
    <t>Orgiazzi, A (corresponding author), Commiss European Communities, IES, JRC, Land Resource Management Unit, Via E Fermi 2749, I-21027 Ispra, VA, Italy.</t>
  </si>
  <si>
    <t>alberto.orgiazzi@jrc.ec.europa.eu</t>
  </si>
  <si>
    <t>; Gardi, Ciro/J-3597-2012; Montanarella, Luca/AAE-7112-2019; Ballabio, Cristiano/A-6142-2014; Panagos, Panos/F-1699-2011</t>
  </si>
  <si>
    <t>Dunbar, Martha Bonnet/0000-0003-1834-5843; Gardi, Ciro/0000-0002-8107-4401; Ballabio, Cristiano/0000-0001-7452-9271; Panagos, Panos/0000-0003-1484-2738; YIGINI, Yusuf/0000-0002-3783-3212</t>
  </si>
  <si>
    <t>European Commission within the EcoFINDERS project [FP7-264465]</t>
  </si>
  <si>
    <t>European Commission within the EcoFINDERS project</t>
  </si>
  <si>
    <t>The authors sincerely thank everyone who took the time to reply to the questionnaire and help make this research possible. We also thank Ana Cristina Cardoso and Ivan Deriu of the JRC's Water Resources Unit, and the European Alien Species Information Network (EASIN), for providing data on invasive species. A special thanks to Philippe Lemanceau for his advice during the preparation of the questionnaire. This work was supported by the European Commission within the EcoFINDERS project (FP7-264465).</t>
  </si>
  <si>
    <t>10.1016/j.scitotenv.2015.12.092</t>
  </si>
  <si>
    <t>DC8TQ</t>
  </si>
  <si>
    <t>WOS:000369493000002</t>
  </si>
  <si>
    <t>Graham, TL; Matthews, HD; Turner, SE</t>
  </si>
  <si>
    <t>Graham, Tanya L.; Matthews, H. Damon; Turner, Sarah E.</t>
  </si>
  <si>
    <t>Climate change; IUCN; Nonhuman primates; Spatial analysis; Threatened species</t>
  </si>
  <si>
    <t>ALOUATTA-PIGRA; POPULATION; IMPACTS; FOREST; SURVIVAL; MONKEYS; WORLD; RISK</t>
  </si>
  <si>
    <t>Human-induced climate change poses many potential threats to nonhuman primate species, many of which are already threatened by human activities such as deforestation, hunting, and the exotic pet trade. Here, we assessed the exposure and potential vulnerability of all nonhuman primate species to projected future temperature and precipitation changes. We found that overall, nonhuman primates will experience 10 % more warming than the global mean, with some primate species experiencing &gt; 1.5 A degrees C for every A degrees C of global warming. Precipitation changes are likely to be quite varied across primate ranges (from &gt; 7.5 % increases per A degrees C of global warming to &gt; 7.5 % decreases). We also identified individual endangered species with existing vulnerabilities (owing to their small range areas, specialized diet, or restricted habitat use) that are expected to experience the largest climate changes. Finally, we defined hotspots of primate vulnerability to climate changes as areas with many primate species, high concentrations of endangered species, and large expected climate changes. Although all primate species will experience substantial changes from current climatic conditions, our hotspot analysis suggests that species in Central America, the Amazon, and southeastern Brazil, as well as portions of East and Southeast Asia, may be the most vulnerable to the anticipated impacts of global warming. It is essential that impacts of human-induced climate change be a priority for research and conservation planning in primatology, particularly for species that are already threatened by other human pressures. The vulnerable species and regional hotspots that we identify here represent critical priorities for conservation efforts, as existing challenges are expected to become increasingly compounded by the impacts of global warming.</t>
  </si>
  <si>
    <t>[Graham, Tanya L.; Matthews, H. Damon] Concordia Univ, Dept Geog Planning &amp; Environm, Montreal, PQ H3G 1M8, Canada; [Turner, Sarah E.] McGill Univ, Dept Biol, 1205 Doctor Penfield Ave, Montreal, PQ H3A 1B1, Canada</t>
  </si>
  <si>
    <t>Concordia University - Canada; McGill University</t>
  </si>
  <si>
    <t>Graham, TL (corresponding author), Concordia Univ, Dept Geog Planning &amp; Environm, Montreal, PQ H3G 1M8, Canada.</t>
  </si>
  <si>
    <t>tanya.graham@concordia.ca</t>
  </si>
  <si>
    <t>Matthews, Damon/AAD-2430-2020; Turner, Sarah/AAF-5084-2019</t>
  </si>
  <si>
    <t>Matthews, Damon/0000-0003-3625-390X; Turner, Sarah/0000-0002-6506-6567</t>
  </si>
  <si>
    <t>Concordia Institute for Water, Energy and Sustainable Systems (CIWESS); Natural Sciences and Engineering Research Council of Canada (NSERC); Le Fonds de recherche du Quebec-Nature et technologies (FRQNT)</t>
  </si>
  <si>
    <t>Concordia Institute for Water, Energy and Sustainable Systems (CIWESS); Natural Sciences and Engineering Research Council of Canada (NSERC)(Natural Sciences and Engineering Research Council of Canada (NSERC)); Le Fonds de recherche du Quebec-Nature et technologies (FRQNT)</t>
  </si>
  <si>
    <t>We thank J. Freeman, D. Naud, and the members of the Concordia Climate Science, Impacts and Mitigation Studies (C2SIMS) Lab for their contributions and feedback during the research process, as well as D. Seto and M. Burelli for G.I.S. technical support. We thank J. Setchell, A. Korstjens, and one anonymous reviewer for their helpful suggestions and critiques of earlier versions of this manuscript. We would also like to express our appreciation for access to the All the World's Primates database and to M. Myers for answering our questions about the data therein. T. L. Graham and H. D. Matthews acknowledge funding from the Concordia Institute for Water, Energy and Sustainable Systems (CIWESS) and the Natural Sciences and Engineering Research Council of Canada (NSERC). S. E. Turner thanks Le Fonds de recherche du Quebec-Nature et technologies (FRQNT) for a postdoctoral fellowship that helped support this research, S. Reader for his support, and L. Gould for helpful conversations during early phases of this project. H. D. Matthews and S. E. Turner thank M. Amichai for childcare.</t>
  </si>
  <si>
    <t>10.1007/s10764-016-9890-4</t>
  </si>
  <si>
    <t>DM3ZW</t>
  </si>
  <si>
    <t>WOS:000376286300003</t>
  </si>
  <si>
    <t>Lewis, SM; Wong, CH; Owens, ACS; Fallon, C; Jepsen, S; Thancharoen, A; Wu, C; de Cock, R; Novák, M; López-Palafox, T; Khoo, V; Reed, JM</t>
  </si>
  <si>
    <t>Lewis, Sara M.; Wong, Choong Hay; Owens, Avalon C. S.; Fallon, Candace; Jepsen, Sarina; Thancharoen, Anchana; Wu, Chiahsiung; de Cock, Raphael; Novak, Martin; Lopez-Palafox, Tania; Khoo, Veronica; Reed, J. Michael</t>
  </si>
  <si>
    <t>Coleoptera; extinction risk; insect conservation; IUCN; Lampyridae</t>
  </si>
  <si>
    <t>COLEOPTERA LAMPYRIDAE; LIGHT-POLLUTION; NEONICOTINOIDS; CONSERVATION; INSECTICIDES; LANDSCAPE; BRAZIL; FIPRONIL; INSECTS; ABILITY</t>
  </si>
  <si>
    <t>Insect declines and their drivers have attracted considerable recent attention. Fireflies and glowworms are iconic insects whose conspicuous bioluminescent courtship displays carry unique cultural significance, giving them economic value as ecotourist attractions. Despite evidence of declines, a comprehensive review of the conservation status and threats facing the approximately 2000 firefly species worldwide is lacking. We conducted a survey of experts from diverse geographic regions to identify the most prominent perceived threats to firefly population and species persistence. Habitat loss, light pollution, and pesticide use were regarded as the most serious threats, although rankings differed substantially across regions. Our survey results accompany a comprehensive review of current evidence concerning the impact of these stressors on firefly populations. We also discuss risk factors likely to increase the vulnerability of certain species to particular threats. Finally, we highlight the need to establish monitoring programs to track long-term population trends for at-risk firefly taxa.</t>
  </si>
  <si>
    <t>[Lewis, Sara M.; Wong, Choong Hay; Owens, Avalon C. S.; Fallon, Candace; Jepsen, Sarina; Thancharoen, Anchana; Wu, Chiahsiung; de Cock, Raphael; Novak, Martin; Lopez-Palafox, Tania; Khoo, Veronica; Reed, J. Michael] IUCN SSC, Firefly Specialist Grp, Caracas, Venezuela; [Owens, Avalon C. S.; Reed, J. Michael] Tufts Univ, Dept Biol, Medford, MA USA; [Wu, Chiahsiung] Huafan Univ, Taipei, Taiwan; [Wong, Choong Hay] Malaysia Nat Soc, Kuala Lumpur, Malaysia; [Fallon, Candace; Jepsen, Sarina] Xerces Soc Invertebrate Conservat, Portland, OR USA; [Thancharoen, Anchana] Kasetsart Univ, Fac Agr, Dept Entomol, Bangkok, Thailand; [Novak, Martin] Czech Univ Life Sci, Dept Ecol, Prague, Czech Republic; [de Cock, Raphael] Univ Antwerp, Evolutionary Ecol Res Grp, Dept Biol, Antwerp, Belgium; [Lopez-Palafox, Tania] Univ Nacl Autonoma Mexico, Inst Ecol, Mexico City, DF, Mexico; [Khoo, Veronica] Forest Res Inst Malaysia, Forest Biodivers Div, Selangor, Malaysia</t>
  </si>
  <si>
    <t>Tufts University; Huafan University; Kasetsart University; Czech University of Life Sciences Prague; University of Antwerp; Universidad Nacional Autonoma de Mexico; Institute Penyelidikan Perhutanan Malaysia</t>
  </si>
  <si>
    <t>Lewis, SM (corresponding author), IUCN SSC, Firefly Specialist Grp, Caracas, Venezuela.</t>
  </si>
  <si>
    <t>sara.lewis@tufts.edu</t>
  </si>
  <si>
    <t>De Cock, Raphael/ABC-3960-2021; López-Palafox, Tania Guadalupe/KEQ-8129-2024; Novák, Martin/W-1726-2018</t>
  </si>
  <si>
    <t>Owens, Avalon/0000-0001-7212-2275; Lewis, Sara/0000-0002-9600-2558; López-Palafox, Tania Guadalupe/0000-0002-5537-4080; Novák, Martin/0000-0001-8158-4105; Fallon, Candace/0000-0002-6100-6436</t>
  </si>
  <si>
    <t>10.1093/biosci/biz157</t>
  </si>
  <si>
    <t>KS8AW</t>
  </si>
  <si>
    <t>WOS:000518528700013</t>
  </si>
  <si>
    <t>Lewis, SM; Wong, CH; Owens, ACS; Fallon, C; Jepsen, S; Thancharoen, A; Wu, C; De Cock, R; Novák, M; López-Palafox, T; Khoo, V; Reed, JM</t>
  </si>
  <si>
    <t>Lewis, Sara M.; Wong, Choong Hay; Owens, Avalon C. S.; Fallon, Candace; Jepsen, Sarina; Thancharoen, Anchana; Wu, Chiahsiung; De Cock, Raphael; Novak, Martin; Lopez-Palafox, Tania; Khoo, Veronica; Reed, J. Michael</t>
  </si>
  <si>
    <t>[Lewis, Sara M.; Wong, Choong Hay; Owens, Avalon C. S.; Fallon, Candace; Jepsen, Sarina; Thancharoen, Anchana; Wu, Chiahsiung; De Cock, Raphael; Novak, Martin; Lopez-Palafox, Tania; Khoo, Veronica; Reed, J. Michael] Int Union Conservat Nat Species Survival Commiss, Firefly Specialist Grp, Gland, Switzerland; [Lewis, Sara M.; Owens, Avalon C. S.; Reed, J. Michael] Tufts Univ, Dept Biol, Medford, MA 02155 USA; [Wu, Chiahsiung] Huafan Univ, Taipei, Taiwan; [Wong, Choong Hay] Malaysia Nat Soc, Kuala Lumpur, Malaysia; [Fallon, Candace; Jepsen, Sarina] Xerces Soc Invertebrate Conservat, Portland, OR USA; [Thancharoen, Anchana] Kasetsart Univ, Fac Agr, Dept Entomol, Bangkok, Thailand; [Novak, Martin] Czech Univ Life Sci, Dept Ecol, Prague, Czech Republic; [De Cock, Raphael] Univ Antwerp, Evolutionary Ecol Res Grp, Dept Biol, Antwerp, Belgium; [Lopez-Palafox, Tania] Univ Nacl Autonoma Mexico, Inst Ecol, Mexico City, DF, Mexico; [Khoo, Veronica] Forest Res Inst Malaysia, Forest Biodivers Div, Kuala Lumpur, Selangor, Malaysia</t>
  </si>
  <si>
    <t>Lewis, SM (corresponding author), Int Union Conservat Nat Species Survival Commiss, Firefly Specialist Grp, Gland, Switzerland.;Lewis, SM (corresponding author), Tufts Univ, Dept Biol, Medford, MA 02155 USA.</t>
  </si>
  <si>
    <t>Novák, Martin/W-1726-2018; Lopez, Tania/KEQ-8129-2024; De Cock, Raphael/ABC-3960-2021</t>
  </si>
  <si>
    <t>Novák, Martin/0000-0001-8158-4105;</t>
  </si>
  <si>
    <t>10.1093/biosci/biaa026</t>
  </si>
  <si>
    <t>LU0JK</t>
  </si>
  <si>
    <t>WOS:000537449600012</t>
  </si>
  <si>
    <t>Halpern, BS; Walbridge, S; Selkoe, KA; Kappel, CV; Micheli, F; D'Agrosa, C; Bruno, JF; Casey, KS; Ebert, C; Fox, HE; Fujita, R; Heinemann, D; Lenihan, HS; Madin, EMP; Perry, MT; Selig, ER; Spalding, M; Steneck, R; Watson, R</t>
  </si>
  <si>
    <t>Halpern, Benjamin S.; Walbridge, Shaun; Selkoe, Kimberly A.; Kappel, Carrie V.; Micheli, Fiorenza; D'Agrosa, Caterina; Bruno, John F.; Casey, Kenneth S.; Ebert, Colin; Fox, Helen E.; Fujita, Rod; Heinemann, Dennis; Lenihan, Hunter S.; Madin, Elizabeth M. P.; Perry, Matthew T.; Selig, Elizabeth R.; Spalding, Mark; Steneck, Robert; Watson, Reg</t>
  </si>
  <si>
    <t>COASTAL; FISHERIES; BIODIVERSITY; CONSERVATION; OCEAN; WORLD; AQUACULTURE; DEPLETION; HOTSPOTS; THREATS</t>
  </si>
  <si>
    <t>The management and conservation of the world's oceans require synthesis of spatial data on the distribution and intensity of human activities and the overlap of their impacts on marine ecosystems. We developed an ecosystem- specific, multiscale spatial model to synthesize 17 global data sets of anthropogenic drivers of ecological change for 20 marine ecosystems. Our analysis indicates that no area is unaffected by human influence and that a large fraction ( 41%) is strongly affected by multiple drivers. However, large areas of relatively little human impact remain, particularly near the poles. The analytical process and resulting maps provide flexible tools for regional and global efforts to allocate conservation resources; to implement ecosystem- based management; and to inform marine spatial planning, education, and basic research.</t>
  </si>
  <si>
    <t>[Halpern, Benjamin S.; Walbridge, Shaun; Selkoe, Kimberly A.; Kappel, Carrie V.; Ebert, Colin; Perry, Matthew T.] Natl Ctr Ecol Anal &amp; Synth, Santa Barbara, CA 93101 USA; [Selkoe, Kimberly A.] Hawaii Inst Marine Biol, Kaneohe, HI 96744 USA; [Micheli, Fiorenza] Stanford Univ, Hopkins Marine Stn, Pacific Grove, CA 93950 USA; [D'Agrosa, Caterina] Wildlife Conservat Soc, Bronx, NY 10460 USA; [Bruno, John F.] Univ N Carolina, Dept Marine Sci, Chapel Hill, NC 27599 USA; [Casey, Kenneth S.; Selig, Elizabeth R.] NOAA, Natl Oceanog Data Ctr, Silver Spring, MD 20910 USA; [Fox, Helen E.] World Wildlife Fund, Conservat Sci Program, Washington, DC 20037 USA; [Fujita, Rod] Environm Def, Oakland, CA 94618 USA; [Heinemann, Dennis] Ocean Conservancy, Washington, DC 20006 USA; [Lenihan, Hunter S.] Univ Calif Santa Barbara, Bren Sch Environm Sci &amp; Management, Santa Barbara, CA 93106 USA; [Madin, Elizabeth M. P.] Univ Calif Santa Barbara, Dept Ecol Evolut &amp; Marine Biol, Santa Barbara, CA 93106 USA; [Selig, Elizabeth R.] Univ N Carolina, Curriculum Ecol, Chapel Hill, NC 27599 USA; [Spalding, Mark] Nature Conservancy, Conservat Strategies Div, Newmarket CB8 8AW, Suffolk, England; [Steneck, Robert] Univ Maine, Darling Marine Ctr, Sch Marine Sci, Walpole, ME 04353 USA; [Watson, Reg] Univ British Columbia, Fisheries Ctr, Vancouver, BC V6T 1Z4, Canada</t>
  </si>
  <si>
    <t>University of California System; University of California Santa Barbara; Stanford University; Wildlife Conservation Society; University of North Carolina; University of North Carolina Chapel Hill; National Oceanic Atmospheric Admin (NOAA) - USA; World Wildlife Fund; University of California System; University of California Santa Barbara; University of California System; University of California Santa Barbara; University of North Carolina; University of North Carolina Chapel Hill; University of Maine System; University of Maine Orono; University of British Columbia</t>
  </si>
  <si>
    <t>halpern@nceas.ucsb.edu; selkoe@nceas.ucsb.edu</t>
  </si>
  <si>
    <t>Spalding, Mark/GVU-0739-2022; Watson, Reg/F-4850-2012; Halpern, Benjamin/J-6141-2014; Casey, Kenneth/D-4065-2013; Fox, Helen Elizabeth/C-3543-2009; Kappel, Carrie/B-9534-2009</t>
  </si>
  <si>
    <t>Spalding, Mark/0000-0001-9456-4533; Watson, Reg/0000-0001-7201-8865; Halpern, Benjamin/0000-0001-8844-2302; Heinemann, Dennis/0000-0002-1434-2445; Casey, Kenneth/0000-0002-6052-7117; Fox, Helen Elizabeth/0000-0002-0541-7484; Micheli, Fiorenza/0000-0002-6865-1438;</t>
  </si>
  <si>
    <t>10.1126/science.1149345</t>
  </si>
  <si>
    <t>262RM</t>
  </si>
  <si>
    <t>WOS:000253165700045</t>
  </si>
  <si>
    <t>Pasqualini, V; Oberti, P; Vigetta, S; Riffard, O; Panaïotis, C; Cannac, M; Ferrat, L</t>
  </si>
  <si>
    <t>Pasqualini, Vanina; Oberti, Pascal; Vigetta, Stephanie; Riffard, Olivier; Panaiotis, Christophe; Cannac, Magali; Ferrat, Lila</t>
  </si>
  <si>
    <t>A GIS-Based Multicriteria Evaluation for Aiding Risk Management Pinus pinaster Ait. Forests: A Case Study in Corsican Island, Western Mediterranean Region</t>
  </si>
  <si>
    <t>Pinus pinaster; GIS; Multicriteria decision-aiding approach; Priority areas; Fire; Matsucoccus feytaudi</t>
  </si>
  <si>
    <t>ANALYTIC HIERARCHY PROCESS; DECISION-SUPPORT-SYSTEM; MULTIPLE CRITERIA; CONSERVATION; PRIORITIES; SCALE; DIVERSITY; HOMOPTERA; WOODLANDS; FRAMEWORK</t>
  </si>
  <si>
    <t>Forest management can benefit from decision support tools, including GIS-based multicriteria decision-aiding approach. In the Mediterranean region, Pinus pinaster forests play a very important role in biodiversity conservation and offer many socioeconomic benefits. However, the conservation of this species is affected by the increase in forest fires and the expansion of Matsucoccus feytaudi. This paper proposes a methodology based on commonly available data for assessing the values and risks of P. pinaster forests and to generating maps to aid in decisions pertaining to fire and phytosanitary risk management. The criteria for assessing the values (land cover type, legislative tools for biodiversity conservation, environmental tourist sites and access routes, and timber yield) and the risks (fire and phytosanitation) of P. pinaster forests were obtained directly or by considering specific indicators, and they were subsequently aggregated by means of GIS-based multicriteria analysis. This approach was tested on the island of Corsica (France), and maps to aid in decisions pertaining to fire risk and phytosanitary risk (M. feytaudi) were obtained for P. pinaster forest management. Study results are used by the technical offices of the local administration-Corsican Agricultural and Rural Development Agency (ODARC)-for planning the conservation of P. pinaster forests with regard to fire prevention and safety and phytosanitary risks. The decision maker took part in the evaluation criteria study (weight, normalization, and classification of the values). Most suitable locations are given to target the public intervention. The methodology presented in this paper could be applied to other species and in other Mediterranean regions.</t>
  </si>
  <si>
    <t>[Pasqualini, Vanina; Vigetta, Stephanie; Cannac, Magali; Ferrat, Lila] Univ Corsica, CNRS, UMR 6134, F-20250 Corte, France; [Oberti, Pascal] Univ Corsica, CNRS, LISA, UMR 6240, F-20250 Corte, France; [Riffard, Olivier] Corsican Agr &amp; Rural Dev Agcy ODARC, F-20601 Bastia, France; [Panaiotis, Christophe] Bot Acad Corsica, Corsican Environm Agcy, F-20250 Corte, France</t>
  </si>
  <si>
    <t>Centre National de la Recherche Scientifique (CNRS); CNRS - Institute for Engineering &amp; Systems Sciences (INSIS); Centre National de la Recherche Scientifique (CNRS); CNRS - Institute for Humanities &amp; Social Sciences (INSHS)</t>
  </si>
  <si>
    <t>Pasqualini, V (corresponding author), Univ Corsica, CNRS, UMR 6134, BP 52, F-20250 Corte, France.</t>
  </si>
  <si>
    <t>pasquali@univ-corse.fr</t>
  </si>
  <si>
    <t>Pasqualini, Vanina/D-7255-2012</t>
  </si>
  <si>
    <t>FERRAT, Lila/0000-0003-2080-9627</t>
  </si>
  <si>
    <t>European INTERREG III program: VEGETATIO</t>
  </si>
  <si>
    <t>This work benefited from the financial support of the European INTERREG III program: VEGETATIO. The authors thank A. Lindsey Clark for help with the English translation.</t>
  </si>
  <si>
    <t>10.1007/s00267-011-9674-8</t>
  </si>
  <si>
    <t>778ZS</t>
  </si>
  <si>
    <t>WOS:000291748500004</t>
  </si>
  <si>
    <t>Winchell, M; Bang, JS; Patterson, B; Budreski, K; Brain, R; Wall, S</t>
  </si>
  <si>
    <t>Winchell, Michael; Bang, JiSu; Patterson, Barbara; Budreski, Katie; Brain, Richard; Wall, Steven</t>
  </si>
  <si>
    <t>A GIS-Based Approach To Quantifying Pesticide Use Site Proximity to Salmonid Habitat</t>
  </si>
  <si>
    <t>Characterizing and quantifying the proximity of potential pesticide use sites to endangered species habitats are integral components of pesticide exposure risk assessments. One region of interest has been the salmonid evolutionarily significant units (ESUs) and distinct population segments (DPSs) in the Pacific Northwest and California. The availability of spatial datasets that classify stream and river segments by salmonid habitat type, combined with high resolution crop datasets, has allowed for refined estimates of potential use areas within these regions. Automated Geographic Information System (GIS) procedures were applied to 28 endangered or threatened ESUs/DPSs to characterize proximity and magnitude of potential use areas to defined salmon habitats within different ESUs, for different crop uses, and the different types of habitats. The results demonstrated that the GIS-based approaches used in this study could produce refined, best available quantification of potential pesticide use areas in relation to the salmon habitats in the 28 ESUs/DPSs.</t>
  </si>
  <si>
    <t>[Winchell, Michael; Patterson, Barbara; Budreski, Katie] Stone Environm Inc, 535 Stone Cutters Way, Montpelier, VT 05602 USA; [Bang, JiSu; Wall, Steven] Syngenta Crop Protect LLC, Greensboro, NC 27409 USA</t>
  </si>
  <si>
    <t>Winchell, M (corresponding author), Stone Environm Inc, 535 Stone Cutters Way, Montpelier, VT 05602 USA.</t>
  </si>
  <si>
    <t>WOS:000317550400014</t>
  </si>
  <si>
    <t>Riolo, F</t>
  </si>
  <si>
    <t>Riolo, Francesca</t>
  </si>
  <si>
    <t>geographic information system; spatial analysis; fishery management; Pacific ocean; American Samoa; tuna</t>
  </si>
  <si>
    <t>This study illustrates a geographic information system developed to effectively analyze and visualize temporal and spatial patterns of the longline fishery in the American Samoa's Exclusive Economic Zone. The pelagic and tuna fishery in American Samoa has historically been an important component of the traditional domestic fisheries and nation's economy. This paper presents an innovative way to utilize the geographic information associated with fisheries data. It also introduces the associated custom software component developed using Visual Basic for Applications and ArcObjects within the Environmental System Research Institute ARCGIS 8.3 software. The application provides a user-friendly analysis interface allowing for easy output production. It is extremely flexible and can be used for studies at multiple scales, locations and extents. Output spatial data are produced in the most widely used file formats. This allows easy data sharing and provides inputs for further analysis, for example in conjunction with environmental data like satellite derived sea surface temperature and ocean color. The main functions of the fishery GIS are catch and effort estimation and their variation in space and time, fishing vessel utilization, data quality control, and deriving information on the location of important economic and threatened species. Fishing pressure maps can be now developed based on spatial density of deployed hooks. Total catch and catch for selected species are analyzed and mapped using analogue techniques. Catch per unit of effort grids are produced as a ratio between hook density and catch density surfaces. Areas with high fishing pressure and changes in fishing pressure and catches within several time frames are spatially and temporally identified and presented as animations. The system can be quickly adapted to any fishery database where date, location and catch information are stored. (C) 2005 Elsevier Ltd. All rights reserved.</t>
  </si>
  <si>
    <t>wildgis@freesurf.fr</t>
  </si>
  <si>
    <t>leblanc, jean-charles/MIO-9337-2025</t>
  </si>
  <si>
    <t>1873-6726</t>
  </si>
  <si>
    <t>10.1016/j.envsoft.2005.05.005</t>
  </si>
  <si>
    <t>053NH</t>
  </si>
  <si>
    <t>WOS:000238311300011</t>
  </si>
  <si>
    <t>Robertson, MP; Villet, MH; Palmer, AR</t>
  </si>
  <si>
    <t>A fuzzy classification technique for predicting species' distributions: applications using invasive alien plants and indigenous insects</t>
  </si>
  <si>
    <t>biological invasions; fuzzy envelope model; fuzzy sets; presence-only data; potential distribution models</t>
  </si>
  <si>
    <t>POTENTIAL DISTRIBUTIONS; DISTRIBUTION MODELS; CONSERVATION; BIODIVERSITY; NICHE; GRADIENT; CLIMATE; MAPS; SOIL</t>
  </si>
  <si>
    <t>A new predictive modelling technique called the fuzzy envelope model (FEM) is introduced. The technique can be used to predict potential distributions of organisms using presence-only locality records and a set of environmental predictor variables. FEM uses fuzzy logic to classify a set of predictor variable maps based on the values associated with presence records and combines the results to produce a potential distribution map for a target species. This technique represents several refinements of the envelope approach used in the BIOCLIM modelling package. These refinements are related to the way in which FEMs deal with uncertainty, the way in which this uncertainty is represented in the resultant potential distribution maps, and the way that these maps can be interpreted and applied. To illustrate its potential use in biogeographical studies, FEM was applied to predicting the potential distribution of three invasive alien plant species (Lantana camara L., Ricinus communis L. and Solanum mauritianum Scop.), and three native cicada species (Capicada decora Germar, Platypleura deusta Thun. and P. capensis L.) in South Africa, Lesotho and Swaziland. These models were quantitatively compared with models produced by means of the algorithm used in the BIOCLIM modelling package, which is referred to as a crisp envelope model (the CEM design). The average performance of models of the FEM design was consistently higher than those of the CEM design. There were significant differences in model performance among species but there was no significant interaction between model design and species. The average maximum kappa value ranged from 0.70 to 0.90 for FEM design and from 0.57 to 0.89 for the CEM design, which can be described as 'good' to 'excellent' using published ranges of agreement for the kappa statistic. This technique can be used to predict species' potential distributions that could be used for identifying regions at risk from invasion by alien species. These predictions could also be used in conservation planning in the case of native species.</t>
  </si>
  <si>
    <t>Rhodes Univ, Dept Zool &amp; Entomol, ZA-6140 Grahamstown, South Africa; Agr Res Council, Range &amp; Forage Inst, ZA-6140 Grahamstown, South Africa</t>
  </si>
  <si>
    <t>Rhodes University; Agricultural Research Council of South Africa</t>
  </si>
  <si>
    <t>Robertson, MP (corresponding author), Univ Pretoria, Dept Zool &amp; Entomol, ZA-0002 Pretoria, South Africa.</t>
  </si>
  <si>
    <t>mrobertson@zoology.up.ac.za</t>
  </si>
  <si>
    <t>Villet, Martin/B-5811-2011; Robertson, Mark/A-5640-2011; Palmer, Anthony/G-3459-2017; Palmer, Anthony/G-3459-2017</t>
  </si>
  <si>
    <t>Villet, Martin/0000-0002-4335-5667; Palmer, Anthony/0000-0001-9179-2725;</t>
  </si>
  <si>
    <t>SEP-NOV</t>
  </si>
  <si>
    <t>5-6</t>
  </si>
  <si>
    <t>10.1111/j.1366-9516.2004.00108.x</t>
  </si>
  <si>
    <t>852GU</t>
  </si>
  <si>
    <t>WOS:000223744500016</t>
  </si>
  <si>
    <t>Howard, JK; Fesenmyer, KA; Grantham, TE; Viers, JH; Ode, PR; Moyle, PB; Kupferburg, SJ; Furnish, JL; Rehn, A; Slusark, J; Mazor, RD; Santos, NR; Peek, RA; Wright, AN</t>
  </si>
  <si>
    <t>Howard, Jeanette K.; Fesenmyer, Kurt A.; Grantham, Theodore E.; Viers, Joshua H.; Ode, Peter R.; Moyle, Peter B.; Kupferburg, Sarah J.; Furnish, Joseph L.; Rehn, Andrew; Slusark, Joseph; Mazor, Raphael D.; Santos, Nicholas R.; Peek, Ryan A.; Wright, Amber N.</t>
  </si>
  <si>
    <t>A freshwater conservation blueprint for California: prioritizing watersheds for freshwater biodiversity</t>
  </si>
  <si>
    <t>conservation planning; freshwater biodiversity; protected areas; Zonation software; California</t>
  </si>
  <si>
    <t>FISH CONSERVATION; FLOW REGIME; THREATS; RIVER; OPPORTUNITIES; RESTORATION; ASSEMBLAGES; CHALLENGES; MANAGEMENT; HABITATS</t>
  </si>
  <si>
    <t>Conservation scientists have adapted conservation planning principles designed for protection of habitats ranging from terrestrial to freshwater ecosystems. We applied current approaches in conservation planning to prioritize California watersheds for management of biodiversity. For all watersheds, we compiled data on the presence/absence of herpetofauna and fishes; observations of freshwater-dependent mammals, selected invertebrates, and plants; maps of freshwater habitat types; measures of habitat condition and vulnerability; and current management status. We analyzed species-distribution data to identify areas of high freshwater conservation value that optimized representation of target taxa on the landscape and leveraged existing protected areas. The resulting priority network encompasses 34% of the area of California and includes &gt;= 10% of the geographic range for all target taxa. High-value watersheds supported nontarget freshwater taxa and habitats, and focusing on target taxa may provide broad conservation value. Most of the priority conservation network occurs on public lands (69% by area), and 46% overlaps with protected areas already managed for biodiversity. A significant proportion of the network area is on private land and underscores the value of programs that incentivize landowners to manage freshwater species and habitats. The priority conservation areas encompass more freshwater habitats/ha than existing protected areas. Land use (agriculture and urbanization), altered fire regimes, nonnative fish communities, and flow impairment are the most important threats to freshwater habitat in the priority network, whereas factors associated with changing climate are the key drivers of habitat vulnerability. Our study is a guide to a comprehensive approach to freshwater conservation currently lacking in California. Conservation resources are often limited, so prioritization tools are valuable assets to land and water managers.</t>
  </si>
  <si>
    <t>[Howard, Jeanette K.] Nature Conservancy, 201 Mission St,4th Floor, San Francisco, CA 94105 USA; [Fesenmyer, Kurt A.] Trout Unltd, 910 W Main St,Suite 342, Boise, ID 83702 USA; [Grantham, Theodore E.] Univ Calif Berkeley, Dept Environm Sci Policy &amp; Management, 130 Mulford Hall,3114, Berkeley, CA 94720 USA; [Viers, Joshua H.] Univ Calif Merced, Sch Engn, 5200 North Lake Rd, Merced, CA 95343 USA; [Ode, Peter R.] Calif Dept Fish &amp; Wildlife, Aquat Bioassessment Lab, 2005 Nimbus Rd, Rancho Cordova, CA 95670 USA; [Moyle, Peter B.; Santos, Nicholas R.; Peek, Ryan A.] Univ Calif Davis, Ctr Watershed Sci, One Shields Ave, Davis, CA 95616 USA; [Kupferburg, Sarah J.] Questa Engn, 1220 Brickyard Cove Rd, Point Richmond, CA 94807 USA; [Furnish, Joseph L.] 1357 Bonita Bahia, Benicia, CA 94510 USA; [Rehn, Andrew; Slusark, Joseph] Calif State Univ Chico, Ctr Water &amp; Environm, Calif Dept Fish &amp; Wildlife, Aquat Bioassessment Lab, 115 Holt Hall, Chico, CA 95929 USA; [Mazor, Raphael D.] Southern Calif Coastal Water Res Project, 3535 Harbor Blvd,Suite 110, Costa Mesa, CA 92626 USA; [Wright, Amber N.] Univ Hawaii, Dept Biol, 2538 McCarthy Mall, Honolulu, HI 96822 USA</t>
  </si>
  <si>
    <t>Nature Conservancy; University of California System; University of California Berkeley; University of California System; University of California Merced; University of California System; University of California Davis; California State University System; California State University Chico; Southern California Coastal Water Research Project; University of Hawaii System</t>
  </si>
  <si>
    <t>Howard, JK (corresponding author), Nature Conservancy, 201 Mission St,4th Floor, San Francisco, CA 94105 USA.</t>
  </si>
  <si>
    <t>jeanette_howard@tnc.org; kfesenmyer@tu.org; tgrantham@berkeley.edu; jviers@ucmerced.edu; peter.ode@wildlife.ca.gov; pbmoyle@ucdavis.edu; skupferberg@gmail.com; josephfurnish@att.net; andy.rehn@wildlife.ca.gov; jslusark@csuchico.edu; raphaelm@sccwrp.org; nrsantos@ucdavis.edu; rapeek@ucdavis.edu; anwright@hawaii.edu</t>
  </si>
  <si>
    <t>Viers, Joshua/ABC-1851-2020; Kupferberg, Sarah/L-5084-2013; Peek, Ryan/H-4906-2015</t>
  </si>
  <si>
    <t>Viers, Joshua/0000-0001-7957-7942; Santos, Nicholas/0000-0001-5853-402X; Kupferberg, Sarah/0000-0002-7273-712X; Wright, Amber/0000-0002-9078-0324</t>
  </si>
  <si>
    <t>S. D. Bechtel Jr Foundation; TNC (California Chapter)</t>
  </si>
  <si>
    <t>We thank the organizations and individuals listed by Howard et al. (2015) in Table S2 for contributing data to this effort. We also thank the following individuals for their engagement in development of this manuscript: Cat Burns (The Nature Conservancy [TNC]), Kirk Klausmeyer (TNC). This effort was prepared with support from the S. D. Bechtel Jr Foundation, and TNC (California Chapter). The reviews by Simon Linke and an anonymous referee greatly improved this manuscript.</t>
  </si>
  <si>
    <t>10.1086/697996</t>
  </si>
  <si>
    <t>GF8VS</t>
  </si>
  <si>
    <t>WOS:000432253900020</t>
  </si>
  <si>
    <t>Kostoski, G; Albrecht, C; Trajanovski, S; Wilke, T</t>
  </si>
  <si>
    <t>Kostoski, G.; Albrecht, C.; Trajanovski, S.; Wilke, T.</t>
  </si>
  <si>
    <t>A freshwater biodiversity hotspot under pressure - assessing threats and identifying conservation needs for ancient Lake Ohrid</t>
  </si>
  <si>
    <t>BIOGEOSCIENCES</t>
  </si>
  <si>
    <t>PRESPA; EUTROPHICATION; SEDIMENTATION; INVASION; HISTORY; RECORD</t>
  </si>
  <si>
    <t>Immediate conservation measures for world-wide freshwater resources are of eminent importance. This is particularly true for so-called ancient lakes. While these lakes are famous for being evolutionary theatres, often displaying an extraordinarily high degree of biodiversity and endemism, in many cases these biota are also experiencing extreme anthropogenic impact. Lake Ohrid, a major European biodiversity hotspot situated in a trans-frontier setting on the Balkans, is a prime example for a lake with a magnitude of narrow range endemic taxa that are under increasing anthropogenic pressure. Unfortunately, evidence for a creeping biodiversity crisis has accumulated over the last decades, and major socio-political changes have gone along with human-mediated environmental changes. Based on field surveys, monitoring data, published records, and expert interviews, we aimed to (1) assess threats to Lake Ohrids' (endemic) biodiversity, (2) summarize existing conservation activities and strategies, and (3) outline future conservation needs for Lake Ohrid. We compiled threats to both specific taxa (and in cases to particular species) as well as to the lake ecosystems itself. Major conservation concerns identified for Lake Ohrid are: (1) watershed impacts, (2) agriculture and forestry, (3) tourism and population growth, (4) non-indigenous species, (5) habitat alteration or loss, (6) unsustainable exploitation of fisheries, and (7) global climate change. Among the major (well-known) threats with high impact are nutrient input (particularly of phosphorus), habitat conversion and silt load. Other threats are potentially of high impact but less well known. Such threats include pollution with hazardous substances (from sources such as mines, former industries, agriculture) or climate change. We review and discuss institutional responsibilities, environmental monitoring and ecosystem management, existing parks and reserves, biodiversity and species measures, international conservation activities, and ongoing research on conservation and raising of public awareness. Following this summary, we evaluate the status quo and future of Lake Ohrid and its biota. A comprehensive conservation strategy should include measures that result in an immediate reduction of nutrient input, particularly with phosphorus, in order to slow down the ongoing eutrophication process. The existing watershed management should become more effective. Implementation and particularly with a view to the enforcement of national laws should be enhanced. Increased research on the lakes' limnology, biodiversity, and conservation management practices are necessary. The latter research should identify conservation priorities. Public awareness should be enhanced. Facing these parallel needs to protect the unique biodiversity of Lake Ohrid, we suggest urging (a) implementation and enforcement of the General Management Plan that would ensure long-term integrated and sustainable use of the lake and its watershed, (b) scientific studies on ecology, biodiversity and effects of human impact, (c) the establishment of Core Conservation areas (CCA), including underwater reserves, and (d) Coastal Zone Management (CZM) areas that would constitute buffer zones for the CCAs around the lake. Given the number of identified threats, it is clear that only concerted international action can stop or at least slow down further degradation of Lake Ohrid and the creeping biodiversity crisis already evident. All conservation activities should, among others, ultimately lead to a trans-boundary major conservation area of the Ohrid-Prespa region that would allow long-term integration of both humans and nature.</t>
  </si>
  <si>
    <t>[Kostoski, G.; Trajanovski, S.] Inst Hydrobiol, Ohrid 6000, Macedonia; [Albrecht, C.; Wilke, T.] Univ Giessen, Dept Anim Ecol &amp; Systemat, D-35392 Giessen, Germany</t>
  </si>
  <si>
    <t>Justus Liebig University Giessen</t>
  </si>
  <si>
    <t>Albrecht, C (corresponding author), Inst Hydrobiol, Naum Ohridski 50, Ohrid 6000, Macedonia.</t>
  </si>
  <si>
    <t>christian.albrecht@allzool.bio.uni-giessen.de</t>
  </si>
  <si>
    <t>Wilke, Thomas/G-1517-2012</t>
  </si>
  <si>
    <t>Wilke, Thomas/0000-0001-8263-7758</t>
  </si>
  <si>
    <t>German Science Foundation DFG [AL 1076/3-1, WI 1902/8-1]</t>
  </si>
  <si>
    <t>German Science Foundation DFG(German Research Foundation (DFG))</t>
  </si>
  <si>
    <t>CA and TW also wish to thank the German Science Foundation DFG for funding their Lake Ohrid studies (grants AL 1076/3-1 and WI 1902/8-1).</t>
  </si>
  <si>
    <t>1726-4170</t>
  </si>
  <si>
    <t>1726-4189</t>
  </si>
  <si>
    <t>10.5194/bg-7-3999-2010</t>
  </si>
  <si>
    <t>Ecology; Geosciences, Multidisciplinary</t>
  </si>
  <si>
    <t>Environmental Sciences &amp; Ecology; Geology</t>
  </si>
  <si>
    <t>698EC</t>
  </si>
  <si>
    <t>WOS:000285574100007</t>
  </si>
  <si>
    <t>Morelli, F; Benedetti, Y; Delgado, JD</t>
  </si>
  <si>
    <t>Morelli, Federico; Benedetti, Yanina; Delgado, Juan D.</t>
  </si>
  <si>
    <t>Bird conservation; Bivariate maps; Risk maps; Roadkill frequency; Road network; Roadkill risk</t>
  </si>
  <si>
    <t>VERTEBRATE ROADKILL; TRAFFIC ACCIDENTS; BIRD CASUALTIES; ROADS; MORTALITY; PATTERNS; POPULATIONS; INDICATORS; IMPACTS; ECOLOGY</t>
  </si>
  <si>
    <t>In this study, we propose a novel strategy for identifying potential hotspots of avian roadkills in Europe. The proposed approach combines information about the spatial distribution of bird species at a comparatively higher risk of roadkill with data on road density. First, using a large dataset collected from several European studies and reports, we extracted the frequency of occurrence of bird casualties for 209 breeding bird species recorded in roadkill events. We standardized the relative frequency of roadkill from 0 (species never recorded in bird casualties' reports) to 1 (species with the higher number of roadkill's), obtaining a continuous variable that indicates the potential risk of roadkill species by species. Second, using published data on the spatial distribution of breeding bird species in Europe, we calculated the cumulative risk of roadkill in each bird assemblages, by considering the sum of the values estimated for each species in the previous step. Third, we calculated the road density in each spatial unit. Finally, we elaborate a forecasting map of potential avian roadkill-risk across Europe, by combining the data on road density and cumulative roadkill risk of bird communities. The tool proposed can help to identify potential hotspots at different spatial scales where the risk of avian roadkill is high, offering the possibility to improve conservation measures in road planning. Briefly, the prediction of where there is aligned convergence between communities with highly ranked species and landscapes with dense road networks can be used in procedures modelling wildlife-car collisions, for transportation mitigation projects.</t>
  </si>
  <si>
    <t>[Morelli, Federico; Benedetti, Yanina] Czech Univ Life Sci Prague, Fac Environm Sci, Community Ecol &amp; Conservat Res Grp, Kamycka 129, CZ-16500 Prague 6, Czech Republic; [Delgado, Juan D.] Univ Pablo de Olavide, Dept Sistemas Fis Quim &amp; Nat, Area Ecol, Ctra Utrera Km 1, E-41013 Seville, Spain</t>
  </si>
  <si>
    <t>Czech University of Life Sciences Prague; Universidad Pablo de Olavide</t>
  </si>
  <si>
    <t>Morelli, F (corresponding author), Czech Univ Life Sci Prague, Fac Environm Sci, Community Ecol &amp; Conservat Res Grp, Kamycka 129, CZ-16500 Prague 6, Czech Republic.</t>
  </si>
  <si>
    <t>fmorellius@gmail.com</t>
  </si>
  <si>
    <t>DELGADO, JUAN/I-2992-2013; Benedetti, Yanina/B-8815-2016; Morelli, Federico/P-1094-2018</t>
  </si>
  <si>
    <t>Benedetti, Yanina/0000-0003-1600-2310; Morelli, Federico/0000-0003-1099-1357</t>
  </si>
  <si>
    <t>Czech Science Foundation GACR [18-16738S]</t>
  </si>
  <si>
    <t>Czech Science Foundation GACR(Grant Agency of the Czech Republic)</t>
  </si>
  <si>
    <t>F.M. and Y.B. were financially supported by the Czech Science Foundation GACR (Project Number 18-16738S).</t>
  </si>
  <si>
    <t>10.1016/j.biocon.2020.108729</t>
  </si>
  <si>
    <t>WOS:000567872700006</t>
  </si>
  <si>
    <t>Ondei, S; Brook, BW; Buettel, JC</t>
  </si>
  <si>
    <t>Ondei, Stefania; Brook, Barry W.; Buettel, Jessie C.</t>
  </si>
  <si>
    <t>Australia; bioregionalization; Interim Biogeographic Regionalization for Australia; invasive species; irreplaceability; land-use change; nature conservation; threatened species; vulnerability</t>
  </si>
  <si>
    <t>LAND-USE CHANGE; SPECIES DISTRIBUTION; PROTECTED AREAS; GAP ANALYSIS; VULNERABILITY; ECOLOGY; CLIMATE; IRREPLACEABILITY; SYSTEM; DIVERSITY</t>
  </si>
  <si>
    <t>Expanding the reserve system is a key strategy to enhance biodiversity protection. Yet, conservation outcomes can be undermined by underrepresentation of some habitats and opportunistic placement of protected areas. Irreplaceability and vulnerability, the key principles of conservation, should thus be combined within a bioregionalization framework to implement protection in the habitats that most need it. We proposed a simple and flexible method to prioritize bioregions for conservation based on these principles and used it to rank the 85 bioregions of the Australian continent. To do so, we quantified biodiversity values and threats in each bioregion by gathering open-access data on species, landscapes, and land use. Bioregions were then ranked using a set of customizable scenarios, including ecologically meaningful combinations of measures of irreplaceability and vulnerability. To identify biodiverse areas under threat but potentially overlooked, we compared our results with the location of already established biodiversity hotspots (i.e., areas identified as important for biodiversity and under threat). We found that bioregions with the highest biodiversity values are predominantly located in the southwest, east, and north of the continent. Similarly, threats, particularly land clearance, are concentrated along the east coast and in the southwest. When ranking bioregions using scenarios including both threats and biodiversity values, the majority (75%) of the highest-ranking bioregions were already included in biodiversity hotspots. For five of these bioregions, the proportion of protected land to date still falls below the 17% recommended by the Convention on Biological Diversity and thus they likely require prompt prioritization and intervention. The method proposed can support ongoing monitoring and prioritization of land units for conservation. Its simplicity and flexibility mean it can be easily adopted for different areas and adjusted to local priorities.</t>
  </si>
  <si>
    <t>[Ondei, Stefania; Brook, Barry W.; Buettel, Jessie C.] Univ Tasmania, Sch Nat Sci, Hobart, Tas 7000, Australia; [Brook, Barry W.; Buettel, Jessie C.] Ctr Excellence Australian Biodivers &amp; Heritage CA, Hobart, Tas 7000, Australia</t>
  </si>
  <si>
    <t>University of Tasmania</t>
  </si>
  <si>
    <t>Ondei, S (corresponding author), Univ Tasmania, Sch Nat Sci, Hobart, Tas 7000, Australia.</t>
  </si>
  <si>
    <t>stefania.ondei@utas.edu.au</t>
  </si>
  <si>
    <t>; Ondei, Stefania/AAL-4091-2020; Brook, Barry/G-2686-2011</t>
  </si>
  <si>
    <t>Buettel, Jessie/0000-0001-6737-7468; Ondei, Stefania/0000-0002-2515-3316; Brook, Barry/0000-0002-2491-1517</t>
  </si>
  <si>
    <t>Australian Research Council [FL160100101]; Australian Research Council [FL160100101] Funding Source: Australian Research Council</t>
  </si>
  <si>
    <t>Australian Research Council(Australian Research Council); Australian Research Council</t>
  </si>
  <si>
    <t>This work was funded by Australian Research Council grant FL160100101. The authors have no conflict of interest to declare.</t>
  </si>
  <si>
    <t>e02859</t>
  </si>
  <si>
    <t>10.1002/ecs2.2859</t>
  </si>
  <si>
    <t>JE5XW</t>
  </si>
  <si>
    <t>WOS:000490766500008</t>
  </si>
  <si>
    <t>Smolinski, S; Calkiewicz, J</t>
  </si>
  <si>
    <t>Smolinski, Szymon; Calkiewicz, Joanna</t>
  </si>
  <si>
    <t>Multimetric fish index; Baltic Sea; Ecological quality; Water Framework Directive; Anthropogenic pressures</t>
  </si>
  <si>
    <t>LIFE-HISTORY TRAITS; BIOTIC INTEGRITY; BALTIC SEA; INFORMATION CRITERION; QUALITY STATUS; ROUND GOBY; ESTUARINE; FRAMEWORK; IMPACT; TOOL</t>
  </si>
  <si>
    <t>Fish assemblages are considered indicators of aquatic ecosystem quality. Based on how fish communities respond to anthropogenic pressures, we developed a multimetric fish index for evaluating the health of both coastal and transitional waters. Fish data were collected along the Polish coast in the years 2011, 2013 and 2014 using different types of gear. Redundancy analysis showed that the most important environmental factor affecting fish community was salinity. Responses to anthropogenic disturbances of 20 candidate metrics were tested by generalized linear models, taking into account salinity, sampling protocol and the proxy of human pressures described by the Baltic Sea Impact Index (BSII). Five selected metrics were combined in a Multimetric Index, which showed negative significant correlation with BSII. The index presented herein appeared to be a good tool for assessing the ecological state of highly impacted Polish transitional and coastal areas and complies with the Water Framework Directive requirements. (C) 2015 Elsevier Ltd. All rights reserved.</t>
  </si>
  <si>
    <t>[Smolinski, Szymon] Natl Marine Fisheries Res Inst, Dept Fisheries Resources, PL-81332 Gdynia, Poland; [Calkiewicz, Joanna] Natl Marine Fisheries Res Inst, Dept Logist &amp; Monitoring, Gdynia, Poland</t>
  </si>
  <si>
    <t>National Marine Fisheries Research Institute; National Marine Fisheries Research Institute</t>
  </si>
  <si>
    <t>Smolinski, S (corresponding author), Natl Marine Fisheries Res Inst, Dept Fisheries Resources, Kollqtaja 1, PL-81332 Gdynia, Poland.</t>
  </si>
  <si>
    <t>ssmolinski@mir.gdynia.pl</t>
  </si>
  <si>
    <t>; Smoliński, Szymon/IQT-1286-2023</t>
  </si>
  <si>
    <t>Całkiewicz, Joanna/0000-0003-2123-1660; Smoliński, Szymon/0000-0003-2715-984X</t>
  </si>
  <si>
    <t>National Fund for Environmental Protection and Water Management; National Marine Fisheries Research Institute [43/2013/F]; Polish Chief Inspectorate of Environmental Protection [43/2013/F]</t>
  </si>
  <si>
    <t>National Fund for Environmental Protection and Water Management; National Marine Fisheries Research Institute; Polish Chief Inspectorate of Environmental Protection</t>
  </si>
  <si>
    <t>The results presented in this article were partly funded by the National Fund for Environmental Protection and Water Management and obtained within the contract no. 43/2013/F between Polish Chief Inspectorate of Environmental Protection and National Marine Fisheries Research Institute. We would like to thank all involved in the fish sampling and data collecting, especially Adam Grochowski for coordination of the monitoring project. We also wish to thank Lena Szymanek for GIS support and Piotr Margonski for useful comments on this paper.</t>
  </si>
  <si>
    <t>DEC 30</t>
  </si>
  <si>
    <t>10.1016/j.marpolbul.2015.10.065</t>
  </si>
  <si>
    <t>CZ4XY</t>
  </si>
  <si>
    <t>WOS:000367107600004</t>
  </si>
  <si>
    <t>Fasola, L; Roesler, I</t>
  </si>
  <si>
    <t>Fasola, Laura; Roesler, Ignacio</t>
  </si>
  <si>
    <t>GREBE PODICEPS-GALLARDOI; AUSTRAL PATAGONIA; MUSTELA-VISON; PROGRAM</t>
  </si>
  <si>
    <t>Invasive American mink is a severe threat to endangered waterbird populations. In Europe and South America, control efforts have been increasing in the last decades. Mink has a proven acute impact on the Hooded Grebe, a critically endangered specialist of highland plateau lakes in Patagonia where a single mink attack can deplete up to 4% of the global population. We aimed to examine mink ecology in Austral Patagonia to inform ongoing control programs in the region and contribute to efforts elsewhere to counteract mink impact. We evaluated mink distribution at a regional scale and found that its distribution extends across the steppe-arid environment, often assumed to be an obstacle for mink colonization. Consequently, its current distribution fully overlaps with the Hooded Grebe breeding grounds. At a finer scale, we used 3 techniques to detect American mink at different times of the year and found a temporal sex-biased occupation-dispersion pattern: permanent presence of both sexes in areas around the plateaus used by grebes and upstream male biased dispersion in late summer (which leads young mink to the grebes' lakes). Therefore, plateau perimeters function as an invasion front that resets yearly. Lastly, from scat content analysis we detected a shift in mink diet from a generalist type in lowland rivers to a diet specialized on birds in highland lakes, where attacks are exclusively directed towards Hooded Grebes and where waterbird presence might be a determinant of mink presence (regardless of other prey). All of these findings have profound relevance for control schedules and priorities.</t>
  </si>
  <si>
    <t>[Fasola, Laura] CONICET Delegacidn Tecn Patagonia, Adm Parques Nac, OConnor 1180, RA-8400 San Carlos De Bariloche, Rio Negro, Argentina; [Fasola, Laura; Roesler, Ignacio] Ayes ArgentinasAsociac Ornitoldg Plata, Proyecto Macd Tobiano, Buenos Aires, DF, Argentina; [Fasola, Laura; Roesler, Ignacio] Asoc Ambiente Sur, Buenos Aires, DF, Argentina; [Roesler, Ignacio] Pabellon II Ciudad Univ, Univ Buenos Aires, Pac Clencias Exactas &amp; Natur, CONICET,IEGEBA,Dept Ecol,Genet &amp; Evoluc, C1-428EGA, Buenos Aires, DF, Argentina; [Roesler, Ignacio] ZooZ Soc London, London, England</t>
  </si>
  <si>
    <t>University of Buenos Aires; Consejo Nacional de Investigaciones Cientificas y Tecnicas (CONICET)</t>
  </si>
  <si>
    <t>Fasola, L (corresponding author), CONICET Delegacidn Tecn Patagonia, Adm Parques Nac, OConnor 1180, RA-8400 San Carlos De Bariloche, Rio Negro, Argentina.</t>
  </si>
  <si>
    <t>lalifasola@gmail.com</t>
  </si>
  <si>
    <t>Roesler, Ignacio/JDW-7654-2023</t>
  </si>
  <si>
    <t>Flora y Fauna Argentina; Secretaria de Ambiente y Desarrollo Sustentable-Argentina; Rufford Small Grants Foundation [12587-1]; FOCA-Banco Galicia (Hacia un plan de control integral del Vison Americano (Neovison vison) en areas reproductivas del Mad; CREOi</t>
  </si>
  <si>
    <t>Flora y Fauna Argentina; Secretaria de Ambiente y Desarrollo Sustentable-Argentina; Rufford Small Grants Foundation; FOCA-Banco Galicia (Hacia un plan de control integral del Vison Americano (Neovison vison) en areas reproductivas del Mad; CREOi</t>
  </si>
  <si>
    <t>The Proyecto Maca Tobiano (Hooded Grebe Project) is an association between Ayes Argentinas and Asociacion Ambiente Sur, with the support of Flora y Fauna Argentina. LF is assistant researcher and IR is a postdoctoral fellow of CONICET. Pan American Energy, Tasso Leventis Fundation, Savin Fundation and BirdLife Int. (Preventing Extinctions Programme) supported the Hooded Grebe Project (HGP) through donations to cover fieldwork costs. Toyota Argentina provides 4 x 4 vehicles for fieldwork and Servicios Publicos Santa Cruz provides fuel. Subscretaria de Medio Ambiente de Santa Cruz donated a 4 x 4 vehicle. Secretaria de Ambiente y Desarrollo Sustentable-Argentina facilitated a vehicle and supported financially fieldwork season 2012-2013. LF was supported by Rufford Small Grants Foundation (Ref: 12587-1) and FOCA-Banco Galicia (Hacia un plan de control integral del Vison Americano (Neovison vison) en areas reproductivas del Mad. Tobiano (Podiceps gallardoi)-2014). CREOi supported IR (Factors that affect population viability of hooded grebes-2012). IR is an EDGE-ZSL fellow. Idea Wild and Birders Exchange donated equipment.</t>
  </si>
  <si>
    <t>10.1016/j.biocon.2017.12.031</t>
  </si>
  <si>
    <t>WOS:000424177400026</t>
  </si>
  <si>
    <t>Stortini, CH; Shackell, NL; O'Dor, RK</t>
  </si>
  <si>
    <t>Stortini, Christine H.; Shackell, Nancy L.; O'Dor, Ronald K.</t>
  </si>
  <si>
    <t>Marine Protected Areas; Vulnerability Assessment; Bottom trawling; Stakeholder conflict; No-take boundary design; St Anns Bank</t>
  </si>
  <si>
    <t>COD GADUS-MORHUA; NORTHWEST ATLANTIC; SOUTHERN EUROPE; EXTINCTION RISK; SHELF ECOSYSTEM; SCOTIAN SHELF; FISHERIES; RESERVES; VULNERABILITY; RECOVERY</t>
  </si>
  <si>
    <t>Marine Protected Areas (MPAs) are proposed to help conserve marine biodiversity and ecological integrity. There is much guidance on the optimal design of MPAs but once potential MPAs are identified there is little guidance on defining the final no-take boundaries. This is especially problematic in temperate zones where ecological boundaries are fuzzy, which can be quite complicated during a consultation process involving the government and divergent stakeholder groups. More decision-support tools are needed to help stakeholders and government agencies objectively compare conservation and socio-economic trade-offs among proposed boundary options. To that end, we developed a method to identify which boundary minimizes spatial overlap of highly vulnerable species and a dominant stressor. We used the recently proposed boundary options of a candidate MPA in Atlantic Canada to illustrate our method. We evaluated the vulnerability of 23 key species to bottom trawling, the most prevalent stressor in the area. We then compared the spatial overlap of the most vulnerable species and the 2002-2011 footprint of bottom trawling among boundary options. The best boundary option was identified as that which minimized spatial overlap and total area. This approach identifies boundary options which provide the greatest protection of vulnerable species from their most significant stressor, at limited socio-economic cost. It is an objective decision-support tool to help stakeholders agree on final boundaries for MPAs. (C) 2014 Elsevier GmbH. All rights reserved.</t>
  </si>
  <si>
    <t>[Stortini, Christine H.; O'Dor, Ronald K.] Dalhousie Univ, Halifax, NS B3H 3J5, Canada; [Shackell, Nancy L.] Fisheries &amp; Oceans Canada, Bedford Inst Oceanog, POB 1006, Dartmouth, NS B2Y 4A2, Canada</t>
  </si>
  <si>
    <t>Dalhousie University; Bedford Institute of Oceanography; Fisheries &amp; Oceans Canada</t>
  </si>
  <si>
    <t>Shackell, NL (corresponding author), Fisheries &amp; Oceans Canada, Bedford Inst Oceanog, POB 1006, Dartmouth, NS B2Y 4A2, Canada.</t>
  </si>
  <si>
    <t>christine.stortini@gmail.com; Nancy.Shackell@dfo-mpo.gc.ca</t>
  </si>
  <si>
    <t>Shackell, Nancy/AAF-8209-2019; Stortini, Christine/HSG-3170-2023</t>
  </si>
  <si>
    <t>Shackell, Nancy/0000-0001-5128-948X;</t>
  </si>
  <si>
    <t>Fisheries and Oceans Canada</t>
  </si>
  <si>
    <t>We would like to thank the Fisheries and Oceans Canada for providing funding towards the completion of this project. We would also like to thank Dr. Claudio diBacco, Mary Kennedy, Jennifer Ford, Marty King, Anna Serdynska, Jennifer Strang, Peter Bush, and Philip Greyson for invaluable advice, help, and support.</t>
  </si>
  <si>
    <t>10.1016/j.jnc.2014.07.004</t>
  </si>
  <si>
    <t>CB6TF</t>
  </si>
  <si>
    <t>WOS:000349758900006</t>
  </si>
  <si>
    <t>Marotta, L; Ceccaroni, L; Matteucci, G; Rossini, P; Guerzoni, S</t>
  </si>
  <si>
    <t>Marotta, Leonardo; Ceccaroni, Luigi; Matteucci, Gabriele; Rossini, Paolo; Guerzoni, Stefano</t>
  </si>
  <si>
    <t>A decision-support system in ICZM for protecting the ecosystems: integration with the habitat directive</t>
  </si>
  <si>
    <t>ICZM; Coastal ecosystem health; Decision-support system; Habitat and landscape loss; Coastal change; Urban sprawl</t>
  </si>
  <si>
    <t>MANAGEMENT; LANDSCAPE</t>
  </si>
  <si>
    <t>This paper describes a decision-support system based on landscape ecology and focused on the study of ecosystems' health. System capabilities are illustrated with three cases of integrated coastal zone management (ICZM), in the Adriatic Sea (Italy): the lagoon of Venice and the Rimini and Ancona coastal areas. Indicators and indices are developed with a focus on sub-regional and local problems in coastal management, with a multi-scale approach based on landscape and seascape ecology. Land-use changes of the coastal areas were detected by analyzing two sets of satellite images. Indices combining satellite imagery, socio-economic and environmental indicators, and landscape and seascape maps were created, showing ecological changes, habitat loss and gaps in conservation policy. The approach used provides means for the identification of conflicts and for the assessment of sustainability. Results show that the lagoon of Venice plays an important role in mitigating and compensating the impacts of human activities, and needs to be protected and restored. The Rimini area shows high ecological footprint and development-intensity and low biocapacity. The Ancona area needs the protection of its natural coastal space from potential sources of anthropogenic impacts to maintain its sustainability. A model of environment changes is critical for formulating effective environmental policies and management strategies. The developed decision-support system provides a suitability map per each area analyzed, which can be used in order to maximize different policy objectives and reduce coastal conflicts.</t>
  </si>
  <si>
    <t>[Marotta, Leonardo] Entropia Snc, I-62019 Recanati, Italy; [Ceccaroni, Luigi] Univ Politecn Cataluna, Dept Llenguatges &amp; Sistemes Informat LSI, ES-08034 Barcelona, Spain; [Matteucci, Gabriele; Rossini, Paolo] Ist Ric Grp CSA SpA, Rimini, Italy; [Guerzoni, Stefano] CNR ISMAR, Venice, Italy</t>
  </si>
  <si>
    <t>Universitat Politecnica de Catalunya; Consiglio Nazionale delle Ricerche (CNR); Istituto di Scienze Marine (ISMAR-CNR)</t>
  </si>
  <si>
    <t>Marotta, L (corresponding author), Entropia Snc, Via Corridoni 3, I-62019 Recanati, Italy.</t>
  </si>
  <si>
    <t>leonardo.marotta@entropia-env.it; s.guerzoni@ismar.cnr.it</t>
  </si>
  <si>
    <t>Guerzoni, Stefano/0000-0001-9961-910X; Ceccaroni, Luigi/0000-0002-3116-0811; Marotta, Leonardo/0000-0001-8599-948X</t>
  </si>
  <si>
    <t>10.1007/s11852-010-0106-3</t>
  </si>
  <si>
    <t>818EV</t>
  </si>
  <si>
    <t>WOS:000294735000006</t>
  </si>
  <si>
    <t>Stafford, CA; Preziosi, RF; Sellers, WI</t>
  </si>
  <si>
    <t>Stafford, C. A.; Preziosi, R. F.; Sellers, W. I.</t>
  </si>
  <si>
    <t>hunting; bushmeat; birds; neotropics; Cracidae; preferences</t>
  </si>
  <si>
    <t>CONSERVATION; FOREST; SUSTAINABILITY; WILDLIFE; COMMUNITIES; DISPERSAL; BUSHMEAT; DENSITY; BIOMASS; IMPACT</t>
  </si>
  <si>
    <t>Subsistence hunting of neotropical birds is common and widespread in the tropical forests of Latin America. Although its sustainability under different scenarios is subject to debate, hunting has already contributed to the decline and local extirpation of several taxa and is considered to be a significant threat to a range of large-bodied species. Gaining a better understanding of the variability of hunting patterns, as well as the factors that can potentially be used to predict them, is important if we are to develop conservation strategies that target the species most likely to be experiencing declines. In this article, we examine the avian hunting profiles of 65 communities in the neotropics. We describe their variability and look at the relationship between a hunting profile and (a) its geographical location, (b) the community's age, (c) the community's population size, and (d) the year in which the survey was carried out. We find that there is a significant but weak relationship between a community's geographic location and the composition of its bird hunting profile, and that prey profiles can be considerably different even among close neighbors. We found no relationship between a community's age or size and the mean biomass of bird prey hunted. Our results challenge the assumption that older and larger settlements have a predictable impact upon avian prey communities and suggest that cultural preferences or the starting availability of prey species can change rapidly over short distances.</t>
  </si>
  <si>
    <t>[Stafford, C. A.; Sellers, W. I.] Univ Manchester, Sch Earth &amp; Environm Sci, Manchester M13 9PL, Lancs, England; [Preziosi, R. F.] Manchester Metropolitan Univ, Sch Sci &amp; Environm, Manchester, Lancs, England</t>
  </si>
  <si>
    <t>University of Manchester; Manchester Metropolitan University</t>
  </si>
  <si>
    <t>Stafford, CA (corresponding author), Univ Manchester, Sch Earth &amp; Environm Sci, Manchester M13 9PL, Lancs, England.</t>
  </si>
  <si>
    <t>ciara.stafford@postgrad.manchester.ac.uk</t>
  </si>
  <si>
    <t>; Preziosi, Richard/A-8626-2010; Sellers, William Irvin/Q-3843-2019</t>
  </si>
  <si>
    <t>ord, Ciara/0000-0002-3404-0575; Sellers, William Irvin/0000-0002-2913-5406</t>
  </si>
  <si>
    <t>Natural Environment Research Council (NERC) studentship [NE/J500057/1, NE/L501591/1]; NERC [NE/L501591/1, NE/J500057/1] Funding Source: UKRI; Natural Environment Research Council [1358054] Funding Source: researchfish</t>
  </si>
  <si>
    <t>Natural Environment Research Council (NERC) studentship(UK Research &amp; Innovation (UKRI)Natural Environment Research Council (NERC)); NERC(UK Research &amp; Innovation (UKRI)Natural Environment Research Council (NERC)); Natural Environment Research Council(UK Research &amp; Innovation (UKRI)Natural Environment Research Council (NERC))</t>
  </si>
  <si>
    <t>The author(s) disclosed receipt of the following financial support for the research, authorship, and/or publication of this article: Stafford is funded by a Natural Environment Research Council (NERC) studentship (grant numbers NE/J500057/1 &amp; NE/L501591/1).</t>
  </si>
  <si>
    <t>10.1177/1940082917736894</t>
  </si>
  <si>
    <t>FS9AD</t>
  </si>
  <si>
    <t>WOS:000422705000001</t>
  </si>
  <si>
    <t>Wraith, J; Pickering, C</t>
  </si>
  <si>
    <t>Wraith, Jenna; Pickering, Catherine</t>
  </si>
  <si>
    <t>Conservation; Human impacts; Orchidaceae; Threat syndromes; Threatened species</t>
  </si>
  <si>
    <t>CLIMATE-CHANGE; CONSERVATION PRIORITIES; TERRESTRIAL ORCHIDS; SPECIES RICHNESS; VASCULAR PLANTS; BIODIVERSITY; DIVERSITY; FUTURE; CLASSIFICATION; EXTINCTION</t>
  </si>
  <si>
    <t>Thousands of plants are at risk of extinction globally due to human activities, including many species of orchids. In Australia alone there are 184 orchids identified as threatened by the Australian Government, but what threatens them and where are they threatened? Using data derived from listing documents for these orchids, threats were allocated to 28 categories. Then, the distributions of the orchids and hence likely geographic patterns of threats were mapped using 14,651 location records from the Atlas of Living Australia. The most common threats were changes in fire regimes (74% of threatened Australian orchids), invasive species (65%), habitat modification (64%), grazing (63%), tourism and recreation (47%) and illegal collection (46%), which often co-occurred as threat syndromes. Most threatened orchids are terrestrial (165 species), and many occur in temperate forests (96) and temperate shrubland (36). When generalised linear models were used to assess geographic patterns in threats, bioregions with less cover of native vegetation were more likely to have orchids threatened by habitat modification, grazing or weeds (p &lt; 0.05). Bioregions with higher protected area coverage were more likely to contain orchids threatened by tourism and recreation, but less likely to have orchids threatened by habitat modification (p &lt; 0.05). Understanding drivers of threats and their distribution is crucial for successful management as they highlight key areas for conservation. The results also highlight the need for updating orchid listings nationally and internationally to better reflect the diversity of orchids threatened and threats to them, including the increasing impact of climate change.</t>
  </si>
  <si>
    <t>[Wraith, Jenna; Pickering, Catherine] Griffith Univ, Environm Futures Res Inst, Griffith Sch Environm, Parklands Dr, Gold Coast, Qld 4222, Australia</t>
  </si>
  <si>
    <t>Wraith, J (corresponding author), Griffith Univ, Environm Futures Res Inst, Griffith Sch Environm, Parklands Dr, Gold Coast, Qld 4222, Australia.</t>
  </si>
  <si>
    <t>jenna.wraith@griffithuni.edu.au</t>
  </si>
  <si>
    <t>Wraith, Jenna/0000-0002-8730-6939; Pickering, Catherine/0000-0002-3731-5407</t>
  </si>
  <si>
    <t>10.1016/j.biocon.2019.03.015</t>
  </si>
  <si>
    <t>HZ2ZY</t>
  </si>
  <si>
    <t>WOS:000468718500002</t>
  </si>
  <si>
    <t>Asner, GP; Rudel, TK; Aide, TM; Defries, R; Emerson, R</t>
  </si>
  <si>
    <t>Asner, Gregory P.; Rudel, Thomas K.; Aide, T. Mitchell; Defries, Ruth; Emerson, Ruth</t>
  </si>
  <si>
    <t>A Contemporary Assessment of Change in Humid Tropical Forests</t>
  </si>
  <si>
    <t>deforestation; forest degradation; forest disturbance; forest regrowth; secondary forest; selective logging; timber harvesting</t>
  </si>
  <si>
    <t>USE/LAND COVER CHANGES; LAND-USE CHANGE; DEFORESTATION; AMAZON; CONSERVATION; GIS; FRAGMENTATION; GLOBALIZATION; TRANSITION; PATTERNS</t>
  </si>
  <si>
    <t>In recent decades the rate and geographic extent of land-use and land-cover change has increased throughout the world's humid tropical forests. The pan-tropical geography of forest change is a challenge to assess, and improved estimates of the human footprint in the tropics are critical to understanding potential changes in biodiversity. We combined recently published and new satellite observations, along with images from Google Earth and a literature review, to estimate the contemporary global extent of deforestation, selective logging, and secondary regrowth in humid tropical forests. Roughly 1.4% of the biome was deforested between 2000 and 2005. As of 2005, about half of the humid tropical forest biome contained 50% or less tree cover. Although not directly comparable to deforestation, geographic estimates of selective logging indicate that at least 20% of the humid tropical forest biome was undergoing some level of timber harvesting between 2000 and 2005. Forest recovery estimates are even less certain, but a compilation of available reports suggests that at least 1.2% of the humid tropical forest biome was in some stage of long-term secondary regrowth in 2000. Nearly 70% of the regrowth reports indicate forest regeneration in hilly, upland, and mountainous environments considered marginal for large-scale agriculture and ranching. Our estimates of the human footprint are conservative because they do not resolve very small-scale deforestation, low-intensity logging, and unreported secondary regrowth, nor do they incorporate other impacts on tropical forest ecosystems, such as fire and hunting. Our results highlight the enormous geographic extent of forest change throughout the humid tropics and the considerable limitations of the science and technology available for such a synthesis.</t>
  </si>
  <si>
    <t>[Asner, Gregory P.; Emerson, Ruth] Carnegie Inst, Dept Global Ecol, Stanford, CA 94305 USA; [Rudel, Thomas K.] Rutgers State Univ, Dept Human Ecol, Piscataway, NJ 08854 USA; [Rudel, Thomas K.] Rutgers State Univ, Dept Sociol, Piscataway, NJ 08854 USA; [Aide, T. Mitchell] Univ Puerto Rico, Dept Biol, San Juan, PR 00931 USA; [Defries, Ruth] Columbia Univ, Dept Ecol Evolut &amp; Environm Biol E3B, New York, NY 10027 USA</t>
  </si>
  <si>
    <t>Carnegie Institution for Science; Rutgers University System; Rutgers University New Brunswick; Rutgers University System; Rutgers University New Brunswick; University of Puerto Rico; University of Puerto Rico Medical Sciences Campus; Columbia University</t>
  </si>
  <si>
    <t>Asner, Gregory/G-9268-2013; DeFries, Ruth/AFJ-8022-2022</t>
  </si>
  <si>
    <t>Asner, Gregory/0000-0001-7893-6421;</t>
  </si>
  <si>
    <t>National Aeronautics and Space Administration LBA-ECO [NNG-06-GE-32A]; Carnegie Institution; National Science Foundation [EF-0709598]</t>
  </si>
  <si>
    <t>National Aeronautics and Space Administration LBA-ECO(National Aeronautics &amp; Space Administration (NASA)); Carnegie Institution; National Science Foundation(National Science Foundation (NSF))</t>
  </si>
  <si>
    <t>We thank W. Laurance, J. Wright, and the participants of the tropical extinctions workshop held in August 2008 at the Smithsonian Tropical Research Institute in Panama. We thank J. Wright and three anonymous reviewers for critical comments on the manuscript. G. A. and R. E. were supported by National Aeronautics and Space Administration LBA-ECO grant NNG-06-GE-32A and the Carnegie Institution, and T. M. A. was supported by National Science Foundation grant EF-0709598.</t>
  </si>
  <si>
    <t>10.1111/j.1523-1739.2009.01333.x</t>
  </si>
  <si>
    <t>524SL</t>
  </si>
  <si>
    <t>WOS:000272163100011</t>
  </si>
  <si>
    <t>Clay, TA; Small, C; Tuck, GN; Pardo, D; Carneiro, APB; Wood, AG; Croxall, JP; Crossin, GT; Phillips, RA</t>
  </si>
  <si>
    <t>Clay, Thomas A.; Small, Cleo; Tuck, Geoffrey N.; Pardo, Deborah; Carneiro, Ana P. B.; Wood, Andrew G.; Croxall, John P.; Crossin, Glenn T.; Phillips, Richard A.</t>
  </si>
  <si>
    <t>albatross; biologging; ecological risk assessment; longline fisheries; marine megafauna; petrel; population model; trawl fisheries</t>
  </si>
  <si>
    <t>PELAGIC LONGLINE FISHERIES; BY-CATCH; WANDERING ALBATROSSES; INCIDENTAL CATCH; GLOBAL PATTERNS; SOUTHERN-OCEAN; MORTALITY; MIGRATION; TRACKING; PETRELS</t>
  </si>
  <si>
    <t>Incidental mortality (bycatch) in fisheries remains the greatest threat to many large marine vertebrates and is a major barrier to fisheries sustainability. Robust assessments of bycatch risk are crucial for informing effective mitigation strategies, but are hampered by missing information on the distributions of key life-history stages (adult breeders and non-breeders, immatures and juveniles). Using a comprehensive biologging dataset (1,692 tracks, 788 individuals) spanning all major life-history stages, we assessed spatial overlap of four threatened seabird populations from South Georgia, with longline and trawl fisheries in the Southern Ocean. We generated monthly population-level distributions, weighting each life-history stage according to population age structure based on demographic models. Specifically, we determined where and when birds were at greatest potential bycatch risk, and from which fleets. Overlap with both pelagic and demersal longline fisheries was highest for black-browed albatrosses, then white-chinned petrels, wandering and grey-headed albatrosses, whereas overlap with trawl fisheries was highest for white-chinned petrels. Hotspots of fisheries overlap occurred in all major ocean basins, but particularly the south-east and south-west Atlantic Ocean (longline and trawl) and south-west Indian Ocean (pelagic longline). Overlap was greatest with pelagic longline fleets in May-September, when fishing effort south of 25 degrees S is highest, and with demersal and trawl fisheries in January-June. Overlap scores were dominated by particular fleets: pelagic longline-Japan, Taiwan; demersal longline and trawl-Argentina, Namibia, Falklands, South Africa; demersal longline-Convention for Conservation of Antarctic Marine Living Resources (CCAMLR) waters, Chile, New Zealand. Synthesis and applications. We provide a framework for calculating appropriately weighted population-level distributions from biologging data, which we recommend for future fisheries bycatch risk assessments. Many regions of high spatial overlap corresponded with high seabird bycatch rates recorded by on-board observers, indicating that our approach reliably mapped relative bycatch risk at large spatial scales. Implementation of effective bycatch mitigation in these high-risk regions varies considerably. Although potential bycatch risk appears to have decreased since the early 2000s, albatross and petrel populations from South Georgia and elsewhere are still declining, emphasizing the need for much improved observer coverage and monitoring of compliance with bycatch regulations.</t>
  </si>
  <si>
    <t>[Clay, Thomas A.] Univ Liverpool, Sch Environm Sci, Liverpool, Merseyside, England; [Clay, Thomas A.; Pardo, Deborah; Wood, Andrew G.; Phillips, Richard A.] NERC, British Antarctic Survey, Cambridge, England; [Small, Cleo] Royal Soc Protect Birds, BirdLife Global Seabird Programme, Sandy, Beds, England; [Tuck, Geoffrey N.] CSIRO Oceans &amp; Atmosphere, Hobart, Tas, Australia; [Carneiro, Ana P. B.; Croxall, John P.] BirdLife Int, Cambridge, England; [Crossin, Glenn T.] Dalhousie Univ, Dept Biol, Halifax, NS, Canada</t>
  </si>
  <si>
    <t>University of Liverpool; UK Research &amp; Innovation (UKRI); Natural Environment Research Council (NERC); NERC British Antarctic Survey; Royal Society for Protection of Birds; Commonwealth Scientific &amp; Industrial Research Organisation (CSIRO); CSIRO Oceans &amp; Atmosphere; BirdLife International; Dalhousie University</t>
  </si>
  <si>
    <t>Clay, TA (corresponding author), Univ Liverpool, Sch Environm Sci, Liverpool, Merseyside, England.;Clay, TA (corresponding author), NERC, British Antarctic Survey, Cambridge, England.</t>
  </si>
  <si>
    <t>tommy.clay@outlook.com</t>
  </si>
  <si>
    <t>; Carneiro, Ana Paula/IQT-6077-2023; Tuck, Geoff/E-2356-2012; Pardo, Deborah/D-6996-2013; Clay, Tommy/W-4867-2019</t>
  </si>
  <si>
    <t>Crossin, Glenn/0000-0003-1080-1189; , Ana/0000-0003-0573-7549; Tuck, Geoff/0000-0002-3640-6147;</t>
  </si>
  <si>
    <t>Natural Environment Research Council [bas0100035, NE/J021083/1] Funding Source: researchfish; NERC [bas0100035, NE/J021083/1] Funding Source: UKRI</t>
  </si>
  <si>
    <t>Natural Environment Research Council(UK Research &amp; Innovation (UKRI)Natural Environment Research Council (NERC)); NERC(UK Research &amp; Innovation (UKRI)Natural Environment Research Council (NERC))</t>
  </si>
  <si>
    <t>10.1111/1365-2664.13407</t>
  </si>
  <si>
    <t>IN3UH</t>
  </si>
  <si>
    <t>WOS:000478601300003</t>
  </si>
  <si>
    <t>Magness, DR; Morton, JM; Huettmann, F; Chapin, FS; McGuire, AD</t>
  </si>
  <si>
    <t>Magness, Dawn R.; Morton, John M.; Huettmann, Falk; Chapin, F. Stuart, III; McGuire, A. David</t>
  </si>
  <si>
    <t>climate change; conservation reserve; National Wildlife Refuge System; prospective adaptation; resilience; retrospective adaptation; species extinction; US Fish and Wildlife Service; vulnerability</t>
  </si>
  <si>
    <t>RESTORATION ECOLOGY; CHANGE IMPACTS; BIODIVERSITY; ECOSYSTEMS; MANAGEMENT; CONTEXT; SYSTEM; REFUGE; RISK</t>
  </si>
  <si>
    <t>Rapid climate change, in conjunction with other anthropogenic drivers, has the potential to cause mass species extinction. To minimize this risk, conservation reserves need to be coordinated at multiple spatial scales because the climate envelopes of many species may shift rapidly across large geographic areas. In addition, novel species assemblages and ecological reorganization make future conditions uncertain. We used a GIS analysis to assess the vulnerability of 501 reserve units in the National Wildlife Refuge System as a basis for a nationally coordinated response to climate change adaptation. We used measures of climate change exposure (historic rate of temperature change), sensitivity (biome edge and critical habitat for threatened and endangered species), and adaptive capacity (elevation range, latitude range, watershed road density, and watershed protection) to evaluate refuge vulnerability. The vulnerability of individual refuges varied spatially within and among biomes. We suggest that the spatial variability in vulnerability be used to define suites of management approaches that capitalize on local conditions to facilitate adaptation and spread risk across the reserve network. We conceptually define four divergent management strategies to facilitate adaption: refugia, ecosystem maintenance, natural adaptation, and facilitated transitions. Furthermore, we recognize that adaptation approaches can use historic (i.e., retrospective) and future (prospective) condition as temporal reference points to define management goals.</t>
  </si>
  <si>
    <t>[Magness, Dawn R.; Morton, John M.] US Fish &amp; Wildlife Serv, Kenai Natl Wildlife Refuge, Soldotna, AK 99669 USA; [Magness, Dawn R.; Huettmann, Falk; Chapin, F. Stuart, III; McGuire, A. David] Univ Alaska, Dept Biol &amp; Wildlife, Inst Arctic Biol, Fairbanks, AK 99775 USA; Univ Alaska, US Geol Survey, Alaska Cooperat Fish &amp; Wildlife Res Unit, Fairbanks, AK 99775 USA</t>
  </si>
  <si>
    <t>United States Department of the Interior; US Fish &amp; Wildlife Service; University of Alaska System; University of Alaska Fairbanks; University of Alaska System; University of Alaska Fairbanks; United States Department of the Interior; United States Geological Survey</t>
  </si>
  <si>
    <t>Magness, DR (corresponding author), US Fish &amp; Wildlife Serv, Kenai Natl Wildlife Refuge, Soldotna, AK 99669 USA.</t>
  </si>
  <si>
    <t>Dawn_Magness@fws.gov</t>
  </si>
  <si>
    <t>Lama, Sonam/P-3852-2018; Chapin, F/AAZ-3931-2020</t>
  </si>
  <si>
    <t>Resilience and Adaptation Program (IGERT, NSF); EPSCOR Alaska; Center for Global Change; EWHALE; USFWS through their Student Career Employment Program; Division Of Environmental Biology; Direct For Biological Sciences [1026415] Funding Source: National Science Foundation</t>
  </si>
  <si>
    <t>Resilience and Adaptation Program (IGERT, NSF)(National Science Foundation (NSF)); EPSCOR Alaska; Center for Global Change; EWHALE; USFWS through their Student Career Employment Program; Division Of Environmental Biology; Direct For Biological Sciences(National Science Foundation (NSF)NSF - Directorate for Biological Sciences (BIO))</t>
  </si>
  <si>
    <t>D.R.M. received support from the Resilience and Adaptation Program (IGERT, NSF), EPSCOR Alaska, the Center for Global Change, EWHALE, and the USFWS through their Student Career Employment Program. We also thank Drs. J. Michael Scott and Dennis B. Griffith for helpful comments on previous versions of this manuscript. This is EWHALE Publication 91.</t>
  </si>
  <si>
    <t>10.1890/ES11-00200.1</t>
  </si>
  <si>
    <t>V30JA</t>
  </si>
  <si>
    <t>WOS:000208811100006</t>
  </si>
  <si>
    <t>Rasmussen, JJ; McKnight, US; Loinaz, MC; Thomsen, NI; Olsson, ME; Bjerg, PL; Binning, PJ; Kronvang, B</t>
  </si>
  <si>
    <t>Rasmussen, Jes J.; McKnight, Ursula S.; Loinaz, Maria C.; Thomsen, Nanna I.; Olsson, Mikael E.; Bjerg, Poul L.; Binning, Philip J.; Kronvang, Brian</t>
  </si>
  <si>
    <t>EU Water Framework Directive; Headwater streams; Macroinvertebrates; Multiple stressors; Anthropogenic stress; Agricultural pesticides</t>
  </si>
  <si>
    <t>PARTICLE-ASSOCIATED FENVALERATE; PYRETHROID INSECTICIDES; INVERTEBRATE COMMUNITIES; AGRICULTURAL STREAMS; ECOSYSTEM FUNCTIONS; PHYSICAL HABITAT; WATER ECOSYSTEMS; PESTICIDES; TOXICITY; MACROINVERTEBRATES</t>
  </si>
  <si>
    <t>Mitigation activities to improve water quality and quantity in streams as well as stream management and restoration efforts are conducted in the European Union aiming to improve the chemical, physical and ecological status of streams. Headwater streams are often characterised by impairment of hydromorphological, chemical, and ecological conditions due to multiple anthropogenic impacts. However, they are generally disregarded as water bodies for mitigation activities in the European Water Framework Directive despite their importance for supporting a higher ecological quality in higher order streams. We studied 11 headwater streams in the Hove catchment in the Copenhagen region. All sites had substantial physical habitat and water quality impairments due to anthropogenic influence (intensive agriculture, urban settlements, contaminated sites and low base-flow due to water abstraction activities in the catchment). We aimed to identify the dominating anthropogenic stressors at the catchment scale causing ecological impairment of benthic macroinvertebrate communities and provide a rank-order of importance that could help in prioritising mitigation activities. We identified numerous chemical and hydromorphological impacts of which several were probably causing major ecological impairments, but we were unable to provide a robust rank-ordering of importance suggesting that targeted mitigation efforts on single anthropogenic stressors in the catchment are unlikely to have substantial effects on the ecological quality in these streams. The SPEcies At Risk (SPEAR) index explained most of the variability in the macroinvertebrate community structure, and notably, SPEAR index scores were often very low (&lt;10% SPEAR abundance). An extensive re-sampling of a subset of the streams provided evidence that especially insecticides were probably essential contributors to the overall ecological impairment of these streams. Our results suggest that headwater streams should be considered in future management and mitigation plans. Catchment-based management is necessary because several anthropogenic stressors exceeded problematic thresholds, suggesting that more holistic approaches should be preferred. (C) 2012 Elsevier B.V. All rights reserved.</t>
  </si>
  <si>
    <t>[Rasmussen, Jes J.; Kronvang, Brian] Aarhus Univ, Dept Biosci, DK-8600 Silkeborg, Denmark; [McKnight, Ursula S.; Loinaz, Maria C.; Thomsen, Nanna I.; Olsson, Mikael E.; Bjerg, Poul L.; Binning, Philip J.] Tech Univ Denmark, Dept Environm Engn, DK-2800 Lyngby, Denmark</t>
  </si>
  <si>
    <t>Aarhus University; Technical University of Denmark</t>
  </si>
  <si>
    <t>Rasmussen, JJ (corresponding author), Aarhus Univ, Dept Biosci, Vejlsovej 25, DK-8600 Silkeborg, Denmark.</t>
  </si>
  <si>
    <t>jr@dmu.dk; usmk@env.dtu.dk; macl@env.dtu.dk; nait@env.dtu.dk; mieo@env.dtu.dk; plbj@env.dtu.dk; pjbi@env.dtu.dk; bkr@dmu.dk</t>
  </si>
  <si>
    <t>Rasmussen, Jes/AAC-8667-2022; Bjerg, Poul L/C-4729-2013; Binning, Philip John/A-8967-2015; McKnight, Ursula Solard/F-4498-2012; kronvang, brian/I-7715-2013; McKnight, Ursula/HII-5158-2022</t>
  </si>
  <si>
    <t>Rasmussen, Jes/0000-0002-5932-3125; Bjerg, Poul L/0000-0002-1977-1871; Binning, Philip John/0000-0002-6731-1861; McKnight, Ursula Solard/0000-0001-8363-8672;</t>
  </si>
  <si>
    <t>Danish Research Council; Aarhus University Research Council [150359-1177]</t>
  </si>
  <si>
    <t>Danish Research Council(Det Frie Forskningsrad (DFF)); Aarhus University Research Council</t>
  </si>
  <si>
    <t>The authors gratefully acknowledge the support of the Danish Research Council (RiskPoint project) which provided funding for the study. Moreover, JJR was partly financed by a grant from the Aarhus University Research Council (grant no. 150359-1177). We thank three anonymous reviewers for their constructive comments and advice that helped us improve the manuscript. We would also like to acknowledge Uffe Mensberg and Henrik Stenholt for field assistance, and Marlene Veno Skaerbaek and Morten Andreasen for their assistance with chemical analyses.</t>
  </si>
  <si>
    <t>10.1016/j.scitotenv.2012.10.076</t>
  </si>
  <si>
    <t>075WP</t>
  </si>
  <si>
    <t>WOS:000313918200047</t>
  </si>
  <si>
    <t>Caro, T; Hamad, H; Rashid, RS; Kloiber, U; Morgan, VM; Nokelainen, O; Caro, B; Pretelli, I; Cumberlidge, N; Mulder, MB</t>
  </si>
  <si>
    <t>Caro, Tim; Hamad, Haji; Rashid, Rashid Suleiman; Kloiber, Ulrike; Morgan, Victoria M.; Nokelainen, Ossi; Caro, Barnabas; Pretelli, Ilaria; Cumberlidge, Neil; Borgerhoff Mulder, Monique</t>
  </si>
  <si>
    <t>Birgus latro; coconut crab; conservation recommendations; IUCN; Pemba; population size; Tanzania</t>
  </si>
  <si>
    <t>The coconut crab Birgus latro, the largest terrestrial decapod, is under threat in most parts of its geographical range. Its life cycle involves two biomes (restricted terrestrial habitats near the coast, and salt water currents of the tropical Indian and Pacific Oceans). Its dependence on coastal habitat means it is highly vulnerable to the habitat destruction that typically accompanies human population expansion along coastlines. Additionally, it has a slow reproductive rate and can reach large adult body sizes that, together with its slow movement when on land, make it highly susceptible to overharvesting. We studied the distribution and population changes of coconut crabs at 15 island sites in coastal Tanzania on the western edge of the species' geographical range. Our aim was to provide the data required for reassessment of the extinction risk status of this species, which, despite indications of sharp declines in many places, is currently categorized on the IUCN Red List as Data Deficient. Pemba Island, Zanzibar, in Tanzania, is an important refuge for B. latro but subpopulations are fragmented and exploited by children and fishers. We discovered that larger subpopulations are found in the presence of crops and farther away from people, whereas the largest adult coconut crabs are found on more remote island reserves and where crabs are not exploited. Remoteness and protection still offer hope for this species but there are also opportunities for protection through local communities capitalizing on tourist revenue, a conservation solution that could be applied more generally across the species' range.</t>
  </si>
  <si>
    <t>[Caro, Tim] Univ Calif Davis, Dept Wildlife Fish &amp; Conservat Biol, Davis, CA 95616 USA; [Hamad, Haji; Rashid, Rashid Suleiman] Dept Forestry &amp; Nonrenewable Nat Resources, Pemba, Zanzibar, Tanzania; [Kloiber, Ulrike] Chumbe Isl Coral Pk, Stonetown, Zanzibar, Tanzania; [Morgan, Victoria M.] Univ Calif Davis, Dept Ecol &amp; Evolut, Davis, CA 95616 USA; [Nokelainen, Ossi] Univ Jyvaskyla, Dept Biol &amp; Environm Sci, Jyvaskyla, Finland; [Pretelli, Ilaria] Max Planck Inst Evolutionary Anthropol, Dept Human Behav Ecol &amp; Culture, Leipzig, Germany; [Cumberlidge, Neil] Northern Michigan Univ, Dept Biol, Marquette, MI USA; [Borgerhoff Mulder, Monique] Univ Calif Davis, Dept Anthropol, Davis, CA 95616 USA</t>
  </si>
  <si>
    <t>University of California System; University of California Davis; University of California System; University of California Davis; University of Jyvaskyla; Max Planck Society; Northern Michigan University; University of California System; University of California Davis</t>
  </si>
  <si>
    <t>Caro, T (corresponding author), Univ Calif Davis, Dept Wildlife Fish &amp; Conservat Biol, Davis, CA 95616 USA.</t>
  </si>
  <si>
    <t>tmcaro@ucdavis.edu</t>
  </si>
  <si>
    <t>; Cumberlidge, Neil/I-4044-2019; Pretelli, Ilaria/HPH-1132-2023</t>
  </si>
  <si>
    <t>Morgan, Victoria/0000-0002-3644-4848; Nokelainen, Ossi/0000-0002-0278-6698; Cumberlidge, Neil/0000-0002-0568-6414;</t>
  </si>
  <si>
    <t>University of California Davis</t>
  </si>
  <si>
    <t>University of California Davis(University of California System)</t>
  </si>
  <si>
    <t>We thank the Revolutionary Government of Zanzibar, the Department of Non-Renewable Natural Resources, the Department of Fisheries, Pemba, and Chumbe Island Coral Park for permissions. We are grateful to Scarlet and Don Hibner and University of California Davis for their financial support.</t>
  </si>
  <si>
    <t>PII S0030605319000863</t>
  </si>
  <si>
    <t>10.1017/S0030605319000863</t>
  </si>
  <si>
    <t>TE3EI</t>
  </si>
  <si>
    <t>WOS:000669896600024</t>
  </si>
  <si>
    <t>Vasilakis, DP; Whitfield, DP; Kati, V</t>
  </si>
  <si>
    <t>Vasilakis, Dimitris P.; Whitfield, D. Philip; Kati, Vassiliki</t>
  </si>
  <si>
    <t>EURASIAN BLACK VULTURE; NATIONAL-PARK; CONSERVATION; MORTALITY; POPULATION; FATALITIES; BEHAVIOR; ENERGY; THRACE; RATES</t>
  </si>
  <si>
    <t>Wind farm development can combat climate change but may also threaten bird populations' persistence through collision with wind turbine blades if such development is improperly planned strategically and cumulatively. Such improper planning may often occur. Numerous wind farms are planned in a region hosting the only cinereous vulture population in southeastern Europe. We combined range use modelling and a Collision Risk Model (CRM) to predict the cumulative collision mortality for cinereous vulture under all operating and proposed wind farms. Four different vulture avoidance rates were considered in the CRM. Cumulative collision mortality was expected to be eight to ten times greater in the future (proposed and operating wind farms) than currently (operating wind farms), equivalent to 44% of the current population (103 individuals) if all proposals are authorized (2744 MW). Even under the most optimistic scenario whereby authorized proposals will not collectively exceed the national target for wind harnessing in the study area (960 MW), cumulative collision mortality would still be high (17% of current population) and likely lead to population extinction. Under any wind farm proposal scenario, over 92% of expected deaths would occur in the core area of the population, further implying inadequate spatial planning and implementation of relevant European legislation with scant regard for governmental obligations to protect key species. On the basis of a sensitivity map we derive a spatially explicit solution that could meet the national target of wind harnessing with a minimum conservation cost of less than 1% population loss providing that the population mortality (5.2%) caused by the operating wind farms in the core area would be totally mitigated. Under other scenarios, the vulture population would probably be at serious risk of extinction. Our 'win-win' approach is appropriate to other potential conflicts where wind farms may cumulatively threaten wildlife populations.</t>
  </si>
  <si>
    <t>[Vasilakis, Dimitris P.; Kati, Vassiliki] Univ Patras, Dept Environm &amp; Nat Resources Management, Agrinion, Aitoloakarnania, Greece; [Vasilakis, Dimitris P.] Directorate Evros Reg Forestry Serv, Decentralized Adm Macedonia Thrace, Hellen Republ, Alexandroupolis, Evros, Greece; [Whitfield, D. Philip] Nat Res Ltd, Brathens Business Pk, Banchory, Aberdeen, Scotland</t>
  </si>
  <si>
    <t>University of Patras</t>
  </si>
  <si>
    <t>Vasilakis, DP; Kati, V (corresponding author), Univ Patras, Dept Environm &amp; Nat Resources Management, Agrinion, Aitoloakarnania, Greece.;Vasilakis, DP (corresponding author), Directorate Evros Reg Forestry Serv, Decentralized Adm Macedonia Thrace, Hellen Republ, Alexandroupolis, Evros, Greece.</t>
  </si>
  <si>
    <t>dvasilak@damt.gov.gr; vkati@upatras.gr</t>
  </si>
  <si>
    <t>Vasilakis, Dimitris/AAC-1404-2021; Kati, Vassiliki/AAB-9418-2020</t>
  </si>
  <si>
    <t>Vasilakis, Dimitris/0000-0003-2902-9678; Kati, Vassiliki/0000-0003-3357-4556</t>
  </si>
  <si>
    <t>WWF Greece; Recreation and Development Union in Bulgaria (Life and Phare projects); Hellenic Republic; Decentralized Administration of Macedonia and Thrace; Natural Research Ltd</t>
  </si>
  <si>
    <t>Fieldwork and equipment was funded primarily by WWF Greece and also by Recreation and Development Union in Bulgaria (Life and Phare projects). The work of D.P.V. is partially supported by Hellenic Republic, Decentralized Administration of Macedonia and Thrace. The funders had no involvement in any stage of the present work and views or opinions presented in this paper are solely those of the authors. Natural Research Ltd supports dissemination of results.</t>
  </si>
  <si>
    <t>FEB 23</t>
  </si>
  <si>
    <t>e0172685</t>
  </si>
  <si>
    <t>10.1371/journal.pone.0172685</t>
  </si>
  <si>
    <t>EL5SX</t>
  </si>
  <si>
    <t>WOS:000394682400071</t>
  </si>
  <si>
    <t>Lieske, DJ; Tranquilla, LM; Ronconi, RA; Abbott, S</t>
  </si>
  <si>
    <t>Lieske, David J.; Tranquilla, Laura McFarlane; Ronconi, Robert A.; Abbott, Sue</t>
  </si>
  <si>
    <t>Cumulative effects; Cumulative risk; Spatial cumulative impact assessment; Marine threats; Seabirds; Sensitivity; Conservation planning; Eastern Canada</t>
  </si>
  <si>
    <t>ECOSYSTEM-BASED MANAGEMENT; AERIAL SURVEILLANCE; GILLNET FISHERIES; INCIDENTAL CATCH; MARINE BIRDS; ECOLOGICAL CRITERIA; OIL DISCHARGES; HUMAN IMPACTS; POLLUTION; BYCATCH</t>
  </si>
  <si>
    <t>This study presents the results of the first broad-scale, spatial cumulative impact analysis (SCIA) conducted for colonial-nesting seabirds at-sea in eastern Canada. Species distribution models, based on at-sea tracking data for thirteen species/groups of seabirds (n = 520 individuals), were applied to over 5000 species-specific colonies to map relative abundance patterns across the entire region. This information was combined with distributional data for a number of key anthmpogenic threats to quantify exposure to fisheries, light and ship-source oil pollution, and marine traffic. As a final step, information about species-specific sensitivity to each threat was integrated to compute region-wide cumulative risk. The data products permit the visualization of the interaction between species and threats, and confirm that large portions of the coastal zones of Nova Scotia and Newfoundland, as well as the Grand Banks shelf break, constitute areas where breeding seabirds experience the highest potential impact. The cumulative risk maps revealed that species which were either widespread throughout coastal areas (e.g., gulls), or capable of foraging long distance (Leach's Storm-Petrel), were most at risk. Cumulative risk maps help identify appropriate and potentially effective management and conservation actions, and are of value to federal regulators responsible for managing cumulative effects as part of the new Canadian Impact Assessment Act. They also can assist marine planners achieve the Aichi marine conservation targets as specified by the Convention on Biodiversity. By filling a knowledge gap for a large potion of the northwest Atlantic, these results help to counter the shifting baselines syndrome.</t>
  </si>
  <si>
    <t>[Lieske, David J.] Mt Allison Univ, Dept Geog &amp; Environm, 144 Main St, Sackville, NB E4L 3G1, Canada; [Tranquilla, Laura McFarlane] Bird Studies Canada, 17 Waterfowl Lane, Sackville, NB E4L 1G6, Canada; [Ronconi, Robert A.; Abbott, Sue] Environm &amp; Climate Change Canada, Canadian Wildlife Serv, 45 Alderney Dr, Dartmouth, NS B2Y 2N6, Canada</t>
  </si>
  <si>
    <t>Mount Allison University; Environment &amp; Climate Change Canada; Canadian Wildlife Service</t>
  </si>
  <si>
    <t>Lieske, DJ (corresponding author), Mt Allison Univ, Dept Geog &amp; Environm, 144 Main St, Sackville, NB E4L 3G1, Canada.</t>
  </si>
  <si>
    <t>Abbott, Sue/0009-0005-1658-5511</t>
  </si>
  <si>
    <t>Atlantic Ecosystems Initiative (AEI) of Environment and Climate Change Canada [GCXE16R138]; Bird Studies Canada; Mount Allison University; Atlantic Canadian Seabird Working Group</t>
  </si>
  <si>
    <t>Atlantic Ecosystems Initiative (AEI) of Environment and Climate Change Canada; Bird Studies Canada; Mount Allison University; Atlantic Canadian Seabird Working Group</t>
  </si>
  <si>
    <t>The study was primarily funded by the Atlantic Ecosystems Initiative (AEI) of Environment and Climate Change Canada (Project GCXE16R138), with additional logistical and financial support from Bird Studies Canada and Mount Allison University. We thank the Maritimes and Newfoundland and Labrador Regional branches of the Department of Fisheries and Oceans Canada for providing aggregate fisheries atlas data, and the Atlantic and Quebec Regions of the Canadian Wildlife Service for providing seabird colony data. We thank the following individuals for contributing tracking data to support the creation of colony-centred seabird distribution maps: Karel Allard, Brad Allen, Amie Black, Francois Bolduc, Chantelle Burke, Scott CoffenSmout, Gail Davoren, Tony Diamond, Dave Fifield, Stefan Garthe, Carina Gjerdrum, April Hedd, Mark Mallory, Bill Montevecchi, Ingrid Pollet, Isabeau Pratte, Jean-Francois Rail, Paul Regular, Greg Robertson, Jen Rock, Lucas Savoy, Kate Schlepr, Dave Shutler, Stephanie Symons, and Sabina Wilhelm. We also recognize Caity Brawn and Jeremy Dussault for their assistance with various stages of analysis, and Karel Allard for providing advice and recommendations. We thank the Atlantic Canadian Seabird Working Group for promoting the work, and for providing advice and support.</t>
  </si>
  <si>
    <t>10.1016/j.marpol.2020.103863</t>
  </si>
  <si>
    <t>LG7DH</t>
  </si>
  <si>
    <t>WOS:000528256400027</t>
  </si>
  <si>
    <t>Coll, M; Steenbeek, J; Lasram, FB; Mouillot, D; Cury, P</t>
  </si>
  <si>
    <t>Coll, Marta; Steenbeek, Jeroen; Lasram, Frida Ben Rais; Mouillot, David; Cury, Philippe</t>
  </si>
  <si>
    <t>Conservation priorities; cumulative threats; IUCN diversities; marine biodiversity; marine protected areas; Mediterranean Sea</t>
  </si>
  <si>
    <t>AimConservation priorities need to take the feasibility of protection measures into account. In times of economic pressure it is essential to identify the low-hanging fruit' for conservation: areas where human impacts are lower and biological diversity is still high, and thus conservation is more feasible. LocationWe used the Mediterranean large marine ecosystem (LME) as a case study to identify the overlapping areas of low threats and high diversity of vertebrate species at risk. MethodsThis LME is the first in the world to have a complete regional IUCN Red List assessment of the native marine fish. We augmented these data with distributions of marine mammals, marine turtles and seabirds at risk, and we calculated the spatial distributions of species at risk (IUCN densities). Using cumulative threats we identified priority areas for conservation of species at risk' (PACS), where IUCN diversities are high and threats are low. We assessed whether IUCN diversities and PACS were spatially congruent among taxa and we quantified whether PACS corresponded to current and proposed protected areas. ResultsIUCN densities and PACS were not highly correlated spatially among taxa. Continental shelves and deep-sea slopes of the Alboran Sea, western Mediterranean and Tunisian Plateau/Gulf of Sidra are identified as relevant for fish species at risk. The eastern side of the western Mediterranean and the Adriatic Sea are identified as most relevant for endemic fish, and shelf and open sea areas distributed through the LME are most important for marine mammals and turtles at risk, while specific locations of the western Mediterranean Sea and the Aegean and Levantine seas are highlighted for seabirds. Main conclusionsLarge parts of the areas of PACS fell outside current or proposed frameworks to be prioritized for conservation. PACS may be suitable candidates for contributing to the 10% protection target for the Mediterranean Sea by 2020.</t>
  </si>
  <si>
    <t>[Coll, Marta; Cury, Philippe] Ctr Rech Halieut Mediterraneenne &amp; Trop, Inst Rech Dev, UMR EME 212, F-34203 Sete, France; [Coll, Marta] Inst Marine Sci ICM CSIC, Barcelona 08003, Spain; [Coll, Marta; Steenbeek, Jeroen] Ecopath Int Initiat Res Assoc, Barcelona, Spain; [Lasram, Frida Ben Rais] Inst Natl Agron Tunisie, Lab Ecosyst &amp; Ressources Aquat UR03AGRO1, Tunis 1082, Tunisia; [Mouillot, David] Univ Montpellier 2, Lab Ecol Syst Marins Cotiers UMR 5119, CNRS, IRD,IFREMER,UMII,UMI, F-34095 Montpellier 5, France</t>
  </si>
  <si>
    <t>Ifremer; Institut de Recherche pour le Developpement (IRD); Universite de Montpellier; Consejo Superior de Investigaciones Cientificas (CSIC); CSIC - Centro Mediterraneo de Investigaciones Marinas y Ambientales (CMIMA); CSIC - Instituto de Ciencias del Mar (ICM); Universite de Carthage; Institut de Recherche pour le Developpement (IRD); Centre National de la Recherche Scientifique (CNRS); Ifremer; Universite de Montpellier</t>
  </si>
  <si>
    <t>Coll, M (corresponding author), Ctr Rech Halieut Mediterraneenne &amp; Trop, Inst Rech Dev, UMR EME 212, Ave Jean Monnet,BP 171, F-34203 Sete, France.</t>
  </si>
  <si>
    <t>marta.coll@ird.fr</t>
  </si>
  <si>
    <t>Mouillot, David/HCH-5670-2022; Steenbeek, Jeroen/F-9936-2016; Coll, Marta/A-9488-2012</t>
  </si>
  <si>
    <t>Steenbeek, Jeroen/0000-0002-7878-8075; Ben Rais Lasram, Frida/0000-0003-3327-908X; Cury, philippe/0000-0002-4622-4208; Coll, Marta/0000-0001-6235-5868</t>
  </si>
  <si>
    <t>Marie Curie CIG grant; Spanish Research Program Ramon y Cajal</t>
  </si>
  <si>
    <t>Marie Curie CIG grant(Marie Curie Actions); Spanish Research Program Ramon y Cajal(German Research Foundation (DFG))</t>
  </si>
  <si>
    <t>M.C. was partially supported by a Marie Curie CIG grant to BIOWEB project and the Spanish Research Program Ramon y Cajal. Noam Levin and Fiorenza Micheli are acknowledged for the maps of consensus areas and EBSAs. We are grateful to M. Paleczny for data on seabirds.</t>
  </si>
  <si>
    <t>10.1111/geb.12250</t>
  </si>
  <si>
    <t>AY3AY</t>
  </si>
  <si>
    <t>WOS:000347458100010</t>
  </si>
  <si>
    <t xml:space="preserve">933 Records returned using 908 DOIs and 25 Title + Publication year search. 
Using 1069 records used by Ridley et al (See "Full bibliography" of paper's supplements) these 933 records were first search manually using title. Then a query using DOI, first preferance, and then title was made to get WOS records of each
</t>
  </si>
  <si>
    <t>DO = (</t>
  </si>
  <si>
    <t>10.7717/peerj.8069 OR</t>
  </si>
  <si>
    <t>10.7717/peerj.8060 OR</t>
  </si>
  <si>
    <t>10.7717/peerj.7296 OR</t>
  </si>
  <si>
    <t>10.7717/peerj.5697 OR</t>
  </si>
  <si>
    <t>10.7717/peerj.4382 OR</t>
  </si>
  <si>
    <t>10.7717/peerj.3902 OR</t>
  </si>
  <si>
    <t>10.7554/eLife.00590 OR</t>
  </si>
  <si>
    <t>10.7163/GPol.0165 OR</t>
  </si>
  <si>
    <t>10.5751/ACE-01596-150119 OR</t>
  </si>
  <si>
    <t>10.5589/m13-007 OR</t>
  </si>
  <si>
    <t>10.5194/nhess-18-935-2018 OR</t>
  </si>
  <si>
    <t>10.5194/bg-7-3999-2010 OR</t>
  </si>
  <si>
    <t>10.4314/sajg.v9i1.6 OR</t>
  </si>
  <si>
    <t>10.4314/sajg.v5i3.2 OR</t>
  </si>
  <si>
    <t>10.3989/scimar.04755.17A OR</t>
  </si>
  <si>
    <t>10.3989/scimar.04000.21A OR</t>
  </si>
  <si>
    <t>10.3989/ajbm.2452 OR</t>
  </si>
  <si>
    <t>10.3955/046.084.0206 OR</t>
  </si>
  <si>
    <t>10.3906/zoo-1211-34 OR</t>
  </si>
  <si>
    <t>10.3897/zookeys.746.15140 OR</t>
  </si>
  <si>
    <t>10.3897/natureconservation.36.31826 OR</t>
  </si>
  <si>
    <t>10.3897/natureconservation.29.28943 OR</t>
  </si>
  <si>
    <t>10.3897/natureconservation.11.4438 OR</t>
  </si>
  <si>
    <t>10.3843/SusDev.15.4:15 OR</t>
  </si>
  <si>
    <t>10.3759/tropics.MS18-16 OR</t>
  </si>
  <si>
    <t>10.3391/mbi.2017.8.4.14 OR</t>
  </si>
  <si>
    <t>10.3391/mbi.2017.8.3.18 OR</t>
  </si>
  <si>
    <t>10.3391/ai.2012.7.4.009 OR</t>
  </si>
  <si>
    <t>10.3390/su12155932 OR</t>
  </si>
  <si>
    <t>10.3390/su12031282 OR</t>
  </si>
  <si>
    <t>10.3390/su12030912 OR</t>
  </si>
  <si>
    <t>10.3390/su11236629 OR</t>
  </si>
  <si>
    <t>10.3390/su11133513 OR</t>
  </si>
  <si>
    <t>10.3390/su11051346 OR</t>
  </si>
  <si>
    <t>10.3390/su10124719 OR</t>
  </si>
  <si>
    <t>10.3390/su10124504 OR</t>
  </si>
  <si>
    <t>10.3390/su10103736 OR</t>
  </si>
  <si>
    <t>10.3390/su10072418 OR</t>
  </si>
  <si>
    <t>10.3390/su10061747 OR</t>
  </si>
  <si>
    <t>10.3390/rs70911061 OR</t>
  </si>
  <si>
    <t>10.3390/rs70506257 OR</t>
  </si>
  <si>
    <t>10.3390/rs70302509 OR</t>
  </si>
  <si>
    <t>10.3390/rs11030293 OR</t>
  </si>
  <si>
    <t>10.3390/rs10071075 OR</t>
  </si>
  <si>
    <t>10.3390/rs10060897 OR</t>
  </si>
  <si>
    <t>10.3390/rs10050689 OR</t>
  </si>
  <si>
    <t>10.3390/land9110403 OR</t>
  </si>
  <si>
    <t>10.3390/land9090313 OR</t>
  </si>
  <si>
    <t>10.3390/land9010023 OR</t>
  </si>
  <si>
    <t>10.3390/land8030051 OR</t>
  </si>
  <si>
    <t>10.3390/ijgi7090365 OR</t>
  </si>
  <si>
    <t>10.3390/ijerph17010079 OR</t>
  </si>
  <si>
    <t>10.3390/ijerph16122112 OR</t>
  </si>
  <si>
    <t>10.3390/f10110952 OR</t>
  </si>
  <si>
    <t>10.3390/f10040304 OR</t>
  </si>
  <si>
    <t>10.3390/environments6020009 OR</t>
  </si>
  <si>
    <t>10.3390/d11100192 OR</t>
  </si>
  <si>
    <t>10.3389/fpls.2017.00892 OR</t>
  </si>
  <si>
    <t>10.3389/fmars.2019.00717 OR</t>
  </si>
  <si>
    <t>10.3389/fmars.2019.00599 OR</t>
  </si>
  <si>
    <t>10.3389/fmars.2019.00299 OR</t>
  </si>
  <si>
    <t>10.3389/fmars.2018.00336 OR</t>
  </si>
  <si>
    <t>10.3389/fevo.2018.00015 OR</t>
  </si>
  <si>
    <t>10.3375/043.037.0308 OR</t>
  </si>
  <si>
    <t>10.3375/043.036.0410 OR</t>
  </si>
  <si>
    <t>10.3356/0892-1016-54.2.110 OR</t>
  </si>
  <si>
    <t>10.3354/meps12736 OR</t>
  </si>
  <si>
    <t>10.3354/meps10531 OR</t>
  </si>
  <si>
    <t>10.3354/meps09434 OR</t>
  </si>
  <si>
    <t>10.3354/meps08847 OR</t>
  </si>
  <si>
    <t>10.3354/esr00984 OR</t>
  </si>
  <si>
    <t>10.3354/esr00823 OR</t>
  </si>
  <si>
    <t>10.3354/esr00698 OR</t>
  </si>
  <si>
    <t>10.3354/esr00670 OR</t>
  </si>
  <si>
    <t>10.3354/esr00627 OR</t>
  </si>
  <si>
    <t>10.3354/esr00600 OR</t>
  </si>
  <si>
    <t>10.3354/esr00564 OR</t>
  </si>
  <si>
    <t>10.3354/dao02655 OR</t>
  </si>
  <si>
    <t>10.3303/CET1332009 OR</t>
  </si>
  <si>
    <t>10.32800/abc.2018.41.0217 OR</t>
  </si>
  <si>
    <t>10.3201/eid2207.160109 OR</t>
  </si>
  <si>
    <t>10.2985/026.024.0105 OR</t>
  </si>
  <si>
    <t>10.2326/osj.18.147 OR</t>
  </si>
  <si>
    <t>10.2193/2009-206 OR</t>
  </si>
  <si>
    <t>10.2193/0022-541X(2005)069[0561:SHOGSG]2.0.CO;2 OR</t>
  </si>
  <si>
    <t>10.2112/SI75-180.1 OR</t>
  </si>
  <si>
    <t>10.2112/04-0418.1 OR</t>
  </si>
  <si>
    <t>10.1890/ES13-00238 OR</t>
  </si>
  <si>
    <t>10.1890/ES12-00388.1 OR</t>
  </si>
  <si>
    <t>10.1890/ES12-00380.1 OR</t>
  </si>
  <si>
    <t>10.1890/ES11-00200.1 OR</t>
  </si>
  <si>
    <t>10.1890/ES10-00192.1 OR</t>
  </si>
  <si>
    <t>10.1890/ES10-00005.1 OR</t>
  </si>
  <si>
    <t>10.1890/15-1410.1 OR</t>
  </si>
  <si>
    <t>10.1890/14-1062.1 OR</t>
  </si>
  <si>
    <t>10.1890/13-1152.1 OR</t>
  </si>
  <si>
    <t>10.1890/13-0711.1 OR</t>
  </si>
  <si>
    <t>10.1890/1051-0761(2006)016[2313:HDAIRO]2.0.CO;2 OR</t>
  </si>
  <si>
    <t>10.1890/1051-0761(2003)013[0687:LUALCC]2.0.CO;2 OR</t>
  </si>
  <si>
    <t>10.1890/09-2167.1 OR</t>
  </si>
  <si>
    <t>10.1890/09-1543.1 OR</t>
  </si>
  <si>
    <t>10.1890/08-1091.1 OR</t>
  </si>
  <si>
    <t>10.1890/08-0441.1 OR</t>
  </si>
  <si>
    <t>10.1890/08-0264.1 OR</t>
  </si>
  <si>
    <t>10.1890/07-0354.1 OR</t>
  </si>
  <si>
    <t>10.1890/06-1128.1 OR</t>
  </si>
  <si>
    <t>10.1890/02-5337 OR</t>
  </si>
  <si>
    <t>10.17645/up.v1i4.726 OR</t>
  </si>
  <si>
    <t>10.1659/MRD-JOURNAL-D-15-00005.1 OR</t>
  </si>
  <si>
    <t>10.1659/MRD-JOURNAL-D-10-00111.1 OR</t>
  </si>
  <si>
    <t>10.1655/0018-0831-76.2.201 OR</t>
  </si>
  <si>
    <t>10.1644/13-MAMM-A-265 OR</t>
  </si>
  <si>
    <t>10.1590/1809-4392201704522 OR</t>
  </si>
  <si>
    <t>10.1579/06-R-125R.1 OR</t>
  </si>
  <si>
    <t>10.1553/eco.mont-12-1s60 OR</t>
  </si>
  <si>
    <t>10.15517/rbt.v66i3.30818 OR</t>
  </si>
  <si>
    <t>10.1525/bio.2012.62.6.5 OR</t>
  </si>
  <si>
    <t>10.1525/bio.2011.61.4.8 OR</t>
  </si>
  <si>
    <t>10.14712/23361964.2020.4 OR</t>
  </si>
  <si>
    <t>10.1371/journal.pone.0238269 OR</t>
  </si>
  <si>
    <t>10.1371/journal.pone.0237835 OR</t>
  </si>
  <si>
    <t>10.1371/journal.pone.0231224 OR</t>
  </si>
  <si>
    <t>10.1371/journal.pone.0227698 OR</t>
  </si>
  <si>
    <t>10.1371/journal.pone.0227163 OR</t>
  </si>
  <si>
    <t>10.1371/journal.pone.0221901 OR</t>
  </si>
  <si>
    <t>10.1371/journal.pone.0217754 OR</t>
  </si>
  <si>
    <t>10.1371/journal.pone.0217540 OR</t>
  </si>
  <si>
    <t>10.1371/journal.pone.0216023 OR</t>
  </si>
  <si>
    <t>10.1371/journal.pone.0212621 OR</t>
  </si>
  <si>
    <t>10.1371/journal.pone.0212596 OR</t>
  </si>
  <si>
    <t>10.1371/journal.pone.0212485 OR</t>
  </si>
  <si>
    <t>10.1371/journal.pone.0209977 OR</t>
  </si>
  <si>
    <t>10.1371/journal.pone.0209918 OR</t>
  </si>
  <si>
    <t>10.1371/journal.pone.0208338 OR</t>
  </si>
  <si>
    <t>10.1371/journal.pone.0204370 OR</t>
  </si>
  <si>
    <t>10.1371/journal.pone.0198955 OR</t>
  </si>
  <si>
    <t>10.1371/journal.pone.0195387 OR</t>
  </si>
  <si>
    <t>10.1371/journal.pone.0195115 OR</t>
  </si>
  <si>
    <t>10.1371/journal.pone.0194654 OR</t>
  </si>
  <si>
    <t>10.1371/journal.pone.0192582 OR</t>
  </si>
  <si>
    <t>10.1371/journal.pone.0191519 OR</t>
  </si>
  <si>
    <t>10.1371/journal.pone.0190760 OR</t>
  </si>
  <si>
    <t>10.1371/journal.pone.0190021 OR</t>
  </si>
  <si>
    <t>10.1371/journal.pone.0188397 OR</t>
  </si>
  <si>
    <t>10.1371/journal.pone.0184486 OR</t>
  </si>
  <si>
    <t>10.1371/journal.pone.0184457 OR</t>
  </si>
  <si>
    <t>10.1371/journal.pone.0179686 OR</t>
  </si>
  <si>
    <t>10.1371/journal.pone.0173649 OR</t>
  </si>
  <si>
    <t>10.1371/journal.pone.0172685 OR</t>
  </si>
  <si>
    <t>10.1371/journal.pone.0171549 OR</t>
  </si>
  <si>
    <t>10.1371/journal.pone.0168280 OR</t>
  </si>
  <si>
    <t>10.1371/journal.pone.0160151 OR</t>
  </si>
  <si>
    <t>10.1371/journal.pone.0159184 OR</t>
  </si>
  <si>
    <t>10.1371/journal.pone.0157807 OR</t>
  </si>
  <si>
    <t>10.1371/journal.pone.0154474 OR</t>
  </si>
  <si>
    <t>10.1371/journal.pone.0153888 OR</t>
  </si>
  <si>
    <t>10.1371/journal.pone.0145841 OR</t>
  </si>
  <si>
    <t>10.1371/journal.pone.0141396 OR</t>
  </si>
  <si>
    <t>10.1371/journal.pone.0138533 OR</t>
  </si>
  <si>
    <t>10.1371/journal.pone.0135473 OR</t>
  </si>
  <si>
    <t>10.1371/journal.pone.0132599 OR</t>
  </si>
  <si>
    <t>10.1371/journal.pone.0125128 OR</t>
  </si>
  <si>
    <t>10.1371/journal.pone.0122995 OR</t>
  </si>
  <si>
    <t>10.1371/journal.pone.0121444 OR</t>
  </si>
  <si>
    <t>10.1371/journal.pone.0121040 OR</t>
  </si>
  <si>
    <t>10.1371/journal.pone.0115535 OR</t>
  </si>
  <si>
    <t>10.1371/journal.pone.0114362 OR</t>
  </si>
  <si>
    <t>10.1371/journal.pone.0113934 OR</t>
  </si>
  <si>
    <t>10.1371/journal.pone.0111207 OR</t>
  </si>
  <si>
    <t>10.1371/journal.pone.0110984 OR</t>
  </si>
  <si>
    <t>10.1371/journal.pone.0107395 OR</t>
  </si>
  <si>
    <t>10.1371/journal.pone.0105472 OR</t>
  </si>
  <si>
    <t>10.1371/journal.pone.0105397 OR</t>
  </si>
  <si>
    <t>10.1371/journal.pone.0103453 OR</t>
  </si>
  <si>
    <t>10.1371/journal.pone.0103106 OR</t>
  </si>
  <si>
    <t>10.1371/journal.pone.0101302 OR</t>
  </si>
  <si>
    <t>10.1371/journal.pone.0089820 OR</t>
  </si>
  <si>
    <t>10.1371/journal.pone.0088798 OR</t>
  </si>
  <si>
    <t>10.1371/journal.pone.0082492 OR</t>
  </si>
  <si>
    <t>10.1371/journal.pone.0082273 OR</t>
  </si>
  <si>
    <t>10.1371/journal.pone.0079967 OR</t>
  </si>
  <si>
    <t>10.1371/journal.pone.0079889 OR</t>
  </si>
  <si>
    <t>10.1371/journal.pone.0076794 OR</t>
  </si>
  <si>
    <t>10.1371/journal.pone.0071406 OR</t>
  </si>
  <si>
    <t>10.1371/journal.pone.0071179 OR</t>
  </si>
  <si>
    <t>10.1371/journal.pone.0069591 OR</t>
  </si>
  <si>
    <t>10.1371/journal.pone.0065427 OR</t>
  </si>
  <si>
    <t>10.1371/journal.pone.0060756 OR</t>
  </si>
  <si>
    <t>10.1371/journal.pone.0054310 OR</t>
  </si>
  <si>
    <t>10.1371/journal.pone.0053371 OR</t>
  </si>
  <si>
    <t>10.1371/journal.pone.0051156 OR</t>
  </si>
  <si>
    <t>10.1371/journal.pone.0041468 OR</t>
  </si>
  <si>
    <t>10.1371/journal.pone.0040163 OR</t>
  </si>
  <si>
    <t>10.1371/journal.pone.0038007 OR</t>
  </si>
  <si>
    <t>10.1371/journal.pone.0027491 OR</t>
  </si>
  <si>
    <t>10.1371/journal.pone.0026273 OR</t>
  </si>
  <si>
    <t>10.1371/journal.pone.0024510 OR</t>
  </si>
  <si>
    <t>10.1371/journal.pone.0023424 OR</t>
  </si>
  <si>
    <t>10.1371/journal.pone.0021693 OR</t>
  </si>
  <si>
    <t>10.1371/journal.pone.0016851 OR</t>
  </si>
  <si>
    <t>10.1371/journal.pone.0015143 OR</t>
  </si>
  <si>
    <t>10.1371/journal.pone.0014451 OR</t>
  </si>
  <si>
    <t>10.1371/journal.pone.0011390 OR</t>
  </si>
  <si>
    <t>10.1371/journal.pone.0008767 OR</t>
  </si>
  <si>
    <t>10.1371/journal.pone.0002932 OR</t>
  </si>
  <si>
    <t>10.1371/journal.pone.0001111 OR</t>
  </si>
  <si>
    <t>10.1371/journal.pbio.3000598 OR</t>
  </si>
  <si>
    <t>10.1371/journal.pbio.3000158 OR</t>
  </si>
  <si>
    <t>10.1371/journal.pbio.0060322 OR</t>
  </si>
  <si>
    <t>10.1371/journal.pbio.0060028 OR</t>
  </si>
  <si>
    <t>10.12681/mms.312 OR</t>
  </si>
  <si>
    <t>10.1186/s40663-016-0069-4 OR</t>
  </si>
  <si>
    <t>10.1186/s13717-019-0199-z OR</t>
  </si>
  <si>
    <t>10.1186/s13717-018-0146-4 OR</t>
  </si>
  <si>
    <t>10.1186/s13717-017-0108-2 OR</t>
  </si>
  <si>
    <t>10.1186/s13002-018-0244-5 OR</t>
  </si>
  <si>
    <t>10.1186/s12917-016-0702-z OR</t>
  </si>
  <si>
    <t>10.1177/1940082918794320 OR</t>
  </si>
  <si>
    <t>10.1177/1940082917736894 OR</t>
  </si>
  <si>
    <t>10.1177/194008291500800120 OR</t>
  </si>
  <si>
    <t>10.1177/194008290900200108 OR</t>
  </si>
  <si>
    <t>10.1159/000342399 OR</t>
  </si>
  <si>
    <t>10.1139/F03-048 OR</t>
  </si>
  <si>
    <t>10.1139/cjfas-2014-0159 OR</t>
  </si>
  <si>
    <t>10.1128/mBio.00410-13 OR</t>
  </si>
  <si>
    <t>10.1126/science.aax8591 OR</t>
  </si>
  <si>
    <t>10.1126/science.aav0379 OR</t>
  </si>
  <si>
    <t>10.1126/science.aam9712 OR</t>
  </si>
  <si>
    <t>10.1126/science.aac7082 OR</t>
  </si>
  <si>
    <t>10.1126/science.aac4858 OR</t>
  </si>
  <si>
    <t>10.1126/science.1149345 OR</t>
  </si>
  <si>
    <t>10.1111/mms.12322 OR</t>
  </si>
  <si>
    <t>10.1111/mec.14395 OR</t>
  </si>
  <si>
    <t>10.1111/mec.13401 OR</t>
  </si>
  <si>
    <t>10.1111/maec.12540 OR</t>
  </si>
  <si>
    <t>10.1111/jbi.13827 OR</t>
  </si>
  <si>
    <t>10.1111/jbi.12257 OR</t>
  </si>
  <si>
    <t>10.1111/jav.01239 OR</t>
  </si>
  <si>
    <t>10.1111/j.1755-263X.2009.00060.x OR</t>
  </si>
  <si>
    <t>10.1111/j.1755-263X.2009.00058.x OR</t>
  </si>
  <si>
    <t>10.1111/j.1744-7429.2011.00820.x OR</t>
  </si>
  <si>
    <t>10.1111/j.1600-0587.2009.05684.x OR</t>
  </si>
  <si>
    <t>10.1111/j.1539-6924.2006.00763.x OR</t>
  </si>
  <si>
    <t>10.1111/j.1523-1739.2012.01960.x OR</t>
  </si>
  <si>
    <t>10.1111/j.1523-1739.2011.01660.x OR</t>
  </si>
  <si>
    <t>10.1111/j.1523-1739.2009.01333.x OR</t>
  </si>
  <si>
    <t>10.1111/j.1523-1739.2009.01223.x OR</t>
  </si>
  <si>
    <t>10.1111/j.1523-1739.2008.01012.x OR</t>
  </si>
  <si>
    <t>10.1111/j.1523-1739.2008.00923.x OR</t>
  </si>
  <si>
    <t>10.1111/j.1523-1739.2007.00673.x OR</t>
  </si>
  <si>
    <t>10.1111/j.1523-1739.2005.00532.x OR</t>
  </si>
  <si>
    <t>10.1111/j.1523-1739.2005.00148.x OR</t>
  </si>
  <si>
    <t>10.1111/j.1472-4642.2011.00873.x OR</t>
  </si>
  <si>
    <t>10.1111/j.1472-4642.2011.00765.x OR</t>
  </si>
  <si>
    <t>10.1111/j.1472-4642.2010.00680.x OR</t>
  </si>
  <si>
    <t>10.1111/j.1472-4642.2010.00643.x OR</t>
  </si>
  <si>
    <t>10.1111/j.1472-4642.2008.00544.x OR</t>
  </si>
  <si>
    <t>10.1111/j.1472-4642.2008.00515.x OR</t>
  </si>
  <si>
    <t>10.1111/j.1469-1795.2000.tb00088.x OR</t>
  </si>
  <si>
    <t>10.1111/j.1466-8238.2011.00697.x OR</t>
  </si>
  <si>
    <t>10.1111/j.1442-9993.2006.01636.x OR</t>
  </si>
  <si>
    <t>10.1111/j.1439-0485.2010.00392.x OR</t>
  </si>
  <si>
    <t>10.1111/j.1439-0426.2011.01855.x OR</t>
  </si>
  <si>
    <t>10.1111/j.1366-9516.2004.00108.x OR</t>
  </si>
  <si>
    <t>10.1111/j.1365-2745.2011.01911.x OR</t>
  </si>
  <si>
    <t>10.1111/j.1365-2699.2009.02109.x OR</t>
  </si>
  <si>
    <t>10.1111/j.1365-2664.2012.02129.x OR</t>
  </si>
  <si>
    <t>10.1111/j.1365-2664.2012.02119.x OR</t>
  </si>
  <si>
    <t>10.1111/j.1365-2664.2010.01890.x OR</t>
  </si>
  <si>
    <t>10.1111/j.1365-2664.2010.01808.x OR</t>
  </si>
  <si>
    <t>10.1111/j.1365-2664.2008.01547.x OR</t>
  </si>
  <si>
    <t>10.1111/j.1365-2664.2005.01013.x OR</t>
  </si>
  <si>
    <t>10.1111/j.1365-2656.2012.02000.x OR</t>
  </si>
  <si>
    <t>10.1111/j.1365-2486.2011.02608.x OR</t>
  </si>
  <si>
    <t>10.1111/j.1365-2486.2011.02395.x OR</t>
  </si>
  <si>
    <t>10.1111/j.1365-2486.2008.01762.x OR</t>
  </si>
  <si>
    <t>10.1111/j.1365-2486.2006.01104.x OR</t>
  </si>
  <si>
    <t>10.1111/j.1365-2427.2010.02417.x OR</t>
  </si>
  <si>
    <t>10.1111/geb.12769 OR</t>
  </si>
  <si>
    <t>10.1111/geb.12564 OR</t>
  </si>
  <si>
    <t>10.1111/geb.12250 OR</t>
  </si>
  <si>
    <t>10.1111/gcb.15275 OR</t>
  </si>
  <si>
    <t>10.1111/gcb.15135 OR</t>
  </si>
  <si>
    <t>10.1111/gcb.15028 OR</t>
  </si>
  <si>
    <t>10.1111/gcb.14663 OR</t>
  </si>
  <si>
    <t>10.1111/gcb.14625 OR</t>
  </si>
  <si>
    <t>10.1111/gcb.14616 OR</t>
  </si>
  <si>
    <t>10.1111/gcb.14571 OR</t>
  </si>
  <si>
    <t>10.1111/gcb.14518 OR</t>
  </si>
  <si>
    <t>10.1111/gcb.14146 OR</t>
  </si>
  <si>
    <t>10.1111/gcb.13997 OR</t>
  </si>
  <si>
    <t>10.1111/gcb.13940 OR</t>
  </si>
  <si>
    <t>10.1111/gcb.13798 OR</t>
  </si>
  <si>
    <t>10.1111/gcb.13671 OR</t>
  </si>
  <si>
    <t>10.1111/gcb.12726 OR</t>
  </si>
  <si>
    <t>10.1111/gcb.12699 OR</t>
  </si>
  <si>
    <t>10.1111/gcb.12570 OR</t>
  </si>
  <si>
    <t>10.1111/gcb.12503 OR</t>
  </si>
  <si>
    <t>10.1111/fwb.13178 OR</t>
  </si>
  <si>
    <t>10.1111/fog.12181 OR</t>
  </si>
  <si>
    <t>10.1111/fme.12300 OR</t>
  </si>
  <si>
    <t>10.1111/eva.12595 OR</t>
  </si>
  <si>
    <t>10.1111/ele.12463 OR</t>
  </si>
  <si>
    <t>10.1111/ecog.05053 OR</t>
  </si>
  <si>
    <t>10.1111/ecog.04122 OR</t>
  </si>
  <si>
    <t>10.1111/ecog.01245 OR</t>
  </si>
  <si>
    <t>10.1111/ddi.13133 OR</t>
  </si>
  <si>
    <t>10.1111/ddi.13064 OR</t>
  </si>
  <si>
    <t>10.1111/ddi.13041 OR</t>
  </si>
  <si>
    <t>10.1111/ddi.13001 OR</t>
  </si>
  <si>
    <t>10.1111/ddi.12940 OR</t>
  </si>
  <si>
    <t>10.1111/ddi.12903 OR</t>
  </si>
  <si>
    <t>10.1111/ddi.12843 OR</t>
  </si>
  <si>
    <t>10.1111/ddi.12780 OR</t>
  </si>
  <si>
    <t>10.1111/ddi.12758 OR</t>
  </si>
  <si>
    <t>10.1111/ddi.12724 OR</t>
  </si>
  <si>
    <t>10.1111/ddi.12622 OR</t>
  </si>
  <si>
    <t>10.1111/ddi.12556 OR</t>
  </si>
  <si>
    <t>10.1111/ddi.12452 OR</t>
  </si>
  <si>
    <t>10.1111/ddi.12359 OR</t>
  </si>
  <si>
    <t>10.1111/ddi.12286 OR</t>
  </si>
  <si>
    <t>10.1111/ddi.12235 OR</t>
  </si>
  <si>
    <t>10.1111/ddi.12183 OR</t>
  </si>
  <si>
    <t>10.1111/ddi.12180 OR</t>
  </si>
  <si>
    <t>10.1111/ddi.12171 OR</t>
  </si>
  <si>
    <t>10.1111/ddi.12167 OR</t>
  </si>
  <si>
    <t>10.1111/ddi.12159 OR</t>
  </si>
  <si>
    <t>10.1111/ddi.12105 OR</t>
  </si>
  <si>
    <t>10.1111/conl.12446 OR</t>
  </si>
  <si>
    <t>10.1111/conl.12336 OR</t>
  </si>
  <si>
    <t>10.1111/con4.12321 OR</t>
  </si>
  <si>
    <t>10.1111/cobi.13502 OR</t>
  </si>
  <si>
    <t>10.1111/cobi.13466 OR</t>
  </si>
  <si>
    <t>10.1111/cobi.13459 OR</t>
  </si>
  <si>
    <t>10.1111/cobi.13325 OR</t>
  </si>
  <si>
    <t>10.1111/cobi.13317 OR</t>
  </si>
  <si>
    <t>10.1111/cobi.13141 OR</t>
  </si>
  <si>
    <t>10.1111/cobi.13079 OR</t>
  </si>
  <si>
    <t>10.1111/cobi.13024 OR</t>
  </si>
  <si>
    <t>10.1111/cobi.13022 OR</t>
  </si>
  <si>
    <t>10.1111/cobi.12992 OR</t>
  </si>
  <si>
    <t>10.1111/cobi.12965 OR</t>
  </si>
  <si>
    <t>10.1111/cobi.12886 OR</t>
  </si>
  <si>
    <t>10.1111/cobi.12854 OR</t>
  </si>
  <si>
    <t>10.1111/cobi.12537 OR</t>
  </si>
  <si>
    <t>10.1111/cobi.12376 OR</t>
  </si>
  <si>
    <t>10.1111/cobi.12151 OR</t>
  </si>
  <si>
    <t>10.1111/cobi.12128 OR</t>
  </si>
  <si>
    <t>10.1111/cobi.12126 OR</t>
  </si>
  <si>
    <t>10.1111/cobi.12048 OR</t>
  </si>
  <si>
    <t>10.1111/cobi.12029 OR</t>
  </si>
  <si>
    <t>10.1111/btp.12457 OR</t>
  </si>
  <si>
    <t>10.1111/btp.12286 OR</t>
  </si>
  <si>
    <t>10.1111/aec.12676 OR</t>
  </si>
  <si>
    <t>10.1111/acv.12579 OR</t>
  </si>
  <si>
    <t>10.1111/acv.12560 OR</t>
  </si>
  <si>
    <t>10.1111/acv.12199 OR</t>
  </si>
  <si>
    <t>10.1111/2041-210X.12923 OR</t>
  </si>
  <si>
    <t>10.1111/1755-0998.12694 OR</t>
  </si>
  <si>
    <t>10.1111/1365-2664.13654 OR</t>
  </si>
  <si>
    <t>10.1111/1365-2664.13488 OR</t>
  </si>
  <si>
    <t>10.1111/1365-2664.13407 OR</t>
  </si>
  <si>
    <t>10.1111/1365-2664.13302 OR</t>
  </si>
  <si>
    <t>10.1111/1365-2664.12911 OR</t>
  </si>
  <si>
    <t>10.1111/1365-2664.12798 OR</t>
  </si>
  <si>
    <t>10.1111/1365-2664.12794 OR</t>
  </si>
  <si>
    <t>10.1111/1365-2664.12766 OR</t>
  </si>
  <si>
    <t>10.1111/1365-2664.12610 OR</t>
  </si>
  <si>
    <t>10.1111/1365-2664.12454 OR</t>
  </si>
  <si>
    <t>10.1111/1365-2664.12438 OR</t>
  </si>
  <si>
    <t>10.1111/1365-2664.12235 OR</t>
  </si>
  <si>
    <t>10.1111/1365-2664.12227 OR</t>
  </si>
  <si>
    <t>10.1111/1365-2656.12961 OR</t>
  </si>
  <si>
    <t>10.1111/1365-2656.12214 OR</t>
  </si>
  <si>
    <t>10.1109/IGARSS.2012.6352023 OR</t>
  </si>
  <si>
    <t>10.1098/rstb.2013.0191 OR</t>
  </si>
  <si>
    <t>10.1098/rspb.2019.2677 OR</t>
  </si>
  <si>
    <t>10.1098/rspb.2015.2454 OR</t>
  </si>
  <si>
    <t>10.1098/rspb.2014.1097 OR</t>
  </si>
  <si>
    <t>10.1098/rspb.2013.2559 OR</t>
  </si>
  <si>
    <t>10.1098/rspb.2007.1732 OR</t>
  </si>
  <si>
    <t>10.1098/rsos.160498 OR</t>
  </si>
  <si>
    <t>10.1098/rsbl.2008.0761 OR</t>
  </si>
  <si>
    <t>10.1093/jmammal/gyx117 OR</t>
  </si>
  <si>
    <t>10.1093/jmammal/gyw085 OR</t>
  </si>
  <si>
    <t>10.1093/icesjms/fsz255 OR</t>
  </si>
  <si>
    <t>10.1093/icesjms/fsx051 OR</t>
  </si>
  <si>
    <t>10.1093/icesjms/fsu206 OR</t>
  </si>
  <si>
    <t>10.1093/icesjms/fsq146 OR</t>
  </si>
  <si>
    <t>10.1093/conphys/cov048 OR</t>
  </si>
  <si>
    <t>10.1093/condor/duz047 OR</t>
  </si>
  <si>
    <t>10.1093/condor/duz026 OR</t>
  </si>
  <si>
    <t>10.1093/biosci/biz157 OR</t>
  </si>
  <si>
    <t>10.1093/biosci/biaa026 OR</t>
  </si>
  <si>
    <t>10.1088/1748-9326/ab666d OR</t>
  </si>
  <si>
    <t>10.1088/1748-9326/9/11/114016 OR</t>
  </si>
  <si>
    <t>10.1088/1748-9326/10/2/029501 OR</t>
  </si>
  <si>
    <t>10.1086/697996 OR</t>
  </si>
  <si>
    <t>10.1086/679490 OR</t>
  </si>
  <si>
    <t>10.1080/19475705.2018.1470112 OR</t>
  </si>
  <si>
    <t>10.1080/17550874.2011.594101 OR</t>
  </si>
  <si>
    <t>10.1080/15627020.2019.1608862 OR</t>
  </si>
  <si>
    <t>10.1080/15022250.2011.629909 OR</t>
  </si>
  <si>
    <t>10.1080/13683500.2013.785483 OR</t>
  </si>
  <si>
    <t>10.1080/11263504.2014.913730 OR</t>
  </si>
  <si>
    <t>10.1080/10871209.2014.937017 OR</t>
  </si>
  <si>
    <t>10.1080/10807039.2016.1190636 OR</t>
  </si>
  <si>
    <t>10.1080/09640568.2019.1617681 OR</t>
  </si>
  <si>
    <t>10.1080/02755947.2014.901259 OR</t>
  </si>
  <si>
    <t>10.1080/00028487.2016.1173587 OR</t>
  </si>
  <si>
    <t>10.1073/pnas.1912776117 OR</t>
  </si>
  <si>
    <t>10.1073/pnas.1812505115 OR</t>
  </si>
  <si>
    <t>10.1073/pnas.1803543115 OR</t>
  </si>
  <si>
    <t>10.1073/pnas.1708001115 OR</t>
  </si>
  <si>
    <t>10.1073/pnas.1613625114 OR</t>
  </si>
  <si>
    <t>10.1073/pnas.1521540113 OR</t>
  </si>
  <si>
    <t>10.1073/pnas.1510272113 OR</t>
  </si>
  <si>
    <t>10.1073/pnas.1510090113 OR</t>
  </si>
  <si>
    <t>10.1073/pnas.1115226109 OR</t>
  </si>
  <si>
    <t>10.1073/pnas.1015097108 OR</t>
  </si>
  <si>
    <t>10.1073/pnas.1014497108 OR</t>
  </si>
  <si>
    <t>10.1071/WR11064 OR</t>
  </si>
  <si>
    <t>10.1071/WF05066 OR</t>
  </si>
  <si>
    <t>10.1071/RJ18081 OR</t>
  </si>
  <si>
    <t>10.1071/MF15003 OR</t>
  </si>
  <si>
    <t>10.1065/espr2007.02.388 OR</t>
  </si>
  <si>
    <t>10.1051/alr/2009051 OR</t>
  </si>
  <si>
    <t>10.1046/j.1461-0248.2003.00439.x OR</t>
  </si>
  <si>
    <t>10.1038/s41598-020-66755-7 OR</t>
  </si>
  <si>
    <t>10.1038/s41598-020-63830-x OR</t>
  </si>
  <si>
    <t>10.1038/s41598-019-44483-x OR</t>
  </si>
  <si>
    <t>10.1038/s41598-019-42792-9 OR</t>
  </si>
  <si>
    <t>10.1038/s41598-018-33237-w OR</t>
  </si>
  <si>
    <t>10.1038/s41598-018-28304-1 OR</t>
  </si>
  <si>
    <t>10.1038/s41598-018-24733-0 OR</t>
  </si>
  <si>
    <t>10.1038/s41598-018-21683-5 OR</t>
  </si>
  <si>
    <t>10.1038/s41598-018-19354-6 OR</t>
  </si>
  <si>
    <t>10.1038/s41597-019-0093-7 OR</t>
  </si>
  <si>
    <t>10.1038/s41586-019-1444-4 OR</t>
  </si>
  <si>
    <t>10.1038/s41558-020-0872-3 OR</t>
  </si>
  <si>
    <t>10.1038/s41467-020-17319-w OR</t>
  </si>
  <si>
    <t>10.1038/s41467-020-16410-6 OR</t>
  </si>
  <si>
    <t>10.1038/s41467-019-14215-w OR</t>
  </si>
  <si>
    <t>10.1038/s41467-018-07049-5 OR</t>
  </si>
  <si>
    <t>10.1038/s41467-018-06579-2 OR</t>
  </si>
  <si>
    <t>10.1038/s41467-018-05983-y OR</t>
  </si>
  <si>
    <t>10.1038/s41467-018-03786-9 OR</t>
  </si>
  <si>
    <t>10.1038/ncomms8615 OR</t>
  </si>
  <si>
    <t>10.1038/ncomms10491 OR</t>
  </si>
  <si>
    <t>10.1038/NCLIMATE3382 OR</t>
  </si>
  <si>
    <t>10.1038/nature09549 OR</t>
  </si>
  <si>
    <t>10.1038/nature09440 OR</t>
  </si>
  <si>
    <t>10.1023/A:1006458811235 OR</t>
  </si>
  <si>
    <t>10.1021/es102373d OR</t>
  </si>
  <si>
    <t>10.1017/S0959270908000075 OR</t>
  </si>
  <si>
    <t>10.1017/S0950268805005303 OR</t>
  </si>
  <si>
    <t>10.1017/S0376892918000486 OR</t>
  </si>
  <si>
    <t>10.1017/S0376892917000455 OR</t>
  </si>
  <si>
    <t>10.1017/S0376892911000610 OR</t>
  </si>
  <si>
    <t>10.1017/S0030605319000863 OR</t>
  </si>
  <si>
    <t>10.1017/S0030605318001515 OR</t>
  </si>
  <si>
    <t>10.1017/S0030605318000881 OR</t>
  </si>
  <si>
    <t>10.1017/S0030605317001144 OR</t>
  </si>
  <si>
    <t>10.1017/S0030605317000023 OR</t>
  </si>
  <si>
    <t>10.1017/S0030605316001125 OR</t>
  </si>
  <si>
    <t>10.1017/S0030605315001167 OR</t>
  </si>
  <si>
    <t>10.1017/S0030605315000344 OR</t>
  </si>
  <si>
    <t>10.1017/S0030605314000362 OR</t>
  </si>
  <si>
    <t>10.1017/S0030605313001580 OR</t>
  </si>
  <si>
    <t>10.1017/S0030605310000153 OR</t>
  </si>
  <si>
    <t>10.1017/S0030605308006996 OR</t>
  </si>
  <si>
    <t>10.1017/S0025315417000406 OR</t>
  </si>
  <si>
    <t>10.1017/S0007485315000851 OR</t>
  </si>
  <si>
    <t>10.1016/S0968-090X(00)00014-0 OR</t>
  </si>
  <si>
    <t>10.1016/S0169-2046(03)00154-3 OR</t>
  </si>
  <si>
    <t>10.1016/S0167-8809(02)00102-0 OR</t>
  </si>
  <si>
    <t>10.1016/S0167-8809(00)00274-7 OR</t>
  </si>
  <si>
    <t>10.1016/j.worlddev.2017.10.012 OR</t>
  </si>
  <si>
    <t>10.1016/j.trd.2017.12.003 OR</t>
  </si>
  <si>
    <t>10.1016/j.trd.2015.09.006 OR</t>
  </si>
  <si>
    <t>10.1016/j.trd.2015.02.006 OR</t>
  </si>
  <si>
    <t>10.1016/j.tourman.2020.104136 OR</t>
  </si>
  <si>
    <t>10.1016/j.scitotenv.2020.141556 OR</t>
  </si>
  <si>
    <t>10.1016/j.scitotenv.2020.140941 OR</t>
  </si>
  <si>
    <t>10.1016/j.scitotenv.2020.140238 OR</t>
  </si>
  <si>
    <t>10.1016/j.scitotenv.2020.139374 OR</t>
  </si>
  <si>
    <t>10.1016/j.scitotenv.2020.138677 OR</t>
  </si>
  <si>
    <t>10.1016/j.scitotenv.2020.136863 OR</t>
  </si>
  <si>
    <t>10.1016/j.scitotenv.2019.135431 OR</t>
  </si>
  <si>
    <t>10.1016/j.scitotenv.2019.135316 OR</t>
  </si>
  <si>
    <t>10.1016/j.scitotenv.2019.07.156 OR</t>
  </si>
  <si>
    <t>10.1016/j.scitotenv.2019.06.160 OR</t>
  </si>
  <si>
    <t>10.1016/j.scitotenv.2019.05.268 OR</t>
  </si>
  <si>
    <t>10.1016/j.scitotenv.2019.04.355 OR</t>
  </si>
  <si>
    <t>10.1016/j.scitotenv.2019.03.021 OR</t>
  </si>
  <si>
    <t>10.1016/j.scitotenv.2019.02.122 OR</t>
  </si>
  <si>
    <t>10.1016/j.scitotenv.2019.01.153 OR</t>
  </si>
  <si>
    <t>10.1016/j.scitotenv.2018.12.238 OR</t>
  </si>
  <si>
    <t>10.1016/j.scitotenv.2018.12.203 OR</t>
  </si>
  <si>
    <t>10.1016/j.scitotenv.2018.10.022 OR</t>
  </si>
  <si>
    <t>10.1016/j.scitotenv.2018.08.419 OR</t>
  </si>
  <si>
    <t>10.1016/j.scitotenv.2018.05.390 OR</t>
  </si>
  <si>
    <t>10.1016/j.scitotenv.2018.05.224 OR</t>
  </si>
  <si>
    <t>10.1016/j.scitotenv.2018.04.009 OR</t>
  </si>
  <si>
    <t>10.1016/j.scitotenv.2017.11.216 OR</t>
  </si>
  <si>
    <t>10.1016/j.scitotenv.2017.09.076 OR</t>
  </si>
  <si>
    <t>10.1016/j.scitotenv.2017.08.238 OR</t>
  </si>
  <si>
    <t>10.1016/j.scitotenv.2017.07.099 OR</t>
  </si>
  <si>
    <t>10.1016/j.scitotenv.2017.05.220 OR</t>
  </si>
  <si>
    <t>10.1016/j.scitotenv.2017.02.221 OR</t>
  </si>
  <si>
    <t>10.1016/j.scitotenv.2017.02.078 OR</t>
  </si>
  <si>
    <t>10.1016/j.scitotenv.2016.09.048 OR</t>
  </si>
  <si>
    <t>10.1016/j.scitotenv.2015.12.092 OR</t>
  </si>
  <si>
    <t>10.1016/j.scitotenv.2012.10.076 OR</t>
  </si>
  <si>
    <t>10.1016/j.scitotenv.2004.09.017 OR</t>
  </si>
  <si>
    <t>10.1016/j.rse.2013.01.021 OR</t>
  </si>
  <si>
    <t>10.1016/j.rse.2007.12.011 OR</t>
  </si>
  <si>
    <t>10.1016/j.rse.2007.11.016 OR</t>
  </si>
  <si>
    <t>10.1016/j.pocean.2019.102179 OR</t>
  </si>
  <si>
    <t>10.1016/j.pecon.2017.07.005 OR</t>
  </si>
  <si>
    <t>10.1016/j.pce.2017.06.007 OR</t>
  </si>
  <si>
    <t>10.1016/j.ocecoaman.2020.105230 OR</t>
  </si>
  <si>
    <t>10.1016/j.ocecoaman.2020.105209 OR</t>
  </si>
  <si>
    <t>10.1016/j.ocecoaman.2019.105034 OR</t>
  </si>
  <si>
    <t>10.1016/j.ocecoaman.2019.02.002 OR</t>
  </si>
  <si>
    <t>10.1016/j.ocecoaman.2018.12.033 OR</t>
  </si>
  <si>
    <t>10.1016/j.ocecoaman.2018.10.038 OR</t>
  </si>
  <si>
    <t>10.1016/j.ocecoaman.2018.08.001 OR</t>
  </si>
  <si>
    <t>10.1016/j.ocecoaman.2018.07.009 OR</t>
  </si>
  <si>
    <t>10.1016/j.ocecoaman.2018.07.004 OR</t>
  </si>
  <si>
    <t>10.1016/j.ocecoaman.2018.05.003 OR</t>
  </si>
  <si>
    <t>10.1016/j.ocecoaman.2016.12.008 OR</t>
  </si>
  <si>
    <t>10.1016/j.ocecoaman.2016.11.028 OR</t>
  </si>
  <si>
    <t>10.1016/j.ocecoaman.2016.11.024 OR</t>
  </si>
  <si>
    <t>10.1016/j.ocecoaman.2016.09.021 OR</t>
  </si>
  <si>
    <t>10.1016/j.ocecoaman.2015.06.005 OR</t>
  </si>
  <si>
    <t>10.1016/j.ocecoaman.2013.02.006 OR</t>
  </si>
  <si>
    <t>10.1016/j.ocecoaman.2004.11.002 OR</t>
  </si>
  <si>
    <t>10.1016/j.marpolbul.2019.04.006 OR</t>
  </si>
  <si>
    <t>10.1016/j.marpolbul.2019.01.030 OR</t>
  </si>
  <si>
    <t>10.1016/j.marpolbul.2018.08.042 OR</t>
  </si>
  <si>
    <t>10.1016/j.marpolbul.2018.04.065 OR</t>
  </si>
  <si>
    <t>10.1016/j.marpolbul.2015.10.065 OR</t>
  </si>
  <si>
    <t>10.1016/j.marpolbul.2015.08.026 OR</t>
  </si>
  <si>
    <t>10.1016/j.marpolbul.2015.07.012 OR</t>
  </si>
  <si>
    <t>10.1016/j.marpolbul.2013.08.041 OR</t>
  </si>
  <si>
    <t>10.1016/j.marpolbul.2011.02.029 OR</t>
  </si>
  <si>
    <t>10.1016/j.marpol.2020.104023 OR</t>
  </si>
  <si>
    <t>10.1016/j.marpol.2020.103863 OR</t>
  </si>
  <si>
    <t>10.1016/j.marpol.2019.103738 OR</t>
  </si>
  <si>
    <t>10.1016/j.marpol.2018.11.028 OR</t>
  </si>
  <si>
    <t>10.1016/j.marpol.2017.01.003 OR</t>
  </si>
  <si>
    <t>10.1016/j.marpol.2016.11.003 OR</t>
  </si>
  <si>
    <t>10.1016/j.marpol.2015.10.010 OR</t>
  </si>
  <si>
    <t>10.1016/j.marpol.2015.03.030 OR</t>
  </si>
  <si>
    <t>10.1016/j.marenvres.2020.105000 OR</t>
  </si>
  <si>
    <t>10.1016/j.marenvres.2018.10.008 OR</t>
  </si>
  <si>
    <t>10.1016/j.marenvres.2017.07.010 OR</t>
  </si>
  <si>
    <t>10.1016/j.marenvres.2016.02.003 OR</t>
  </si>
  <si>
    <t>10.1016/j.marenvres.2016.02.001 OR</t>
  </si>
  <si>
    <t>10.1016/j.marenvres.2014.11.008 OR</t>
  </si>
  <si>
    <t>10.1016/j.marenvres.2013.02.013 OR</t>
  </si>
  <si>
    <t>10.1016/j.mambio.2016.02.004 OR</t>
  </si>
  <si>
    <t>10.1016/j.mambio.2013.04.005 OR</t>
  </si>
  <si>
    <t>10.1016/j.limno.2013.05.008 OR</t>
  </si>
  <si>
    <t>10.1016/j.landusepol.2020.104682 OR</t>
  </si>
  <si>
    <t>10.1016/j.landusepol.2020.104625 OR</t>
  </si>
  <si>
    <t>10.1016/j.landusepol.2019.104256 OR</t>
  </si>
  <si>
    <t>10.1016/j.landusepol.2018.05.043 OR</t>
  </si>
  <si>
    <t>10.1016/j.landusepol.2014.08.020 OR</t>
  </si>
  <si>
    <t>10.1016/j.landusepol.2014.08.008 OR</t>
  </si>
  <si>
    <t>10.1016/j.landurbplan.2018.05.012 OR</t>
  </si>
  <si>
    <t>10.1016/j.landurbplan.2017.09.009 OR</t>
  </si>
  <si>
    <t>10.1016/j.landurbplan.2010.11.014 OR</t>
  </si>
  <si>
    <t>10.1016/j.landurbplan.2010.02.002 OR</t>
  </si>
  <si>
    <t>10.1016/j.jnc.2019.125740 OR</t>
  </si>
  <si>
    <t>10.1016/j.jnc.2019.125738 OR</t>
  </si>
  <si>
    <t>10.1016/j.jnc.2018.02.011 OR</t>
  </si>
  <si>
    <t>10.1016/j.jnc.2017.11.001 OR</t>
  </si>
  <si>
    <t>10.1016/j.jnc.2017.02.001 OR</t>
  </si>
  <si>
    <t>10.1016/j.jnc.2016.08.001 OR</t>
  </si>
  <si>
    <t>10.1016/j.jnc.2014.09.001 OR</t>
  </si>
  <si>
    <t>10.1016/j.jnc.2014.07.004 OR</t>
  </si>
  <si>
    <t>10.1016/j.jnc.2014.02.003 OR</t>
  </si>
  <si>
    <t>10.1016/j.jnc.2013.09.007 OR</t>
  </si>
  <si>
    <t>10.1016/j.jnc.2013.07.003 OR</t>
  </si>
  <si>
    <t>10.1016/j.jnc.2012.07.006 OR</t>
  </si>
  <si>
    <t>10.1016/j.jnc.2009.08.003 OR</t>
  </si>
  <si>
    <t>10.1016/j.jglr.2019.12.007 OR</t>
  </si>
  <si>
    <t>10.1016/j.jenvman.2019.109819 OR</t>
  </si>
  <si>
    <t>10.1016/j.jenvman.2019.109808 OR</t>
  </si>
  <si>
    <t>10.1016/j.jenvman.2018.12.016 OR</t>
  </si>
  <si>
    <t>10.1016/j.jenvman.2017.08.001 OR</t>
  </si>
  <si>
    <t>10.1016/j.jenvman.2016.11.075 OR</t>
  </si>
  <si>
    <t>10.1016/j.jenvman.2016.11.038 OR</t>
  </si>
  <si>
    <t>10.1016/j.jenvman.2016.05.040 OR</t>
  </si>
  <si>
    <t>10.1016/j.jenvman.2015.10.052 OR</t>
  </si>
  <si>
    <t>10.1016/j.jenvman.2013.01.036 OR</t>
  </si>
  <si>
    <t>10.1016/j.jenvman.2011.10.011 OR</t>
  </si>
  <si>
    <t>10.1016/j.jenvman.2011.09.018 OR</t>
  </si>
  <si>
    <t>10.1016/j.jaridenv.2019.01.006 OR</t>
  </si>
  <si>
    <t>10.1016/j.jaridenv.2018.05.006 OR</t>
  </si>
  <si>
    <t>10.1016/j.jag.2019.101958 OR</t>
  </si>
  <si>
    <t>10.1016/j.jag.2018.09.017 OR</t>
  </si>
  <si>
    <t>10.1016/j.iswcr.2019.08.004 OR</t>
  </si>
  <si>
    <t>10.1016/j.isprsjprs.2020.07.019 OR</t>
  </si>
  <si>
    <t>10.1016/j.gloenvcha.2016.03.013 OR</t>
  </si>
  <si>
    <t>10.1016/j.gloenvcha.2014.08.007 OR</t>
  </si>
  <si>
    <t>10.1016/j.gecco.2020.e01176 OR</t>
  </si>
  <si>
    <t>10.1016/j.gecco.2020.e01082 OR</t>
  </si>
  <si>
    <t>10.1016/j.gecco.2019.e00862 OR</t>
  </si>
  <si>
    <t>10.1016/j.gecco.2019.e00706 OR</t>
  </si>
  <si>
    <t>10.1016/j.gecco.2018.e00447 OR</t>
  </si>
  <si>
    <t>10.1016/j.gecco.2017.08.005 OR</t>
  </si>
  <si>
    <t>10.1016/j.gecco.2016.01.004 OR</t>
  </si>
  <si>
    <t>10.1016/j.gecco.2015.10.006 OR</t>
  </si>
  <si>
    <t>10.1016/j.gecco.2015.06.003 OR</t>
  </si>
  <si>
    <t>10.1016/j.forpol.2018.06.009 OR</t>
  </si>
  <si>
    <t>10.1016/j.foreco.2020.118404 OR</t>
  </si>
  <si>
    <t>10.1016/j.foreco.2020.118102 OR</t>
  </si>
  <si>
    <t>10.1016/j.foreco.2017.07.025 OR</t>
  </si>
  <si>
    <t>10.1016/j.foreco.2005.03.061 OR</t>
  </si>
  <si>
    <t>10.1016/j.flora.2017.03.007 OR</t>
  </si>
  <si>
    <t>10.1016/j.fishres.2019.105367 OR</t>
  </si>
  <si>
    <t>10.1016/j.envsoft.2009.07.017 OR</t>
  </si>
  <si>
    <t>10.1016/j.envsoft.2005.05.005 OR</t>
  </si>
  <si>
    <t>10.1016/j.envsci.2007.07.002 OR</t>
  </si>
  <si>
    <t>10.1016/j.envpol.2019.113290 OR</t>
  </si>
  <si>
    <t>10.1016/j.envpol.2019.06.080 OR</t>
  </si>
  <si>
    <t>10.1016/j.envpol.2019.06.063 OR</t>
  </si>
  <si>
    <t>10.1016/j.envpol.2019.06.031 OR</t>
  </si>
  <si>
    <t>10.1016/j.envpol.2018.04.021 OR</t>
  </si>
  <si>
    <t>10.1016/j.envpol.2016.10.025 OR</t>
  </si>
  <si>
    <t>10.1016/j.envpol.2007.08.011 OR</t>
  </si>
  <si>
    <t>10.1016/j.eiar.2019.106337 OR</t>
  </si>
  <si>
    <t>10.1016/j.ecss.2015.11.025 OR</t>
  </si>
  <si>
    <t>10.1016/j.ecss.2015.05.017 OR</t>
  </si>
  <si>
    <t>10.1016/j.ecoser.2020.101155 OR</t>
  </si>
  <si>
    <t>10.1016/j.ecoser.2017.10.003 OR</t>
  </si>
  <si>
    <t>10.1016/j.ecolmodel.2018.09.001 OR</t>
  </si>
  <si>
    <t>10.1016/j.ecolmodel.2016.08.002 OR</t>
  </si>
  <si>
    <t>10.1016/j.ecolmodel.2004.07.012 OR</t>
  </si>
  <si>
    <t>10.1016/j.ecolind.2020.106630 OR</t>
  </si>
  <si>
    <t>10.1016/j.ecolind.2020.106521 OR</t>
  </si>
  <si>
    <t>10.1016/j.ecolind.2020.106401 OR</t>
  </si>
  <si>
    <t>10.1016/j.ecolind.2019.05.064 OR</t>
  </si>
  <si>
    <t>10.1016/j.ecolind.2019.02.028 OR</t>
  </si>
  <si>
    <t>10.1016/j.ecolind.2018.10.009 OR</t>
  </si>
  <si>
    <t>10.1016/j.ecolind.2018.03.060 OR</t>
  </si>
  <si>
    <t>10.1016/j.ecolind.2018.02.031 OR</t>
  </si>
  <si>
    <t>10.1016/j.ecolind.2017.10.012 OR</t>
  </si>
  <si>
    <t>10.1016/j.ecolind.2017.08.034 OR</t>
  </si>
  <si>
    <t>10.1016/j.ecolind.2017.07.037 OR</t>
  </si>
  <si>
    <t>10.1016/j.ecolind.2016.03.055 OR</t>
  </si>
  <si>
    <t>10.1016/j.ecolind.2015.12.023 OR</t>
  </si>
  <si>
    <t>10.1016/j.ecolind.2012.11.006 OR</t>
  </si>
  <si>
    <t>10.1016/j.ecolind.2011.07.027 OR</t>
  </si>
  <si>
    <t>10.1016/j.ecoleng.2019.02.012 OR</t>
  </si>
  <si>
    <t>10.1016/j.ecoleng.2015.09.059 OR</t>
  </si>
  <si>
    <t>10.1016/j.ecoleng.2014.05.006 OR</t>
  </si>
  <si>
    <t>10.1016/j.ecoleng.2008.07.006 OR</t>
  </si>
  <si>
    <t>10.1016/j.ecoinf.2018.07.007 OR</t>
  </si>
  <si>
    <t>10.1016/j.chemosphere.2020.127008 OR</t>
  </si>
  <si>
    <t>10.1016/j.chemosphere.2015.08.007 OR</t>
  </si>
  <si>
    <t>10.1016/j.biocon.2020.108743 OR</t>
  </si>
  <si>
    <t>10.1016/j.biocon.2020.108729 OR</t>
  </si>
  <si>
    <t>10.1016/j.biocon.2020.108709 OR</t>
  </si>
  <si>
    <t>10.1016/j.biocon.2020.108601 OR</t>
  </si>
  <si>
    <t>10.1016/j.biocon.2020.108600 OR</t>
  </si>
  <si>
    <t>10.1016/j.biocon.2020.108527 OR</t>
  </si>
  <si>
    <t>10.1016/j.biocon.2020.108504 OR</t>
  </si>
  <si>
    <t>10.1016/j.biocon.2019.108383 OR</t>
  </si>
  <si>
    <t>10.1016/j.biocon.2019.108203 OR</t>
  </si>
  <si>
    <t>10.1016/j.biocon.2019.07.021 OR</t>
  </si>
  <si>
    <t>10.1016/j.biocon.2019.06.014 OR</t>
  </si>
  <si>
    <t>10.1016/j.biocon.2019.03.015 OR</t>
  </si>
  <si>
    <t>10.1016/j.biocon.2019.02.020 OR</t>
  </si>
  <si>
    <t>10.1016/j.biocon.2019.01.008 OR</t>
  </si>
  <si>
    <t>10.1016/j.biocon.2018.12.015 OR</t>
  </si>
  <si>
    <t>10.1016/j.biocon.2018.10.027 OR</t>
  </si>
  <si>
    <t>10.1016/j.biocon.2018.09.009 OR</t>
  </si>
  <si>
    <t>10.1016/j.biocon.2018.05.019 OR</t>
  </si>
  <si>
    <t>10.1016/j.biocon.2018.04.006 OR</t>
  </si>
  <si>
    <t>10.1016/j.biocon.2018.02.021 OR</t>
  </si>
  <si>
    <t>10.1016/j.biocon.2018.02.005 OR</t>
  </si>
  <si>
    <t>10.1016/j.biocon.2017.12.031 OR</t>
  </si>
  <si>
    <t>10.1016/j.biocon.2017.12.003 OR</t>
  </si>
  <si>
    <t>10.1016/j.biocon.2017.11.035 OR</t>
  </si>
  <si>
    <t>10.1016/j.biocon.2017.11.015 OR</t>
  </si>
  <si>
    <t>10.1016/j.biocon.2017.06.030 OR</t>
  </si>
  <si>
    <t>10.1016/j.biocon.2017.06.021 OR</t>
  </si>
  <si>
    <t>10.1016/j.biocon.2017.04.033 OR</t>
  </si>
  <si>
    <t>10.1016/j.biocon.2017.04.007 OR</t>
  </si>
  <si>
    <t>10.1016/j.biocon.2016.12.011 OR</t>
  </si>
  <si>
    <t>10.1016/j.biocon.2016.10.005 OR</t>
  </si>
  <si>
    <t>10.1016/j.biocon.2016.06.002 OR</t>
  </si>
  <si>
    <t>10.1016/j.biocon.2016.03.020 OR</t>
  </si>
  <si>
    <t>10.1016/j.biocon.2016.02.001 OR</t>
  </si>
  <si>
    <t>10.1016/j.biocon.2016.01.014 OR</t>
  </si>
  <si>
    <t>10.1016/j.biocon.2015.10.003 OR</t>
  </si>
  <si>
    <t>10.1016/j.biocon.2015.06.040 OR</t>
  </si>
  <si>
    <t>10.1016/j.biocon.2015.06.037 OR</t>
  </si>
  <si>
    <t>10.1016/j.biocon.2015.06.010 OR</t>
  </si>
  <si>
    <t>10.1016/j.biocon.2015.04.010 OR</t>
  </si>
  <si>
    <t>10.1016/j.biocon.2014.12.024 OR</t>
  </si>
  <si>
    <t>10.1016/j.biocon.2014.11.015 OR</t>
  </si>
  <si>
    <t>10.1016/j.biocon.2014.09.005 OR</t>
  </si>
  <si>
    <t>10.1016/j.biocon.2014.02.010 OR</t>
  </si>
  <si>
    <t>10.1016/j.biocon.2013.12.026 OR</t>
  </si>
  <si>
    <t>10.1016/j.biocon.2013.11.028 OR</t>
  </si>
  <si>
    <t>10.1016/j.biocon.2013.10.011 OR</t>
  </si>
  <si>
    <t>10.1016/j.biocon.2013.06.012 OR</t>
  </si>
  <si>
    <t>10.1016/j.biocon.2013.05.012 OR</t>
  </si>
  <si>
    <t>10.1016/j.biocon.2013.02.001 OR</t>
  </si>
  <si>
    <t>10.1016/j.biocon.2012.10.025 OR</t>
  </si>
  <si>
    <t>10.1016/j.biocon.2012.07.015 OR</t>
  </si>
  <si>
    <t>10.1016/j.biocon.2012.06.017 OR</t>
  </si>
  <si>
    <t>10.1016/j.biocon.2012.03.008 OR</t>
  </si>
  <si>
    <t>10.1016/j.biocon.2012.01.022 OR</t>
  </si>
  <si>
    <t>10.1016/j.biocon.2011.12.001 OR</t>
  </si>
  <si>
    <t>10.1016/j.biocon.2011.10.021 OR</t>
  </si>
  <si>
    <t>10.1016/j.biocon.2011.10.017 OR</t>
  </si>
  <si>
    <t>10.1016/j.biocon.2011.09.007 OR</t>
  </si>
  <si>
    <t>10.1016/j.biocon.2011.06.021 OR</t>
  </si>
  <si>
    <t>10.1016/j.biocon.2011.05.007 OR</t>
  </si>
  <si>
    <t>10.1016/j.biocon.2011.02.024 OR</t>
  </si>
  <si>
    <t>10.1016/j.biocon.2011.02.004 OR</t>
  </si>
  <si>
    <t>10.1016/j.biocon.2009.10.007 OR</t>
  </si>
  <si>
    <t>10.1016/j.biocon.2009.07.025 OR</t>
  </si>
  <si>
    <t>10.1016/j.biocon.2009.03.018 OR</t>
  </si>
  <si>
    <t>10.1016/j.biocon.2009.02.025 OR</t>
  </si>
  <si>
    <t>10.1016/j.biocon.2009.02.022 OR</t>
  </si>
  <si>
    <t>10.1016/j.biocon.2008.07.027 OR</t>
  </si>
  <si>
    <t>10.1016/j.biocon.2008.07.016 OR</t>
  </si>
  <si>
    <t>10.1016/j.biocon.2008.06.029 OR</t>
  </si>
  <si>
    <t>10.1016/j.biocon.2008.04.025 OR</t>
  </si>
  <si>
    <t>10.1016/j.biocon.2007.02.020 OR</t>
  </si>
  <si>
    <t>10.1016/j.biocon.2007.01.014 OR</t>
  </si>
  <si>
    <t>10.1016/j.biocon.2007.01.008 OR</t>
  </si>
  <si>
    <t>10.1016/j.biocon.2005.11.002 OR</t>
  </si>
  <si>
    <t>10.1016/j.apgeog.2019.03.001 OR</t>
  </si>
  <si>
    <t>10.1016/j.apgeog.2018.12.001 OR</t>
  </si>
  <si>
    <t>10.1016/j.apgeog.2018.02.015 OR</t>
  </si>
  <si>
    <t>10.1016/j.apgeog.2016.10.007 OR</t>
  </si>
  <si>
    <t>10.1016/j.apgeog.2016.04.005 OR</t>
  </si>
  <si>
    <t>10.1016/j.apgeog.2014.09.014 OR</t>
  </si>
  <si>
    <t>10.1016/j.apgeog.2013.07.001 OR</t>
  </si>
  <si>
    <t>10.1016/j.apgeog.2012.08.006 OR</t>
  </si>
  <si>
    <t>10.1016/j.apgeog.2011.02.004 OR</t>
  </si>
  <si>
    <t>10.1007/s42965-020-00062-0 OR</t>
  </si>
  <si>
    <t>10.1007/s41324-017-0117-3 OR</t>
  </si>
  <si>
    <t>10.1007/s41109-020-00262-6 OR</t>
  </si>
  <si>
    <t>10.1007/s40808-020-00858-y OR</t>
  </si>
  <si>
    <t>10.1007/s40808-019-00652-5 OR</t>
  </si>
  <si>
    <t>10.1007/s13364-015-0253-x OR</t>
  </si>
  <si>
    <t>10.1007/s13280-020-01326-8 OR</t>
  </si>
  <si>
    <t>10.1007/s13280-019-01305-8 OR</t>
  </si>
  <si>
    <t>10.1007/s13280-018-1128-6 OR</t>
  </si>
  <si>
    <t>10.1007/s13280-015-0683-3 OR</t>
  </si>
  <si>
    <t>10.1007/s13157-018-1075-9 OR</t>
  </si>
  <si>
    <t>10.1007/s13157-016-0806-z OR</t>
  </si>
  <si>
    <t>10.1007/s13157-012-0357-x OR</t>
  </si>
  <si>
    <t>10.1007/s12665-018-7323-8 OR</t>
  </si>
  <si>
    <t>10.1007/s12524-010-0013-y OR</t>
  </si>
  <si>
    <t>10.1007/s12524-009-0052-4 OR</t>
  </si>
  <si>
    <t>10.1007/s12210-018-0738-z OR</t>
  </si>
  <si>
    <t>10.1007/s12210-018-0680-0 OR</t>
  </si>
  <si>
    <t>10.1007/s12061-018-9272-8 OR</t>
  </si>
  <si>
    <t>10.1007/s12040-014-0409-0 OR</t>
  </si>
  <si>
    <t>10.1007/s11852-010-0106-3 OR</t>
  </si>
  <si>
    <t>10.1007/s11852-010-0101-8 OR</t>
  </si>
  <si>
    <t>10.1007/s11769-018-0971-5 OR</t>
  </si>
  <si>
    <t>10.1007/s11707-016-0550-y OR</t>
  </si>
  <si>
    <t>10.1007/s11442-020-1774-z OR</t>
  </si>
  <si>
    <t>10.1007/s11442-017-1394-4 OR</t>
  </si>
  <si>
    <t>10.1007/s11442-011-0837-6 OR</t>
  </si>
  <si>
    <t>10.1007/s11368-012-0519-8 OR</t>
  </si>
  <si>
    <t>10.1007/s11367-016-1236-0 OR</t>
  </si>
  <si>
    <t>10.1007/s11273-020-09719-y OR</t>
  </si>
  <si>
    <t>10.1007/s11273-013-9292-8 OR</t>
  </si>
  <si>
    <t>10.1007/s11252-016-0531-7 OR</t>
  </si>
  <si>
    <t>10.1007/s11027-018-9810-3 OR</t>
  </si>
  <si>
    <t>10.1007/s10980-019-00917-5 OR</t>
  </si>
  <si>
    <t>10.1007/s10980-019-00807-w OR</t>
  </si>
  <si>
    <t>10.1007/s10980-019-00776-0 OR</t>
  </si>
  <si>
    <t>10.1007/s10980-012-9825-1 OR</t>
  </si>
  <si>
    <t>10.1007/s10980-012-9769-5 OR</t>
  </si>
  <si>
    <t>10.1007/s10980-010-9495-9 OR</t>
  </si>
  <si>
    <t>10.1007/s10841-019-00133-1 OR</t>
  </si>
  <si>
    <t>10.1007/s10764-018-0046-6 OR</t>
  </si>
  <si>
    <t>10.1007/s10764-016-9890-4 OR</t>
  </si>
  <si>
    <t>10.1007/s10764-013-9661-4 OR</t>
  </si>
  <si>
    <t>10.1007/s10764-010-9445-z OR</t>
  </si>
  <si>
    <t>10.1007/s10750-017-3475-x OR</t>
  </si>
  <si>
    <t>10.1007/s10750-017-3341-x OR</t>
  </si>
  <si>
    <t>10.1007/s10668-020-00733-x OR</t>
  </si>
  <si>
    <t>10.1007/s10668-018-0240-x OR</t>
  </si>
  <si>
    <t>10.1007/s10661-020-08460-6 OR</t>
  </si>
  <si>
    <t>10.1007/s10661-019-7347-x OR</t>
  </si>
  <si>
    <t>10.1007/s10661-018-6753-9 OR</t>
  </si>
  <si>
    <t>10.1007/s10661-018-6464-2 OR</t>
  </si>
  <si>
    <t>10.1007/s10661-016-5207-5 OR</t>
  </si>
  <si>
    <t>10.1007/s10661-015-4322-z OR</t>
  </si>
  <si>
    <t>10.1007/s10661-014-3976-2 OR</t>
  </si>
  <si>
    <t>10.1007/s10661-013-3567-7 OR</t>
  </si>
  <si>
    <t>10.1007/s10661-011-2514-8 OR</t>
  </si>
  <si>
    <t>10.1007/s10661-009-0758-3 OR</t>
  </si>
  <si>
    <t>10.1007/s10646-017-1859-3 OR</t>
  </si>
  <si>
    <t>10.1007/s10641-014-0274-3 OR</t>
  </si>
  <si>
    <t>10.1007/s10592-017-1018-7 OR</t>
  </si>
  <si>
    <t>10.1007/s10584-019-02493-8 OR</t>
  </si>
  <si>
    <t>10.1007/s10531-020-02042-1 OR</t>
  </si>
  <si>
    <t>10.1007/s10531-020-01961-3 OR</t>
  </si>
  <si>
    <t>10.1007/s10531-020-01947-1 OR</t>
  </si>
  <si>
    <t>10.1007/s10531-019-01881-x OR</t>
  </si>
  <si>
    <t>10.1007/s10531-018-1660-5 OR</t>
  </si>
  <si>
    <t>10.1007/s10531-018-1632-9 OR</t>
  </si>
  <si>
    <t>10.1007/s10531-018-1611-1 OR</t>
  </si>
  <si>
    <t>10.1007/s10531-018-1524-z OR</t>
  </si>
  <si>
    <t>10.1007/s10531-018-1508-z OR</t>
  </si>
  <si>
    <t>10.1007/s10531-016-1135-5 OR</t>
  </si>
  <si>
    <t>10.1007/s10531-015-0921-9 OR</t>
  </si>
  <si>
    <t>10.1007/s10531-014-0784-5 OR</t>
  </si>
  <si>
    <t>10.1007/s10531-014-0746-y OR</t>
  </si>
  <si>
    <t>10.1007/s10531-014-0734-2 OR</t>
  </si>
  <si>
    <t>10.1007/s10531-013-0538-9 OR</t>
  </si>
  <si>
    <t>10.1007/s10531-013-0515-3 OR</t>
  </si>
  <si>
    <t>10.1007/s10531-013-0470-z OR</t>
  </si>
  <si>
    <t>10.1007/s10531-010-9904-z OR</t>
  </si>
  <si>
    <t>10.1007/s10531-010-9787-z OR</t>
  </si>
  <si>
    <t>10.1007/s10531-008-9377-5 OR</t>
  </si>
  <si>
    <t>10.1007/s10531-006-9032-y OR</t>
  </si>
  <si>
    <t>10.1007/s10530-020-02265-x OR</t>
  </si>
  <si>
    <t>10.1007/s10530-019-01920-2 OR</t>
  </si>
  <si>
    <t>10.1007/s10530-018-1840-y OR</t>
  </si>
  <si>
    <t>10.1007/s10530-017-1389-1 OR</t>
  </si>
  <si>
    <t>10.1007/s10530-011-0099-3 OR</t>
  </si>
  <si>
    <t>10.1007/s10530-010-9826-4 OR</t>
  </si>
  <si>
    <t>10.1007/s10530-009-9545-x OR</t>
  </si>
  <si>
    <t>10.1007/s10530-008-9334-y OR</t>
  </si>
  <si>
    <t>10.1007/s10393-008-0191-z OR</t>
  </si>
  <si>
    <t>10.1007/s10344-018-1241-7 OR</t>
  </si>
  <si>
    <t>10.1007/s10344-018-1214-x OR</t>
  </si>
  <si>
    <t>10.1007/s10344-017-1139-9 OR</t>
  </si>
  <si>
    <t>10.1007/s10344-017-1111-8 OR</t>
  </si>
  <si>
    <t>10.1007/s10336-019-01689-0 OR</t>
  </si>
  <si>
    <t>10.1007/s10336-016-1406-7 OR</t>
  </si>
  <si>
    <t>10.1007/s10329-019-00760-x OR</t>
  </si>
  <si>
    <t>10.1007/s10144-010-0209-6 OR</t>
  </si>
  <si>
    <t>10.1007/s10113-015-0904-0 OR</t>
  </si>
  <si>
    <t>10.1007/s10113-014-0629-5 OR</t>
  </si>
  <si>
    <t>10.1007/s10113-012-0310-9 OR</t>
  </si>
  <si>
    <t>10.1007/s10021-017-0156-6 OR</t>
  </si>
  <si>
    <t>10.1007/s00338-016-1441-0 OR</t>
  </si>
  <si>
    <t>10.1007/s00338-009-0490-z OR</t>
  </si>
  <si>
    <t>10.1007/s00338-004-0393-y OR</t>
  </si>
  <si>
    <t>10.1007/s00267-018-1063-0 OR</t>
  </si>
  <si>
    <t>10.1007/s00267-018-1000-2 OR</t>
  </si>
  <si>
    <t>10.1007/s00267-017-0846-z OR</t>
  </si>
  <si>
    <t>10.1007/s00267-016-0692-4 OR</t>
  </si>
  <si>
    <t>10.1007/s00267-016-0670-x OR</t>
  </si>
  <si>
    <t>10.1007/s00267-015-0600-3 OR</t>
  </si>
  <si>
    <t>10.1007/s00267-011-9771-8 OR</t>
  </si>
  <si>
    <t>10.1007/s00267-011-9687-3 OR</t>
  </si>
  <si>
    <t>10.1007/s00267-011-9674-8 OR</t>
  </si>
  <si>
    <t>10.1007/s00267-011-9613-8 OR</t>
  </si>
  <si>
    <t>10.1007/s00267-010-9451-0 OR</t>
  </si>
  <si>
    <t>10.1007/s00267-003-0291-z OR</t>
  </si>
  <si>
    <t>10.1007/978-3-319-18787-7_4 OR</t>
  </si>
  <si>
    <t>10.1006/eesa.2000.1949 OR</t>
  </si>
  <si>
    <t>10.1002/wmon.1034 OR</t>
  </si>
  <si>
    <t>10.1002/tafs.10230 OR</t>
  </si>
  <si>
    <t>10.1002/rse2.47 OR</t>
  </si>
  <si>
    <t>10.1002/jwmg.862 OR</t>
  </si>
  <si>
    <t>10.1002/jwmg.538 OR</t>
  </si>
  <si>
    <t>10.1002/jwmg.424 OR</t>
  </si>
  <si>
    <t>10.1002/jwmg.21829 OR</t>
  </si>
  <si>
    <t>10.1002/jwmg.1048 OR</t>
  </si>
  <si>
    <t>10.1002/fee.1825 OR</t>
  </si>
  <si>
    <t>10.1002/fee.1321 OR</t>
  </si>
  <si>
    <t>10.1002/ecs2.3046 OR</t>
  </si>
  <si>
    <t>10.1002/ecs2.3032 OR</t>
  </si>
  <si>
    <t>10.1002/ecs2.2859 OR</t>
  </si>
  <si>
    <t>10.1002/ecs2.2724 OR</t>
  </si>
  <si>
    <t>10.1002/ecs2.2611 OR</t>
  </si>
  <si>
    <t>10.1002/ecs2.1835 OR</t>
  </si>
  <si>
    <t>10.1002/ecs2.1812 OR</t>
  </si>
  <si>
    <t>10.1002/ecs2.1444 OR</t>
  </si>
  <si>
    <t>10.1002/eco.1506 OR</t>
  </si>
  <si>
    <t>10.1002/ece3.6449 OR</t>
  </si>
  <si>
    <t>10.1002/ece3.6394 OR</t>
  </si>
  <si>
    <t>10.1002/ece3.4617 OR</t>
  </si>
  <si>
    <t>10.1002/ece3.1683 OR</t>
  </si>
  <si>
    <t>10.1002/eap.2214 OR</t>
  </si>
  <si>
    <t>10.1002/eap.1741 OR</t>
  </si>
  <si>
    <t>10.1002/eap.1466 OR</t>
  </si>
  <si>
    <t>10.1002/eap.1386 OR</t>
  </si>
  <si>
    <t>10.1002/csp2.3 OR</t>
  </si>
  <si>
    <t>10.1002/aqc.943 OR</t>
  </si>
  <si>
    <t>10.1002/aqc.3424 OR</t>
  </si>
  <si>
    <t>10.1002/aqc.3153 OR</t>
  </si>
  <si>
    <t>10.1002/aqc.3064 OR</t>
  </si>
  <si>
    <t>10.1002/aqc.2892 OR</t>
  </si>
  <si>
    <t>10.1002/aqc.2688 OR</t>
  </si>
  <si>
    <t>10.1002/aqc.2551 OR</t>
  </si>
  <si>
    <t>10.1002/aqc.2366 OR</t>
  </si>
  <si>
    <t>10.1002/aqc.1205 OR</t>
  </si>
  <si>
    <t>)</t>
  </si>
  <si>
    <t>OR</t>
  </si>
  <si>
    <t>(</t>
  </si>
  <si>
    <t>(TI = ("Using GIS to assess pesticide exposure to threatened and Endangered Species for ecological risk assessment") AND PY = 2012) OR</t>
  </si>
  <si>
    <t>(TI = ("Status of the threatened chiricahua leopard frog and conservation challenges in Sonora, Mexico, with notes on other ranid frogs and non-native predators") AND PY = 2018) OR</t>
  </si>
  <si>
    <t>(TI = ("Spatial risk assessment of alien plants in China using biodiversity resistance theory") AND PY = 2015) OR</t>
  </si>
  <si>
    <t>(TI = ("Spatial modeling of wild bird risk factors for highly pathogenic a(H5N1) avian influenza virus transmission") AND PY = 2016) OR</t>
  </si>
  <si>
    <t>(TI = ("Spatial Analysis of Risks Posed by Root Rot Pathogen, Phytophthora cinnamomi: Implications for Disease Management") AND PY = 2012) OR</t>
  </si>
  <si>
    <t>(TI = ("Sea level rise, land use, and climate change influence the distribution of loggerhead turtle nests at the largest USA rookery (Melbourne Beach, Florida)") AND PY = 2015) OR</t>
  </si>
  <si>
    <t>(TI = ("Relationship between highway constructions and natural habitat. a case study of izmir highway") AND PY = 2014) OR</t>
  </si>
  <si>
    <t>(TI = ("Plant invasions in protected areas at multiple scales: Linaria vulgaris (Scrophulariaceae) in the West Yellowstone area") AND PY = 2003) OR</t>
  </si>
  <si>
    <t>(TI = ("Naturalization and impact of a horticultural species, cotoneaster horizontalis (rosaceae) in biodiversity hotspots in Belgium") AND PY = 2008) OR</t>
  </si>
  <si>
    <t>(TI = ("Modelling abundance and distribution of seabird by-catch in the Spanish mediterranean longline fishery") AND PY = 2010) OR</t>
  </si>
  <si>
    <t>(TI = ("Landscape dynamics of the spread of Sudden Oak Death") AND PY = 2002) OR</t>
  </si>
  <si>
    <t>(TI = ("Land use/land cover changes in Ashtamudi wetland region of Kerala - A study using remote sensing and GIS") AND PY = 2003) OR</t>
  </si>
  <si>
    <t>(TI = ("Invasion hotspots and ecological saturation of streams across the Hawaiian archipelago") AND PY = 2017) OR</t>
  </si>
  <si>
    <t>(TI = ("Impact of fishing with Tephrosia candida (Fabaceae) on diversity and abundance of fish in the streams at the boundary of Sinharaja Man and Biosphere Forest Reserve, Sri Lanka") AND PY = 2016) OR</t>
  </si>
  <si>
    <t>(TI = ("Identifying hotspots for threats to koalas using spatial analysis") AND PY = 2007) OR</t>
  </si>
  <si>
    <t>(TI = ("Evaluation of habitat fragmentation of giant panda (Ailuropoda melanoleuca) on the north slopes of Daxiangling Mountains, Sichuan province, China") AND PY = 2007) OR</t>
  </si>
  <si>
    <t>(TI = ("Evaluating wildlife-vehicle collision hotspots using kernel-based estimation: A focus on the endangered Asiatic cheetah in central Iran") AND PY = 2016) OR</t>
  </si>
  <si>
    <t>(TI = ("Distribution, prevalence, and amphibian hosts of Batrachochytrium dendrobatidis in the Balkans") AND PY = 2017) OR</t>
  </si>
  <si>
    <t>(TI = ("Cumulative human threats on ish biodiversity components in Tunisian waters") AND PY = 2016) OR</t>
  </si>
  <si>
    <t>(TI = ("Conservation of a flagship species: Prioritizing Asian Elephant (Elephas maximus) conservation units in southern India") AND PY = 2002) OR</t>
  </si>
  <si>
    <t>(TI = ("Application of an approach for predicting pesticide concentrations in static water bodies using spatially explicit hydrography, landscape, and pesticide use data") AND PY = 2014) OR</t>
  </si>
  <si>
    <t>(TI = ("An investigation into the vanishing biodiversity: Implications for rural extension") AND PY = 2012) OR</t>
  </si>
  <si>
    <t>(TI = ("A tool to prioritize high-risk road mortality locations for wetland-forest herpetofauna in southern Ontario, Canada") AND PY = 2012) OR</t>
  </si>
  <si>
    <t>(TI = ("A multiscale analysis of land use dynamics in the buffer zone of Rio Doce State Park, Minas Gerais, Brazil") AND PY = 2022) OR</t>
  </si>
  <si>
    <t>(TI = ("A GIS-based approach to quantifying pesticide use site proximity to salmonid habitat") AND PY = 2012)</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</si>
</sst>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color theme="1"/>
      <name val="Arial"/>
      <scheme val="minor"/>
    </font>
    <font>
      <u/>
      <color rgb="FF0000FF"/>
    </font>
    <font>
      <sz val="11.0"/>
      <color theme="1"/>
      <name val="Calibri"/>
    </font>
    <font>
      <b/>
      <sz val="11.0"/>
      <color theme="1"/>
      <name val="Calibri"/>
    </font>
    <font/>
    <font>
      <b/>
      <sz val="18.0"/>
      <color theme="1"/>
      <name val="Calibri"/>
    </font>
    <font>
      <sz val="12.0"/>
      <color rgb="FF000000"/>
      <name val="Calibri"/>
    </font>
    <font>
      <u/>
      <color rgb="FF0000FF"/>
    </font>
    <font>
      <color theme="1"/>
      <name val="Arial"/>
    </font>
  </fonts>
  <fills count="8">
    <fill>
      <patternFill patternType="none"/>
    </fill>
    <fill>
      <patternFill patternType="lightGray"/>
    </fill>
    <fill>
      <patternFill patternType="solid">
        <fgColor rgb="FFE4E4E4"/>
        <bgColor rgb="FFE4E4E4"/>
      </patternFill>
    </fill>
    <fill>
      <patternFill patternType="solid">
        <fgColor rgb="FFE7E6E6"/>
        <bgColor rgb="FFE7E6E6"/>
      </patternFill>
    </fill>
    <fill>
      <patternFill patternType="solid">
        <fgColor rgb="FFF4CCCC"/>
        <bgColor rgb="FFF4CCCC"/>
      </patternFill>
    </fill>
    <fill>
      <patternFill patternType="solid">
        <fgColor rgb="FFFCE5CD"/>
        <bgColor rgb="FFFCE5CD"/>
      </patternFill>
    </fill>
    <fill>
      <patternFill patternType="solid">
        <fgColor rgb="FFB7B7B7"/>
        <bgColor rgb="FFB7B7B7"/>
      </patternFill>
    </fill>
    <fill>
      <patternFill patternType="solid">
        <fgColor rgb="FFFFF2CC"/>
        <bgColor rgb="FFFFF2CC"/>
      </patternFill>
    </fill>
  </fills>
  <borders count="9">
    <border/>
    <border>
      <left style="thin">
        <color rgb="FF000000"/>
      </left>
      <right style="thin">
        <color rgb="FF000000"/>
      </right>
      <top style="thin">
        <color rgb="FF000000"/>
      </top>
      <bottom style="thin">
        <color rgb="FF000000"/>
      </bottom>
    </border>
    <border>
      <left/>
      <right/>
      <top/>
      <bottom/>
    </border>
    <border>
      <left/>
      <top/>
      <bottom/>
    </border>
    <border>
      <top/>
      <bottom/>
    </border>
    <border>
      <right/>
      <top/>
      <bottom/>
    </border>
    <border>
      <left/>
      <right/>
      <top/>
    </border>
    <border>
      <left/>
      <right/>
    </border>
    <border>
      <left/>
      <right/>
      <bottom/>
    </border>
  </borders>
  <cellStyleXfs count="1">
    <xf borderId="0" fillId="0" fontId="0" numFmtId="0" applyAlignment="1" applyFont="1"/>
  </cellStyleXfs>
  <cellXfs count="55">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readingOrder="0"/>
    </xf>
    <xf borderId="0" fillId="0" fontId="2" numFmtId="0" xfId="0" applyAlignment="1" applyFont="1">
      <alignment readingOrder="0"/>
    </xf>
    <xf borderId="1" fillId="0" fontId="1" numFmtId="0" xfId="0" applyAlignment="1" applyBorder="1" applyFont="1">
      <alignment readingOrder="0"/>
    </xf>
    <xf borderId="1" fillId="0" fontId="1" numFmtId="0" xfId="0" applyAlignment="1" applyBorder="1" applyFont="1">
      <alignment readingOrder="0" shrinkToFit="0" wrapText="1"/>
    </xf>
    <xf quotePrefix="1" borderId="1" fillId="0" fontId="1" numFmtId="0" xfId="0" applyAlignment="1" applyBorder="1" applyFont="1">
      <alignment readingOrder="0" shrinkToFit="0" wrapText="1"/>
    </xf>
    <xf quotePrefix="1" borderId="0" fillId="0" fontId="1" numFmtId="0" xfId="0" applyAlignment="1" applyFont="1">
      <alignment readingOrder="0" shrinkToFit="0" wrapText="1"/>
    </xf>
    <xf borderId="0" fillId="0" fontId="3" numFmtId="0" xfId="0" applyFont="1"/>
    <xf borderId="0" fillId="0" fontId="3" numFmtId="0" xfId="0" applyAlignment="1" applyFont="1">
      <alignment readingOrder="0"/>
    </xf>
    <xf borderId="0" fillId="0" fontId="3" numFmtId="17" xfId="0" applyFont="1" applyNumberFormat="1"/>
    <xf borderId="0" fillId="0" fontId="3" numFmtId="16" xfId="0" applyFont="1" applyNumberFormat="1"/>
    <xf borderId="0" fillId="0" fontId="3" numFmtId="15" xfId="0" applyFont="1" applyNumberFormat="1"/>
    <xf borderId="0" fillId="0" fontId="1" numFmtId="0" xfId="0" applyFont="1"/>
    <xf borderId="0" fillId="0" fontId="3" numFmtId="0" xfId="0" applyAlignment="1" applyFont="1">
      <alignment shrinkToFit="0" wrapText="1"/>
    </xf>
    <xf borderId="0" fillId="0" fontId="4" numFmtId="0" xfId="0" applyAlignment="1" applyFont="1">
      <alignment horizontal="left"/>
    </xf>
    <xf borderId="0" fillId="0" fontId="3" numFmtId="0" xfId="0" applyAlignment="1" applyFont="1">
      <alignment horizontal="left"/>
    </xf>
    <xf borderId="0" fillId="0" fontId="3" numFmtId="49" xfId="0" applyAlignment="1" applyFont="1" applyNumberFormat="1">
      <alignment horizontal="left"/>
    </xf>
    <xf borderId="0" fillId="0" fontId="4" numFmtId="0" xfId="0" applyAlignment="1" applyFont="1">
      <alignment horizontal="left" shrinkToFit="0" wrapText="1"/>
    </xf>
    <xf borderId="0" fillId="0" fontId="3" numFmtId="0" xfId="0" applyAlignment="1" applyFont="1">
      <alignment horizontal="left" shrinkToFit="0" wrapText="1"/>
    </xf>
    <xf borderId="0" fillId="0" fontId="3" numFmtId="49" xfId="0" applyAlignment="1" applyFont="1" applyNumberFormat="1">
      <alignment horizontal="left" shrinkToFit="0" wrapText="1"/>
    </xf>
    <xf borderId="2" fillId="2" fontId="4" numFmtId="0" xfId="0" applyAlignment="1" applyBorder="1" applyFill="1" applyFont="1">
      <alignment horizontal="left" shrinkToFit="0" wrapText="1"/>
    </xf>
    <xf borderId="2" fillId="3" fontId="3" numFmtId="0" xfId="0" applyAlignment="1" applyBorder="1" applyFill="1" applyFont="1">
      <alignment horizontal="left" shrinkToFit="0" vertical="top" wrapText="1"/>
    </xf>
    <xf borderId="3" fillId="2" fontId="3" numFmtId="0" xfId="0" applyAlignment="1" applyBorder="1" applyFont="1">
      <alignment horizontal="center" shrinkToFit="0" vertical="top" wrapText="1"/>
    </xf>
    <xf borderId="4" fillId="0" fontId="5" numFmtId="0" xfId="0" applyBorder="1" applyFont="1"/>
    <xf borderId="5" fillId="0" fontId="5" numFmtId="0" xfId="0" applyBorder="1" applyFont="1"/>
    <xf borderId="2" fillId="2" fontId="3" numFmtId="0" xfId="0" applyAlignment="1" applyBorder="1" applyFont="1">
      <alignment horizontal="left" shrinkToFit="0" vertical="top" wrapText="1"/>
    </xf>
    <xf borderId="2" fillId="2" fontId="3" numFmtId="0" xfId="0" applyAlignment="1" applyBorder="1" applyFont="1">
      <alignment horizontal="center" shrinkToFit="0" vertical="top" wrapText="1"/>
    </xf>
    <xf borderId="2" fillId="2" fontId="3" numFmtId="0" xfId="0" applyAlignment="1" applyBorder="1" applyFont="1">
      <alignment horizontal="left" shrinkToFit="0" wrapText="1"/>
    </xf>
    <xf borderId="6" fillId="2" fontId="3" numFmtId="0" xfId="0" applyAlignment="1" applyBorder="1" applyFont="1">
      <alignment horizontal="center" shrinkToFit="0" vertical="center" wrapText="1"/>
    </xf>
    <xf borderId="2" fillId="2" fontId="3" numFmtId="0" xfId="0" applyAlignment="1" applyBorder="1" applyFont="1">
      <alignment horizontal="center" shrinkToFit="0" vertical="center" wrapText="1"/>
    </xf>
    <xf borderId="2" fillId="2" fontId="3" numFmtId="0" xfId="0" applyAlignment="1" applyBorder="1" applyFont="1">
      <alignment horizontal="center" shrinkToFit="0" wrapText="1"/>
    </xf>
    <xf borderId="7" fillId="0" fontId="5" numFmtId="0" xfId="0" applyBorder="1" applyFont="1"/>
    <xf borderId="8" fillId="0" fontId="5" numFmtId="0" xfId="0" applyBorder="1" applyFont="1"/>
    <xf borderId="0" fillId="0" fontId="3" numFmtId="0" xfId="0" applyAlignment="1" applyFont="1">
      <alignment horizontal="left" readingOrder="0"/>
    </xf>
    <xf borderId="0" fillId="0" fontId="3" numFmtId="20" xfId="0" applyAlignment="1" applyFont="1" applyNumberFormat="1">
      <alignment horizontal="left"/>
    </xf>
    <xf borderId="0" fillId="4" fontId="1" numFmtId="0" xfId="0" applyFill="1" applyFont="1"/>
    <xf borderId="0" fillId="0" fontId="6" numFmtId="0" xfId="0" applyFont="1"/>
    <xf borderId="0" fillId="0" fontId="4" numFmtId="0" xfId="0" applyFont="1"/>
    <xf borderId="0" fillId="0" fontId="4" numFmtId="0" xfId="0" applyAlignment="1" applyFont="1">
      <alignment horizontal="center"/>
    </xf>
    <xf borderId="0" fillId="0" fontId="4" numFmtId="0" xfId="0" applyAlignment="1" applyFont="1">
      <alignment horizontal="center" shrinkToFit="0" wrapText="1"/>
    </xf>
    <xf borderId="0" fillId="0" fontId="3" numFmtId="0" xfId="0" applyAlignment="1" applyFont="1">
      <alignment horizontal="center"/>
    </xf>
    <xf borderId="0" fillId="0" fontId="3" numFmtId="0" xfId="0" applyAlignment="1" applyFont="1">
      <alignment horizontal="center" shrinkToFit="0" wrapText="1"/>
    </xf>
    <xf borderId="0" fillId="5" fontId="1" numFmtId="0" xfId="0" applyAlignment="1" applyFill="1" applyFont="1">
      <alignment readingOrder="0"/>
    </xf>
    <xf borderId="0" fillId="5" fontId="1" numFmtId="0" xfId="0" applyAlignment="1" applyFont="1">
      <alignment readingOrder="0" shrinkToFit="0" wrapText="1"/>
    </xf>
    <xf borderId="0" fillId="5" fontId="1" numFmtId="0" xfId="0" applyFont="1"/>
    <xf borderId="0" fillId="6" fontId="1" numFmtId="0" xfId="0" applyAlignment="1" applyFill="1" applyFont="1">
      <alignment readingOrder="0"/>
    </xf>
    <xf borderId="0" fillId="0" fontId="7"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7" numFmtId="0" xfId="0" applyAlignment="1" applyFont="1">
      <alignment horizontal="center" readingOrder="0" shrinkToFit="0" vertical="bottom" wrapText="0"/>
    </xf>
    <xf borderId="0" fillId="0" fontId="1" numFmtId="0" xfId="0" applyAlignment="1" applyFont="1">
      <alignment readingOrder="0" shrinkToFit="0" wrapText="1"/>
    </xf>
    <xf borderId="0" fillId="7" fontId="1" numFmtId="0" xfId="0" applyAlignment="1" applyFill="1" applyFont="1">
      <alignment readingOrder="0"/>
    </xf>
    <xf borderId="0" fillId="0" fontId="8" numFmtId="0" xfId="0" applyFont="1"/>
    <xf borderId="0" fillId="0" fontId="9" numFmtId="0" xfId="0" applyAlignment="1" applyFont="1">
      <alignment vertical="bottom"/>
    </xf>
    <xf borderId="0" fillId="4"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Hunain" id="{0e1e3bb4-a509-4c69-b7ef-94274e22b684}"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T1" dT="2025-12-28T08:01:53.00" personId="{0e1e3bb4-a509-4c69-b7ef-94274e22b684}" id="{f796230e-553b-4412-b137-6108588fac62}" done="0">
    <x18tc:text xml:space="preserve">identifier of records in Ridley's Raw Data</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link.springer.com/article/10.1186/s13750-022-00279-7"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7.xml"/><Relationship Id="rId5"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73.75"/>
  </cols>
  <sheetData>
    <row r="1">
      <c r="C1" s="1"/>
    </row>
    <row r="2">
      <c r="B2" s="2" t="s">
        <v>0</v>
      </c>
      <c r="C2" s="1"/>
    </row>
    <row r="3">
      <c r="B3" s="2" t="s">
        <v>1</v>
      </c>
      <c r="C3" s="1"/>
    </row>
    <row r="4">
      <c r="B4" s="3" t="s">
        <v>2</v>
      </c>
      <c r="C4" s="1"/>
    </row>
    <row r="5">
      <c r="B5" s="4" t="s">
        <v>3</v>
      </c>
      <c r="C5" s="5" t="s">
        <v>4</v>
      </c>
    </row>
    <row r="6">
      <c r="B6" s="4" t="s">
        <v>5</v>
      </c>
      <c r="C6" s="5" t="s">
        <v>6</v>
      </c>
    </row>
    <row r="7">
      <c r="B7" s="4" t="s">
        <v>7</v>
      </c>
      <c r="C7" s="6" t="s">
        <v>8</v>
      </c>
    </row>
    <row r="8">
      <c r="B8" s="4" t="s">
        <v>9</v>
      </c>
      <c r="C8" s="5" t="s">
        <v>10</v>
      </c>
    </row>
    <row r="9">
      <c r="B9" s="2" t="s">
        <v>11</v>
      </c>
      <c r="C9" s="7" t="s">
        <v>12</v>
      </c>
    </row>
    <row r="10">
      <c r="C10" s="1"/>
    </row>
    <row r="11">
      <c r="C11" s="1"/>
    </row>
    <row r="12">
      <c r="C12" s="1"/>
    </row>
    <row r="13">
      <c r="C13" s="1"/>
    </row>
    <row r="14">
      <c r="C14" s="1"/>
    </row>
    <row r="15">
      <c r="C15" s="1"/>
    </row>
    <row r="16">
      <c r="C16" s="1"/>
    </row>
    <row r="17">
      <c r="C17" s="1"/>
    </row>
    <row r="18">
      <c r="C18" s="1"/>
    </row>
    <row r="19">
      <c r="C19" s="1"/>
    </row>
    <row r="20">
      <c r="C20" s="1"/>
    </row>
    <row r="21">
      <c r="C21" s="1"/>
    </row>
    <row r="22">
      <c r="C22" s="1"/>
    </row>
    <row r="23">
      <c r="C23" s="1"/>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sheetData>
  <hyperlinks>
    <hyperlink r:id="rId1" ref="B4"/>
  </hyperlinks>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8.0"/>
    <col customWidth="1" min="2" max="2" width="10.0"/>
    <col customWidth="1" min="3" max="3" width="10.88"/>
    <col customWidth="1" min="4" max="4" width="8.0"/>
    <col customWidth="1" min="5" max="5" width="21.88"/>
    <col customWidth="1" min="6" max="6" width="10.88"/>
    <col customWidth="1" min="7" max="9" width="8.0"/>
    <col customWidth="1" min="10" max="10" width="17.5"/>
    <col customWidth="1" min="11" max="26" width="8.0"/>
  </cols>
  <sheetData>
    <row r="1" ht="14.25" customHeight="1">
      <c r="A1" s="8" t="s">
        <v>13</v>
      </c>
      <c r="B1" s="8" t="s">
        <v>14</v>
      </c>
      <c r="C1" s="8" t="s">
        <v>15</v>
      </c>
      <c r="D1" s="8" t="s">
        <v>16</v>
      </c>
      <c r="E1" s="8" t="s">
        <v>17</v>
      </c>
      <c r="F1" s="8" t="s">
        <v>18</v>
      </c>
      <c r="G1" s="8" t="s">
        <v>19</v>
      </c>
      <c r="H1" s="8" t="s">
        <v>20</v>
      </c>
      <c r="I1" s="8" t="s">
        <v>21</v>
      </c>
      <c r="J1" s="8" t="s">
        <v>22</v>
      </c>
      <c r="K1" s="9" t="s">
        <v>23</v>
      </c>
      <c r="L1" s="8"/>
      <c r="M1" s="8"/>
      <c r="N1" s="8"/>
      <c r="O1" s="8"/>
      <c r="P1" s="8"/>
      <c r="Q1" s="8"/>
      <c r="R1" s="8"/>
      <c r="S1" s="8"/>
      <c r="T1" s="8"/>
      <c r="U1" s="8"/>
      <c r="V1" s="8"/>
      <c r="W1" s="8"/>
      <c r="X1" s="8"/>
      <c r="Y1" s="8"/>
      <c r="Z1" s="8"/>
    </row>
    <row r="2" ht="14.25" customHeight="1">
      <c r="A2" s="8">
        <v>23583.0</v>
      </c>
      <c r="B2" s="8" t="s">
        <v>24</v>
      </c>
      <c r="C2" s="8" t="s">
        <v>25</v>
      </c>
      <c r="D2" s="8">
        <v>2015.0</v>
      </c>
      <c r="E2" s="8" t="s">
        <v>26</v>
      </c>
      <c r="F2" s="8" t="s">
        <v>27</v>
      </c>
      <c r="G2" s="8">
        <v>24.0</v>
      </c>
      <c r="H2" s="8">
        <v>2.0</v>
      </c>
      <c r="I2" s="8" t="s">
        <v>28</v>
      </c>
      <c r="J2" s="8" t="s">
        <v>29</v>
      </c>
      <c r="K2" s="8"/>
      <c r="L2" s="8"/>
      <c r="M2" s="8"/>
      <c r="N2" s="8"/>
      <c r="O2" s="8"/>
      <c r="P2" s="8"/>
      <c r="Q2" s="8"/>
      <c r="R2" s="8"/>
      <c r="S2" s="8"/>
      <c r="T2" s="8"/>
      <c r="U2" s="8"/>
      <c r="V2" s="8"/>
      <c r="W2" s="8"/>
      <c r="X2" s="8"/>
      <c r="Y2" s="8"/>
      <c r="Z2" s="8"/>
    </row>
    <row r="3" ht="14.25" customHeight="1">
      <c r="A3" s="8">
        <v>24558.0</v>
      </c>
      <c r="B3" s="8" t="s">
        <v>24</v>
      </c>
      <c r="C3" s="8" t="s">
        <v>30</v>
      </c>
      <c r="D3" s="8">
        <v>2020.0</v>
      </c>
      <c r="E3" s="8" t="s">
        <v>31</v>
      </c>
      <c r="F3" s="8" t="s">
        <v>32</v>
      </c>
      <c r="G3" s="8">
        <v>115.0</v>
      </c>
      <c r="H3" s="8" t="s">
        <v>33</v>
      </c>
      <c r="I3" s="8" t="s">
        <v>33</v>
      </c>
      <c r="J3" s="8" t="s">
        <v>29</v>
      </c>
      <c r="K3" s="8"/>
      <c r="L3" s="8"/>
      <c r="M3" s="8"/>
      <c r="N3" s="8"/>
      <c r="O3" s="8"/>
      <c r="P3" s="8"/>
      <c r="Q3" s="8"/>
      <c r="R3" s="8"/>
      <c r="S3" s="8"/>
      <c r="T3" s="8"/>
      <c r="U3" s="8"/>
      <c r="V3" s="8"/>
      <c r="W3" s="8"/>
      <c r="X3" s="8"/>
      <c r="Y3" s="8"/>
      <c r="Z3" s="8"/>
    </row>
    <row r="4" ht="14.25" customHeight="1">
      <c r="A4" s="8">
        <v>25889.0</v>
      </c>
      <c r="B4" s="8" t="s">
        <v>24</v>
      </c>
      <c r="C4" s="8" t="s">
        <v>34</v>
      </c>
      <c r="D4" s="8">
        <v>2017.0</v>
      </c>
      <c r="E4" s="8" t="s">
        <v>35</v>
      </c>
      <c r="F4" s="8" t="s">
        <v>36</v>
      </c>
      <c r="G4" s="8">
        <v>12.0</v>
      </c>
      <c r="H4" s="8">
        <v>2.0</v>
      </c>
      <c r="I4" s="8" t="s">
        <v>33</v>
      </c>
      <c r="J4" s="8" t="s">
        <v>29</v>
      </c>
      <c r="K4" s="8"/>
      <c r="L4" s="8"/>
      <c r="M4" s="8"/>
      <c r="N4" s="8"/>
      <c r="O4" s="8"/>
      <c r="P4" s="8"/>
      <c r="Q4" s="8"/>
      <c r="R4" s="8"/>
      <c r="S4" s="8"/>
      <c r="T4" s="8"/>
      <c r="U4" s="8"/>
      <c r="V4" s="8"/>
      <c r="W4" s="8"/>
      <c r="X4" s="8"/>
      <c r="Y4" s="8"/>
      <c r="Z4" s="8"/>
    </row>
    <row r="5" ht="14.25" customHeight="1">
      <c r="A5" s="8">
        <v>25688.0</v>
      </c>
      <c r="B5" s="8" t="s">
        <v>24</v>
      </c>
      <c r="C5" s="8" t="s">
        <v>37</v>
      </c>
      <c r="D5" s="8">
        <v>2017.0</v>
      </c>
      <c r="E5" s="8" t="s">
        <v>38</v>
      </c>
      <c r="F5" s="8" t="s">
        <v>39</v>
      </c>
      <c r="G5" s="8">
        <v>52.0</v>
      </c>
      <c r="H5" s="8" t="s">
        <v>33</v>
      </c>
      <c r="I5" s="8" t="s">
        <v>40</v>
      </c>
      <c r="J5" s="8" t="s">
        <v>29</v>
      </c>
      <c r="K5" s="8"/>
      <c r="L5" s="8"/>
      <c r="M5" s="8"/>
      <c r="N5" s="8"/>
      <c r="O5" s="8"/>
      <c r="P5" s="8"/>
      <c r="Q5" s="8"/>
      <c r="R5" s="8"/>
      <c r="S5" s="8"/>
      <c r="T5" s="8"/>
      <c r="U5" s="8"/>
      <c r="V5" s="8"/>
      <c r="W5" s="8"/>
      <c r="X5" s="8"/>
      <c r="Y5" s="8"/>
      <c r="Z5" s="8"/>
    </row>
    <row r="6" ht="14.25" customHeight="1">
      <c r="A6" s="8">
        <v>23785.0</v>
      </c>
      <c r="B6" s="8" t="s">
        <v>41</v>
      </c>
      <c r="C6" s="8" t="s">
        <v>42</v>
      </c>
      <c r="D6" s="8">
        <v>2008.0</v>
      </c>
      <c r="E6" s="8" t="s">
        <v>43</v>
      </c>
      <c r="F6" s="8" t="s">
        <v>33</v>
      </c>
      <c r="G6" s="8" t="s">
        <v>33</v>
      </c>
      <c r="H6" s="8" t="s">
        <v>33</v>
      </c>
      <c r="I6" s="8" t="s">
        <v>33</v>
      </c>
      <c r="J6" s="8" t="s">
        <v>29</v>
      </c>
      <c r="K6" s="8"/>
      <c r="L6" s="8"/>
      <c r="M6" s="8"/>
      <c r="N6" s="8"/>
      <c r="O6" s="8"/>
      <c r="P6" s="8"/>
      <c r="Q6" s="8"/>
      <c r="R6" s="8"/>
      <c r="S6" s="8"/>
      <c r="T6" s="8"/>
      <c r="U6" s="8"/>
      <c r="V6" s="8"/>
      <c r="W6" s="8"/>
      <c r="X6" s="8"/>
      <c r="Y6" s="8"/>
      <c r="Z6" s="8"/>
    </row>
    <row r="7" ht="14.25" customHeight="1">
      <c r="A7" s="8">
        <v>23461.0</v>
      </c>
      <c r="B7" s="8" t="s">
        <v>24</v>
      </c>
      <c r="C7" s="8" t="s">
        <v>44</v>
      </c>
      <c r="D7" s="8">
        <v>2020.0</v>
      </c>
      <c r="E7" s="8" t="s">
        <v>45</v>
      </c>
      <c r="F7" s="8" t="s">
        <v>46</v>
      </c>
      <c r="G7" s="8" t="s">
        <v>33</v>
      </c>
      <c r="H7" s="8" t="s">
        <v>33</v>
      </c>
      <c r="I7" s="8" t="s">
        <v>33</v>
      </c>
      <c r="J7" s="8" t="s">
        <v>29</v>
      </c>
      <c r="K7" s="8"/>
      <c r="L7" s="8"/>
      <c r="M7" s="8"/>
      <c r="N7" s="8"/>
      <c r="O7" s="8"/>
      <c r="P7" s="8"/>
      <c r="Q7" s="8"/>
      <c r="R7" s="8"/>
      <c r="S7" s="8"/>
      <c r="T7" s="8"/>
      <c r="U7" s="8"/>
      <c r="V7" s="8"/>
      <c r="W7" s="8"/>
      <c r="X7" s="8"/>
      <c r="Y7" s="8"/>
      <c r="Z7" s="8"/>
    </row>
    <row r="8" ht="14.25" customHeight="1">
      <c r="A8" s="8">
        <v>25299.0</v>
      </c>
      <c r="B8" s="8" t="s">
        <v>24</v>
      </c>
      <c r="C8" s="8" t="s">
        <v>47</v>
      </c>
      <c r="D8" s="8">
        <v>2013.0</v>
      </c>
      <c r="E8" s="8" t="s">
        <v>48</v>
      </c>
      <c r="F8" s="8" t="s">
        <v>49</v>
      </c>
      <c r="G8" s="8">
        <v>442.0</v>
      </c>
      <c r="H8" s="8" t="s">
        <v>33</v>
      </c>
      <c r="I8" s="8" t="s">
        <v>50</v>
      </c>
      <c r="J8" s="8" t="s">
        <v>29</v>
      </c>
      <c r="K8" s="8"/>
      <c r="L8" s="8"/>
      <c r="M8" s="8"/>
      <c r="N8" s="8"/>
      <c r="O8" s="8"/>
      <c r="P8" s="8"/>
      <c r="Q8" s="8"/>
      <c r="R8" s="8"/>
      <c r="S8" s="8"/>
      <c r="T8" s="8"/>
      <c r="U8" s="8"/>
      <c r="V8" s="8"/>
      <c r="W8" s="8"/>
      <c r="X8" s="8"/>
      <c r="Y8" s="8"/>
      <c r="Z8" s="8"/>
    </row>
    <row r="9" ht="14.25" customHeight="1">
      <c r="A9" s="8">
        <v>24656.0</v>
      </c>
      <c r="B9" s="8" t="s">
        <v>24</v>
      </c>
      <c r="C9" s="8" t="s">
        <v>51</v>
      </c>
      <c r="D9" s="8">
        <v>2011.0</v>
      </c>
      <c r="E9" s="8" t="s">
        <v>52</v>
      </c>
      <c r="F9" s="8" t="s">
        <v>53</v>
      </c>
      <c r="G9" s="8">
        <v>2.0</v>
      </c>
      <c r="H9" s="8">
        <v>10.0</v>
      </c>
      <c r="I9" s="8">
        <v>23.0</v>
      </c>
      <c r="J9" s="8" t="s">
        <v>29</v>
      </c>
      <c r="K9" s="8"/>
      <c r="L9" s="8"/>
      <c r="M9" s="8"/>
      <c r="N9" s="8"/>
      <c r="O9" s="8"/>
      <c r="P9" s="8"/>
      <c r="Q9" s="8"/>
      <c r="R9" s="8"/>
      <c r="S9" s="8"/>
      <c r="T9" s="8"/>
      <c r="U9" s="8"/>
      <c r="V9" s="8"/>
      <c r="W9" s="8"/>
      <c r="X9" s="8"/>
      <c r="Y9" s="8"/>
      <c r="Z9" s="8"/>
    </row>
    <row r="10" ht="14.25" customHeight="1">
      <c r="A10" s="8">
        <v>23573.0</v>
      </c>
      <c r="B10" s="8" t="s">
        <v>24</v>
      </c>
      <c r="C10" s="8" t="s">
        <v>54</v>
      </c>
      <c r="D10" s="8">
        <v>2019.0</v>
      </c>
      <c r="E10" s="8" t="s">
        <v>55</v>
      </c>
      <c r="F10" s="8" t="s">
        <v>56</v>
      </c>
      <c r="G10" s="8">
        <v>56.0</v>
      </c>
      <c r="H10" s="8">
        <v>8.0</v>
      </c>
      <c r="I10" s="8" t="s">
        <v>57</v>
      </c>
      <c r="J10" s="8" t="s">
        <v>29</v>
      </c>
      <c r="K10" s="8"/>
      <c r="L10" s="8"/>
      <c r="M10" s="8"/>
      <c r="N10" s="8"/>
      <c r="O10" s="8"/>
      <c r="P10" s="8"/>
      <c r="Q10" s="8"/>
      <c r="R10" s="8"/>
      <c r="S10" s="8"/>
      <c r="T10" s="8"/>
      <c r="U10" s="8"/>
      <c r="V10" s="8"/>
      <c r="W10" s="8"/>
      <c r="X10" s="8"/>
      <c r="Y10" s="8"/>
      <c r="Z10" s="8"/>
    </row>
    <row r="11" ht="14.25" customHeight="1">
      <c r="A11" s="8">
        <v>23151.0</v>
      </c>
      <c r="B11" s="8" t="s">
        <v>24</v>
      </c>
      <c r="C11" s="8" t="s">
        <v>58</v>
      </c>
      <c r="D11" s="8">
        <v>2009.0</v>
      </c>
      <c r="E11" s="8" t="s">
        <v>59</v>
      </c>
      <c r="F11" s="8" t="s">
        <v>60</v>
      </c>
      <c r="G11" s="8">
        <v>23.0</v>
      </c>
      <c r="H11" s="8">
        <v>6.0</v>
      </c>
      <c r="I11" s="8" t="s">
        <v>61</v>
      </c>
      <c r="J11" s="8" t="s">
        <v>29</v>
      </c>
      <c r="K11" s="8"/>
      <c r="L11" s="8"/>
      <c r="M11" s="8"/>
      <c r="N11" s="8"/>
      <c r="O11" s="8"/>
      <c r="P11" s="8"/>
      <c r="Q11" s="8"/>
      <c r="R11" s="8"/>
      <c r="S11" s="8"/>
      <c r="T11" s="8"/>
      <c r="U11" s="8"/>
      <c r="V11" s="8"/>
      <c r="W11" s="8"/>
      <c r="X11" s="8"/>
      <c r="Y11" s="8"/>
      <c r="Z11" s="8"/>
    </row>
    <row r="12" ht="14.25" customHeight="1">
      <c r="A12" s="8">
        <v>26057.0</v>
      </c>
      <c r="B12" s="8" t="s">
        <v>24</v>
      </c>
      <c r="C12" s="8" t="s">
        <v>62</v>
      </c>
      <c r="D12" s="8">
        <v>2019.0</v>
      </c>
      <c r="E12" s="8" t="s">
        <v>63</v>
      </c>
      <c r="F12" s="8" t="s">
        <v>64</v>
      </c>
      <c r="G12" s="8">
        <v>234.0</v>
      </c>
      <c r="H12" s="8" t="s">
        <v>33</v>
      </c>
      <c r="I12" s="10">
        <v>42917.0</v>
      </c>
      <c r="J12" s="8" t="s">
        <v>29</v>
      </c>
      <c r="K12" s="8"/>
      <c r="L12" s="8"/>
      <c r="M12" s="8"/>
      <c r="N12" s="8"/>
      <c r="O12" s="8"/>
      <c r="P12" s="8"/>
      <c r="Q12" s="8"/>
      <c r="R12" s="8"/>
      <c r="S12" s="8"/>
      <c r="T12" s="8"/>
      <c r="U12" s="8"/>
      <c r="V12" s="8"/>
      <c r="W12" s="8"/>
      <c r="X12" s="8"/>
      <c r="Y12" s="8"/>
      <c r="Z12" s="8"/>
    </row>
    <row r="13" ht="14.25" customHeight="1">
      <c r="A13" s="8">
        <v>25664.0</v>
      </c>
      <c r="B13" s="8" t="s">
        <v>24</v>
      </c>
      <c r="C13" s="8" t="s">
        <v>65</v>
      </c>
      <c r="D13" s="8">
        <v>2017.0</v>
      </c>
      <c r="E13" s="8" t="s">
        <v>66</v>
      </c>
      <c r="F13" s="8" t="s">
        <v>67</v>
      </c>
      <c r="G13" s="8">
        <v>10.0</v>
      </c>
      <c r="H13" s="8" t="s">
        <v>33</v>
      </c>
      <c r="I13" s="8" t="s">
        <v>33</v>
      </c>
      <c r="J13" s="8" t="s">
        <v>29</v>
      </c>
      <c r="K13" s="8"/>
      <c r="L13" s="8"/>
      <c r="M13" s="8"/>
      <c r="N13" s="8"/>
      <c r="O13" s="8"/>
      <c r="P13" s="8"/>
      <c r="Q13" s="8"/>
      <c r="R13" s="8"/>
      <c r="S13" s="8"/>
      <c r="T13" s="8"/>
      <c r="U13" s="8"/>
      <c r="V13" s="8"/>
      <c r="W13" s="8"/>
      <c r="X13" s="8"/>
      <c r="Y13" s="8"/>
      <c r="Z13" s="8"/>
    </row>
    <row r="14" ht="14.25" customHeight="1">
      <c r="A14" s="8">
        <v>24696.0</v>
      </c>
      <c r="B14" s="8" t="s">
        <v>24</v>
      </c>
      <c r="C14" s="8" t="s">
        <v>68</v>
      </c>
      <c r="D14" s="8">
        <v>2011.0</v>
      </c>
      <c r="E14" s="8" t="s">
        <v>69</v>
      </c>
      <c r="F14" s="8" t="s">
        <v>70</v>
      </c>
      <c r="G14" s="8">
        <v>15.0</v>
      </c>
      <c r="H14" s="8">
        <v>3.0</v>
      </c>
      <c r="I14" s="8" t="s">
        <v>71</v>
      </c>
      <c r="J14" s="8" t="s">
        <v>29</v>
      </c>
      <c r="K14" s="8"/>
      <c r="L14" s="8"/>
      <c r="M14" s="8"/>
      <c r="N14" s="8"/>
      <c r="O14" s="8"/>
      <c r="P14" s="8"/>
      <c r="Q14" s="8"/>
      <c r="R14" s="8"/>
      <c r="S14" s="8"/>
      <c r="T14" s="8"/>
      <c r="U14" s="8"/>
      <c r="V14" s="8"/>
      <c r="W14" s="8"/>
      <c r="X14" s="8"/>
      <c r="Y14" s="8"/>
      <c r="Z14" s="8"/>
    </row>
    <row r="15" ht="14.25" customHeight="1">
      <c r="A15" s="8">
        <v>25692.0</v>
      </c>
      <c r="B15" s="8" t="s">
        <v>24</v>
      </c>
      <c r="C15" s="8" t="s">
        <v>72</v>
      </c>
      <c r="D15" s="8">
        <v>2015.0</v>
      </c>
      <c r="E15" s="8" t="s">
        <v>73</v>
      </c>
      <c r="F15" s="8" t="s">
        <v>74</v>
      </c>
      <c r="G15" s="8">
        <v>23.0</v>
      </c>
      <c r="H15" s="8" t="s">
        <v>33</v>
      </c>
      <c r="I15" s="8" t="s">
        <v>75</v>
      </c>
      <c r="J15" s="8" t="s">
        <v>29</v>
      </c>
      <c r="K15" s="8"/>
      <c r="L15" s="8"/>
      <c r="M15" s="8"/>
      <c r="N15" s="8"/>
      <c r="O15" s="8"/>
      <c r="P15" s="8"/>
      <c r="Q15" s="8"/>
      <c r="R15" s="8"/>
      <c r="S15" s="8"/>
      <c r="T15" s="8"/>
      <c r="U15" s="8"/>
      <c r="V15" s="8"/>
      <c r="W15" s="8"/>
      <c r="X15" s="8"/>
      <c r="Y15" s="8"/>
      <c r="Z15" s="8"/>
    </row>
    <row r="16" ht="14.25" customHeight="1">
      <c r="A16" s="8">
        <v>23868.0</v>
      </c>
      <c r="B16" s="8" t="s">
        <v>24</v>
      </c>
      <c r="C16" s="8" t="s">
        <v>76</v>
      </c>
      <c r="D16" s="8">
        <v>2018.0</v>
      </c>
      <c r="E16" s="8" t="s">
        <v>77</v>
      </c>
      <c r="F16" s="8" t="s">
        <v>64</v>
      </c>
      <c r="G16" s="8">
        <v>218.0</v>
      </c>
      <c r="H16" s="8" t="s">
        <v>33</v>
      </c>
      <c r="I16" s="8" t="s">
        <v>78</v>
      </c>
      <c r="J16" s="8" t="s">
        <v>29</v>
      </c>
      <c r="K16" s="8"/>
      <c r="L16" s="8"/>
      <c r="M16" s="8"/>
      <c r="N16" s="8"/>
      <c r="O16" s="8"/>
      <c r="P16" s="8"/>
      <c r="Q16" s="8"/>
      <c r="R16" s="8"/>
      <c r="S16" s="8"/>
      <c r="T16" s="8"/>
      <c r="U16" s="8"/>
      <c r="V16" s="8"/>
      <c r="W16" s="8"/>
      <c r="X16" s="8"/>
      <c r="Y16" s="8"/>
      <c r="Z16" s="8"/>
    </row>
    <row r="17" ht="14.25" customHeight="1">
      <c r="A17" s="8">
        <v>25629.0</v>
      </c>
      <c r="B17" s="8" t="s">
        <v>24</v>
      </c>
      <c r="C17" s="8" t="s">
        <v>79</v>
      </c>
      <c r="D17" s="8">
        <v>2015.0</v>
      </c>
      <c r="E17" s="8" t="s">
        <v>80</v>
      </c>
      <c r="F17" s="8" t="s">
        <v>81</v>
      </c>
      <c r="G17" s="8">
        <v>101.0</v>
      </c>
      <c r="H17" s="8">
        <v>2.0</v>
      </c>
      <c r="I17" s="8" t="s">
        <v>82</v>
      </c>
      <c r="J17" s="8" t="s">
        <v>29</v>
      </c>
      <c r="K17" s="8"/>
      <c r="L17" s="8"/>
      <c r="M17" s="8"/>
      <c r="N17" s="8"/>
      <c r="O17" s="8"/>
      <c r="P17" s="8"/>
      <c r="Q17" s="8"/>
      <c r="R17" s="8"/>
      <c r="S17" s="8"/>
      <c r="T17" s="8"/>
      <c r="U17" s="8"/>
      <c r="V17" s="8"/>
      <c r="W17" s="8"/>
      <c r="X17" s="8"/>
      <c r="Y17" s="8"/>
      <c r="Z17" s="8"/>
    </row>
    <row r="18" ht="14.25" customHeight="1">
      <c r="A18" s="8">
        <v>25026.0</v>
      </c>
      <c r="B18" s="8" t="s">
        <v>24</v>
      </c>
      <c r="C18" s="8" t="s">
        <v>83</v>
      </c>
      <c r="D18" s="8">
        <v>2019.0</v>
      </c>
      <c r="E18" s="8" t="s">
        <v>84</v>
      </c>
      <c r="F18" s="8" t="s">
        <v>53</v>
      </c>
      <c r="G18" s="8">
        <v>10.0</v>
      </c>
      <c r="H18" s="8">
        <v>9.0</v>
      </c>
      <c r="I18" s="8" t="s">
        <v>33</v>
      </c>
      <c r="J18" s="8" t="s">
        <v>29</v>
      </c>
      <c r="K18" s="8"/>
      <c r="L18" s="8"/>
      <c r="M18" s="8"/>
      <c r="N18" s="8"/>
      <c r="O18" s="8"/>
      <c r="P18" s="8"/>
      <c r="Q18" s="8"/>
      <c r="R18" s="8"/>
      <c r="S18" s="8"/>
      <c r="T18" s="8"/>
      <c r="U18" s="8"/>
      <c r="V18" s="8"/>
      <c r="W18" s="8"/>
      <c r="X18" s="8"/>
      <c r="Y18" s="8"/>
      <c r="Z18" s="8"/>
    </row>
    <row r="19" ht="14.25" customHeight="1">
      <c r="A19" s="8">
        <v>24868.0</v>
      </c>
      <c r="B19" s="8" t="s">
        <v>24</v>
      </c>
      <c r="C19" s="8" t="s">
        <v>85</v>
      </c>
      <c r="D19" s="8">
        <v>2020.0</v>
      </c>
      <c r="E19" s="8" t="s">
        <v>86</v>
      </c>
      <c r="F19" s="8" t="s">
        <v>64</v>
      </c>
      <c r="G19" s="8">
        <v>249.0</v>
      </c>
      <c r="H19" s="8" t="s">
        <v>33</v>
      </c>
      <c r="I19" s="8" t="s">
        <v>33</v>
      </c>
      <c r="J19" s="8" t="s">
        <v>29</v>
      </c>
      <c r="K19" s="8"/>
      <c r="L19" s="8"/>
      <c r="M19" s="8"/>
      <c r="N19" s="8"/>
      <c r="O19" s="8"/>
      <c r="P19" s="8"/>
      <c r="Q19" s="8"/>
      <c r="R19" s="8"/>
      <c r="S19" s="8"/>
      <c r="T19" s="8"/>
      <c r="U19" s="8"/>
      <c r="V19" s="8"/>
      <c r="W19" s="8"/>
      <c r="X19" s="8"/>
      <c r="Y19" s="8"/>
      <c r="Z19" s="8"/>
    </row>
    <row r="20" ht="14.25" customHeight="1">
      <c r="A20" s="8">
        <v>24428.0</v>
      </c>
      <c r="B20" s="8" t="s">
        <v>24</v>
      </c>
      <c r="C20" s="8" t="s">
        <v>87</v>
      </c>
      <c r="D20" s="8">
        <v>2010.0</v>
      </c>
      <c r="E20" s="8" t="s">
        <v>88</v>
      </c>
      <c r="F20" s="8" t="s">
        <v>89</v>
      </c>
      <c r="G20" s="8">
        <v>7.0</v>
      </c>
      <c r="H20" s="8">
        <v>12.0</v>
      </c>
      <c r="I20" s="8" t="s">
        <v>90</v>
      </c>
      <c r="J20" s="8" t="s">
        <v>29</v>
      </c>
      <c r="K20" s="8"/>
      <c r="L20" s="8"/>
      <c r="M20" s="8"/>
      <c r="N20" s="8"/>
      <c r="O20" s="8"/>
      <c r="P20" s="8"/>
      <c r="Q20" s="8"/>
      <c r="R20" s="8"/>
      <c r="S20" s="8"/>
      <c r="T20" s="8"/>
      <c r="U20" s="8"/>
      <c r="V20" s="8"/>
      <c r="W20" s="8"/>
      <c r="X20" s="8"/>
      <c r="Y20" s="8"/>
      <c r="Z20" s="8"/>
    </row>
    <row r="21" ht="14.25" customHeight="1">
      <c r="A21" s="8">
        <v>24242.0</v>
      </c>
      <c r="B21" s="8" t="s">
        <v>24</v>
      </c>
      <c r="C21" s="8" t="s">
        <v>91</v>
      </c>
      <c r="D21" s="8">
        <v>2018.0</v>
      </c>
      <c r="E21" s="8" t="s">
        <v>92</v>
      </c>
      <c r="F21" s="8" t="s">
        <v>93</v>
      </c>
      <c r="G21" s="8">
        <v>37.0</v>
      </c>
      <c r="H21" s="8">
        <v>2.0</v>
      </c>
      <c r="I21" s="8" t="s">
        <v>94</v>
      </c>
      <c r="J21" s="8" t="s">
        <v>29</v>
      </c>
      <c r="K21" s="8"/>
      <c r="L21" s="8"/>
      <c r="M21" s="8"/>
      <c r="N21" s="8"/>
      <c r="O21" s="8"/>
      <c r="P21" s="8"/>
      <c r="Q21" s="8"/>
      <c r="R21" s="8"/>
      <c r="S21" s="8"/>
      <c r="T21" s="8"/>
      <c r="U21" s="8"/>
      <c r="V21" s="8"/>
      <c r="W21" s="8"/>
      <c r="X21" s="8"/>
      <c r="Y21" s="8"/>
      <c r="Z21" s="8"/>
    </row>
    <row r="22" ht="14.25" customHeight="1">
      <c r="A22" s="8">
        <v>25381.0</v>
      </c>
      <c r="B22" s="8" t="s">
        <v>24</v>
      </c>
      <c r="C22" s="8" t="s">
        <v>95</v>
      </c>
      <c r="D22" s="8">
        <v>2004.0</v>
      </c>
      <c r="E22" s="8" t="s">
        <v>96</v>
      </c>
      <c r="F22" s="8" t="s">
        <v>97</v>
      </c>
      <c r="G22" s="8">
        <v>10.0</v>
      </c>
      <c r="H22" s="11">
        <v>44717.0</v>
      </c>
      <c r="I22" s="8" t="s">
        <v>98</v>
      </c>
      <c r="J22" s="8" t="s">
        <v>29</v>
      </c>
      <c r="K22" s="8"/>
      <c r="L22" s="8"/>
      <c r="M22" s="8"/>
      <c r="N22" s="8"/>
      <c r="O22" s="8"/>
      <c r="P22" s="8"/>
      <c r="Q22" s="8"/>
      <c r="R22" s="8"/>
      <c r="S22" s="8"/>
      <c r="T22" s="8"/>
      <c r="U22" s="8"/>
      <c r="V22" s="8"/>
      <c r="W22" s="8"/>
      <c r="X22" s="8"/>
      <c r="Y22" s="8"/>
      <c r="Z22" s="8"/>
    </row>
    <row r="23" ht="14.25" customHeight="1">
      <c r="A23" s="8">
        <v>25371.0</v>
      </c>
      <c r="B23" s="8" t="s">
        <v>24</v>
      </c>
      <c r="C23" s="8" t="s">
        <v>99</v>
      </c>
      <c r="D23" s="8">
        <v>2006.0</v>
      </c>
      <c r="E23" s="8" t="s">
        <v>100</v>
      </c>
      <c r="F23" s="8" t="s">
        <v>101</v>
      </c>
      <c r="G23" s="8">
        <v>21.0</v>
      </c>
      <c r="H23" s="8">
        <v>7.0</v>
      </c>
      <c r="I23" s="8" t="s">
        <v>102</v>
      </c>
      <c r="J23" s="8" t="s">
        <v>29</v>
      </c>
      <c r="K23" s="8"/>
      <c r="L23" s="8"/>
      <c r="M23" s="8"/>
      <c r="N23" s="8"/>
      <c r="O23" s="8"/>
      <c r="P23" s="8"/>
      <c r="Q23" s="8"/>
      <c r="R23" s="8"/>
      <c r="S23" s="8"/>
      <c r="T23" s="8"/>
      <c r="U23" s="8"/>
      <c r="V23" s="8"/>
      <c r="W23" s="8"/>
      <c r="X23" s="8"/>
      <c r="Y23" s="8"/>
      <c r="Z23" s="8"/>
    </row>
    <row r="24" ht="14.25" customHeight="1">
      <c r="A24" s="8">
        <v>26032.0</v>
      </c>
      <c r="B24" s="8" t="s">
        <v>24</v>
      </c>
      <c r="C24" s="8" t="s">
        <v>103</v>
      </c>
      <c r="D24" s="8">
        <v>2012.0</v>
      </c>
      <c r="E24" s="8" t="s">
        <v>104</v>
      </c>
      <c r="F24" s="8" t="s">
        <v>105</v>
      </c>
      <c r="G24" s="8">
        <v>1111.0</v>
      </c>
      <c r="H24" s="8" t="s">
        <v>33</v>
      </c>
      <c r="I24" s="8" t="s">
        <v>106</v>
      </c>
      <c r="J24" s="8" t="s">
        <v>29</v>
      </c>
      <c r="K24" s="8"/>
      <c r="L24" s="8"/>
      <c r="M24" s="8"/>
      <c r="N24" s="8"/>
      <c r="O24" s="8"/>
      <c r="P24" s="8"/>
      <c r="Q24" s="8"/>
      <c r="R24" s="8"/>
      <c r="S24" s="8"/>
      <c r="T24" s="8"/>
      <c r="U24" s="8"/>
      <c r="V24" s="8"/>
      <c r="W24" s="8"/>
      <c r="X24" s="8"/>
      <c r="Y24" s="8"/>
      <c r="Z24" s="8"/>
    </row>
    <row r="25" ht="14.25" customHeight="1">
      <c r="A25" s="8">
        <v>25078.0</v>
      </c>
      <c r="B25" s="8" t="s">
        <v>24</v>
      </c>
      <c r="C25" s="8" t="s">
        <v>107</v>
      </c>
      <c r="D25" s="8">
        <v>2011.0</v>
      </c>
      <c r="E25" s="8" t="s">
        <v>108</v>
      </c>
      <c r="F25" s="8" t="s">
        <v>109</v>
      </c>
      <c r="G25" s="8">
        <v>48.0</v>
      </c>
      <c r="H25" s="8">
        <v>1.0</v>
      </c>
      <c r="I25" s="8" t="s">
        <v>110</v>
      </c>
      <c r="J25" s="8" t="s">
        <v>29</v>
      </c>
      <c r="K25" s="8"/>
      <c r="L25" s="8"/>
      <c r="M25" s="8"/>
      <c r="N25" s="8"/>
      <c r="O25" s="8"/>
      <c r="P25" s="8"/>
      <c r="Q25" s="8"/>
      <c r="R25" s="8"/>
      <c r="S25" s="8"/>
      <c r="T25" s="8"/>
      <c r="U25" s="8"/>
      <c r="V25" s="8"/>
      <c r="W25" s="8"/>
      <c r="X25" s="8"/>
      <c r="Y25" s="8"/>
      <c r="Z25" s="8"/>
    </row>
    <row r="26" ht="14.25" customHeight="1">
      <c r="A26" s="8">
        <v>23163.0</v>
      </c>
      <c r="B26" s="8" t="s">
        <v>24</v>
      </c>
      <c r="C26" s="8" t="s">
        <v>111</v>
      </c>
      <c r="D26" s="8">
        <v>2008.0</v>
      </c>
      <c r="E26" s="8" t="s">
        <v>112</v>
      </c>
      <c r="F26" s="8" t="s">
        <v>113</v>
      </c>
      <c r="G26" s="8">
        <v>23.0</v>
      </c>
      <c r="H26" s="8">
        <v>6.0</v>
      </c>
      <c r="I26" s="8" t="s">
        <v>114</v>
      </c>
      <c r="J26" s="8" t="s">
        <v>29</v>
      </c>
      <c r="K26" s="8"/>
      <c r="L26" s="8"/>
      <c r="M26" s="8"/>
      <c r="N26" s="8"/>
      <c r="O26" s="8"/>
      <c r="P26" s="8"/>
      <c r="Q26" s="8"/>
      <c r="R26" s="8"/>
      <c r="S26" s="8"/>
      <c r="T26" s="8"/>
      <c r="U26" s="8"/>
      <c r="V26" s="8"/>
      <c r="W26" s="8"/>
      <c r="X26" s="8"/>
      <c r="Y26" s="8"/>
      <c r="Z26" s="8"/>
    </row>
    <row r="27" ht="14.25" customHeight="1">
      <c r="A27" s="8">
        <v>24125.0</v>
      </c>
      <c r="B27" s="8" t="s">
        <v>24</v>
      </c>
      <c r="C27" s="8" t="s">
        <v>115</v>
      </c>
      <c r="D27" s="8">
        <v>2008.0</v>
      </c>
      <c r="E27" s="8" t="s">
        <v>116</v>
      </c>
      <c r="F27" s="8" t="s">
        <v>117</v>
      </c>
      <c r="G27" s="8">
        <v>319.0</v>
      </c>
      <c r="H27" s="8">
        <v>5865.0</v>
      </c>
      <c r="I27" s="8" t="s">
        <v>118</v>
      </c>
      <c r="J27" s="8" t="s">
        <v>29</v>
      </c>
      <c r="K27" s="8"/>
      <c r="L27" s="8"/>
      <c r="M27" s="8"/>
      <c r="N27" s="8"/>
      <c r="O27" s="8"/>
      <c r="P27" s="8"/>
      <c r="Q27" s="8"/>
      <c r="R27" s="8"/>
      <c r="S27" s="8"/>
      <c r="T27" s="8"/>
      <c r="U27" s="8"/>
      <c r="V27" s="8"/>
      <c r="W27" s="8"/>
      <c r="X27" s="8"/>
      <c r="Y27" s="8"/>
      <c r="Z27" s="8"/>
    </row>
    <row r="28" ht="14.25" customHeight="1">
      <c r="A28" s="8">
        <v>24525.0</v>
      </c>
      <c r="B28" s="8" t="s">
        <v>24</v>
      </c>
      <c r="C28" s="8" t="s">
        <v>119</v>
      </c>
      <c r="D28" s="8">
        <v>2020.0</v>
      </c>
      <c r="E28" s="8" t="s">
        <v>120</v>
      </c>
      <c r="F28" s="8" t="s">
        <v>121</v>
      </c>
      <c r="G28" s="8">
        <v>70.0</v>
      </c>
      <c r="H28" s="8">
        <v>2.0</v>
      </c>
      <c r="I28" s="8" t="s">
        <v>122</v>
      </c>
      <c r="J28" s="8" t="s">
        <v>29</v>
      </c>
      <c r="K28" s="8"/>
      <c r="L28" s="8"/>
      <c r="M28" s="8"/>
      <c r="N28" s="8"/>
      <c r="O28" s="8"/>
      <c r="P28" s="8"/>
      <c r="Q28" s="8"/>
      <c r="R28" s="8"/>
      <c r="S28" s="8"/>
      <c r="T28" s="8"/>
      <c r="U28" s="8"/>
      <c r="V28" s="8"/>
      <c r="W28" s="8"/>
      <c r="X28" s="8"/>
      <c r="Y28" s="8"/>
      <c r="Z28" s="8"/>
    </row>
    <row r="29" ht="14.25" customHeight="1">
      <c r="A29" s="8">
        <v>24078.0</v>
      </c>
      <c r="B29" s="8" t="s">
        <v>24</v>
      </c>
      <c r="C29" s="8" t="s">
        <v>123</v>
      </c>
      <c r="D29" s="8">
        <v>2016.0</v>
      </c>
      <c r="E29" s="8" t="s">
        <v>124</v>
      </c>
      <c r="F29" s="8" t="s">
        <v>125</v>
      </c>
      <c r="G29" s="8">
        <v>37.0</v>
      </c>
      <c r="H29" s="8">
        <v>2.0</v>
      </c>
      <c r="I29" s="8" t="s">
        <v>126</v>
      </c>
      <c r="J29" s="8" t="s">
        <v>29</v>
      </c>
      <c r="K29" s="8"/>
      <c r="L29" s="8"/>
      <c r="M29" s="8"/>
      <c r="N29" s="8"/>
      <c r="O29" s="8"/>
      <c r="P29" s="8"/>
      <c r="Q29" s="8"/>
      <c r="R29" s="8"/>
      <c r="S29" s="8"/>
      <c r="T29" s="8"/>
      <c r="U29" s="8"/>
      <c r="V29" s="8"/>
      <c r="W29" s="8"/>
      <c r="X29" s="8"/>
      <c r="Y29" s="8"/>
      <c r="Z29" s="8"/>
    </row>
    <row r="30" ht="14.25" customHeight="1">
      <c r="A30" s="8">
        <v>25033.0</v>
      </c>
      <c r="B30" s="8" t="s">
        <v>24</v>
      </c>
      <c r="C30" s="8" t="s">
        <v>127</v>
      </c>
      <c r="D30" s="8">
        <v>2016.0</v>
      </c>
      <c r="E30" s="8" t="s">
        <v>128</v>
      </c>
      <c r="F30" s="8" t="s">
        <v>49</v>
      </c>
      <c r="G30" s="8" t="s">
        <v>129</v>
      </c>
      <c r="H30" s="8" t="s">
        <v>33</v>
      </c>
      <c r="I30" s="10">
        <v>44136.0</v>
      </c>
      <c r="J30" s="8" t="s">
        <v>29</v>
      </c>
      <c r="K30" s="8"/>
      <c r="L30" s="8"/>
      <c r="M30" s="8"/>
      <c r="N30" s="8"/>
      <c r="O30" s="8"/>
      <c r="P30" s="8"/>
      <c r="Q30" s="8"/>
      <c r="R30" s="8"/>
      <c r="S30" s="8"/>
      <c r="T30" s="8"/>
      <c r="U30" s="8"/>
      <c r="V30" s="8"/>
      <c r="W30" s="8"/>
      <c r="X30" s="8"/>
      <c r="Y30" s="8"/>
      <c r="Z30" s="8"/>
    </row>
    <row r="31" ht="14.25" customHeight="1">
      <c r="A31" s="8">
        <v>26042.0</v>
      </c>
      <c r="B31" s="8" t="s">
        <v>24</v>
      </c>
      <c r="C31" s="8" t="s">
        <v>130</v>
      </c>
      <c r="D31" s="8">
        <v>2017.0</v>
      </c>
      <c r="E31" s="8" t="s">
        <v>131</v>
      </c>
      <c r="F31" s="8" t="s">
        <v>132</v>
      </c>
      <c r="G31" s="8">
        <v>27.0</v>
      </c>
      <c r="H31" s="8">
        <v>2.0</v>
      </c>
      <c r="I31" s="8" t="s">
        <v>133</v>
      </c>
      <c r="J31" s="8" t="s">
        <v>29</v>
      </c>
      <c r="K31" s="8"/>
      <c r="L31" s="8"/>
      <c r="M31" s="8"/>
      <c r="N31" s="8"/>
      <c r="O31" s="8"/>
      <c r="P31" s="8"/>
      <c r="Q31" s="8"/>
      <c r="R31" s="8"/>
      <c r="S31" s="8"/>
      <c r="T31" s="8"/>
      <c r="U31" s="8"/>
      <c r="V31" s="8"/>
      <c r="W31" s="8"/>
      <c r="X31" s="8"/>
      <c r="Y31" s="8"/>
      <c r="Z31" s="8"/>
    </row>
    <row r="32" ht="14.25" customHeight="1">
      <c r="A32" s="8">
        <v>25158.0</v>
      </c>
      <c r="B32" s="8" t="s">
        <v>24</v>
      </c>
      <c r="C32" s="8" t="s">
        <v>134</v>
      </c>
      <c r="D32" s="8">
        <v>2017.0</v>
      </c>
      <c r="E32" s="8" t="s">
        <v>135</v>
      </c>
      <c r="F32" s="8" t="s">
        <v>36</v>
      </c>
      <c r="G32" s="8">
        <v>12.0</v>
      </c>
      <c r="H32" s="8">
        <v>12.0</v>
      </c>
      <c r="I32" s="8" t="s">
        <v>33</v>
      </c>
      <c r="J32" s="8" t="s">
        <v>29</v>
      </c>
      <c r="K32" s="8"/>
      <c r="L32" s="8"/>
      <c r="M32" s="8"/>
      <c r="N32" s="8"/>
      <c r="O32" s="8"/>
      <c r="P32" s="8"/>
      <c r="Q32" s="8"/>
      <c r="R32" s="8"/>
      <c r="S32" s="8"/>
      <c r="T32" s="8"/>
      <c r="U32" s="8"/>
      <c r="V32" s="8"/>
      <c r="W32" s="8"/>
      <c r="X32" s="8"/>
      <c r="Y32" s="8"/>
      <c r="Z32" s="8"/>
    </row>
    <row r="33" ht="14.25" customHeight="1">
      <c r="A33" s="8">
        <v>25529.0</v>
      </c>
      <c r="B33" s="8" t="s">
        <v>24</v>
      </c>
      <c r="C33" s="8" t="s">
        <v>136</v>
      </c>
      <c r="D33" s="8">
        <v>2009.0</v>
      </c>
      <c r="E33" s="8" t="s">
        <v>137</v>
      </c>
      <c r="F33" s="8" t="s">
        <v>138</v>
      </c>
      <c r="G33" s="8">
        <v>28.0</v>
      </c>
      <c r="H33" s="8">
        <v>3.0</v>
      </c>
      <c r="I33" s="8" t="s">
        <v>139</v>
      </c>
      <c r="J33" s="8" t="s">
        <v>29</v>
      </c>
      <c r="K33" s="8"/>
      <c r="L33" s="8"/>
      <c r="M33" s="8"/>
      <c r="N33" s="8"/>
      <c r="O33" s="8"/>
      <c r="P33" s="8"/>
      <c r="Q33" s="8"/>
      <c r="R33" s="8"/>
      <c r="S33" s="8"/>
      <c r="T33" s="8"/>
      <c r="U33" s="8"/>
      <c r="V33" s="8"/>
      <c r="W33" s="8"/>
      <c r="X33" s="8"/>
      <c r="Y33" s="8"/>
      <c r="Z33" s="8"/>
    </row>
    <row r="34" ht="14.25" customHeight="1">
      <c r="A34" s="8">
        <v>24659.0</v>
      </c>
      <c r="B34" s="8" t="s">
        <v>24</v>
      </c>
      <c r="C34" s="8" t="s">
        <v>140</v>
      </c>
      <c r="D34" s="8">
        <v>2019.0</v>
      </c>
      <c r="E34" s="8" t="s">
        <v>141</v>
      </c>
      <c r="F34" s="8" t="s">
        <v>49</v>
      </c>
      <c r="G34" s="8">
        <v>659.0</v>
      </c>
      <c r="H34" s="8" t="s">
        <v>33</v>
      </c>
      <c r="I34" s="8" t="s">
        <v>142</v>
      </c>
      <c r="J34" s="8" t="s">
        <v>29</v>
      </c>
      <c r="K34" s="8"/>
      <c r="L34" s="8"/>
      <c r="M34" s="8"/>
      <c r="N34" s="8"/>
      <c r="O34" s="8"/>
      <c r="P34" s="8"/>
      <c r="Q34" s="8"/>
      <c r="R34" s="8"/>
      <c r="S34" s="8"/>
      <c r="T34" s="8"/>
      <c r="U34" s="8"/>
      <c r="V34" s="8"/>
      <c r="W34" s="8"/>
      <c r="X34" s="8"/>
      <c r="Y34" s="8"/>
      <c r="Z34" s="8"/>
    </row>
    <row r="35" ht="14.25" customHeight="1">
      <c r="A35" s="8">
        <v>24777.0</v>
      </c>
      <c r="B35" s="8" t="s">
        <v>24</v>
      </c>
      <c r="C35" s="8" t="s">
        <v>143</v>
      </c>
      <c r="D35" s="8">
        <v>2018.0</v>
      </c>
      <c r="E35" s="8" t="s">
        <v>144</v>
      </c>
      <c r="F35" s="8" t="s">
        <v>145</v>
      </c>
      <c r="G35" s="8">
        <v>91.0</v>
      </c>
      <c r="H35" s="8" t="s">
        <v>33</v>
      </c>
      <c r="I35" s="8" t="s">
        <v>146</v>
      </c>
      <c r="J35" s="8" t="s">
        <v>29</v>
      </c>
      <c r="K35" s="8"/>
      <c r="L35" s="8"/>
      <c r="M35" s="8"/>
      <c r="N35" s="8"/>
      <c r="O35" s="8"/>
      <c r="P35" s="8"/>
      <c r="Q35" s="8"/>
      <c r="R35" s="8"/>
      <c r="S35" s="8"/>
      <c r="T35" s="8"/>
      <c r="U35" s="8"/>
      <c r="V35" s="8"/>
      <c r="W35" s="8"/>
      <c r="X35" s="8"/>
      <c r="Y35" s="8"/>
      <c r="Z35" s="8"/>
    </row>
    <row r="36" ht="14.25" customHeight="1">
      <c r="A36" s="8">
        <v>23685.0</v>
      </c>
      <c r="B36" s="8" t="s">
        <v>24</v>
      </c>
      <c r="C36" s="8" t="s">
        <v>147</v>
      </c>
      <c r="D36" s="8">
        <v>2020.0</v>
      </c>
      <c r="E36" s="8" t="s">
        <v>148</v>
      </c>
      <c r="F36" s="8" t="s">
        <v>149</v>
      </c>
      <c r="G36" s="8">
        <v>63.0</v>
      </c>
      <c r="H36" s="8">
        <v>5.0</v>
      </c>
      <c r="I36" s="8" t="s">
        <v>150</v>
      </c>
      <c r="J36" s="8" t="s">
        <v>29</v>
      </c>
      <c r="K36" s="8"/>
      <c r="L36" s="8"/>
      <c r="M36" s="8"/>
      <c r="N36" s="8"/>
      <c r="O36" s="8"/>
      <c r="P36" s="8"/>
      <c r="Q36" s="8"/>
      <c r="R36" s="8"/>
      <c r="S36" s="8"/>
      <c r="T36" s="8"/>
      <c r="U36" s="8"/>
      <c r="V36" s="8"/>
      <c r="W36" s="8"/>
      <c r="X36" s="8"/>
      <c r="Y36" s="8"/>
      <c r="Z36" s="8"/>
    </row>
    <row r="37" ht="14.25" customHeight="1">
      <c r="A37" s="8">
        <v>23086.0</v>
      </c>
      <c r="B37" s="8" t="s">
        <v>24</v>
      </c>
      <c r="C37" s="8" t="s">
        <v>151</v>
      </c>
      <c r="D37" s="8">
        <v>2013.0</v>
      </c>
      <c r="E37" s="8" t="s">
        <v>152</v>
      </c>
      <c r="F37" s="8" t="s">
        <v>153</v>
      </c>
      <c r="G37" s="8">
        <v>119.0</v>
      </c>
      <c r="H37" s="8" t="s">
        <v>33</v>
      </c>
      <c r="I37" s="8" t="s">
        <v>154</v>
      </c>
      <c r="J37" s="8" t="s">
        <v>29</v>
      </c>
      <c r="K37" s="8"/>
      <c r="L37" s="8"/>
      <c r="M37" s="8"/>
      <c r="N37" s="8"/>
      <c r="O37" s="8"/>
      <c r="P37" s="8"/>
      <c r="Q37" s="8"/>
      <c r="R37" s="8"/>
      <c r="S37" s="8"/>
      <c r="T37" s="8"/>
      <c r="U37" s="8"/>
      <c r="V37" s="8"/>
      <c r="W37" s="8"/>
      <c r="X37" s="8"/>
      <c r="Y37" s="8"/>
      <c r="Z37" s="8"/>
    </row>
    <row r="38" ht="14.25" customHeight="1">
      <c r="A38" s="8">
        <v>25234.0</v>
      </c>
      <c r="B38" s="8" t="s">
        <v>24</v>
      </c>
      <c r="C38" s="8" t="s">
        <v>155</v>
      </c>
      <c r="D38" s="8">
        <v>2018.0</v>
      </c>
      <c r="E38" s="8" t="s">
        <v>156</v>
      </c>
      <c r="F38" s="8" t="s">
        <v>46</v>
      </c>
      <c r="G38" s="8">
        <v>52.0</v>
      </c>
      <c r="H38" s="8">
        <v>1.0</v>
      </c>
      <c r="I38" s="8" t="s">
        <v>157</v>
      </c>
      <c r="J38" s="8" t="s">
        <v>29</v>
      </c>
      <c r="K38" s="8"/>
      <c r="L38" s="8"/>
      <c r="M38" s="8"/>
      <c r="N38" s="8"/>
      <c r="O38" s="8"/>
      <c r="P38" s="8"/>
      <c r="Q38" s="8"/>
      <c r="R38" s="8"/>
      <c r="S38" s="8"/>
      <c r="T38" s="8"/>
      <c r="U38" s="8"/>
      <c r="V38" s="8"/>
      <c r="W38" s="8"/>
      <c r="X38" s="8"/>
      <c r="Y38" s="8"/>
      <c r="Z38" s="8"/>
    </row>
    <row r="39" ht="14.25" customHeight="1">
      <c r="A39" s="8">
        <v>24229.0</v>
      </c>
      <c r="B39" s="8" t="s">
        <v>24</v>
      </c>
      <c r="C39" s="8" t="s">
        <v>158</v>
      </c>
      <c r="D39" s="8">
        <v>2018.0</v>
      </c>
      <c r="E39" s="8" t="s">
        <v>159</v>
      </c>
      <c r="F39" s="8" t="s">
        <v>64</v>
      </c>
      <c r="G39" s="8">
        <v>222.0</v>
      </c>
      <c r="H39" s="8" t="s">
        <v>33</v>
      </c>
      <c r="I39" s="8" t="s">
        <v>160</v>
      </c>
      <c r="J39" s="8" t="s">
        <v>29</v>
      </c>
      <c r="K39" s="8"/>
      <c r="L39" s="8"/>
      <c r="M39" s="8"/>
      <c r="N39" s="8"/>
      <c r="O39" s="8"/>
      <c r="P39" s="8"/>
      <c r="Q39" s="8"/>
      <c r="R39" s="8"/>
      <c r="S39" s="8"/>
      <c r="T39" s="8"/>
      <c r="U39" s="8"/>
      <c r="V39" s="8"/>
      <c r="W39" s="8"/>
      <c r="X39" s="8"/>
      <c r="Y39" s="8"/>
      <c r="Z39" s="8"/>
    </row>
    <row r="40" ht="14.25" customHeight="1">
      <c r="A40" s="8">
        <v>24636.0</v>
      </c>
      <c r="B40" s="8" t="s">
        <v>24</v>
      </c>
      <c r="C40" s="8" t="s">
        <v>161</v>
      </c>
      <c r="D40" s="8">
        <v>2013.0</v>
      </c>
      <c r="E40" s="8" t="s">
        <v>162</v>
      </c>
      <c r="F40" s="8" t="s">
        <v>163</v>
      </c>
      <c r="G40" s="8">
        <v>83.0</v>
      </c>
      <c r="H40" s="11">
        <v>44715.0</v>
      </c>
      <c r="I40" s="8" t="s">
        <v>164</v>
      </c>
      <c r="J40" s="8" t="s">
        <v>29</v>
      </c>
      <c r="K40" s="8"/>
      <c r="L40" s="8"/>
      <c r="M40" s="8"/>
      <c r="N40" s="8"/>
      <c r="O40" s="8"/>
      <c r="P40" s="8"/>
      <c r="Q40" s="8"/>
      <c r="R40" s="8"/>
      <c r="S40" s="8"/>
      <c r="T40" s="8"/>
      <c r="U40" s="8"/>
      <c r="V40" s="8"/>
      <c r="W40" s="8"/>
      <c r="X40" s="8"/>
      <c r="Y40" s="8"/>
      <c r="Z40" s="8"/>
    </row>
    <row r="41" ht="14.25" customHeight="1">
      <c r="A41" s="8">
        <v>23631.0</v>
      </c>
      <c r="B41" s="8" t="s">
        <v>24</v>
      </c>
      <c r="C41" s="8" t="s">
        <v>165</v>
      </c>
      <c r="D41" s="8">
        <v>2011.0</v>
      </c>
      <c r="E41" s="8" t="s">
        <v>166</v>
      </c>
      <c r="F41" s="8" t="s">
        <v>132</v>
      </c>
      <c r="G41" s="8">
        <v>21.0</v>
      </c>
      <c r="H41" s="8">
        <v>5.0</v>
      </c>
      <c r="I41" s="8" t="s">
        <v>167</v>
      </c>
      <c r="J41" s="8" t="s">
        <v>29</v>
      </c>
      <c r="K41" s="8"/>
      <c r="L41" s="8"/>
      <c r="M41" s="8"/>
      <c r="N41" s="8"/>
      <c r="O41" s="8"/>
      <c r="P41" s="8"/>
      <c r="Q41" s="8"/>
      <c r="R41" s="8"/>
      <c r="S41" s="8"/>
      <c r="T41" s="8"/>
      <c r="U41" s="8"/>
      <c r="V41" s="8"/>
      <c r="W41" s="8"/>
      <c r="X41" s="8"/>
      <c r="Y41" s="8"/>
      <c r="Z41" s="8"/>
    </row>
    <row r="42" ht="14.25" customHeight="1">
      <c r="A42" s="8">
        <v>24745.0</v>
      </c>
      <c r="B42" s="8" t="s">
        <v>24</v>
      </c>
      <c r="C42" s="8" t="s">
        <v>168</v>
      </c>
      <c r="D42" s="8">
        <v>2017.0</v>
      </c>
      <c r="E42" s="8" t="s">
        <v>169</v>
      </c>
      <c r="F42" s="8" t="s">
        <v>170</v>
      </c>
      <c r="G42" s="8">
        <v>402.0</v>
      </c>
      <c r="H42" s="8" t="s">
        <v>33</v>
      </c>
      <c r="I42" s="8" t="s">
        <v>171</v>
      </c>
      <c r="J42" s="8" t="s">
        <v>29</v>
      </c>
      <c r="K42" s="8"/>
      <c r="L42" s="8"/>
      <c r="M42" s="8"/>
      <c r="N42" s="8"/>
      <c r="O42" s="8"/>
      <c r="P42" s="8"/>
      <c r="Q42" s="8"/>
      <c r="R42" s="8"/>
      <c r="S42" s="8"/>
      <c r="T42" s="8"/>
      <c r="U42" s="8"/>
      <c r="V42" s="8"/>
      <c r="W42" s="8"/>
      <c r="X42" s="8"/>
      <c r="Y42" s="8"/>
      <c r="Z42" s="8"/>
    </row>
    <row r="43" ht="14.25" customHeight="1">
      <c r="A43" s="8">
        <v>23085.0</v>
      </c>
      <c r="B43" s="8" t="s">
        <v>24</v>
      </c>
      <c r="C43" s="8" t="s">
        <v>172</v>
      </c>
      <c r="D43" s="8">
        <v>2019.0</v>
      </c>
      <c r="E43" s="8" t="s">
        <v>173</v>
      </c>
      <c r="F43" s="8" t="s">
        <v>174</v>
      </c>
      <c r="G43" s="8">
        <v>2019.0</v>
      </c>
      <c r="H43" s="8">
        <v>11.0</v>
      </c>
      <c r="I43" s="8" t="s">
        <v>33</v>
      </c>
      <c r="J43" s="8" t="s">
        <v>29</v>
      </c>
      <c r="K43" s="8"/>
      <c r="L43" s="8"/>
      <c r="M43" s="8"/>
      <c r="N43" s="8"/>
      <c r="O43" s="8"/>
      <c r="P43" s="8"/>
      <c r="Q43" s="8"/>
      <c r="R43" s="8"/>
      <c r="S43" s="8"/>
      <c r="T43" s="8"/>
      <c r="U43" s="8"/>
      <c r="V43" s="8"/>
      <c r="W43" s="8"/>
      <c r="X43" s="8"/>
      <c r="Y43" s="8"/>
      <c r="Z43" s="8"/>
    </row>
    <row r="44" ht="14.25" customHeight="1">
      <c r="A44" s="8">
        <v>25891.0</v>
      </c>
      <c r="B44" s="8" t="s">
        <v>24</v>
      </c>
      <c r="C44" s="8" t="s">
        <v>175</v>
      </c>
      <c r="D44" s="8">
        <v>2015.0</v>
      </c>
      <c r="E44" s="8" t="s">
        <v>176</v>
      </c>
      <c r="F44" s="8" t="s">
        <v>177</v>
      </c>
      <c r="G44" s="8">
        <v>49.0</v>
      </c>
      <c r="H44" s="8">
        <v>2.0</v>
      </c>
      <c r="I44" s="8" t="s">
        <v>178</v>
      </c>
      <c r="J44" s="8" t="s">
        <v>29</v>
      </c>
      <c r="K44" s="8"/>
      <c r="L44" s="8"/>
      <c r="M44" s="8"/>
      <c r="N44" s="8"/>
      <c r="O44" s="8"/>
      <c r="P44" s="8"/>
      <c r="Q44" s="8"/>
      <c r="R44" s="8"/>
      <c r="S44" s="8"/>
      <c r="T44" s="8"/>
      <c r="U44" s="8"/>
      <c r="V44" s="8"/>
      <c r="W44" s="8"/>
      <c r="X44" s="8"/>
      <c r="Y44" s="8"/>
      <c r="Z44" s="8"/>
    </row>
    <row r="45" ht="14.25" customHeight="1">
      <c r="A45" s="8">
        <v>23790.0</v>
      </c>
      <c r="B45" s="8" t="s">
        <v>24</v>
      </c>
      <c r="C45" s="8" t="s">
        <v>179</v>
      </c>
      <c r="D45" s="8">
        <v>2000.0</v>
      </c>
      <c r="E45" s="8" t="s">
        <v>180</v>
      </c>
      <c r="F45" s="8" t="s">
        <v>181</v>
      </c>
      <c r="G45" s="8">
        <v>47.0</v>
      </c>
      <c r="H45" s="8">
        <v>3.0</v>
      </c>
      <c r="I45" s="8" t="s">
        <v>182</v>
      </c>
      <c r="J45" s="8" t="s">
        <v>29</v>
      </c>
      <c r="K45" s="8"/>
      <c r="L45" s="8"/>
      <c r="M45" s="8"/>
      <c r="N45" s="8"/>
      <c r="O45" s="8"/>
      <c r="P45" s="8"/>
      <c r="Q45" s="8"/>
      <c r="R45" s="8"/>
      <c r="S45" s="8"/>
      <c r="T45" s="8"/>
      <c r="U45" s="8"/>
      <c r="V45" s="8"/>
      <c r="W45" s="8"/>
      <c r="X45" s="8"/>
      <c r="Y45" s="8"/>
      <c r="Z45" s="8"/>
    </row>
    <row r="46" ht="14.25" customHeight="1">
      <c r="A46" s="8">
        <v>25808.0</v>
      </c>
      <c r="B46" s="8" t="s">
        <v>24</v>
      </c>
      <c r="C46" s="8" t="s">
        <v>183</v>
      </c>
      <c r="D46" s="8">
        <v>2006.0</v>
      </c>
      <c r="E46" s="8" t="s">
        <v>184</v>
      </c>
      <c r="F46" s="8" t="s">
        <v>185</v>
      </c>
      <c r="G46" s="8">
        <v>11.0</v>
      </c>
      <c r="H46" s="8">
        <v>1.0</v>
      </c>
      <c r="I46" s="8" t="s">
        <v>186</v>
      </c>
      <c r="J46" s="8" t="s">
        <v>29</v>
      </c>
      <c r="K46" s="8"/>
      <c r="L46" s="8"/>
      <c r="M46" s="8"/>
      <c r="N46" s="8"/>
      <c r="O46" s="8"/>
      <c r="P46" s="8"/>
      <c r="Q46" s="8"/>
      <c r="R46" s="8"/>
      <c r="S46" s="8"/>
      <c r="T46" s="8"/>
      <c r="U46" s="8"/>
      <c r="V46" s="8"/>
      <c r="W46" s="8"/>
      <c r="X46" s="8"/>
      <c r="Y46" s="8"/>
      <c r="Z46" s="8"/>
    </row>
    <row r="47" ht="14.25" customHeight="1">
      <c r="A47" s="8">
        <v>24087.0</v>
      </c>
      <c r="B47" s="8" t="s">
        <v>24</v>
      </c>
      <c r="C47" s="8" t="s">
        <v>187</v>
      </c>
      <c r="D47" s="8">
        <v>2008.0</v>
      </c>
      <c r="E47" s="8" t="s">
        <v>188</v>
      </c>
      <c r="F47" s="8" t="s">
        <v>132</v>
      </c>
      <c r="G47" s="8">
        <v>18.0</v>
      </c>
      <c r="H47" s="8">
        <v>7.0</v>
      </c>
      <c r="I47" s="8" t="s">
        <v>189</v>
      </c>
      <c r="J47" s="8" t="s">
        <v>29</v>
      </c>
      <c r="K47" s="8"/>
      <c r="L47" s="8"/>
      <c r="M47" s="8"/>
      <c r="N47" s="8"/>
      <c r="O47" s="8"/>
      <c r="P47" s="8"/>
      <c r="Q47" s="8"/>
      <c r="R47" s="8"/>
      <c r="S47" s="8"/>
      <c r="T47" s="8"/>
      <c r="U47" s="8"/>
      <c r="V47" s="8"/>
      <c r="W47" s="8"/>
      <c r="X47" s="8"/>
      <c r="Y47" s="8"/>
      <c r="Z47" s="8"/>
    </row>
    <row r="48" ht="14.25" customHeight="1">
      <c r="A48" s="8">
        <v>24856.0</v>
      </c>
      <c r="B48" s="8" t="s">
        <v>24</v>
      </c>
      <c r="C48" s="8" t="s">
        <v>190</v>
      </c>
      <c r="D48" s="8">
        <v>2018.0</v>
      </c>
      <c r="E48" s="8" t="s">
        <v>191</v>
      </c>
      <c r="F48" s="8" t="s">
        <v>192</v>
      </c>
      <c r="G48" s="8">
        <v>7.0</v>
      </c>
      <c r="H48" s="8">
        <v>1.0</v>
      </c>
      <c r="I48" s="8" t="s">
        <v>33</v>
      </c>
      <c r="J48" s="8" t="s">
        <v>29</v>
      </c>
      <c r="K48" s="8"/>
      <c r="L48" s="8"/>
      <c r="M48" s="8"/>
      <c r="N48" s="8"/>
      <c r="O48" s="8"/>
      <c r="P48" s="8"/>
      <c r="Q48" s="8"/>
      <c r="R48" s="8"/>
      <c r="S48" s="8"/>
      <c r="T48" s="8"/>
      <c r="U48" s="8"/>
      <c r="V48" s="8"/>
      <c r="W48" s="8"/>
      <c r="X48" s="8"/>
      <c r="Y48" s="8"/>
      <c r="Z48" s="8"/>
    </row>
    <row r="49" ht="14.25" customHeight="1">
      <c r="A49" s="8">
        <v>24897.0</v>
      </c>
      <c r="B49" s="8" t="s">
        <v>24</v>
      </c>
      <c r="C49" s="8" t="s">
        <v>193</v>
      </c>
      <c r="D49" s="8">
        <v>2018.0</v>
      </c>
      <c r="E49" s="8" t="s">
        <v>194</v>
      </c>
      <c r="F49" s="8" t="s">
        <v>195</v>
      </c>
      <c r="G49" s="8" t="s">
        <v>33</v>
      </c>
      <c r="H49" s="8" t="s">
        <v>33</v>
      </c>
      <c r="I49" s="8" t="s">
        <v>196</v>
      </c>
      <c r="J49" s="8" t="s">
        <v>29</v>
      </c>
      <c r="K49" s="8"/>
      <c r="L49" s="8"/>
      <c r="M49" s="8"/>
      <c r="N49" s="8"/>
      <c r="O49" s="8"/>
      <c r="P49" s="8"/>
      <c r="Q49" s="8"/>
      <c r="R49" s="8"/>
      <c r="S49" s="8"/>
      <c r="T49" s="8"/>
      <c r="U49" s="8"/>
      <c r="V49" s="8"/>
      <c r="W49" s="8"/>
      <c r="X49" s="8"/>
      <c r="Y49" s="8"/>
      <c r="Z49" s="8"/>
    </row>
    <row r="50" ht="14.25" customHeight="1">
      <c r="A50" s="8">
        <v>25588.0</v>
      </c>
      <c r="B50" s="8" t="s">
        <v>24</v>
      </c>
      <c r="C50" s="8" t="s">
        <v>197</v>
      </c>
      <c r="D50" s="8">
        <v>2014.0</v>
      </c>
      <c r="E50" s="8" t="s">
        <v>198</v>
      </c>
      <c r="F50" s="8" t="s">
        <v>64</v>
      </c>
      <c r="G50" s="8">
        <v>170.0</v>
      </c>
      <c r="H50" s="8" t="s">
        <v>33</v>
      </c>
      <c r="I50" s="8" t="s">
        <v>199</v>
      </c>
      <c r="J50" s="8" t="s">
        <v>29</v>
      </c>
      <c r="K50" s="8"/>
      <c r="L50" s="8"/>
      <c r="M50" s="8"/>
      <c r="N50" s="8"/>
      <c r="O50" s="8"/>
      <c r="P50" s="8"/>
      <c r="Q50" s="8"/>
      <c r="R50" s="8"/>
      <c r="S50" s="8"/>
      <c r="T50" s="8"/>
      <c r="U50" s="8"/>
      <c r="V50" s="8"/>
      <c r="W50" s="8"/>
      <c r="X50" s="8"/>
      <c r="Y50" s="8"/>
      <c r="Z50" s="8"/>
    </row>
    <row r="51" ht="14.25" customHeight="1">
      <c r="A51" s="8">
        <v>24421.0</v>
      </c>
      <c r="B51" s="8" t="s">
        <v>24</v>
      </c>
      <c r="C51" s="8" t="s">
        <v>200</v>
      </c>
      <c r="D51" s="8">
        <v>2020.0</v>
      </c>
      <c r="E51" s="8" t="s">
        <v>201</v>
      </c>
      <c r="F51" s="8" t="s">
        <v>202</v>
      </c>
      <c r="G51" s="8">
        <v>21.0</v>
      </c>
      <c r="H51" s="8">
        <v>1.0</v>
      </c>
      <c r="I51" s="8" t="s">
        <v>203</v>
      </c>
      <c r="J51" s="8" t="s">
        <v>29</v>
      </c>
      <c r="K51" s="8"/>
      <c r="L51" s="8"/>
      <c r="M51" s="8"/>
      <c r="N51" s="8"/>
      <c r="O51" s="8"/>
      <c r="P51" s="8"/>
      <c r="Q51" s="8"/>
      <c r="R51" s="8"/>
      <c r="S51" s="8"/>
      <c r="T51" s="8"/>
      <c r="U51" s="8"/>
      <c r="V51" s="8"/>
      <c r="W51" s="8"/>
      <c r="X51" s="8"/>
      <c r="Y51" s="8"/>
      <c r="Z51" s="8"/>
    </row>
    <row r="52" ht="14.25" customHeight="1">
      <c r="A52" s="8">
        <v>23262.0</v>
      </c>
      <c r="B52" s="8" t="s">
        <v>24</v>
      </c>
      <c r="C52" s="8" t="s">
        <v>204</v>
      </c>
      <c r="D52" s="8">
        <v>2020.0</v>
      </c>
      <c r="E52" s="8" t="s">
        <v>205</v>
      </c>
      <c r="F52" s="8" t="s">
        <v>206</v>
      </c>
      <c r="G52" s="8">
        <v>54.0</v>
      </c>
      <c r="H52" s="8">
        <v>2.0</v>
      </c>
      <c r="I52" s="8" t="s">
        <v>207</v>
      </c>
      <c r="J52" s="8" t="s">
        <v>29</v>
      </c>
      <c r="K52" s="8"/>
      <c r="L52" s="8"/>
      <c r="M52" s="8"/>
      <c r="N52" s="8"/>
      <c r="O52" s="8"/>
      <c r="P52" s="8"/>
      <c r="Q52" s="8"/>
      <c r="R52" s="8"/>
      <c r="S52" s="8"/>
      <c r="T52" s="8"/>
      <c r="U52" s="8"/>
      <c r="V52" s="8"/>
      <c r="W52" s="8"/>
      <c r="X52" s="8"/>
      <c r="Y52" s="8"/>
      <c r="Z52" s="8"/>
    </row>
    <row r="53" ht="14.25" customHeight="1">
      <c r="A53" s="8">
        <v>24038.0</v>
      </c>
      <c r="B53" s="8" t="s">
        <v>24</v>
      </c>
      <c r="C53" s="8" t="s">
        <v>208</v>
      </c>
      <c r="D53" s="8">
        <v>2013.0</v>
      </c>
      <c r="E53" s="8" t="s">
        <v>209</v>
      </c>
      <c r="F53" s="8" t="s">
        <v>195</v>
      </c>
      <c r="G53" s="8">
        <v>86.0</v>
      </c>
      <c r="H53" s="8" t="s">
        <v>33</v>
      </c>
      <c r="I53" s="8" t="s">
        <v>210</v>
      </c>
      <c r="J53" s="8" t="s">
        <v>29</v>
      </c>
      <c r="K53" s="8"/>
      <c r="L53" s="8"/>
      <c r="M53" s="8"/>
      <c r="N53" s="8"/>
      <c r="O53" s="8"/>
      <c r="P53" s="8"/>
      <c r="Q53" s="8"/>
      <c r="R53" s="8"/>
      <c r="S53" s="8"/>
      <c r="T53" s="8"/>
      <c r="U53" s="8"/>
      <c r="V53" s="8"/>
      <c r="W53" s="8"/>
      <c r="X53" s="8"/>
      <c r="Y53" s="8"/>
      <c r="Z53" s="8"/>
    </row>
    <row r="54" ht="14.25" customHeight="1">
      <c r="A54" s="8">
        <v>25114.0</v>
      </c>
      <c r="B54" s="8" t="s">
        <v>24</v>
      </c>
      <c r="C54" s="8" t="s">
        <v>211</v>
      </c>
      <c r="D54" s="8">
        <v>2017.0</v>
      </c>
      <c r="E54" s="8" t="s">
        <v>212</v>
      </c>
      <c r="F54" s="8" t="s">
        <v>36</v>
      </c>
      <c r="G54" s="8">
        <v>12.0</v>
      </c>
      <c r="H54" s="8">
        <v>6.0</v>
      </c>
      <c r="I54" s="8" t="s">
        <v>33</v>
      </c>
      <c r="J54" s="8" t="s">
        <v>29</v>
      </c>
      <c r="K54" s="8"/>
      <c r="L54" s="8"/>
      <c r="M54" s="8"/>
      <c r="N54" s="8"/>
      <c r="O54" s="8"/>
      <c r="P54" s="8"/>
      <c r="Q54" s="8"/>
      <c r="R54" s="8"/>
      <c r="S54" s="8"/>
      <c r="T54" s="8"/>
      <c r="U54" s="8"/>
      <c r="V54" s="8"/>
      <c r="W54" s="8"/>
      <c r="X54" s="8"/>
      <c r="Y54" s="8"/>
      <c r="Z54" s="8"/>
    </row>
    <row r="55" ht="14.25" customHeight="1">
      <c r="A55" s="8">
        <v>24404.0</v>
      </c>
      <c r="B55" s="8" t="s">
        <v>24</v>
      </c>
      <c r="C55" s="8" t="s">
        <v>213</v>
      </c>
      <c r="D55" s="8">
        <v>2019.0</v>
      </c>
      <c r="E55" s="8" t="s">
        <v>214</v>
      </c>
      <c r="F55" s="8" t="s">
        <v>215</v>
      </c>
      <c r="G55" s="8">
        <v>6.0</v>
      </c>
      <c r="H55" s="8">
        <v>1.0</v>
      </c>
      <c r="I55" s="11">
        <v>44896.0</v>
      </c>
      <c r="J55" s="8" t="s">
        <v>29</v>
      </c>
      <c r="K55" s="8"/>
      <c r="L55" s="8"/>
      <c r="M55" s="8"/>
      <c r="N55" s="8"/>
      <c r="O55" s="8"/>
      <c r="P55" s="8"/>
      <c r="Q55" s="8"/>
      <c r="R55" s="8"/>
      <c r="S55" s="8"/>
      <c r="T55" s="8"/>
      <c r="U55" s="8"/>
      <c r="V55" s="8"/>
      <c r="W55" s="8"/>
      <c r="X55" s="8"/>
      <c r="Y55" s="8"/>
      <c r="Z55" s="8"/>
    </row>
    <row r="56" ht="14.25" customHeight="1">
      <c r="A56" s="8">
        <v>26044.0</v>
      </c>
      <c r="B56" s="8" t="s">
        <v>24</v>
      </c>
      <c r="C56" s="8" t="s">
        <v>216</v>
      </c>
      <c r="D56" s="8">
        <v>2007.0</v>
      </c>
      <c r="E56" s="8" t="s">
        <v>217</v>
      </c>
      <c r="F56" s="8" t="s">
        <v>36</v>
      </c>
      <c r="G56" s="8">
        <v>2.0</v>
      </c>
      <c r="H56" s="8">
        <v>10.0</v>
      </c>
      <c r="I56" s="8" t="s">
        <v>33</v>
      </c>
      <c r="J56" s="8" t="s">
        <v>29</v>
      </c>
      <c r="K56" s="8"/>
      <c r="L56" s="8"/>
      <c r="M56" s="8"/>
      <c r="N56" s="8"/>
      <c r="O56" s="8"/>
      <c r="P56" s="8"/>
      <c r="Q56" s="8"/>
      <c r="R56" s="8"/>
      <c r="S56" s="8"/>
      <c r="T56" s="8"/>
      <c r="U56" s="8"/>
      <c r="V56" s="8"/>
      <c r="W56" s="8"/>
      <c r="X56" s="8"/>
      <c r="Y56" s="8"/>
      <c r="Z56" s="8"/>
    </row>
    <row r="57" ht="14.25" customHeight="1">
      <c r="A57" s="8">
        <v>26047.0</v>
      </c>
      <c r="B57" s="8" t="s">
        <v>24</v>
      </c>
      <c r="C57" s="8" t="s">
        <v>218</v>
      </c>
      <c r="D57" s="8">
        <v>2007.0</v>
      </c>
      <c r="E57" s="8" t="s">
        <v>219</v>
      </c>
      <c r="F57" s="8" t="s">
        <v>220</v>
      </c>
      <c r="G57" s="8">
        <v>14.0</v>
      </c>
      <c r="H57" s="8">
        <v>3.0</v>
      </c>
      <c r="I57" s="8" t="s">
        <v>221</v>
      </c>
      <c r="J57" s="8" t="s">
        <v>29</v>
      </c>
      <c r="K57" s="8"/>
      <c r="L57" s="8"/>
      <c r="M57" s="8"/>
      <c r="N57" s="8"/>
      <c r="O57" s="8"/>
      <c r="P57" s="8"/>
      <c r="Q57" s="8"/>
      <c r="R57" s="8"/>
      <c r="S57" s="8"/>
      <c r="T57" s="8"/>
      <c r="U57" s="8"/>
      <c r="V57" s="8"/>
      <c r="W57" s="8"/>
      <c r="X57" s="8"/>
      <c r="Y57" s="8"/>
      <c r="Z57" s="8"/>
    </row>
    <row r="58" ht="14.25" customHeight="1">
      <c r="A58" s="8">
        <v>24943.0</v>
      </c>
      <c r="B58" s="8" t="s">
        <v>24</v>
      </c>
      <c r="C58" s="8" t="s">
        <v>222</v>
      </c>
      <c r="D58" s="8">
        <v>2015.0</v>
      </c>
      <c r="E58" s="8" t="s">
        <v>223</v>
      </c>
      <c r="F58" s="8" t="s">
        <v>224</v>
      </c>
      <c r="G58" s="8">
        <v>21.0</v>
      </c>
      <c r="H58" s="8">
        <v>1.0</v>
      </c>
      <c r="I58" s="8" t="s">
        <v>225</v>
      </c>
      <c r="J58" s="8" t="s">
        <v>29</v>
      </c>
      <c r="K58" s="8"/>
      <c r="L58" s="8"/>
      <c r="M58" s="8"/>
      <c r="N58" s="8"/>
      <c r="O58" s="8"/>
      <c r="P58" s="8"/>
      <c r="Q58" s="8"/>
      <c r="R58" s="8"/>
      <c r="S58" s="8"/>
      <c r="T58" s="8"/>
      <c r="U58" s="8"/>
      <c r="V58" s="8"/>
      <c r="W58" s="8"/>
      <c r="X58" s="8"/>
      <c r="Y58" s="8"/>
      <c r="Z58" s="8"/>
    </row>
    <row r="59" ht="14.25" customHeight="1">
      <c r="A59" s="8">
        <v>24110.0</v>
      </c>
      <c r="B59" s="8" t="s">
        <v>24</v>
      </c>
      <c r="C59" s="8" t="s">
        <v>226</v>
      </c>
      <c r="D59" s="8">
        <v>2012.0</v>
      </c>
      <c r="E59" s="8" t="s">
        <v>227</v>
      </c>
      <c r="F59" s="8" t="s">
        <v>228</v>
      </c>
      <c r="G59" s="8">
        <v>8.0</v>
      </c>
      <c r="H59" s="8">
        <v>2.0</v>
      </c>
      <c r="I59" s="8" t="s">
        <v>229</v>
      </c>
      <c r="J59" s="8" t="s">
        <v>29</v>
      </c>
      <c r="K59" s="8"/>
      <c r="L59" s="8"/>
      <c r="M59" s="8"/>
      <c r="N59" s="8"/>
      <c r="O59" s="8"/>
      <c r="P59" s="8"/>
      <c r="Q59" s="8"/>
      <c r="R59" s="8"/>
      <c r="S59" s="8"/>
      <c r="T59" s="8"/>
      <c r="U59" s="8"/>
      <c r="V59" s="8"/>
      <c r="W59" s="8"/>
      <c r="X59" s="8"/>
      <c r="Y59" s="8"/>
      <c r="Z59" s="8"/>
    </row>
    <row r="60" ht="14.25" customHeight="1">
      <c r="A60" s="8">
        <v>23816.0</v>
      </c>
      <c r="B60" s="8" t="s">
        <v>24</v>
      </c>
      <c r="C60" s="8" t="s">
        <v>230</v>
      </c>
      <c r="D60" s="8">
        <v>2014.0</v>
      </c>
      <c r="E60" s="8" t="s">
        <v>231</v>
      </c>
      <c r="F60" s="8" t="s">
        <v>97</v>
      </c>
      <c r="G60" s="8">
        <v>20.0</v>
      </c>
      <c r="H60" s="8">
        <v>11.0</v>
      </c>
      <c r="I60" s="8" t="s">
        <v>232</v>
      </c>
      <c r="J60" s="8" t="s">
        <v>29</v>
      </c>
      <c r="K60" s="8"/>
      <c r="L60" s="8"/>
      <c r="M60" s="8"/>
      <c r="N60" s="8"/>
      <c r="O60" s="8"/>
      <c r="P60" s="8"/>
      <c r="Q60" s="8"/>
      <c r="R60" s="8"/>
      <c r="S60" s="8"/>
      <c r="T60" s="8"/>
      <c r="U60" s="8"/>
      <c r="V60" s="8"/>
      <c r="W60" s="8"/>
      <c r="X60" s="8"/>
      <c r="Y60" s="8"/>
      <c r="Z60" s="8"/>
    </row>
    <row r="61" ht="14.25" customHeight="1">
      <c r="A61" s="8">
        <v>25268.0</v>
      </c>
      <c r="B61" s="8" t="s">
        <v>24</v>
      </c>
      <c r="C61" s="8" t="s">
        <v>233</v>
      </c>
      <c r="D61" s="8">
        <v>2019.0</v>
      </c>
      <c r="E61" s="8" t="s">
        <v>234</v>
      </c>
      <c r="F61" s="8" t="s">
        <v>49</v>
      </c>
      <c r="G61" s="8">
        <v>663.0</v>
      </c>
      <c r="H61" s="8" t="s">
        <v>33</v>
      </c>
      <c r="I61" s="8" t="s">
        <v>235</v>
      </c>
      <c r="J61" s="8" t="s">
        <v>29</v>
      </c>
      <c r="K61" s="8"/>
      <c r="L61" s="8"/>
      <c r="M61" s="8"/>
      <c r="N61" s="8"/>
      <c r="O61" s="8"/>
      <c r="P61" s="8"/>
      <c r="Q61" s="8"/>
      <c r="R61" s="8"/>
      <c r="S61" s="8"/>
      <c r="T61" s="8"/>
      <c r="U61" s="8"/>
      <c r="V61" s="8"/>
      <c r="W61" s="8"/>
      <c r="X61" s="8"/>
      <c r="Y61" s="8"/>
      <c r="Z61" s="8"/>
    </row>
    <row r="62" ht="14.25" customHeight="1">
      <c r="A62" s="8">
        <v>24039.0</v>
      </c>
      <c r="B62" s="8" t="s">
        <v>24</v>
      </c>
      <c r="C62" s="8" t="s">
        <v>236</v>
      </c>
      <c r="D62" s="8">
        <v>2008.0</v>
      </c>
      <c r="E62" s="8" t="s">
        <v>237</v>
      </c>
      <c r="F62" s="8" t="s">
        <v>238</v>
      </c>
      <c r="G62" s="8">
        <v>18.0</v>
      </c>
      <c r="H62" s="8">
        <v>1.0</v>
      </c>
      <c r="I62" s="8" t="s">
        <v>239</v>
      </c>
      <c r="J62" s="8" t="s">
        <v>29</v>
      </c>
      <c r="K62" s="8"/>
      <c r="L62" s="8"/>
      <c r="M62" s="8"/>
      <c r="N62" s="8"/>
      <c r="O62" s="8"/>
      <c r="P62" s="8"/>
      <c r="Q62" s="8"/>
      <c r="R62" s="8"/>
      <c r="S62" s="8"/>
      <c r="T62" s="8"/>
      <c r="U62" s="8"/>
      <c r="V62" s="8"/>
      <c r="W62" s="8"/>
      <c r="X62" s="8"/>
      <c r="Y62" s="8"/>
      <c r="Z62" s="8"/>
    </row>
    <row r="63" ht="14.25" customHeight="1">
      <c r="A63" s="8">
        <v>24553.0</v>
      </c>
      <c r="B63" s="8" t="s">
        <v>24</v>
      </c>
      <c r="C63" s="8" t="s">
        <v>240</v>
      </c>
      <c r="D63" s="8">
        <v>2019.0</v>
      </c>
      <c r="E63" s="8" t="s">
        <v>241</v>
      </c>
      <c r="F63" s="8" t="s">
        <v>242</v>
      </c>
      <c r="G63" s="8">
        <v>21.0</v>
      </c>
      <c r="H63" s="8">
        <v>5.0</v>
      </c>
      <c r="I63" s="8" t="s">
        <v>243</v>
      </c>
      <c r="J63" s="8" t="s">
        <v>29</v>
      </c>
      <c r="K63" s="8"/>
      <c r="L63" s="8"/>
      <c r="M63" s="8"/>
      <c r="N63" s="8"/>
      <c r="O63" s="8"/>
      <c r="P63" s="8"/>
      <c r="Q63" s="8"/>
      <c r="R63" s="8"/>
      <c r="S63" s="8"/>
      <c r="T63" s="8"/>
      <c r="U63" s="8"/>
      <c r="V63" s="8"/>
      <c r="W63" s="8"/>
      <c r="X63" s="8"/>
      <c r="Y63" s="8"/>
      <c r="Z63" s="8"/>
    </row>
    <row r="64" ht="14.25" customHeight="1">
      <c r="A64" s="8">
        <v>24892.0</v>
      </c>
      <c r="B64" s="8" t="s">
        <v>24</v>
      </c>
      <c r="C64" s="8" t="s">
        <v>244</v>
      </c>
      <c r="D64" s="8">
        <v>2017.0</v>
      </c>
      <c r="E64" s="8" t="s">
        <v>245</v>
      </c>
      <c r="F64" s="8" t="s">
        <v>246</v>
      </c>
      <c r="G64" s="8">
        <v>37.0</v>
      </c>
      <c r="H64" s="8">
        <v>3.0</v>
      </c>
      <c r="I64" s="8" t="s">
        <v>247</v>
      </c>
      <c r="J64" s="8" t="s">
        <v>29</v>
      </c>
      <c r="K64" s="8"/>
      <c r="L64" s="8"/>
      <c r="M64" s="8"/>
      <c r="N64" s="8"/>
      <c r="O64" s="8"/>
      <c r="P64" s="8"/>
      <c r="Q64" s="8"/>
      <c r="R64" s="8"/>
      <c r="S64" s="8"/>
      <c r="T64" s="8"/>
      <c r="U64" s="8"/>
      <c r="V64" s="8"/>
      <c r="W64" s="8"/>
      <c r="X64" s="8"/>
      <c r="Y64" s="8"/>
      <c r="Z64" s="8"/>
    </row>
    <row r="65" ht="14.25" customHeight="1">
      <c r="A65" s="8">
        <v>23700.0</v>
      </c>
      <c r="B65" s="8" t="s">
        <v>24</v>
      </c>
      <c r="C65" s="8" t="s">
        <v>248</v>
      </c>
      <c r="D65" s="8">
        <v>2019.0</v>
      </c>
      <c r="E65" s="8" t="s">
        <v>249</v>
      </c>
      <c r="F65" s="8" t="s">
        <v>250</v>
      </c>
      <c r="G65" s="8">
        <v>24.0</v>
      </c>
      <c r="H65" s="8">
        <v>2.0</v>
      </c>
      <c r="I65" s="8" t="s">
        <v>251</v>
      </c>
      <c r="J65" s="8" t="s">
        <v>29</v>
      </c>
      <c r="K65" s="8"/>
      <c r="L65" s="8"/>
      <c r="M65" s="8"/>
      <c r="N65" s="8"/>
      <c r="O65" s="8"/>
      <c r="P65" s="8"/>
      <c r="Q65" s="8"/>
      <c r="R65" s="8"/>
      <c r="S65" s="8"/>
      <c r="T65" s="8"/>
      <c r="U65" s="8"/>
      <c r="V65" s="8"/>
      <c r="W65" s="8"/>
      <c r="X65" s="8"/>
      <c r="Y65" s="8"/>
      <c r="Z65" s="8"/>
    </row>
    <row r="66" ht="14.25" customHeight="1">
      <c r="A66" s="8">
        <v>25515.0</v>
      </c>
      <c r="B66" s="8" t="s">
        <v>24</v>
      </c>
      <c r="C66" s="8" t="s">
        <v>252</v>
      </c>
      <c r="D66" s="8">
        <v>2016.0</v>
      </c>
      <c r="E66" s="8" t="s">
        <v>253</v>
      </c>
      <c r="F66" s="8" t="s">
        <v>254</v>
      </c>
      <c r="G66" s="8">
        <v>106.0</v>
      </c>
      <c r="H66" s="8">
        <v>1.0</v>
      </c>
      <c r="I66" s="10">
        <v>43344.0</v>
      </c>
      <c r="J66" s="8" t="s">
        <v>29</v>
      </c>
      <c r="K66" s="8"/>
      <c r="L66" s="8"/>
      <c r="M66" s="8"/>
      <c r="N66" s="8"/>
      <c r="O66" s="8"/>
      <c r="P66" s="8"/>
      <c r="Q66" s="8"/>
      <c r="R66" s="8"/>
      <c r="S66" s="8"/>
      <c r="T66" s="8"/>
      <c r="U66" s="8"/>
      <c r="V66" s="8"/>
      <c r="W66" s="8"/>
      <c r="X66" s="8"/>
      <c r="Y66" s="8"/>
      <c r="Z66" s="8"/>
    </row>
    <row r="67" ht="14.25" customHeight="1">
      <c r="A67" s="8">
        <v>24776.0</v>
      </c>
      <c r="B67" s="8" t="s">
        <v>24</v>
      </c>
      <c r="C67" s="8" t="s">
        <v>143</v>
      </c>
      <c r="D67" s="8">
        <v>2018.0</v>
      </c>
      <c r="E67" s="8" t="s">
        <v>255</v>
      </c>
      <c r="F67" s="8" t="s">
        <v>256</v>
      </c>
      <c r="G67" s="8">
        <v>163.0</v>
      </c>
      <c r="H67" s="8" t="s">
        <v>33</v>
      </c>
      <c r="I67" s="8" t="s">
        <v>257</v>
      </c>
      <c r="J67" s="8" t="s">
        <v>29</v>
      </c>
      <c r="K67" s="8"/>
      <c r="L67" s="8"/>
      <c r="M67" s="8"/>
      <c r="N67" s="8"/>
      <c r="O67" s="8"/>
      <c r="P67" s="8"/>
      <c r="Q67" s="8"/>
      <c r="R67" s="8"/>
      <c r="S67" s="8"/>
      <c r="T67" s="8"/>
      <c r="U67" s="8"/>
      <c r="V67" s="8"/>
      <c r="W67" s="8"/>
      <c r="X67" s="8"/>
      <c r="Y67" s="8"/>
      <c r="Z67" s="8"/>
    </row>
    <row r="68" ht="14.25" customHeight="1">
      <c r="A68" s="8">
        <v>25697.0</v>
      </c>
      <c r="B68" s="8" t="s">
        <v>24</v>
      </c>
      <c r="C68" s="8" t="s">
        <v>258</v>
      </c>
      <c r="D68" s="8">
        <v>2018.0</v>
      </c>
      <c r="E68" s="8" t="s">
        <v>259</v>
      </c>
      <c r="F68" s="8" t="s">
        <v>260</v>
      </c>
      <c r="G68" s="8">
        <v>9.0</v>
      </c>
      <c r="H68" s="8">
        <v>1.0</v>
      </c>
      <c r="I68" s="8" t="s">
        <v>33</v>
      </c>
      <c r="J68" s="8" t="s">
        <v>29</v>
      </c>
      <c r="K68" s="8"/>
      <c r="L68" s="8"/>
      <c r="M68" s="8"/>
      <c r="N68" s="8"/>
      <c r="O68" s="8"/>
      <c r="P68" s="8"/>
      <c r="Q68" s="8"/>
      <c r="R68" s="8"/>
      <c r="S68" s="8"/>
      <c r="T68" s="8"/>
      <c r="U68" s="8"/>
      <c r="V68" s="8"/>
      <c r="W68" s="8"/>
      <c r="X68" s="8"/>
      <c r="Y68" s="8"/>
      <c r="Z68" s="8"/>
    </row>
    <row r="69" ht="14.25" customHeight="1">
      <c r="A69" s="8">
        <v>24197.0</v>
      </c>
      <c r="B69" s="8" t="s">
        <v>24</v>
      </c>
      <c r="C69" s="8" t="s">
        <v>261</v>
      </c>
      <c r="D69" s="8">
        <v>2012.0</v>
      </c>
      <c r="E69" s="8" t="s">
        <v>262</v>
      </c>
      <c r="F69" s="8" t="s">
        <v>263</v>
      </c>
      <c r="G69" s="8">
        <v>7.0</v>
      </c>
      <c r="H69" s="8">
        <v>4.0</v>
      </c>
      <c r="I69" s="8" t="s">
        <v>264</v>
      </c>
      <c r="J69" s="8" t="s">
        <v>29</v>
      </c>
      <c r="K69" s="8"/>
      <c r="L69" s="8"/>
      <c r="M69" s="8"/>
      <c r="N69" s="8"/>
      <c r="O69" s="8"/>
      <c r="P69" s="8"/>
      <c r="Q69" s="8"/>
      <c r="R69" s="8"/>
      <c r="S69" s="8"/>
      <c r="T69" s="8"/>
      <c r="U69" s="8"/>
      <c r="V69" s="8"/>
      <c r="W69" s="8"/>
      <c r="X69" s="8"/>
      <c r="Y69" s="8"/>
      <c r="Z69" s="8"/>
    </row>
    <row r="70" ht="14.25" customHeight="1">
      <c r="A70" s="8">
        <v>24016.0</v>
      </c>
      <c r="B70" s="8" t="s">
        <v>41</v>
      </c>
      <c r="C70" s="8" t="s">
        <v>265</v>
      </c>
      <c r="D70" s="8">
        <v>2002.0</v>
      </c>
      <c r="E70" s="8" t="s">
        <v>266</v>
      </c>
      <c r="F70" s="8" t="s">
        <v>33</v>
      </c>
      <c r="G70" s="8" t="s">
        <v>33</v>
      </c>
      <c r="H70" s="8" t="s">
        <v>33</v>
      </c>
      <c r="I70" s="8" t="s">
        <v>33</v>
      </c>
      <c r="J70" s="8" t="s">
        <v>29</v>
      </c>
      <c r="K70" s="8"/>
      <c r="L70" s="8"/>
      <c r="M70" s="8"/>
      <c r="N70" s="8"/>
      <c r="O70" s="8"/>
      <c r="P70" s="8"/>
      <c r="Q70" s="8"/>
      <c r="R70" s="8"/>
      <c r="S70" s="8"/>
      <c r="T70" s="8"/>
      <c r="U70" s="8"/>
      <c r="V70" s="8"/>
      <c r="W70" s="8"/>
      <c r="X70" s="8"/>
      <c r="Y70" s="8"/>
      <c r="Z70" s="8"/>
    </row>
    <row r="71" ht="14.25" customHeight="1">
      <c r="A71" s="8">
        <v>25188.0</v>
      </c>
      <c r="B71" s="8" t="s">
        <v>24</v>
      </c>
      <c r="C71" s="8" t="s">
        <v>267</v>
      </c>
      <c r="D71" s="8">
        <v>2015.0</v>
      </c>
      <c r="E71" s="8" t="s">
        <v>268</v>
      </c>
      <c r="F71" s="8" t="s">
        <v>46</v>
      </c>
      <c r="G71" s="8">
        <v>49.0</v>
      </c>
      <c r="H71" s="8">
        <v>4.0</v>
      </c>
      <c r="I71" s="8" t="s">
        <v>269</v>
      </c>
      <c r="J71" s="8" t="s">
        <v>29</v>
      </c>
      <c r="K71" s="8"/>
      <c r="L71" s="8"/>
      <c r="M71" s="8"/>
      <c r="N71" s="8"/>
      <c r="O71" s="8"/>
      <c r="P71" s="8"/>
      <c r="Q71" s="8"/>
      <c r="R71" s="8"/>
      <c r="S71" s="8"/>
      <c r="T71" s="8"/>
      <c r="U71" s="8"/>
      <c r="V71" s="8"/>
      <c r="W71" s="8"/>
      <c r="X71" s="8"/>
      <c r="Y71" s="8"/>
      <c r="Z71" s="8"/>
    </row>
    <row r="72" ht="14.25" customHeight="1">
      <c r="A72" s="8">
        <v>24720.0</v>
      </c>
      <c r="B72" s="8" t="s">
        <v>24</v>
      </c>
      <c r="C72" s="8" t="s">
        <v>270</v>
      </c>
      <c r="D72" s="8">
        <v>2012.0</v>
      </c>
      <c r="E72" s="8" t="s">
        <v>271</v>
      </c>
      <c r="F72" s="8" t="s">
        <v>56</v>
      </c>
      <c r="G72" s="8">
        <v>49.0</v>
      </c>
      <c r="H72" s="8">
        <v>2.0</v>
      </c>
      <c r="I72" s="8" t="s">
        <v>272</v>
      </c>
      <c r="J72" s="8" t="s">
        <v>29</v>
      </c>
      <c r="K72" s="8"/>
      <c r="L72" s="8"/>
      <c r="M72" s="8"/>
      <c r="N72" s="8"/>
      <c r="O72" s="8"/>
      <c r="P72" s="8"/>
      <c r="Q72" s="8"/>
      <c r="R72" s="8"/>
      <c r="S72" s="8"/>
      <c r="T72" s="8"/>
      <c r="U72" s="8"/>
      <c r="V72" s="8"/>
      <c r="W72" s="8"/>
      <c r="X72" s="8"/>
      <c r="Y72" s="8"/>
      <c r="Z72" s="8"/>
    </row>
    <row r="73" ht="14.25" customHeight="1">
      <c r="A73" s="8">
        <v>25068.0</v>
      </c>
      <c r="B73" s="8" t="s">
        <v>24</v>
      </c>
      <c r="C73" s="8" t="s">
        <v>273</v>
      </c>
      <c r="D73" s="8">
        <v>2009.0</v>
      </c>
      <c r="E73" s="8" t="s">
        <v>274</v>
      </c>
      <c r="F73" s="8" t="s">
        <v>64</v>
      </c>
      <c r="G73" s="8">
        <v>142.0</v>
      </c>
      <c r="H73" s="8">
        <v>8.0</v>
      </c>
      <c r="I73" s="8" t="s">
        <v>275</v>
      </c>
      <c r="J73" s="8" t="s">
        <v>29</v>
      </c>
      <c r="K73" s="8"/>
      <c r="L73" s="8"/>
      <c r="M73" s="8"/>
      <c r="N73" s="8"/>
      <c r="O73" s="8"/>
      <c r="P73" s="8"/>
      <c r="Q73" s="8"/>
      <c r="R73" s="8"/>
      <c r="S73" s="8"/>
      <c r="T73" s="8"/>
      <c r="U73" s="8"/>
      <c r="V73" s="8"/>
      <c r="W73" s="8"/>
      <c r="X73" s="8"/>
      <c r="Y73" s="8"/>
      <c r="Z73" s="8"/>
    </row>
    <row r="74" ht="14.25" customHeight="1">
      <c r="A74" s="8">
        <v>24585.0</v>
      </c>
      <c r="B74" s="8" t="s">
        <v>24</v>
      </c>
      <c r="C74" s="8" t="s">
        <v>276</v>
      </c>
      <c r="D74" s="8">
        <v>2012.0</v>
      </c>
      <c r="E74" s="8" t="s">
        <v>277</v>
      </c>
      <c r="F74" s="8" t="s">
        <v>278</v>
      </c>
      <c r="G74" s="8">
        <v>12.0</v>
      </c>
      <c r="H74" s="8">
        <v>7.0</v>
      </c>
      <c r="I74" s="8" t="s">
        <v>279</v>
      </c>
      <c r="J74" s="8" t="s">
        <v>29</v>
      </c>
      <c r="K74" s="8"/>
      <c r="L74" s="8"/>
      <c r="M74" s="8"/>
      <c r="N74" s="8"/>
      <c r="O74" s="8"/>
      <c r="P74" s="8"/>
      <c r="Q74" s="8"/>
      <c r="R74" s="8"/>
      <c r="S74" s="8"/>
      <c r="T74" s="8"/>
      <c r="U74" s="8"/>
      <c r="V74" s="8"/>
      <c r="W74" s="8"/>
      <c r="X74" s="8"/>
      <c r="Y74" s="8"/>
      <c r="Z74" s="8"/>
    </row>
    <row r="75" ht="14.25" customHeight="1">
      <c r="A75" s="8">
        <v>25488.0</v>
      </c>
      <c r="B75" s="8" t="s">
        <v>24</v>
      </c>
      <c r="C75" s="8" t="s">
        <v>280</v>
      </c>
      <c r="D75" s="8">
        <v>2019.0</v>
      </c>
      <c r="E75" s="8" t="s">
        <v>281</v>
      </c>
      <c r="F75" s="8" t="s">
        <v>117</v>
      </c>
      <c r="G75" s="8">
        <v>363.0</v>
      </c>
      <c r="H75" s="8">
        <v>6434.0</v>
      </c>
      <c r="I75" s="8" t="s">
        <v>282</v>
      </c>
      <c r="J75" s="8" t="s">
        <v>29</v>
      </c>
      <c r="K75" s="8"/>
      <c r="L75" s="8"/>
      <c r="M75" s="8"/>
      <c r="N75" s="8"/>
      <c r="O75" s="8"/>
      <c r="P75" s="8"/>
      <c r="Q75" s="8"/>
      <c r="R75" s="8"/>
      <c r="S75" s="8"/>
      <c r="T75" s="8"/>
      <c r="U75" s="8"/>
      <c r="V75" s="8"/>
      <c r="W75" s="8"/>
      <c r="X75" s="8"/>
      <c r="Y75" s="8"/>
      <c r="Z75" s="8"/>
    </row>
    <row r="76" ht="14.25" customHeight="1">
      <c r="A76" s="8">
        <v>25654.0</v>
      </c>
      <c r="B76" s="8" t="s">
        <v>24</v>
      </c>
      <c r="C76" s="8" t="s">
        <v>283</v>
      </c>
      <c r="D76" s="8">
        <v>2020.0</v>
      </c>
      <c r="E76" s="8" t="s">
        <v>284</v>
      </c>
      <c r="F76" s="8" t="s">
        <v>60</v>
      </c>
      <c r="G76" s="8" t="s">
        <v>33</v>
      </c>
      <c r="H76" s="8" t="s">
        <v>33</v>
      </c>
      <c r="I76" s="8" t="s">
        <v>33</v>
      </c>
      <c r="J76" s="8" t="s">
        <v>29</v>
      </c>
      <c r="K76" s="8"/>
      <c r="L76" s="8"/>
      <c r="M76" s="8"/>
      <c r="N76" s="8"/>
      <c r="O76" s="8"/>
      <c r="P76" s="8"/>
      <c r="Q76" s="8"/>
      <c r="R76" s="8"/>
      <c r="S76" s="8"/>
      <c r="T76" s="8"/>
      <c r="U76" s="8"/>
      <c r="V76" s="8"/>
      <c r="W76" s="8"/>
      <c r="X76" s="8"/>
      <c r="Y76" s="8"/>
      <c r="Z76" s="8"/>
    </row>
    <row r="77" ht="14.25" customHeight="1">
      <c r="A77" s="8">
        <v>23699.0</v>
      </c>
      <c r="B77" s="8" t="s">
        <v>24</v>
      </c>
      <c r="C77" s="8" t="s">
        <v>248</v>
      </c>
      <c r="D77" s="8">
        <v>2014.0</v>
      </c>
      <c r="E77" s="8" t="s">
        <v>285</v>
      </c>
      <c r="F77" s="8" t="s">
        <v>286</v>
      </c>
      <c r="G77" s="8">
        <v>186.0</v>
      </c>
      <c r="H77" s="8">
        <v>4.0</v>
      </c>
      <c r="I77" s="8" t="s">
        <v>287</v>
      </c>
      <c r="J77" s="8" t="s">
        <v>29</v>
      </c>
      <c r="K77" s="8"/>
      <c r="L77" s="8"/>
      <c r="M77" s="8"/>
      <c r="N77" s="8"/>
      <c r="O77" s="8"/>
      <c r="P77" s="8"/>
      <c r="Q77" s="8"/>
      <c r="R77" s="8"/>
      <c r="S77" s="8"/>
      <c r="T77" s="8"/>
      <c r="U77" s="8"/>
      <c r="V77" s="8"/>
      <c r="W77" s="8"/>
      <c r="X77" s="8"/>
      <c r="Y77" s="8"/>
      <c r="Z77" s="8"/>
    </row>
    <row r="78" ht="14.25" customHeight="1">
      <c r="A78" s="8">
        <v>23824.0</v>
      </c>
      <c r="B78" s="8" t="s">
        <v>24</v>
      </c>
      <c r="C78" s="8" t="s">
        <v>288</v>
      </c>
      <c r="D78" s="8">
        <v>2005.0</v>
      </c>
      <c r="E78" s="8" t="s">
        <v>289</v>
      </c>
      <c r="F78" s="8" t="s">
        <v>256</v>
      </c>
      <c r="G78" s="8">
        <v>48.0</v>
      </c>
      <c r="H78" s="8">
        <v>1.0</v>
      </c>
      <c r="I78" s="8" t="s">
        <v>290</v>
      </c>
      <c r="J78" s="8" t="s">
        <v>29</v>
      </c>
      <c r="K78" s="8"/>
      <c r="L78" s="8"/>
      <c r="M78" s="8"/>
      <c r="N78" s="8"/>
      <c r="O78" s="8"/>
      <c r="P78" s="8"/>
      <c r="Q78" s="8"/>
      <c r="R78" s="8"/>
      <c r="S78" s="8"/>
      <c r="T78" s="8"/>
      <c r="U78" s="8"/>
      <c r="V78" s="8"/>
      <c r="W78" s="8"/>
      <c r="X78" s="8"/>
      <c r="Y78" s="8"/>
      <c r="Z78" s="8"/>
    </row>
    <row r="79" ht="14.25" customHeight="1">
      <c r="A79" s="8">
        <v>23656.0</v>
      </c>
      <c r="B79" s="8" t="s">
        <v>24</v>
      </c>
      <c r="C79" s="8" t="s">
        <v>291</v>
      </c>
      <c r="D79" s="8">
        <v>2019.0</v>
      </c>
      <c r="E79" s="8" t="s">
        <v>292</v>
      </c>
      <c r="F79" s="8" t="s">
        <v>36</v>
      </c>
      <c r="G79" s="8">
        <v>14.0</v>
      </c>
      <c r="H79" s="8">
        <v>1.0</v>
      </c>
      <c r="I79" s="8" t="s">
        <v>33</v>
      </c>
      <c r="J79" s="8" t="s">
        <v>29</v>
      </c>
      <c r="K79" s="8"/>
      <c r="L79" s="8"/>
      <c r="M79" s="8"/>
      <c r="N79" s="8"/>
      <c r="O79" s="8"/>
      <c r="P79" s="8"/>
      <c r="Q79" s="8"/>
      <c r="R79" s="8"/>
      <c r="S79" s="8"/>
      <c r="T79" s="8"/>
      <c r="U79" s="8"/>
      <c r="V79" s="8"/>
      <c r="W79" s="8"/>
      <c r="X79" s="8"/>
      <c r="Y79" s="8"/>
      <c r="Z79" s="8"/>
    </row>
    <row r="80" ht="14.25" customHeight="1">
      <c r="A80" s="8">
        <v>26050.0</v>
      </c>
      <c r="B80" s="8" t="s">
        <v>24</v>
      </c>
      <c r="C80" s="8" t="s">
        <v>293</v>
      </c>
      <c r="D80" s="8">
        <v>2018.0</v>
      </c>
      <c r="E80" s="8" t="s">
        <v>294</v>
      </c>
      <c r="F80" s="8" t="s">
        <v>295</v>
      </c>
      <c r="G80" s="8">
        <v>77.0</v>
      </c>
      <c r="H80" s="8">
        <v>5.0</v>
      </c>
      <c r="I80" s="8" t="s">
        <v>33</v>
      </c>
      <c r="J80" s="8" t="s">
        <v>29</v>
      </c>
      <c r="K80" s="8"/>
      <c r="L80" s="8"/>
      <c r="M80" s="8"/>
      <c r="N80" s="8"/>
      <c r="O80" s="8"/>
      <c r="P80" s="8"/>
      <c r="Q80" s="8"/>
      <c r="R80" s="8"/>
      <c r="S80" s="8"/>
      <c r="T80" s="8"/>
      <c r="U80" s="8"/>
      <c r="V80" s="8"/>
      <c r="W80" s="8"/>
      <c r="X80" s="8"/>
      <c r="Y80" s="8"/>
      <c r="Z80" s="8"/>
    </row>
    <row r="81" ht="14.25" customHeight="1">
      <c r="A81" s="8">
        <v>23155.0</v>
      </c>
      <c r="B81" s="8" t="s">
        <v>24</v>
      </c>
      <c r="C81" s="8" t="s">
        <v>296</v>
      </c>
      <c r="D81" s="8">
        <v>2013.0</v>
      </c>
      <c r="E81" s="8" t="s">
        <v>297</v>
      </c>
      <c r="F81" s="8" t="s">
        <v>298</v>
      </c>
      <c r="G81" s="8">
        <v>32.0</v>
      </c>
      <c r="H81" s="8" t="s">
        <v>33</v>
      </c>
      <c r="I81" s="8" t="s">
        <v>299</v>
      </c>
      <c r="J81" s="8" t="s">
        <v>29</v>
      </c>
      <c r="K81" s="8"/>
      <c r="L81" s="8"/>
      <c r="M81" s="8"/>
      <c r="N81" s="8"/>
      <c r="O81" s="8"/>
      <c r="P81" s="8"/>
      <c r="Q81" s="8"/>
      <c r="R81" s="8"/>
      <c r="S81" s="8"/>
      <c r="T81" s="8"/>
      <c r="U81" s="8"/>
      <c r="V81" s="8"/>
      <c r="W81" s="8"/>
      <c r="X81" s="8"/>
      <c r="Y81" s="8"/>
      <c r="Z81" s="8"/>
    </row>
    <row r="82" ht="14.25" customHeight="1">
      <c r="A82" s="8">
        <v>23560.0</v>
      </c>
      <c r="B82" s="8" t="s">
        <v>24</v>
      </c>
      <c r="C82" s="8" t="s">
        <v>300</v>
      </c>
      <c r="D82" s="8">
        <v>2010.0</v>
      </c>
      <c r="E82" s="8" t="s">
        <v>301</v>
      </c>
      <c r="F82" s="8" t="s">
        <v>302</v>
      </c>
      <c r="G82" s="8">
        <v>31.0</v>
      </c>
      <c r="H82" s="8" t="s">
        <v>303</v>
      </c>
      <c r="I82" s="8" t="s">
        <v>304</v>
      </c>
      <c r="J82" s="8" t="s">
        <v>29</v>
      </c>
      <c r="K82" s="8"/>
      <c r="L82" s="8"/>
      <c r="M82" s="8"/>
      <c r="N82" s="8"/>
      <c r="O82" s="8"/>
      <c r="P82" s="8"/>
      <c r="Q82" s="8"/>
      <c r="R82" s="8"/>
      <c r="S82" s="8"/>
      <c r="T82" s="8"/>
      <c r="U82" s="8"/>
      <c r="V82" s="8"/>
      <c r="W82" s="8"/>
      <c r="X82" s="8"/>
      <c r="Y82" s="8"/>
      <c r="Z82" s="8"/>
    </row>
    <row r="83" ht="14.25" customHeight="1">
      <c r="A83" s="8">
        <v>25309.0</v>
      </c>
      <c r="B83" s="8" t="s">
        <v>24</v>
      </c>
      <c r="C83" s="8" t="s">
        <v>305</v>
      </c>
      <c r="D83" s="8">
        <v>2018.0</v>
      </c>
      <c r="E83" s="8" t="s">
        <v>306</v>
      </c>
      <c r="F83" s="8" t="s">
        <v>307</v>
      </c>
      <c r="G83" s="8">
        <v>18.0</v>
      </c>
      <c r="H83" s="8">
        <v>1.0</v>
      </c>
      <c r="I83" s="8" t="s">
        <v>308</v>
      </c>
      <c r="J83" s="8" t="s">
        <v>29</v>
      </c>
      <c r="K83" s="8"/>
      <c r="L83" s="8"/>
      <c r="M83" s="8"/>
      <c r="N83" s="8"/>
      <c r="O83" s="8"/>
      <c r="P83" s="8"/>
      <c r="Q83" s="8"/>
      <c r="R83" s="8"/>
      <c r="S83" s="8"/>
      <c r="T83" s="8"/>
      <c r="U83" s="8"/>
      <c r="V83" s="8"/>
      <c r="W83" s="8"/>
      <c r="X83" s="8"/>
      <c r="Y83" s="8"/>
      <c r="Z83" s="8"/>
    </row>
    <row r="84" ht="14.25" customHeight="1">
      <c r="A84" s="8">
        <v>25400.0</v>
      </c>
      <c r="B84" s="8" t="s">
        <v>24</v>
      </c>
      <c r="C84" s="8" t="s">
        <v>309</v>
      </c>
      <c r="D84" s="8">
        <v>2017.0</v>
      </c>
      <c r="E84" s="8" t="s">
        <v>310</v>
      </c>
      <c r="F84" s="8" t="s">
        <v>311</v>
      </c>
      <c r="G84" s="8">
        <v>74.0</v>
      </c>
      <c r="H84" s="8">
        <v>1.0</v>
      </c>
      <c r="I84" s="8">
        <v>10.0</v>
      </c>
      <c r="J84" s="8" t="s">
        <v>29</v>
      </c>
      <c r="K84" s="8"/>
      <c r="L84" s="8"/>
      <c r="M84" s="8"/>
      <c r="N84" s="8"/>
      <c r="O84" s="8"/>
      <c r="P84" s="8"/>
      <c r="Q84" s="8"/>
      <c r="R84" s="8"/>
      <c r="S84" s="8"/>
      <c r="T84" s="8"/>
      <c r="U84" s="8"/>
      <c r="V84" s="8"/>
      <c r="W84" s="8"/>
      <c r="X84" s="8"/>
      <c r="Y84" s="8"/>
      <c r="Z84" s="8"/>
    </row>
    <row r="85" ht="14.25" customHeight="1">
      <c r="A85" s="8">
        <v>23188.0</v>
      </c>
      <c r="B85" s="8" t="s">
        <v>24</v>
      </c>
      <c r="C85" s="8" t="s">
        <v>312</v>
      </c>
      <c r="D85" s="8">
        <v>2012.0</v>
      </c>
      <c r="E85" s="8" t="s">
        <v>313</v>
      </c>
      <c r="F85" s="8" t="s">
        <v>314</v>
      </c>
      <c r="G85" s="8">
        <v>18.0</v>
      </c>
      <c r="H85" s="8">
        <v>3.0</v>
      </c>
      <c r="I85" s="8" t="s">
        <v>315</v>
      </c>
      <c r="J85" s="8" t="s">
        <v>29</v>
      </c>
      <c r="K85" s="8"/>
      <c r="L85" s="8"/>
      <c r="M85" s="8"/>
      <c r="N85" s="8"/>
      <c r="O85" s="8"/>
      <c r="P85" s="8"/>
      <c r="Q85" s="8"/>
      <c r="R85" s="8"/>
      <c r="S85" s="8"/>
      <c r="T85" s="8"/>
      <c r="U85" s="8"/>
      <c r="V85" s="8"/>
      <c r="W85" s="8"/>
      <c r="X85" s="8"/>
      <c r="Y85" s="8"/>
      <c r="Z85" s="8"/>
    </row>
    <row r="86" ht="14.25" customHeight="1">
      <c r="A86" s="8" t="s">
        <v>316</v>
      </c>
      <c r="B86" s="8" t="s">
        <v>41</v>
      </c>
      <c r="C86" s="8" t="s">
        <v>317</v>
      </c>
      <c r="D86" s="8">
        <v>2016.0</v>
      </c>
      <c r="E86" s="8" t="s">
        <v>318</v>
      </c>
      <c r="F86" s="8" t="s">
        <v>319</v>
      </c>
      <c r="G86" s="8" t="s">
        <v>33</v>
      </c>
      <c r="H86" s="8" t="s">
        <v>33</v>
      </c>
      <c r="I86" s="8" t="s">
        <v>33</v>
      </c>
      <c r="J86" s="8" t="s">
        <v>320</v>
      </c>
      <c r="K86" s="8"/>
      <c r="L86" s="8"/>
      <c r="M86" s="8"/>
      <c r="N86" s="8"/>
      <c r="O86" s="8"/>
      <c r="P86" s="8"/>
      <c r="Q86" s="8"/>
      <c r="R86" s="8"/>
      <c r="S86" s="8"/>
      <c r="T86" s="8"/>
      <c r="U86" s="8"/>
      <c r="V86" s="8"/>
      <c r="W86" s="8"/>
      <c r="X86" s="8"/>
      <c r="Y86" s="8"/>
      <c r="Z86" s="8"/>
    </row>
    <row r="87" ht="14.25" customHeight="1">
      <c r="A87" s="8">
        <v>23867.0</v>
      </c>
      <c r="B87" s="8" t="s">
        <v>321</v>
      </c>
      <c r="C87" s="8" t="s">
        <v>322</v>
      </c>
      <c r="D87" s="8">
        <v>2020.0</v>
      </c>
      <c r="E87" s="8" t="s">
        <v>323</v>
      </c>
      <c r="F87" s="8" t="s">
        <v>33</v>
      </c>
      <c r="G87" s="8" t="s">
        <v>33</v>
      </c>
      <c r="H87" s="8" t="s">
        <v>33</v>
      </c>
      <c r="I87" s="8">
        <v>448.0</v>
      </c>
      <c r="J87" s="8" t="s">
        <v>29</v>
      </c>
      <c r="K87" s="8"/>
      <c r="L87" s="8"/>
      <c r="M87" s="8"/>
      <c r="N87" s="8"/>
      <c r="O87" s="8"/>
      <c r="P87" s="8"/>
      <c r="Q87" s="8"/>
      <c r="R87" s="8"/>
      <c r="S87" s="8"/>
      <c r="T87" s="8"/>
      <c r="U87" s="8"/>
      <c r="V87" s="8"/>
      <c r="W87" s="8"/>
      <c r="X87" s="8"/>
      <c r="Y87" s="8"/>
      <c r="Z87" s="8"/>
    </row>
    <row r="88" ht="14.25" customHeight="1">
      <c r="A88" s="8">
        <v>25283.0</v>
      </c>
      <c r="B88" s="8" t="s">
        <v>24</v>
      </c>
      <c r="C88" s="8" t="s">
        <v>324</v>
      </c>
      <c r="D88" s="8">
        <v>2012.0</v>
      </c>
      <c r="E88" s="8" t="s">
        <v>325</v>
      </c>
      <c r="F88" s="8" t="s">
        <v>74</v>
      </c>
      <c r="G88" s="8">
        <v>20.0</v>
      </c>
      <c r="H88" s="8">
        <v>6.0</v>
      </c>
      <c r="I88" s="8" t="s">
        <v>326</v>
      </c>
      <c r="J88" s="8" t="s">
        <v>29</v>
      </c>
      <c r="K88" s="8"/>
      <c r="L88" s="8"/>
      <c r="M88" s="8"/>
      <c r="N88" s="8"/>
      <c r="O88" s="8"/>
      <c r="P88" s="8"/>
      <c r="Q88" s="8"/>
      <c r="R88" s="8"/>
      <c r="S88" s="8"/>
      <c r="T88" s="8"/>
      <c r="U88" s="8"/>
      <c r="V88" s="8"/>
      <c r="W88" s="8"/>
      <c r="X88" s="8"/>
      <c r="Y88" s="8"/>
      <c r="Z88" s="8"/>
    </row>
    <row r="89" ht="14.25" customHeight="1">
      <c r="A89" s="8">
        <v>23518.0</v>
      </c>
      <c r="B89" s="8" t="s">
        <v>24</v>
      </c>
      <c r="C89" s="8" t="s">
        <v>327</v>
      </c>
      <c r="D89" s="8">
        <v>2015.0</v>
      </c>
      <c r="E89" s="8" t="s">
        <v>328</v>
      </c>
      <c r="F89" s="8" t="s">
        <v>64</v>
      </c>
      <c r="G89" s="8">
        <v>192.0</v>
      </c>
      <c r="H89" s="8" t="s">
        <v>33</v>
      </c>
      <c r="I89" s="8" t="s">
        <v>329</v>
      </c>
      <c r="J89" s="8" t="s">
        <v>29</v>
      </c>
      <c r="K89" s="8"/>
      <c r="L89" s="8"/>
      <c r="M89" s="8"/>
      <c r="N89" s="8"/>
      <c r="O89" s="8"/>
      <c r="P89" s="8"/>
      <c r="Q89" s="8"/>
      <c r="R89" s="8"/>
      <c r="S89" s="8"/>
      <c r="T89" s="8"/>
      <c r="U89" s="8"/>
      <c r="V89" s="8"/>
      <c r="W89" s="8"/>
      <c r="X89" s="8"/>
      <c r="Y89" s="8"/>
      <c r="Z89" s="8"/>
    </row>
    <row r="90" ht="14.25" customHeight="1">
      <c r="A90" s="8">
        <v>23454.0</v>
      </c>
      <c r="B90" s="8" t="s">
        <v>24</v>
      </c>
      <c r="C90" s="8" t="s">
        <v>330</v>
      </c>
      <c r="D90" s="8">
        <v>2018.0</v>
      </c>
      <c r="E90" s="8" t="s">
        <v>331</v>
      </c>
      <c r="F90" s="8" t="s">
        <v>332</v>
      </c>
      <c r="G90" s="8">
        <v>2018.0</v>
      </c>
      <c r="H90" s="8">
        <v>24.0</v>
      </c>
      <c r="I90" s="8" t="s">
        <v>333</v>
      </c>
      <c r="J90" s="8" t="s">
        <v>29</v>
      </c>
      <c r="K90" s="8"/>
      <c r="L90" s="8"/>
      <c r="M90" s="8"/>
      <c r="N90" s="8"/>
      <c r="O90" s="8"/>
      <c r="P90" s="8"/>
      <c r="Q90" s="8"/>
      <c r="R90" s="8"/>
      <c r="S90" s="8"/>
      <c r="T90" s="8"/>
      <c r="U90" s="8"/>
      <c r="V90" s="8"/>
      <c r="W90" s="8"/>
      <c r="X90" s="8"/>
      <c r="Y90" s="8"/>
      <c r="Z90" s="8"/>
    </row>
    <row r="91" ht="14.25" customHeight="1">
      <c r="A91" s="8">
        <v>26080.0</v>
      </c>
      <c r="B91" s="8" t="s">
        <v>24</v>
      </c>
      <c r="C91" s="8" t="s">
        <v>334</v>
      </c>
      <c r="D91" s="8">
        <v>2011.0</v>
      </c>
      <c r="E91" s="8" t="s">
        <v>335</v>
      </c>
      <c r="F91" s="8" t="s">
        <v>336</v>
      </c>
      <c r="G91" s="8">
        <v>108.0</v>
      </c>
      <c r="H91" s="8">
        <v>10.0</v>
      </c>
      <c r="I91" s="8" t="s">
        <v>337</v>
      </c>
      <c r="J91" s="8" t="s">
        <v>29</v>
      </c>
      <c r="K91" s="8"/>
      <c r="L91" s="8"/>
      <c r="M91" s="8"/>
      <c r="N91" s="8"/>
      <c r="O91" s="8"/>
      <c r="P91" s="8"/>
      <c r="Q91" s="8"/>
      <c r="R91" s="8"/>
      <c r="S91" s="8"/>
      <c r="T91" s="8"/>
      <c r="U91" s="8"/>
      <c r="V91" s="8"/>
      <c r="W91" s="8"/>
      <c r="X91" s="8"/>
      <c r="Y91" s="8"/>
      <c r="Z91" s="8"/>
    </row>
    <row r="92" ht="14.25" customHeight="1">
      <c r="A92" s="8">
        <v>23832.0</v>
      </c>
      <c r="B92" s="8" t="s">
        <v>24</v>
      </c>
      <c r="C92" s="8" t="s">
        <v>338</v>
      </c>
      <c r="D92" s="8">
        <v>2015.0</v>
      </c>
      <c r="E92" s="8" t="s">
        <v>339</v>
      </c>
      <c r="F92" s="8" t="s">
        <v>64</v>
      </c>
      <c r="G92" s="8">
        <v>191.0</v>
      </c>
      <c r="H92" s="8" t="s">
        <v>33</v>
      </c>
      <c r="I92" s="8" t="s">
        <v>340</v>
      </c>
      <c r="J92" s="8" t="s">
        <v>29</v>
      </c>
      <c r="K92" s="8"/>
      <c r="L92" s="8"/>
      <c r="M92" s="8"/>
      <c r="N92" s="8"/>
      <c r="O92" s="8"/>
      <c r="P92" s="8"/>
      <c r="Q92" s="8"/>
      <c r="R92" s="8"/>
      <c r="S92" s="8"/>
      <c r="T92" s="8"/>
      <c r="U92" s="8"/>
      <c r="V92" s="8"/>
      <c r="W92" s="8"/>
      <c r="X92" s="8"/>
      <c r="Y92" s="8"/>
      <c r="Z92" s="8"/>
    </row>
    <row r="93" ht="14.25" customHeight="1">
      <c r="A93" s="8">
        <v>23951.0</v>
      </c>
      <c r="B93" s="8" t="s">
        <v>24</v>
      </c>
      <c r="C93" s="8" t="s">
        <v>341</v>
      </c>
      <c r="D93" s="8">
        <v>2020.0</v>
      </c>
      <c r="E93" s="8" t="s">
        <v>342</v>
      </c>
      <c r="F93" s="8" t="s">
        <v>343</v>
      </c>
      <c r="G93" s="8" t="s">
        <v>33</v>
      </c>
      <c r="H93" s="8" t="s">
        <v>33</v>
      </c>
      <c r="I93" s="8" t="s">
        <v>33</v>
      </c>
      <c r="J93" s="8" t="s">
        <v>29</v>
      </c>
      <c r="K93" s="8"/>
      <c r="L93" s="8"/>
      <c r="M93" s="8"/>
      <c r="N93" s="8"/>
      <c r="O93" s="8"/>
      <c r="P93" s="8"/>
      <c r="Q93" s="8"/>
      <c r="R93" s="8"/>
      <c r="S93" s="8"/>
      <c r="T93" s="8"/>
      <c r="U93" s="8"/>
      <c r="V93" s="8"/>
      <c r="W93" s="8"/>
      <c r="X93" s="8"/>
      <c r="Y93" s="8"/>
      <c r="Z93" s="8"/>
    </row>
    <row r="94" ht="14.25" customHeight="1">
      <c r="A94" s="8">
        <v>23290.0</v>
      </c>
      <c r="B94" s="8" t="s">
        <v>24</v>
      </c>
      <c r="C94" s="8" t="s">
        <v>344</v>
      </c>
      <c r="D94" s="8">
        <v>2019.0</v>
      </c>
      <c r="E94" s="8" t="s">
        <v>345</v>
      </c>
      <c r="F94" s="8" t="s">
        <v>346</v>
      </c>
      <c r="G94" s="8">
        <v>23.0</v>
      </c>
      <c r="H94" s="8">
        <v>3.0</v>
      </c>
      <c r="I94" s="8" t="s">
        <v>347</v>
      </c>
      <c r="J94" s="8" t="s">
        <v>29</v>
      </c>
      <c r="K94" s="8"/>
      <c r="L94" s="8"/>
      <c r="M94" s="8"/>
      <c r="N94" s="8"/>
      <c r="O94" s="8"/>
      <c r="P94" s="8"/>
      <c r="Q94" s="8"/>
      <c r="R94" s="8"/>
      <c r="S94" s="8"/>
      <c r="T94" s="8"/>
      <c r="U94" s="8"/>
      <c r="V94" s="8"/>
      <c r="W94" s="8"/>
      <c r="X94" s="8"/>
      <c r="Y94" s="8"/>
      <c r="Z94" s="8"/>
    </row>
    <row r="95" ht="14.25" customHeight="1">
      <c r="A95" s="8">
        <v>23960.0</v>
      </c>
      <c r="B95" s="8" t="s">
        <v>24</v>
      </c>
      <c r="C95" s="8" t="s">
        <v>348</v>
      </c>
      <c r="D95" s="8">
        <v>2012.0</v>
      </c>
      <c r="E95" s="8" t="s">
        <v>349</v>
      </c>
      <c r="F95" s="8" t="s">
        <v>36</v>
      </c>
      <c r="G95" s="8">
        <v>7.0</v>
      </c>
      <c r="H95" s="8">
        <v>7.0</v>
      </c>
      <c r="I95" s="8" t="s">
        <v>33</v>
      </c>
      <c r="J95" s="8" t="s">
        <v>29</v>
      </c>
      <c r="K95" s="8"/>
      <c r="L95" s="8"/>
      <c r="M95" s="8"/>
      <c r="N95" s="8"/>
      <c r="O95" s="8"/>
      <c r="P95" s="8"/>
      <c r="Q95" s="8"/>
      <c r="R95" s="8"/>
      <c r="S95" s="8"/>
      <c r="T95" s="8"/>
      <c r="U95" s="8"/>
      <c r="V95" s="8"/>
      <c r="W95" s="8"/>
      <c r="X95" s="8"/>
      <c r="Y95" s="8"/>
      <c r="Z95" s="8"/>
    </row>
    <row r="96" ht="14.25" customHeight="1">
      <c r="A96" s="8">
        <v>25879.0</v>
      </c>
      <c r="B96" s="8" t="s">
        <v>24</v>
      </c>
      <c r="C96" s="8" t="s">
        <v>350</v>
      </c>
      <c r="D96" s="8">
        <v>2017.0</v>
      </c>
      <c r="E96" s="8" t="s">
        <v>351</v>
      </c>
      <c r="F96" s="8" t="s">
        <v>60</v>
      </c>
      <c r="G96" s="8">
        <v>31.0</v>
      </c>
      <c r="H96" s="8">
        <v>3.0</v>
      </c>
      <c r="I96" s="8" t="s">
        <v>352</v>
      </c>
      <c r="J96" s="8" t="s">
        <v>29</v>
      </c>
      <c r="K96" s="8"/>
      <c r="L96" s="8"/>
      <c r="M96" s="8"/>
      <c r="N96" s="8"/>
      <c r="O96" s="8"/>
      <c r="P96" s="8"/>
      <c r="Q96" s="8"/>
      <c r="R96" s="8"/>
      <c r="S96" s="8"/>
      <c r="T96" s="8"/>
      <c r="U96" s="8"/>
      <c r="V96" s="8"/>
      <c r="W96" s="8"/>
      <c r="X96" s="8"/>
      <c r="Y96" s="8"/>
      <c r="Z96" s="8"/>
    </row>
    <row r="97" ht="14.25" customHeight="1">
      <c r="A97" s="8">
        <v>23282.0</v>
      </c>
      <c r="B97" s="8" t="s">
        <v>24</v>
      </c>
      <c r="C97" s="8" t="s">
        <v>353</v>
      </c>
      <c r="D97" s="8">
        <v>2011.0</v>
      </c>
      <c r="E97" s="8" t="s">
        <v>354</v>
      </c>
      <c r="F97" s="8" t="s">
        <v>70</v>
      </c>
      <c r="G97" s="8">
        <v>15.0</v>
      </c>
      <c r="H97" s="8">
        <v>4.0</v>
      </c>
      <c r="I97" s="8" t="s">
        <v>94</v>
      </c>
      <c r="J97" s="8" t="s">
        <v>29</v>
      </c>
      <c r="K97" s="8"/>
      <c r="L97" s="8"/>
      <c r="M97" s="8"/>
      <c r="N97" s="8"/>
      <c r="O97" s="8"/>
      <c r="P97" s="8"/>
      <c r="Q97" s="8"/>
      <c r="R97" s="8"/>
      <c r="S97" s="8"/>
      <c r="T97" s="8"/>
      <c r="U97" s="8"/>
      <c r="V97" s="8"/>
      <c r="W97" s="8"/>
      <c r="X97" s="8"/>
      <c r="Y97" s="8"/>
      <c r="Z97" s="8"/>
    </row>
    <row r="98" ht="14.25" customHeight="1">
      <c r="A98" s="8">
        <v>24423.0</v>
      </c>
      <c r="B98" s="8" t="s">
        <v>24</v>
      </c>
      <c r="C98" s="8" t="s">
        <v>355</v>
      </c>
      <c r="D98" s="8">
        <v>2020.0</v>
      </c>
      <c r="E98" s="8" t="s">
        <v>356</v>
      </c>
      <c r="F98" s="8" t="s">
        <v>357</v>
      </c>
      <c r="G98" s="8">
        <v>28.0</v>
      </c>
      <c r="H98" s="8">
        <v>2.0</v>
      </c>
      <c r="I98" s="8" t="s">
        <v>358</v>
      </c>
      <c r="J98" s="8" t="s">
        <v>29</v>
      </c>
      <c r="K98" s="8"/>
      <c r="L98" s="8"/>
      <c r="M98" s="8"/>
      <c r="N98" s="8"/>
      <c r="O98" s="8"/>
      <c r="P98" s="8"/>
      <c r="Q98" s="8"/>
      <c r="R98" s="8"/>
      <c r="S98" s="8"/>
      <c r="T98" s="8"/>
      <c r="U98" s="8"/>
      <c r="V98" s="8"/>
      <c r="W98" s="8"/>
      <c r="X98" s="8"/>
      <c r="Y98" s="8"/>
      <c r="Z98" s="8"/>
    </row>
    <row r="99" ht="14.25" customHeight="1">
      <c r="A99" s="8">
        <v>26033.0</v>
      </c>
      <c r="B99" s="8" t="s">
        <v>24</v>
      </c>
      <c r="C99" s="8" t="s">
        <v>103</v>
      </c>
      <c r="D99" s="8">
        <v>2014.0</v>
      </c>
      <c r="E99" s="8" t="s">
        <v>359</v>
      </c>
      <c r="F99" s="8" t="s">
        <v>105</v>
      </c>
      <c r="G99" s="8">
        <v>1168.0</v>
      </c>
      <c r="H99" s="8" t="s">
        <v>33</v>
      </c>
      <c r="I99" s="8" t="s">
        <v>360</v>
      </c>
      <c r="J99" s="8" t="s">
        <v>29</v>
      </c>
      <c r="K99" s="8"/>
      <c r="L99" s="8"/>
      <c r="M99" s="8"/>
      <c r="N99" s="8"/>
      <c r="O99" s="8"/>
      <c r="P99" s="8"/>
      <c r="Q99" s="8"/>
      <c r="R99" s="8"/>
      <c r="S99" s="8"/>
      <c r="T99" s="8"/>
      <c r="U99" s="8"/>
      <c r="V99" s="8"/>
      <c r="W99" s="8"/>
      <c r="X99" s="8"/>
      <c r="Y99" s="8"/>
      <c r="Z99" s="8"/>
    </row>
    <row r="100" ht="14.25" customHeight="1">
      <c r="A100" s="8">
        <v>24945.0</v>
      </c>
      <c r="B100" s="8" t="s">
        <v>24</v>
      </c>
      <c r="C100" s="8" t="s">
        <v>361</v>
      </c>
      <c r="D100" s="8">
        <v>2020.0</v>
      </c>
      <c r="E100" s="8" t="s">
        <v>362</v>
      </c>
      <c r="F100" s="8" t="s">
        <v>286</v>
      </c>
      <c r="G100" s="8">
        <v>192.0</v>
      </c>
      <c r="H100" s="8">
        <v>8.0</v>
      </c>
      <c r="I100" s="8" t="s">
        <v>33</v>
      </c>
      <c r="J100" s="8" t="s">
        <v>29</v>
      </c>
      <c r="K100" s="8"/>
      <c r="L100" s="8"/>
      <c r="M100" s="8"/>
      <c r="N100" s="8"/>
      <c r="O100" s="8"/>
      <c r="P100" s="8"/>
      <c r="Q100" s="8"/>
      <c r="R100" s="8"/>
      <c r="S100" s="8"/>
      <c r="T100" s="8"/>
      <c r="U100" s="8"/>
      <c r="V100" s="8"/>
      <c r="W100" s="8"/>
      <c r="X100" s="8"/>
      <c r="Y100" s="8"/>
      <c r="Z100" s="8"/>
    </row>
    <row r="101" ht="14.25" customHeight="1">
      <c r="A101" s="8">
        <v>23871.0</v>
      </c>
      <c r="B101" s="8" t="s">
        <v>24</v>
      </c>
      <c r="C101" s="8" t="s">
        <v>363</v>
      </c>
      <c r="D101" s="8">
        <v>2018.0</v>
      </c>
      <c r="E101" s="8" t="s">
        <v>364</v>
      </c>
      <c r="F101" s="8" t="s">
        <v>365</v>
      </c>
      <c r="G101" s="8">
        <v>64.0</v>
      </c>
      <c r="H101" s="8">
        <v>5.0</v>
      </c>
      <c r="I101" s="8">
        <v>12.0</v>
      </c>
      <c r="J101" s="8" t="s">
        <v>29</v>
      </c>
      <c r="K101" s="8"/>
      <c r="L101" s="8"/>
      <c r="M101" s="8"/>
      <c r="N101" s="8"/>
      <c r="O101" s="8"/>
      <c r="P101" s="8"/>
      <c r="Q101" s="8"/>
      <c r="R101" s="8"/>
      <c r="S101" s="8"/>
      <c r="T101" s="8"/>
      <c r="U101" s="8"/>
      <c r="V101" s="8"/>
      <c r="W101" s="8"/>
      <c r="X101" s="8"/>
      <c r="Y101" s="8"/>
      <c r="Z101" s="8"/>
    </row>
    <row r="102" ht="14.25" customHeight="1">
      <c r="A102" s="8">
        <v>23838.0</v>
      </c>
      <c r="B102" s="8" t="s">
        <v>24</v>
      </c>
      <c r="C102" s="8" t="s">
        <v>366</v>
      </c>
      <c r="D102" s="8">
        <v>2011.0</v>
      </c>
      <c r="E102" s="8" t="s">
        <v>367</v>
      </c>
      <c r="F102" s="8" t="s">
        <v>368</v>
      </c>
      <c r="G102" s="8">
        <v>56.0</v>
      </c>
      <c r="H102" s="8">
        <v>1.0</v>
      </c>
      <c r="I102" s="8" t="s">
        <v>369</v>
      </c>
      <c r="J102" s="8" t="s">
        <v>29</v>
      </c>
      <c r="K102" s="8"/>
      <c r="L102" s="8"/>
      <c r="M102" s="8"/>
      <c r="N102" s="8"/>
      <c r="O102" s="8"/>
      <c r="P102" s="8"/>
      <c r="Q102" s="8"/>
      <c r="R102" s="8"/>
      <c r="S102" s="8"/>
      <c r="T102" s="8"/>
      <c r="U102" s="8"/>
      <c r="V102" s="8"/>
      <c r="W102" s="8"/>
      <c r="X102" s="8"/>
      <c r="Y102" s="8"/>
      <c r="Z102" s="8"/>
    </row>
    <row r="103" ht="14.25" customHeight="1">
      <c r="A103" s="8">
        <v>23603.0</v>
      </c>
      <c r="B103" s="8" t="s">
        <v>24</v>
      </c>
      <c r="C103" s="8" t="s">
        <v>370</v>
      </c>
      <c r="D103" s="8">
        <v>2014.0</v>
      </c>
      <c r="E103" s="8" t="s">
        <v>371</v>
      </c>
      <c r="F103" s="8" t="s">
        <v>372</v>
      </c>
      <c r="G103" s="8">
        <v>72.0</v>
      </c>
      <c r="H103" s="8">
        <v>2.0</v>
      </c>
      <c r="I103" s="8" t="s">
        <v>373</v>
      </c>
      <c r="J103" s="8" t="s">
        <v>29</v>
      </c>
      <c r="K103" s="8"/>
      <c r="L103" s="8"/>
      <c r="M103" s="8"/>
      <c r="N103" s="8"/>
      <c r="O103" s="8"/>
      <c r="P103" s="8"/>
      <c r="Q103" s="8"/>
      <c r="R103" s="8"/>
      <c r="S103" s="8"/>
      <c r="T103" s="8"/>
      <c r="U103" s="8"/>
      <c r="V103" s="8"/>
      <c r="W103" s="8"/>
      <c r="X103" s="8"/>
      <c r="Y103" s="8"/>
      <c r="Z103" s="8"/>
    </row>
    <row r="104" ht="14.25" customHeight="1">
      <c r="A104" s="8">
        <v>24812.0</v>
      </c>
      <c r="B104" s="8" t="s">
        <v>24</v>
      </c>
      <c r="C104" s="8" t="s">
        <v>374</v>
      </c>
      <c r="D104" s="8">
        <v>2020.0</v>
      </c>
      <c r="E104" s="8" t="s">
        <v>375</v>
      </c>
      <c r="F104" s="8" t="s">
        <v>109</v>
      </c>
      <c r="G104" s="8">
        <v>65.0</v>
      </c>
      <c r="H104" s="8">
        <v>4.0</v>
      </c>
      <c r="I104" s="8" t="s">
        <v>376</v>
      </c>
      <c r="J104" s="8" t="s">
        <v>29</v>
      </c>
      <c r="K104" s="8"/>
      <c r="L104" s="8"/>
      <c r="M104" s="8"/>
      <c r="N104" s="8"/>
      <c r="O104" s="8"/>
      <c r="P104" s="8"/>
      <c r="Q104" s="8"/>
      <c r="R104" s="8"/>
      <c r="S104" s="8"/>
      <c r="T104" s="8"/>
      <c r="U104" s="8"/>
      <c r="V104" s="8"/>
      <c r="W104" s="8"/>
      <c r="X104" s="8"/>
      <c r="Y104" s="8"/>
      <c r="Z104" s="8"/>
    </row>
    <row r="105" ht="14.25" customHeight="1">
      <c r="A105" s="8">
        <v>25531.0</v>
      </c>
      <c r="B105" s="8" t="s">
        <v>24</v>
      </c>
      <c r="C105" s="8" t="s">
        <v>377</v>
      </c>
      <c r="D105" s="8">
        <v>2014.0</v>
      </c>
      <c r="E105" s="8" t="s">
        <v>378</v>
      </c>
      <c r="F105" s="8" t="s">
        <v>379</v>
      </c>
      <c r="G105" s="8">
        <v>4.0</v>
      </c>
      <c r="H105" s="8">
        <v>1.0</v>
      </c>
      <c r="I105" s="10">
        <v>42917.0</v>
      </c>
      <c r="J105" s="8" t="s">
        <v>29</v>
      </c>
      <c r="K105" s="8"/>
      <c r="L105" s="8"/>
      <c r="M105" s="8"/>
      <c r="N105" s="8"/>
      <c r="O105" s="8"/>
      <c r="P105" s="8"/>
      <c r="Q105" s="8"/>
      <c r="R105" s="8"/>
      <c r="S105" s="8"/>
      <c r="T105" s="8"/>
      <c r="U105" s="8"/>
      <c r="V105" s="8"/>
      <c r="W105" s="8"/>
      <c r="X105" s="8"/>
      <c r="Y105" s="8"/>
      <c r="Z105" s="8"/>
    </row>
    <row r="106" ht="14.25" customHeight="1">
      <c r="A106" s="8">
        <v>24747.0</v>
      </c>
      <c r="B106" s="8" t="s">
        <v>24</v>
      </c>
      <c r="C106" s="8" t="s">
        <v>380</v>
      </c>
      <c r="D106" s="8">
        <v>2019.0</v>
      </c>
      <c r="E106" s="8" t="s">
        <v>381</v>
      </c>
      <c r="F106" s="8" t="s">
        <v>382</v>
      </c>
      <c r="G106" s="8">
        <v>4.0</v>
      </c>
      <c r="H106" s="8">
        <v>1.0</v>
      </c>
      <c r="I106" s="8" t="s">
        <v>383</v>
      </c>
      <c r="J106" s="8" t="s">
        <v>29</v>
      </c>
      <c r="K106" s="8"/>
      <c r="L106" s="8"/>
      <c r="M106" s="8"/>
      <c r="N106" s="8"/>
      <c r="O106" s="8"/>
      <c r="P106" s="8"/>
      <c r="Q106" s="8"/>
      <c r="R106" s="8"/>
      <c r="S106" s="8"/>
      <c r="T106" s="8"/>
      <c r="U106" s="8"/>
      <c r="V106" s="8"/>
      <c r="W106" s="8"/>
      <c r="X106" s="8"/>
      <c r="Y106" s="8"/>
      <c r="Z106" s="8"/>
    </row>
    <row r="107" ht="14.25" customHeight="1">
      <c r="A107" s="8">
        <v>23374.0</v>
      </c>
      <c r="B107" s="8" t="s">
        <v>24</v>
      </c>
      <c r="C107" s="8" t="s">
        <v>384</v>
      </c>
      <c r="D107" s="8">
        <v>2018.0</v>
      </c>
      <c r="E107" s="8" t="s">
        <v>385</v>
      </c>
      <c r="F107" s="8" t="s">
        <v>386</v>
      </c>
      <c r="G107" s="8">
        <v>11.0</v>
      </c>
      <c r="H107" s="8">
        <v>5.0</v>
      </c>
      <c r="I107" s="8" t="s">
        <v>33</v>
      </c>
      <c r="J107" s="8" t="s">
        <v>29</v>
      </c>
      <c r="K107" s="8"/>
      <c r="L107" s="8"/>
      <c r="M107" s="8"/>
      <c r="N107" s="8"/>
      <c r="O107" s="8"/>
      <c r="P107" s="8"/>
      <c r="Q107" s="8"/>
      <c r="R107" s="8"/>
      <c r="S107" s="8"/>
      <c r="T107" s="8"/>
      <c r="U107" s="8"/>
      <c r="V107" s="8"/>
      <c r="W107" s="8"/>
      <c r="X107" s="8"/>
      <c r="Y107" s="8"/>
      <c r="Z107" s="8"/>
    </row>
    <row r="108" ht="14.25" customHeight="1">
      <c r="A108" s="8">
        <v>25189.0</v>
      </c>
      <c r="B108" s="8" t="s">
        <v>24</v>
      </c>
      <c r="C108" s="8" t="s">
        <v>387</v>
      </c>
      <c r="D108" s="8">
        <v>2008.0</v>
      </c>
      <c r="E108" s="8" t="s">
        <v>388</v>
      </c>
      <c r="F108" s="8" t="s">
        <v>389</v>
      </c>
      <c r="G108" s="8">
        <v>112.0</v>
      </c>
      <c r="H108" s="8">
        <v>5.0</v>
      </c>
      <c r="I108" s="8" t="s">
        <v>390</v>
      </c>
      <c r="J108" s="8" t="s">
        <v>29</v>
      </c>
      <c r="K108" s="8"/>
      <c r="L108" s="8"/>
      <c r="M108" s="8"/>
      <c r="N108" s="8"/>
      <c r="O108" s="8"/>
      <c r="P108" s="8"/>
      <c r="Q108" s="8"/>
      <c r="R108" s="8"/>
      <c r="S108" s="8"/>
      <c r="T108" s="8"/>
      <c r="U108" s="8"/>
      <c r="V108" s="8"/>
      <c r="W108" s="8"/>
      <c r="X108" s="8"/>
      <c r="Y108" s="8"/>
      <c r="Z108" s="8"/>
    </row>
    <row r="109" ht="14.25" customHeight="1">
      <c r="A109" s="8">
        <v>23788.0</v>
      </c>
      <c r="B109" s="8" t="s">
        <v>24</v>
      </c>
      <c r="C109" s="8" t="s">
        <v>391</v>
      </c>
      <c r="D109" s="8">
        <v>2017.0</v>
      </c>
      <c r="E109" s="8" t="s">
        <v>392</v>
      </c>
      <c r="F109" s="8" t="s">
        <v>393</v>
      </c>
      <c r="G109" s="8">
        <v>25.0</v>
      </c>
      <c r="H109" s="8">
        <v>3.0</v>
      </c>
      <c r="I109" s="8" t="s">
        <v>394</v>
      </c>
      <c r="J109" s="8" t="s">
        <v>29</v>
      </c>
      <c r="K109" s="8"/>
      <c r="L109" s="8"/>
      <c r="M109" s="8"/>
      <c r="N109" s="8"/>
      <c r="O109" s="8"/>
      <c r="P109" s="8"/>
      <c r="Q109" s="8"/>
      <c r="R109" s="8"/>
      <c r="S109" s="8"/>
      <c r="T109" s="8"/>
      <c r="U109" s="8"/>
      <c r="V109" s="8"/>
      <c r="W109" s="8"/>
      <c r="X109" s="8"/>
      <c r="Y109" s="8"/>
      <c r="Z109" s="8"/>
    </row>
    <row r="110" ht="14.25" customHeight="1">
      <c r="A110" s="8">
        <v>24184.0</v>
      </c>
      <c r="B110" s="8" t="s">
        <v>24</v>
      </c>
      <c r="C110" s="8" t="s">
        <v>395</v>
      </c>
      <c r="D110" s="8">
        <v>2015.0</v>
      </c>
      <c r="E110" s="8" t="s">
        <v>396</v>
      </c>
      <c r="F110" s="8" t="s">
        <v>195</v>
      </c>
      <c r="G110" s="8">
        <v>103.0</v>
      </c>
      <c r="H110" s="8" t="s">
        <v>33</v>
      </c>
      <c r="I110" s="8" t="s">
        <v>397</v>
      </c>
      <c r="J110" s="8" t="s">
        <v>29</v>
      </c>
      <c r="K110" s="8"/>
      <c r="L110" s="8"/>
      <c r="M110" s="8"/>
      <c r="N110" s="8"/>
      <c r="O110" s="8"/>
      <c r="P110" s="8"/>
      <c r="Q110" s="8"/>
      <c r="R110" s="8"/>
      <c r="S110" s="8"/>
      <c r="T110" s="8"/>
      <c r="U110" s="8"/>
      <c r="V110" s="8"/>
      <c r="W110" s="8"/>
      <c r="X110" s="8"/>
      <c r="Y110" s="8"/>
      <c r="Z110" s="8"/>
    </row>
    <row r="111" ht="14.25" customHeight="1">
      <c r="A111" s="8">
        <v>24551.0</v>
      </c>
      <c r="B111" s="8" t="s">
        <v>24</v>
      </c>
      <c r="C111" s="8" t="s">
        <v>398</v>
      </c>
      <c r="D111" s="8">
        <v>2019.0</v>
      </c>
      <c r="E111" s="8" t="s">
        <v>399</v>
      </c>
      <c r="F111" s="8" t="s">
        <v>400</v>
      </c>
      <c r="G111" s="8">
        <v>39.0</v>
      </c>
      <c r="H111" s="8">
        <v>1.0</v>
      </c>
      <c r="I111" s="8" t="s">
        <v>401</v>
      </c>
      <c r="J111" s="8" t="s">
        <v>29</v>
      </c>
      <c r="K111" s="8"/>
      <c r="L111" s="8"/>
      <c r="M111" s="8"/>
      <c r="N111" s="8"/>
      <c r="O111" s="8"/>
      <c r="P111" s="8"/>
      <c r="Q111" s="8"/>
      <c r="R111" s="8"/>
      <c r="S111" s="8"/>
      <c r="T111" s="8"/>
      <c r="U111" s="8"/>
      <c r="V111" s="8"/>
      <c r="W111" s="8"/>
      <c r="X111" s="8"/>
      <c r="Y111" s="8"/>
      <c r="Z111" s="8"/>
    </row>
    <row r="112" ht="14.25" customHeight="1">
      <c r="A112" s="8">
        <v>23361.0</v>
      </c>
      <c r="B112" s="8" t="s">
        <v>24</v>
      </c>
      <c r="C112" s="8" t="s">
        <v>402</v>
      </c>
      <c r="D112" s="8">
        <v>2010.0</v>
      </c>
      <c r="E112" s="8" t="s">
        <v>403</v>
      </c>
      <c r="F112" s="8" t="s">
        <v>404</v>
      </c>
      <c r="G112" s="8">
        <v>33.0</v>
      </c>
      <c r="H112" s="8">
        <v>1.0</v>
      </c>
      <c r="I112" s="8" t="s">
        <v>405</v>
      </c>
      <c r="J112" s="8" t="s">
        <v>29</v>
      </c>
      <c r="K112" s="8"/>
      <c r="L112" s="8"/>
      <c r="M112" s="8"/>
      <c r="N112" s="8"/>
      <c r="O112" s="8"/>
      <c r="P112" s="8"/>
      <c r="Q112" s="8"/>
      <c r="R112" s="8"/>
      <c r="S112" s="8"/>
      <c r="T112" s="8"/>
      <c r="U112" s="8"/>
      <c r="V112" s="8"/>
      <c r="W112" s="8"/>
      <c r="X112" s="8"/>
      <c r="Y112" s="8"/>
      <c r="Z112" s="8"/>
    </row>
    <row r="113" ht="14.25" customHeight="1">
      <c r="A113" s="8">
        <v>24565.0</v>
      </c>
      <c r="B113" s="8" t="s">
        <v>24</v>
      </c>
      <c r="C113" s="8" t="s">
        <v>406</v>
      </c>
      <c r="D113" s="8">
        <v>2008.0</v>
      </c>
      <c r="E113" s="8" t="s">
        <v>407</v>
      </c>
      <c r="F113" s="8" t="s">
        <v>408</v>
      </c>
      <c r="G113" s="8">
        <v>15.0</v>
      </c>
      <c r="H113" s="8">
        <v>4.0</v>
      </c>
      <c r="I113" s="8" t="s">
        <v>409</v>
      </c>
      <c r="J113" s="8" t="s">
        <v>29</v>
      </c>
      <c r="K113" s="8"/>
      <c r="L113" s="8"/>
      <c r="M113" s="8"/>
      <c r="N113" s="8"/>
      <c r="O113" s="8"/>
      <c r="P113" s="8"/>
      <c r="Q113" s="8"/>
      <c r="R113" s="8"/>
      <c r="S113" s="8"/>
      <c r="T113" s="8"/>
      <c r="U113" s="8"/>
      <c r="V113" s="8"/>
      <c r="W113" s="8"/>
      <c r="X113" s="8"/>
      <c r="Y113" s="8"/>
      <c r="Z113" s="8"/>
    </row>
    <row r="114" ht="14.25" customHeight="1">
      <c r="A114" s="8">
        <v>24163.0</v>
      </c>
      <c r="B114" s="8" t="s">
        <v>24</v>
      </c>
      <c r="C114" s="8" t="s">
        <v>410</v>
      </c>
      <c r="D114" s="8">
        <v>2019.0</v>
      </c>
      <c r="E114" s="8" t="s">
        <v>411</v>
      </c>
      <c r="F114" s="8" t="s">
        <v>49</v>
      </c>
      <c r="G114" s="8">
        <v>683.0</v>
      </c>
      <c r="H114" s="8" t="s">
        <v>33</v>
      </c>
      <c r="I114" s="8" t="s">
        <v>412</v>
      </c>
      <c r="J114" s="8" t="s">
        <v>29</v>
      </c>
      <c r="K114" s="8"/>
      <c r="L114" s="8"/>
      <c r="M114" s="8"/>
      <c r="N114" s="8"/>
      <c r="O114" s="8"/>
      <c r="P114" s="8"/>
      <c r="Q114" s="8"/>
      <c r="R114" s="8"/>
      <c r="S114" s="8"/>
      <c r="T114" s="8"/>
      <c r="U114" s="8"/>
      <c r="V114" s="8"/>
      <c r="W114" s="8"/>
      <c r="X114" s="8"/>
      <c r="Y114" s="8"/>
      <c r="Z114" s="8"/>
    </row>
    <row r="115" ht="14.25" customHeight="1">
      <c r="A115" s="8">
        <v>23135.0</v>
      </c>
      <c r="B115" s="8" t="s">
        <v>24</v>
      </c>
      <c r="C115" s="8" t="s">
        <v>413</v>
      </c>
      <c r="D115" s="8">
        <v>2014.0</v>
      </c>
      <c r="E115" s="8" t="s">
        <v>414</v>
      </c>
      <c r="F115" s="8" t="s">
        <v>415</v>
      </c>
      <c r="G115" s="8">
        <v>9.0</v>
      </c>
      <c r="H115" s="8">
        <v>11.0</v>
      </c>
      <c r="I115" s="8" t="s">
        <v>33</v>
      </c>
      <c r="J115" s="8" t="s">
        <v>29</v>
      </c>
      <c r="K115" s="8"/>
      <c r="L115" s="8"/>
      <c r="M115" s="8"/>
      <c r="N115" s="8"/>
      <c r="O115" s="8"/>
      <c r="P115" s="8"/>
      <c r="Q115" s="8"/>
      <c r="R115" s="8"/>
      <c r="S115" s="8"/>
      <c r="T115" s="8"/>
      <c r="U115" s="8"/>
      <c r="V115" s="8"/>
      <c r="W115" s="8"/>
      <c r="X115" s="8"/>
      <c r="Y115" s="8"/>
      <c r="Z115" s="8"/>
    </row>
    <row r="116" ht="14.25" customHeight="1">
      <c r="A116" s="8">
        <v>24655.0</v>
      </c>
      <c r="B116" s="8" t="s">
        <v>24</v>
      </c>
      <c r="C116" s="8" t="s">
        <v>416</v>
      </c>
      <c r="D116" s="8">
        <v>2020.0</v>
      </c>
      <c r="E116" s="8" t="s">
        <v>417</v>
      </c>
      <c r="F116" s="8" t="s">
        <v>49</v>
      </c>
      <c r="G116" s="8">
        <v>732.0</v>
      </c>
      <c r="H116" s="8" t="s">
        <v>33</v>
      </c>
      <c r="I116" s="8" t="s">
        <v>33</v>
      </c>
      <c r="J116" s="8" t="s">
        <v>29</v>
      </c>
      <c r="K116" s="8"/>
      <c r="L116" s="8"/>
      <c r="M116" s="8"/>
      <c r="N116" s="8"/>
      <c r="O116" s="8"/>
      <c r="P116" s="8"/>
      <c r="Q116" s="8"/>
      <c r="R116" s="8"/>
      <c r="S116" s="8"/>
      <c r="T116" s="8"/>
      <c r="U116" s="8"/>
      <c r="V116" s="8"/>
      <c r="W116" s="8"/>
      <c r="X116" s="8"/>
      <c r="Y116" s="8"/>
      <c r="Z116" s="8"/>
    </row>
    <row r="117" ht="14.25" customHeight="1">
      <c r="A117" s="8">
        <v>26089.0</v>
      </c>
      <c r="B117" s="8" t="s">
        <v>24</v>
      </c>
      <c r="C117" s="8" t="s">
        <v>418</v>
      </c>
      <c r="D117" s="8">
        <v>2015.0</v>
      </c>
      <c r="E117" s="8" t="s">
        <v>419</v>
      </c>
      <c r="F117" s="8" t="s">
        <v>36</v>
      </c>
      <c r="G117" s="8">
        <v>10.0</v>
      </c>
      <c r="H117" s="8">
        <v>9.0</v>
      </c>
      <c r="I117" s="8" t="s">
        <v>33</v>
      </c>
      <c r="J117" s="8" t="s">
        <v>29</v>
      </c>
      <c r="K117" s="8"/>
      <c r="L117" s="8"/>
      <c r="M117" s="8"/>
      <c r="N117" s="8"/>
      <c r="O117" s="8"/>
      <c r="P117" s="8"/>
      <c r="Q117" s="8"/>
      <c r="R117" s="8"/>
      <c r="S117" s="8"/>
      <c r="T117" s="8"/>
      <c r="U117" s="8"/>
      <c r="V117" s="8"/>
      <c r="W117" s="8"/>
      <c r="X117" s="8"/>
      <c r="Y117" s="8"/>
      <c r="Z117" s="8"/>
    </row>
    <row r="118" ht="14.25" customHeight="1">
      <c r="A118" s="8">
        <v>24358.0</v>
      </c>
      <c r="B118" s="8" t="s">
        <v>24</v>
      </c>
      <c r="C118" s="8" t="s">
        <v>420</v>
      </c>
      <c r="D118" s="8">
        <v>2020.0</v>
      </c>
      <c r="E118" s="8" t="s">
        <v>421</v>
      </c>
      <c r="F118" s="8" t="s">
        <v>422</v>
      </c>
      <c r="G118" s="8">
        <v>49.0</v>
      </c>
      <c r="H118" s="8">
        <v>9.0</v>
      </c>
      <c r="I118" s="8" t="s">
        <v>423</v>
      </c>
      <c r="J118" s="8" t="s">
        <v>29</v>
      </c>
      <c r="K118" s="8"/>
      <c r="L118" s="8"/>
      <c r="M118" s="8"/>
      <c r="N118" s="8"/>
      <c r="O118" s="8"/>
      <c r="P118" s="8"/>
      <c r="Q118" s="8"/>
      <c r="R118" s="8"/>
      <c r="S118" s="8"/>
      <c r="T118" s="8"/>
      <c r="U118" s="8"/>
      <c r="V118" s="8"/>
      <c r="W118" s="8"/>
      <c r="X118" s="8"/>
      <c r="Y118" s="8"/>
      <c r="Z118" s="8"/>
    </row>
    <row r="119" ht="14.25" customHeight="1">
      <c r="A119" s="8">
        <v>23063.0</v>
      </c>
      <c r="B119" s="8" t="s">
        <v>24</v>
      </c>
      <c r="C119" s="8" t="s">
        <v>424</v>
      </c>
      <c r="D119" s="8">
        <v>2015.0</v>
      </c>
      <c r="E119" s="8" t="s">
        <v>425</v>
      </c>
      <c r="F119" s="8" t="s">
        <v>426</v>
      </c>
      <c r="G119" s="8">
        <v>98.0</v>
      </c>
      <c r="H119" s="8">
        <v>1.0</v>
      </c>
      <c r="I119" s="8" t="s">
        <v>427</v>
      </c>
      <c r="J119" s="8" t="s">
        <v>29</v>
      </c>
      <c r="K119" s="8"/>
      <c r="L119" s="8"/>
      <c r="M119" s="8"/>
      <c r="N119" s="8"/>
      <c r="O119" s="8"/>
      <c r="P119" s="8"/>
      <c r="Q119" s="8"/>
      <c r="R119" s="8"/>
      <c r="S119" s="8"/>
      <c r="T119" s="8"/>
      <c r="U119" s="8"/>
      <c r="V119" s="8"/>
      <c r="W119" s="8"/>
      <c r="X119" s="8"/>
      <c r="Y119" s="8"/>
      <c r="Z119" s="8"/>
    </row>
    <row r="120" ht="14.25" customHeight="1">
      <c r="A120" s="8">
        <v>24365.0</v>
      </c>
      <c r="B120" s="8" t="s">
        <v>24</v>
      </c>
      <c r="C120" s="8" t="s">
        <v>428</v>
      </c>
      <c r="D120" s="8">
        <v>2020.0</v>
      </c>
      <c r="E120" s="8" t="s">
        <v>429</v>
      </c>
      <c r="F120" s="8" t="s">
        <v>53</v>
      </c>
      <c r="G120" s="8">
        <v>11.0</v>
      </c>
      <c r="H120" s="8">
        <v>3.0</v>
      </c>
      <c r="I120" s="8" t="s">
        <v>33</v>
      </c>
      <c r="J120" s="8" t="s">
        <v>29</v>
      </c>
      <c r="K120" s="8"/>
      <c r="L120" s="8"/>
      <c r="M120" s="8"/>
      <c r="N120" s="8"/>
      <c r="O120" s="8"/>
      <c r="P120" s="8"/>
      <c r="Q120" s="8"/>
      <c r="R120" s="8"/>
      <c r="S120" s="8"/>
      <c r="T120" s="8"/>
      <c r="U120" s="8"/>
      <c r="V120" s="8"/>
      <c r="W120" s="8"/>
      <c r="X120" s="8"/>
      <c r="Y120" s="8"/>
      <c r="Z120" s="8"/>
    </row>
    <row r="121" ht="14.25" customHeight="1">
      <c r="A121" s="8">
        <v>23303.0</v>
      </c>
      <c r="B121" s="8" t="s">
        <v>24</v>
      </c>
      <c r="C121" s="8" t="s">
        <v>430</v>
      </c>
      <c r="D121" s="8">
        <v>2016.0</v>
      </c>
      <c r="E121" s="8" t="s">
        <v>431</v>
      </c>
      <c r="F121" s="8" t="s">
        <v>109</v>
      </c>
      <c r="G121" s="8">
        <v>57.0</v>
      </c>
      <c r="H121" s="8">
        <v>5.0</v>
      </c>
      <c r="I121" s="8" t="s">
        <v>432</v>
      </c>
      <c r="J121" s="8" t="s">
        <v>29</v>
      </c>
      <c r="K121" s="8"/>
      <c r="L121" s="8"/>
      <c r="M121" s="8"/>
      <c r="N121" s="8"/>
      <c r="O121" s="8"/>
      <c r="P121" s="8"/>
      <c r="Q121" s="8"/>
      <c r="R121" s="8"/>
      <c r="S121" s="8"/>
      <c r="T121" s="8"/>
      <c r="U121" s="8"/>
      <c r="V121" s="8"/>
      <c r="W121" s="8"/>
      <c r="X121" s="8"/>
      <c r="Y121" s="8"/>
      <c r="Z121" s="8"/>
    </row>
    <row r="122" ht="14.25" customHeight="1">
      <c r="A122" s="8">
        <v>23197.0</v>
      </c>
      <c r="B122" s="8" t="s">
        <v>24</v>
      </c>
      <c r="C122" s="8" t="s">
        <v>433</v>
      </c>
      <c r="D122" s="8">
        <v>2014.0</v>
      </c>
      <c r="E122" s="8" t="s">
        <v>434</v>
      </c>
      <c r="F122" s="8" t="s">
        <v>60</v>
      </c>
      <c r="G122" s="8">
        <v>28.0</v>
      </c>
      <c r="H122" s="8">
        <v>1.0</v>
      </c>
      <c r="I122" s="8" t="s">
        <v>435</v>
      </c>
      <c r="J122" s="8" t="s">
        <v>29</v>
      </c>
      <c r="K122" s="8"/>
      <c r="L122" s="8"/>
      <c r="M122" s="8"/>
      <c r="N122" s="8"/>
      <c r="O122" s="8"/>
      <c r="P122" s="8"/>
      <c r="Q122" s="8"/>
      <c r="R122" s="8"/>
      <c r="S122" s="8"/>
      <c r="T122" s="8"/>
      <c r="U122" s="8"/>
      <c r="V122" s="8"/>
      <c r="W122" s="8"/>
      <c r="X122" s="8"/>
      <c r="Y122" s="8"/>
      <c r="Z122" s="8"/>
    </row>
    <row r="123" ht="14.25" customHeight="1">
      <c r="A123" s="8">
        <v>23200.0</v>
      </c>
      <c r="B123" s="8" t="s">
        <v>24</v>
      </c>
      <c r="C123" s="8" t="s">
        <v>436</v>
      </c>
      <c r="D123" s="8">
        <v>2018.0</v>
      </c>
      <c r="E123" s="8" t="s">
        <v>437</v>
      </c>
      <c r="F123" s="8" t="s">
        <v>438</v>
      </c>
      <c r="G123" s="8">
        <v>177.0</v>
      </c>
      <c r="H123" s="8" t="s">
        <v>33</v>
      </c>
      <c r="I123" s="8" t="s">
        <v>439</v>
      </c>
      <c r="J123" s="8" t="s">
        <v>29</v>
      </c>
      <c r="K123" s="8"/>
      <c r="L123" s="8"/>
      <c r="M123" s="8"/>
      <c r="N123" s="8"/>
      <c r="O123" s="8"/>
      <c r="P123" s="8"/>
      <c r="Q123" s="8"/>
      <c r="R123" s="8"/>
      <c r="S123" s="8"/>
      <c r="T123" s="8"/>
      <c r="U123" s="8"/>
      <c r="V123" s="8"/>
      <c r="W123" s="8"/>
      <c r="X123" s="8"/>
      <c r="Y123" s="8"/>
      <c r="Z123" s="8"/>
    </row>
    <row r="124" ht="14.25" customHeight="1">
      <c r="A124" s="8">
        <v>24903.0</v>
      </c>
      <c r="B124" s="8" t="s">
        <v>24</v>
      </c>
      <c r="C124" s="8" t="s">
        <v>440</v>
      </c>
      <c r="D124" s="8">
        <v>2011.0</v>
      </c>
      <c r="E124" s="8" t="s">
        <v>441</v>
      </c>
      <c r="F124" s="8" t="s">
        <v>56</v>
      </c>
      <c r="G124" s="8">
        <v>48.0</v>
      </c>
      <c r="H124" s="8">
        <v>1.0</v>
      </c>
      <c r="I124" s="8" t="s">
        <v>442</v>
      </c>
      <c r="J124" s="8" t="s">
        <v>29</v>
      </c>
      <c r="K124" s="8"/>
      <c r="L124" s="8"/>
      <c r="M124" s="8"/>
      <c r="N124" s="8"/>
      <c r="O124" s="8"/>
      <c r="P124" s="8"/>
      <c r="Q124" s="8"/>
      <c r="R124" s="8"/>
      <c r="S124" s="8"/>
      <c r="T124" s="8"/>
      <c r="U124" s="8"/>
      <c r="V124" s="8"/>
      <c r="W124" s="8"/>
      <c r="X124" s="8"/>
      <c r="Y124" s="8"/>
      <c r="Z124" s="8"/>
    </row>
    <row r="125" ht="14.25" customHeight="1">
      <c r="A125" s="8">
        <v>23537.0</v>
      </c>
      <c r="B125" s="8" t="s">
        <v>24</v>
      </c>
      <c r="C125" s="8" t="s">
        <v>443</v>
      </c>
      <c r="D125" s="8">
        <v>2016.0</v>
      </c>
      <c r="E125" s="8" t="s">
        <v>444</v>
      </c>
      <c r="F125" s="8" t="s">
        <v>445</v>
      </c>
      <c r="G125" s="8">
        <v>22.0</v>
      </c>
      <c r="H125" s="8">
        <v>7.0</v>
      </c>
      <c r="I125" s="8" t="s">
        <v>446</v>
      </c>
      <c r="J125" s="8" t="s">
        <v>29</v>
      </c>
      <c r="K125" s="8"/>
      <c r="L125" s="8"/>
      <c r="M125" s="8"/>
      <c r="N125" s="8"/>
      <c r="O125" s="8"/>
      <c r="P125" s="8"/>
      <c r="Q125" s="8"/>
      <c r="R125" s="8"/>
      <c r="S125" s="8"/>
      <c r="T125" s="8"/>
      <c r="U125" s="8"/>
      <c r="V125" s="8"/>
      <c r="W125" s="8"/>
      <c r="X125" s="8"/>
      <c r="Y125" s="8"/>
      <c r="Z125" s="8"/>
    </row>
    <row r="126" ht="14.25" customHeight="1">
      <c r="A126" s="8">
        <v>23355.0</v>
      </c>
      <c r="B126" s="8" t="s">
        <v>24</v>
      </c>
      <c r="C126" s="8" t="s">
        <v>447</v>
      </c>
      <c r="D126" s="8">
        <v>2020.0</v>
      </c>
      <c r="E126" s="8" t="s">
        <v>448</v>
      </c>
      <c r="F126" s="8" t="s">
        <v>449</v>
      </c>
      <c r="G126" s="8">
        <v>84.0</v>
      </c>
      <c r="H126" s="8" t="s">
        <v>33</v>
      </c>
      <c r="I126" s="8">
        <v>13.0</v>
      </c>
      <c r="J126" s="8" t="s">
        <v>29</v>
      </c>
      <c r="K126" s="8"/>
      <c r="L126" s="8"/>
      <c r="M126" s="8"/>
      <c r="N126" s="8"/>
      <c r="O126" s="8"/>
      <c r="P126" s="8"/>
      <c r="Q126" s="8"/>
      <c r="R126" s="8"/>
      <c r="S126" s="8"/>
      <c r="T126" s="8"/>
      <c r="U126" s="8"/>
      <c r="V126" s="8"/>
      <c r="W126" s="8"/>
      <c r="X126" s="8"/>
      <c r="Y126" s="8"/>
      <c r="Z126" s="8"/>
    </row>
    <row r="127" ht="14.25" customHeight="1">
      <c r="A127" s="8">
        <v>23823.0</v>
      </c>
      <c r="B127" s="8" t="s">
        <v>24</v>
      </c>
      <c r="C127" s="8" t="s">
        <v>450</v>
      </c>
      <c r="D127" s="8">
        <v>2019.0</v>
      </c>
      <c r="E127" s="8" t="s">
        <v>451</v>
      </c>
      <c r="F127" s="8" t="s">
        <v>145</v>
      </c>
      <c r="G127" s="8">
        <v>102.0</v>
      </c>
      <c r="H127" s="8" t="s">
        <v>33</v>
      </c>
      <c r="I127" s="8" t="s">
        <v>452</v>
      </c>
      <c r="J127" s="8" t="s">
        <v>29</v>
      </c>
      <c r="K127" s="8"/>
      <c r="L127" s="8"/>
      <c r="M127" s="8"/>
      <c r="N127" s="8"/>
      <c r="O127" s="8"/>
      <c r="P127" s="8"/>
      <c r="Q127" s="8"/>
      <c r="R127" s="8"/>
      <c r="S127" s="8"/>
      <c r="T127" s="8"/>
      <c r="U127" s="8"/>
      <c r="V127" s="8"/>
      <c r="W127" s="8"/>
      <c r="X127" s="8"/>
      <c r="Y127" s="8"/>
      <c r="Z127" s="8"/>
    </row>
    <row r="128" ht="14.25" customHeight="1">
      <c r="A128" s="8">
        <v>24315.0</v>
      </c>
      <c r="B128" s="8" t="s">
        <v>24</v>
      </c>
      <c r="C128" s="8" t="s">
        <v>453</v>
      </c>
      <c r="D128" s="8">
        <v>2020.0</v>
      </c>
      <c r="E128" s="8" t="s">
        <v>454</v>
      </c>
      <c r="F128" s="8" t="s">
        <v>455</v>
      </c>
      <c r="G128" s="8">
        <v>23.0</v>
      </c>
      <c r="H128" s="8" t="s">
        <v>33</v>
      </c>
      <c r="I128" s="8" t="s">
        <v>33</v>
      </c>
      <c r="J128" s="8" t="s">
        <v>29</v>
      </c>
      <c r="K128" s="8"/>
      <c r="L128" s="8"/>
      <c r="M128" s="8"/>
      <c r="N128" s="8"/>
      <c r="O128" s="8"/>
      <c r="P128" s="8"/>
      <c r="Q128" s="8"/>
      <c r="R128" s="8"/>
      <c r="S128" s="8"/>
      <c r="T128" s="8"/>
      <c r="U128" s="8"/>
      <c r="V128" s="8"/>
      <c r="W128" s="8"/>
      <c r="X128" s="8"/>
      <c r="Y128" s="8"/>
      <c r="Z128" s="8"/>
    </row>
    <row r="129" ht="14.25" customHeight="1">
      <c r="A129" s="8">
        <v>25464.0</v>
      </c>
      <c r="B129" s="8" t="s">
        <v>24</v>
      </c>
      <c r="C129" s="8" t="s">
        <v>456</v>
      </c>
      <c r="D129" s="8">
        <v>2013.0</v>
      </c>
      <c r="E129" s="8" t="s">
        <v>457</v>
      </c>
      <c r="F129" s="8" t="s">
        <v>81</v>
      </c>
      <c r="G129" s="8">
        <v>76.0</v>
      </c>
      <c r="H129" s="11">
        <v>44593.0</v>
      </c>
      <c r="I129" s="8" t="s">
        <v>458</v>
      </c>
      <c r="J129" s="8" t="s">
        <v>29</v>
      </c>
      <c r="K129" s="8"/>
      <c r="L129" s="8"/>
      <c r="M129" s="8"/>
      <c r="N129" s="8"/>
      <c r="O129" s="8"/>
      <c r="P129" s="8"/>
      <c r="Q129" s="8"/>
      <c r="R129" s="8"/>
      <c r="S129" s="8"/>
      <c r="T129" s="8"/>
      <c r="U129" s="8"/>
      <c r="V129" s="8"/>
      <c r="W129" s="8"/>
      <c r="X129" s="8"/>
      <c r="Y129" s="8"/>
      <c r="Z129" s="8"/>
    </row>
    <row r="130" ht="14.25" customHeight="1">
      <c r="A130" s="8">
        <v>25037.0</v>
      </c>
      <c r="B130" s="8" t="s">
        <v>459</v>
      </c>
      <c r="C130" s="8" t="s">
        <v>460</v>
      </c>
      <c r="D130" s="8">
        <v>2019.0</v>
      </c>
      <c r="E130" s="8" t="s">
        <v>461</v>
      </c>
      <c r="F130" s="8" t="s">
        <v>462</v>
      </c>
      <c r="G130" s="8" t="s">
        <v>33</v>
      </c>
      <c r="H130" s="8" t="s">
        <v>33</v>
      </c>
      <c r="I130" s="8" t="s">
        <v>33</v>
      </c>
      <c r="J130" s="8" t="s">
        <v>29</v>
      </c>
      <c r="K130" s="8"/>
      <c r="L130" s="8"/>
      <c r="M130" s="8"/>
      <c r="N130" s="8"/>
      <c r="O130" s="8"/>
      <c r="P130" s="8"/>
      <c r="Q130" s="8"/>
      <c r="R130" s="8"/>
      <c r="S130" s="8"/>
      <c r="T130" s="8"/>
      <c r="U130" s="8"/>
      <c r="V130" s="8"/>
      <c r="W130" s="8"/>
      <c r="X130" s="8"/>
      <c r="Y130" s="8"/>
      <c r="Z130" s="8"/>
    </row>
    <row r="131" ht="14.25" customHeight="1">
      <c r="A131" s="8">
        <v>25287.0</v>
      </c>
      <c r="B131" s="8" t="s">
        <v>24</v>
      </c>
      <c r="C131" s="8" t="s">
        <v>463</v>
      </c>
      <c r="D131" s="8">
        <v>2006.0</v>
      </c>
      <c r="E131" s="8" t="s">
        <v>464</v>
      </c>
      <c r="F131" s="8" t="s">
        <v>64</v>
      </c>
      <c r="G131" s="8">
        <v>129.0</v>
      </c>
      <c r="H131" s="8">
        <v>3.0</v>
      </c>
      <c r="I131" s="8" t="s">
        <v>465</v>
      </c>
      <c r="J131" s="8" t="s">
        <v>29</v>
      </c>
      <c r="K131" s="8"/>
      <c r="L131" s="8"/>
      <c r="M131" s="8"/>
      <c r="N131" s="8"/>
      <c r="O131" s="8"/>
      <c r="P131" s="8"/>
      <c r="Q131" s="8"/>
      <c r="R131" s="8"/>
      <c r="S131" s="8"/>
      <c r="T131" s="8"/>
      <c r="U131" s="8"/>
      <c r="V131" s="8"/>
      <c r="W131" s="8"/>
      <c r="X131" s="8"/>
      <c r="Y131" s="8"/>
      <c r="Z131" s="8"/>
    </row>
    <row r="132" ht="14.25" customHeight="1">
      <c r="A132" s="8">
        <v>25696.0</v>
      </c>
      <c r="B132" s="8" t="s">
        <v>24</v>
      </c>
      <c r="C132" s="8" t="s">
        <v>466</v>
      </c>
      <c r="D132" s="8">
        <v>2010.0</v>
      </c>
      <c r="E132" s="8" t="s">
        <v>467</v>
      </c>
      <c r="F132" s="8" t="s">
        <v>56</v>
      </c>
      <c r="G132" s="8">
        <v>47.0</v>
      </c>
      <c r="H132" s="8">
        <v>3.0</v>
      </c>
      <c r="I132" s="8" t="s">
        <v>468</v>
      </c>
      <c r="J132" s="8" t="s">
        <v>29</v>
      </c>
      <c r="K132" s="8"/>
      <c r="L132" s="8"/>
      <c r="M132" s="8"/>
      <c r="N132" s="8"/>
      <c r="O132" s="8"/>
      <c r="P132" s="8"/>
      <c r="Q132" s="8"/>
      <c r="R132" s="8"/>
      <c r="S132" s="8"/>
      <c r="T132" s="8"/>
      <c r="U132" s="8"/>
      <c r="V132" s="8"/>
      <c r="W132" s="8"/>
      <c r="X132" s="8"/>
      <c r="Y132" s="8"/>
      <c r="Z132" s="8"/>
    </row>
    <row r="133" ht="14.25" customHeight="1">
      <c r="A133" s="8">
        <v>23626.0</v>
      </c>
      <c r="B133" s="8" t="s">
        <v>24</v>
      </c>
      <c r="C133" s="8" t="s">
        <v>469</v>
      </c>
      <c r="D133" s="8">
        <v>2017.0</v>
      </c>
      <c r="E133" s="8" t="s">
        <v>470</v>
      </c>
      <c r="F133" s="8" t="s">
        <v>365</v>
      </c>
      <c r="G133" s="8">
        <v>63.0</v>
      </c>
      <c r="H133" s="8">
        <v>3.0</v>
      </c>
      <c r="I133" s="8" t="s">
        <v>33</v>
      </c>
      <c r="J133" s="8" t="s">
        <v>29</v>
      </c>
      <c r="K133" s="8"/>
      <c r="L133" s="8"/>
      <c r="M133" s="8"/>
      <c r="N133" s="8"/>
      <c r="O133" s="8"/>
      <c r="P133" s="8"/>
      <c r="Q133" s="8"/>
      <c r="R133" s="8"/>
      <c r="S133" s="8"/>
      <c r="T133" s="8"/>
      <c r="U133" s="8"/>
      <c r="V133" s="8"/>
      <c r="W133" s="8"/>
      <c r="X133" s="8"/>
      <c r="Y133" s="8"/>
      <c r="Z133" s="8"/>
    </row>
    <row r="134" ht="14.25" customHeight="1">
      <c r="A134" s="8">
        <v>25511.0</v>
      </c>
      <c r="B134" s="8" t="s">
        <v>24</v>
      </c>
      <c r="C134" s="8" t="s">
        <v>471</v>
      </c>
      <c r="D134" s="8">
        <v>2020.0</v>
      </c>
      <c r="E134" s="8" t="s">
        <v>472</v>
      </c>
      <c r="F134" s="8" t="s">
        <v>473</v>
      </c>
      <c r="G134" s="8">
        <v>95.0</v>
      </c>
      <c r="H134" s="8" t="s">
        <v>33</v>
      </c>
      <c r="I134" s="8">
        <v>13.0</v>
      </c>
      <c r="J134" s="8" t="s">
        <v>29</v>
      </c>
      <c r="K134" s="8"/>
      <c r="L134" s="8"/>
      <c r="M134" s="8"/>
      <c r="N134" s="8"/>
      <c r="O134" s="8"/>
      <c r="P134" s="8"/>
      <c r="Q134" s="8"/>
      <c r="R134" s="8"/>
      <c r="S134" s="8"/>
      <c r="T134" s="8"/>
      <c r="U134" s="8"/>
      <c r="V134" s="8"/>
      <c r="W134" s="8"/>
      <c r="X134" s="8"/>
      <c r="Y134" s="8"/>
      <c r="Z134" s="8"/>
    </row>
    <row r="135" ht="14.25" customHeight="1">
      <c r="A135" s="8">
        <v>25133.0</v>
      </c>
      <c r="B135" s="8" t="s">
        <v>24</v>
      </c>
      <c r="C135" s="8" t="s">
        <v>474</v>
      </c>
      <c r="D135" s="8">
        <v>2006.0</v>
      </c>
      <c r="E135" s="8" t="s">
        <v>475</v>
      </c>
      <c r="F135" s="8" t="s">
        <v>422</v>
      </c>
      <c r="G135" s="8">
        <v>35.0</v>
      </c>
      <c r="H135" s="8">
        <v>6.0</v>
      </c>
      <c r="I135" s="8" t="s">
        <v>476</v>
      </c>
      <c r="J135" s="8" t="s">
        <v>29</v>
      </c>
      <c r="K135" s="8"/>
      <c r="L135" s="8"/>
      <c r="M135" s="8"/>
      <c r="N135" s="8"/>
      <c r="O135" s="8"/>
      <c r="P135" s="8"/>
      <c r="Q135" s="8"/>
      <c r="R135" s="8"/>
      <c r="S135" s="8"/>
      <c r="T135" s="8"/>
      <c r="U135" s="8"/>
      <c r="V135" s="8"/>
      <c r="W135" s="8"/>
      <c r="X135" s="8"/>
      <c r="Y135" s="8"/>
      <c r="Z135" s="8"/>
    </row>
    <row r="136" ht="14.25" customHeight="1">
      <c r="A136" s="8">
        <v>25315.0</v>
      </c>
      <c r="B136" s="8" t="s">
        <v>24</v>
      </c>
      <c r="C136" s="8" t="s">
        <v>477</v>
      </c>
      <c r="D136" s="8">
        <v>2012.0</v>
      </c>
      <c r="E136" s="8" t="s">
        <v>478</v>
      </c>
      <c r="F136" s="8" t="s">
        <v>60</v>
      </c>
      <c r="G136" s="8">
        <v>27.0</v>
      </c>
      <c r="H136" s="8">
        <v>2.0</v>
      </c>
      <c r="I136" s="8" t="s">
        <v>479</v>
      </c>
      <c r="J136" s="8" t="s">
        <v>29</v>
      </c>
      <c r="K136" s="8"/>
      <c r="L136" s="8"/>
      <c r="M136" s="8"/>
      <c r="N136" s="8"/>
      <c r="O136" s="8"/>
      <c r="P136" s="8"/>
      <c r="Q136" s="8"/>
      <c r="R136" s="8"/>
      <c r="S136" s="8"/>
      <c r="T136" s="8"/>
      <c r="U136" s="8"/>
      <c r="V136" s="8"/>
      <c r="W136" s="8"/>
      <c r="X136" s="8"/>
      <c r="Y136" s="8"/>
      <c r="Z136" s="8"/>
    </row>
    <row r="137" ht="14.25" customHeight="1">
      <c r="A137" s="8">
        <v>25384.0</v>
      </c>
      <c r="B137" s="8" t="s">
        <v>24</v>
      </c>
      <c r="C137" s="8" t="s">
        <v>480</v>
      </c>
      <c r="D137" s="8">
        <v>2016.0</v>
      </c>
      <c r="E137" s="8" t="s">
        <v>481</v>
      </c>
      <c r="F137" s="8" t="s">
        <v>60</v>
      </c>
      <c r="G137" s="8">
        <v>31.0</v>
      </c>
      <c r="H137" s="8">
        <v>4.0</v>
      </c>
      <c r="I137" s="8" t="s">
        <v>482</v>
      </c>
      <c r="J137" s="8" t="s">
        <v>29</v>
      </c>
      <c r="K137" s="8"/>
      <c r="L137" s="8"/>
      <c r="M137" s="8"/>
      <c r="N137" s="8"/>
      <c r="O137" s="8"/>
      <c r="P137" s="8"/>
      <c r="Q137" s="8"/>
      <c r="R137" s="8"/>
      <c r="S137" s="8"/>
      <c r="T137" s="8"/>
      <c r="U137" s="8"/>
      <c r="V137" s="8"/>
      <c r="W137" s="8"/>
      <c r="X137" s="8"/>
      <c r="Y137" s="8"/>
      <c r="Z137" s="8"/>
    </row>
    <row r="138" ht="14.25" customHeight="1">
      <c r="A138" s="8">
        <v>25270.0</v>
      </c>
      <c r="B138" s="8" t="s">
        <v>24</v>
      </c>
      <c r="C138" s="8" t="s">
        <v>483</v>
      </c>
      <c r="D138" s="8">
        <v>2020.0</v>
      </c>
      <c r="E138" s="8" t="s">
        <v>484</v>
      </c>
      <c r="F138" s="8" t="s">
        <v>485</v>
      </c>
      <c r="G138" s="8">
        <v>9.0</v>
      </c>
      <c r="H138" s="8">
        <v>1.0</v>
      </c>
      <c r="I138" s="8" t="s">
        <v>486</v>
      </c>
      <c r="J138" s="8" t="s">
        <v>29</v>
      </c>
      <c r="K138" s="8"/>
      <c r="L138" s="8"/>
      <c r="M138" s="8"/>
      <c r="N138" s="8"/>
      <c r="O138" s="8"/>
      <c r="P138" s="8"/>
      <c r="Q138" s="8"/>
      <c r="R138" s="8"/>
      <c r="S138" s="8"/>
      <c r="T138" s="8"/>
      <c r="U138" s="8"/>
      <c r="V138" s="8"/>
      <c r="W138" s="8"/>
      <c r="X138" s="8"/>
      <c r="Y138" s="8"/>
      <c r="Z138" s="8"/>
    </row>
    <row r="139" ht="14.25" customHeight="1">
      <c r="A139" s="8">
        <v>25526.0</v>
      </c>
      <c r="B139" s="8" t="s">
        <v>24</v>
      </c>
      <c r="C139" s="8" t="s">
        <v>487</v>
      </c>
      <c r="D139" s="8">
        <v>2015.0</v>
      </c>
      <c r="E139" s="8" t="s">
        <v>488</v>
      </c>
      <c r="F139" s="8" t="s">
        <v>36</v>
      </c>
      <c r="G139" s="8">
        <v>10.0</v>
      </c>
      <c r="H139" s="8">
        <v>12.0</v>
      </c>
      <c r="I139" s="8" t="s">
        <v>33</v>
      </c>
      <c r="J139" s="8" t="s">
        <v>29</v>
      </c>
      <c r="K139" s="8"/>
      <c r="L139" s="8"/>
      <c r="M139" s="8"/>
      <c r="N139" s="8"/>
      <c r="O139" s="8"/>
      <c r="P139" s="8"/>
      <c r="Q139" s="8"/>
      <c r="R139" s="8"/>
      <c r="S139" s="8"/>
      <c r="T139" s="8"/>
      <c r="U139" s="8"/>
      <c r="V139" s="8"/>
      <c r="W139" s="8"/>
      <c r="X139" s="8"/>
      <c r="Y139" s="8"/>
      <c r="Z139" s="8"/>
    </row>
    <row r="140" ht="14.25" customHeight="1">
      <c r="A140" s="8">
        <v>23566.0</v>
      </c>
      <c r="B140" s="8" t="s">
        <v>24</v>
      </c>
      <c r="C140" s="8" t="s">
        <v>489</v>
      </c>
      <c r="D140" s="8">
        <v>2018.0</v>
      </c>
      <c r="E140" s="8" t="s">
        <v>490</v>
      </c>
      <c r="F140" s="8" t="s">
        <v>64</v>
      </c>
      <c r="G140" s="8">
        <v>217.0</v>
      </c>
      <c r="H140" s="8" t="s">
        <v>33</v>
      </c>
      <c r="I140" s="8" t="s">
        <v>491</v>
      </c>
      <c r="J140" s="8" t="s">
        <v>29</v>
      </c>
      <c r="K140" s="8"/>
      <c r="L140" s="8"/>
      <c r="M140" s="8"/>
      <c r="N140" s="8"/>
      <c r="O140" s="8"/>
      <c r="P140" s="8"/>
      <c r="Q140" s="8"/>
      <c r="R140" s="8"/>
      <c r="S140" s="8"/>
      <c r="T140" s="8"/>
      <c r="U140" s="8"/>
      <c r="V140" s="8"/>
      <c r="W140" s="8"/>
      <c r="X140" s="8"/>
      <c r="Y140" s="8"/>
      <c r="Z140" s="8"/>
    </row>
    <row r="141" ht="14.25" customHeight="1">
      <c r="A141" s="8">
        <v>23795.0</v>
      </c>
      <c r="B141" s="8" t="s">
        <v>24</v>
      </c>
      <c r="C141" s="8" t="s">
        <v>492</v>
      </c>
      <c r="D141" s="8">
        <v>2016.0</v>
      </c>
      <c r="E141" s="8" t="s">
        <v>493</v>
      </c>
      <c r="F141" s="8" t="s">
        <v>494</v>
      </c>
      <c r="G141" s="8">
        <v>1.0</v>
      </c>
      <c r="H141" s="8">
        <v>4.0</v>
      </c>
      <c r="I141" s="8" t="s">
        <v>495</v>
      </c>
      <c r="J141" s="8" t="s">
        <v>29</v>
      </c>
      <c r="K141" s="8"/>
      <c r="L141" s="8"/>
      <c r="M141" s="8"/>
      <c r="N141" s="8"/>
      <c r="O141" s="8"/>
      <c r="P141" s="8"/>
      <c r="Q141" s="8"/>
      <c r="R141" s="8"/>
      <c r="S141" s="8"/>
      <c r="T141" s="8"/>
      <c r="U141" s="8"/>
      <c r="V141" s="8"/>
      <c r="W141" s="8"/>
      <c r="X141" s="8"/>
      <c r="Y141" s="8"/>
      <c r="Z141" s="8"/>
    </row>
    <row r="142" ht="14.25" customHeight="1">
      <c r="A142" s="8">
        <v>25059.0</v>
      </c>
      <c r="B142" s="8" t="s">
        <v>24</v>
      </c>
      <c r="C142" s="8" t="s">
        <v>496</v>
      </c>
      <c r="D142" s="8">
        <v>2018.0</v>
      </c>
      <c r="E142" s="8" t="s">
        <v>497</v>
      </c>
      <c r="F142" s="8" t="s">
        <v>64</v>
      </c>
      <c r="G142" s="8">
        <v>224.0</v>
      </c>
      <c r="H142" s="8" t="s">
        <v>33</v>
      </c>
      <c r="I142" s="8" t="s">
        <v>498</v>
      </c>
      <c r="J142" s="8" t="s">
        <v>29</v>
      </c>
      <c r="K142" s="8"/>
      <c r="L142" s="8"/>
      <c r="M142" s="8"/>
      <c r="N142" s="8"/>
      <c r="O142" s="8"/>
      <c r="P142" s="8"/>
      <c r="Q142" s="8"/>
      <c r="R142" s="8"/>
      <c r="S142" s="8"/>
      <c r="T142" s="8"/>
      <c r="U142" s="8"/>
      <c r="V142" s="8"/>
      <c r="W142" s="8"/>
      <c r="X142" s="8"/>
      <c r="Y142" s="8"/>
      <c r="Z142" s="8"/>
    </row>
    <row r="143" ht="14.25" customHeight="1">
      <c r="A143" s="8">
        <v>25390.0</v>
      </c>
      <c r="B143" s="8" t="s">
        <v>24</v>
      </c>
      <c r="C143" s="8" t="s">
        <v>499</v>
      </c>
      <c r="D143" s="8">
        <v>2015.0</v>
      </c>
      <c r="E143" s="8" t="s">
        <v>500</v>
      </c>
      <c r="F143" s="8" t="s">
        <v>473</v>
      </c>
      <c r="G143" s="8">
        <v>42.0</v>
      </c>
      <c r="H143" s="8" t="s">
        <v>33</v>
      </c>
      <c r="I143" s="8" t="s">
        <v>501</v>
      </c>
      <c r="J143" s="8" t="s">
        <v>29</v>
      </c>
      <c r="K143" s="8"/>
      <c r="L143" s="8"/>
      <c r="M143" s="8"/>
      <c r="N143" s="8"/>
      <c r="O143" s="8"/>
      <c r="P143" s="8"/>
      <c r="Q143" s="8"/>
      <c r="R143" s="8"/>
      <c r="S143" s="8"/>
      <c r="T143" s="8"/>
      <c r="U143" s="8"/>
      <c r="V143" s="8"/>
      <c r="W143" s="8"/>
      <c r="X143" s="8"/>
      <c r="Y143" s="8"/>
      <c r="Z143" s="8"/>
    </row>
    <row r="144" ht="14.25" customHeight="1">
      <c r="A144" s="8">
        <v>24642.0</v>
      </c>
      <c r="B144" s="8" t="s">
        <v>24</v>
      </c>
      <c r="C144" s="8" t="s">
        <v>502</v>
      </c>
      <c r="D144" s="8">
        <v>2017.0</v>
      </c>
      <c r="E144" s="8" t="s">
        <v>503</v>
      </c>
      <c r="F144" s="8" t="s">
        <v>256</v>
      </c>
      <c r="G144" s="8">
        <v>137.0</v>
      </c>
      <c r="H144" s="8" t="s">
        <v>33</v>
      </c>
      <c r="I144" s="11">
        <v>44866.0</v>
      </c>
      <c r="J144" s="8" t="s">
        <v>29</v>
      </c>
      <c r="K144" s="8"/>
      <c r="L144" s="8"/>
      <c r="M144" s="8"/>
      <c r="N144" s="8"/>
      <c r="O144" s="8"/>
      <c r="P144" s="8"/>
      <c r="Q144" s="8"/>
      <c r="R144" s="8"/>
      <c r="S144" s="8"/>
      <c r="T144" s="8"/>
      <c r="U144" s="8"/>
      <c r="V144" s="8"/>
      <c r="W144" s="8"/>
      <c r="X144" s="8"/>
      <c r="Y144" s="8"/>
      <c r="Z144" s="8"/>
    </row>
    <row r="145" ht="14.25" customHeight="1">
      <c r="A145" s="8">
        <v>23293.0</v>
      </c>
      <c r="B145" s="8" t="s">
        <v>24</v>
      </c>
      <c r="C145" s="8" t="s">
        <v>504</v>
      </c>
      <c r="D145" s="8">
        <v>2018.0</v>
      </c>
      <c r="E145" s="8" t="s">
        <v>505</v>
      </c>
      <c r="F145" s="8" t="s">
        <v>64</v>
      </c>
      <c r="G145" s="8">
        <v>218.0</v>
      </c>
      <c r="H145" s="8" t="s">
        <v>33</v>
      </c>
      <c r="I145" s="8" t="s">
        <v>506</v>
      </c>
      <c r="J145" s="8" t="s">
        <v>29</v>
      </c>
      <c r="K145" s="8"/>
      <c r="L145" s="8"/>
      <c r="M145" s="8"/>
      <c r="N145" s="8"/>
      <c r="O145" s="8"/>
      <c r="P145" s="8"/>
      <c r="Q145" s="8"/>
      <c r="R145" s="8"/>
      <c r="S145" s="8"/>
      <c r="T145" s="8"/>
      <c r="U145" s="8"/>
      <c r="V145" s="8"/>
      <c r="W145" s="8"/>
      <c r="X145" s="8"/>
      <c r="Y145" s="8"/>
      <c r="Z145" s="8"/>
    </row>
    <row r="146" ht="14.25" customHeight="1">
      <c r="A146" s="8">
        <v>25724.0</v>
      </c>
      <c r="B146" s="8" t="s">
        <v>24</v>
      </c>
      <c r="C146" s="8" t="s">
        <v>507</v>
      </c>
      <c r="D146" s="8">
        <v>2020.0</v>
      </c>
      <c r="E146" s="8" t="s">
        <v>508</v>
      </c>
      <c r="F146" s="8" t="s">
        <v>509</v>
      </c>
      <c r="G146" s="8">
        <v>6.0</v>
      </c>
      <c r="H146" s="8">
        <v>1.0</v>
      </c>
      <c r="I146" s="8" t="s">
        <v>510</v>
      </c>
      <c r="J146" s="8" t="s">
        <v>29</v>
      </c>
      <c r="K146" s="8"/>
      <c r="L146" s="8"/>
      <c r="M146" s="8"/>
      <c r="N146" s="8"/>
      <c r="O146" s="8"/>
      <c r="P146" s="8"/>
      <c r="Q146" s="8"/>
      <c r="R146" s="8"/>
      <c r="S146" s="8"/>
      <c r="T146" s="8"/>
      <c r="U146" s="8"/>
      <c r="V146" s="8"/>
      <c r="W146" s="8"/>
      <c r="X146" s="8"/>
      <c r="Y146" s="8"/>
      <c r="Z146" s="8"/>
    </row>
    <row r="147" ht="14.25" customHeight="1">
      <c r="A147" s="8">
        <v>24886.0</v>
      </c>
      <c r="B147" s="8" t="s">
        <v>24</v>
      </c>
      <c r="C147" s="8" t="s">
        <v>511</v>
      </c>
      <c r="D147" s="8">
        <v>2018.0</v>
      </c>
      <c r="E147" s="8" t="s">
        <v>512</v>
      </c>
      <c r="F147" s="8" t="s">
        <v>455</v>
      </c>
      <c r="G147" s="8">
        <v>16.0</v>
      </c>
      <c r="H147" s="8" t="s">
        <v>33</v>
      </c>
      <c r="I147" s="8" t="s">
        <v>33</v>
      </c>
      <c r="J147" s="8" t="s">
        <v>29</v>
      </c>
      <c r="K147" s="8"/>
      <c r="L147" s="8"/>
      <c r="M147" s="8"/>
      <c r="N147" s="8"/>
      <c r="O147" s="8"/>
      <c r="P147" s="8"/>
      <c r="Q147" s="8"/>
      <c r="R147" s="8"/>
      <c r="S147" s="8"/>
      <c r="T147" s="8"/>
      <c r="U147" s="8"/>
      <c r="V147" s="8"/>
      <c r="W147" s="8"/>
      <c r="X147" s="8"/>
      <c r="Y147" s="8"/>
      <c r="Z147" s="8"/>
    </row>
    <row r="148" ht="14.25" customHeight="1">
      <c r="A148" s="8">
        <v>25229.0</v>
      </c>
      <c r="B148" s="8" t="s">
        <v>24</v>
      </c>
      <c r="C148" s="8" t="s">
        <v>513</v>
      </c>
      <c r="D148" s="8">
        <v>2016.0</v>
      </c>
      <c r="E148" s="8" t="s">
        <v>514</v>
      </c>
      <c r="F148" s="8" t="s">
        <v>515</v>
      </c>
      <c r="G148" s="8">
        <v>71.0</v>
      </c>
      <c r="H148" s="8" t="s">
        <v>33</v>
      </c>
      <c r="I148" s="10">
        <v>45170.0</v>
      </c>
      <c r="J148" s="8" t="s">
        <v>29</v>
      </c>
      <c r="K148" s="8"/>
      <c r="L148" s="8"/>
      <c r="M148" s="8"/>
      <c r="N148" s="8"/>
      <c r="O148" s="8"/>
      <c r="P148" s="8"/>
      <c r="Q148" s="8"/>
      <c r="R148" s="8"/>
      <c r="S148" s="8"/>
      <c r="T148" s="8"/>
      <c r="U148" s="8"/>
      <c r="V148" s="8"/>
      <c r="W148" s="8"/>
      <c r="X148" s="8"/>
      <c r="Y148" s="8"/>
      <c r="Z148" s="8"/>
    </row>
    <row r="149" ht="14.25" customHeight="1">
      <c r="A149" s="8">
        <v>23046.0</v>
      </c>
      <c r="B149" s="8" t="s">
        <v>24</v>
      </c>
      <c r="C149" s="8" t="s">
        <v>516</v>
      </c>
      <c r="D149" s="8">
        <v>2015.0</v>
      </c>
      <c r="E149" s="8" t="s">
        <v>517</v>
      </c>
      <c r="F149" s="8" t="s">
        <v>518</v>
      </c>
      <c r="G149" s="8">
        <v>8.0</v>
      </c>
      <c r="H149" s="8">
        <v>3.0</v>
      </c>
      <c r="I149" s="8" t="s">
        <v>519</v>
      </c>
      <c r="J149" s="8" t="s">
        <v>29</v>
      </c>
      <c r="K149" s="8"/>
      <c r="L149" s="8"/>
      <c r="M149" s="8"/>
      <c r="N149" s="8"/>
      <c r="O149" s="8"/>
      <c r="P149" s="8"/>
      <c r="Q149" s="8"/>
      <c r="R149" s="8"/>
      <c r="S149" s="8"/>
      <c r="T149" s="8"/>
      <c r="U149" s="8"/>
      <c r="V149" s="8"/>
      <c r="W149" s="8"/>
      <c r="X149" s="8"/>
      <c r="Y149" s="8"/>
      <c r="Z149" s="8"/>
    </row>
    <row r="150" ht="14.25" customHeight="1">
      <c r="A150" s="8">
        <v>23744.0</v>
      </c>
      <c r="B150" s="8" t="s">
        <v>24</v>
      </c>
      <c r="C150" s="8" t="s">
        <v>520</v>
      </c>
      <c r="D150" s="8">
        <v>2017.0</v>
      </c>
      <c r="E150" s="8" t="s">
        <v>521</v>
      </c>
      <c r="F150" s="8" t="s">
        <v>522</v>
      </c>
      <c r="G150" s="8">
        <v>27.0</v>
      </c>
      <c r="H150" s="8">
        <v>5.0</v>
      </c>
      <c r="I150" s="8" t="s">
        <v>523</v>
      </c>
      <c r="J150" s="8" t="s">
        <v>29</v>
      </c>
      <c r="K150" s="8"/>
      <c r="L150" s="8"/>
      <c r="M150" s="8"/>
      <c r="N150" s="8"/>
      <c r="O150" s="8"/>
      <c r="P150" s="8"/>
      <c r="Q150" s="8"/>
      <c r="R150" s="8"/>
      <c r="S150" s="8"/>
      <c r="T150" s="8"/>
      <c r="U150" s="8"/>
      <c r="V150" s="8"/>
      <c r="W150" s="8"/>
      <c r="X150" s="8"/>
      <c r="Y150" s="8"/>
      <c r="Z150" s="8"/>
    </row>
    <row r="151" ht="14.25" customHeight="1">
      <c r="A151" s="8">
        <v>24096.0</v>
      </c>
      <c r="B151" s="8" t="s">
        <v>24</v>
      </c>
      <c r="C151" s="8" t="s">
        <v>524</v>
      </c>
      <c r="D151" s="8">
        <v>2018.0</v>
      </c>
      <c r="E151" s="8" t="s">
        <v>525</v>
      </c>
      <c r="F151" s="8" t="s">
        <v>286</v>
      </c>
      <c r="G151" s="8">
        <v>190.0</v>
      </c>
      <c r="H151" s="8">
        <v>2.0</v>
      </c>
      <c r="I151" s="8">
        <v>12.0</v>
      </c>
      <c r="J151" s="8" t="s">
        <v>29</v>
      </c>
      <c r="K151" s="8"/>
      <c r="L151" s="8"/>
      <c r="M151" s="8"/>
      <c r="N151" s="8"/>
      <c r="O151" s="8"/>
      <c r="P151" s="8"/>
      <c r="Q151" s="8"/>
      <c r="R151" s="8"/>
      <c r="S151" s="8"/>
      <c r="T151" s="8"/>
      <c r="U151" s="8"/>
      <c r="V151" s="8"/>
      <c r="W151" s="8"/>
      <c r="X151" s="8"/>
      <c r="Y151" s="8"/>
      <c r="Z151" s="8"/>
    </row>
    <row r="152" ht="14.25" customHeight="1">
      <c r="A152" s="8">
        <v>25520.0</v>
      </c>
      <c r="B152" s="8" t="s">
        <v>24</v>
      </c>
      <c r="C152" s="8" t="s">
        <v>526</v>
      </c>
      <c r="D152" s="8">
        <v>2018.0</v>
      </c>
      <c r="E152" s="8" t="s">
        <v>527</v>
      </c>
      <c r="F152" s="8" t="s">
        <v>515</v>
      </c>
      <c r="G152" s="8">
        <v>93.0</v>
      </c>
      <c r="H152" s="8" t="s">
        <v>33</v>
      </c>
      <c r="I152" s="8" t="s">
        <v>528</v>
      </c>
      <c r="J152" s="8" t="s">
        <v>29</v>
      </c>
      <c r="K152" s="8"/>
      <c r="L152" s="8"/>
      <c r="M152" s="8"/>
      <c r="N152" s="8"/>
      <c r="O152" s="8"/>
      <c r="P152" s="8"/>
      <c r="Q152" s="8"/>
      <c r="R152" s="8"/>
      <c r="S152" s="8"/>
      <c r="T152" s="8"/>
      <c r="U152" s="8"/>
      <c r="V152" s="8"/>
      <c r="W152" s="8"/>
      <c r="X152" s="8"/>
      <c r="Y152" s="8"/>
      <c r="Z152" s="8"/>
    </row>
    <row r="153" ht="14.25" customHeight="1">
      <c r="A153" s="8">
        <v>25076.0</v>
      </c>
      <c r="B153" s="8" t="s">
        <v>24</v>
      </c>
      <c r="C153" s="8" t="s">
        <v>529</v>
      </c>
      <c r="D153" s="8">
        <v>2020.0</v>
      </c>
      <c r="E153" s="8" t="s">
        <v>530</v>
      </c>
      <c r="F153" s="8" t="s">
        <v>531</v>
      </c>
      <c r="G153" s="8">
        <v>61.0</v>
      </c>
      <c r="H153" s="8">
        <v>1.0</v>
      </c>
      <c r="I153" s="8" t="s">
        <v>532</v>
      </c>
      <c r="J153" s="8" t="s">
        <v>29</v>
      </c>
      <c r="K153" s="8"/>
      <c r="L153" s="8"/>
      <c r="M153" s="8"/>
      <c r="N153" s="8"/>
      <c r="O153" s="8"/>
      <c r="P153" s="8"/>
      <c r="Q153" s="8"/>
      <c r="R153" s="8"/>
      <c r="S153" s="8"/>
      <c r="T153" s="8"/>
      <c r="U153" s="8"/>
      <c r="V153" s="8"/>
      <c r="W153" s="8"/>
      <c r="X153" s="8"/>
      <c r="Y153" s="8"/>
      <c r="Z153" s="8"/>
    </row>
    <row r="154" ht="14.25" customHeight="1">
      <c r="A154" s="8">
        <v>25084.0</v>
      </c>
      <c r="B154" s="8" t="s">
        <v>24</v>
      </c>
      <c r="C154" s="8" t="s">
        <v>533</v>
      </c>
      <c r="D154" s="8">
        <v>2011.0</v>
      </c>
      <c r="E154" s="8" t="s">
        <v>534</v>
      </c>
      <c r="F154" s="8" t="s">
        <v>522</v>
      </c>
      <c r="G154" s="8">
        <v>21.0</v>
      </c>
      <c r="H154" s="8">
        <v>1.0</v>
      </c>
      <c r="I154" s="8" t="s">
        <v>535</v>
      </c>
      <c r="J154" s="8" t="s">
        <v>29</v>
      </c>
      <c r="K154" s="8"/>
      <c r="L154" s="8"/>
      <c r="M154" s="8"/>
      <c r="N154" s="8"/>
      <c r="O154" s="8"/>
      <c r="P154" s="8"/>
      <c r="Q154" s="8"/>
      <c r="R154" s="8"/>
      <c r="S154" s="8"/>
      <c r="T154" s="8"/>
      <c r="U154" s="8"/>
      <c r="V154" s="8"/>
      <c r="W154" s="8"/>
      <c r="X154" s="8"/>
      <c r="Y154" s="8"/>
      <c r="Z154" s="8"/>
    </row>
    <row r="155" ht="14.25" customHeight="1">
      <c r="A155" s="8">
        <v>24215.0</v>
      </c>
      <c r="B155" s="8" t="s">
        <v>24</v>
      </c>
      <c r="C155" s="8" t="s">
        <v>536</v>
      </c>
      <c r="D155" s="8">
        <v>2008.0</v>
      </c>
      <c r="E155" s="8" t="s">
        <v>537</v>
      </c>
      <c r="F155" s="8" t="s">
        <v>538</v>
      </c>
      <c r="G155" s="8">
        <v>5.0</v>
      </c>
      <c r="H155" s="8">
        <v>1.0</v>
      </c>
      <c r="I155" s="8" t="s">
        <v>539</v>
      </c>
      <c r="J155" s="8" t="s">
        <v>29</v>
      </c>
      <c r="K155" s="8"/>
      <c r="L155" s="8"/>
      <c r="M155" s="8"/>
      <c r="N155" s="8"/>
      <c r="O155" s="8"/>
      <c r="P155" s="8"/>
      <c r="Q155" s="8"/>
      <c r="R155" s="8"/>
      <c r="S155" s="8"/>
      <c r="T155" s="8"/>
      <c r="U155" s="8"/>
      <c r="V155" s="8"/>
      <c r="W155" s="8"/>
      <c r="X155" s="8"/>
      <c r="Y155" s="8"/>
      <c r="Z155" s="8"/>
    </row>
    <row r="156" ht="14.25" customHeight="1">
      <c r="A156" s="8">
        <v>24304.0</v>
      </c>
      <c r="B156" s="8" t="s">
        <v>24</v>
      </c>
      <c r="C156" s="8" t="s">
        <v>540</v>
      </c>
      <c r="D156" s="8">
        <v>2010.0</v>
      </c>
      <c r="E156" s="8" t="s">
        <v>541</v>
      </c>
      <c r="F156" s="8" t="s">
        <v>74</v>
      </c>
      <c r="G156" s="8">
        <v>18.0</v>
      </c>
      <c r="H156" s="8">
        <v>3.0</v>
      </c>
      <c r="I156" s="8" t="s">
        <v>542</v>
      </c>
      <c r="J156" s="8" t="s">
        <v>29</v>
      </c>
      <c r="K156" s="8"/>
      <c r="L156" s="8"/>
      <c r="M156" s="8"/>
      <c r="N156" s="8"/>
      <c r="O156" s="8"/>
      <c r="P156" s="8"/>
      <c r="Q156" s="8"/>
      <c r="R156" s="8"/>
      <c r="S156" s="8"/>
      <c r="T156" s="8"/>
      <c r="U156" s="8"/>
      <c r="V156" s="8"/>
      <c r="W156" s="8"/>
      <c r="X156" s="8"/>
      <c r="Y156" s="8"/>
      <c r="Z156" s="8"/>
    </row>
    <row r="157" ht="14.25" customHeight="1">
      <c r="A157" s="8">
        <v>23663.0</v>
      </c>
      <c r="B157" s="8" t="s">
        <v>24</v>
      </c>
      <c r="C157" s="8" t="s">
        <v>543</v>
      </c>
      <c r="D157" s="8">
        <v>2020.0</v>
      </c>
      <c r="E157" s="8" t="s">
        <v>544</v>
      </c>
      <c r="F157" s="8" t="s">
        <v>545</v>
      </c>
      <c r="G157" s="8">
        <v>12.0</v>
      </c>
      <c r="H157" s="8">
        <v>15.0</v>
      </c>
      <c r="I157" s="8" t="s">
        <v>33</v>
      </c>
      <c r="J157" s="8" t="s">
        <v>29</v>
      </c>
      <c r="K157" s="8"/>
      <c r="L157" s="8"/>
      <c r="M157" s="8"/>
      <c r="N157" s="8"/>
      <c r="O157" s="8"/>
      <c r="P157" s="8"/>
      <c r="Q157" s="8"/>
      <c r="R157" s="8"/>
      <c r="S157" s="8"/>
      <c r="T157" s="8"/>
      <c r="U157" s="8"/>
      <c r="V157" s="8"/>
      <c r="W157" s="8"/>
      <c r="X157" s="8"/>
      <c r="Y157" s="8"/>
      <c r="Z157" s="8"/>
    </row>
    <row r="158" ht="14.25" customHeight="1">
      <c r="A158" s="8">
        <v>24247.0</v>
      </c>
      <c r="B158" s="8" t="s">
        <v>24</v>
      </c>
      <c r="C158" s="8" t="s">
        <v>546</v>
      </c>
      <c r="D158" s="8">
        <v>2018.0</v>
      </c>
      <c r="E158" s="8" t="s">
        <v>547</v>
      </c>
      <c r="F158" s="8" t="s">
        <v>548</v>
      </c>
      <c r="G158" s="8">
        <v>239.0</v>
      </c>
      <c r="H158" s="8" t="s">
        <v>33</v>
      </c>
      <c r="I158" s="8" t="s">
        <v>549</v>
      </c>
      <c r="J158" s="8" t="s">
        <v>29</v>
      </c>
      <c r="K158" s="8"/>
      <c r="L158" s="8"/>
      <c r="M158" s="8"/>
      <c r="N158" s="8"/>
      <c r="O158" s="8"/>
      <c r="P158" s="8"/>
      <c r="Q158" s="8"/>
      <c r="R158" s="8"/>
      <c r="S158" s="8"/>
      <c r="T158" s="8"/>
      <c r="U158" s="8"/>
      <c r="V158" s="8"/>
      <c r="W158" s="8"/>
      <c r="X158" s="8"/>
      <c r="Y158" s="8"/>
      <c r="Z158" s="8"/>
    </row>
    <row r="159" ht="14.25" customHeight="1">
      <c r="A159" s="8">
        <v>24738.0</v>
      </c>
      <c r="B159" s="8" t="s">
        <v>24</v>
      </c>
      <c r="C159" s="8" t="s">
        <v>550</v>
      </c>
      <c r="D159" s="8">
        <v>2011.0</v>
      </c>
      <c r="E159" s="8" t="s">
        <v>551</v>
      </c>
      <c r="F159" s="8" t="s">
        <v>552</v>
      </c>
      <c r="G159" s="8">
        <v>17.0</v>
      </c>
      <c r="H159" s="8">
        <v>6.0</v>
      </c>
      <c r="I159" s="8" t="s">
        <v>553</v>
      </c>
      <c r="J159" s="8" t="s">
        <v>29</v>
      </c>
      <c r="K159" s="8"/>
      <c r="L159" s="8"/>
      <c r="M159" s="8"/>
      <c r="N159" s="8"/>
      <c r="O159" s="8"/>
      <c r="P159" s="8"/>
      <c r="Q159" s="8"/>
      <c r="R159" s="8"/>
      <c r="S159" s="8"/>
      <c r="T159" s="8"/>
      <c r="U159" s="8"/>
      <c r="V159" s="8"/>
      <c r="W159" s="8"/>
      <c r="X159" s="8"/>
      <c r="Y159" s="8"/>
      <c r="Z159" s="8"/>
    </row>
    <row r="160" ht="14.25" customHeight="1">
      <c r="A160" s="8">
        <v>25805.0</v>
      </c>
      <c r="B160" s="8" t="s">
        <v>24</v>
      </c>
      <c r="C160" s="8" t="s">
        <v>554</v>
      </c>
      <c r="D160" s="8">
        <v>2008.0</v>
      </c>
      <c r="E160" s="8" t="s">
        <v>555</v>
      </c>
      <c r="F160" s="8" t="s">
        <v>64</v>
      </c>
      <c r="G160" s="8">
        <v>141.0</v>
      </c>
      <c r="H160" s="8">
        <v>12.0</v>
      </c>
      <c r="I160" s="8" t="s">
        <v>556</v>
      </c>
      <c r="J160" s="8" t="s">
        <v>29</v>
      </c>
      <c r="K160" s="8"/>
      <c r="L160" s="8"/>
      <c r="M160" s="8"/>
      <c r="N160" s="8"/>
      <c r="O160" s="8"/>
      <c r="P160" s="8"/>
      <c r="Q160" s="8"/>
      <c r="R160" s="8"/>
      <c r="S160" s="8"/>
      <c r="T160" s="8"/>
      <c r="U160" s="8"/>
      <c r="V160" s="8"/>
      <c r="W160" s="8"/>
      <c r="X160" s="8"/>
      <c r="Y160" s="8"/>
      <c r="Z160" s="8"/>
    </row>
    <row r="161" ht="14.25" customHeight="1">
      <c r="A161" s="8">
        <v>25146.0</v>
      </c>
      <c r="B161" s="8" t="s">
        <v>24</v>
      </c>
      <c r="C161" s="8" t="s">
        <v>557</v>
      </c>
      <c r="D161" s="8">
        <v>2006.0</v>
      </c>
      <c r="E161" s="8" t="s">
        <v>558</v>
      </c>
      <c r="F161" s="8" t="s">
        <v>552</v>
      </c>
      <c r="G161" s="8">
        <v>12.0</v>
      </c>
      <c r="H161" s="8">
        <v>3.0</v>
      </c>
      <c r="I161" s="8" t="s">
        <v>559</v>
      </c>
      <c r="J161" s="8" t="s">
        <v>29</v>
      </c>
      <c r="K161" s="8"/>
      <c r="L161" s="8"/>
      <c r="M161" s="8"/>
      <c r="N161" s="8"/>
      <c r="O161" s="8"/>
      <c r="P161" s="8"/>
      <c r="Q161" s="8"/>
      <c r="R161" s="8"/>
      <c r="S161" s="8"/>
      <c r="T161" s="8"/>
      <c r="U161" s="8"/>
      <c r="V161" s="8"/>
      <c r="W161" s="8"/>
      <c r="X161" s="8"/>
      <c r="Y161" s="8"/>
      <c r="Z161" s="8"/>
    </row>
    <row r="162" ht="14.25" customHeight="1">
      <c r="A162" s="8">
        <v>24682.0</v>
      </c>
      <c r="B162" s="8" t="s">
        <v>24</v>
      </c>
      <c r="C162" s="8" t="s">
        <v>560</v>
      </c>
      <c r="D162" s="8">
        <v>2014.0</v>
      </c>
      <c r="E162" s="8" t="s">
        <v>561</v>
      </c>
      <c r="F162" s="8" t="s">
        <v>74</v>
      </c>
      <c r="G162" s="8">
        <v>22.0</v>
      </c>
      <c r="H162" s="8">
        <v>6.0</v>
      </c>
      <c r="I162" s="8" t="s">
        <v>562</v>
      </c>
      <c r="J162" s="8" t="s">
        <v>29</v>
      </c>
      <c r="K162" s="8"/>
      <c r="L162" s="8"/>
      <c r="M162" s="8"/>
      <c r="N162" s="8"/>
      <c r="O162" s="8"/>
      <c r="P162" s="8"/>
      <c r="Q162" s="8"/>
      <c r="R162" s="8"/>
      <c r="S162" s="8"/>
      <c r="T162" s="8"/>
      <c r="U162" s="8"/>
      <c r="V162" s="8"/>
      <c r="W162" s="8"/>
      <c r="X162" s="8"/>
      <c r="Y162" s="8"/>
      <c r="Z162" s="8"/>
    </row>
    <row r="163" ht="14.25" customHeight="1">
      <c r="A163" s="8">
        <v>25753.0</v>
      </c>
      <c r="B163" s="8" t="s">
        <v>24</v>
      </c>
      <c r="C163" s="8" t="s">
        <v>563</v>
      </c>
      <c r="D163" s="8">
        <v>2019.0</v>
      </c>
      <c r="E163" s="8" t="s">
        <v>564</v>
      </c>
      <c r="F163" s="8" t="s">
        <v>56</v>
      </c>
      <c r="G163" s="8">
        <v>56.0</v>
      </c>
      <c r="H163" s="8">
        <v>11.0</v>
      </c>
      <c r="I163" s="8" t="s">
        <v>565</v>
      </c>
      <c r="J163" s="8" t="s">
        <v>29</v>
      </c>
      <c r="K163" s="8"/>
      <c r="L163" s="8"/>
      <c r="M163" s="8"/>
      <c r="N163" s="8"/>
      <c r="O163" s="8"/>
      <c r="P163" s="8"/>
      <c r="Q163" s="8"/>
      <c r="R163" s="8"/>
      <c r="S163" s="8"/>
      <c r="T163" s="8"/>
      <c r="U163" s="8"/>
      <c r="V163" s="8"/>
      <c r="W163" s="8"/>
      <c r="X163" s="8"/>
      <c r="Y163" s="8"/>
      <c r="Z163" s="8"/>
    </row>
    <row r="164" ht="14.25" customHeight="1">
      <c r="A164" s="8">
        <v>25598.0</v>
      </c>
      <c r="B164" s="8" t="s">
        <v>24</v>
      </c>
      <c r="C164" s="8" t="s">
        <v>566</v>
      </c>
      <c r="D164" s="8">
        <v>2019.0</v>
      </c>
      <c r="E164" s="8" t="s">
        <v>567</v>
      </c>
      <c r="F164" s="8" t="s">
        <v>568</v>
      </c>
      <c r="G164" s="8">
        <v>54.0</v>
      </c>
      <c r="H164" s="8">
        <v>2.0</v>
      </c>
      <c r="I164" s="8" t="s">
        <v>569</v>
      </c>
      <c r="J164" s="8" t="s">
        <v>29</v>
      </c>
      <c r="K164" s="8"/>
      <c r="L164" s="8"/>
      <c r="M164" s="8"/>
      <c r="N164" s="8"/>
      <c r="O164" s="8"/>
      <c r="P164" s="8"/>
      <c r="Q164" s="8"/>
      <c r="R164" s="8"/>
      <c r="S164" s="8"/>
      <c r="T164" s="8"/>
      <c r="U164" s="8"/>
      <c r="V164" s="8"/>
      <c r="W164" s="8"/>
      <c r="X164" s="8"/>
      <c r="Y164" s="8"/>
      <c r="Z164" s="8"/>
    </row>
    <row r="165" ht="14.25" customHeight="1">
      <c r="A165" s="8">
        <v>26036.0</v>
      </c>
      <c r="B165" s="8" t="s">
        <v>24</v>
      </c>
      <c r="C165" s="8" t="s">
        <v>570</v>
      </c>
      <c r="D165" s="8">
        <v>2016.0</v>
      </c>
      <c r="E165" s="8" t="s">
        <v>571</v>
      </c>
      <c r="F165" s="8" t="s">
        <v>117</v>
      </c>
      <c r="G165" s="8">
        <v>351.0</v>
      </c>
      <c r="H165" s="8">
        <v>6269.0</v>
      </c>
      <c r="I165" s="8" t="s">
        <v>572</v>
      </c>
      <c r="J165" s="8" t="s">
        <v>29</v>
      </c>
      <c r="K165" s="8"/>
      <c r="L165" s="8"/>
      <c r="M165" s="8"/>
      <c r="N165" s="8"/>
      <c r="O165" s="8"/>
      <c r="P165" s="8"/>
      <c r="Q165" s="8"/>
      <c r="R165" s="8"/>
      <c r="S165" s="8"/>
      <c r="T165" s="8"/>
      <c r="U165" s="8"/>
      <c r="V165" s="8"/>
      <c r="W165" s="8"/>
      <c r="X165" s="8"/>
      <c r="Y165" s="8"/>
      <c r="Z165" s="8"/>
    </row>
    <row r="166" ht="14.25" customHeight="1">
      <c r="A166" s="8">
        <v>23920.0</v>
      </c>
      <c r="B166" s="8" t="s">
        <v>24</v>
      </c>
      <c r="C166" s="8" t="s">
        <v>573</v>
      </c>
      <c r="D166" s="8">
        <v>2008.0</v>
      </c>
      <c r="E166" s="8" t="s">
        <v>574</v>
      </c>
      <c r="F166" s="8" t="s">
        <v>538</v>
      </c>
      <c r="G166" s="8">
        <v>6.0</v>
      </c>
      <c r="H166" s="8">
        <v>1.0</v>
      </c>
      <c r="I166" s="8" t="s">
        <v>575</v>
      </c>
      <c r="J166" s="8" t="s">
        <v>29</v>
      </c>
      <c r="K166" s="8"/>
      <c r="L166" s="8"/>
      <c r="M166" s="8"/>
      <c r="N166" s="8"/>
      <c r="O166" s="8"/>
      <c r="P166" s="8"/>
      <c r="Q166" s="8"/>
      <c r="R166" s="8"/>
      <c r="S166" s="8"/>
      <c r="T166" s="8"/>
      <c r="U166" s="8"/>
      <c r="V166" s="8"/>
      <c r="W166" s="8"/>
      <c r="X166" s="8"/>
      <c r="Y166" s="8"/>
      <c r="Z166" s="8"/>
    </row>
    <row r="167" ht="14.25" customHeight="1">
      <c r="A167" s="8">
        <v>24742.0</v>
      </c>
      <c r="B167" s="8" t="s">
        <v>576</v>
      </c>
      <c r="C167" s="8" t="s">
        <v>577</v>
      </c>
      <c r="D167" s="8">
        <v>2009.0</v>
      </c>
      <c r="E167" s="8" t="s">
        <v>578</v>
      </c>
      <c r="F167" s="8" t="s">
        <v>462</v>
      </c>
      <c r="G167" s="8" t="s">
        <v>33</v>
      </c>
      <c r="H167" s="8" t="s">
        <v>33</v>
      </c>
      <c r="I167" s="8">
        <v>184.0</v>
      </c>
      <c r="J167" s="8" t="s">
        <v>29</v>
      </c>
      <c r="K167" s="8"/>
      <c r="L167" s="8"/>
      <c r="M167" s="8"/>
      <c r="N167" s="8"/>
      <c r="O167" s="8"/>
      <c r="P167" s="8"/>
      <c r="Q167" s="8"/>
      <c r="R167" s="8"/>
      <c r="S167" s="8"/>
      <c r="T167" s="8"/>
      <c r="U167" s="8"/>
      <c r="V167" s="8"/>
      <c r="W167" s="8"/>
      <c r="X167" s="8"/>
      <c r="Y167" s="8"/>
      <c r="Z167" s="8"/>
    </row>
    <row r="168" ht="14.25" customHeight="1">
      <c r="A168" s="8">
        <v>24329.0</v>
      </c>
      <c r="B168" s="8" t="s">
        <v>24</v>
      </c>
      <c r="C168" s="8" t="s">
        <v>579</v>
      </c>
      <c r="D168" s="8">
        <v>2013.0</v>
      </c>
      <c r="E168" s="8" t="s">
        <v>580</v>
      </c>
      <c r="F168" s="8" t="s">
        <v>581</v>
      </c>
      <c r="G168" s="8">
        <v>28.0</v>
      </c>
      <c r="H168" s="8">
        <v>2.0</v>
      </c>
      <c r="I168" s="8" t="s">
        <v>582</v>
      </c>
      <c r="J168" s="8" t="s">
        <v>29</v>
      </c>
      <c r="K168" s="8"/>
      <c r="L168" s="8"/>
      <c r="M168" s="8"/>
      <c r="N168" s="8"/>
      <c r="O168" s="8"/>
      <c r="P168" s="8"/>
      <c r="Q168" s="8"/>
      <c r="R168" s="8"/>
      <c r="S168" s="8"/>
      <c r="T168" s="8"/>
      <c r="U168" s="8"/>
      <c r="V168" s="8"/>
      <c r="W168" s="8"/>
      <c r="X168" s="8"/>
      <c r="Y168" s="8"/>
      <c r="Z168" s="8"/>
    </row>
    <row r="169" ht="14.25" customHeight="1">
      <c r="A169" s="8">
        <v>23202.0</v>
      </c>
      <c r="B169" s="8" t="s">
        <v>24</v>
      </c>
      <c r="C169" s="8" t="s">
        <v>583</v>
      </c>
      <c r="D169" s="8">
        <v>2016.0</v>
      </c>
      <c r="E169" s="8" t="s">
        <v>584</v>
      </c>
      <c r="F169" s="8" t="s">
        <v>53</v>
      </c>
      <c r="G169" s="8">
        <v>7.0</v>
      </c>
      <c r="H169" s="8">
        <v>9.0</v>
      </c>
      <c r="I169" s="8" t="s">
        <v>33</v>
      </c>
      <c r="J169" s="8" t="s">
        <v>29</v>
      </c>
      <c r="K169" s="8"/>
      <c r="L169" s="8"/>
      <c r="M169" s="8"/>
      <c r="N169" s="8"/>
      <c r="O169" s="8"/>
      <c r="P169" s="8"/>
      <c r="Q169" s="8"/>
      <c r="R169" s="8"/>
      <c r="S169" s="8"/>
      <c r="T169" s="8"/>
      <c r="U169" s="8"/>
      <c r="V169" s="8"/>
      <c r="W169" s="8"/>
      <c r="X169" s="8"/>
      <c r="Y169" s="8"/>
      <c r="Z169" s="8"/>
    </row>
    <row r="170" ht="14.25" customHeight="1">
      <c r="A170" s="8">
        <v>24633.0</v>
      </c>
      <c r="B170" s="8" t="s">
        <v>24</v>
      </c>
      <c r="C170" s="8" t="s">
        <v>585</v>
      </c>
      <c r="D170" s="8">
        <v>2011.0</v>
      </c>
      <c r="E170" s="8" t="s">
        <v>586</v>
      </c>
      <c r="F170" s="8" t="s">
        <v>587</v>
      </c>
      <c r="G170" s="8">
        <v>11.0</v>
      </c>
      <c r="H170" s="8" t="s">
        <v>303</v>
      </c>
      <c r="I170" s="8" t="s">
        <v>588</v>
      </c>
      <c r="J170" s="8" t="s">
        <v>29</v>
      </c>
      <c r="K170" s="8"/>
      <c r="L170" s="8"/>
      <c r="M170" s="8"/>
      <c r="N170" s="8"/>
      <c r="O170" s="8"/>
      <c r="P170" s="8"/>
      <c r="Q170" s="8"/>
      <c r="R170" s="8"/>
      <c r="S170" s="8"/>
      <c r="T170" s="8"/>
      <c r="U170" s="8"/>
      <c r="V170" s="8"/>
      <c r="W170" s="8"/>
      <c r="X170" s="8"/>
      <c r="Y170" s="8"/>
      <c r="Z170" s="8"/>
    </row>
    <row r="171" ht="14.25" customHeight="1">
      <c r="A171" s="8">
        <v>25911.0</v>
      </c>
      <c r="B171" s="8" t="s">
        <v>24</v>
      </c>
      <c r="C171" s="8" t="s">
        <v>589</v>
      </c>
      <c r="D171" s="8">
        <v>2017.0</v>
      </c>
      <c r="E171" s="8" t="s">
        <v>590</v>
      </c>
      <c r="F171" s="8" t="s">
        <v>591</v>
      </c>
      <c r="G171" s="8">
        <v>22.0</v>
      </c>
      <c r="H171" s="8">
        <v>8.0</v>
      </c>
      <c r="I171" s="8" t="s">
        <v>592</v>
      </c>
      <c r="J171" s="8" t="s">
        <v>29</v>
      </c>
      <c r="K171" s="8"/>
      <c r="L171" s="8"/>
      <c r="M171" s="8"/>
      <c r="N171" s="8"/>
      <c r="O171" s="8"/>
      <c r="P171" s="8"/>
      <c r="Q171" s="8"/>
      <c r="R171" s="8"/>
      <c r="S171" s="8"/>
      <c r="T171" s="8"/>
      <c r="U171" s="8"/>
      <c r="V171" s="8"/>
      <c r="W171" s="8"/>
      <c r="X171" s="8"/>
      <c r="Y171" s="8"/>
      <c r="Z171" s="8"/>
    </row>
    <row r="172" ht="14.25" customHeight="1">
      <c r="A172" s="8">
        <v>23652.0</v>
      </c>
      <c r="B172" s="8" t="s">
        <v>24</v>
      </c>
      <c r="C172" s="8" t="s">
        <v>593</v>
      </c>
      <c r="D172" s="8">
        <v>2019.0</v>
      </c>
      <c r="E172" s="8" t="s">
        <v>594</v>
      </c>
      <c r="F172" s="8" t="s">
        <v>595</v>
      </c>
      <c r="G172" s="8">
        <v>44.0</v>
      </c>
      <c r="H172" s="8">
        <v>2.0</v>
      </c>
      <c r="I172" s="8" t="s">
        <v>596</v>
      </c>
      <c r="J172" s="8" t="s">
        <v>29</v>
      </c>
      <c r="K172" s="8"/>
      <c r="L172" s="8"/>
      <c r="M172" s="8"/>
      <c r="N172" s="8"/>
      <c r="O172" s="8"/>
      <c r="P172" s="8"/>
      <c r="Q172" s="8"/>
      <c r="R172" s="8"/>
      <c r="S172" s="8"/>
      <c r="T172" s="8"/>
      <c r="U172" s="8"/>
      <c r="V172" s="8"/>
      <c r="W172" s="8"/>
      <c r="X172" s="8"/>
      <c r="Y172" s="8"/>
      <c r="Z172" s="8"/>
    </row>
    <row r="173" ht="14.25" customHeight="1">
      <c r="A173" s="8">
        <v>25821.0</v>
      </c>
      <c r="B173" s="8" t="s">
        <v>24</v>
      </c>
      <c r="C173" s="8" t="s">
        <v>597</v>
      </c>
      <c r="D173" s="8">
        <v>2020.0</v>
      </c>
      <c r="E173" s="8" t="s">
        <v>598</v>
      </c>
      <c r="F173" s="8" t="s">
        <v>97</v>
      </c>
      <c r="G173" s="8">
        <v>26.0</v>
      </c>
      <c r="H173" s="8">
        <v>1.0</v>
      </c>
      <c r="I173" s="8" t="s">
        <v>599</v>
      </c>
      <c r="J173" s="8" t="s">
        <v>29</v>
      </c>
      <c r="K173" s="8"/>
      <c r="L173" s="8"/>
      <c r="M173" s="8"/>
      <c r="N173" s="8"/>
      <c r="O173" s="8"/>
      <c r="P173" s="8"/>
      <c r="Q173" s="8"/>
      <c r="R173" s="8"/>
      <c r="S173" s="8"/>
      <c r="T173" s="8"/>
      <c r="U173" s="8"/>
      <c r="V173" s="8"/>
      <c r="W173" s="8"/>
      <c r="X173" s="8"/>
      <c r="Y173" s="8"/>
      <c r="Z173" s="8"/>
    </row>
    <row r="174" ht="14.25" customHeight="1">
      <c r="A174" s="8">
        <v>24739.0</v>
      </c>
      <c r="B174" s="8" t="s">
        <v>24</v>
      </c>
      <c r="C174" s="8" t="s">
        <v>600</v>
      </c>
      <c r="D174" s="8">
        <v>2015.0</v>
      </c>
      <c r="E174" s="8" t="s">
        <v>601</v>
      </c>
      <c r="F174" s="8" t="s">
        <v>602</v>
      </c>
      <c r="G174" s="8">
        <v>42.0</v>
      </c>
      <c r="H174" s="8">
        <v>12.0</v>
      </c>
      <c r="I174" s="8" t="s">
        <v>603</v>
      </c>
      <c r="J174" s="8" t="s">
        <v>29</v>
      </c>
      <c r="K174" s="8"/>
      <c r="L174" s="8"/>
      <c r="M174" s="8"/>
      <c r="N174" s="8"/>
      <c r="O174" s="8"/>
      <c r="P174" s="8"/>
      <c r="Q174" s="8"/>
      <c r="R174" s="8"/>
      <c r="S174" s="8"/>
      <c r="T174" s="8"/>
      <c r="U174" s="8"/>
      <c r="V174" s="8"/>
      <c r="W174" s="8"/>
      <c r="X174" s="8"/>
      <c r="Y174" s="8"/>
      <c r="Z174" s="8"/>
    </row>
    <row r="175" ht="14.25" customHeight="1">
      <c r="A175" s="8">
        <v>23743.0</v>
      </c>
      <c r="B175" s="8" t="s">
        <v>24</v>
      </c>
      <c r="C175" s="8" t="s">
        <v>520</v>
      </c>
      <c r="D175" s="8">
        <v>2015.0</v>
      </c>
      <c r="E175" s="8" t="s">
        <v>604</v>
      </c>
      <c r="F175" s="8" t="s">
        <v>605</v>
      </c>
      <c r="G175" s="8">
        <v>85.0</v>
      </c>
      <c r="H175" s="8" t="s">
        <v>33</v>
      </c>
      <c r="I175" s="8" t="s">
        <v>606</v>
      </c>
      <c r="J175" s="8" t="s">
        <v>29</v>
      </c>
      <c r="K175" s="8"/>
      <c r="L175" s="8"/>
      <c r="M175" s="8"/>
      <c r="N175" s="8"/>
      <c r="O175" s="8"/>
      <c r="P175" s="8"/>
      <c r="Q175" s="8"/>
      <c r="R175" s="8"/>
      <c r="S175" s="8"/>
      <c r="T175" s="8"/>
      <c r="U175" s="8"/>
      <c r="V175" s="8"/>
      <c r="W175" s="8"/>
      <c r="X175" s="8"/>
      <c r="Y175" s="8"/>
      <c r="Z175" s="8"/>
    </row>
    <row r="176" ht="14.25" customHeight="1">
      <c r="A176" s="8">
        <v>24601.0</v>
      </c>
      <c r="B176" s="8" t="s">
        <v>24</v>
      </c>
      <c r="C176" s="8" t="s">
        <v>607</v>
      </c>
      <c r="D176" s="8">
        <v>2004.0</v>
      </c>
      <c r="E176" s="8" t="s">
        <v>608</v>
      </c>
      <c r="F176" s="8" t="s">
        <v>438</v>
      </c>
      <c r="G176" s="8">
        <v>68.0</v>
      </c>
      <c r="H176" s="8">
        <v>4.0</v>
      </c>
      <c r="I176" s="8" t="s">
        <v>609</v>
      </c>
      <c r="J176" s="8" t="s">
        <v>29</v>
      </c>
      <c r="K176" s="8"/>
      <c r="L176" s="8"/>
      <c r="M176" s="8"/>
      <c r="N176" s="8"/>
      <c r="O176" s="8"/>
      <c r="P176" s="8"/>
      <c r="Q176" s="8"/>
      <c r="R176" s="8"/>
      <c r="S176" s="8"/>
      <c r="T176" s="8"/>
      <c r="U176" s="8"/>
      <c r="V176" s="8"/>
      <c r="W176" s="8"/>
      <c r="X176" s="8"/>
      <c r="Y176" s="8"/>
      <c r="Z176" s="8"/>
    </row>
    <row r="177" ht="14.25" customHeight="1">
      <c r="A177" s="8">
        <v>23649.0</v>
      </c>
      <c r="B177" s="8" t="s">
        <v>24</v>
      </c>
      <c r="C177" s="8" t="s">
        <v>610</v>
      </c>
      <c r="D177" s="8">
        <v>2019.0</v>
      </c>
      <c r="E177" s="8" t="s">
        <v>611</v>
      </c>
      <c r="F177" s="8" t="s">
        <v>97</v>
      </c>
      <c r="G177" s="8">
        <v>25.0</v>
      </c>
      <c r="H177" s="8">
        <v>6.0</v>
      </c>
      <c r="I177" s="8" t="s">
        <v>612</v>
      </c>
      <c r="J177" s="8" t="s">
        <v>29</v>
      </c>
      <c r="K177" s="8"/>
      <c r="L177" s="8"/>
      <c r="M177" s="8"/>
      <c r="N177" s="8"/>
      <c r="O177" s="8"/>
      <c r="P177" s="8"/>
      <c r="Q177" s="8"/>
      <c r="R177" s="8"/>
      <c r="S177" s="8"/>
      <c r="T177" s="8"/>
      <c r="U177" s="8"/>
      <c r="V177" s="8"/>
      <c r="W177" s="8"/>
      <c r="X177" s="8"/>
      <c r="Y177" s="8"/>
      <c r="Z177" s="8"/>
    </row>
    <row r="178" ht="14.25" customHeight="1">
      <c r="A178" s="8">
        <v>24900.0</v>
      </c>
      <c r="B178" s="8" t="s">
        <v>24</v>
      </c>
      <c r="C178" s="8" t="s">
        <v>613</v>
      </c>
      <c r="D178" s="8">
        <v>2018.0</v>
      </c>
      <c r="E178" s="8" t="s">
        <v>614</v>
      </c>
      <c r="F178" s="8" t="s">
        <v>615</v>
      </c>
      <c r="G178" s="8">
        <v>27.0</v>
      </c>
      <c r="H178" s="8">
        <v>8.0</v>
      </c>
      <c r="I178" s="8" t="s">
        <v>616</v>
      </c>
      <c r="J178" s="8" t="s">
        <v>29</v>
      </c>
      <c r="K178" s="8"/>
      <c r="L178" s="8"/>
      <c r="M178" s="8"/>
      <c r="N178" s="8"/>
      <c r="O178" s="8"/>
      <c r="P178" s="8"/>
      <c r="Q178" s="8"/>
      <c r="R178" s="8"/>
      <c r="S178" s="8"/>
      <c r="T178" s="8"/>
      <c r="U178" s="8"/>
      <c r="V178" s="8"/>
      <c r="W178" s="8"/>
      <c r="X178" s="8"/>
      <c r="Y178" s="8"/>
      <c r="Z178" s="8"/>
    </row>
    <row r="179" ht="14.25" customHeight="1">
      <c r="A179" s="8">
        <v>24567.0</v>
      </c>
      <c r="B179" s="8" t="s">
        <v>24</v>
      </c>
      <c r="C179" s="8" t="s">
        <v>406</v>
      </c>
      <c r="D179" s="8">
        <v>2020.0</v>
      </c>
      <c r="E179" s="8" t="s">
        <v>617</v>
      </c>
      <c r="F179" s="8" t="s">
        <v>618</v>
      </c>
      <c r="G179" s="8">
        <v>18.0</v>
      </c>
      <c r="H179" s="8">
        <v>2.0</v>
      </c>
      <c r="I179" s="8" t="s">
        <v>619</v>
      </c>
      <c r="J179" s="8" t="s">
        <v>29</v>
      </c>
      <c r="K179" s="8"/>
      <c r="L179" s="8"/>
      <c r="M179" s="8"/>
      <c r="N179" s="8"/>
      <c r="O179" s="8"/>
      <c r="P179" s="8"/>
      <c r="Q179" s="8"/>
      <c r="R179" s="8"/>
      <c r="S179" s="8"/>
      <c r="T179" s="8"/>
      <c r="U179" s="8"/>
      <c r="V179" s="8"/>
      <c r="W179" s="8"/>
      <c r="X179" s="8"/>
      <c r="Y179" s="8"/>
      <c r="Z179" s="8"/>
    </row>
    <row r="180" ht="14.25" customHeight="1">
      <c r="A180" s="8">
        <v>25884.0</v>
      </c>
      <c r="B180" s="8" t="s">
        <v>24</v>
      </c>
      <c r="C180" s="8" t="s">
        <v>620</v>
      </c>
      <c r="D180" s="8">
        <v>2019.0</v>
      </c>
      <c r="E180" s="8" t="s">
        <v>621</v>
      </c>
      <c r="F180" s="8" t="s">
        <v>36</v>
      </c>
      <c r="G180" s="8">
        <v>14.0</v>
      </c>
      <c r="H180" s="8">
        <v>12.0</v>
      </c>
      <c r="I180" s="8" t="s">
        <v>33</v>
      </c>
      <c r="J180" s="8" t="s">
        <v>29</v>
      </c>
      <c r="K180" s="8"/>
      <c r="L180" s="8"/>
      <c r="M180" s="8"/>
      <c r="N180" s="8"/>
      <c r="O180" s="8"/>
      <c r="P180" s="8"/>
      <c r="Q180" s="8"/>
      <c r="R180" s="8"/>
      <c r="S180" s="8"/>
      <c r="T180" s="8"/>
      <c r="U180" s="8"/>
      <c r="V180" s="8"/>
      <c r="W180" s="8"/>
      <c r="X180" s="8"/>
      <c r="Y180" s="8"/>
      <c r="Z180" s="8"/>
    </row>
    <row r="181" ht="14.25" customHeight="1">
      <c r="A181" s="8">
        <v>23978.0</v>
      </c>
      <c r="B181" s="8" t="s">
        <v>24</v>
      </c>
      <c r="C181" s="8" t="s">
        <v>622</v>
      </c>
      <c r="D181" s="8">
        <v>2018.0</v>
      </c>
      <c r="E181" s="8" t="s">
        <v>623</v>
      </c>
      <c r="F181" s="8" t="s">
        <v>624</v>
      </c>
      <c r="G181" s="8">
        <v>746.0</v>
      </c>
      <c r="H181" s="8" t="s">
        <v>33</v>
      </c>
      <c r="I181" s="10">
        <v>44927.0</v>
      </c>
      <c r="J181" s="8" t="s">
        <v>29</v>
      </c>
      <c r="K181" s="8"/>
      <c r="L181" s="8"/>
      <c r="M181" s="8"/>
      <c r="N181" s="8"/>
      <c r="O181" s="8"/>
      <c r="P181" s="8"/>
      <c r="Q181" s="8"/>
      <c r="R181" s="8"/>
      <c r="S181" s="8"/>
      <c r="T181" s="8"/>
      <c r="U181" s="8"/>
      <c r="V181" s="8"/>
      <c r="W181" s="8"/>
      <c r="X181" s="8"/>
      <c r="Y181" s="8"/>
      <c r="Z181" s="8"/>
    </row>
    <row r="182" ht="14.25" customHeight="1">
      <c r="A182" s="8">
        <v>25372.0</v>
      </c>
      <c r="B182" s="8" t="s">
        <v>24</v>
      </c>
      <c r="C182" s="8" t="s">
        <v>625</v>
      </c>
      <c r="D182" s="8">
        <v>2016.0</v>
      </c>
      <c r="E182" s="8" t="s">
        <v>626</v>
      </c>
      <c r="F182" s="8" t="s">
        <v>627</v>
      </c>
      <c r="G182" s="8">
        <v>3.0</v>
      </c>
      <c r="H182" s="8">
        <v>10.0</v>
      </c>
      <c r="I182" s="8" t="s">
        <v>33</v>
      </c>
      <c r="J182" s="8" t="s">
        <v>29</v>
      </c>
      <c r="K182" s="8"/>
      <c r="L182" s="8"/>
      <c r="M182" s="8"/>
      <c r="N182" s="8"/>
      <c r="O182" s="8"/>
      <c r="P182" s="8"/>
      <c r="Q182" s="8"/>
      <c r="R182" s="8"/>
      <c r="S182" s="8"/>
      <c r="T182" s="8"/>
      <c r="U182" s="8"/>
      <c r="V182" s="8"/>
      <c r="W182" s="8"/>
      <c r="X182" s="8"/>
      <c r="Y182" s="8"/>
      <c r="Z182" s="8"/>
    </row>
    <row r="183" ht="14.25" customHeight="1">
      <c r="A183" s="8">
        <v>26145.0</v>
      </c>
      <c r="B183" s="8" t="s">
        <v>24</v>
      </c>
      <c r="C183" s="8" t="s">
        <v>628</v>
      </c>
      <c r="D183" s="8">
        <v>2009.0</v>
      </c>
      <c r="E183" s="8" t="s">
        <v>629</v>
      </c>
      <c r="F183" s="8" t="s">
        <v>64</v>
      </c>
      <c r="G183" s="8">
        <v>142.0</v>
      </c>
      <c r="H183" s="8">
        <v>7.0</v>
      </c>
      <c r="I183" s="8" t="s">
        <v>630</v>
      </c>
      <c r="J183" s="8" t="s">
        <v>29</v>
      </c>
      <c r="K183" s="8"/>
      <c r="L183" s="8"/>
      <c r="M183" s="8"/>
      <c r="N183" s="8"/>
      <c r="O183" s="8"/>
      <c r="P183" s="8"/>
      <c r="Q183" s="8"/>
      <c r="R183" s="8"/>
      <c r="S183" s="8"/>
      <c r="T183" s="8"/>
      <c r="U183" s="8"/>
      <c r="V183" s="8"/>
      <c r="W183" s="8"/>
      <c r="X183" s="8"/>
      <c r="Y183" s="8"/>
      <c r="Z183" s="8"/>
    </row>
    <row r="184" ht="14.25" customHeight="1">
      <c r="A184" s="8">
        <v>23391.0</v>
      </c>
      <c r="B184" s="8" t="s">
        <v>24</v>
      </c>
      <c r="C184" s="8" t="s">
        <v>631</v>
      </c>
      <c r="D184" s="8">
        <v>2002.0</v>
      </c>
      <c r="E184" s="8" t="s">
        <v>632</v>
      </c>
      <c r="F184" s="8" t="s">
        <v>56</v>
      </c>
      <c r="G184" s="8">
        <v>39.0</v>
      </c>
      <c r="H184" s="8">
        <v>6.0</v>
      </c>
      <c r="I184" s="8" t="s">
        <v>633</v>
      </c>
      <c r="J184" s="8" t="s">
        <v>29</v>
      </c>
      <c r="K184" s="8"/>
      <c r="L184" s="8"/>
      <c r="M184" s="8"/>
      <c r="N184" s="8"/>
      <c r="O184" s="8"/>
      <c r="P184" s="8"/>
      <c r="Q184" s="8"/>
      <c r="R184" s="8"/>
      <c r="S184" s="8"/>
      <c r="T184" s="8"/>
      <c r="U184" s="8"/>
      <c r="V184" s="8"/>
      <c r="W184" s="8"/>
      <c r="X184" s="8"/>
      <c r="Y184" s="8"/>
      <c r="Z184" s="8"/>
    </row>
    <row r="185" ht="14.25" customHeight="1">
      <c r="A185" s="8">
        <v>23653.0</v>
      </c>
      <c r="B185" s="8" t="s">
        <v>24</v>
      </c>
      <c r="C185" s="8" t="s">
        <v>634</v>
      </c>
      <c r="D185" s="8">
        <v>2017.0</v>
      </c>
      <c r="E185" s="8" t="s">
        <v>635</v>
      </c>
      <c r="F185" s="8" t="s">
        <v>636</v>
      </c>
      <c r="G185" s="8">
        <v>101.0</v>
      </c>
      <c r="H185" s="8" t="s">
        <v>33</v>
      </c>
      <c r="I185" s="8" t="s">
        <v>637</v>
      </c>
      <c r="J185" s="8" t="s">
        <v>29</v>
      </c>
      <c r="K185" s="8"/>
      <c r="L185" s="8"/>
      <c r="M185" s="8"/>
      <c r="N185" s="8"/>
      <c r="O185" s="8"/>
      <c r="P185" s="8"/>
      <c r="Q185" s="8"/>
      <c r="R185" s="8"/>
      <c r="S185" s="8"/>
      <c r="T185" s="8"/>
      <c r="U185" s="8"/>
      <c r="V185" s="8"/>
      <c r="W185" s="8"/>
      <c r="X185" s="8"/>
      <c r="Y185" s="8"/>
      <c r="Z185" s="8"/>
    </row>
    <row r="186" ht="14.25" customHeight="1">
      <c r="A186" s="8">
        <v>25525.0</v>
      </c>
      <c r="B186" s="8" t="s">
        <v>24</v>
      </c>
      <c r="C186" s="8" t="s">
        <v>487</v>
      </c>
      <c r="D186" s="8">
        <v>2013.0</v>
      </c>
      <c r="E186" s="8" t="s">
        <v>638</v>
      </c>
      <c r="F186" s="8" t="s">
        <v>639</v>
      </c>
      <c r="G186" s="8">
        <v>4.0</v>
      </c>
      <c r="H186" s="8">
        <v>4.0</v>
      </c>
      <c r="I186" s="8" t="s">
        <v>33</v>
      </c>
      <c r="J186" s="8" t="s">
        <v>29</v>
      </c>
      <c r="K186" s="8"/>
      <c r="L186" s="8"/>
      <c r="M186" s="8"/>
      <c r="N186" s="8"/>
      <c r="O186" s="8"/>
      <c r="P186" s="8"/>
      <c r="Q186" s="8"/>
      <c r="R186" s="8"/>
      <c r="S186" s="8"/>
      <c r="T186" s="8"/>
      <c r="U186" s="8"/>
      <c r="V186" s="8"/>
      <c r="W186" s="8"/>
      <c r="X186" s="8"/>
      <c r="Y186" s="8"/>
      <c r="Z186" s="8"/>
    </row>
    <row r="187" ht="14.25" customHeight="1">
      <c r="A187" s="8">
        <v>24328.0</v>
      </c>
      <c r="B187" s="8" t="s">
        <v>24</v>
      </c>
      <c r="C187" s="8" t="s">
        <v>640</v>
      </c>
      <c r="D187" s="8">
        <v>2018.0</v>
      </c>
      <c r="E187" s="8" t="s">
        <v>641</v>
      </c>
      <c r="F187" s="8" t="s">
        <v>642</v>
      </c>
      <c r="G187" s="8">
        <v>8.0</v>
      </c>
      <c r="H187" s="8" t="s">
        <v>33</v>
      </c>
      <c r="I187" s="10">
        <v>41275.0</v>
      </c>
      <c r="J187" s="8" t="s">
        <v>29</v>
      </c>
      <c r="K187" s="8"/>
      <c r="L187" s="8"/>
      <c r="M187" s="8"/>
      <c r="N187" s="8"/>
      <c r="O187" s="8"/>
      <c r="P187" s="8"/>
      <c r="Q187" s="8"/>
      <c r="R187" s="8"/>
      <c r="S187" s="8"/>
      <c r="T187" s="8"/>
      <c r="U187" s="8"/>
      <c r="V187" s="8"/>
      <c r="W187" s="8"/>
      <c r="X187" s="8"/>
      <c r="Y187" s="8"/>
      <c r="Z187" s="8"/>
    </row>
    <row r="188" ht="14.25" customHeight="1">
      <c r="A188" s="8">
        <v>24879.0</v>
      </c>
      <c r="B188" s="8" t="s">
        <v>24</v>
      </c>
      <c r="C188" s="8" t="s">
        <v>643</v>
      </c>
      <c r="D188" s="8">
        <v>2019.0</v>
      </c>
      <c r="E188" s="8" t="s">
        <v>644</v>
      </c>
      <c r="F188" s="8" t="s">
        <v>645</v>
      </c>
      <c r="G188" s="8">
        <v>178.0</v>
      </c>
      <c r="H188" s="8" t="s">
        <v>33</v>
      </c>
      <c r="I188" s="8" t="s">
        <v>33</v>
      </c>
      <c r="J188" s="8" t="s">
        <v>29</v>
      </c>
      <c r="K188" s="8"/>
      <c r="L188" s="8"/>
      <c r="M188" s="8"/>
      <c r="N188" s="8"/>
      <c r="O188" s="8"/>
      <c r="P188" s="8"/>
      <c r="Q188" s="8"/>
      <c r="R188" s="8"/>
      <c r="S188" s="8"/>
      <c r="T188" s="8"/>
      <c r="U188" s="8"/>
      <c r="V188" s="8"/>
      <c r="W188" s="8"/>
      <c r="X188" s="8"/>
      <c r="Y188" s="8"/>
      <c r="Z188" s="8"/>
    </row>
    <row r="189" ht="14.25" customHeight="1">
      <c r="A189" s="8">
        <v>23340.0</v>
      </c>
      <c r="B189" s="8" t="s">
        <v>24</v>
      </c>
      <c r="C189" s="8" t="s">
        <v>646</v>
      </c>
      <c r="D189" s="8">
        <v>2016.0</v>
      </c>
      <c r="E189" s="8" t="s">
        <v>647</v>
      </c>
      <c r="F189" s="8" t="s">
        <v>648</v>
      </c>
      <c r="G189" s="8">
        <v>16.0</v>
      </c>
      <c r="H189" s="8" t="s">
        <v>33</v>
      </c>
      <c r="I189" s="8" t="s">
        <v>649</v>
      </c>
      <c r="J189" s="8" t="s">
        <v>29</v>
      </c>
      <c r="K189" s="8"/>
      <c r="L189" s="8"/>
      <c r="M189" s="8"/>
      <c r="N189" s="8"/>
      <c r="O189" s="8"/>
      <c r="P189" s="8"/>
      <c r="Q189" s="8"/>
      <c r="R189" s="8"/>
      <c r="S189" s="8"/>
      <c r="T189" s="8"/>
      <c r="U189" s="8"/>
      <c r="V189" s="8"/>
      <c r="W189" s="8"/>
      <c r="X189" s="8"/>
      <c r="Y189" s="8"/>
      <c r="Z189" s="8"/>
    </row>
    <row r="190" ht="14.25" customHeight="1">
      <c r="A190" s="8">
        <v>24199.0</v>
      </c>
      <c r="B190" s="8" t="s">
        <v>24</v>
      </c>
      <c r="C190" s="8" t="s">
        <v>650</v>
      </c>
      <c r="D190" s="8">
        <v>2015.0</v>
      </c>
      <c r="E190" s="8" t="s">
        <v>651</v>
      </c>
      <c r="F190" s="8" t="s">
        <v>56</v>
      </c>
      <c r="G190" s="8">
        <v>52.0</v>
      </c>
      <c r="H190" s="8">
        <v>4.0</v>
      </c>
      <c r="I190" s="8" t="s">
        <v>652</v>
      </c>
      <c r="J190" s="8" t="s">
        <v>29</v>
      </c>
      <c r="K190" s="8"/>
      <c r="L190" s="8"/>
      <c r="M190" s="8"/>
      <c r="N190" s="8"/>
      <c r="O190" s="8"/>
      <c r="P190" s="8"/>
      <c r="Q190" s="8"/>
      <c r="R190" s="8"/>
      <c r="S190" s="8"/>
      <c r="T190" s="8"/>
      <c r="U190" s="8"/>
      <c r="V190" s="8"/>
      <c r="W190" s="8"/>
      <c r="X190" s="8"/>
      <c r="Y190" s="8"/>
      <c r="Z190" s="8"/>
    </row>
    <row r="191" ht="14.25" customHeight="1">
      <c r="A191" s="8">
        <v>25089.0</v>
      </c>
      <c r="B191" s="8" t="s">
        <v>653</v>
      </c>
      <c r="C191" s="8" t="s">
        <v>654</v>
      </c>
      <c r="D191" s="8">
        <v>2012.0</v>
      </c>
      <c r="E191" s="8" t="s">
        <v>655</v>
      </c>
      <c r="F191" s="8" t="s">
        <v>656</v>
      </c>
      <c r="G191" s="8" t="s">
        <v>33</v>
      </c>
      <c r="H191" s="8" t="s">
        <v>33</v>
      </c>
      <c r="I191" s="8" t="s">
        <v>657</v>
      </c>
      <c r="J191" s="8" t="s">
        <v>29</v>
      </c>
      <c r="K191" s="8"/>
      <c r="L191" s="8"/>
      <c r="M191" s="8"/>
      <c r="N191" s="8"/>
      <c r="O191" s="8"/>
      <c r="P191" s="8"/>
      <c r="Q191" s="8"/>
      <c r="R191" s="8"/>
      <c r="S191" s="8"/>
      <c r="T191" s="8"/>
      <c r="U191" s="8"/>
      <c r="V191" s="8"/>
      <c r="W191" s="8"/>
      <c r="X191" s="8"/>
      <c r="Y191" s="8"/>
      <c r="Z191" s="8"/>
    </row>
    <row r="192" ht="14.25" customHeight="1">
      <c r="A192" s="8">
        <v>24789.0</v>
      </c>
      <c r="B192" s="8" t="s">
        <v>24</v>
      </c>
      <c r="C192" s="8" t="s">
        <v>658</v>
      </c>
      <c r="D192" s="8">
        <v>2017.0</v>
      </c>
      <c r="E192" s="8" t="s">
        <v>659</v>
      </c>
      <c r="F192" s="8" t="s">
        <v>192</v>
      </c>
      <c r="G192" s="8">
        <v>6.0</v>
      </c>
      <c r="H192" s="8">
        <v>1.0</v>
      </c>
      <c r="I192" s="8" t="s">
        <v>33</v>
      </c>
      <c r="J192" s="8" t="s">
        <v>29</v>
      </c>
      <c r="K192" s="8"/>
      <c r="L192" s="8"/>
      <c r="M192" s="8"/>
      <c r="N192" s="8"/>
      <c r="O192" s="8"/>
      <c r="P192" s="8"/>
      <c r="Q192" s="8"/>
      <c r="R192" s="8"/>
      <c r="S192" s="8"/>
      <c r="T192" s="8"/>
      <c r="U192" s="8"/>
      <c r="V192" s="8"/>
      <c r="W192" s="8"/>
      <c r="X192" s="8"/>
      <c r="Y192" s="8"/>
      <c r="Z192" s="8"/>
    </row>
    <row r="193" ht="14.25" customHeight="1">
      <c r="A193" s="8">
        <v>23726.0</v>
      </c>
      <c r="B193" s="8" t="s">
        <v>24</v>
      </c>
      <c r="C193" s="8" t="s">
        <v>660</v>
      </c>
      <c r="D193" s="8">
        <v>2018.0</v>
      </c>
      <c r="E193" s="8" t="s">
        <v>661</v>
      </c>
      <c r="F193" s="8" t="s">
        <v>260</v>
      </c>
      <c r="G193" s="8">
        <v>9.0</v>
      </c>
      <c r="H193" s="8" t="s">
        <v>33</v>
      </c>
      <c r="I193" s="8">
        <v>9.0</v>
      </c>
      <c r="J193" s="8" t="s">
        <v>29</v>
      </c>
      <c r="K193" s="8"/>
      <c r="L193" s="8"/>
      <c r="M193" s="8"/>
      <c r="N193" s="8"/>
      <c r="O193" s="8"/>
      <c r="P193" s="8"/>
      <c r="Q193" s="8"/>
      <c r="R193" s="8"/>
      <c r="S193" s="8"/>
      <c r="T193" s="8"/>
      <c r="U193" s="8"/>
      <c r="V193" s="8"/>
      <c r="W193" s="8"/>
      <c r="X193" s="8"/>
      <c r="Y193" s="8"/>
      <c r="Z193" s="8"/>
    </row>
    <row r="194" ht="14.25" customHeight="1">
      <c r="A194" s="8">
        <v>23477.0</v>
      </c>
      <c r="B194" s="8" t="s">
        <v>24</v>
      </c>
      <c r="C194" s="8" t="s">
        <v>662</v>
      </c>
      <c r="D194" s="8">
        <v>2019.0</v>
      </c>
      <c r="E194" s="8" t="s">
        <v>663</v>
      </c>
      <c r="F194" s="8" t="s">
        <v>515</v>
      </c>
      <c r="G194" s="8">
        <v>106.0</v>
      </c>
      <c r="H194" s="8" t="s">
        <v>33</v>
      </c>
      <c r="I194" s="8" t="s">
        <v>664</v>
      </c>
      <c r="J194" s="8" t="s">
        <v>29</v>
      </c>
      <c r="K194" s="8"/>
      <c r="L194" s="8"/>
      <c r="M194" s="8"/>
      <c r="N194" s="8"/>
      <c r="O194" s="8"/>
      <c r="P194" s="8"/>
      <c r="Q194" s="8"/>
      <c r="R194" s="8"/>
      <c r="S194" s="8"/>
      <c r="T194" s="8"/>
      <c r="U194" s="8"/>
      <c r="V194" s="8"/>
      <c r="W194" s="8"/>
      <c r="X194" s="8"/>
      <c r="Y194" s="8"/>
      <c r="Z194" s="8"/>
    </row>
    <row r="195" ht="14.25" customHeight="1">
      <c r="A195" s="8">
        <v>23669.0</v>
      </c>
      <c r="B195" s="8" t="s">
        <v>24</v>
      </c>
      <c r="C195" s="8" t="s">
        <v>665</v>
      </c>
      <c r="D195" s="8">
        <v>2011.0</v>
      </c>
      <c r="E195" s="8" t="s">
        <v>666</v>
      </c>
      <c r="F195" s="8" t="s">
        <v>667</v>
      </c>
      <c r="G195" s="8">
        <v>4.0</v>
      </c>
      <c r="H195" s="11">
        <v>44622.0</v>
      </c>
      <c r="I195" s="8" t="s">
        <v>668</v>
      </c>
      <c r="J195" s="8" t="s">
        <v>29</v>
      </c>
      <c r="K195" s="8"/>
      <c r="L195" s="8"/>
      <c r="M195" s="8"/>
      <c r="N195" s="8"/>
      <c r="O195" s="8"/>
      <c r="P195" s="8"/>
      <c r="Q195" s="8"/>
      <c r="R195" s="8"/>
      <c r="S195" s="8"/>
      <c r="T195" s="8"/>
      <c r="U195" s="8"/>
      <c r="V195" s="8"/>
      <c r="W195" s="8"/>
      <c r="X195" s="8"/>
      <c r="Y195" s="8"/>
      <c r="Z195" s="8"/>
    </row>
    <row r="196" ht="14.25" customHeight="1">
      <c r="A196" s="8">
        <v>24177.0</v>
      </c>
      <c r="B196" s="8" t="s">
        <v>24</v>
      </c>
      <c r="C196" s="8" t="s">
        <v>669</v>
      </c>
      <c r="D196" s="8">
        <v>2016.0</v>
      </c>
      <c r="E196" s="8" t="s">
        <v>670</v>
      </c>
      <c r="F196" s="8" t="s">
        <v>132</v>
      </c>
      <c r="G196" s="8">
        <v>26.0</v>
      </c>
      <c r="H196" s="8">
        <v>3.0</v>
      </c>
      <c r="I196" s="8" t="s">
        <v>671</v>
      </c>
      <c r="J196" s="8" t="s">
        <v>29</v>
      </c>
      <c r="K196" s="8"/>
      <c r="L196" s="8"/>
      <c r="M196" s="8"/>
      <c r="N196" s="8"/>
      <c r="O196" s="8"/>
      <c r="P196" s="8"/>
      <c r="Q196" s="8"/>
      <c r="R196" s="8"/>
      <c r="S196" s="8"/>
      <c r="T196" s="8"/>
      <c r="U196" s="8"/>
      <c r="V196" s="8"/>
      <c r="W196" s="8"/>
      <c r="X196" s="8"/>
      <c r="Y196" s="8"/>
      <c r="Z196" s="8"/>
    </row>
    <row r="197" ht="14.25" customHeight="1">
      <c r="A197" s="8">
        <v>25684.0</v>
      </c>
      <c r="B197" s="8" t="s">
        <v>24</v>
      </c>
      <c r="C197" s="8" t="s">
        <v>672</v>
      </c>
      <c r="D197" s="8">
        <v>2010.0</v>
      </c>
      <c r="E197" s="8" t="s">
        <v>673</v>
      </c>
      <c r="F197" s="8" t="s">
        <v>36</v>
      </c>
      <c r="G197" s="8">
        <v>5.0</v>
      </c>
      <c r="H197" s="8">
        <v>12.0</v>
      </c>
      <c r="I197" s="8" t="s">
        <v>33</v>
      </c>
      <c r="J197" s="8" t="s">
        <v>29</v>
      </c>
      <c r="K197" s="8"/>
      <c r="L197" s="8"/>
      <c r="M197" s="8"/>
      <c r="N197" s="8"/>
      <c r="O197" s="8"/>
      <c r="P197" s="8"/>
      <c r="Q197" s="8"/>
      <c r="R197" s="8"/>
      <c r="S197" s="8"/>
      <c r="T197" s="8"/>
      <c r="U197" s="8"/>
      <c r="V197" s="8"/>
      <c r="W197" s="8"/>
      <c r="X197" s="8"/>
      <c r="Y197" s="8"/>
      <c r="Z197" s="8"/>
    </row>
    <row r="198" ht="14.25" customHeight="1">
      <c r="A198" s="8">
        <v>24531.0</v>
      </c>
      <c r="B198" s="8" t="s">
        <v>24</v>
      </c>
      <c r="C198" s="8" t="s">
        <v>398</v>
      </c>
      <c r="D198" s="8">
        <v>2011.0</v>
      </c>
      <c r="E198" s="8" t="s">
        <v>674</v>
      </c>
      <c r="F198" s="8" t="s">
        <v>515</v>
      </c>
      <c r="G198" s="8">
        <v>31.0</v>
      </c>
      <c r="H198" s="8">
        <v>3.0</v>
      </c>
      <c r="I198" s="8" t="s">
        <v>675</v>
      </c>
      <c r="J198" s="8" t="s">
        <v>29</v>
      </c>
      <c r="K198" s="8"/>
      <c r="L198" s="8"/>
      <c r="M198" s="8"/>
      <c r="N198" s="8"/>
      <c r="O198" s="8"/>
      <c r="P198" s="8"/>
      <c r="Q198" s="8"/>
      <c r="R198" s="8"/>
      <c r="S198" s="8"/>
      <c r="T198" s="8"/>
      <c r="U198" s="8"/>
      <c r="V198" s="8"/>
      <c r="W198" s="8"/>
      <c r="X198" s="8"/>
      <c r="Y198" s="8"/>
      <c r="Z198" s="8"/>
    </row>
    <row r="199" ht="14.25" customHeight="1">
      <c r="A199" s="8">
        <v>23390.0</v>
      </c>
      <c r="B199" s="8" t="s">
        <v>24</v>
      </c>
      <c r="C199" s="8" t="s">
        <v>676</v>
      </c>
      <c r="D199" s="8">
        <v>2015.0</v>
      </c>
      <c r="E199" s="8" t="s">
        <v>677</v>
      </c>
      <c r="F199" s="8" t="s">
        <v>678</v>
      </c>
      <c r="G199" s="8">
        <v>36.0</v>
      </c>
      <c r="H199" s="8" t="s">
        <v>33</v>
      </c>
      <c r="I199" s="8" t="s">
        <v>679</v>
      </c>
      <c r="J199" s="8" t="s">
        <v>29</v>
      </c>
      <c r="K199" s="8"/>
      <c r="L199" s="8"/>
      <c r="M199" s="8"/>
      <c r="N199" s="8"/>
      <c r="O199" s="8"/>
      <c r="P199" s="8"/>
      <c r="Q199" s="8"/>
      <c r="R199" s="8"/>
      <c r="S199" s="8"/>
      <c r="T199" s="8"/>
      <c r="U199" s="8"/>
      <c r="V199" s="8"/>
      <c r="W199" s="8"/>
      <c r="X199" s="8"/>
      <c r="Y199" s="8"/>
      <c r="Z199" s="8"/>
    </row>
    <row r="200" ht="14.25" customHeight="1">
      <c r="A200" s="8">
        <v>25010.0</v>
      </c>
      <c r="B200" s="8" t="s">
        <v>24</v>
      </c>
      <c r="C200" s="8" t="s">
        <v>680</v>
      </c>
      <c r="D200" s="8">
        <v>2011.0</v>
      </c>
      <c r="E200" s="8" t="s">
        <v>681</v>
      </c>
      <c r="F200" s="8" t="s">
        <v>64</v>
      </c>
      <c r="G200" s="8">
        <v>144.0</v>
      </c>
      <c r="H200" s="8">
        <v>11.0</v>
      </c>
      <c r="I200" s="8" t="s">
        <v>682</v>
      </c>
      <c r="J200" s="8" t="s">
        <v>29</v>
      </c>
      <c r="K200" s="8"/>
      <c r="L200" s="8"/>
      <c r="M200" s="8"/>
      <c r="N200" s="8"/>
      <c r="O200" s="8"/>
      <c r="P200" s="8"/>
      <c r="Q200" s="8"/>
      <c r="R200" s="8"/>
      <c r="S200" s="8"/>
      <c r="T200" s="8"/>
      <c r="U200" s="8"/>
      <c r="V200" s="8"/>
      <c r="W200" s="8"/>
      <c r="X200" s="8"/>
      <c r="Y200" s="8"/>
      <c r="Z200" s="8"/>
    </row>
    <row r="201" ht="14.25" customHeight="1">
      <c r="A201" s="8">
        <v>25266.0</v>
      </c>
      <c r="B201" s="8" t="s">
        <v>24</v>
      </c>
      <c r="C201" s="8" t="s">
        <v>683</v>
      </c>
      <c r="D201" s="8">
        <v>2020.0</v>
      </c>
      <c r="E201" s="8" t="s">
        <v>684</v>
      </c>
      <c r="F201" s="8" t="s">
        <v>685</v>
      </c>
      <c r="G201" s="8">
        <v>30.0</v>
      </c>
      <c r="H201" s="8">
        <v>2.0</v>
      </c>
      <c r="I201" s="8" t="s">
        <v>686</v>
      </c>
      <c r="J201" s="8" t="s">
        <v>29</v>
      </c>
      <c r="K201" s="8"/>
      <c r="L201" s="8"/>
      <c r="M201" s="8"/>
      <c r="N201" s="8"/>
      <c r="O201" s="8"/>
      <c r="P201" s="8"/>
      <c r="Q201" s="8"/>
      <c r="R201" s="8"/>
      <c r="S201" s="8"/>
      <c r="T201" s="8"/>
      <c r="U201" s="8"/>
      <c r="V201" s="8"/>
      <c r="W201" s="8"/>
      <c r="X201" s="8"/>
      <c r="Y201" s="8"/>
      <c r="Z201" s="8"/>
    </row>
    <row r="202" ht="14.25" customHeight="1">
      <c r="A202" s="8">
        <v>26140.0</v>
      </c>
      <c r="B202" s="8" t="s">
        <v>24</v>
      </c>
      <c r="C202" s="8" t="s">
        <v>687</v>
      </c>
      <c r="D202" s="8">
        <v>2020.0</v>
      </c>
      <c r="E202" s="8" t="s">
        <v>688</v>
      </c>
      <c r="F202" s="8" t="s">
        <v>689</v>
      </c>
      <c r="G202" s="8">
        <v>76.0</v>
      </c>
      <c r="H202" s="8">
        <v>2.0</v>
      </c>
      <c r="I202" s="8" t="s">
        <v>690</v>
      </c>
      <c r="J202" s="8" t="s">
        <v>29</v>
      </c>
      <c r="K202" s="8"/>
      <c r="L202" s="8"/>
      <c r="M202" s="8"/>
      <c r="N202" s="8"/>
      <c r="O202" s="8"/>
      <c r="P202" s="8"/>
      <c r="Q202" s="8"/>
      <c r="R202" s="8"/>
      <c r="S202" s="8"/>
      <c r="T202" s="8"/>
      <c r="U202" s="8"/>
      <c r="V202" s="8"/>
      <c r="W202" s="8"/>
      <c r="X202" s="8"/>
      <c r="Y202" s="8"/>
      <c r="Z202" s="8"/>
    </row>
    <row r="203" ht="14.25" customHeight="1">
      <c r="A203" s="8">
        <v>23147.0</v>
      </c>
      <c r="B203" s="8" t="s">
        <v>24</v>
      </c>
      <c r="C203" s="8" t="s">
        <v>691</v>
      </c>
      <c r="D203" s="8">
        <v>2009.0</v>
      </c>
      <c r="E203" s="8" t="s">
        <v>692</v>
      </c>
      <c r="F203" s="8" t="s">
        <v>552</v>
      </c>
      <c r="G203" s="8">
        <v>15.0</v>
      </c>
      <c r="H203" s="8">
        <v>3.0</v>
      </c>
      <c r="I203" s="8" t="s">
        <v>693</v>
      </c>
      <c r="J203" s="8" t="s">
        <v>29</v>
      </c>
      <c r="K203" s="8"/>
      <c r="L203" s="8"/>
      <c r="M203" s="8"/>
      <c r="N203" s="8"/>
      <c r="O203" s="8"/>
      <c r="P203" s="8"/>
      <c r="Q203" s="8"/>
      <c r="R203" s="8"/>
      <c r="S203" s="8"/>
      <c r="T203" s="8"/>
      <c r="U203" s="8"/>
      <c r="V203" s="8"/>
      <c r="W203" s="8"/>
      <c r="X203" s="8"/>
      <c r="Y203" s="8"/>
      <c r="Z203" s="8"/>
    </row>
    <row r="204" ht="14.25" customHeight="1">
      <c r="A204" s="8">
        <v>25646.0</v>
      </c>
      <c r="B204" s="8" t="s">
        <v>24</v>
      </c>
      <c r="C204" s="8" t="s">
        <v>694</v>
      </c>
      <c r="D204" s="8">
        <v>2020.0</v>
      </c>
      <c r="E204" s="8" t="s">
        <v>695</v>
      </c>
      <c r="F204" s="8" t="s">
        <v>117</v>
      </c>
      <c r="G204" s="8">
        <v>367.0</v>
      </c>
      <c r="H204" s="8">
        <v>6478.0</v>
      </c>
      <c r="I204" s="8" t="s">
        <v>696</v>
      </c>
      <c r="J204" s="8" t="s">
        <v>29</v>
      </c>
      <c r="K204" s="8"/>
      <c r="L204" s="8"/>
      <c r="M204" s="8"/>
      <c r="N204" s="8"/>
      <c r="O204" s="8"/>
      <c r="P204" s="8"/>
      <c r="Q204" s="8"/>
      <c r="R204" s="8"/>
      <c r="S204" s="8"/>
      <c r="T204" s="8"/>
      <c r="U204" s="8"/>
      <c r="V204" s="8"/>
      <c r="W204" s="8"/>
      <c r="X204" s="8"/>
      <c r="Y204" s="8"/>
      <c r="Z204" s="8"/>
    </row>
    <row r="205" ht="14.25" customHeight="1">
      <c r="A205" s="8">
        <v>25524.0</v>
      </c>
      <c r="B205" s="8" t="s">
        <v>24</v>
      </c>
      <c r="C205" s="8" t="s">
        <v>697</v>
      </c>
      <c r="D205" s="8">
        <v>2016.0</v>
      </c>
      <c r="E205" s="8" t="s">
        <v>698</v>
      </c>
      <c r="F205" s="8" t="s">
        <v>36</v>
      </c>
      <c r="G205" s="8">
        <v>11.0</v>
      </c>
      <c r="H205" s="8">
        <v>4.0</v>
      </c>
      <c r="I205" s="8" t="s">
        <v>33</v>
      </c>
      <c r="J205" s="8" t="s">
        <v>29</v>
      </c>
      <c r="K205" s="8"/>
      <c r="L205" s="8"/>
      <c r="M205" s="8"/>
      <c r="N205" s="8"/>
      <c r="O205" s="8"/>
      <c r="P205" s="8"/>
      <c r="Q205" s="8"/>
      <c r="R205" s="8"/>
      <c r="S205" s="8"/>
      <c r="T205" s="8"/>
      <c r="U205" s="8"/>
      <c r="V205" s="8"/>
      <c r="W205" s="8"/>
      <c r="X205" s="8"/>
      <c r="Y205" s="8"/>
      <c r="Z205" s="8"/>
    </row>
    <row r="206" ht="14.25" customHeight="1">
      <c r="A206" s="8">
        <v>23531.0</v>
      </c>
      <c r="B206" s="8" t="s">
        <v>24</v>
      </c>
      <c r="C206" s="8" t="s">
        <v>699</v>
      </c>
      <c r="D206" s="8">
        <v>2019.0</v>
      </c>
      <c r="E206" s="8" t="s">
        <v>700</v>
      </c>
      <c r="F206" s="8" t="s">
        <v>701</v>
      </c>
      <c r="G206" s="8">
        <v>156.0</v>
      </c>
      <c r="H206" s="11">
        <v>44593.0</v>
      </c>
      <c r="I206" s="8" t="s">
        <v>702</v>
      </c>
      <c r="J206" s="8" t="s">
        <v>29</v>
      </c>
      <c r="K206" s="8"/>
      <c r="L206" s="8"/>
      <c r="M206" s="8"/>
      <c r="N206" s="8"/>
      <c r="O206" s="8"/>
      <c r="P206" s="8"/>
      <c r="Q206" s="8"/>
      <c r="R206" s="8"/>
      <c r="S206" s="8"/>
      <c r="T206" s="8"/>
      <c r="U206" s="8"/>
      <c r="V206" s="8"/>
      <c r="W206" s="8"/>
      <c r="X206" s="8"/>
      <c r="Y206" s="8"/>
      <c r="Z206" s="8"/>
    </row>
    <row r="207" ht="14.25" customHeight="1">
      <c r="A207" s="8">
        <v>24839.0</v>
      </c>
      <c r="B207" s="8" t="s">
        <v>24</v>
      </c>
      <c r="C207" s="8" t="s">
        <v>703</v>
      </c>
      <c r="D207" s="8">
        <v>2014.0</v>
      </c>
      <c r="E207" s="8" t="s">
        <v>704</v>
      </c>
      <c r="F207" s="8" t="s">
        <v>36</v>
      </c>
      <c r="G207" s="8">
        <v>9.0</v>
      </c>
      <c r="H207" s="8">
        <v>7.0</v>
      </c>
      <c r="I207" s="8" t="s">
        <v>33</v>
      </c>
      <c r="J207" s="8" t="s">
        <v>29</v>
      </c>
      <c r="K207" s="8"/>
      <c r="L207" s="8"/>
      <c r="M207" s="8"/>
      <c r="N207" s="8"/>
      <c r="O207" s="8"/>
      <c r="P207" s="8"/>
      <c r="Q207" s="8"/>
      <c r="R207" s="8"/>
      <c r="S207" s="8"/>
      <c r="T207" s="8"/>
      <c r="U207" s="8"/>
      <c r="V207" s="8"/>
      <c r="W207" s="8"/>
      <c r="X207" s="8"/>
      <c r="Y207" s="8"/>
      <c r="Z207" s="8"/>
    </row>
    <row r="208" ht="14.25" customHeight="1">
      <c r="A208" s="8">
        <v>24156.0</v>
      </c>
      <c r="B208" s="8" t="s">
        <v>24</v>
      </c>
      <c r="C208" s="8" t="s">
        <v>705</v>
      </c>
      <c r="D208" s="8">
        <v>2016.0</v>
      </c>
      <c r="E208" s="8" t="s">
        <v>706</v>
      </c>
      <c r="F208" s="8" t="s">
        <v>36</v>
      </c>
      <c r="G208" s="8">
        <v>11.0</v>
      </c>
      <c r="H208" s="8">
        <v>7.0</v>
      </c>
      <c r="I208" s="8" t="s">
        <v>33</v>
      </c>
      <c r="J208" s="8" t="s">
        <v>29</v>
      </c>
      <c r="K208" s="8"/>
      <c r="L208" s="8"/>
      <c r="M208" s="8"/>
      <c r="N208" s="8"/>
      <c r="O208" s="8"/>
      <c r="P208" s="8"/>
      <c r="Q208" s="8"/>
      <c r="R208" s="8"/>
      <c r="S208" s="8"/>
      <c r="T208" s="8"/>
      <c r="U208" s="8"/>
      <c r="V208" s="8"/>
      <c r="W208" s="8"/>
      <c r="X208" s="8"/>
      <c r="Y208" s="8"/>
      <c r="Z208" s="8"/>
    </row>
    <row r="209" ht="14.25" customHeight="1">
      <c r="A209" s="8">
        <v>24030.0</v>
      </c>
      <c r="B209" s="8" t="s">
        <v>24</v>
      </c>
      <c r="C209" s="8" t="s">
        <v>707</v>
      </c>
      <c r="D209" s="8">
        <v>2015.0</v>
      </c>
      <c r="E209" s="8" t="s">
        <v>708</v>
      </c>
      <c r="F209" s="8" t="s">
        <v>93</v>
      </c>
      <c r="G209" s="8">
        <v>34.0</v>
      </c>
      <c r="H209" s="8">
        <v>1.0</v>
      </c>
      <c r="I209" s="8" t="s">
        <v>709</v>
      </c>
      <c r="J209" s="8" t="s">
        <v>29</v>
      </c>
      <c r="K209" s="8"/>
      <c r="L209" s="8"/>
      <c r="M209" s="8"/>
      <c r="N209" s="8"/>
      <c r="O209" s="8"/>
      <c r="P209" s="8"/>
      <c r="Q209" s="8"/>
      <c r="R209" s="8"/>
      <c r="S209" s="8"/>
      <c r="T209" s="8"/>
      <c r="U209" s="8"/>
      <c r="V209" s="8"/>
      <c r="W209" s="8"/>
      <c r="X209" s="8"/>
      <c r="Y209" s="8"/>
      <c r="Z209" s="8"/>
    </row>
    <row r="210" ht="14.25" customHeight="1">
      <c r="A210" s="8">
        <v>24431.0</v>
      </c>
      <c r="B210" s="8" t="s">
        <v>24</v>
      </c>
      <c r="C210" s="8" t="s">
        <v>710</v>
      </c>
      <c r="D210" s="8">
        <v>2017.0</v>
      </c>
      <c r="E210" s="8" t="s">
        <v>711</v>
      </c>
      <c r="F210" s="8" t="s">
        <v>56</v>
      </c>
      <c r="G210" s="8">
        <v>54.0</v>
      </c>
      <c r="H210" s="8">
        <v>2.0</v>
      </c>
      <c r="I210" s="8" t="s">
        <v>712</v>
      </c>
      <c r="J210" s="8" t="s">
        <v>29</v>
      </c>
      <c r="K210" s="8"/>
      <c r="L210" s="8"/>
      <c r="M210" s="8"/>
      <c r="N210" s="8"/>
      <c r="O210" s="8"/>
      <c r="P210" s="8"/>
      <c r="Q210" s="8"/>
      <c r="R210" s="8"/>
      <c r="S210" s="8"/>
      <c r="T210" s="8"/>
      <c r="U210" s="8"/>
      <c r="V210" s="8"/>
      <c r="W210" s="8"/>
      <c r="X210" s="8"/>
      <c r="Y210" s="8"/>
      <c r="Z210" s="8"/>
    </row>
    <row r="211" ht="14.25" customHeight="1">
      <c r="A211" s="8">
        <v>23591.0</v>
      </c>
      <c r="B211" s="8" t="s">
        <v>24</v>
      </c>
      <c r="C211" s="8" t="s">
        <v>713</v>
      </c>
      <c r="D211" s="8">
        <v>2017.0</v>
      </c>
      <c r="E211" s="8" t="s">
        <v>714</v>
      </c>
      <c r="F211" s="8" t="s">
        <v>715</v>
      </c>
      <c r="G211" s="8">
        <v>7.0</v>
      </c>
      <c r="H211" s="8">
        <v>10.0</v>
      </c>
      <c r="I211" s="8" t="s">
        <v>716</v>
      </c>
      <c r="J211" s="8" t="s">
        <v>29</v>
      </c>
      <c r="K211" s="8"/>
      <c r="L211" s="8"/>
      <c r="M211" s="8"/>
      <c r="N211" s="8"/>
      <c r="O211" s="8"/>
      <c r="P211" s="8"/>
      <c r="Q211" s="8"/>
      <c r="R211" s="8"/>
      <c r="S211" s="8"/>
      <c r="T211" s="8"/>
      <c r="U211" s="8"/>
      <c r="V211" s="8"/>
      <c r="W211" s="8"/>
      <c r="X211" s="8"/>
      <c r="Y211" s="8"/>
      <c r="Z211" s="8"/>
    </row>
    <row r="212" ht="14.25" customHeight="1">
      <c r="A212" s="8">
        <v>25726.0</v>
      </c>
      <c r="B212" s="8" t="s">
        <v>24</v>
      </c>
      <c r="C212" s="8" t="s">
        <v>717</v>
      </c>
      <c r="D212" s="8">
        <v>2019.0</v>
      </c>
      <c r="E212" s="8" t="s">
        <v>718</v>
      </c>
      <c r="F212" s="8" t="s">
        <v>132</v>
      </c>
      <c r="G212" s="8">
        <v>29.0</v>
      </c>
      <c r="H212" s="8">
        <v>4.0</v>
      </c>
      <c r="I212" s="8" t="s">
        <v>719</v>
      </c>
      <c r="J212" s="8" t="s">
        <v>29</v>
      </c>
      <c r="K212" s="8"/>
      <c r="L212" s="8"/>
      <c r="M212" s="8"/>
      <c r="N212" s="8"/>
      <c r="O212" s="8"/>
      <c r="P212" s="8"/>
      <c r="Q212" s="8"/>
      <c r="R212" s="8"/>
      <c r="S212" s="8"/>
      <c r="T212" s="8"/>
      <c r="U212" s="8"/>
      <c r="V212" s="8"/>
      <c r="W212" s="8"/>
      <c r="X212" s="8"/>
      <c r="Y212" s="8"/>
      <c r="Z212" s="8"/>
    </row>
    <row r="213" ht="14.25" customHeight="1">
      <c r="A213" s="8">
        <v>25978.0</v>
      </c>
      <c r="B213" s="8" t="s">
        <v>24</v>
      </c>
      <c r="C213" s="8" t="s">
        <v>720</v>
      </c>
      <c r="D213" s="8">
        <v>2008.0</v>
      </c>
      <c r="E213" s="8" t="s">
        <v>721</v>
      </c>
      <c r="F213" s="8" t="s">
        <v>60</v>
      </c>
      <c r="G213" s="8">
        <v>22.0</v>
      </c>
      <c r="H213" s="8">
        <v>4.0</v>
      </c>
      <c r="I213" s="8" t="s">
        <v>722</v>
      </c>
      <c r="J213" s="8" t="s">
        <v>29</v>
      </c>
      <c r="K213" s="8"/>
      <c r="L213" s="8"/>
      <c r="M213" s="8"/>
      <c r="N213" s="8"/>
      <c r="O213" s="8"/>
      <c r="P213" s="8"/>
      <c r="Q213" s="8"/>
      <c r="R213" s="8"/>
      <c r="S213" s="8"/>
      <c r="T213" s="8"/>
      <c r="U213" s="8"/>
      <c r="V213" s="8"/>
      <c r="W213" s="8"/>
      <c r="X213" s="8"/>
      <c r="Y213" s="8"/>
      <c r="Z213" s="8"/>
    </row>
    <row r="214" ht="14.25" customHeight="1">
      <c r="A214" s="8">
        <v>23982.0</v>
      </c>
      <c r="B214" s="8" t="s">
        <v>24</v>
      </c>
      <c r="C214" s="8" t="s">
        <v>723</v>
      </c>
      <c r="D214" s="8">
        <v>2020.0</v>
      </c>
      <c r="E214" s="8" t="s">
        <v>724</v>
      </c>
      <c r="F214" s="8" t="s">
        <v>60</v>
      </c>
      <c r="G214" s="8" t="s">
        <v>33</v>
      </c>
      <c r="H214" s="8" t="s">
        <v>33</v>
      </c>
      <c r="I214" s="8" t="s">
        <v>33</v>
      </c>
      <c r="J214" s="8" t="s">
        <v>29</v>
      </c>
      <c r="K214" s="8"/>
      <c r="L214" s="8"/>
      <c r="M214" s="8"/>
      <c r="N214" s="8"/>
      <c r="O214" s="8"/>
      <c r="P214" s="8"/>
      <c r="Q214" s="8"/>
      <c r="R214" s="8"/>
      <c r="S214" s="8"/>
      <c r="T214" s="8"/>
      <c r="U214" s="8"/>
      <c r="V214" s="8"/>
      <c r="W214" s="8"/>
      <c r="X214" s="8"/>
      <c r="Y214" s="8"/>
      <c r="Z214" s="8"/>
    </row>
    <row r="215" ht="14.25" customHeight="1">
      <c r="A215" s="8">
        <v>25712.0</v>
      </c>
      <c r="B215" s="8" t="s">
        <v>24</v>
      </c>
      <c r="C215" s="8" t="s">
        <v>725</v>
      </c>
      <c r="D215" s="8">
        <v>2018.0</v>
      </c>
      <c r="E215" s="8" t="s">
        <v>726</v>
      </c>
      <c r="F215" s="8" t="s">
        <v>260</v>
      </c>
      <c r="G215" s="8">
        <v>9.0</v>
      </c>
      <c r="H215" s="8">
        <v>1.0</v>
      </c>
      <c r="I215" s="8" t="s">
        <v>33</v>
      </c>
      <c r="J215" s="8" t="s">
        <v>29</v>
      </c>
      <c r="K215" s="8"/>
      <c r="L215" s="8"/>
      <c r="M215" s="8"/>
      <c r="N215" s="8"/>
      <c r="O215" s="8"/>
      <c r="P215" s="8"/>
      <c r="Q215" s="8"/>
      <c r="R215" s="8"/>
      <c r="S215" s="8"/>
      <c r="T215" s="8"/>
      <c r="U215" s="8"/>
      <c r="V215" s="8"/>
      <c r="W215" s="8"/>
      <c r="X215" s="8"/>
      <c r="Y215" s="8"/>
      <c r="Z215" s="8"/>
    </row>
    <row r="216" ht="14.25" customHeight="1">
      <c r="A216" s="8">
        <v>25751.0</v>
      </c>
      <c r="B216" s="8" t="s">
        <v>24</v>
      </c>
      <c r="C216" s="8" t="s">
        <v>727</v>
      </c>
      <c r="D216" s="8">
        <v>2017.0</v>
      </c>
      <c r="E216" s="8" t="s">
        <v>728</v>
      </c>
      <c r="F216" s="8" t="s">
        <v>365</v>
      </c>
      <c r="G216" s="8">
        <v>63.0</v>
      </c>
      <c r="H216" s="8">
        <v>5.0</v>
      </c>
      <c r="I216" s="8" t="s">
        <v>33</v>
      </c>
      <c r="J216" s="8" t="s">
        <v>29</v>
      </c>
      <c r="K216" s="8"/>
      <c r="L216" s="8"/>
      <c r="M216" s="8"/>
      <c r="N216" s="8"/>
      <c r="O216" s="8"/>
      <c r="P216" s="8"/>
      <c r="Q216" s="8"/>
      <c r="R216" s="8"/>
      <c r="S216" s="8"/>
      <c r="T216" s="8"/>
      <c r="U216" s="8"/>
      <c r="V216" s="8"/>
      <c r="W216" s="8"/>
      <c r="X216" s="8"/>
      <c r="Y216" s="8"/>
      <c r="Z216" s="8"/>
    </row>
    <row r="217" ht="14.25" customHeight="1">
      <c r="A217" s="8">
        <v>26074.0</v>
      </c>
      <c r="B217" s="8" t="s">
        <v>24</v>
      </c>
      <c r="C217" s="8" t="s">
        <v>729</v>
      </c>
      <c r="D217" s="8">
        <v>2018.0</v>
      </c>
      <c r="E217" s="8" t="s">
        <v>730</v>
      </c>
      <c r="F217" s="8" t="s">
        <v>64</v>
      </c>
      <c r="G217" s="8">
        <v>218.0</v>
      </c>
      <c r="H217" s="8" t="s">
        <v>33</v>
      </c>
      <c r="I217" s="10">
        <v>43009.0</v>
      </c>
      <c r="J217" s="8" t="s">
        <v>29</v>
      </c>
      <c r="K217" s="8"/>
      <c r="L217" s="8"/>
      <c r="M217" s="8"/>
      <c r="N217" s="8"/>
      <c r="O217" s="8"/>
      <c r="P217" s="8"/>
      <c r="Q217" s="8"/>
      <c r="R217" s="8"/>
      <c r="S217" s="8"/>
      <c r="T217" s="8"/>
      <c r="U217" s="8"/>
      <c r="V217" s="8"/>
      <c r="W217" s="8"/>
      <c r="X217" s="8"/>
      <c r="Y217" s="8"/>
      <c r="Z217" s="8"/>
    </row>
    <row r="218" ht="14.25" customHeight="1">
      <c r="A218" s="8">
        <v>24663.0</v>
      </c>
      <c r="B218" s="8" t="s">
        <v>24</v>
      </c>
      <c r="C218" s="8" t="s">
        <v>731</v>
      </c>
      <c r="D218" s="8">
        <v>2019.0</v>
      </c>
      <c r="E218" s="8" t="s">
        <v>732</v>
      </c>
      <c r="F218" s="8" t="s">
        <v>64</v>
      </c>
      <c r="G218" s="8">
        <v>237.0</v>
      </c>
      <c r="H218" s="8" t="s">
        <v>33</v>
      </c>
      <c r="I218" s="8" t="s">
        <v>733</v>
      </c>
      <c r="J218" s="8" t="s">
        <v>29</v>
      </c>
      <c r="K218" s="8"/>
      <c r="L218" s="8"/>
      <c r="M218" s="8"/>
      <c r="N218" s="8"/>
      <c r="O218" s="8"/>
      <c r="P218" s="8"/>
      <c r="Q218" s="8"/>
      <c r="R218" s="8"/>
      <c r="S218" s="8"/>
      <c r="T218" s="8"/>
      <c r="U218" s="8"/>
      <c r="V218" s="8"/>
      <c r="W218" s="8"/>
      <c r="X218" s="8"/>
      <c r="Y218" s="8"/>
      <c r="Z218" s="8"/>
    </row>
    <row r="219" ht="14.25" customHeight="1">
      <c r="A219" s="8">
        <v>23881.0</v>
      </c>
      <c r="B219" s="8" t="s">
        <v>24</v>
      </c>
      <c r="C219" s="8" t="s">
        <v>734</v>
      </c>
      <c r="D219" s="8">
        <v>2013.0</v>
      </c>
      <c r="E219" s="8" t="s">
        <v>735</v>
      </c>
      <c r="F219" s="8" t="s">
        <v>736</v>
      </c>
      <c r="G219" s="8">
        <v>159.0</v>
      </c>
      <c r="H219" s="8" t="s">
        <v>33</v>
      </c>
      <c r="I219" s="8" t="s">
        <v>737</v>
      </c>
      <c r="J219" s="8" t="s">
        <v>29</v>
      </c>
      <c r="K219" s="8"/>
      <c r="L219" s="8"/>
      <c r="M219" s="8"/>
      <c r="N219" s="8"/>
      <c r="O219" s="8"/>
      <c r="P219" s="8"/>
      <c r="Q219" s="8"/>
      <c r="R219" s="8"/>
      <c r="S219" s="8"/>
      <c r="T219" s="8"/>
      <c r="U219" s="8"/>
      <c r="V219" s="8"/>
      <c r="W219" s="8"/>
      <c r="X219" s="8"/>
      <c r="Y219" s="8"/>
      <c r="Z219" s="8"/>
    </row>
    <row r="220" ht="14.25" customHeight="1">
      <c r="A220" s="8">
        <v>23543.0</v>
      </c>
      <c r="B220" s="8" t="s">
        <v>24</v>
      </c>
      <c r="C220" s="8" t="s">
        <v>738</v>
      </c>
      <c r="D220" s="8">
        <v>2003.0</v>
      </c>
      <c r="E220" s="8" t="s">
        <v>739</v>
      </c>
      <c r="F220" s="8" t="s">
        <v>372</v>
      </c>
      <c r="G220" s="8">
        <v>60.0</v>
      </c>
      <c r="H220" s="8">
        <v>5.0</v>
      </c>
      <c r="I220" s="8" t="s">
        <v>740</v>
      </c>
      <c r="J220" s="8" t="s">
        <v>29</v>
      </c>
      <c r="K220" s="8"/>
      <c r="L220" s="8"/>
      <c r="M220" s="8"/>
      <c r="N220" s="8"/>
      <c r="O220" s="8"/>
      <c r="P220" s="8"/>
      <c r="Q220" s="8"/>
      <c r="R220" s="8"/>
      <c r="S220" s="8"/>
      <c r="T220" s="8"/>
      <c r="U220" s="8"/>
      <c r="V220" s="8"/>
      <c r="W220" s="8"/>
      <c r="X220" s="8"/>
      <c r="Y220" s="8"/>
      <c r="Z220" s="8"/>
    </row>
    <row r="221" ht="14.25" customHeight="1">
      <c r="A221" s="8">
        <v>24971.0</v>
      </c>
      <c r="B221" s="8" t="s">
        <v>24</v>
      </c>
      <c r="C221" s="8" t="s">
        <v>741</v>
      </c>
      <c r="D221" s="8">
        <v>2017.0</v>
      </c>
      <c r="E221" s="8" t="s">
        <v>742</v>
      </c>
      <c r="F221" s="8" t="s">
        <v>743</v>
      </c>
      <c r="G221" s="8">
        <v>8.0</v>
      </c>
      <c r="H221" s="8" t="s">
        <v>33</v>
      </c>
      <c r="I221" s="8" t="s">
        <v>33</v>
      </c>
      <c r="J221" s="8" t="s">
        <v>29</v>
      </c>
      <c r="K221" s="8"/>
      <c r="L221" s="8"/>
      <c r="M221" s="8"/>
      <c r="N221" s="8"/>
      <c r="O221" s="8"/>
      <c r="P221" s="8"/>
      <c r="Q221" s="8"/>
      <c r="R221" s="8"/>
      <c r="S221" s="8"/>
      <c r="T221" s="8"/>
      <c r="U221" s="8"/>
      <c r="V221" s="8"/>
      <c r="W221" s="8"/>
      <c r="X221" s="8"/>
      <c r="Y221" s="8"/>
      <c r="Z221" s="8"/>
    </row>
    <row r="222" ht="14.25" customHeight="1">
      <c r="A222" s="8">
        <v>25912.0</v>
      </c>
      <c r="B222" s="8" t="s">
        <v>24</v>
      </c>
      <c r="C222" s="8" t="s">
        <v>744</v>
      </c>
      <c r="D222" s="8">
        <v>2020.0</v>
      </c>
      <c r="E222" s="8" t="s">
        <v>745</v>
      </c>
      <c r="F222" s="8" t="s">
        <v>170</v>
      </c>
      <c r="G222" s="8">
        <v>475.0</v>
      </c>
      <c r="H222" s="8" t="s">
        <v>33</v>
      </c>
      <c r="I222" s="8" t="s">
        <v>33</v>
      </c>
      <c r="J222" s="8" t="s">
        <v>29</v>
      </c>
      <c r="K222" s="8"/>
      <c r="L222" s="8"/>
      <c r="M222" s="8"/>
      <c r="N222" s="8"/>
      <c r="O222" s="8"/>
      <c r="P222" s="8"/>
      <c r="Q222" s="8"/>
      <c r="R222" s="8"/>
      <c r="S222" s="8"/>
      <c r="T222" s="8"/>
      <c r="U222" s="8"/>
      <c r="V222" s="8"/>
      <c r="W222" s="8"/>
      <c r="X222" s="8"/>
      <c r="Y222" s="8"/>
      <c r="Z222" s="8"/>
    </row>
    <row r="223" ht="14.25" customHeight="1">
      <c r="A223" s="8">
        <v>23997.0</v>
      </c>
      <c r="B223" s="8" t="s">
        <v>24</v>
      </c>
      <c r="C223" s="8" t="s">
        <v>746</v>
      </c>
      <c r="D223" s="8">
        <v>2011.0</v>
      </c>
      <c r="E223" s="8" t="s">
        <v>747</v>
      </c>
      <c r="F223" s="8" t="s">
        <v>748</v>
      </c>
      <c r="G223" s="8">
        <v>27.0</v>
      </c>
      <c r="H223" s="8" t="s">
        <v>749</v>
      </c>
      <c r="I223" s="8" t="s">
        <v>750</v>
      </c>
      <c r="J223" s="8" t="s">
        <v>29</v>
      </c>
      <c r="K223" s="8"/>
      <c r="L223" s="8"/>
      <c r="M223" s="8"/>
      <c r="N223" s="8"/>
      <c r="O223" s="8"/>
      <c r="P223" s="8"/>
      <c r="Q223" s="8"/>
      <c r="R223" s="8"/>
      <c r="S223" s="8"/>
      <c r="T223" s="8"/>
      <c r="U223" s="8"/>
      <c r="V223" s="8"/>
      <c r="W223" s="8"/>
      <c r="X223" s="8"/>
      <c r="Y223" s="8"/>
      <c r="Z223" s="8"/>
    </row>
    <row r="224" ht="14.25" customHeight="1">
      <c r="A224" s="8">
        <v>25153.0</v>
      </c>
      <c r="B224" s="8" t="s">
        <v>24</v>
      </c>
      <c r="C224" s="8" t="s">
        <v>751</v>
      </c>
      <c r="D224" s="8">
        <v>2018.0</v>
      </c>
      <c r="E224" s="8" t="s">
        <v>752</v>
      </c>
      <c r="F224" s="8" t="s">
        <v>109</v>
      </c>
      <c r="G224" s="8">
        <v>61.0</v>
      </c>
      <c r="H224" s="8">
        <v>5.0</v>
      </c>
      <c r="I224" s="8" t="s">
        <v>753</v>
      </c>
      <c r="J224" s="8" t="s">
        <v>29</v>
      </c>
      <c r="K224" s="8"/>
      <c r="L224" s="8"/>
      <c r="M224" s="8"/>
      <c r="N224" s="8"/>
      <c r="O224" s="8"/>
      <c r="P224" s="8"/>
      <c r="Q224" s="8"/>
      <c r="R224" s="8"/>
      <c r="S224" s="8"/>
      <c r="T224" s="8"/>
      <c r="U224" s="8"/>
      <c r="V224" s="8"/>
      <c r="W224" s="8"/>
      <c r="X224" s="8"/>
      <c r="Y224" s="8"/>
      <c r="Z224" s="8"/>
    </row>
    <row r="225" ht="14.25" customHeight="1">
      <c r="A225" s="8" t="s">
        <v>754</v>
      </c>
      <c r="B225" s="8" t="s">
        <v>41</v>
      </c>
      <c r="C225" s="8" t="s">
        <v>755</v>
      </c>
      <c r="D225" s="8">
        <v>2019.0</v>
      </c>
      <c r="E225" s="8" t="s">
        <v>756</v>
      </c>
      <c r="F225" s="8" t="s">
        <v>757</v>
      </c>
      <c r="G225" s="8" t="s">
        <v>33</v>
      </c>
      <c r="H225" s="8" t="s">
        <v>33</v>
      </c>
      <c r="I225" s="8" t="s">
        <v>33</v>
      </c>
      <c r="J225" s="8" t="s">
        <v>320</v>
      </c>
      <c r="K225" s="8"/>
      <c r="L225" s="8"/>
      <c r="M225" s="8"/>
      <c r="N225" s="8"/>
      <c r="O225" s="8"/>
      <c r="P225" s="8"/>
      <c r="Q225" s="8"/>
      <c r="R225" s="8"/>
      <c r="S225" s="8"/>
      <c r="T225" s="8"/>
      <c r="U225" s="8"/>
      <c r="V225" s="8"/>
      <c r="W225" s="8"/>
      <c r="X225" s="8"/>
      <c r="Y225" s="8"/>
      <c r="Z225" s="8"/>
    </row>
    <row r="226" ht="14.25" customHeight="1">
      <c r="A226" s="8">
        <v>23418.0</v>
      </c>
      <c r="B226" s="8" t="s">
        <v>24</v>
      </c>
      <c r="C226" s="8" t="s">
        <v>758</v>
      </c>
      <c r="D226" s="8">
        <v>2015.0</v>
      </c>
      <c r="E226" s="8" t="s">
        <v>759</v>
      </c>
      <c r="F226" s="8" t="s">
        <v>64</v>
      </c>
      <c r="G226" s="8">
        <v>191.0</v>
      </c>
      <c r="H226" s="8" t="s">
        <v>33</v>
      </c>
      <c r="I226" s="8" t="s">
        <v>760</v>
      </c>
      <c r="J226" s="8" t="s">
        <v>29</v>
      </c>
      <c r="K226" s="8"/>
      <c r="L226" s="8"/>
      <c r="M226" s="8"/>
      <c r="N226" s="8"/>
      <c r="O226" s="8"/>
      <c r="P226" s="8"/>
      <c r="Q226" s="8"/>
      <c r="R226" s="8"/>
      <c r="S226" s="8"/>
      <c r="T226" s="8"/>
      <c r="U226" s="8"/>
      <c r="V226" s="8"/>
      <c r="W226" s="8"/>
      <c r="X226" s="8"/>
      <c r="Y226" s="8"/>
      <c r="Z226" s="8"/>
    </row>
    <row r="227" ht="14.25" customHeight="1">
      <c r="A227" s="8">
        <v>24471.0</v>
      </c>
      <c r="B227" s="8" t="s">
        <v>24</v>
      </c>
      <c r="C227" s="8" t="s">
        <v>761</v>
      </c>
      <c r="D227" s="8">
        <v>2011.0</v>
      </c>
      <c r="E227" s="8" t="s">
        <v>762</v>
      </c>
      <c r="F227" s="8" t="s">
        <v>97</v>
      </c>
      <c r="G227" s="8">
        <v>17.0</v>
      </c>
      <c r="H227" s="8">
        <v>4.0</v>
      </c>
      <c r="I227" s="8" t="s">
        <v>763</v>
      </c>
      <c r="J227" s="8" t="s">
        <v>29</v>
      </c>
      <c r="K227" s="8"/>
      <c r="L227" s="8"/>
      <c r="M227" s="8"/>
      <c r="N227" s="8"/>
      <c r="O227" s="8"/>
      <c r="P227" s="8"/>
      <c r="Q227" s="8"/>
      <c r="R227" s="8"/>
      <c r="S227" s="8"/>
      <c r="T227" s="8"/>
      <c r="U227" s="8"/>
      <c r="V227" s="8"/>
      <c r="W227" s="8"/>
      <c r="X227" s="8"/>
      <c r="Y227" s="8"/>
      <c r="Z227" s="8"/>
    </row>
    <row r="228" ht="14.25" customHeight="1">
      <c r="A228" s="8">
        <v>23728.0</v>
      </c>
      <c r="B228" s="8" t="s">
        <v>24</v>
      </c>
      <c r="C228" s="8" t="s">
        <v>764</v>
      </c>
      <c r="D228" s="8">
        <v>2013.0</v>
      </c>
      <c r="E228" s="8" t="s">
        <v>765</v>
      </c>
      <c r="F228" s="8" t="s">
        <v>60</v>
      </c>
      <c r="G228" s="8">
        <v>27.0</v>
      </c>
      <c r="H228" s="8">
        <v>4.0</v>
      </c>
      <c r="I228" s="8" t="s">
        <v>766</v>
      </c>
      <c r="J228" s="8" t="s">
        <v>29</v>
      </c>
      <c r="K228" s="8"/>
      <c r="L228" s="8"/>
      <c r="M228" s="8"/>
      <c r="N228" s="8"/>
      <c r="O228" s="8"/>
      <c r="P228" s="8"/>
      <c r="Q228" s="8"/>
      <c r="R228" s="8"/>
      <c r="S228" s="8"/>
      <c r="T228" s="8"/>
      <c r="U228" s="8"/>
      <c r="V228" s="8"/>
      <c r="W228" s="8"/>
      <c r="X228" s="8"/>
      <c r="Y228" s="8"/>
      <c r="Z228" s="8"/>
    </row>
    <row r="229" ht="14.25" customHeight="1">
      <c r="A229" s="8">
        <v>23953.0</v>
      </c>
      <c r="B229" s="8" t="s">
        <v>24</v>
      </c>
      <c r="C229" s="8" t="s">
        <v>767</v>
      </c>
      <c r="D229" s="8">
        <v>2016.0</v>
      </c>
      <c r="E229" s="8" t="s">
        <v>768</v>
      </c>
      <c r="F229" s="8" t="s">
        <v>769</v>
      </c>
      <c r="G229" s="8">
        <v>26.0</v>
      </c>
      <c r="H229" s="8">
        <v>8.0</v>
      </c>
      <c r="I229" s="8" t="s">
        <v>770</v>
      </c>
      <c r="J229" s="8" t="s">
        <v>29</v>
      </c>
      <c r="K229" s="8"/>
      <c r="L229" s="8"/>
      <c r="M229" s="8"/>
      <c r="N229" s="8"/>
      <c r="O229" s="8"/>
      <c r="P229" s="8"/>
      <c r="Q229" s="8"/>
      <c r="R229" s="8"/>
      <c r="S229" s="8"/>
      <c r="T229" s="8"/>
      <c r="U229" s="8"/>
      <c r="V229" s="8"/>
      <c r="W229" s="8"/>
      <c r="X229" s="8"/>
      <c r="Y229" s="8"/>
      <c r="Z229" s="8"/>
    </row>
    <row r="230" ht="14.25" customHeight="1">
      <c r="A230" s="8">
        <v>25904.0</v>
      </c>
      <c r="B230" s="8" t="s">
        <v>24</v>
      </c>
      <c r="C230" s="8" t="s">
        <v>771</v>
      </c>
      <c r="D230" s="8">
        <v>2002.0</v>
      </c>
      <c r="E230" s="8" t="s">
        <v>772</v>
      </c>
      <c r="F230" s="8" t="s">
        <v>773</v>
      </c>
      <c r="G230" s="8">
        <v>82.0</v>
      </c>
      <c r="H230" s="8">
        <v>8.0</v>
      </c>
      <c r="I230" s="8" t="s">
        <v>774</v>
      </c>
      <c r="J230" s="8" t="s">
        <v>29</v>
      </c>
      <c r="K230" s="8"/>
      <c r="L230" s="8"/>
      <c r="M230" s="8"/>
      <c r="N230" s="8"/>
      <c r="O230" s="8"/>
      <c r="P230" s="8"/>
      <c r="Q230" s="8"/>
      <c r="R230" s="8"/>
      <c r="S230" s="8"/>
      <c r="T230" s="8"/>
      <c r="U230" s="8"/>
      <c r="V230" s="8"/>
      <c r="W230" s="8"/>
      <c r="X230" s="8"/>
      <c r="Y230" s="8"/>
      <c r="Z230" s="8"/>
    </row>
    <row r="231" ht="14.25" customHeight="1">
      <c r="A231" s="8">
        <v>24345.0</v>
      </c>
      <c r="B231" s="8" t="s">
        <v>24</v>
      </c>
      <c r="C231" s="8" t="s">
        <v>775</v>
      </c>
      <c r="D231" s="8">
        <v>2020.0</v>
      </c>
      <c r="E231" s="8" t="s">
        <v>776</v>
      </c>
      <c r="F231" s="8" t="s">
        <v>422</v>
      </c>
      <c r="G231" s="8">
        <v>49.0</v>
      </c>
      <c r="H231" s="8">
        <v>10.0</v>
      </c>
      <c r="I231" s="8" t="s">
        <v>777</v>
      </c>
      <c r="J231" s="8" t="s">
        <v>29</v>
      </c>
      <c r="K231" s="8"/>
      <c r="L231" s="8"/>
      <c r="M231" s="8"/>
      <c r="N231" s="8"/>
      <c r="O231" s="8"/>
      <c r="P231" s="8"/>
      <c r="Q231" s="8"/>
      <c r="R231" s="8"/>
      <c r="S231" s="8"/>
      <c r="T231" s="8"/>
      <c r="U231" s="8"/>
      <c r="V231" s="8"/>
      <c r="W231" s="8"/>
      <c r="X231" s="8"/>
      <c r="Y231" s="8"/>
      <c r="Z231" s="8"/>
    </row>
    <row r="232" ht="14.25" customHeight="1">
      <c r="A232" s="8">
        <v>24847.0</v>
      </c>
      <c r="B232" s="8" t="s">
        <v>24</v>
      </c>
      <c r="C232" s="8" t="s">
        <v>778</v>
      </c>
      <c r="D232" s="8">
        <v>2018.0</v>
      </c>
      <c r="E232" s="8" t="s">
        <v>779</v>
      </c>
      <c r="F232" s="8" t="s">
        <v>780</v>
      </c>
      <c r="G232" s="8">
        <v>238.0</v>
      </c>
      <c r="H232" s="8" t="s">
        <v>33</v>
      </c>
      <c r="I232" s="8" t="s">
        <v>781</v>
      </c>
      <c r="J232" s="8" t="s">
        <v>29</v>
      </c>
      <c r="K232" s="8"/>
      <c r="L232" s="8"/>
      <c r="M232" s="8"/>
      <c r="N232" s="8"/>
      <c r="O232" s="8"/>
      <c r="P232" s="8"/>
      <c r="Q232" s="8"/>
      <c r="R232" s="8"/>
      <c r="S232" s="8"/>
      <c r="T232" s="8"/>
      <c r="U232" s="8"/>
      <c r="V232" s="8"/>
      <c r="W232" s="8"/>
      <c r="X232" s="8"/>
      <c r="Y232" s="8"/>
      <c r="Z232" s="8"/>
    </row>
    <row r="233" ht="14.25" customHeight="1">
      <c r="A233" s="8">
        <v>24079.0</v>
      </c>
      <c r="B233" s="8" t="s">
        <v>24</v>
      </c>
      <c r="C233" s="8" t="s">
        <v>782</v>
      </c>
      <c r="D233" s="8">
        <v>2018.0</v>
      </c>
      <c r="E233" s="8" t="s">
        <v>783</v>
      </c>
      <c r="F233" s="8" t="s">
        <v>64</v>
      </c>
      <c r="G233" s="8">
        <v>220.0</v>
      </c>
      <c r="H233" s="8" t="s">
        <v>33</v>
      </c>
      <c r="I233" s="8" t="s">
        <v>784</v>
      </c>
      <c r="J233" s="8" t="s">
        <v>29</v>
      </c>
      <c r="K233" s="8"/>
      <c r="L233" s="8"/>
      <c r="M233" s="8"/>
      <c r="N233" s="8"/>
      <c r="O233" s="8"/>
      <c r="P233" s="8"/>
      <c r="Q233" s="8"/>
      <c r="R233" s="8"/>
      <c r="S233" s="8"/>
      <c r="T233" s="8"/>
      <c r="U233" s="8"/>
      <c r="V233" s="8"/>
      <c r="W233" s="8"/>
      <c r="X233" s="8"/>
      <c r="Y233" s="8"/>
      <c r="Z233" s="8"/>
    </row>
    <row r="234" ht="14.25" customHeight="1">
      <c r="A234" s="8">
        <v>25714.0</v>
      </c>
      <c r="B234" s="8" t="s">
        <v>24</v>
      </c>
      <c r="C234" s="8" t="s">
        <v>785</v>
      </c>
      <c r="D234" s="8">
        <v>2009.0</v>
      </c>
      <c r="E234" s="8" t="s">
        <v>786</v>
      </c>
      <c r="F234" s="8" t="s">
        <v>60</v>
      </c>
      <c r="G234" s="8">
        <v>23.0</v>
      </c>
      <c r="H234" s="8">
        <v>3.0</v>
      </c>
      <c r="I234" s="8" t="s">
        <v>787</v>
      </c>
      <c r="J234" s="8" t="s">
        <v>29</v>
      </c>
      <c r="K234" s="8"/>
      <c r="L234" s="8"/>
      <c r="M234" s="8"/>
      <c r="N234" s="8"/>
      <c r="O234" s="8"/>
      <c r="P234" s="8"/>
      <c r="Q234" s="8"/>
      <c r="R234" s="8"/>
      <c r="S234" s="8"/>
      <c r="T234" s="8"/>
      <c r="U234" s="8"/>
      <c r="V234" s="8"/>
      <c r="W234" s="8"/>
      <c r="X234" s="8"/>
      <c r="Y234" s="8"/>
      <c r="Z234" s="8"/>
    </row>
    <row r="235" ht="14.25" customHeight="1">
      <c r="A235" s="8">
        <v>25308.0</v>
      </c>
      <c r="B235" s="8" t="s">
        <v>24</v>
      </c>
      <c r="C235" s="8" t="s">
        <v>788</v>
      </c>
      <c r="D235" s="8">
        <v>2015.0</v>
      </c>
      <c r="E235" s="8" t="s">
        <v>789</v>
      </c>
      <c r="F235" s="8" t="s">
        <v>64</v>
      </c>
      <c r="G235" s="8">
        <v>184.0</v>
      </c>
      <c r="H235" s="8" t="s">
        <v>33</v>
      </c>
      <c r="I235" s="8" t="s">
        <v>790</v>
      </c>
      <c r="J235" s="8" t="s">
        <v>29</v>
      </c>
      <c r="K235" s="8"/>
      <c r="L235" s="8"/>
      <c r="M235" s="8"/>
      <c r="N235" s="8"/>
      <c r="O235" s="8"/>
      <c r="P235" s="8"/>
      <c r="Q235" s="8"/>
      <c r="R235" s="8"/>
      <c r="S235" s="8"/>
      <c r="T235" s="8"/>
      <c r="U235" s="8"/>
      <c r="V235" s="8"/>
      <c r="W235" s="8"/>
      <c r="X235" s="8"/>
      <c r="Y235" s="8"/>
      <c r="Z235" s="8"/>
    </row>
    <row r="236" ht="14.25" customHeight="1">
      <c r="A236" s="8">
        <v>25960.0</v>
      </c>
      <c r="B236" s="8" t="s">
        <v>24</v>
      </c>
      <c r="C236" s="8" t="s">
        <v>791</v>
      </c>
      <c r="D236" s="8">
        <v>2013.0</v>
      </c>
      <c r="E236" s="8" t="s">
        <v>792</v>
      </c>
      <c r="F236" s="8" t="s">
        <v>64</v>
      </c>
      <c r="G236" s="8">
        <v>165.0</v>
      </c>
      <c r="H236" s="8" t="s">
        <v>33</v>
      </c>
      <c r="I236" s="8" t="s">
        <v>793</v>
      </c>
      <c r="J236" s="8" t="s">
        <v>29</v>
      </c>
      <c r="K236" s="8"/>
      <c r="L236" s="8"/>
      <c r="M236" s="8"/>
      <c r="N236" s="8"/>
      <c r="O236" s="8"/>
      <c r="P236" s="8"/>
      <c r="Q236" s="8"/>
      <c r="R236" s="8"/>
      <c r="S236" s="8"/>
      <c r="T236" s="8"/>
      <c r="U236" s="8"/>
      <c r="V236" s="8"/>
      <c r="W236" s="8"/>
      <c r="X236" s="8"/>
      <c r="Y236" s="8"/>
      <c r="Z236" s="8"/>
    </row>
    <row r="237" ht="14.25" customHeight="1">
      <c r="A237" s="8">
        <v>25679.0</v>
      </c>
      <c r="B237" s="8" t="s">
        <v>24</v>
      </c>
      <c r="C237" s="8" t="s">
        <v>794</v>
      </c>
      <c r="D237" s="8">
        <v>2016.0</v>
      </c>
      <c r="E237" s="8" t="s">
        <v>795</v>
      </c>
      <c r="F237" s="8" t="s">
        <v>117</v>
      </c>
      <c r="G237" s="8">
        <v>352.0</v>
      </c>
      <c r="H237" s="8">
        <v>6281.0</v>
      </c>
      <c r="I237" s="8" t="s">
        <v>796</v>
      </c>
      <c r="J237" s="8" t="s">
        <v>29</v>
      </c>
      <c r="K237" s="8"/>
      <c r="L237" s="8"/>
      <c r="M237" s="8"/>
      <c r="N237" s="8"/>
      <c r="O237" s="8"/>
      <c r="P237" s="8"/>
      <c r="Q237" s="8"/>
      <c r="R237" s="8"/>
      <c r="S237" s="8"/>
      <c r="T237" s="8"/>
      <c r="U237" s="8"/>
      <c r="V237" s="8"/>
      <c r="W237" s="8"/>
      <c r="X237" s="8"/>
      <c r="Y237" s="8"/>
      <c r="Z237" s="8"/>
    </row>
    <row r="238" ht="14.25" customHeight="1">
      <c r="A238" s="8">
        <v>24401.0</v>
      </c>
      <c r="B238" s="8" t="s">
        <v>24</v>
      </c>
      <c r="C238" s="8" t="s">
        <v>797</v>
      </c>
      <c r="D238" s="8">
        <v>2017.0</v>
      </c>
      <c r="E238" s="8" t="s">
        <v>798</v>
      </c>
      <c r="F238" s="8" t="s">
        <v>386</v>
      </c>
      <c r="G238" s="8">
        <v>10.0</v>
      </c>
      <c r="H238" s="8">
        <v>5.0</v>
      </c>
      <c r="I238" s="8" t="s">
        <v>799</v>
      </c>
      <c r="J238" s="8" t="s">
        <v>29</v>
      </c>
      <c r="K238" s="8"/>
      <c r="L238" s="8"/>
      <c r="M238" s="8"/>
      <c r="N238" s="8"/>
      <c r="O238" s="8"/>
      <c r="P238" s="8"/>
      <c r="Q238" s="8"/>
      <c r="R238" s="8"/>
      <c r="S238" s="8"/>
      <c r="T238" s="8"/>
      <c r="U238" s="8"/>
      <c r="V238" s="8"/>
      <c r="W238" s="8"/>
      <c r="X238" s="8"/>
      <c r="Y238" s="8"/>
      <c r="Z238" s="8"/>
    </row>
    <row r="239" ht="14.25" customHeight="1">
      <c r="A239" s="8">
        <v>25304.0</v>
      </c>
      <c r="B239" s="8" t="s">
        <v>24</v>
      </c>
      <c r="C239" s="8" t="s">
        <v>800</v>
      </c>
      <c r="D239" s="8">
        <v>2000.0</v>
      </c>
      <c r="E239" s="8" t="s">
        <v>801</v>
      </c>
      <c r="F239" s="8" t="s">
        <v>33</v>
      </c>
      <c r="G239" s="8">
        <v>63.0</v>
      </c>
      <c r="H239" s="8">
        <v>1.0</v>
      </c>
      <c r="I239" s="8" t="s">
        <v>802</v>
      </c>
      <c r="J239" s="8" t="s">
        <v>29</v>
      </c>
      <c r="K239" s="8"/>
      <c r="L239" s="8"/>
      <c r="M239" s="8"/>
      <c r="N239" s="8"/>
      <c r="O239" s="8"/>
      <c r="P239" s="8"/>
      <c r="Q239" s="8"/>
      <c r="R239" s="8"/>
      <c r="S239" s="8"/>
      <c r="T239" s="8"/>
      <c r="U239" s="8"/>
      <c r="V239" s="8"/>
      <c r="W239" s="8"/>
      <c r="X239" s="8"/>
      <c r="Y239" s="8"/>
      <c r="Z239" s="8"/>
    </row>
    <row r="240" ht="14.25" customHeight="1">
      <c r="A240" s="8">
        <v>24832.0</v>
      </c>
      <c r="B240" s="8" t="s">
        <v>24</v>
      </c>
      <c r="C240" s="8" t="s">
        <v>803</v>
      </c>
      <c r="D240" s="8">
        <v>2020.0</v>
      </c>
      <c r="E240" s="8" t="s">
        <v>804</v>
      </c>
      <c r="F240" s="8" t="s">
        <v>805</v>
      </c>
      <c r="G240" s="8">
        <v>9.0</v>
      </c>
      <c r="H240" s="8">
        <v>1.0</v>
      </c>
      <c r="I240" s="8">
        <v>22.0</v>
      </c>
      <c r="J240" s="8" t="s">
        <v>29</v>
      </c>
      <c r="K240" s="8"/>
      <c r="L240" s="8"/>
      <c r="M240" s="8"/>
      <c r="N240" s="8"/>
      <c r="O240" s="8"/>
      <c r="P240" s="8"/>
      <c r="Q240" s="8"/>
      <c r="R240" s="8"/>
      <c r="S240" s="8"/>
      <c r="T240" s="8"/>
      <c r="U240" s="8"/>
      <c r="V240" s="8"/>
      <c r="W240" s="8"/>
      <c r="X240" s="8"/>
      <c r="Y240" s="8"/>
      <c r="Z240" s="8"/>
    </row>
    <row r="241" ht="14.25" customHeight="1">
      <c r="A241" s="8">
        <v>23870.0</v>
      </c>
      <c r="B241" s="8" t="s">
        <v>24</v>
      </c>
      <c r="C241" s="8" t="s">
        <v>806</v>
      </c>
      <c r="D241" s="8">
        <v>2019.0</v>
      </c>
      <c r="E241" s="8" t="s">
        <v>807</v>
      </c>
      <c r="F241" s="8" t="s">
        <v>808</v>
      </c>
      <c r="G241" s="8">
        <v>10.0</v>
      </c>
      <c r="H241" s="8">
        <v>11.0</v>
      </c>
      <c r="I241" s="8">
        <v>18.0</v>
      </c>
      <c r="J241" s="8" t="s">
        <v>29</v>
      </c>
      <c r="K241" s="8"/>
      <c r="L241" s="8"/>
      <c r="M241" s="8"/>
      <c r="N241" s="8"/>
      <c r="O241" s="8"/>
      <c r="P241" s="8"/>
      <c r="Q241" s="8"/>
      <c r="R241" s="8"/>
      <c r="S241" s="8"/>
      <c r="T241" s="8"/>
      <c r="U241" s="8"/>
      <c r="V241" s="8"/>
      <c r="W241" s="8"/>
      <c r="X241" s="8"/>
      <c r="Y241" s="8"/>
      <c r="Z241" s="8"/>
    </row>
    <row r="242" ht="14.25" customHeight="1">
      <c r="A242" s="8">
        <v>24595.0</v>
      </c>
      <c r="B242" s="8" t="s">
        <v>321</v>
      </c>
      <c r="C242" s="8" t="s">
        <v>809</v>
      </c>
      <c r="D242" s="8">
        <v>2020.0</v>
      </c>
      <c r="E242" s="8" t="s">
        <v>810</v>
      </c>
      <c r="F242" s="8" t="s">
        <v>462</v>
      </c>
      <c r="G242" s="8" t="s">
        <v>33</v>
      </c>
      <c r="H242" s="8" t="s">
        <v>33</v>
      </c>
      <c r="I242" s="8" t="s">
        <v>33</v>
      </c>
      <c r="J242" s="8" t="s">
        <v>29</v>
      </c>
      <c r="K242" s="8"/>
      <c r="L242" s="8"/>
      <c r="M242" s="8"/>
      <c r="N242" s="8"/>
      <c r="O242" s="8"/>
      <c r="P242" s="8"/>
      <c r="Q242" s="8"/>
      <c r="R242" s="8"/>
      <c r="S242" s="8"/>
      <c r="T242" s="8"/>
      <c r="U242" s="8"/>
      <c r="V242" s="8"/>
      <c r="W242" s="8"/>
      <c r="X242" s="8"/>
      <c r="Y242" s="8"/>
      <c r="Z242" s="8"/>
    </row>
    <row r="243" ht="14.25" customHeight="1">
      <c r="A243" s="8">
        <v>24692.0</v>
      </c>
      <c r="B243" s="8" t="s">
        <v>24</v>
      </c>
      <c r="C243" s="8" t="s">
        <v>811</v>
      </c>
      <c r="D243" s="8">
        <v>2018.0</v>
      </c>
      <c r="E243" s="8" t="s">
        <v>812</v>
      </c>
      <c r="F243" s="8" t="s">
        <v>49</v>
      </c>
      <c r="G243" s="8">
        <v>634.0</v>
      </c>
      <c r="H243" s="8" t="s">
        <v>33</v>
      </c>
      <c r="I243" s="8" t="s">
        <v>813</v>
      </c>
      <c r="J243" s="8" t="s">
        <v>29</v>
      </c>
      <c r="K243" s="8"/>
      <c r="L243" s="8"/>
      <c r="M243" s="8"/>
      <c r="N243" s="8"/>
      <c r="O243" s="8"/>
      <c r="P243" s="8"/>
      <c r="Q243" s="8"/>
      <c r="R243" s="8"/>
      <c r="S243" s="8"/>
      <c r="T243" s="8"/>
      <c r="U243" s="8"/>
      <c r="V243" s="8"/>
      <c r="W243" s="8"/>
      <c r="X243" s="8"/>
      <c r="Y243" s="8"/>
      <c r="Z243" s="8"/>
    </row>
    <row r="244" ht="14.25" customHeight="1">
      <c r="A244" s="8">
        <v>23565.0</v>
      </c>
      <c r="B244" s="8" t="s">
        <v>24</v>
      </c>
      <c r="C244" s="8" t="s">
        <v>489</v>
      </c>
      <c r="D244" s="8">
        <v>2015.0</v>
      </c>
      <c r="E244" s="8" t="s">
        <v>814</v>
      </c>
      <c r="F244" s="8" t="s">
        <v>455</v>
      </c>
      <c r="G244" s="8">
        <v>4.0</v>
      </c>
      <c r="H244" s="8" t="s">
        <v>33</v>
      </c>
      <c r="I244" s="8" t="s">
        <v>815</v>
      </c>
      <c r="J244" s="8" t="s">
        <v>29</v>
      </c>
      <c r="K244" s="8"/>
      <c r="L244" s="8"/>
      <c r="M244" s="8"/>
      <c r="N244" s="8"/>
      <c r="O244" s="8"/>
      <c r="P244" s="8"/>
      <c r="Q244" s="8"/>
      <c r="R244" s="8"/>
      <c r="S244" s="8"/>
      <c r="T244" s="8"/>
      <c r="U244" s="8"/>
      <c r="V244" s="8"/>
      <c r="W244" s="8"/>
      <c r="X244" s="8"/>
      <c r="Y244" s="8"/>
      <c r="Z244" s="8"/>
    </row>
    <row r="245" ht="14.25" customHeight="1">
      <c r="A245" s="8">
        <v>24790.0</v>
      </c>
      <c r="B245" s="8" t="s">
        <v>24</v>
      </c>
      <c r="C245" s="8" t="s">
        <v>816</v>
      </c>
      <c r="D245" s="8">
        <v>2013.0</v>
      </c>
      <c r="E245" s="8" t="s">
        <v>817</v>
      </c>
      <c r="F245" s="8" t="s">
        <v>36</v>
      </c>
      <c r="G245" s="8">
        <v>8.0</v>
      </c>
      <c r="H245" s="8">
        <v>12.0</v>
      </c>
      <c r="I245" s="8" t="s">
        <v>33</v>
      </c>
      <c r="J245" s="8" t="s">
        <v>29</v>
      </c>
      <c r="K245" s="8"/>
      <c r="L245" s="8"/>
      <c r="M245" s="8"/>
      <c r="N245" s="8"/>
      <c r="O245" s="8"/>
      <c r="P245" s="8"/>
      <c r="Q245" s="8"/>
      <c r="R245" s="8"/>
      <c r="S245" s="8"/>
      <c r="T245" s="8"/>
      <c r="U245" s="8"/>
      <c r="V245" s="8"/>
      <c r="W245" s="8"/>
      <c r="X245" s="8"/>
      <c r="Y245" s="8"/>
      <c r="Z245" s="8"/>
    </row>
    <row r="246" ht="14.25" customHeight="1">
      <c r="A246" s="8">
        <v>23280.0</v>
      </c>
      <c r="B246" s="8" t="s">
        <v>24</v>
      </c>
      <c r="C246" s="8" t="s">
        <v>818</v>
      </c>
      <c r="D246" s="8">
        <v>2016.0</v>
      </c>
      <c r="E246" s="8" t="s">
        <v>819</v>
      </c>
      <c r="F246" s="8" t="s">
        <v>820</v>
      </c>
      <c r="G246" s="8">
        <v>17.0</v>
      </c>
      <c r="H246" s="8">
        <v>1.0</v>
      </c>
      <c r="I246" s="8" t="s">
        <v>821</v>
      </c>
      <c r="J246" s="8" t="s">
        <v>29</v>
      </c>
      <c r="K246" s="8"/>
      <c r="L246" s="8"/>
      <c r="M246" s="8"/>
      <c r="N246" s="8"/>
      <c r="O246" s="8"/>
      <c r="P246" s="8"/>
      <c r="Q246" s="8"/>
      <c r="R246" s="8"/>
      <c r="S246" s="8"/>
      <c r="T246" s="8"/>
      <c r="U246" s="8"/>
      <c r="V246" s="8"/>
      <c r="W246" s="8"/>
      <c r="X246" s="8"/>
      <c r="Y246" s="8"/>
      <c r="Z246" s="8"/>
    </row>
    <row r="247" ht="14.25" customHeight="1">
      <c r="A247" s="8">
        <v>24473.0</v>
      </c>
      <c r="B247" s="8" t="s">
        <v>24</v>
      </c>
      <c r="C247" s="8" t="s">
        <v>822</v>
      </c>
      <c r="D247" s="8">
        <v>2016.0</v>
      </c>
      <c r="E247" s="8" t="s">
        <v>823</v>
      </c>
      <c r="F247" s="8" t="s">
        <v>820</v>
      </c>
      <c r="G247" s="8">
        <v>17.0</v>
      </c>
      <c r="H247" s="8">
        <v>1.0</v>
      </c>
      <c r="I247" s="8" t="s">
        <v>821</v>
      </c>
      <c r="J247" s="8" t="s">
        <v>29</v>
      </c>
      <c r="K247" s="8"/>
      <c r="L247" s="8"/>
      <c r="M247" s="8"/>
      <c r="N247" s="8"/>
      <c r="O247" s="8"/>
      <c r="P247" s="8"/>
      <c r="Q247" s="8"/>
      <c r="R247" s="8"/>
      <c r="S247" s="8"/>
      <c r="T247" s="8"/>
      <c r="U247" s="8"/>
      <c r="V247" s="8"/>
      <c r="W247" s="8"/>
      <c r="X247" s="8"/>
      <c r="Y247" s="8"/>
      <c r="Z247" s="8"/>
    </row>
    <row r="248" ht="14.25" customHeight="1">
      <c r="A248" s="8">
        <v>23958.0</v>
      </c>
      <c r="B248" s="8" t="s">
        <v>24</v>
      </c>
      <c r="C248" s="8" t="s">
        <v>824</v>
      </c>
      <c r="D248" s="8">
        <v>2019.0</v>
      </c>
      <c r="E248" s="8" t="s">
        <v>825</v>
      </c>
      <c r="F248" s="8" t="s">
        <v>49</v>
      </c>
      <c r="G248" s="8">
        <v>670.0</v>
      </c>
      <c r="H248" s="8" t="s">
        <v>33</v>
      </c>
      <c r="I248" s="8" t="s">
        <v>826</v>
      </c>
      <c r="J248" s="8" t="s">
        <v>29</v>
      </c>
      <c r="K248" s="8"/>
      <c r="L248" s="8"/>
      <c r="M248" s="8"/>
      <c r="N248" s="8"/>
      <c r="O248" s="8"/>
      <c r="P248" s="8"/>
      <c r="Q248" s="8"/>
      <c r="R248" s="8"/>
      <c r="S248" s="8"/>
      <c r="T248" s="8"/>
      <c r="U248" s="8"/>
      <c r="V248" s="8"/>
      <c r="W248" s="8"/>
      <c r="X248" s="8"/>
      <c r="Y248" s="8"/>
      <c r="Z248" s="8"/>
    </row>
    <row r="249" ht="14.25" customHeight="1">
      <c r="A249" s="8">
        <v>23909.0</v>
      </c>
      <c r="B249" s="8" t="s">
        <v>24</v>
      </c>
      <c r="C249" s="8" t="s">
        <v>827</v>
      </c>
      <c r="D249" s="8">
        <v>2017.0</v>
      </c>
      <c r="E249" s="8" t="s">
        <v>828</v>
      </c>
      <c r="F249" s="8" t="s">
        <v>829</v>
      </c>
      <c r="G249" s="8">
        <v>49.0</v>
      </c>
      <c r="H249" s="8">
        <v>5.0</v>
      </c>
      <c r="I249" s="8" t="s">
        <v>830</v>
      </c>
      <c r="J249" s="8" t="s">
        <v>29</v>
      </c>
      <c r="K249" s="8"/>
      <c r="L249" s="8"/>
      <c r="M249" s="8"/>
      <c r="N249" s="8"/>
      <c r="O249" s="8"/>
      <c r="P249" s="8"/>
      <c r="Q249" s="8"/>
      <c r="R249" s="8"/>
      <c r="S249" s="8"/>
      <c r="T249" s="8"/>
      <c r="U249" s="8"/>
      <c r="V249" s="8"/>
      <c r="W249" s="8"/>
      <c r="X249" s="8"/>
      <c r="Y249" s="8"/>
      <c r="Z249" s="8"/>
    </row>
    <row r="250" ht="14.25" customHeight="1">
      <c r="A250" s="8">
        <v>23222.0</v>
      </c>
      <c r="B250" s="8" t="s">
        <v>24</v>
      </c>
      <c r="C250" s="8" t="s">
        <v>831</v>
      </c>
      <c r="D250" s="8">
        <v>2006.0</v>
      </c>
      <c r="E250" s="8" t="s">
        <v>832</v>
      </c>
      <c r="F250" s="8" t="s">
        <v>595</v>
      </c>
      <c r="G250" s="8">
        <v>31.0</v>
      </c>
      <c r="H250" s="8">
        <v>6.0</v>
      </c>
      <c r="I250" s="8" t="s">
        <v>833</v>
      </c>
      <c r="J250" s="8" t="s">
        <v>29</v>
      </c>
      <c r="K250" s="8"/>
      <c r="L250" s="8"/>
      <c r="M250" s="8"/>
      <c r="N250" s="8"/>
      <c r="O250" s="8"/>
      <c r="P250" s="8"/>
      <c r="Q250" s="8"/>
      <c r="R250" s="8"/>
      <c r="S250" s="8"/>
      <c r="T250" s="8"/>
      <c r="U250" s="8"/>
      <c r="V250" s="8"/>
      <c r="W250" s="8"/>
      <c r="X250" s="8"/>
      <c r="Y250" s="8"/>
      <c r="Z250" s="8"/>
    </row>
    <row r="251" ht="14.25" customHeight="1">
      <c r="A251" s="8">
        <v>23169.0</v>
      </c>
      <c r="B251" s="8" t="s">
        <v>24</v>
      </c>
      <c r="C251" s="8" t="s">
        <v>834</v>
      </c>
      <c r="D251" s="8">
        <v>2018.0</v>
      </c>
      <c r="E251" s="8" t="s">
        <v>835</v>
      </c>
      <c r="F251" s="8" t="s">
        <v>64</v>
      </c>
      <c r="G251" s="8">
        <v>221.0</v>
      </c>
      <c r="H251" s="8" t="s">
        <v>33</v>
      </c>
      <c r="I251" s="8" t="s">
        <v>836</v>
      </c>
      <c r="J251" s="8" t="s">
        <v>29</v>
      </c>
      <c r="K251" s="8"/>
      <c r="L251" s="8"/>
      <c r="M251" s="8"/>
      <c r="N251" s="8"/>
      <c r="O251" s="8"/>
      <c r="P251" s="8"/>
      <c r="Q251" s="8"/>
      <c r="R251" s="8"/>
      <c r="S251" s="8"/>
      <c r="T251" s="8"/>
      <c r="U251" s="8"/>
      <c r="V251" s="8"/>
      <c r="W251" s="8"/>
      <c r="X251" s="8"/>
      <c r="Y251" s="8"/>
      <c r="Z251" s="8"/>
    </row>
    <row r="252" ht="14.25" customHeight="1">
      <c r="A252" s="8">
        <v>23313.0</v>
      </c>
      <c r="B252" s="8" t="s">
        <v>837</v>
      </c>
      <c r="C252" s="8" t="s">
        <v>838</v>
      </c>
      <c r="D252" s="8">
        <v>2016.0</v>
      </c>
      <c r="E252" s="8" t="s">
        <v>839</v>
      </c>
      <c r="F252" s="8" t="s">
        <v>33</v>
      </c>
      <c r="G252" s="8" t="s">
        <v>33</v>
      </c>
      <c r="H252" s="8" t="s">
        <v>33</v>
      </c>
      <c r="I252" s="8" t="s">
        <v>33</v>
      </c>
      <c r="J252" s="8" t="s">
        <v>29</v>
      </c>
      <c r="K252" s="8"/>
      <c r="L252" s="8"/>
      <c r="M252" s="8"/>
      <c r="N252" s="8"/>
      <c r="O252" s="8"/>
      <c r="P252" s="8"/>
      <c r="Q252" s="8"/>
      <c r="R252" s="8"/>
      <c r="S252" s="8"/>
      <c r="T252" s="8"/>
      <c r="U252" s="8"/>
      <c r="V252" s="8"/>
      <c r="W252" s="8"/>
      <c r="X252" s="8"/>
      <c r="Y252" s="8"/>
      <c r="Z252" s="8"/>
    </row>
    <row r="253" ht="14.25" customHeight="1">
      <c r="A253" s="8">
        <v>23473.0</v>
      </c>
      <c r="B253" s="8" t="s">
        <v>24</v>
      </c>
      <c r="C253" s="8" t="s">
        <v>840</v>
      </c>
      <c r="D253" s="8">
        <v>2017.0</v>
      </c>
      <c r="E253" s="8" t="s">
        <v>841</v>
      </c>
      <c r="F253" s="8" t="s">
        <v>386</v>
      </c>
      <c r="G253" s="8">
        <v>10.0</v>
      </c>
      <c r="H253" s="8">
        <v>6.0</v>
      </c>
      <c r="I253" s="8" t="s">
        <v>842</v>
      </c>
      <c r="J253" s="8" t="s">
        <v>29</v>
      </c>
      <c r="K253" s="8"/>
      <c r="L253" s="8"/>
      <c r="M253" s="8"/>
      <c r="N253" s="8"/>
      <c r="O253" s="8"/>
      <c r="P253" s="8"/>
      <c r="Q253" s="8"/>
      <c r="R253" s="8"/>
      <c r="S253" s="8"/>
      <c r="T253" s="8"/>
      <c r="U253" s="8"/>
      <c r="V253" s="8"/>
      <c r="W253" s="8"/>
      <c r="X253" s="8"/>
      <c r="Y253" s="8"/>
      <c r="Z253" s="8"/>
    </row>
    <row r="254" ht="14.25" customHeight="1">
      <c r="A254" s="8">
        <v>25857.0</v>
      </c>
      <c r="B254" s="8" t="s">
        <v>24</v>
      </c>
      <c r="C254" s="8" t="s">
        <v>843</v>
      </c>
      <c r="D254" s="8">
        <v>2020.0</v>
      </c>
      <c r="E254" s="8" t="s">
        <v>844</v>
      </c>
      <c r="F254" s="8" t="s">
        <v>53</v>
      </c>
      <c r="G254" s="8">
        <v>11.0</v>
      </c>
      <c r="H254" s="8">
        <v>2.0</v>
      </c>
      <c r="I254" s="8" t="s">
        <v>33</v>
      </c>
      <c r="J254" s="8" t="s">
        <v>29</v>
      </c>
      <c r="K254" s="8"/>
      <c r="L254" s="8"/>
      <c r="M254" s="8"/>
      <c r="N254" s="8"/>
      <c r="O254" s="8"/>
      <c r="P254" s="8"/>
      <c r="Q254" s="8"/>
      <c r="R254" s="8"/>
      <c r="S254" s="8"/>
      <c r="T254" s="8"/>
      <c r="U254" s="8"/>
      <c r="V254" s="8"/>
      <c r="W254" s="8"/>
      <c r="X254" s="8"/>
      <c r="Y254" s="8"/>
      <c r="Z254" s="8"/>
    </row>
    <row r="255" ht="14.25" customHeight="1">
      <c r="A255" s="8" t="s">
        <v>845</v>
      </c>
      <c r="B255" s="8" t="s">
        <v>41</v>
      </c>
      <c r="C255" s="8" t="s">
        <v>846</v>
      </c>
      <c r="D255" s="8">
        <v>2010.0</v>
      </c>
      <c r="E255" s="8" t="s">
        <v>847</v>
      </c>
      <c r="F255" s="8" t="s">
        <v>33</v>
      </c>
      <c r="G255" s="8" t="s">
        <v>33</v>
      </c>
      <c r="H255" s="8" t="s">
        <v>33</v>
      </c>
      <c r="I255" s="8" t="s">
        <v>33</v>
      </c>
      <c r="J255" s="8" t="s">
        <v>320</v>
      </c>
      <c r="K255" s="8"/>
      <c r="L255" s="8"/>
      <c r="M255" s="8"/>
      <c r="N255" s="8"/>
      <c r="O255" s="8"/>
      <c r="P255" s="8"/>
      <c r="Q255" s="8"/>
      <c r="R255" s="8"/>
      <c r="S255" s="8"/>
      <c r="T255" s="8"/>
      <c r="U255" s="8"/>
      <c r="V255" s="8"/>
      <c r="W255" s="8"/>
      <c r="X255" s="8"/>
      <c r="Y255" s="8"/>
      <c r="Z255" s="8"/>
    </row>
    <row r="256" ht="14.25" customHeight="1">
      <c r="A256" s="8">
        <v>23922.0</v>
      </c>
      <c r="B256" s="8" t="s">
        <v>24</v>
      </c>
      <c r="C256" s="8" t="s">
        <v>848</v>
      </c>
      <c r="D256" s="8">
        <v>2019.0</v>
      </c>
      <c r="E256" s="8" t="s">
        <v>849</v>
      </c>
      <c r="F256" s="8" t="s">
        <v>850</v>
      </c>
      <c r="G256" s="8">
        <v>28.0</v>
      </c>
      <c r="H256" s="8">
        <v>2.0</v>
      </c>
      <c r="I256" s="8" t="s">
        <v>851</v>
      </c>
      <c r="J256" s="8" t="s">
        <v>29</v>
      </c>
      <c r="K256" s="8"/>
      <c r="L256" s="8"/>
      <c r="M256" s="8"/>
      <c r="N256" s="8"/>
      <c r="O256" s="8"/>
      <c r="P256" s="8"/>
      <c r="Q256" s="8"/>
      <c r="R256" s="8"/>
      <c r="S256" s="8"/>
      <c r="T256" s="8"/>
      <c r="U256" s="8"/>
      <c r="V256" s="8"/>
      <c r="W256" s="8"/>
      <c r="X256" s="8"/>
      <c r="Y256" s="8"/>
      <c r="Z256" s="8"/>
    </row>
    <row r="257" ht="14.25" customHeight="1">
      <c r="A257" s="8" t="s">
        <v>852</v>
      </c>
      <c r="B257" s="8" t="s">
        <v>41</v>
      </c>
      <c r="C257" s="8" t="s">
        <v>853</v>
      </c>
      <c r="D257" s="8">
        <v>2008.0</v>
      </c>
      <c r="E257" s="8" t="s">
        <v>854</v>
      </c>
      <c r="F257" s="8" t="s">
        <v>855</v>
      </c>
      <c r="G257" s="8" t="s">
        <v>33</v>
      </c>
      <c r="H257" s="8" t="s">
        <v>33</v>
      </c>
      <c r="I257" s="8" t="s">
        <v>33</v>
      </c>
      <c r="J257" s="8" t="s">
        <v>320</v>
      </c>
      <c r="K257" s="8"/>
      <c r="L257" s="8"/>
      <c r="M257" s="8"/>
      <c r="N257" s="8"/>
      <c r="O257" s="8"/>
      <c r="P257" s="8"/>
      <c r="Q257" s="8"/>
      <c r="R257" s="8"/>
      <c r="S257" s="8"/>
      <c r="T257" s="8"/>
      <c r="U257" s="8"/>
      <c r="V257" s="8"/>
      <c r="W257" s="8"/>
      <c r="X257" s="8"/>
      <c r="Y257" s="8"/>
      <c r="Z257" s="8"/>
    </row>
    <row r="258" ht="14.25" customHeight="1">
      <c r="A258" s="8">
        <v>25101.0</v>
      </c>
      <c r="B258" s="8" t="s">
        <v>321</v>
      </c>
      <c r="C258" s="8" t="s">
        <v>856</v>
      </c>
      <c r="D258" s="8">
        <v>2010.0</v>
      </c>
      <c r="E258" s="8" t="s">
        <v>857</v>
      </c>
      <c r="F258" s="8" t="s">
        <v>462</v>
      </c>
      <c r="G258" s="8">
        <v>2.0</v>
      </c>
      <c r="H258" s="8" t="s">
        <v>33</v>
      </c>
      <c r="I258" s="8" t="s">
        <v>858</v>
      </c>
      <c r="J258" s="8" t="s">
        <v>29</v>
      </c>
      <c r="K258" s="8"/>
      <c r="L258" s="8"/>
      <c r="M258" s="8"/>
      <c r="N258" s="8"/>
      <c r="O258" s="8"/>
      <c r="P258" s="8"/>
      <c r="Q258" s="8"/>
      <c r="R258" s="8"/>
      <c r="S258" s="8"/>
      <c r="T258" s="8"/>
      <c r="U258" s="8"/>
      <c r="V258" s="8"/>
      <c r="W258" s="8"/>
      <c r="X258" s="8"/>
      <c r="Y258" s="8"/>
      <c r="Z258" s="8"/>
    </row>
    <row r="259" ht="14.25" customHeight="1">
      <c r="A259" s="8">
        <v>24527.0</v>
      </c>
      <c r="B259" s="8" t="s">
        <v>321</v>
      </c>
      <c r="C259" s="8" t="s">
        <v>398</v>
      </c>
      <c r="D259" s="8">
        <v>2011.0</v>
      </c>
      <c r="E259" s="8" t="s">
        <v>859</v>
      </c>
      <c r="F259" s="8" t="s">
        <v>462</v>
      </c>
      <c r="G259" s="8">
        <v>4.0</v>
      </c>
      <c r="H259" s="8" t="s">
        <v>33</v>
      </c>
      <c r="I259" s="8" t="s">
        <v>860</v>
      </c>
      <c r="J259" s="8" t="s">
        <v>29</v>
      </c>
      <c r="K259" s="8"/>
      <c r="L259" s="8"/>
      <c r="M259" s="8"/>
      <c r="N259" s="8"/>
      <c r="O259" s="8"/>
      <c r="P259" s="8"/>
      <c r="Q259" s="8"/>
      <c r="R259" s="8"/>
      <c r="S259" s="8"/>
      <c r="T259" s="8"/>
      <c r="U259" s="8"/>
      <c r="V259" s="8"/>
      <c r="W259" s="8"/>
      <c r="X259" s="8"/>
      <c r="Y259" s="8"/>
      <c r="Z259" s="8"/>
    </row>
    <row r="260" ht="14.25" customHeight="1">
      <c r="A260" s="8">
        <v>26060.0</v>
      </c>
      <c r="B260" s="8" t="s">
        <v>24</v>
      </c>
      <c r="C260" s="8" t="s">
        <v>861</v>
      </c>
      <c r="D260" s="8">
        <v>2016.0</v>
      </c>
      <c r="E260" s="8" t="s">
        <v>862</v>
      </c>
      <c r="F260" s="8" t="s">
        <v>109</v>
      </c>
      <c r="G260" s="8">
        <v>57.0</v>
      </c>
      <c r="H260" s="8">
        <v>1.0</v>
      </c>
      <c r="I260" s="8" t="s">
        <v>863</v>
      </c>
      <c r="J260" s="8" t="s">
        <v>29</v>
      </c>
      <c r="K260" s="8"/>
      <c r="L260" s="8"/>
      <c r="M260" s="8"/>
      <c r="N260" s="8"/>
      <c r="O260" s="8"/>
      <c r="P260" s="8"/>
      <c r="Q260" s="8"/>
      <c r="R260" s="8"/>
      <c r="S260" s="8"/>
      <c r="T260" s="8"/>
      <c r="U260" s="8"/>
      <c r="V260" s="8"/>
      <c r="W260" s="8"/>
      <c r="X260" s="8"/>
      <c r="Y260" s="8"/>
      <c r="Z260" s="8"/>
    </row>
    <row r="261" ht="14.25" customHeight="1">
      <c r="A261" s="8">
        <v>24875.0</v>
      </c>
      <c r="B261" s="8" t="s">
        <v>24</v>
      </c>
      <c r="C261" s="8" t="s">
        <v>864</v>
      </c>
      <c r="D261" s="8">
        <v>2018.0</v>
      </c>
      <c r="E261" s="8" t="s">
        <v>865</v>
      </c>
      <c r="F261" s="8" t="s">
        <v>866</v>
      </c>
      <c r="G261" s="8">
        <v>10.0</v>
      </c>
      <c r="H261" s="8">
        <v>7.0</v>
      </c>
      <c r="I261" s="8" t="s">
        <v>33</v>
      </c>
      <c r="J261" s="8" t="s">
        <v>29</v>
      </c>
      <c r="K261" s="8"/>
      <c r="L261" s="8"/>
      <c r="M261" s="8"/>
      <c r="N261" s="8"/>
      <c r="O261" s="8"/>
      <c r="P261" s="8"/>
      <c r="Q261" s="8"/>
      <c r="R261" s="8"/>
      <c r="S261" s="8"/>
      <c r="T261" s="8"/>
      <c r="U261" s="8"/>
      <c r="V261" s="8"/>
      <c r="W261" s="8"/>
      <c r="X261" s="8"/>
      <c r="Y261" s="8"/>
      <c r="Z261" s="8"/>
    </row>
    <row r="262" ht="14.25" customHeight="1">
      <c r="A262" s="8">
        <v>25042.0</v>
      </c>
      <c r="B262" s="8" t="s">
        <v>24</v>
      </c>
      <c r="C262" s="8" t="s">
        <v>867</v>
      </c>
      <c r="D262" s="8">
        <v>2014.0</v>
      </c>
      <c r="E262" s="8" t="s">
        <v>868</v>
      </c>
      <c r="F262" s="8" t="s">
        <v>145</v>
      </c>
      <c r="G262" s="8">
        <v>37.0</v>
      </c>
      <c r="H262" s="8" t="s">
        <v>869</v>
      </c>
      <c r="I262" s="8" t="s">
        <v>870</v>
      </c>
      <c r="J262" s="8" t="s">
        <v>29</v>
      </c>
      <c r="K262" s="8"/>
      <c r="L262" s="8"/>
      <c r="M262" s="8"/>
      <c r="N262" s="8"/>
      <c r="O262" s="8"/>
      <c r="P262" s="8"/>
      <c r="Q262" s="8"/>
      <c r="R262" s="8"/>
      <c r="S262" s="8"/>
      <c r="T262" s="8"/>
      <c r="U262" s="8"/>
      <c r="V262" s="8"/>
      <c r="W262" s="8"/>
      <c r="X262" s="8"/>
      <c r="Y262" s="8"/>
      <c r="Z262" s="8"/>
    </row>
    <row r="263" ht="14.25" customHeight="1">
      <c r="A263" s="8">
        <v>25957.0</v>
      </c>
      <c r="B263" s="8" t="s">
        <v>24</v>
      </c>
      <c r="C263" s="8" t="s">
        <v>871</v>
      </c>
      <c r="D263" s="8">
        <v>2018.0</v>
      </c>
      <c r="E263" s="8" t="s">
        <v>872</v>
      </c>
      <c r="F263" s="8" t="s">
        <v>36</v>
      </c>
      <c r="G263" s="8">
        <v>13.0</v>
      </c>
      <c r="H263" s="8">
        <v>4.0</v>
      </c>
      <c r="I263" s="8" t="s">
        <v>33</v>
      </c>
      <c r="J263" s="8" t="s">
        <v>29</v>
      </c>
      <c r="K263" s="8"/>
      <c r="L263" s="8"/>
      <c r="M263" s="8"/>
      <c r="N263" s="8"/>
      <c r="O263" s="8"/>
      <c r="P263" s="8"/>
      <c r="Q263" s="8"/>
      <c r="R263" s="8"/>
      <c r="S263" s="8"/>
      <c r="T263" s="8"/>
      <c r="U263" s="8"/>
      <c r="V263" s="8"/>
      <c r="W263" s="8"/>
      <c r="X263" s="8"/>
      <c r="Y263" s="8"/>
      <c r="Z263" s="8"/>
    </row>
    <row r="264" ht="14.25" customHeight="1">
      <c r="A264" s="8">
        <v>25077.0</v>
      </c>
      <c r="B264" s="8" t="s">
        <v>24</v>
      </c>
      <c r="C264" s="8" t="s">
        <v>873</v>
      </c>
      <c r="D264" s="8">
        <v>2013.0</v>
      </c>
      <c r="E264" s="8" t="s">
        <v>874</v>
      </c>
      <c r="F264" s="8" t="s">
        <v>875</v>
      </c>
      <c r="G264" s="8">
        <v>39.0</v>
      </c>
      <c r="H264" s="8">
        <v>1.0</v>
      </c>
      <c r="I264" s="8" t="s">
        <v>876</v>
      </c>
      <c r="J264" s="8" t="s">
        <v>29</v>
      </c>
      <c r="K264" s="8"/>
      <c r="L264" s="8"/>
      <c r="M264" s="8"/>
      <c r="N264" s="8"/>
      <c r="O264" s="8"/>
      <c r="P264" s="8"/>
      <c r="Q264" s="8"/>
      <c r="R264" s="8"/>
      <c r="S264" s="8"/>
      <c r="T264" s="8"/>
      <c r="U264" s="8"/>
      <c r="V264" s="8"/>
      <c r="W264" s="8"/>
      <c r="X264" s="8"/>
      <c r="Y264" s="8"/>
      <c r="Z264" s="8"/>
    </row>
    <row r="265" ht="14.25" customHeight="1">
      <c r="A265" s="8">
        <v>25324.0</v>
      </c>
      <c r="B265" s="8" t="s">
        <v>24</v>
      </c>
      <c r="C265" s="8" t="s">
        <v>877</v>
      </c>
      <c r="D265" s="8">
        <v>2008.0</v>
      </c>
      <c r="E265" s="8" t="s">
        <v>878</v>
      </c>
      <c r="F265" s="8" t="s">
        <v>879</v>
      </c>
      <c r="G265" s="8">
        <v>24.0</v>
      </c>
      <c r="H265" s="8" t="s">
        <v>880</v>
      </c>
      <c r="I265" s="8" t="s">
        <v>881</v>
      </c>
      <c r="J265" s="8" t="s">
        <v>29</v>
      </c>
      <c r="K265" s="8"/>
      <c r="L265" s="8"/>
      <c r="M265" s="8"/>
      <c r="N265" s="8"/>
      <c r="O265" s="8"/>
      <c r="P265" s="8"/>
      <c r="Q265" s="8"/>
      <c r="R265" s="8"/>
      <c r="S265" s="8"/>
      <c r="T265" s="8"/>
      <c r="U265" s="8"/>
      <c r="V265" s="8"/>
      <c r="W265" s="8"/>
      <c r="X265" s="8"/>
      <c r="Y265" s="8"/>
      <c r="Z265" s="8"/>
    </row>
    <row r="266" ht="14.25" customHeight="1">
      <c r="A266" s="8">
        <v>24436.0</v>
      </c>
      <c r="B266" s="8" t="s">
        <v>24</v>
      </c>
      <c r="C266" s="8" t="s">
        <v>882</v>
      </c>
      <c r="D266" s="8">
        <v>2012.0</v>
      </c>
      <c r="E266" s="8" t="s">
        <v>883</v>
      </c>
      <c r="F266" s="8" t="s">
        <v>242</v>
      </c>
      <c r="G266" s="8">
        <v>14.0</v>
      </c>
      <c r="H266" s="8">
        <v>3.0</v>
      </c>
      <c r="I266" s="8" t="s">
        <v>884</v>
      </c>
      <c r="J266" s="8" t="s">
        <v>29</v>
      </c>
      <c r="K266" s="8"/>
      <c r="L266" s="8"/>
      <c r="M266" s="8"/>
      <c r="N266" s="8"/>
      <c r="O266" s="8"/>
      <c r="P266" s="8"/>
      <c r="Q266" s="8"/>
      <c r="R266" s="8"/>
      <c r="S266" s="8"/>
      <c r="T266" s="8"/>
      <c r="U266" s="8"/>
      <c r="V266" s="8"/>
      <c r="W266" s="8"/>
      <c r="X266" s="8"/>
      <c r="Y266" s="8"/>
      <c r="Z266" s="8"/>
    </row>
    <row r="267" ht="14.25" customHeight="1">
      <c r="A267" s="8">
        <v>24013.0</v>
      </c>
      <c r="B267" s="8" t="s">
        <v>24</v>
      </c>
      <c r="C267" s="8" t="s">
        <v>885</v>
      </c>
      <c r="D267" s="8">
        <v>2017.0</v>
      </c>
      <c r="E267" s="8" t="s">
        <v>886</v>
      </c>
      <c r="F267" s="8" t="s">
        <v>552</v>
      </c>
      <c r="G267" s="8">
        <v>24.0</v>
      </c>
      <c r="H267" s="8">
        <v>3.0</v>
      </c>
      <c r="I267" s="8" t="s">
        <v>887</v>
      </c>
      <c r="J267" s="8" t="s">
        <v>29</v>
      </c>
      <c r="K267" s="8"/>
      <c r="L267" s="8"/>
      <c r="M267" s="8"/>
      <c r="N267" s="8"/>
      <c r="O267" s="8"/>
      <c r="P267" s="8"/>
      <c r="Q267" s="8"/>
      <c r="R267" s="8"/>
      <c r="S267" s="8"/>
      <c r="T267" s="8"/>
      <c r="U267" s="8"/>
      <c r="V267" s="8"/>
      <c r="W267" s="8"/>
      <c r="X267" s="8"/>
      <c r="Y267" s="8"/>
      <c r="Z267" s="8"/>
    </row>
    <row r="268" ht="14.25" customHeight="1">
      <c r="A268" s="8">
        <v>25643.0</v>
      </c>
      <c r="B268" s="8" t="s">
        <v>24</v>
      </c>
      <c r="C268" s="8" t="s">
        <v>888</v>
      </c>
      <c r="D268" s="8">
        <v>2012.0</v>
      </c>
      <c r="E268" s="8" t="s">
        <v>889</v>
      </c>
      <c r="F268" s="8" t="s">
        <v>36</v>
      </c>
      <c r="G268" s="8">
        <v>7.0</v>
      </c>
      <c r="H268" s="8">
        <v>12.0</v>
      </c>
      <c r="I268" s="8" t="s">
        <v>33</v>
      </c>
      <c r="J268" s="8" t="s">
        <v>29</v>
      </c>
      <c r="K268" s="8"/>
      <c r="L268" s="8"/>
      <c r="M268" s="8"/>
      <c r="N268" s="8"/>
      <c r="O268" s="8"/>
      <c r="P268" s="8"/>
      <c r="Q268" s="8"/>
      <c r="R268" s="8"/>
      <c r="S268" s="8"/>
      <c r="T268" s="8"/>
      <c r="U268" s="8"/>
      <c r="V268" s="8"/>
      <c r="W268" s="8"/>
      <c r="X268" s="8"/>
      <c r="Y268" s="8"/>
      <c r="Z268" s="8"/>
    </row>
    <row r="269" ht="14.25" customHeight="1">
      <c r="A269" s="8">
        <v>26104.0</v>
      </c>
      <c r="B269" s="8" t="s">
        <v>24</v>
      </c>
      <c r="C269" s="8" t="s">
        <v>890</v>
      </c>
      <c r="D269" s="8">
        <v>2010.0</v>
      </c>
      <c r="E269" s="8" t="s">
        <v>891</v>
      </c>
      <c r="F269" s="8" t="s">
        <v>97</v>
      </c>
      <c r="G269" s="8">
        <v>16.0</v>
      </c>
      <c r="H269" s="8">
        <v>2.0</v>
      </c>
      <c r="I269" s="8" t="s">
        <v>892</v>
      </c>
      <c r="J269" s="8" t="s">
        <v>29</v>
      </c>
      <c r="K269" s="8"/>
      <c r="L269" s="8"/>
      <c r="M269" s="8"/>
      <c r="N269" s="8"/>
      <c r="O269" s="8"/>
      <c r="P269" s="8"/>
      <c r="Q269" s="8"/>
      <c r="R269" s="8"/>
      <c r="S269" s="8"/>
      <c r="T269" s="8"/>
      <c r="U269" s="8"/>
      <c r="V269" s="8"/>
      <c r="W269" s="8"/>
      <c r="X269" s="8"/>
      <c r="Y269" s="8"/>
      <c r="Z269" s="8"/>
    </row>
    <row r="270" ht="14.25" customHeight="1">
      <c r="A270" s="8">
        <v>25437.0</v>
      </c>
      <c r="B270" s="8" t="s">
        <v>24</v>
      </c>
      <c r="C270" s="8" t="s">
        <v>893</v>
      </c>
      <c r="D270" s="8">
        <v>2006.0</v>
      </c>
      <c r="E270" s="8" t="s">
        <v>894</v>
      </c>
      <c r="F270" s="8" t="s">
        <v>895</v>
      </c>
      <c r="G270" s="8">
        <v>134.0</v>
      </c>
      <c r="H270" s="8">
        <v>3.0</v>
      </c>
      <c r="I270" s="8" t="s">
        <v>896</v>
      </c>
      <c r="J270" s="8" t="s">
        <v>29</v>
      </c>
      <c r="K270" s="8"/>
      <c r="L270" s="8"/>
      <c r="M270" s="8"/>
      <c r="N270" s="8"/>
      <c r="O270" s="8"/>
      <c r="P270" s="8"/>
      <c r="Q270" s="8"/>
      <c r="R270" s="8"/>
      <c r="S270" s="8"/>
      <c r="T270" s="8"/>
      <c r="U270" s="8"/>
      <c r="V270" s="8"/>
      <c r="W270" s="8"/>
      <c r="X270" s="8"/>
      <c r="Y270" s="8"/>
      <c r="Z270" s="8"/>
    </row>
    <row r="271" ht="14.25" customHeight="1">
      <c r="A271" s="8">
        <v>25651.0</v>
      </c>
      <c r="B271" s="8" t="s">
        <v>24</v>
      </c>
      <c r="C271" s="8" t="s">
        <v>897</v>
      </c>
      <c r="D271" s="8">
        <v>2019.0</v>
      </c>
      <c r="E271" s="8" t="s">
        <v>898</v>
      </c>
      <c r="F271" s="8" t="s">
        <v>302</v>
      </c>
      <c r="G271" s="8">
        <v>40.0</v>
      </c>
      <c r="H271" s="8">
        <v>2.0</v>
      </c>
      <c r="I271" s="8" t="s">
        <v>33</v>
      </c>
      <c r="J271" s="8" t="s">
        <v>29</v>
      </c>
      <c r="K271" s="8"/>
      <c r="L271" s="8"/>
      <c r="M271" s="8"/>
      <c r="N271" s="8"/>
      <c r="O271" s="8"/>
      <c r="P271" s="8"/>
      <c r="Q271" s="8"/>
      <c r="R271" s="8"/>
      <c r="S271" s="8"/>
      <c r="T271" s="8"/>
      <c r="U271" s="8"/>
      <c r="V271" s="8"/>
      <c r="W271" s="8"/>
      <c r="X271" s="8"/>
      <c r="Y271" s="8"/>
      <c r="Z271" s="8"/>
    </row>
    <row r="272" ht="14.25" customHeight="1">
      <c r="A272" s="8">
        <v>23599.0</v>
      </c>
      <c r="B272" s="8" t="s">
        <v>24</v>
      </c>
      <c r="C272" s="8" t="s">
        <v>899</v>
      </c>
      <c r="D272" s="8">
        <v>2016.0</v>
      </c>
      <c r="E272" s="8" t="s">
        <v>900</v>
      </c>
      <c r="F272" s="8" t="s">
        <v>246</v>
      </c>
      <c r="G272" s="8">
        <v>36.0</v>
      </c>
      <c r="H272" s="8">
        <v>4.0</v>
      </c>
      <c r="I272" s="8" t="s">
        <v>901</v>
      </c>
      <c r="J272" s="8" t="s">
        <v>29</v>
      </c>
      <c r="K272" s="8"/>
      <c r="L272" s="8"/>
      <c r="M272" s="8"/>
      <c r="N272" s="8"/>
      <c r="O272" s="8"/>
      <c r="P272" s="8"/>
      <c r="Q272" s="8"/>
      <c r="R272" s="8"/>
      <c r="S272" s="8"/>
      <c r="T272" s="8"/>
      <c r="U272" s="8"/>
      <c r="V272" s="8"/>
      <c r="W272" s="8"/>
      <c r="X272" s="8"/>
      <c r="Y272" s="8"/>
      <c r="Z272" s="8"/>
    </row>
    <row r="273" ht="14.25" customHeight="1">
      <c r="A273" s="8">
        <v>25539.0</v>
      </c>
      <c r="B273" s="8" t="s">
        <v>24</v>
      </c>
      <c r="C273" s="8" t="s">
        <v>902</v>
      </c>
      <c r="D273" s="8">
        <v>2019.0</v>
      </c>
      <c r="E273" s="8" t="s">
        <v>903</v>
      </c>
      <c r="F273" s="8" t="s">
        <v>904</v>
      </c>
      <c r="G273" s="8">
        <v>12.0</v>
      </c>
      <c r="H273" s="8">
        <v>3.0</v>
      </c>
      <c r="I273" s="8" t="s">
        <v>905</v>
      </c>
      <c r="J273" s="8" t="s">
        <v>29</v>
      </c>
      <c r="K273" s="8"/>
      <c r="L273" s="8"/>
      <c r="M273" s="8"/>
      <c r="N273" s="8"/>
      <c r="O273" s="8"/>
      <c r="P273" s="8"/>
      <c r="Q273" s="8"/>
      <c r="R273" s="8"/>
      <c r="S273" s="8"/>
      <c r="T273" s="8"/>
      <c r="U273" s="8"/>
      <c r="V273" s="8"/>
      <c r="W273" s="8"/>
      <c r="X273" s="8"/>
      <c r="Y273" s="8"/>
      <c r="Z273" s="8"/>
    </row>
    <row r="274" ht="14.25" customHeight="1">
      <c r="A274" s="8">
        <v>24660.0</v>
      </c>
      <c r="B274" s="8" t="s">
        <v>24</v>
      </c>
      <c r="C274" s="8" t="s">
        <v>906</v>
      </c>
      <c r="D274" s="8">
        <v>2019.0</v>
      </c>
      <c r="E274" s="8" t="s">
        <v>907</v>
      </c>
      <c r="F274" s="8" t="s">
        <v>46</v>
      </c>
      <c r="G274" s="8">
        <v>53.0</v>
      </c>
      <c r="H274" s="8">
        <v>1.0</v>
      </c>
      <c r="I274" s="8" t="s">
        <v>908</v>
      </c>
      <c r="J274" s="8" t="s">
        <v>29</v>
      </c>
      <c r="K274" s="8"/>
      <c r="L274" s="8"/>
      <c r="M274" s="8"/>
      <c r="N274" s="8"/>
      <c r="O274" s="8"/>
      <c r="P274" s="8"/>
      <c r="Q274" s="8"/>
      <c r="R274" s="8"/>
      <c r="S274" s="8"/>
      <c r="T274" s="8"/>
      <c r="U274" s="8"/>
      <c r="V274" s="8"/>
      <c r="W274" s="8"/>
      <c r="X274" s="8"/>
      <c r="Y274" s="8"/>
      <c r="Z274" s="8"/>
    </row>
    <row r="275" ht="14.25" customHeight="1">
      <c r="A275" s="8">
        <v>25449.0</v>
      </c>
      <c r="B275" s="8" t="s">
        <v>24</v>
      </c>
      <c r="C275" s="8" t="s">
        <v>909</v>
      </c>
      <c r="D275" s="8">
        <v>2018.0</v>
      </c>
      <c r="E275" s="8" t="s">
        <v>910</v>
      </c>
      <c r="F275" s="8" t="s">
        <v>174</v>
      </c>
      <c r="G275" s="8">
        <v>2018.0</v>
      </c>
      <c r="H275" s="8">
        <v>10.0</v>
      </c>
      <c r="I275" s="8" t="s">
        <v>33</v>
      </c>
      <c r="J275" s="8" t="s">
        <v>29</v>
      </c>
      <c r="K275" s="8"/>
      <c r="L275" s="8"/>
      <c r="M275" s="8"/>
      <c r="N275" s="8"/>
      <c r="O275" s="8"/>
      <c r="P275" s="8"/>
      <c r="Q275" s="8"/>
      <c r="R275" s="8"/>
      <c r="S275" s="8"/>
      <c r="T275" s="8"/>
      <c r="U275" s="8"/>
      <c r="V275" s="8"/>
      <c r="W275" s="8"/>
      <c r="X275" s="8"/>
      <c r="Y275" s="8"/>
      <c r="Z275" s="8"/>
    </row>
    <row r="276" ht="14.25" customHeight="1">
      <c r="A276" s="8">
        <v>23318.0</v>
      </c>
      <c r="B276" s="8" t="s">
        <v>24</v>
      </c>
      <c r="C276" s="8" t="s">
        <v>911</v>
      </c>
      <c r="D276" s="8">
        <v>2019.0</v>
      </c>
      <c r="E276" s="8" t="s">
        <v>912</v>
      </c>
      <c r="F276" s="8" t="s">
        <v>913</v>
      </c>
      <c r="G276" s="8">
        <v>46.0</v>
      </c>
      <c r="H276" s="8">
        <v>2.0</v>
      </c>
      <c r="I276" s="8" t="s">
        <v>914</v>
      </c>
      <c r="J276" s="8" t="s">
        <v>29</v>
      </c>
      <c r="K276" s="8"/>
      <c r="L276" s="8"/>
      <c r="M276" s="8"/>
      <c r="N276" s="8"/>
      <c r="O276" s="8"/>
      <c r="P276" s="8"/>
      <c r="Q276" s="8"/>
      <c r="R276" s="8"/>
      <c r="S276" s="8"/>
      <c r="T276" s="8"/>
      <c r="U276" s="8"/>
      <c r="V276" s="8"/>
      <c r="W276" s="8"/>
      <c r="X276" s="8"/>
      <c r="Y276" s="8"/>
      <c r="Z276" s="8"/>
    </row>
    <row r="277" ht="14.25" customHeight="1">
      <c r="A277" s="8">
        <v>23682.0</v>
      </c>
      <c r="B277" s="8" t="s">
        <v>24</v>
      </c>
      <c r="C277" s="8" t="s">
        <v>915</v>
      </c>
      <c r="D277" s="8">
        <v>2018.0</v>
      </c>
      <c r="E277" s="8" t="s">
        <v>916</v>
      </c>
      <c r="F277" s="8" t="s">
        <v>615</v>
      </c>
      <c r="G277" s="8">
        <v>27.0</v>
      </c>
      <c r="H277" s="8">
        <v>13.0</v>
      </c>
      <c r="I277" s="8" t="s">
        <v>917</v>
      </c>
      <c r="J277" s="8" t="s">
        <v>29</v>
      </c>
      <c r="K277" s="8"/>
      <c r="L277" s="8"/>
      <c r="M277" s="8"/>
      <c r="N277" s="8"/>
      <c r="O277" s="8"/>
      <c r="P277" s="8"/>
      <c r="Q277" s="8"/>
      <c r="R277" s="8"/>
      <c r="S277" s="8"/>
      <c r="T277" s="8"/>
      <c r="U277" s="8"/>
      <c r="V277" s="8"/>
      <c r="W277" s="8"/>
      <c r="X277" s="8"/>
      <c r="Y277" s="8"/>
      <c r="Z277" s="8"/>
    </row>
    <row r="278" ht="14.25" customHeight="1">
      <c r="A278" s="8">
        <v>25934.0</v>
      </c>
      <c r="B278" s="8" t="s">
        <v>24</v>
      </c>
      <c r="C278" s="8" t="s">
        <v>918</v>
      </c>
      <c r="D278" s="8">
        <v>2017.0</v>
      </c>
      <c r="E278" s="8" t="s">
        <v>919</v>
      </c>
      <c r="F278" s="8" t="s">
        <v>920</v>
      </c>
      <c r="G278" s="8">
        <v>53.0</v>
      </c>
      <c r="H278" s="8">
        <v>1.0</v>
      </c>
      <c r="I278" s="8" t="s">
        <v>921</v>
      </c>
      <c r="J278" s="8" t="s">
        <v>29</v>
      </c>
      <c r="K278" s="8"/>
      <c r="L278" s="8"/>
      <c r="M278" s="8"/>
      <c r="N278" s="8"/>
      <c r="O278" s="8"/>
      <c r="P278" s="8"/>
      <c r="Q278" s="8"/>
      <c r="R278" s="8"/>
      <c r="S278" s="8"/>
      <c r="T278" s="8"/>
      <c r="U278" s="8"/>
      <c r="V278" s="8"/>
      <c r="W278" s="8"/>
      <c r="X278" s="8"/>
      <c r="Y278" s="8"/>
      <c r="Z278" s="8"/>
    </row>
    <row r="279" ht="14.25" customHeight="1">
      <c r="A279" s="8">
        <v>25352.0</v>
      </c>
      <c r="B279" s="8" t="s">
        <v>24</v>
      </c>
      <c r="C279" s="8" t="s">
        <v>922</v>
      </c>
      <c r="D279" s="8">
        <v>2019.0</v>
      </c>
      <c r="E279" s="8" t="s">
        <v>923</v>
      </c>
      <c r="F279" s="8" t="s">
        <v>97</v>
      </c>
      <c r="G279" s="8">
        <v>25.0</v>
      </c>
      <c r="H279" s="8">
        <v>2.0</v>
      </c>
      <c r="I279" s="8" t="s">
        <v>924</v>
      </c>
      <c r="J279" s="8" t="s">
        <v>29</v>
      </c>
      <c r="K279" s="8"/>
      <c r="L279" s="8"/>
      <c r="M279" s="8"/>
      <c r="N279" s="8"/>
      <c r="O279" s="8"/>
      <c r="P279" s="8"/>
      <c r="Q279" s="8"/>
      <c r="R279" s="8"/>
      <c r="S279" s="8"/>
      <c r="T279" s="8"/>
      <c r="U279" s="8"/>
      <c r="V279" s="8"/>
      <c r="W279" s="8"/>
      <c r="X279" s="8"/>
      <c r="Y279" s="8"/>
      <c r="Z279" s="8"/>
    </row>
    <row r="280" ht="14.25" customHeight="1">
      <c r="A280" s="8">
        <v>24706.0</v>
      </c>
      <c r="B280" s="8" t="s">
        <v>24</v>
      </c>
      <c r="C280" s="8" t="s">
        <v>925</v>
      </c>
      <c r="D280" s="8">
        <v>2016.0</v>
      </c>
      <c r="E280" s="8" t="s">
        <v>926</v>
      </c>
      <c r="F280" s="8" t="s">
        <v>927</v>
      </c>
      <c r="G280" s="8">
        <v>12.0</v>
      </c>
      <c r="H280" s="8">
        <v>1.0</v>
      </c>
      <c r="I280" s="8" t="s">
        <v>33</v>
      </c>
      <c r="J280" s="8" t="s">
        <v>29</v>
      </c>
      <c r="K280" s="8"/>
      <c r="L280" s="8"/>
      <c r="M280" s="8"/>
      <c r="N280" s="8"/>
      <c r="O280" s="8"/>
      <c r="P280" s="8"/>
      <c r="Q280" s="8"/>
      <c r="R280" s="8"/>
      <c r="S280" s="8"/>
      <c r="T280" s="8"/>
      <c r="U280" s="8"/>
      <c r="V280" s="8"/>
      <c r="W280" s="8"/>
      <c r="X280" s="8"/>
      <c r="Y280" s="8"/>
      <c r="Z280" s="8"/>
    </row>
    <row r="281" ht="14.25" customHeight="1">
      <c r="A281" s="8">
        <v>23969.0</v>
      </c>
      <c r="B281" s="8" t="s">
        <v>24</v>
      </c>
      <c r="C281" s="8" t="s">
        <v>928</v>
      </c>
      <c r="D281" s="8">
        <v>2020.0</v>
      </c>
      <c r="E281" s="8" t="s">
        <v>929</v>
      </c>
      <c r="F281" s="8" t="s">
        <v>930</v>
      </c>
      <c r="G281" s="8">
        <v>8.0</v>
      </c>
      <c r="H281" s="8" t="s">
        <v>33</v>
      </c>
      <c r="I281" s="8" t="s">
        <v>33</v>
      </c>
      <c r="J281" s="8" t="s">
        <v>29</v>
      </c>
      <c r="K281" s="8"/>
      <c r="L281" s="8"/>
      <c r="M281" s="8"/>
      <c r="N281" s="8"/>
      <c r="O281" s="8"/>
      <c r="P281" s="8"/>
      <c r="Q281" s="8"/>
      <c r="R281" s="8"/>
      <c r="S281" s="8"/>
      <c r="T281" s="8"/>
      <c r="U281" s="8"/>
      <c r="V281" s="8"/>
      <c r="W281" s="8"/>
      <c r="X281" s="8"/>
      <c r="Y281" s="8"/>
      <c r="Z281" s="8"/>
    </row>
    <row r="282" ht="14.25" customHeight="1">
      <c r="A282" s="8">
        <v>23879.0</v>
      </c>
      <c r="B282" s="8" t="s">
        <v>24</v>
      </c>
      <c r="C282" s="8" t="s">
        <v>931</v>
      </c>
      <c r="D282" s="8">
        <v>2018.0</v>
      </c>
      <c r="E282" s="8" t="s">
        <v>932</v>
      </c>
      <c r="F282" s="8" t="s">
        <v>933</v>
      </c>
      <c r="G282" s="8">
        <v>8.0</v>
      </c>
      <c r="H282" s="8">
        <v>1.0</v>
      </c>
      <c r="I282" s="8" t="s">
        <v>33</v>
      </c>
      <c r="J282" s="8" t="s">
        <v>29</v>
      </c>
      <c r="K282" s="8"/>
      <c r="L282" s="8"/>
      <c r="M282" s="8"/>
      <c r="N282" s="8"/>
      <c r="O282" s="8"/>
      <c r="P282" s="8"/>
      <c r="Q282" s="8"/>
      <c r="R282" s="8"/>
      <c r="S282" s="8"/>
      <c r="T282" s="8"/>
      <c r="U282" s="8"/>
      <c r="V282" s="8"/>
      <c r="W282" s="8"/>
      <c r="X282" s="8"/>
      <c r="Y282" s="8"/>
      <c r="Z282" s="8"/>
    </row>
    <row r="283" ht="14.25" customHeight="1">
      <c r="A283" s="8">
        <v>24863.0</v>
      </c>
      <c r="B283" s="8" t="s">
        <v>24</v>
      </c>
      <c r="C283" s="8" t="s">
        <v>934</v>
      </c>
      <c r="D283" s="8">
        <v>2019.0</v>
      </c>
      <c r="E283" s="8" t="s">
        <v>935</v>
      </c>
      <c r="F283" s="8" t="s">
        <v>545</v>
      </c>
      <c r="G283" s="8">
        <v>11.0</v>
      </c>
      <c r="H283" s="8">
        <v>6.0</v>
      </c>
      <c r="I283" s="8" t="s">
        <v>33</v>
      </c>
      <c r="J283" s="8" t="s">
        <v>29</v>
      </c>
      <c r="K283" s="8"/>
      <c r="L283" s="8"/>
      <c r="M283" s="8"/>
      <c r="N283" s="8"/>
      <c r="O283" s="8"/>
      <c r="P283" s="8"/>
      <c r="Q283" s="8"/>
      <c r="R283" s="8"/>
      <c r="S283" s="8"/>
      <c r="T283" s="8"/>
      <c r="U283" s="8"/>
      <c r="V283" s="8"/>
      <c r="W283" s="8"/>
      <c r="X283" s="8"/>
      <c r="Y283" s="8"/>
      <c r="Z283" s="8"/>
    </row>
    <row r="284" ht="14.25" customHeight="1">
      <c r="A284" s="8">
        <v>25145.0</v>
      </c>
      <c r="B284" s="8" t="s">
        <v>24</v>
      </c>
      <c r="C284" s="8" t="s">
        <v>936</v>
      </c>
      <c r="D284" s="8">
        <v>2013.0</v>
      </c>
      <c r="E284" s="8" t="s">
        <v>937</v>
      </c>
      <c r="F284" s="8" t="s">
        <v>36</v>
      </c>
      <c r="G284" s="8">
        <v>8.0</v>
      </c>
      <c r="H284" s="8">
        <v>10.0</v>
      </c>
      <c r="I284" s="8" t="s">
        <v>33</v>
      </c>
      <c r="J284" s="8" t="s">
        <v>29</v>
      </c>
      <c r="K284" s="8"/>
      <c r="L284" s="8"/>
      <c r="M284" s="8"/>
      <c r="N284" s="8"/>
      <c r="O284" s="8"/>
      <c r="P284" s="8"/>
      <c r="Q284" s="8"/>
      <c r="R284" s="8"/>
      <c r="S284" s="8"/>
      <c r="T284" s="8"/>
      <c r="U284" s="8"/>
      <c r="V284" s="8"/>
      <c r="W284" s="8"/>
      <c r="X284" s="8"/>
      <c r="Y284" s="8"/>
      <c r="Z284" s="8"/>
    </row>
    <row r="285" ht="14.25" customHeight="1">
      <c r="A285" s="8">
        <v>23409.0</v>
      </c>
      <c r="B285" s="8" t="s">
        <v>24</v>
      </c>
      <c r="C285" s="8" t="s">
        <v>938</v>
      </c>
      <c r="D285" s="8">
        <v>2020.0</v>
      </c>
      <c r="E285" s="8" t="s">
        <v>939</v>
      </c>
      <c r="F285" s="8" t="s">
        <v>64</v>
      </c>
      <c r="G285" s="8">
        <v>241.0</v>
      </c>
      <c r="H285" s="8" t="s">
        <v>33</v>
      </c>
      <c r="I285" s="8" t="s">
        <v>33</v>
      </c>
      <c r="J285" s="8" t="s">
        <v>29</v>
      </c>
      <c r="K285" s="8"/>
      <c r="L285" s="8"/>
      <c r="M285" s="8"/>
      <c r="N285" s="8"/>
      <c r="O285" s="8"/>
      <c r="P285" s="8"/>
      <c r="Q285" s="8"/>
      <c r="R285" s="8"/>
      <c r="S285" s="8"/>
      <c r="T285" s="8"/>
      <c r="U285" s="8"/>
      <c r="V285" s="8"/>
      <c r="W285" s="8"/>
      <c r="X285" s="8"/>
      <c r="Y285" s="8"/>
      <c r="Z285" s="8"/>
    </row>
    <row r="286" ht="14.25" customHeight="1">
      <c r="A286" s="8">
        <v>23452.0</v>
      </c>
      <c r="B286" s="8" t="s">
        <v>24</v>
      </c>
      <c r="C286" s="8" t="s">
        <v>940</v>
      </c>
      <c r="D286" s="8">
        <v>2013.0</v>
      </c>
      <c r="E286" s="8" t="s">
        <v>941</v>
      </c>
      <c r="F286" s="8" t="s">
        <v>36</v>
      </c>
      <c r="G286" s="8">
        <v>8.0</v>
      </c>
      <c r="H286" s="8">
        <v>4.0</v>
      </c>
      <c r="I286" s="8" t="s">
        <v>33</v>
      </c>
      <c r="J286" s="8" t="s">
        <v>29</v>
      </c>
      <c r="K286" s="8"/>
      <c r="L286" s="8"/>
      <c r="M286" s="8"/>
      <c r="N286" s="8"/>
      <c r="O286" s="8"/>
      <c r="P286" s="8"/>
      <c r="Q286" s="8"/>
      <c r="R286" s="8"/>
      <c r="S286" s="8"/>
      <c r="T286" s="8"/>
      <c r="U286" s="8"/>
      <c r="V286" s="8"/>
      <c r="W286" s="8"/>
      <c r="X286" s="8"/>
      <c r="Y286" s="8"/>
      <c r="Z286" s="8"/>
    </row>
    <row r="287" ht="14.25" customHeight="1">
      <c r="A287" s="8">
        <v>24042.0</v>
      </c>
      <c r="B287" s="8" t="s">
        <v>24</v>
      </c>
      <c r="C287" s="8" t="s">
        <v>942</v>
      </c>
      <c r="D287" s="8">
        <v>2015.0</v>
      </c>
      <c r="E287" s="8" t="s">
        <v>943</v>
      </c>
      <c r="F287" s="8" t="s">
        <v>365</v>
      </c>
      <c r="G287" s="8">
        <v>61.0</v>
      </c>
      <c r="H287" s="8">
        <v>5.0</v>
      </c>
      <c r="I287" s="8" t="s">
        <v>944</v>
      </c>
      <c r="J287" s="8" t="s">
        <v>29</v>
      </c>
      <c r="K287" s="8"/>
      <c r="L287" s="8"/>
      <c r="M287" s="8"/>
      <c r="N287" s="8"/>
      <c r="O287" s="8"/>
      <c r="P287" s="8"/>
      <c r="Q287" s="8"/>
      <c r="R287" s="8"/>
      <c r="S287" s="8"/>
      <c r="T287" s="8"/>
      <c r="U287" s="8"/>
      <c r="V287" s="8"/>
      <c r="W287" s="8"/>
      <c r="X287" s="8"/>
      <c r="Y287" s="8"/>
      <c r="Z287" s="8"/>
    </row>
    <row r="288" ht="14.25" customHeight="1">
      <c r="A288" s="8">
        <v>25593.0</v>
      </c>
      <c r="B288" s="8" t="s">
        <v>24</v>
      </c>
      <c r="C288" s="8" t="s">
        <v>945</v>
      </c>
      <c r="D288" s="8">
        <v>2012.0</v>
      </c>
      <c r="E288" s="8" t="s">
        <v>946</v>
      </c>
      <c r="F288" s="8" t="s">
        <v>64</v>
      </c>
      <c r="G288" s="8">
        <v>150.0</v>
      </c>
      <c r="H288" s="8">
        <v>1.0</v>
      </c>
      <c r="I288" s="8" t="s">
        <v>947</v>
      </c>
      <c r="J288" s="8" t="s">
        <v>29</v>
      </c>
      <c r="K288" s="8"/>
      <c r="L288" s="8"/>
      <c r="M288" s="8"/>
      <c r="N288" s="8"/>
      <c r="O288" s="8"/>
      <c r="P288" s="8"/>
      <c r="Q288" s="8"/>
      <c r="R288" s="8"/>
      <c r="S288" s="8"/>
      <c r="T288" s="8"/>
      <c r="U288" s="8"/>
      <c r="V288" s="8"/>
      <c r="W288" s="8"/>
      <c r="X288" s="8"/>
      <c r="Y288" s="8"/>
      <c r="Z288" s="8"/>
    </row>
    <row r="289" ht="14.25" customHeight="1">
      <c r="A289" s="8">
        <v>24676.0</v>
      </c>
      <c r="B289" s="8" t="s">
        <v>24</v>
      </c>
      <c r="C289" s="8" t="s">
        <v>948</v>
      </c>
      <c r="D289" s="8">
        <v>2019.0</v>
      </c>
      <c r="E289" s="8" t="s">
        <v>949</v>
      </c>
      <c r="F289" s="8" t="s">
        <v>286</v>
      </c>
      <c r="G289" s="8">
        <v>191.0</v>
      </c>
      <c r="H289" s="8">
        <v>4.0</v>
      </c>
      <c r="I289" s="8" t="s">
        <v>33</v>
      </c>
      <c r="J289" s="8" t="s">
        <v>29</v>
      </c>
      <c r="K289" s="8"/>
      <c r="L289" s="8"/>
      <c r="M289" s="8"/>
      <c r="N289" s="8"/>
      <c r="O289" s="8"/>
      <c r="P289" s="8"/>
      <c r="Q289" s="8"/>
      <c r="R289" s="8"/>
      <c r="S289" s="8"/>
      <c r="T289" s="8"/>
      <c r="U289" s="8"/>
      <c r="V289" s="8"/>
      <c r="W289" s="8"/>
      <c r="X289" s="8"/>
      <c r="Y289" s="8"/>
      <c r="Z289" s="8"/>
    </row>
    <row r="290" ht="14.25" customHeight="1">
      <c r="A290" s="8">
        <v>25518.0</v>
      </c>
      <c r="B290" s="8" t="s">
        <v>24</v>
      </c>
      <c r="C290" s="8" t="s">
        <v>950</v>
      </c>
      <c r="D290" s="8">
        <v>2011.0</v>
      </c>
      <c r="E290" s="8" t="s">
        <v>951</v>
      </c>
      <c r="F290" s="8" t="s">
        <v>952</v>
      </c>
      <c r="G290" s="8">
        <v>38.0</v>
      </c>
      <c r="H290" s="8">
        <v>6.0</v>
      </c>
      <c r="I290" s="8" t="s">
        <v>953</v>
      </c>
      <c r="J290" s="8" t="s">
        <v>29</v>
      </c>
      <c r="K290" s="8"/>
      <c r="L290" s="8"/>
      <c r="M290" s="8"/>
      <c r="N290" s="8"/>
      <c r="O290" s="8"/>
      <c r="P290" s="8"/>
      <c r="Q290" s="8"/>
      <c r="R290" s="8"/>
      <c r="S290" s="8"/>
      <c r="T290" s="8"/>
      <c r="U290" s="8"/>
      <c r="V290" s="8"/>
      <c r="W290" s="8"/>
      <c r="X290" s="8"/>
      <c r="Y290" s="8"/>
      <c r="Z290" s="8"/>
    </row>
    <row r="291" ht="14.25" customHeight="1">
      <c r="A291" s="8">
        <v>23018.0</v>
      </c>
      <c r="B291" s="8" t="s">
        <v>24</v>
      </c>
      <c r="C291" s="8" t="s">
        <v>954</v>
      </c>
      <c r="D291" s="8">
        <v>2019.0</v>
      </c>
      <c r="E291" s="8" t="s">
        <v>955</v>
      </c>
      <c r="F291" s="8" t="s">
        <v>97</v>
      </c>
      <c r="G291" s="8">
        <v>25.0</v>
      </c>
      <c r="H291" s="8">
        <v>8.0</v>
      </c>
      <c r="I291" s="8" t="s">
        <v>956</v>
      </c>
      <c r="J291" s="8" t="s">
        <v>29</v>
      </c>
      <c r="K291" s="8"/>
      <c r="L291" s="8"/>
      <c r="M291" s="8"/>
      <c r="N291" s="8"/>
      <c r="O291" s="8"/>
      <c r="P291" s="8"/>
      <c r="Q291" s="8"/>
      <c r="R291" s="8"/>
      <c r="S291" s="8"/>
      <c r="T291" s="8"/>
      <c r="U291" s="8"/>
      <c r="V291" s="8"/>
      <c r="W291" s="8"/>
      <c r="X291" s="8"/>
      <c r="Y291" s="8"/>
      <c r="Z291" s="8"/>
    </row>
    <row r="292" ht="14.25" customHeight="1">
      <c r="A292" s="8">
        <v>24417.0</v>
      </c>
      <c r="B292" s="8" t="s">
        <v>24</v>
      </c>
      <c r="C292" s="8" t="s">
        <v>957</v>
      </c>
      <c r="D292" s="8">
        <v>2010.0</v>
      </c>
      <c r="E292" s="8" t="s">
        <v>958</v>
      </c>
      <c r="F292" s="8" t="s">
        <v>101</v>
      </c>
      <c r="G292" s="8">
        <v>25.0</v>
      </c>
      <c r="H292" s="8">
        <v>2.0</v>
      </c>
      <c r="I292" s="8" t="s">
        <v>959</v>
      </c>
      <c r="J292" s="8" t="s">
        <v>29</v>
      </c>
      <c r="K292" s="8"/>
      <c r="L292" s="8"/>
      <c r="M292" s="8"/>
      <c r="N292" s="8"/>
      <c r="O292" s="8"/>
      <c r="P292" s="8"/>
      <c r="Q292" s="8"/>
      <c r="R292" s="8"/>
      <c r="S292" s="8"/>
      <c r="T292" s="8"/>
      <c r="U292" s="8"/>
      <c r="V292" s="8"/>
      <c r="W292" s="8"/>
      <c r="X292" s="8"/>
      <c r="Y292" s="8"/>
      <c r="Z292" s="8"/>
    </row>
    <row r="293" ht="14.25" customHeight="1">
      <c r="A293" s="8">
        <v>24573.0</v>
      </c>
      <c r="B293" s="8" t="s">
        <v>24</v>
      </c>
      <c r="C293" s="8" t="s">
        <v>960</v>
      </c>
      <c r="D293" s="8">
        <v>2011.0</v>
      </c>
      <c r="E293" s="8" t="s">
        <v>961</v>
      </c>
      <c r="F293" s="8" t="s">
        <v>46</v>
      </c>
      <c r="G293" s="8">
        <v>45.0</v>
      </c>
      <c r="H293" s="8">
        <v>1.0</v>
      </c>
      <c r="I293" s="8" t="s">
        <v>962</v>
      </c>
      <c r="J293" s="8" t="s">
        <v>29</v>
      </c>
      <c r="K293" s="8"/>
      <c r="L293" s="8"/>
      <c r="M293" s="8"/>
      <c r="N293" s="8"/>
      <c r="O293" s="8"/>
      <c r="P293" s="8"/>
      <c r="Q293" s="8"/>
      <c r="R293" s="8"/>
      <c r="S293" s="8"/>
      <c r="T293" s="8"/>
      <c r="U293" s="8"/>
      <c r="V293" s="8"/>
      <c r="W293" s="8"/>
      <c r="X293" s="8"/>
      <c r="Y293" s="8"/>
      <c r="Z293" s="8"/>
    </row>
    <row r="294" ht="14.25" customHeight="1">
      <c r="A294" s="8">
        <v>23398.0</v>
      </c>
      <c r="B294" s="8" t="s">
        <v>24</v>
      </c>
      <c r="C294" s="8" t="s">
        <v>963</v>
      </c>
      <c r="D294" s="8">
        <v>2014.0</v>
      </c>
      <c r="E294" s="8" t="s">
        <v>964</v>
      </c>
      <c r="F294" s="8" t="s">
        <v>965</v>
      </c>
      <c r="G294" s="8">
        <v>9.0</v>
      </c>
      <c r="H294" s="8">
        <v>4.0</v>
      </c>
      <c r="I294" s="8">
        <v>9.0</v>
      </c>
      <c r="J294" s="8" t="s">
        <v>29</v>
      </c>
      <c r="K294" s="8"/>
      <c r="L294" s="8"/>
      <c r="M294" s="8"/>
      <c r="N294" s="8"/>
      <c r="O294" s="8"/>
      <c r="P294" s="8"/>
      <c r="Q294" s="8"/>
      <c r="R294" s="8"/>
      <c r="S294" s="8"/>
      <c r="T294" s="8"/>
      <c r="U294" s="8"/>
      <c r="V294" s="8"/>
      <c r="W294" s="8"/>
      <c r="X294" s="8"/>
      <c r="Y294" s="8"/>
      <c r="Z294" s="8"/>
    </row>
    <row r="295" ht="14.25" customHeight="1">
      <c r="A295" s="8">
        <v>26063.0</v>
      </c>
      <c r="B295" s="8" t="s">
        <v>24</v>
      </c>
      <c r="C295" s="8" t="s">
        <v>966</v>
      </c>
      <c r="D295" s="8">
        <v>2020.0</v>
      </c>
      <c r="E295" s="8" t="s">
        <v>967</v>
      </c>
      <c r="F295" s="8" t="s">
        <v>145</v>
      </c>
      <c r="G295" s="8">
        <v>117.0</v>
      </c>
      <c r="H295" s="8" t="s">
        <v>33</v>
      </c>
      <c r="I295" s="8" t="s">
        <v>33</v>
      </c>
      <c r="J295" s="8" t="s">
        <v>29</v>
      </c>
      <c r="K295" s="8"/>
      <c r="L295" s="8"/>
      <c r="M295" s="8"/>
      <c r="N295" s="8"/>
      <c r="O295" s="8"/>
      <c r="P295" s="8"/>
      <c r="Q295" s="8"/>
      <c r="R295" s="8"/>
      <c r="S295" s="8"/>
      <c r="T295" s="8"/>
      <c r="U295" s="8"/>
      <c r="V295" s="8"/>
      <c r="W295" s="8"/>
      <c r="X295" s="8"/>
      <c r="Y295" s="8"/>
      <c r="Z295" s="8"/>
    </row>
    <row r="296" ht="14.25" customHeight="1">
      <c r="A296" s="8">
        <v>24959.0</v>
      </c>
      <c r="B296" s="8" t="s">
        <v>576</v>
      </c>
      <c r="C296" s="8" t="s">
        <v>968</v>
      </c>
      <c r="D296" s="8">
        <v>2017.0</v>
      </c>
      <c r="E296" s="8" t="s">
        <v>969</v>
      </c>
      <c r="F296" s="8" t="s">
        <v>33</v>
      </c>
      <c r="G296" s="8" t="s">
        <v>33</v>
      </c>
      <c r="H296" s="8" t="s">
        <v>33</v>
      </c>
      <c r="I296" s="8" t="s">
        <v>33</v>
      </c>
      <c r="J296" s="8" t="s">
        <v>29</v>
      </c>
      <c r="K296" s="8"/>
      <c r="L296" s="8"/>
      <c r="M296" s="8"/>
      <c r="N296" s="8"/>
      <c r="O296" s="8"/>
      <c r="P296" s="8"/>
      <c r="Q296" s="8"/>
      <c r="R296" s="8"/>
      <c r="S296" s="8"/>
      <c r="T296" s="8"/>
      <c r="U296" s="8"/>
      <c r="V296" s="8"/>
      <c r="W296" s="8"/>
      <c r="X296" s="8"/>
      <c r="Y296" s="8"/>
      <c r="Z296" s="8"/>
    </row>
    <row r="297" ht="14.25" customHeight="1">
      <c r="A297" s="8">
        <v>25856.0</v>
      </c>
      <c r="B297" s="8" t="s">
        <v>576</v>
      </c>
      <c r="C297" s="8" t="s">
        <v>970</v>
      </c>
      <c r="D297" s="8">
        <v>2016.0</v>
      </c>
      <c r="E297" s="8" t="s">
        <v>971</v>
      </c>
      <c r="F297" s="8" t="s">
        <v>462</v>
      </c>
      <c r="G297" s="8" t="s">
        <v>33</v>
      </c>
      <c r="H297" s="8" t="s">
        <v>33</v>
      </c>
      <c r="I297" s="8" t="s">
        <v>33</v>
      </c>
      <c r="J297" s="8" t="s">
        <v>29</v>
      </c>
      <c r="K297" s="8"/>
      <c r="L297" s="8"/>
      <c r="M297" s="8"/>
      <c r="N297" s="8"/>
      <c r="O297" s="8"/>
      <c r="P297" s="8"/>
      <c r="Q297" s="8"/>
      <c r="R297" s="8"/>
      <c r="S297" s="8"/>
      <c r="T297" s="8"/>
      <c r="U297" s="8"/>
      <c r="V297" s="8"/>
      <c r="W297" s="8"/>
      <c r="X297" s="8"/>
      <c r="Y297" s="8"/>
      <c r="Z297" s="8"/>
    </row>
    <row r="298" ht="14.25" customHeight="1">
      <c r="A298" s="8">
        <v>24290.0</v>
      </c>
      <c r="B298" s="8" t="s">
        <v>24</v>
      </c>
      <c r="C298" s="8" t="s">
        <v>972</v>
      </c>
      <c r="D298" s="8">
        <v>2012.0</v>
      </c>
      <c r="E298" s="8" t="s">
        <v>973</v>
      </c>
      <c r="F298" s="8" t="s">
        <v>820</v>
      </c>
      <c r="G298" s="8">
        <v>13.0</v>
      </c>
      <c r="H298" s="8">
        <v>2.0</v>
      </c>
      <c r="I298" s="8" t="s">
        <v>974</v>
      </c>
      <c r="J298" s="8" t="s">
        <v>29</v>
      </c>
      <c r="K298" s="8"/>
      <c r="L298" s="8"/>
      <c r="M298" s="8"/>
      <c r="N298" s="8"/>
      <c r="O298" s="8"/>
      <c r="P298" s="8"/>
      <c r="Q298" s="8"/>
      <c r="R298" s="8"/>
      <c r="S298" s="8"/>
      <c r="T298" s="8"/>
      <c r="U298" s="8"/>
      <c r="V298" s="8"/>
      <c r="W298" s="8"/>
      <c r="X298" s="8"/>
      <c r="Y298" s="8"/>
      <c r="Z298" s="8"/>
    </row>
    <row r="299" ht="14.25" customHeight="1">
      <c r="A299" s="8">
        <v>25075.0</v>
      </c>
      <c r="B299" s="8" t="s">
        <v>24</v>
      </c>
      <c r="C299" s="8" t="s">
        <v>975</v>
      </c>
      <c r="D299" s="8">
        <v>2020.0</v>
      </c>
      <c r="E299" s="8" t="s">
        <v>976</v>
      </c>
      <c r="F299" s="8" t="s">
        <v>242</v>
      </c>
      <c r="G299" s="8">
        <v>22.0</v>
      </c>
      <c r="H299" s="8">
        <v>8.0</v>
      </c>
      <c r="I299" s="8" t="s">
        <v>977</v>
      </c>
      <c r="J299" s="8" t="s">
        <v>29</v>
      </c>
      <c r="K299" s="8"/>
      <c r="L299" s="8"/>
      <c r="M299" s="8"/>
      <c r="N299" s="8"/>
      <c r="O299" s="8"/>
      <c r="P299" s="8"/>
      <c r="Q299" s="8"/>
      <c r="R299" s="8"/>
      <c r="S299" s="8"/>
      <c r="T299" s="8"/>
      <c r="U299" s="8"/>
      <c r="V299" s="8"/>
      <c r="W299" s="8"/>
      <c r="X299" s="8"/>
      <c r="Y299" s="8"/>
      <c r="Z299" s="8"/>
    </row>
    <row r="300" ht="14.25" customHeight="1">
      <c r="A300" s="8">
        <v>23633.0</v>
      </c>
      <c r="B300" s="8" t="s">
        <v>24</v>
      </c>
      <c r="C300" s="8" t="s">
        <v>978</v>
      </c>
      <c r="D300" s="8">
        <v>2019.0</v>
      </c>
      <c r="E300" s="8" t="s">
        <v>979</v>
      </c>
      <c r="F300" s="8" t="s">
        <v>538</v>
      </c>
      <c r="G300" s="8">
        <v>40.0</v>
      </c>
      <c r="H300" s="8" t="s">
        <v>33</v>
      </c>
      <c r="I300" s="8" t="s">
        <v>33</v>
      </c>
      <c r="J300" s="8" t="s">
        <v>29</v>
      </c>
      <c r="K300" s="8"/>
      <c r="L300" s="8"/>
      <c r="M300" s="8"/>
      <c r="N300" s="8"/>
      <c r="O300" s="8"/>
      <c r="P300" s="8"/>
      <c r="Q300" s="8"/>
      <c r="R300" s="8"/>
      <c r="S300" s="8"/>
      <c r="T300" s="8"/>
      <c r="U300" s="8"/>
      <c r="V300" s="8"/>
      <c r="W300" s="8"/>
      <c r="X300" s="8"/>
      <c r="Y300" s="8"/>
      <c r="Z300" s="8"/>
    </row>
    <row r="301" ht="14.25" customHeight="1">
      <c r="A301" s="8">
        <v>24455.0</v>
      </c>
      <c r="B301" s="8" t="s">
        <v>24</v>
      </c>
      <c r="C301" s="8" t="s">
        <v>980</v>
      </c>
      <c r="D301" s="8">
        <v>2019.0</v>
      </c>
      <c r="E301" s="8" t="s">
        <v>981</v>
      </c>
      <c r="F301" s="8" t="s">
        <v>982</v>
      </c>
      <c r="G301" s="8">
        <v>26.0</v>
      </c>
      <c r="H301" s="8">
        <v>1.0</v>
      </c>
      <c r="I301" s="8" t="s">
        <v>983</v>
      </c>
      <c r="J301" s="8" t="s">
        <v>29</v>
      </c>
      <c r="K301" s="8"/>
      <c r="L301" s="8"/>
      <c r="M301" s="8"/>
      <c r="N301" s="8"/>
      <c r="O301" s="8"/>
      <c r="P301" s="8"/>
      <c r="Q301" s="8"/>
      <c r="R301" s="8"/>
      <c r="S301" s="8"/>
      <c r="T301" s="8"/>
      <c r="U301" s="8"/>
      <c r="V301" s="8"/>
      <c r="W301" s="8"/>
      <c r="X301" s="8"/>
      <c r="Y301" s="8"/>
      <c r="Z301" s="8"/>
    </row>
    <row r="302" ht="14.25" customHeight="1">
      <c r="A302" s="8">
        <v>24881.0</v>
      </c>
      <c r="B302" s="8" t="s">
        <v>24</v>
      </c>
      <c r="C302" s="8" t="s">
        <v>984</v>
      </c>
      <c r="D302" s="8">
        <v>2014.0</v>
      </c>
      <c r="E302" s="8" t="s">
        <v>985</v>
      </c>
      <c r="F302" s="8" t="s">
        <v>286</v>
      </c>
      <c r="G302" s="8">
        <v>186.0</v>
      </c>
      <c r="H302" s="8">
        <v>11.0</v>
      </c>
      <c r="I302" s="8" t="s">
        <v>986</v>
      </c>
      <c r="J302" s="8" t="s">
        <v>29</v>
      </c>
      <c r="K302" s="8"/>
      <c r="L302" s="8"/>
      <c r="M302" s="8"/>
      <c r="N302" s="8"/>
      <c r="O302" s="8"/>
      <c r="P302" s="8"/>
      <c r="Q302" s="8"/>
      <c r="R302" s="8"/>
      <c r="S302" s="8"/>
      <c r="T302" s="8"/>
      <c r="U302" s="8"/>
      <c r="V302" s="8"/>
      <c r="W302" s="8"/>
      <c r="X302" s="8"/>
      <c r="Y302" s="8"/>
      <c r="Z302" s="8"/>
    </row>
    <row r="303" ht="14.25" customHeight="1">
      <c r="A303" s="8">
        <v>23955.0</v>
      </c>
      <c r="B303" s="8" t="s">
        <v>24</v>
      </c>
      <c r="C303" s="8" t="s">
        <v>987</v>
      </c>
      <c r="D303" s="8">
        <v>2018.0</v>
      </c>
      <c r="E303" s="8" t="s">
        <v>988</v>
      </c>
      <c r="F303" s="8" t="s">
        <v>368</v>
      </c>
      <c r="G303" s="8">
        <v>63.0</v>
      </c>
      <c r="H303" s="8">
        <v>12.0</v>
      </c>
      <c r="I303" s="8" t="s">
        <v>989</v>
      </c>
      <c r="J303" s="8" t="s">
        <v>29</v>
      </c>
      <c r="K303" s="8"/>
      <c r="L303" s="8"/>
      <c r="M303" s="8"/>
      <c r="N303" s="8"/>
      <c r="O303" s="8"/>
      <c r="P303" s="8"/>
      <c r="Q303" s="8"/>
      <c r="R303" s="8"/>
      <c r="S303" s="8"/>
      <c r="T303" s="8"/>
      <c r="U303" s="8"/>
      <c r="V303" s="8"/>
      <c r="W303" s="8"/>
      <c r="X303" s="8"/>
      <c r="Y303" s="8"/>
      <c r="Z303" s="8"/>
    </row>
    <row r="304" ht="14.25" customHeight="1">
      <c r="A304" s="8">
        <v>23836.0</v>
      </c>
      <c r="B304" s="8" t="s">
        <v>24</v>
      </c>
      <c r="C304" s="8" t="s">
        <v>990</v>
      </c>
      <c r="D304" s="8">
        <v>2010.0</v>
      </c>
      <c r="E304" s="8" t="s">
        <v>991</v>
      </c>
      <c r="F304" s="8" t="s">
        <v>109</v>
      </c>
      <c r="G304" s="8">
        <v>45.0</v>
      </c>
      <c r="H304" s="8">
        <v>4.0</v>
      </c>
      <c r="I304" s="8" t="s">
        <v>992</v>
      </c>
      <c r="J304" s="8" t="s">
        <v>29</v>
      </c>
      <c r="K304" s="8"/>
      <c r="L304" s="8"/>
      <c r="M304" s="8"/>
      <c r="N304" s="8"/>
      <c r="O304" s="8"/>
      <c r="P304" s="8"/>
      <c r="Q304" s="8"/>
      <c r="R304" s="8"/>
      <c r="S304" s="8"/>
      <c r="T304" s="8"/>
      <c r="U304" s="8"/>
      <c r="V304" s="8"/>
      <c r="W304" s="8"/>
      <c r="X304" s="8"/>
      <c r="Y304" s="8"/>
      <c r="Z304" s="8"/>
    </row>
    <row r="305" ht="14.25" customHeight="1">
      <c r="A305" s="8">
        <v>26068.0</v>
      </c>
      <c r="B305" s="8" t="s">
        <v>24</v>
      </c>
      <c r="C305" s="8" t="s">
        <v>993</v>
      </c>
      <c r="D305" s="8">
        <v>2018.0</v>
      </c>
      <c r="E305" s="8" t="s">
        <v>994</v>
      </c>
      <c r="F305" s="8" t="s">
        <v>74</v>
      </c>
      <c r="G305" s="8">
        <v>41.0</v>
      </c>
      <c r="H305" s="8" t="s">
        <v>33</v>
      </c>
      <c r="I305" s="8" t="s">
        <v>995</v>
      </c>
      <c r="J305" s="8" t="s">
        <v>29</v>
      </c>
      <c r="K305" s="8"/>
      <c r="L305" s="8"/>
      <c r="M305" s="8"/>
      <c r="N305" s="8"/>
      <c r="O305" s="8"/>
      <c r="P305" s="8"/>
      <c r="Q305" s="8"/>
      <c r="R305" s="8"/>
      <c r="S305" s="8"/>
      <c r="T305" s="8"/>
      <c r="U305" s="8"/>
      <c r="V305" s="8"/>
      <c r="W305" s="8"/>
      <c r="X305" s="8"/>
      <c r="Y305" s="8"/>
      <c r="Z305" s="8"/>
    </row>
    <row r="306" ht="14.25" customHeight="1">
      <c r="A306" s="8">
        <v>25349.0</v>
      </c>
      <c r="B306" s="8" t="s">
        <v>24</v>
      </c>
      <c r="C306" s="8" t="s">
        <v>922</v>
      </c>
      <c r="D306" s="8">
        <v>2018.0</v>
      </c>
      <c r="E306" s="8" t="s">
        <v>996</v>
      </c>
      <c r="F306" s="8" t="s">
        <v>769</v>
      </c>
      <c r="G306" s="8">
        <v>28.0</v>
      </c>
      <c r="H306" s="8">
        <v>6.0</v>
      </c>
      <c r="I306" s="8" t="s">
        <v>997</v>
      </c>
      <c r="J306" s="8" t="s">
        <v>29</v>
      </c>
      <c r="K306" s="8"/>
      <c r="L306" s="8"/>
      <c r="M306" s="8"/>
      <c r="N306" s="8"/>
      <c r="O306" s="8"/>
      <c r="P306" s="8"/>
      <c r="Q306" s="8"/>
      <c r="R306" s="8"/>
      <c r="S306" s="8"/>
      <c r="T306" s="8"/>
      <c r="U306" s="8"/>
      <c r="V306" s="8"/>
      <c r="W306" s="8"/>
      <c r="X306" s="8"/>
      <c r="Y306" s="8"/>
      <c r="Z306" s="8"/>
    </row>
    <row r="307" ht="14.25" customHeight="1">
      <c r="A307" s="8">
        <v>24612.0</v>
      </c>
      <c r="B307" s="8" t="s">
        <v>24</v>
      </c>
      <c r="C307" s="8" t="s">
        <v>998</v>
      </c>
      <c r="D307" s="8">
        <v>2014.0</v>
      </c>
      <c r="E307" s="8" t="s">
        <v>999</v>
      </c>
      <c r="F307" s="8" t="s">
        <v>36</v>
      </c>
      <c r="G307" s="8">
        <v>9.0</v>
      </c>
      <c r="H307" s="8">
        <v>8.0</v>
      </c>
      <c r="I307" s="8" t="s">
        <v>33</v>
      </c>
      <c r="J307" s="8" t="s">
        <v>29</v>
      </c>
      <c r="K307" s="8"/>
      <c r="L307" s="8"/>
      <c r="M307" s="8"/>
      <c r="N307" s="8"/>
      <c r="O307" s="8"/>
      <c r="P307" s="8"/>
      <c r="Q307" s="8"/>
      <c r="R307" s="8"/>
      <c r="S307" s="8"/>
      <c r="T307" s="8"/>
      <c r="U307" s="8"/>
      <c r="V307" s="8"/>
      <c r="W307" s="8"/>
      <c r="X307" s="8"/>
      <c r="Y307" s="8"/>
      <c r="Z307" s="8"/>
    </row>
    <row r="308" ht="14.25" customHeight="1">
      <c r="A308" s="8">
        <v>25530.0</v>
      </c>
      <c r="B308" s="8" t="s">
        <v>24</v>
      </c>
      <c r="C308" s="8" t="s">
        <v>1000</v>
      </c>
      <c r="D308" s="8">
        <v>2013.0</v>
      </c>
      <c r="E308" s="8" t="s">
        <v>1001</v>
      </c>
      <c r="F308" s="8" t="s">
        <v>343</v>
      </c>
      <c r="G308" s="8">
        <v>77.0</v>
      </c>
      <c r="H308" s="8">
        <v>5.0</v>
      </c>
      <c r="I308" s="8" t="s">
        <v>1002</v>
      </c>
      <c r="J308" s="8" t="s">
        <v>29</v>
      </c>
      <c r="K308" s="8"/>
      <c r="L308" s="8"/>
      <c r="M308" s="8"/>
      <c r="N308" s="8"/>
      <c r="O308" s="8"/>
      <c r="P308" s="8"/>
      <c r="Q308" s="8"/>
      <c r="R308" s="8"/>
      <c r="S308" s="8"/>
      <c r="T308" s="8"/>
      <c r="U308" s="8"/>
      <c r="V308" s="8"/>
      <c r="W308" s="8"/>
      <c r="X308" s="8"/>
      <c r="Y308" s="8"/>
      <c r="Z308" s="8"/>
    </row>
    <row r="309" ht="14.25" customHeight="1">
      <c r="A309" s="8">
        <v>23185.0</v>
      </c>
      <c r="B309" s="8" t="s">
        <v>24</v>
      </c>
      <c r="C309" s="8" t="s">
        <v>1003</v>
      </c>
      <c r="D309" s="8">
        <v>2016.0</v>
      </c>
      <c r="E309" s="8" t="s">
        <v>1004</v>
      </c>
      <c r="F309" s="8" t="s">
        <v>64</v>
      </c>
      <c r="G309" s="8">
        <v>199.0</v>
      </c>
      <c r="H309" s="8" t="s">
        <v>33</v>
      </c>
      <c r="I309" s="11">
        <v>44805.0</v>
      </c>
      <c r="J309" s="8" t="s">
        <v>29</v>
      </c>
      <c r="K309" s="8"/>
      <c r="L309" s="8"/>
      <c r="M309" s="8"/>
      <c r="N309" s="8"/>
      <c r="O309" s="8"/>
      <c r="P309" s="8"/>
      <c r="Q309" s="8"/>
      <c r="R309" s="8"/>
      <c r="S309" s="8"/>
      <c r="T309" s="8"/>
      <c r="U309" s="8"/>
      <c r="V309" s="8"/>
      <c r="W309" s="8"/>
      <c r="X309" s="8"/>
      <c r="Y309" s="8"/>
      <c r="Z309" s="8"/>
    </row>
    <row r="310" ht="14.25" customHeight="1">
      <c r="A310" s="8">
        <v>24590.0</v>
      </c>
      <c r="B310" s="8" t="s">
        <v>24</v>
      </c>
      <c r="C310" s="8" t="s">
        <v>276</v>
      </c>
      <c r="D310" s="8">
        <v>2018.0</v>
      </c>
      <c r="E310" s="8" t="s">
        <v>1005</v>
      </c>
      <c r="F310" s="8" t="s">
        <v>1006</v>
      </c>
      <c r="G310" s="8">
        <v>28.0</v>
      </c>
      <c r="H310" s="8">
        <v>5.0</v>
      </c>
      <c r="I310" s="8" t="s">
        <v>1007</v>
      </c>
      <c r="J310" s="8" t="s">
        <v>29</v>
      </c>
      <c r="K310" s="8"/>
      <c r="L310" s="8"/>
      <c r="M310" s="8"/>
      <c r="N310" s="8"/>
      <c r="O310" s="8"/>
      <c r="P310" s="8"/>
      <c r="Q310" s="8"/>
      <c r="R310" s="8"/>
      <c r="S310" s="8"/>
      <c r="T310" s="8"/>
      <c r="U310" s="8"/>
      <c r="V310" s="8"/>
      <c r="W310" s="8"/>
      <c r="X310" s="8"/>
      <c r="Y310" s="8"/>
      <c r="Z310" s="8"/>
    </row>
    <row r="311" ht="14.25" customHeight="1">
      <c r="A311" s="8">
        <v>24822.0</v>
      </c>
      <c r="B311" s="8" t="s">
        <v>24</v>
      </c>
      <c r="C311" s="8" t="s">
        <v>1008</v>
      </c>
      <c r="D311" s="8">
        <v>2011.0</v>
      </c>
      <c r="E311" s="8" t="s">
        <v>1009</v>
      </c>
      <c r="F311" s="8" t="s">
        <v>60</v>
      </c>
      <c r="G311" s="8">
        <v>25.0</v>
      </c>
      <c r="H311" s="8">
        <v>3.0</v>
      </c>
      <c r="I311" s="8" t="s">
        <v>1010</v>
      </c>
      <c r="J311" s="8" t="s">
        <v>29</v>
      </c>
      <c r="K311" s="8"/>
      <c r="L311" s="8"/>
      <c r="M311" s="8"/>
      <c r="N311" s="8"/>
      <c r="O311" s="8"/>
      <c r="P311" s="8"/>
      <c r="Q311" s="8"/>
      <c r="R311" s="8"/>
      <c r="S311" s="8"/>
      <c r="T311" s="8"/>
      <c r="U311" s="8"/>
      <c r="V311" s="8"/>
      <c r="W311" s="8"/>
      <c r="X311" s="8"/>
      <c r="Y311" s="8"/>
      <c r="Z311" s="8"/>
    </row>
    <row r="312" ht="14.25" customHeight="1">
      <c r="A312" s="8">
        <v>23530.0</v>
      </c>
      <c r="B312" s="8" t="s">
        <v>24</v>
      </c>
      <c r="C312" s="8" t="s">
        <v>1011</v>
      </c>
      <c r="D312" s="8">
        <v>2013.0</v>
      </c>
      <c r="E312" s="8" t="s">
        <v>1012</v>
      </c>
      <c r="F312" s="8" t="s">
        <v>1013</v>
      </c>
      <c r="G312" s="8">
        <v>78.0</v>
      </c>
      <c r="H312" s="8">
        <v>5.0</v>
      </c>
      <c r="I312" s="8" t="s">
        <v>1014</v>
      </c>
      <c r="J312" s="8" t="s">
        <v>29</v>
      </c>
      <c r="K312" s="8"/>
      <c r="L312" s="8"/>
      <c r="M312" s="8"/>
      <c r="N312" s="8"/>
      <c r="O312" s="8"/>
      <c r="P312" s="8"/>
      <c r="Q312" s="8"/>
      <c r="R312" s="8"/>
      <c r="S312" s="8"/>
      <c r="T312" s="8"/>
      <c r="U312" s="8"/>
      <c r="V312" s="8"/>
      <c r="W312" s="8"/>
      <c r="X312" s="8"/>
      <c r="Y312" s="8"/>
      <c r="Z312" s="8"/>
    </row>
    <row r="313" ht="14.25" customHeight="1">
      <c r="A313" s="8">
        <v>24548.0</v>
      </c>
      <c r="B313" s="8" t="s">
        <v>24</v>
      </c>
      <c r="C313" s="8" t="s">
        <v>398</v>
      </c>
      <c r="D313" s="8">
        <v>2019.0</v>
      </c>
      <c r="E313" s="8" t="s">
        <v>1015</v>
      </c>
      <c r="F313" s="8" t="s">
        <v>1016</v>
      </c>
      <c r="G313" s="8">
        <v>827.0</v>
      </c>
      <c r="H313" s="8">
        <v>1.0</v>
      </c>
      <c r="I313" s="8" t="s">
        <v>1017</v>
      </c>
      <c r="J313" s="8" t="s">
        <v>29</v>
      </c>
      <c r="K313" s="8"/>
      <c r="L313" s="8"/>
      <c r="M313" s="8"/>
      <c r="N313" s="8"/>
      <c r="O313" s="8"/>
      <c r="P313" s="8"/>
      <c r="Q313" s="8"/>
      <c r="R313" s="8"/>
      <c r="S313" s="8"/>
      <c r="T313" s="8"/>
      <c r="U313" s="8"/>
      <c r="V313" s="8"/>
      <c r="W313" s="8"/>
      <c r="X313" s="8"/>
      <c r="Y313" s="8"/>
      <c r="Z313" s="8"/>
    </row>
    <row r="314" ht="14.25" customHeight="1">
      <c r="A314" s="8">
        <v>25755.0</v>
      </c>
      <c r="B314" s="8" t="s">
        <v>24</v>
      </c>
      <c r="C314" s="8" t="s">
        <v>1018</v>
      </c>
      <c r="D314" s="8">
        <v>2017.0</v>
      </c>
      <c r="E314" s="8" t="s">
        <v>1019</v>
      </c>
      <c r="F314" s="8" t="s">
        <v>1020</v>
      </c>
      <c r="G314" s="8">
        <v>26.0</v>
      </c>
      <c r="H314" s="8">
        <v>10.0</v>
      </c>
      <c r="I314" s="8" t="s">
        <v>1021</v>
      </c>
      <c r="J314" s="8" t="s">
        <v>29</v>
      </c>
      <c r="K314" s="8"/>
      <c r="L314" s="8"/>
      <c r="M314" s="8"/>
      <c r="N314" s="8"/>
      <c r="O314" s="8"/>
      <c r="P314" s="8"/>
      <c r="Q314" s="8"/>
      <c r="R314" s="8"/>
      <c r="S314" s="8"/>
      <c r="T314" s="8"/>
      <c r="U314" s="8"/>
      <c r="V314" s="8"/>
      <c r="W314" s="8"/>
      <c r="X314" s="8"/>
      <c r="Y314" s="8"/>
      <c r="Z314" s="8"/>
    </row>
    <row r="315" ht="14.25" customHeight="1">
      <c r="A315" s="8">
        <v>24418.0</v>
      </c>
      <c r="B315" s="8" t="s">
        <v>24</v>
      </c>
      <c r="C315" s="8" t="s">
        <v>1022</v>
      </c>
      <c r="D315" s="8">
        <v>2016.0</v>
      </c>
      <c r="E315" s="8" t="s">
        <v>1023</v>
      </c>
      <c r="F315" s="8" t="s">
        <v>1024</v>
      </c>
      <c r="G315" s="8">
        <v>19.0</v>
      </c>
      <c r="H315" s="8">
        <v>2.0</v>
      </c>
      <c r="I315" s="8" t="s">
        <v>1025</v>
      </c>
      <c r="J315" s="8" t="s">
        <v>29</v>
      </c>
      <c r="K315" s="8"/>
      <c r="L315" s="8"/>
      <c r="M315" s="8"/>
      <c r="N315" s="8"/>
      <c r="O315" s="8"/>
      <c r="P315" s="8"/>
      <c r="Q315" s="8"/>
      <c r="R315" s="8"/>
      <c r="S315" s="8"/>
      <c r="T315" s="8"/>
      <c r="U315" s="8"/>
      <c r="V315" s="8"/>
      <c r="W315" s="8"/>
      <c r="X315" s="8"/>
      <c r="Y315" s="8"/>
      <c r="Z315" s="8"/>
    </row>
    <row r="316" ht="14.25" customHeight="1">
      <c r="A316" s="8">
        <v>24029.0</v>
      </c>
      <c r="B316" s="8" t="s">
        <v>24</v>
      </c>
      <c r="C316" s="8" t="s">
        <v>1026</v>
      </c>
      <c r="D316" s="8">
        <v>2018.0</v>
      </c>
      <c r="E316" s="8" t="s">
        <v>1027</v>
      </c>
      <c r="F316" s="8" t="s">
        <v>1028</v>
      </c>
      <c r="G316" s="8">
        <v>200.0</v>
      </c>
      <c r="H316" s="8">
        <v>1.0</v>
      </c>
      <c r="I316" s="10">
        <v>14977.0</v>
      </c>
      <c r="J316" s="8" t="s">
        <v>29</v>
      </c>
      <c r="K316" s="8"/>
      <c r="L316" s="8"/>
      <c r="M316" s="8"/>
      <c r="N316" s="8"/>
      <c r="O316" s="8"/>
      <c r="P316" s="8"/>
      <c r="Q316" s="8"/>
      <c r="R316" s="8"/>
      <c r="S316" s="8"/>
      <c r="T316" s="8"/>
      <c r="U316" s="8"/>
      <c r="V316" s="8"/>
      <c r="W316" s="8"/>
      <c r="X316" s="8"/>
      <c r="Y316" s="8"/>
      <c r="Z316" s="8"/>
    </row>
    <row r="317" ht="14.25" customHeight="1">
      <c r="A317" s="8">
        <v>25165.0</v>
      </c>
      <c r="B317" s="8" t="s">
        <v>24</v>
      </c>
      <c r="C317" s="8" t="s">
        <v>1029</v>
      </c>
      <c r="D317" s="8">
        <v>2020.0</v>
      </c>
      <c r="E317" s="8" t="s">
        <v>1030</v>
      </c>
      <c r="F317" s="8" t="s">
        <v>1031</v>
      </c>
      <c r="G317" s="8">
        <v>81.0</v>
      </c>
      <c r="H317" s="8" t="s">
        <v>33</v>
      </c>
      <c r="I317" s="8" t="s">
        <v>33</v>
      </c>
      <c r="J317" s="8" t="s">
        <v>29</v>
      </c>
      <c r="K317" s="8"/>
      <c r="L317" s="8"/>
      <c r="M317" s="8"/>
      <c r="N317" s="8"/>
      <c r="O317" s="8"/>
      <c r="P317" s="8"/>
      <c r="Q317" s="8"/>
      <c r="R317" s="8"/>
      <c r="S317" s="8"/>
      <c r="T317" s="8"/>
      <c r="U317" s="8"/>
      <c r="V317" s="8"/>
      <c r="W317" s="8"/>
      <c r="X317" s="8"/>
      <c r="Y317" s="8"/>
      <c r="Z317" s="8"/>
    </row>
    <row r="318" ht="14.25" customHeight="1">
      <c r="A318" s="8">
        <v>24437.0</v>
      </c>
      <c r="B318" s="8" t="s">
        <v>24</v>
      </c>
      <c r="C318" s="8" t="s">
        <v>1032</v>
      </c>
      <c r="D318" s="8">
        <v>2019.0</v>
      </c>
      <c r="E318" s="8" t="s">
        <v>1033</v>
      </c>
      <c r="F318" s="8" t="s">
        <v>581</v>
      </c>
      <c r="G318" s="8">
        <v>34.0</v>
      </c>
      <c r="H318" s="8">
        <v>11.0</v>
      </c>
      <c r="I318" s="8" t="s">
        <v>1034</v>
      </c>
      <c r="J318" s="8" t="s">
        <v>29</v>
      </c>
      <c r="K318" s="8"/>
      <c r="L318" s="8"/>
      <c r="M318" s="8"/>
      <c r="N318" s="8"/>
      <c r="O318" s="8"/>
      <c r="P318" s="8"/>
      <c r="Q318" s="8"/>
      <c r="R318" s="8"/>
      <c r="S318" s="8"/>
      <c r="T318" s="8"/>
      <c r="U318" s="8"/>
      <c r="V318" s="8"/>
      <c r="W318" s="8"/>
      <c r="X318" s="8"/>
      <c r="Y318" s="8"/>
      <c r="Z318" s="8"/>
    </row>
    <row r="319" ht="14.25" customHeight="1">
      <c r="A319" s="8">
        <v>25178.0</v>
      </c>
      <c r="B319" s="8" t="s">
        <v>24</v>
      </c>
      <c r="C319" s="8" t="s">
        <v>1035</v>
      </c>
      <c r="D319" s="8">
        <v>2014.0</v>
      </c>
      <c r="E319" s="8" t="s">
        <v>1036</v>
      </c>
      <c r="F319" s="8" t="s">
        <v>56</v>
      </c>
      <c r="G319" s="8">
        <v>51.0</v>
      </c>
      <c r="H319" s="8">
        <v>3.0</v>
      </c>
      <c r="I319" s="8" t="s">
        <v>1037</v>
      </c>
      <c r="J319" s="8" t="s">
        <v>29</v>
      </c>
      <c r="K319" s="8"/>
      <c r="L319" s="8"/>
      <c r="M319" s="8"/>
      <c r="N319" s="8"/>
      <c r="O319" s="8"/>
      <c r="P319" s="8"/>
      <c r="Q319" s="8"/>
      <c r="R319" s="8"/>
      <c r="S319" s="8"/>
      <c r="T319" s="8"/>
      <c r="U319" s="8"/>
      <c r="V319" s="8"/>
      <c r="W319" s="8"/>
      <c r="X319" s="8"/>
      <c r="Y319" s="8"/>
      <c r="Z319" s="8"/>
    </row>
    <row r="320" ht="14.25" customHeight="1">
      <c r="A320" s="8">
        <v>25120.0</v>
      </c>
      <c r="B320" s="8" t="s">
        <v>24</v>
      </c>
      <c r="C320" s="8" t="s">
        <v>1038</v>
      </c>
      <c r="D320" s="8">
        <v>2020.0</v>
      </c>
      <c r="E320" s="8" t="s">
        <v>1039</v>
      </c>
      <c r="F320" s="8" t="s">
        <v>1040</v>
      </c>
      <c r="G320" s="8">
        <v>61.0</v>
      </c>
      <c r="H320" s="8">
        <v>2.0</v>
      </c>
      <c r="I320" s="8" t="s">
        <v>1041</v>
      </c>
      <c r="J320" s="8" t="s">
        <v>29</v>
      </c>
      <c r="K320" s="8"/>
      <c r="L320" s="8"/>
      <c r="M320" s="8"/>
      <c r="N320" s="8"/>
      <c r="O320" s="8"/>
      <c r="P320" s="8"/>
      <c r="Q320" s="8"/>
      <c r="R320" s="8"/>
      <c r="S320" s="8"/>
      <c r="T320" s="8"/>
      <c r="U320" s="8"/>
      <c r="V320" s="8"/>
      <c r="W320" s="8"/>
      <c r="X320" s="8"/>
      <c r="Y320" s="8"/>
      <c r="Z320" s="8"/>
    </row>
    <row r="321" ht="14.25" customHeight="1">
      <c r="A321" s="8">
        <v>25298.0</v>
      </c>
      <c r="B321" s="8" t="s">
        <v>24</v>
      </c>
      <c r="C321" s="8" t="s">
        <v>1042</v>
      </c>
      <c r="D321" s="8">
        <v>2016.0</v>
      </c>
      <c r="E321" s="8" t="s">
        <v>1043</v>
      </c>
      <c r="F321" s="8" t="s">
        <v>1044</v>
      </c>
      <c r="G321" s="8">
        <v>338.0</v>
      </c>
      <c r="H321" s="8" t="s">
        <v>33</v>
      </c>
      <c r="I321" s="8" t="s">
        <v>1045</v>
      </c>
      <c r="J321" s="8" t="s">
        <v>29</v>
      </c>
      <c r="K321" s="8"/>
      <c r="L321" s="8"/>
      <c r="M321" s="8"/>
      <c r="N321" s="8"/>
      <c r="O321" s="8"/>
      <c r="P321" s="8"/>
      <c r="Q321" s="8"/>
      <c r="R321" s="8"/>
      <c r="S321" s="8"/>
      <c r="T321" s="8"/>
      <c r="U321" s="8"/>
      <c r="V321" s="8"/>
      <c r="W321" s="8"/>
      <c r="X321" s="8"/>
      <c r="Y321" s="8"/>
      <c r="Z321" s="8"/>
    </row>
    <row r="322" ht="14.25" customHeight="1">
      <c r="A322" s="8">
        <v>23664.0</v>
      </c>
      <c r="B322" s="8" t="s">
        <v>24</v>
      </c>
      <c r="C322" s="8" t="s">
        <v>1046</v>
      </c>
      <c r="D322" s="8">
        <v>2015.0</v>
      </c>
      <c r="E322" s="8" t="s">
        <v>1047</v>
      </c>
      <c r="F322" s="8" t="s">
        <v>185</v>
      </c>
      <c r="G322" s="8">
        <v>20.0</v>
      </c>
      <c r="H322" s="8">
        <v>1.0</v>
      </c>
      <c r="I322" s="8" t="s">
        <v>1048</v>
      </c>
      <c r="J322" s="8" t="s">
        <v>29</v>
      </c>
      <c r="K322" s="8"/>
      <c r="L322" s="8"/>
      <c r="M322" s="8"/>
      <c r="N322" s="8"/>
      <c r="O322" s="8"/>
      <c r="P322" s="8"/>
      <c r="Q322" s="8"/>
      <c r="R322" s="8"/>
      <c r="S322" s="8"/>
      <c r="T322" s="8"/>
      <c r="U322" s="8"/>
      <c r="V322" s="8"/>
      <c r="W322" s="8"/>
      <c r="X322" s="8"/>
      <c r="Y322" s="8"/>
      <c r="Z322" s="8"/>
    </row>
    <row r="323" ht="14.25" customHeight="1">
      <c r="A323" s="8">
        <v>25337.0</v>
      </c>
      <c r="B323" s="8" t="s">
        <v>24</v>
      </c>
      <c r="C323" s="8" t="s">
        <v>1049</v>
      </c>
      <c r="D323" s="8">
        <v>2015.0</v>
      </c>
      <c r="E323" s="8" t="s">
        <v>1050</v>
      </c>
      <c r="F323" s="8" t="s">
        <v>1051</v>
      </c>
      <c r="G323" s="8">
        <v>24.0</v>
      </c>
      <c r="H323" s="8">
        <v>21.0</v>
      </c>
      <c r="I323" s="8" t="s">
        <v>1052</v>
      </c>
      <c r="J323" s="8" t="s">
        <v>29</v>
      </c>
      <c r="K323" s="8"/>
      <c r="L323" s="8"/>
      <c r="M323" s="8"/>
      <c r="N323" s="8"/>
      <c r="O323" s="8"/>
      <c r="P323" s="8"/>
      <c r="Q323" s="8"/>
      <c r="R323" s="8"/>
      <c r="S323" s="8"/>
      <c r="T323" s="8"/>
      <c r="U323" s="8"/>
      <c r="V323" s="8"/>
      <c r="W323" s="8"/>
      <c r="X323" s="8"/>
      <c r="Y323" s="8"/>
      <c r="Z323" s="8"/>
    </row>
    <row r="324" ht="14.25" customHeight="1">
      <c r="A324" s="8">
        <v>23402.0</v>
      </c>
      <c r="B324" s="8" t="s">
        <v>24</v>
      </c>
      <c r="C324" s="8" t="s">
        <v>1053</v>
      </c>
      <c r="D324" s="8">
        <v>2017.0</v>
      </c>
      <c r="E324" s="8" t="s">
        <v>1054</v>
      </c>
      <c r="F324" s="8" t="s">
        <v>552</v>
      </c>
      <c r="G324" s="8">
        <v>23.0</v>
      </c>
      <c r="H324" s="8">
        <v>7.0</v>
      </c>
      <c r="I324" s="8" t="s">
        <v>1055</v>
      </c>
      <c r="J324" s="8" t="s">
        <v>29</v>
      </c>
      <c r="K324" s="8"/>
      <c r="L324" s="8"/>
      <c r="M324" s="8"/>
      <c r="N324" s="8"/>
      <c r="O324" s="8"/>
      <c r="P324" s="8"/>
      <c r="Q324" s="8"/>
      <c r="R324" s="8"/>
      <c r="S324" s="8"/>
      <c r="T324" s="8"/>
      <c r="U324" s="8"/>
      <c r="V324" s="8"/>
      <c r="W324" s="8"/>
      <c r="X324" s="8"/>
      <c r="Y324" s="8"/>
      <c r="Z324" s="8"/>
    </row>
    <row r="325" ht="14.25" customHeight="1">
      <c r="A325" s="8">
        <v>25582.0</v>
      </c>
      <c r="B325" s="8" t="s">
        <v>24</v>
      </c>
      <c r="C325" s="8" t="s">
        <v>1056</v>
      </c>
      <c r="D325" s="8">
        <v>2020.0</v>
      </c>
      <c r="E325" s="8" t="s">
        <v>1057</v>
      </c>
      <c r="F325" s="8" t="s">
        <v>1058</v>
      </c>
      <c r="G325" s="8" t="s">
        <v>33</v>
      </c>
      <c r="H325" s="8" t="s">
        <v>33</v>
      </c>
      <c r="I325" s="8" t="s">
        <v>33</v>
      </c>
      <c r="J325" s="8" t="s">
        <v>29</v>
      </c>
      <c r="K325" s="8"/>
      <c r="L325" s="8"/>
      <c r="M325" s="8"/>
      <c r="N325" s="8"/>
      <c r="O325" s="8"/>
      <c r="P325" s="8"/>
      <c r="Q325" s="8"/>
      <c r="R325" s="8"/>
      <c r="S325" s="8"/>
      <c r="T325" s="8"/>
      <c r="U325" s="8"/>
      <c r="V325" s="8"/>
      <c r="W325" s="8"/>
      <c r="X325" s="8"/>
      <c r="Y325" s="8"/>
      <c r="Z325" s="8"/>
    </row>
    <row r="326" ht="14.25" customHeight="1">
      <c r="A326" s="8">
        <v>24937.0</v>
      </c>
      <c r="B326" s="8" t="s">
        <v>24</v>
      </c>
      <c r="C326" s="8" t="s">
        <v>1059</v>
      </c>
      <c r="D326" s="8">
        <v>2019.0</v>
      </c>
      <c r="E326" s="8" t="s">
        <v>1060</v>
      </c>
      <c r="F326" s="8" t="s">
        <v>64</v>
      </c>
      <c r="G326" s="8">
        <v>239.0</v>
      </c>
      <c r="H326" s="8" t="s">
        <v>33</v>
      </c>
      <c r="I326" s="8" t="s">
        <v>33</v>
      </c>
      <c r="J326" s="8" t="s">
        <v>29</v>
      </c>
      <c r="K326" s="8"/>
      <c r="L326" s="8"/>
      <c r="M326" s="8"/>
      <c r="N326" s="8"/>
      <c r="O326" s="8"/>
      <c r="P326" s="8"/>
      <c r="Q326" s="8"/>
      <c r="R326" s="8"/>
      <c r="S326" s="8"/>
      <c r="T326" s="8"/>
      <c r="U326" s="8"/>
      <c r="V326" s="8"/>
      <c r="W326" s="8"/>
      <c r="X326" s="8"/>
      <c r="Y326" s="8"/>
      <c r="Z326" s="8"/>
    </row>
    <row r="327" ht="14.25" customHeight="1">
      <c r="A327" s="8">
        <v>24415.0</v>
      </c>
      <c r="B327" s="8" t="s">
        <v>24</v>
      </c>
      <c r="C327" s="8" t="s">
        <v>1061</v>
      </c>
      <c r="D327" s="8">
        <v>2018.0</v>
      </c>
      <c r="E327" s="8" t="s">
        <v>1062</v>
      </c>
      <c r="F327" s="8" t="s">
        <v>552</v>
      </c>
      <c r="G327" s="8">
        <v>24.0</v>
      </c>
      <c r="H327" s="8">
        <v>6.0</v>
      </c>
      <c r="I327" s="8" t="s">
        <v>1063</v>
      </c>
      <c r="J327" s="8" t="s">
        <v>29</v>
      </c>
      <c r="K327" s="8"/>
      <c r="L327" s="8"/>
      <c r="M327" s="8"/>
      <c r="N327" s="8"/>
      <c r="O327" s="8"/>
      <c r="P327" s="8"/>
      <c r="Q327" s="8"/>
      <c r="R327" s="8"/>
      <c r="S327" s="8"/>
      <c r="T327" s="8"/>
      <c r="U327" s="8"/>
      <c r="V327" s="8"/>
      <c r="W327" s="8"/>
      <c r="X327" s="8"/>
      <c r="Y327" s="8"/>
      <c r="Z327" s="8"/>
    </row>
    <row r="328" ht="14.25" customHeight="1">
      <c r="A328" s="8">
        <v>25640.0</v>
      </c>
      <c r="B328" s="8" t="s">
        <v>576</v>
      </c>
      <c r="C328" s="8" t="s">
        <v>1064</v>
      </c>
      <c r="D328" s="8">
        <v>2006.0</v>
      </c>
      <c r="E328" s="8" t="s">
        <v>1065</v>
      </c>
      <c r="F328" s="8" t="s">
        <v>462</v>
      </c>
      <c r="G328" s="8" t="s">
        <v>33</v>
      </c>
      <c r="H328" s="8" t="s">
        <v>33</v>
      </c>
      <c r="I328" s="8" t="s">
        <v>33</v>
      </c>
      <c r="J328" s="8" t="s">
        <v>29</v>
      </c>
      <c r="K328" s="8"/>
      <c r="L328" s="8"/>
      <c r="M328" s="8"/>
      <c r="N328" s="8"/>
      <c r="O328" s="8"/>
      <c r="P328" s="8"/>
      <c r="Q328" s="8"/>
      <c r="R328" s="8"/>
      <c r="S328" s="8"/>
      <c r="T328" s="8"/>
      <c r="U328" s="8"/>
      <c r="V328" s="8"/>
      <c r="W328" s="8"/>
      <c r="X328" s="8"/>
      <c r="Y328" s="8"/>
      <c r="Z328" s="8"/>
    </row>
    <row r="329" ht="14.25" customHeight="1">
      <c r="A329" s="8">
        <v>24743.0</v>
      </c>
      <c r="B329" s="8" t="s">
        <v>24</v>
      </c>
      <c r="C329" s="8" t="s">
        <v>1066</v>
      </c>
      <c r="D329" s="8">
        <v>2015.0</v>
      </c>
      <c r="E329" s="8" t="s">
        <v>1067</v>
      </c>
      <c r="F329" s="8" t="s">
        <v>56</v>
      </c>
      <c r="G329" s="8">
        <v>52.0</v>
      </c>
      <c r="H329" s="8">
        <v>4.0</v>
      </c>
      <c r="I329" s="8" t="s">
        <v>1068</v>
      </c>
      <c r="J329" s="8" t="s">
        <v>29</v>
      </c>
      <c r="K329" s="8"/>
      <c r="L329" s="8"/>
      <c r="M329" s="8"/>
      <c r="N329" s="8"/>
      <c r="O329" s="8"/>
      <c r="P329" s="8"/>
      <c r="Q329" s="8"/>
      <c r="R329" s="8"/>
      <c r="S329" s="8"/>
      <c r="T329" s="8"/>
      <c r="U329" s="8"/>
      <c r="V329" s="8"/>
      <c r="W329" s="8"/>
      <c r="X329" s="8"/>
      <c r="Y329" s="8"/>
      <c r="Z329" s="8"/>
    </row>
    <row r="330" ht="14.25" customHeight="1">
      <c r="A330" s="8">
        <v>24475.0</v>
      </c>
      <c r="B330" s="8" t="s">
        <v>24</v>
      </c>
      <c r="C330" s="8" t="s">
        <v>1069</v>
      </c>
      <c r="D330" s="8">
        <v>2020.0</v>
      </c>
      <c r="E330" s="8" t="s">
        <v>1070</v>
      </c>
      <c r="F330" s="8" t="s">
        <v>1071</v>
      </c>
      <c r="G330" s="8" t="s">
        <v>33</v>
      </c>
      <c r="H330" s="8" t="s">
        <v>33</v>
      </c>
      <c r="I330" s="8" t="s">
        <v>33</v>
      </c>
      <c r="J330" s="8" t="s">
        <v>29</v>
      </c>
      <c r="K330" s="8"/>
      <c r="L330" s="8"/>
      <c r="M330" s="8"/>
      <c r="N330" s="8"/>
      <c r="O330" s="8"/>
      <c r="P330" s="8"/>
      <c r="Q330" s="8"/>
      <c r="R330" s="8"/>
      <c r="S330" s="8"/>
      <c r="T330" s="8"/>
      <c r="U330" s="8"/>
      <c r="V330" s="8"/>
      <c r="W330" s="8"/>
      <c r="X330" s="8"/>
      <c r="Y330" s="8"/>
      <c r="Z330" s="8"/>
    </row>
    <row r="331" ht="14.25" customHeight="1">
      <c r="A331" s="8">
        <v>23424.0</v>
      </c>
      <c r="B331" s="8" t="s">
        <v>24</v>
      </c>
      <c r="C331" s="8" t="s">
        <v>1072</v>
      </c>
      <c r="D331" s="8">
        <v>2014.0</v>
      </c>
      <c r="E331" s="8" t="s">
        <v>1073</v>
      </c>
      <c r="F331" s="8" t="s">
        <v>74</v>
      </c>
      <c r="G331" s="8">
        <v>22.0</v>
      </c>
      <c r="H331" s="8">
        <v>2.0</v>
      </c>
      <c r="I331" s="8" t="s">
        <v>1074</v>
      </c>
      <c r="J331" s="8" t="s">
        <v>29</v>
      </c>
      <c r="K331" s="8"/>
      <c r="L331" s="8"/>
      <c r="M331" s="8"/>
      <c r="N331" s="8"/>
      <c r="O331" s="8"/>
      <c r="P331" s="8"/>
      <c r="Q331" s="8"/>
      <c r="R331" s="8"/>
      <c r="S331" s="8"/>
      <c r="T331" s="8"/>
      <c r="U331" s="8"/>
      <c r="V331" s="8"/>
      <c r="W331" s="8"/>
      <c r="X331" s="8"/>
      <c r="Y331" s="8"/>
      <c r="Z331" s="8"/>
    </row>
    <row r="332" ht="14.25" customHeight="1">
      <c r="A332" s="8">
        <v>23252.0</v>
      </c>
      <c r="B332" s="8" t="s">
        <v>24</v>
      </c>
      <c r="C332" s="8" t="s">
        <v>1075</v>
      </c>
      <c r="D332" s="8">
        <v>2017.0</v>
      </c>
      <c r="E332" s="8" t="s">
        <v>1076</v>
      </c>
      <c r="F332" s="8" t="s">
        <v>109</v>
      </c>
      <c r="G332" s="8">
        <v>59.0</v>
      </c>
      <c r="H332" s="8">
        <v>6.0</v>
      </c>
      <c r="I332" s="8" t="s">
        <v>1077</v>
      </c>
      <c r="J332" s="8" t="s">
        <v>29</v>
      </c>
      <c r="K332" s="8"/>
      <c r="L332" s="8"/>
      <c r="M332" s="8"/>
      <c r="N332" s="8"/>
      <c r="O332" s="8"/>
      <c r="P332" s="8"/>
      <c r="Q332" s="8"/>
      <c r="R332" s="8"/>
      <c r="S332" s="8"/>
      <c r="T332" s="8"/>
      <c r="U332" s="8"/>
      <c r="V332" s="8"/>
      <c r="W332" s="8"/>
      <c r="X332" s="8"/>
      <c r="Y332" s="8"/>
      <c r="Z332" s="8"/>
    </row>
    <row r="333" ht="14.25" customHeight="1">
      <c r="A333" s="8">
        <v>24713.0</v>
      </c>
      <c r="B333" s="8" t="s">
        <v>24</v>
      </c>
      <c r="C333" s="8" t="s">
        <v>1078</v>
      </c>
      <c r="D333" s="8">
        <v>2018.0</v>
      </c>
      <c r="E333" s="8" t="s">
        <v>1079</v>
      </c>
      <c r="F333" s="8" t="s">
        <v>913</v>
      </c>
      <c r="G333" s="8">
        <v>45.0</v>
      </c>
      <c r="H333" s="8">
        <v>3.0</v>
      </c>
      <c r="I333" s="8" t="s">
        <v>1080</v>
      </c>
      <c r="J333" s="8" t="s">
        <v>29</v>
      </c>
      <c r="K333" s="8"/>
      <c r="L333" s="8"/>
      <c r="M333" s="8"/>
      <c r="N333" s="8"/>
      <c r="O333" s="8"/>
      <c r="P333" s="8"/>
      <c r="Q333" s="8"/>
      <c r="R333" s="8"/>
      <c r="S333" s="8"/>
      <c r="T333" s="8"/>
      <c r="U333" s="8"/>
      <c r="V333" s="8"/>
      <c r="W333" s="8"/>
      <c r="X333" s="8"/>
      <c r="Y333" s="8"/>
      <c r="Z333" s="8"/>
    </row>
    <row r="334" ht="14.25" customHeight="1">
      <c r="A334" s="8">
        <v>23912.0</v>
      </c>
      <c r="B334" s="8" t="s">
        <v>24</v>
      </c>
      <c r="C334" s="8" t="s">
        <v>1081</v>
      </c>
      <c r="D334" s="8">
        <v>2012.0</v>
      </c>
      <c r="E334" s="8" t="s">
        <v>1082</v>
      </c>
      <c r="F334" s="8" t="s">
        <v>56</v>
      </c>
      <c r="G334" s="8">
        <v>49.0</v>
      </c>
      <c r="H334" s="8">
        <v>3.0</v>
      </c>
      <c r="I334" s="8" t="s">
        <v>1083</v>
      </c>
      <c r="J334" s="8" t="s">
        <v>29</v>
      </c>
      <c r="K334" s="8"/>
      <c r="L334" s="8"/>
      <c r="M334" s="8"/>
      <c r="N334" s="8"/>
      <c r="O334" s="8"/>
      <c r="P334" s="8"/>
      <c r="Q334" s="8"/>
      <c r="R334" s="8"/>
      <c r="S334" s="8"/>
      <c r="T334" s="8"/>
      <c r="U334" s="8"/>
      <c r="V334" s="8"/>
      <c r="W334" s="8"/>
      <c r="X334" s="8"/>
      <c r="Y334" s="8"/>
      <c r="Z334" s="8"/>
    </row>
    <row r="335" ht="14.25" customHeight="1">
      <c r="A335" s="8">
        <v>23196.0</v>
      </c>
      <c r="B335" s="8" t="s">
        <v>24</v>
      </c>
      <c r="C335" s="8" t="s">
        <v>1084</v>
      </c>
      <c r="D335" s="8">
        <v>2018.0</v>
      </c>
      <c r="E335" s="8" t="s">
        <v>1085</v>
      </c>
      <c r="F335" s="8" t="s">
        <v>1051</v>
      </c>
      <c r="G335" s="8">
        <v>27.0</v>
      </c>
      <c r="H335" s="8">
        <v>1.0</v>
      </c>
      <c r="I335" s="8" t="s">
        <v>1086</v>
      </c>
      <c r="J335" s="8" t="s">
        <v>29</v>
      </c>
      <c r="K335" s="8"/>
      <c r="L335" s="8"/>
      <c r="M335" s="8"/>
      <c r="N335" s="8"/>
      <c r="O335" s="8"/>
      <c r="P335" s="8"/>
      <c r="Q335" s="8"/>
      <c r="R335" s="8"/>
      <c r="S335" s="8"/>
      <c r="T335" s="8"/>
      <c r="U335" s="8"/>
      <c r="V335" s="8"/>
      <c r="W335" s="8"/>
      <c r="X335" s="8"/>
      <c r="Y335" s="8"/>
      <c r="Z335" s="8"/>
    </row>
    <row r="336" ht="14.25" customHeight="1">
      <c r="A336" s="8">
        <v>25862.0</v>
      </c>
      <c r="B336" s="8" t="s">
        <v>24</v>
      </c>
      <c r="C336" s="8" t="s">
        <v>1087</v>
      </c>
      <c r="D336" s="8">
        <v>2015.0</v>
      </c>
      <c r="E336" s="8" t="s">
        <v>1088</v>
      </c>
      <c r="F336" s="8" t="s">
        <v>36</v>
      </c>
      <c r="G336" s="8">
        <v>10.0</v>
      </c>
      <c r="H336" s="8">
        <v>4.0</v>
      </c>
      <c r="I336" s="8" t="s">
        <v>33</v>
      </c>
      <c r="J336" s="8" t="s">
        <v>29</v>
      </c>
      <c r="K336" s="8"/>
      <c r="L336" s="8"/>
      <c r="M336" s="8"/>
      <c r="N336" s="8"/>
      <c r="O336" s="8"/>
      <c r="P336" s="8"/>
      <c r="Q336" s="8"/>
      <c r="R336" s="8"/>
      <c r="S336" s="8"/>
      <c r="T336" s="8"/>
      <c r="U336" s="8"/>
      <c r="V336" s="8"/>
      <c r="W336" s="8"/>
      <c r="X336" s="8"/>
      <c r="Y336" s="8"/>
      <c r="Z336" s="8"/>
    </row>
    <row r="337" ht="14.25" customHeight="1">
      <c r="A337" s="8">
        <v>23737.0</v>
      </c>
      <c r="B337" s="8" t="s">
        <v>41</v>
      </c>
      <c r="C337" s="8" t="s">
        <v>1089</v>
      </c>
      <c r="D337" s="8">
        <v>2014.0</v>
      </c>
      <c r="E337" s="8" t="s">
        <v>1090</v>
      </c>
      <c r="F337" s="8" t="s">
        <v>33</v>
      </c>
      <c r="G337" s="8" t="s">
        <v>33</v>
      </c>
      <c r="H337" s="8" t="s">
        <v>33</v>
      </c>
      <c r="I337" s="8" t="s">
        <v>33</v>
      </c>
      <c r="J337" s="8" t="s">
        <v>29</v>
      </c>
      <c r="K337" s="8"/>
      <c r="L337" s="8"/>
      <c r="M337" s="8"/>
      <c r="N337" s="8"/>
      <c r="O337" s="8"/>
      <c r="P337" s="8"/>
      <c r="Q337" s="8"/>
      <c r="R337" s="8"/>
      <c r="S337" s="8"/>
      <c r="T337" s="8"/>
      <c r="U337" s="8"/>
      <c r="V337" s="8"/>
      <c r="W337" s="8"/>
      <c r="X337" s="8"/>
      <c r="Y337" s="8"/>
      <c r="Z337" s="8"/>
    </row>
    <row r="338" ht="14.25" customHeight="1">
      <c r="A338" s="8">
        <v>24034.0</v>
      </c>
      <c r="B338" s="8" t="s">
        <v>24</v>
      </c>
      <c r="C338" s="8" t="s">
        <v>1091</v>
      </c>
      <c r="D338" s="8">
        <v>2012.0</v>
      </c>
      <c r="E338" s="8" t="s">
        <v>1092</v>
      </c>
      <c r="F338" s="8" t="s">
        <v>1093</v>
      </c>
      <c r="G338" s="8">
        <v>14.0</v>
      </c>
      <c r="H338" s="8">
        <v>4.0</v>
      </c>
      <c r="I338" s="8" t="s">
        <v>1094</v>
      </c>
      <c r="J338" s="8" t="s">
        <v>29</v>
      </c>
      <c r="K338" s="8"/>
      <c r="L338" s="8"/>
      <c r="M338" s="8"/>
      <c r="N338" s="8"/>
      <c r="O338" s="8"/>
      <c r="P338" s="8"/>
      <c r="Q338" s="8"/>
      <c r="R338" s="8"/>
      <c r="S338" s="8"/>
      <c r="T338" s="8"/>
      <c r="U338" s="8"/>
      <c r="V338" s="8"/>
      <c r="W338" s="8"/>
      <c r="X338" s="8"/>
      <c r="Y338" s="8"/>
      <c r="Z338" s="8"/>
    </row>
    <row r="339" ht="14.25" customHeight="1">
      <c r="A339" s="8">
        <v>26142.0</v>
      </c>
      <c r="B339" s="8" t="s">
        <v>24</v>
      </c>
      <c r="C339" s="8" t="s">
        <v>1095</v>
      </c>
      <c r="D339" s="8">
        <v>2014.0</v>
      </c>
      <c r="E339" s="8" t="s">
        <v>1096</v>
      </c>
      <c r="F339" s="8" t="s">
        <v>64</v>
      </c>
      <c r="G339" s="8">
        <v>170.0</v>
      </c>
      <c r="H339" s="8" t="s">
        <v>33</v>
      </c>
      <c r="I339" s="8" t="s">
        <v>1097</v>
      </c>
      <c r="J339" s="8" t="s">
        <v>29</v>
      </c>
      <c r="K339" s="8"/>
      <c r="L339" s="8"/>
      <c r="M339" s="8"/>
      <c r="N339" s="8"/>
      <c r="O339" s="8"/>
      <c r="P339" s="8"/>
      <c r="Q339" s="8"/>
      <c r="R339" s="8"/>
      <c r="S339" s="8"/>
      <c r="T339" s="8"/>
      <c r="U339" s="8"/>
      <c r="V339" s="8"/>
      <c r="W339" s="8"/>
      <c r="X339" s="8"/>
      <c r="Y339" s="8"/>
      <c r="Z339" s="8"/>
    </row>
    <row r="340" ht="14.25" customHeight="1">
      <c r="A340" s="8">
        <v>24740.0</v>
      </c>
      <c r="B340" s="8" t="s">
        <v>24</v>
      </c>
      <c r="C340" s="8" t="s">
        <v>1098</v>
      </c>
      <c r="D340" s="8">
        <v>2017.0</v>
      </c>
      <c r="E340" s="8" t="s">
        <v>1099</v>
      </c>
      <c r="F340" s="8" t="s">
        <v>53</v>
      </c>
      <c r="G340" s="8">
        <v>8.0</v>
      </c>
      <c r="H340" s="8">
        <v>5.0</v>
      </c>
      <c r="I340" s="8" t="s">
        <v>33</v>
      </c>
      <c r="J340" s="8" t="s">
        <v>29</v>
      </c>
      <c r="K340" s="8"/>
      <c r="L340" s="8"/>
      <c r="M340" s="8"/>
      <c r="N340" s="8"/>
      <c r="O340" s="8"/>
      <c r="P340" s="8"/>
      <c r="Q340" s="8"/>
      <c r="R340" s="8"/>
      <c r="S340" s="8"/>
      <c r="T340" s="8"/>
      <c r="U340" s="8"/>
      <c r="V340" s="8"/>
      <c r="W340" s="8"/>
      <c r="X340" s="8"/>
      <c r="Y340" s="8"/>
      <c r="Z340" s="8"/>
    </row>
    <row r="341" ht="14.25" customHeight="1">
      <c r="A341" s="8">
        <v>24912.0</v>
      </c>
      <c r="B341" s="8" t="s">
        <v>24</v>
      </c>
      <c r="C341" s="8" t="s">
        <v>1100</v>
      </c>
      <c r="D341" s="8">
        <v>2018.0</v>
      </c>
      <c r="E341" s="8" t="s">
        <v>1101</v>
      </c>
      <c r="F341" s="8" t="s">
        <v>933</v>
      </c>
      <c r="G341" s="8">
        <v>8.0</v>
      </c>
      <c r="H341" s="8">
        <v>1.0</v>
      </c>
      <c r="I341" s="8" t="s">
        <v>33</v>
      </c>
      <c r="J341" s="8" t="s">
        <v>29</v>
      </c>
      <c r="K341" s="8"/>
      <c r="L341" s="8"/>
      <c r="M341" s="8"/>
      <c r="N341" s="8"/>
      <c r="O341" s="8"/>
      <c r="P341" s="8"/>
      <c r="Q341" s="8"/>
      <c r="R341" s="8"/>
      <c r="S341" s="8"/>
      <c r="T341" s="8"/>
      <c r="U341" s="8"/>
      <c r="V341" s="8"/>
      <c r="W341" s="8"/>
      <c r="X341" s="8"/>
      <c r="Y341" s="8"/>
      <c r="Z341" s="8"/>
    </row>
    <row r="342" ht="14.25" customHeight="1">
      <c r="A342" s="8">
        <v>24765.0</v>
      </c>
      <c r="B342" s="8" t="s">
        <v>24</v>
      </c>
      <c r="C342" s="8" t="s">
        <v>1102</v>
      </c>
      <c r="D342" s="8">
        <v>2011.0</v>
      </c>
      <c r="E342" s="8" t="s">
        <v>1103</v>
      </c>
      <c r="F342" s="8" t="s">
        <v>53</v>
      </c>
      <c r="G342" s="8">
        <v>2.0</v>
      </c>
      <c r="H342" s="8">
        <v>2.0</v>
      </c>
      <c r="I342" s="8" t="s">
        <v>33</v>
      </c>
      <c r="J342" s="8" t="s">
        <v>29</v>
      </c>
      <c r="K342" s="8"/>
      <c r="L342" s="8"/>
      <c r="M342" s="8"/>
      <c r="N342" s="8"/>
      <c r="O342" s="8"/>
      <c r="P342" s="8"/>
      <c r="Q342" s="8"/>
      <c r="R342" s="8"/>
      <c r="S342" s="8"/>
      <c r="T342" s="8"/>
      <c r="U342" s="8"/>
      <c r="V342" s="8"/>
      <c r="W342" s="8"/>
      <c r="X342" s="8"/>
      <c r="Y342" s="8"/>
      <c r="Z342" s="8"/>
    </row>
    <row r="343" ht="14.25" customHeight="1">
      <c r="A343" s="8">
        <v>25695.0</v>
      </c>
      <c r="B343" s="8" t="s">
        <v>24</v>
      </c>
      <c r="C343" s="8" t="s">
        <v>1104</v>
      </c>
      <c r="D343" s="8">
        <v>2017.0</v>
      </c>
      <c r="E343" s="8" t="s">
        <v>1105</v>
      </c>
      <c r="F343" s="8" t="s">
        <v>242</v>
      </c>
      <c r="G343" s="8">
        <v>19.0</v>
      </c>
      <c r="H343" s="8">
        <v>6.0</v>
      </c>
      <c r="I343" s="8" t="s">
        <v>1106</v>
      </c>
      <c r="J343" s="8" t="s">
        <v>29</v>
      </c>
      <c r="K343" s="8"/>
      <c r="L343" s="8"/>
      <c r="M343" s="8"/>
      <c r="N343" s="8"/>
      <c r="O343" s="8"/>
      <c r="P343" s="8"/>
      <c r="Q343" s="8"/>
      <c r="R343" s="8"/>
      <c r="S343" s="8"/>
      <c r="T343" s="8"/>
      <c r="U343" s="8"/>
      <c r="V343" s="8"/>
      <c r="W343" s="8"/>
      <c r="X343" s="8"/>
      <c r="Y343" s="8"/>
      <c r="Z343" s="8"/>
    </row>
    <row r="344" ht="14.25" customHeight="1">
      <c r="A344" s="8">
        <v>24400.0</v>
      </c>
      <c r="B344" s="8" t="s">
        <v>24</v>
      </c>
      <c r="C344" s="8" t="s">
        <v>1107</v>
      </c>
      <c r="D344" s="8">
        <v>2016.0</v>
      </c>
      <c r="E344" s="8" t="s">
        <v>1108</v>
      </c>
      <c r="F344" s="8" t="s">
        <v>422</v>
      </c>
      <c r="G344" s="8">
        <v>45.0</v>
      </c>
      <c r="H344" s="8">
        <v>1.0</v>
      </c>
      <c r="I344" s="8" t="s">
        <v>1109</v>
      </c>
      <c r="J344" s="8" t="s">
        <v>29</v>
      </c>
      <c r="K344" s="8"/>
      <c r="L344" s="8"/>
      <c r="M344" s="8"/>
      <c r="N344" s="8"/>
      <c r="O344" s="8"/>
      <c r="P344" s="8"/>
      <c r="Q344" s="8"/>
      <c r="R344" s="8"/>
      <c r="S344" s="8"/>
      <c r="T344" s="8"/>
      <c r="U344" s="8"/>
      <c r="V344" s="8"/>
      <c r="W344" s="8"/>
      <c r="X344" s="8"/>
      <c r="Y344" s="8"/>
      <c r="Z344" s="8"/>
    </row>
    <row r="345" ht="14.25" customHeight="1">
      <c r="A345" s="8">
        <v>24222.0</v>
      </c>
      <c r="B345" s="8" t="s">
        <v>24</v>
      </c>
      <c r="C345" s="8" t="s">
        <v>1110</v>
      </c>
      <c r="D345" s="8">
        <v>2012.0</v>
      </c>
      <c r="E345" s="8" t="s">
        <v>1111</v>
      </c>
      <c r="F345" s="8" t="s">
        <v>109</v>
      </c>
      <c r="G345" s="8">
        <v>49.0</v>
      </c>
      <c r="H345" s="8">
        <v>2.0</v>
      </c>
      <c r="I345" s="8" t="s">
        <v>1112</v>
      </c>
      <c r="J345" s="8" t="s">
        <v>29</v>
      </c>
      <c r="K345" s="8"/>
      <c r="L345" s="8"/>
      <c r="M345" s="8"/>
      <c r="N345" s="8"/>
      <c r="O345" s="8"/>
      <c r="P345" s="8"/>
      <c r="Q345" s="8"/>
      <c r="R345" s="8"/>
      <c r="S345" s="8"/>
      <c r="T345" s="8"/>
      <c r="U345" s="8"/>
      <c r="V345" s="8"/>
      <c r="W345" s="8"/>
      <c r="X345" s="8"/>
      <c r="Y345" s="8"/>
      <c r="Z345" s="8"/>
    </row>
    <row r="346" ht="14.25" customHeight="1">
      <c r="A346" s="8">
        <v>23384.0</v>
      </c>
      <c r="B346" s="8" t="s">
        <v>24</v>
      </c>
      <c r="C346" s="8" t="s">
        <v>1113</v>
      </c>
      <c r="D346" s="8">
        <v>2018.0</v>
      </c>
      <c r="E346" s="8" t="s">
        <v>1114</v>
      </c>
      <c r="F346" s="8" t="s">
        <v>60</v>
      </c>
      <c r="G346" s="8">
        <v>32.0</v>
      </c>
      <c r="H346" s="8">
        <v>4.0</v>
      </c>
      <c r="I346" s="8" t="s">
        <v>1115</v>
      </c>
      <c r="J346" s="8" t="s">
        <v>29</v>
      </c>
      <c r="K346" s="8"/>
      <c r="L346" s="8"/>
      <c r="M346" s="8"/>
      <c r="N346" s="8"/>
      <c r="O346" s="8"/>
      <c r="P346" s="8"/>
      <c r="Q346" s="8"/>
      <c r="R346" s="8"/>
      <c r="S346" s="8"/>
      <c r="T346" s="8"/>
      <c r="U346" s="8"/>
      <c r="V346" s="8"/>
      <c r="W346" s="8"/>
      <c r="X346" s="8"/>
      <c r="Y346" s="8"/>
      <c r="Z346" s="8"/>
    </row>
    <row r="347" ht="14.25" customHeight="1">
      <c r="A347" s="8">
        <v>23552.0</v>
      </c>
      <c r="B347" s="8" t="s">
        <v>24</v>
      </c>
      <c r="C347" s="8" t="s">
        <v>1116</v>
      </c>
      <c r="D347" s="8">
        <v>2009.0</v>
      </c>
      <c r="E347" s="8" t="s">
        <v>1117</v>
      </c>
      <c r="F347" s="8" t="s">
        <v>97</v>
      </c>
      <c r="G347" s="8">
        <v>15.0</v>
      </c>
      <c r="H347" s="8">
        <v>1.0</v>
      </c>
      <c r="I347" s="8" t="s">
        <v>1118</v>
      </c>
      <c r="J347" s="8" t="s">
        <v>29</v>
      </c>
      <c r="K347" s="8"/>
      <c r="L347" s="8"/>
      <c r="M347" s="8"/>
      <c r="N347" s="8"/>
      <c r="O347" s="8"/>
      <c r="P347" s="8"/>
      <c r="Q347" s="8"/>
      <c r="R347" s="8"/>
      <c r="S347" s="8"/>
      <c r="T347" s="8"/>
      <c r="U347" s="8"/>
      <c r="V347" s="8"/>
      <c r="W347" s="8"/>
      <c r="X347" s="8"/>
      <c r="Y347" s="8"/>
      <c r="Z347" s="8"/>
    </row>
    <row r="348" ht="14.25" customHeight="1">
      <c r="A348" s="8">
        <v>25870.0</v>
      </c>
      <c r="B348" s="8" t="s">
        <v>24</v>
      </c>
      <c r="C348" s="8" t="s">
        <v>1087</v>
      </c>
      <c r="D348" s="8">
        <v>2017.0</v>
      </c>
      <c r="E348" s="8" t="s">
        <v>1119</v>
      </c>
      <c r="F348" s="8" t="s">
        <v>64</v>
      </c>
      <c r="G348" s="8">
        <v>213.0</v>
      </c>
      <c r="H348" s="8" t="s">
        <v>33</v>
      </c>
      <c r="I348" s="8" t="s">
        <v>1120</v>
      </c>
      <c r="J348" s="8" t="s">
        <v>29</v>
      </c>
      <c r="K348" s="8"/>
      <c r="L348" s="8"/>
      <c r="M348" s="8"/>
      <c r="N348" s="8"/>
      <c r="O348" s="8"/>
      <c r="P348" s="8"/>
      <c r="Q348" s="8"/>
      <c r="R348" s="8"/>
      <c r="S348" s="8"/>
      <c r="T348" s="8"/>
      <c r="U348" s="8"/>
      <c r="V348" s="8"/>
      <c r="W348" s="8"/>
      <c r="X348" s="8"/>
      <c r="Y348" s="8"/>
      <c r="Z348" s="8"/>
    </row>
    <row r="349" ht="14.25" customHeight="1">
      <c r="A349" s="8">
        <v>23979.0</v>
      </c>
      <c r="B349" s="8" t="s">
        <v>24</v>
      </c>
      <c r="C349" s="8" t="s">
        <v>1121</v>
      </c>
      <c r="D349" s="8">
        <v>2013.0</v>
      </c>
      <c r="E349" s="8" t="s">
        <v>1122</v>
      </c>
      <c r="F349" s="8" t="s">
        <v>64</v>
      </c>
      <c r="G349" s="8">
        <v>160.0</v>
      </c>
      <c r="H349" s="8" t="s">
        <v>33</v>
      </c>
      <c r="I349" s="8" t="s">
        <v>1123</v>
      </c>
      <c r="J349" s="8" t="s">
        <v>29</v>
      </c>
      <c r="K349" s="8"/>
      <c r="L349" s="8"/>
      <c r="M349" s="8"/>
      <c r="N349" s="8"/>
      <c r="O349" s="8"/>
      <c r="P349" s="8"/>
      <c r="Q349" s="8"/>
      <c r="R349" s="8"/>
      <c r="S349" s="8"/>
      <c r="T349" s="8"/>
      <c r="U349" s="8"/>
      <c r="V349" s="8"/>
      <c r="W349" s="8"/>
      <c r="X349" s="8"/>
      <c r="Y349" s="8"/>
      <c r="Z349" s="8"/>
    </row>
    <row r="350" ht="14.25" customHeight="1">
      <c r="A350" s="8">
        <v>24140.0</v>
      </c>
      <c r="B350" s="8" t="s">
        <v>24</v>
      </c>
      <c r="C350" s="8" t="s">
        <v>1124</v>
      </c>
      <c r="D350" s="8">
        <v>2020.0</v>
      </c>
      <c r="E350" s="8" t="s">
        <v>1125</v>
      </c>
      <c r="F350" s="8" t="s">
        <v>97</v>
      </c>
      <c r="G350" s="8">
        <v>26.0</v>
      </c>
      <c r="H350" s="8">
        <v>6.0</v>
      </c>
      <c r="I350" s="8" t="s">
        <v>1126</v>
      </c>
      <c r="J350" s="8" t="s">
        <v>29</v>
      </c>
      <c r="K350" s="8"/>
      <c r="L350" s="8"/>
      <c r="M350" s="8"/>
      <c r="N350" s="8"/>
      <c r="O350" s="8"/>
      <c r="P350" s="8"/>
      <c r="Q350" s="8"/>
      <c r="R350" s="8"/>
      <c r="S350" s="8"/>
      <c r="T350" s="8"/>
      <c r="U350" s="8"/>
      <c r="V350" s="8"/>
      <c r="W350" s="8"/>
      <c r="X350" s="8"/>
      <c r="Y350" s="8"/>
      <c r="Z350" s="8"/>
    </row>
    <row r="351" ht="14.25" customHeight="1">
      <c r="A351" s="8">
        <v>24257.0</v>
      </c>
      <c r="B351" s="8" t="s">
        <v>24</v>
      </c>
      <c r="C351" s="8" t="s">
        <v>1127</v>
      </c>
      <c r="D351" s="8">
        <v>2011.0</v>
      </c>
      <c r="E351" s="8" t="s">
        <v>1128</v>
      </c>
      <c r="F351" s="8" t="s">
        <v>64</v>
      </c>
      <c r="G351" s="8">
        <v>144.0</v>
      </c>
      <c r="H351" s="8">
        <v>12.0</v>
      </c>
      <c r="I351" s="8" t="s">
        <v>1129</v>
      </c>
      <c r="J351" s="8" t="s">
        <v>29</v>
      </c>
      <c r="K351" s="8"/>
      <c r="L351" s="8"/>
      <c r="M351" s="8"/>
      <c r="N351" s="8"/>
      <c r="O351" s="8"/>
      <c r="P351" s="8"/>
      <c r="Q351" s="8"/>
      <c r="R351" s="8"/>
      <c r="S351" s="8"/>
      <c r="T351" s="8"/>
      <c r="U351" s="8"/>
      <c r="V351" s="8"/>
      <c r="W351" s="8"/>
      <c r="X351" s="8"/>
      <c r="Y351" s="8"/>
      <c r="Z351" s="8"/>
    </row>
    <row r="352" ht="14.25" customHeight="1">
      <c r="A352" s="8">
        <v>24582.0</v>
      </c>
      <c r="B352" s="8" t="s">
        <v>24</v>
      </c>
      <c r="C352" s="8" t="s">
        <v>276</v>
      </c>
      <c r="D352" s="8">
        <v>2008.0</v>
      </c>
      <c r="E352" s="8" t="s">
        <v>1130</v>
      </c>
      <c r="F352" s="8" t="s">
        <v>605</v>
      </c>
      <c r="G352" s="8">
        <v>34.0</v>
      </c>
      <c r="H352" s="8">
        <v>2.0</v>
      </c>
      <c r="I352" s="8" t="s">
        <v>1131</v>
      </c>
      <c r="J352" s="8" t="s">
        <v>29</v>
      </c>
      <c r="K352" s="8"/>
      <c r="L352" s="8"/>
      <c r="M352" s="8"/>
      <c r="N352" s="8"/>
      <c r="O352" s="8"/>
      <c r="P352" s="8"/>
      <c r="Q352" s="8"/>
      <c r="R352" s="8"/>
      <c r="S352" s="8"/>
      <c r="T352" s="8"/>
      <c r="U352" s="8"/>
      <c r="V352" s="8"/>
      <c r="W352" s="8"/>
      <c r="X352" s="8"/>
      <c r="Y352" s="8"/>
      <c r="Z352" s="8"/>
    </row>
    <row r="353" ht="14.25" customHeight="1">
      <c r="A353" s="8">
        <v>24785.0</v>
      </c>
      <c r="B353" s="8" t="s">
        <v>24</v>
      </c>
      <c r="C353" s="8" t="s">
        <v>1132</v>
      </c>
      <c r="D353" s="8">
        <v>2010.0</v>
      </c>
      <c r="E353" s="8" t="s">
        <v>1133</v>
      </c>
      <c r="F353" s="8" t="s">
        <v>615</v>
      </c>
      <c r="G353" s="8">
        <v>19.0</v>
      </c>
      <c r="H353" s="8">
        <v>12.0</v>
      </c>
      <c r="I353" s="8" t="s">
        <v>1134</v>
      </c>
      <c r="J353" s="8" t="s">
        <v>29</v>
      </c>
      <c r="K353" s="8"/>
      <c r="L353" s="8"/>
      <c r="M353" s="8"/>
      <c r="N353" s="8"/>
      <c r="O353" s="8"/>
      <c r="P353" s="8"/>
      <c r="Q353" s="8"/>
      <c r="R353" s="8"/>
      <c r="S353" s="8"/>
      <c r="T353" s="8"/>
      <c r="U353" s="8"/>
      <c r="V353" s="8"/>
      <c r="W353" s="8"/>
      <c r="X353" s="8"/>
      <c r="Y353" s="8"/>
      <c r="Z353" s="8"/>
    </row>
    <row r="354" ht="14.25" customHeight="1">
      <c r="A354" s="8">
        <v>24620.0</v>
      </c>
      <c r="B354" s="8" t="s">
        <v>24</v>
      </c>
      <c r="C354" s="8" t="s">
        <v>1135</v>
      </c>
      <c r="D354" s="8">
        <v>2020.0</v>
      </c>
      <c r="E354" s="8" t="s">
        <v>1136</v>
      </c>
      <c r="F354" s="8" t="s">
        <v>64</v>
      </c>
      <c r="G354" s="8">
        <v>244.0</v>
      </c>
      <c r="H354" s="8" t="s">
        <v>33</v>
      </c>
      <c r="I354" s="8">
        <v>8.0</v>
      </c>
      <c r="J354" s="8" t="s">
        <v>29</v>
      </c>
      <c r="K354" s="8"/>
      <c r="L354" s="8"/>
      <c r="M354" s="8"/>
      <c r="N354" s="8"/>
      <c r="O354" s="8"/>
      <c r="P354" s="8"/>
      <c r="Q354" s="8"/>
      <c r="R354" s="8"/>
      <c r="S354" s="8"/>
      <c r="T354" s="8"/>
      <c r="U354" s="8"/>
      <c r="V354" s="8"/>
      <c r="W354" s="8"/>
      <c r="X354" s="8"/>
      <c r="Y354" s="8"/>
      <c r="Z354" s="8"/>
    </row>
    <row r="355" ht="14.25" customHeight="1">
      <c r="A355" s="8">
        <v>24695.0</v>
      </c>
      <c r="B355" s="8" t="s">
        <v>24</v>
      </c>
      <c r="C355" s="8" t="s">
        <v>1137</v>
      </c>
      <c r="D355" s="8">
        <v>2018.0</v>
      </c>
      <c r="E355" s="8" t="s">
        <v>1138</v>
      </c>
      <c r="F355" s="8" t="s">
        <v>67</v>
      </c>
      <c r="G355" s="8">
        <v>11.0</v>
      </c>
      <c r="H355" s="8" t="s">
        <v>33</v>
      </c>
      <c r="I355" s="8" t="s">
        <v>33</v>
      </c>
      <c r="J355" s="8" t="s">
        <v>29</v>
      </c>
      <c r="K355" s="8"/>
      <c r="L355" s="8"/>
      <c r="M355" s="8"/>
      <c r="N355" s="8"/>
      <c r="O355" s="8"/>
      <c r="P355" s="8"/>
      <c r="Q355" s="8"/>
      <c r="R355" s="8"/>
      <c r="S355" s="8"/>
      <c r="T355" s="8"/>
      <c r="U355" s="8"/>
      <c r="V355" s="8"/>
      <c r="W355" s="8"/>
      <c r="X355" s="8"/>
      <c r="Y355" s="8"/>
      <c r="Z355" s="8"/>
    </row>
    <row r="356" ht="14.25" customHeight="1">
      <c r="A356" s="8">
        <v>24825.0</v>
      </c>
      <c r="B356" s="8" t="s">
        <v>24</v>
      </c>
      <c r="C356" s="8" t="s">
        <v>1139</v>
      </c>
      <c r="D356" s="8">
        <v>2016.0</v>
      </c>
      <c r="E356" s="8" t="s">
        <v>1140</v>
      </c>
      <c r="F356" s="8" t="s">
        <v>1141</v>
      </c>
      <c r="G356" s="8">
        <v>10.0</v>
      </c>
      <c r="H356" s="8">
        <v>1.0</v>
      </c>
      <c r="I356" s="8" t="s">
        <v>1142</v>
      </c>
      <c r="J356" s="8" t="s">
        <v>29</v>
      </c>
      <c r="K356" s="8"/>
      <c r="L356" s="8"/>
      <c r="M356" s="8"/>
      <c r="N356" s="8"/>
      <c r="O356" s="8"/>
      <c r="P356" s="8"/>
      <c r="Q356" s="8"/>
      <c r="R356" s="8"/>
      <c r="S356" s="8"/>
      <c r="T356" s="8"/>
      <c r="U356" s="8"/>
      <c r="V356" s="8"/>
      <c r="W356" s="8"/>
      <c r="X356" s="8"/>
      <c r="Y356" s="8"/>
      <c r="Z356" s="8"/>
    </row>
    <row r="357" ht="14.25" customHeight="1">
      <c r="A357" s="8">
        <v>26120.0</v>
      </c>
      <c r="B357" s="8" t="s">
        <v>24</v>
      </c>
      <c r="C357" s="8" t="s">
        <v>1143</v>
      </c>
      <c r="D357" s="8">
        <v>2007.0</v>
      </c>
      <c r="E357" s="8" t="s">
        <v>1144</v>
      </c>
      <c r="F357" s="8" t="s">
        <v>1145</v>
      </c>
      <c r="G357" s="8">
        <v>57.0</v>
      </c>
      <c r="H357" s="8">
        <v>4.0</v>
      </c>
      <c r="I357" s="8" t="s">
        <v>1146</v>
      </c>
      <c r="J357" s="8" t="s">
        <v>29</v>
      </c>
      <c r="K357" s="8"/>
      <c r="L357" s="8"/>
      <c r="M357" s="8"/>
      <c r="N357" s="8"/>
      <c r="O357" s="8"/>
      <c r="P357" s="8"/>
      <c r="Q357" s="8"/>
      <c r="R357" s="8"/>
      <c r="S357" s="8"/>
      <c r="T357" s="8"/>
      <c r="U357" s="8"/>
      <c r="V357" s="8"/>
      <c r="W357" s="8"/>
      <c r="X357" s="8"/>
      <c r="Y357" s="8"/>
      <c r="Z357" s="8"/>
    </row>
    <row r="358" ht="14.25" customHeight="1">
      <c r="A358" s="8">
        <v>25112.0</v>
      </c>
      <c r="B358" s="8" t="s">
        <v>24</v>
      </c>
      <c r="C358" s="8" t="s">
        <v>1147</v>
      </c>
      <c r="D358" s="8">
        <v>2013.0</v>
      </c>
      <c r="E358" s="8" t="s">
        <v>1148</v>
      </c>
      <c r="F358" s="8" t="s">
        <v>36</v>
      </c>
      <c r="G358" s="8">
        <v>8.0</v>
      </c>
      <c r="H358" s="8">
        <v>12.0</v>
      </c>
      <c r="I358" s="8" t="s">
        <v>33</v>
      </c>
      <c r="J358" s="8" t="s">
        <v>29</v>
      </c>
      <c r="K358" s="8"/>
      <c r="L358" s="8"/>
      <c r="M358" s="8"/>
      <c r="N358" s="8"/>
      <c r="O358" s="8"/>
      <c r="P358" s="8"/>
      <c r="Q358" s="8"/>
      <c r="R358" s="8"/>
      <c r="S358" s="8"/>
      <c r="T358" s="8"/>
      <c r="U358" s="8"/>
      <c r="V358" s="8"/>
      <c r="W358" s="8"/>
      <c r="X358" s="8"/>
      <c r="Y358" s="8"/>
      <c r="Z358" s="8"/>
    </row>
    <row r="359" ht="14.25" customHeight="1">
      <c r="A359" s="8">
        <v>25005.0</v>
      </c>
      <c r="B359" s="8" t="s">
        <v>24</v>
      </c>
      <c r="C359" s="8" t="s">
        <v>1149</v>
      </c>
      <c r="D359" s="8">
        <v>2019.0</v>
      </c>
      <c r="E359" s="8" t="s">
        <v>1150</v>
      </c>
      <c r="F359" s="8" t="s">
        <v>615</v>
      </c>
      <c r="G359" s="8">
        <v>28.0</v>
      </c>
      <c r="H359" s="8">
        <v>2.0</v>
      </c>
      <c r="I359" s="8" t="s">
        <v>1151</v>
      </c>
      <c r="J359" s="8" t="s">
        <v>29</v>
      </c>
      <c r="K359" s="8"/>
      <c r="L359" s="8"/>
      <c r="M359" s="8"/>
      <c r="N359" s="8"/>
      <c r="O359" s="8"/>
      <c r="P359" s="8"/>
      <c r="Q359" s="8"/>
      <c r="R359" s="8"/>
      <c r="S359" s="8"/>
      <c r="T359" s="8"/>
      <c r="U359" s="8"/>
      <c r="V359" s="8"/>
      <c r="W359" s="8"/>
      <c r="X359" s="8"/>
      <c r="Y359" s="8"/>
      <c r="Z359" s="8"/>
    </row>
    <row r="360" ht="14.25" customHeight="1">
      <c r="A360" s="8">
        <v>23841.0</v>
      </c>
      <c r="B360" s="8" t="s">
        <v>24</v>
      </c>
      <c r="C360" s="8" t="s">
        <v>1152</v>
      </c>
      <c r="D360" s="8">
        <v>2012.0</v>
      </c>
      <c r="E360" s="8" t="s">
        <v>1153</v>
      </c>
      <c r="F360" s="8" t="s">
        <v>515</v>
      </c>
      <c r="G360" s="8">
        <v>35.0</v>
      </c>
      <c r="H360" s="11">
        <v>44593.0</v>
      </c>
      <c r="I360" s="8" t="s">
        <v>1154</v>
      </c>
      <c r="J360" s="8" t="s">
        <v>29</v>
      </c>
      <c r="K360" s="8"/>
      <c r="L360" s="8"/>
      <c r="M360" s="8"/>
      <c r="N360" s="8"/>
      <c r="O360" s="8"/>
      <c r="P360" s="8"/>
      <c r="Q360" s="8"/>
      <c r="R360" s="8"/>
      <c r="S360" s="8"/>
      <c r="T360" s="8"/>
      <c r="U360" s="8"/>
      <c r="V360" s="8"/>
      <c r="W360" s="8"/>
      <c r="X360" s="8"/>
      <c r="Y360" s="8"/>
      <c r="Z360" s="8"/>
    </row>
    <row r="361" ht="14.25" customHeight="1">
      <c r="A361" s="8">
        <v>25431.0</v>
      </c>
      <c r="B361" s="8" t="s">
        <v>24</v>
      </c>
      <c r="C361" s="8" t="s">
        <v>1155</v>
      </c>
      <c r="D361" s="8">
        <v>2019.0</v>
      </c>
      <c r="E361" s="8" t="s">
        <v>1156</v>
      </c>
      <c r="F361" s="8" t="s">
        <v>256</v>
      </c>
      <c r="G361" s="8">
        <v>170.0</v>
      </c>
      <c r="H361" s="8" t="s">
        <v>33</v>
      </c>
      <c r="I361" s="10">
        <v>42370.0</v>
      </c>
      <c r="J361" s="8" t="s">
        <v>29</v>
      </c>
      <c r="K361" s="8"/>
      <c r="L361" s="8"/>
      <c r="M361" s="8"/>
      <c r="N361" s="8"/>
      <c r="O361" s="8"/>
      <c r="P361" s="8"/>
      <c r="Q361" s="8"/>
      <c r="R361" s="8"/>
      <c r="S361" s="8"/>
      <c r="T361" s="8"/>
      <c r="U361" s="8"/>
      <c r="V361" s="8"/>
      <c r="W361" s="8"/>
      <c r="X361" s="8"/>
      <c r="Y361" s="8"/>
      <c r="Z361" s="8"/>
    </row>
    <row r="362" ht="14.25" customHeight="1">
      <c r="A362" s="8">
        <v>25959.0</v>
      </c>
      <c r="B362" s="8" t="s">
        <v>24</v>
      </c>
      <c r="C362" s="8" t="s">
        <v>1157</v>
      </c>
      <c r="D362" s="8">
        <v>2015.0</v>
      </c>
      <c r="E362" s="8" t="s">
        <v>1158</v>
      </c>
      <c r="F362" s="8" t="s">
        <v>32</v>
      </c>
      <c r="G362" s="8">
        <v>57.0</v>
      </c>
      <c r="H362" s="8" t="s">
        <v>33</v>
      </c>
      <c r="I362" s="8" t="s">
        <v>1159</v>
      </c>
      <c r="J362" s="8" t="s">
        <v>29</v>
      </c>
      <c r="K362" s="8"/>
      <c r="L362" s="8"/>
      <c r="M362" s="8"/>
      <c r="N362" s="8"/>
      <c r="O362" s="8"/>
      <c r="P362" s="8"/>
      <c r="Q362" s="8"/>
      <c r="R362" s="8"/>
      <c r="S362" s="8"/>
      <c r="T362" s="8"/>
      <c r="U362" s="8"/>
      <c r="V362" s="8"/>
      <c r="W362" s="8"/>
      <c r="X362" s="8"/>
      <c r="Y362" s="8"/>
      <c r="Z362" s="8"/>
    </row>
    <row r="363" ht="14.25" customHeight="1">
      <c r="A363" s="8">
        <v>25656.0</v>
      </c>
      <c r="B363" s="8" t="s">
        <v>24</v>
      </c>
      <c r="C363" s="8" t="s">
        <v>1160</v>
      </c>
      <c r="D363" s="8">
        <v>2016.0</v>
      </c>
      <c r="E363" s="8" t="s">
        <v>1161</v>
      </c>
      <c r="F363" s="8" t="s">
        <v>1162</v>
      </c>
      <c r="G363" s="8">
        <v>22.0</v>
      </c>
      <c r="H363" s="8">
        <v>7.0</v>
      </c>
      <c r="I363" s="8" t="s">
        <v>1163</v>
      </c>
      <c r="J363" s="8" t="s">
        <v>29</v>
      </c>
      <c r="K363" s="8"/>
      <c r="L363" s="8"/>
      <c r="M363" s="8"/>
      <c r="N363" s="8"/>
      <c r="O363" s="8"/>
      <c r="P363" s="8"/>
      <c r="Q363" s="8"/>
      <c r="R363" s="8"/>
      <c r="S363" s="8"/>
      <c r="T363" s="8"/>
      <c r="U363" s="8"/>
      <c r="V363" s="8"/>
      <c r="W363" s="8"/>
      <c r="X363" s="8"/>
      <c r="Y363" s="8"/>
      <c r="Z363" s="8"/>
    </row>
    <row r="364" ht="14.25" customHeight="1">
      <c r="A364" s="8">
        <v>23105.0</v>
      </c>
      <c r="B364" s="8" t="s">
        <v>24</v>
      </c>
      <c r="C364" s="8" t="s">
        <v>1164</v>
      </c>
      <c r="D364" s="8">
        <v>2019.0</v>
      </c>
      <c r="E364" s="8" t="s">
        <v>1165</v>
      </c>
      <c r="F364" s="8" t="s">
        <v>36</v>
      </c>
      <c r="G364" s="8">
        <v>14.0</v>
      </c>
      <c r="H364" s="8">
        <v>9.0</v>
      </c>
      <c r="I364" s="8" t="s">
        <v>33</v>
      </c>
      <c r="J364" s="8" t="s">
        <v>29</v>
      </c>
      <c r="K364" s="8"/>
      <c r="L364" s="8"/>
      <c r="M364" s="8"/>
      <c r="N364" s="8"/>
      <c r="O364" s="8"/>
      <c r="P364" s="8"/>
      <c r="Q364" s="8"/>
      <c r="R364" s="8"/>
      <c r="S364" s="8"/>
      <c r="T364" s="8"/>
      <c r="U364" s="8"/>
      <c r="V364" s="8"/>
      <c r="W364" s="8"/>
      <c r="X364" s="8"/>
      <c r="Y364" s="8"/>
      <c r="Z364" s="8"/>
    </row>
    <row r="365" ht="14.25" customHeight="1">
      <c r="A365" s="8">
        <v>23301.0</v>
      </c>
      <c r="B365" s="8" t="s">
        <v>24</v>
      </c>
      <c r="C365" s="8" t="s">
        <v>1166</v>
      </c>
      <c r="D365" s="8">
        <v>2020.0</v>
      </c>
      <c r="E365" s="8" t="s">
        <v>1167</v>
      </c>
      <c r="F365" s="8" t="s">
        <v>933</v>
      </c>
      <c r="G365" s="8">
        <v>10.0</v>
      </c>
      <c r="H365" s="8">
        <v>1.0</v>
      </c>
      <c r="I365" s="8" t="s">
        <v>33</v>
      </c>
      <c r="J365" s="8" t="s">
        <v>29</v>
      </c>
      <c r="K365" s="8"/>
      <c r="L365" s="8"/>
      <c r="M365" s="8"/>
      <c r="N365" s="8"/>
      <c r="O365" s="8"/>
      <c r="P365" s="8"/>
      <c r="Q365" s="8"/>
      <c r="R365" s="8"/>
      <c r="S365" s="8"/>
      <c r="T365" s="8"/>
      <c r="U365" s="8"/>
      <c r="V365" s="8"/>
      <c r="W365" s="8"/>
      <c r="X365" s="8"/>
      <c r="Y365" s="8"/>
      <c r="Z365" s="8"/>
    </row>
    <row r="366" ht="14.25" customHeight="1">
      <c r="A366" s="8">
        <v>25709.0</v>
      </c>
      <c r="B366" s="8" t="s">
        <v>24</v>
      </c>
      <c r="C366" s="8" t="s">
        <v>1168</v>
      </c>
      <c r="D366" s="8">
        <v>2017.0</v>
      </c>
      <c r="E366" s="8" t="s">
        <v>1169</v>
      </c>
      <c r="F366" s="8" t="s">
        <v>46</v>
      </c>
      <c r="G366" s="8">
        <v>51.0</v>
      </c>
      <c r="H366" s="8">
        <v>2.0</v>
      </c>
      <c r="I366" s="8" t="s">
        <v>1170</v>
      </c>
      <c r="J366" s="8" t="s">
        <v>29</v>
      </c>
      <c r="K366" s="8"/>
      <c r="L366" s="8"/>
      <c r="M366" s="8"/>
      <c r="N366" s="8"/>
      <c r="O366" s="8"/>
      <c r="P366" s="8"/>
      <c r="Q366" s="8"/>
      <c r="R366" s="8"/>
      <c r="S366" s="8"/>
      <c r="T366" s="8"/>
      <c r="U366" s="8"/>
      <c r="V366" s="8"/>
      <c r="W366" s="8"/>
      <c r="X366" s="8"/>
      <c r="Y366" s="8"/>
      <c r="Z366" s="8"/>
    </row>
    <row r="367" ht="14.25" customHeight="1">
      <c r="A367" s="8">
        <v>25925.0</v>
      </c>
      <c r="B367" s="8" t="s">
        <v>24</v>
      </c>
      <c r="C367" s="8" t="s">
        <v>1171</v>
      </c>
      <c r="D367" s="8">
        <v>2012.0</v>
      </c>
      <c r="E367" s="8" t="s">
        <v>1172</v>
      </c>
      <c r="F367" s="8" t="s">
        <v>153</v>
      </c>
      <c r="G367" s="8">
        <v>95.0</v>
      </c>
      <c r="H367" s="8">
        <v>1.0</v>
      </c>
      <c r="I367" s="10">
        <v>42614.0</v>
      </c>
      <c r="J367" s="8" t="s">
        <v>29</v>
      </c>
      <c r="K367" s="8"/>
      <c r="L367" s="8"/>
      <c r="M367" s="8"/>
      <c r="N367" s="8"/>
      <c r="O367" s="8"/>
      <c r="P367" s="8"/>
      <c r="Q367" s="8"/>
      <c r="R367" s="8"/>
      <c r="S367" s="8"/>
      <c r="T367" s="8"/>
      <c r="U367" s="8"/>
      <c r="V367" s="8"/>
      <c r="W367" s="8"/>
      <c r="X367" s="8"/>
      <c r="Y367" s="8"/>
      <c r="Z367" s="8"/>
    </row>
    <row r="368" ht="14.25" customHeight="1">
      <c r="A368" s="8">
        <v>24297.0</v>
      </c>
      <c r="B368" s="8" t="s">
        <v>24</v>
      </c>
      <c r="C368" s="8" t="s">
        <v>1173</v>
      </c>
      <c r="D368" s="8">
        <v>2015.0</v>
      </c>
      <c r="E368" s="8" t="s">
        <v>1174</v>
      </c>
      <c r="F368" s="8" t="s">
        <v>36</v>
      </c>
      <c r="G368" s="8">
        <v>10.0</v>
      </c>
      <c r="H368" s="8">
        <v>5.0</v>
      </c>
      <c r="I368" s="8" t="s">
        <v>33</v>
      </c>
      <c r="J368" s="8" t="s">
        <v>29</v>
      </c>
      <c r="K368" s="8"/>
      <c r="L368" s="8"/>
      <c r="M368" s="8"/>
      <c r="N368" s="8"/>
      <c r="O368" s="8"/>
      <c r="P368" s="8"/>
      <c r="Q368" s="8"/>
      <c r="R368" s="8"/>
      <c r="S368" s="8"/>
      <c r="T368" s="8"/>
      <c r="U368" s="8"/>
      <c r="V368" s="8"/>
      <c r="W368" s="8"/>
      <c r="X368" s="8"/>
      <c r="Y368" s="8"/>
      <c r="Z368" s="8"/>
    </row>
    <row r="369" ht="14.25" customHeight="1">
      <c r="A369" s="8">
        <v>24310.0</v>
      </c>
      <c r="B369" s="8" t="s">
        <v>24</v>
      </c>
      <c r="C369" s="8" t="s">
        <v>1175</v>
      </c>
      <c r="D369" s="8">
        <v>2019.0</v>
      </c>
      <c r="E369" s="8" t="s">
        <v>1176</v>
      </c>
      <c r="F369" s="8" t="s">
        <v>615</v>
      </c>
      <c r="G369" s="8">
        <v>28.0</v>
      </c>
      <c r="H369" s="8">
        <v>1.0</v>
      </c>
      <c r="I369" s="8" t="s">
        <v>33</v>
      </c>
      <c r="J369" s="8" t="s">
        <v>29</v>
      </c>
      <c r="K369" s="8"/>
      <c r="L369" s="8"/>
      <c r="M369" s="8"/>
      <c r="N369" s="8"/>
      <c r="O369" s="8"/>
      <c r="P369" s="8"/>
      <c r="Q369" s="8"/>
      <c r="R369" s="8"/>
      <c r="S369" s="8"/>
      <c r="T369" s="8"/>
      <c r="U369" s="8"/>
      <c r="V369" s="8"/>
      <c r="W369" s="8"/>
      <c r="X369" s="8"/>
      <c r="Y369" s="8"/>
      <c r="Z369" s="8"/>
    </row>
    <row r="370" ht="14.25" customHeight="1">
      <c r="A370" s="8">
        <v>25138.0</v>
      </c>
      <c r="B370" s="8" t="s">
        <v>24</v>
      </c>
      <c r="C370" s="8" t="s">
        <v>1177</v>
      </c>
      <c r="D370" s="8">
        <v>2018.0</v>
      </c>
      <c r="E370" s="8" t="s">
        <v>1178</v>
      </c>
      <c r="F370" s="8" t="s">
        <v>46</v>
      </c>
      <c r="G370" s="8">
        <v>52.0</v>
      </c>
      <c r="H370" s="8">
        <v>3.0</v>
      </c>
      <c r="I370" s="8" t="s">
        <v>1179</v>
      </c>
      <c r="J370" s="8" t="s">
        <v>29</v>
      </c>
      <c r="K370" s="8"/>
      <c r="L370" s="8"/>
      <c r="M370" s="8"/>
      <c r="N370" s="8"/>
      <c r="O370" s="8"/>
      <c r="P370" s="8"/>
      <c r="Q370" s="8"/>
      <c r="R370" s="8"/>
      <c r="S370" s="8"/>
      <c r="T370" s="8"/>
      <c r="U370" s="8"/>
      <c r="V370" s="8"/>
      <c r="W370" s="8"/>
      <c r="X370" s="8"/>
      <c r="Y370" s="8"/>
      <c r="Z370" s="8"/>
    </row>
    <row r="371" ht="14.25" customHeight="1">
      <c r="A371" s="8">
        <v>26098.0</v>
      </c>
      <c r="B371" s="8" t="s">
        <v>24</v>
      </c>
      <c r="C371" s="8" t="s">
        <v>1180</v>
      </c>
      <c r="D371" s="8">
        <v>2020.0</v>
      </c>
      <c r="E371" s="8" t="s">
        <v>1181</v>
      </c>
      <c r="F371" s="8" t="s">
        <v>1182</v>
      </c>
      <c r="G371" s="8">
        <v>17.0</v>
      </c>
      <c r="H371" s="8">
        <v>1.0</v>
      </c>
      <c r="I371" s="8" t="s">
        <v>33</v>
      </c>
      <c r="J371" s="8" t="s">
        <v>29</v>
      </c>
      <c r="K371" s="8"/>
      <c r="L371" s="8"/>
      <c r="M371" s="8"/>
      <c r="N371" s="8"/>
      <c r="O371" s="8"/>
      <c r="P371" s="8"/>
      <c r="Q371" s="8"/>
      <c r="R371" s="8"/>
      <c r="S371" s="8"/>
      <c r="T371" s="8"/>
      <c r="U371" s="8"/>
      <c r="V371" s="8"/>
      <c r="W371" s="8"/>
      <c r="X371" s="8"/>
      <c r="Y371" s="8"/>
      <c r="Z371" s="8"/>
    </row>
    <row r="372" ht="14.25" customHeight="1">
      <c r="A372" s="8">
        <v>23362.0</v>
      </c>
      <c r="B372" s="8" t="s">
        <v>24</v>
      </c>
      <c r="C372" s="8" t="s">
        <v>1183</v>
      </c>
      <c r="D372" s="8">
        <v>2020.0</v>
      </c>
      <c r="E372" s="8" t="s">
        <v>1184</v>
      </c>
      <c r="F372" s="8" t="s">
        <v>49</v>
      </c>
      <c r="G372" s="8">
        <v>704.0</v>
      </c>
      <c r="H372" s="8" t="s">
        <v>33</v>
      </c>
      <c r="I372" s="8" t="s">
        <v>33</v>
      </c>
      <c r="J372" s="8" t="s">
        <v>29</v>
      </c>
      <c r="K372" s="8"/>
      <c r="L372" s="8"/>
      <c r="M372" s="8"/>
      <c r="N372" s="8"/>
      <c r="O372" s="8"/>
      <c r="P372" s="8"/>
      <c r="Q372" s="8"/>
      <c r="R372" s="8"/>
      <c r="S372" s="8"/>
      <c r="T372" s="8"/>
      <c r="U372" s="8"/>
      <c r="V372" s="8"/>
      <c r="W372" s="8"/>
      <c r="X372" s="8"/>
      <c r="Y372" s="8"/>
      <c r="Z372" s="8"/>
    </row>
    <row r="373" ht="14.25" customHeight="1">
      <c r="A373" s="8">
        <v>23125.0</v>
      </c>
      <c r="B373" s="8" t="s">
        <v>24</v>
      </c>
      <c r="C373" s="8" t="s">
        <v>1185</v>
      </c>
      <c r="D373" s="8">
        <v>2008.0</v>
      </c>
      <c r="E373" s="8" t="s">
        <v>1186</v>
      </c>
      <c r="F373" s="8" t="s">
        <v>1187</v>
      </c>
      <c r="G373" s="8">
        <v>11.0</v>
      </c>
      <c r="H373" s="8">
        <v>1.0</v>
      </c>
      <c r="I373" s="8" t="s">
        <v>1188</v>
      </c>
      <c r="J373" s="8" t="s">
        <v>29</v>
      </c>
      <c r="K373" s="8"/>
      <c r="L373" s="8"/>
      <c r="M373" s="8"/>
      <c r="N373" s="8"/>
      <c r="O373" s="8"/>
      <c r="P373" s="8"/>
      <c r="Q373" s="8"/>
      <c r="R373" s="8"/>
      <c r="S373" s="8"/>
      <c r="T373" s="8"/>
      <c r="U373" s="8"/>
      <c r="V373" s="8"/>
      <c r="W373" s="8"/>
      <c r="X373" s="8"/>
      <c r="Y373" s="8"/>
      <c r="Z373" s="8"/>
    </row>
    <row r="374" ht="14.25" customHeight="1">
      <c r="A374" s="8">
        <v>23779.0</v>
      </c>
      <c r="B374" s="8" t="s">
        <v>24</v>
      </c>
      <c r="C374" s="8" t="s">
        <v>1189</v>
      </c>
      <c r="D374" s="8">
        <v>2014.0</v>
      </c>
      <c r="E374" s="8" t="s">
        <v>1190</v>
      </c>
      <c r="F374" s="8" t="s">
        <v>1191</v>
      </c>
      <c r="G374" s="8">
        <v>2014.0</v>
      </c>
      <c r="H374" s="8">
        <v>3.0</v>
      </c>
      <c r="I374" s="8" t="s">
        <v>33</v>
      </c>
      <c r="J374" s="8" t="s">
        <v>29</v>
      </c>
      <c r="K374" s="8"/>
      <c r="L374" s="8"/>
      <c r="M374" s="8"/>
      <c r="N374" s="8"/>
      <c r="O374" s="8"/>
      <c r="P374" s="8"/>
      <c r="Q374" s="8"/>
      <c r="R374" s="8"/>
      <c r="S374" s="8"/>
      <c r="T374" s="8"/>
      <c r="U374" s="8"/>
      <c r="V374" s="8"/>
      <c r="W374" s="8"/>
      <c r="X374" s="8"/>
      <c r="Y374" s="8"/>
      <c r="Z374" s="8"/>
    </row>
    <row r="375" ht="14.25" customHeight="1">
      <c r="A375" s="8">
        <v>23047.0</v>
      </c>
      <c r="B375" s="8" t="s">
        <v>24</v>
      </c>
      <c r="C375" s="8" t="s">
        <v>1192</v>
      </c>
      <c r="D375" s="8">
        <v>2019.0</v>
      </c>
      <c r="E375" s="8" t="s">
        <v>1193</v>
      </c>
      <c r="F375" s="8" t="s">
        <v>933</v>
      </c>
      <c r="G375" s="8">
        <v>9.0</v>
      </c>
      <c r="H375" s="8">
        <v>1.0</v>
      </c>
      <c r="I375" s="8" t="s">
        <v>33</v>
      </c>
      <c r="J375" s="8" t="s">
        <v>29</v>
      </c>
      <c r="K375" s="8"/>
      <c r="L375" s="8"/>
      <c r="M375" s="8"/>
      <c r="N375" s="8"/>
      <c r="O375" s="8"/>
      <c r="P375" s="8"/>
      <c r="Q375" s="8"/>
      <c r="R375" s="8"/>
      <c r="S375" s="8"/>
      <c r="T375" s="8"/>
      <c r="U375" s="8"/>
      <c r="V375" s="8"/>
      <c r="W375" s="8"/>
      <c r="X375" s="8"/>
      <c r="Y375" s="8"/>
      <c r="Z375" s="8"/>
    </row>
    <row r="376" ht="14.25" customHeight="1">
      <c r="A376" s="8">
        <v>25461.0</v>
      </c>
      <c r="B376" s="8" t="s">
        <v>24</v>
      </c>
      <c r="C376" s="8" t="s">
        <v>1194</v>
      </c>
      <c r="D376" s="8">
        <v>2008.0</v>
      </c>
      <c r="E376" s="8" t="s">
        <v>1195</v>
      </c>
      <c r="F376" s="8" t="s">
        <v>1196</v>
      </c>
      <c r="G376" s="8">
        <v>42.0</v>
      </c>
      <c r="H376" s="8">
        <v>3.0</v>
      </c>
      <c r="I376" s="8" t="s">
        <v>1197</v>
      </c>
      <c r="J376" s="8" t="s">
        <v>29</v>
      </c>
      <c r="K376" s="8"/>
      <c r="L376" s="8"/>
      <c r="M376" s="8"/>
      <c r="N376" s="8"/>
      <c r="O376" s="8"/>
      <c r="P376" s="8"/>
      <c r="Q376" s="8"/>
      <c r="R376" s="8"/>
      <c r="S376" s="8"/>
      <c r="T376" s="8"/>
      <c r="U376" s="8"/>
      <c r="V376" s="8"/>
      <c r="W376" s="8"/>
      <c r="X376" s="8"/>
      <c r="Y376" s="8"/>
      <c r="Z376" s="8"/>
    </row>
    <row r="377" ht="14.25" customHeight="1">
      <c r="A377" s="8">
        <v>24813.0</v>
      </c>
      <c r="B377" s="8" t="s">
        <v>24</v>
      </c>
      <c r="C377" s="8" t="s">
        <v>1198</v>
      </c>
      <c r="D377" s="8">
        <v>2019.0</v>
      </c>
      <c r="E377" s="8" t="s">
        <v>1199</v>
      </c>
      <c r="F377" s="8" t="s">
        <v>32</v>
      </c>
      <c r="G377" s="8">
        <v>100.0</v>
      </c>
      <c r="H377" s="8" t="s">
        <v>33</v>
      </c>
      <c r="I377" s="8" t="s">
        <v>1200</v>
      </c>
      <c r="J377" s="8" t="s">
        <v>29</v>
      </c>
      <c r="K377" s="8"/>
      <c r="L377" s="8"/>
      <c r="M377" s="8"/>
      <c r="N377" s="8"/>
      <c r="O377" s="8"/>
      <c r="P377" s="8"/>
      <c r="Q377" s="8"/>
      <c r="R377" s="8"/>
      <c r="S377" s="8"/>
      <c r="T377" s="8"/>
      <c r="U377" s="8"/>
      <c r="V377" s="8"/>
      <c r="W377" s="8"/>
      <c r="X377" s="8"/>
      <c r="Y377" s="8"/>
      <c r="Z377" s="8"/>
    </row>
    <row r="378" ht="14.25" customHeight="1">
      <c r="A378" s="8">
        <v>23739.0</v>
      </c>
      <c r="B378" s="8" t="s">
        <v>24</v>
      </c>
      <c r="C378" s="8" t="s">
        <v>1201</v>
      </c>
      <c r="D378" s="8">
        <v>2017.0</v>
      </c>
      <c r="E378" s="8" t="s">
        <v>1202</v>
      </c>
      <c r="F378" s="8" t="s">
        <v>49</v>
      </c>
      <c r="G378" s="8" t="s">
        <v>1203</v>
      </c>
      <c r="H378" s="8" t="s">
        <v>33</v>
      </c>
      <c r="I378" s="8" t="s">
        <v>1204</v>
      </c>
      <c r="J378" s="8" t="s">
        <v>29</v>
      </c>
      <c r="K378" s="8"/>
      <c r="L378" s="8"/>
      <c r="M378" s="8"/>
      <c r="N378" s="8"/>
      <c r="O378" s="8"/>
      <c r="P378" s="8"/>
      <c r="Q378" s="8"/>
      <c r="R378" s="8"/>
      <c r="S378" s="8"/>
      <c r="T378" s="8"/>
      <c r="U378" s="8"/>
      <c r="V378" s="8"/>
      <c r="W378" s="8"/>
      <c r="X378" s="8"/>
      <c r="Y378" s="8"/>
      <c r="Z378" s="8"/>
    </row>
    <row r="379" ht="14.25" customHeight="1">
      <c r="A379" s="8">
        <v>25585.0</v>
      </c>
      <c r="B379" s="8" t="s">
        <v>24</v>
      </c>
      <c r="C379" s="8" t="s">
        <v>1205</v>
      </c>
      <c r="D379" s="8">
        <v>2019.0</v>
      </c>
      <c r="E379" s="8" t="s">
        <v>1206</v>
      </c>
      <c r="F379" s="8" t="s">
        <v>1207</v>
      </c>
      <c r="G379" s="8">
        <v>163.0</v>
      </c>
      <c r="H379" s="8" t="s">
        <v>33</v>
      </c>
      <c r="I379" s="11">
        <v>44774.0</v>
      </c>
      <c r="J379" s="8" t="s">
        <v>29</v>
      </c>
      <c r="K379" s="8"/>
      <c r="L379" s="8"/>
      <c r="M379" s="8"/>
      <c r="N379" s="8"/>
      <c r="O379" s="8"/>
      <c r="P379" s="8"/>
      <c r="Q379" s="8"/>
      <c r="R379" s="8"/>
      <c r="S379" s="8"/>
      <c r="T379" s="8"/>
      <c r="U379" s="8"/>
      <c r="V379" s="8"/>
      <c r="W379" s="8"/>
      <c r="X379" s="8"/>
      <c r="Y379" s="8"/>
      <c r="Z379" s="8"/>
    </row>
    <row r="380" ht="14.25" customHeight="1">
      <c r="A380" s="8">
        <v>24322.0</v>
      </c>
      <c r="B380" s="8" t="s">
        <v>24</v>
      </c>
      <c r="C380" s="8" t="s">
        <v>1208</v>
      </c>
      <c r="D380" s="8">
        <v>2012.0</v>
      </c>
      <c r="E380" s="8" t="s">
        <v>1209</v>
      </c>
      <c r="F380" s="8" t="s">
        <v>1210</v>
      </c>
      <c r="G380" s="8">
        <v>100.0</v>
      </c>
      <c r="H380" s="8">
        <v>2.0</v>
      </c>
      <c r="I380" s="8" t="s">
        <v>1211</v>
      </c>
      <c r="J380" s="8" t="s">
        <v>29</v>
      </c>
      <c r="K380" s="8"/>
      <c r="L380" s="8"/>
      <c r="M380" s="8"/>
      <c r="N380" s="8"/>
      <c r="O380" s="8"/>
      <c r="P380" s="8"/>
      <c r="Q380" s="8"/>
      <c r="R380" s="8"/>
      <c r="S380" s="8"/>
      <c r="T380" s="8"/>
      <c r="U380" s="8"/>
      <c r="V380" s="8"/>
      <c r="W380" s="8"/>
      <c r="X380" s="8"/>
      <c r="Y380" s="8"/>
      <c r="Z380" s="8"/>
    </row>
    <row r="381" ht="14.25" customHeight="1">
      <c r="A381" s="8">
        <v>25642.0</v>
      </c>
      <c r="B381" s="8" t="s">
        <v>24</v>
      </c>
      <c r="C381" s="8" t="s">
        <v>1212</v>
      </c>
      <c r="D381" s="8">
        <v>2016.0</v>
      </c>
      <c r="E381" s="8" t="s">
        <v>1213</v>
      </c>
      <c r="F381" s="8" t="s">
        <v>1196</v>
      </c>
      <c r="G381" s="8">
        <v>50.0</v>
      </c>
      <c r="H381" s="8">
        <v>4.0</v>
      </c>
      <c r="I381" s="8" t="s">
        <v>1214</v>
      </c>
      <c r="J381" s="8" t="s">
        <v>29</v>
      </c>
      <c r="K381" s="8"/>
      <c r="L381" s="8"/>
      <c r="M381" s="8"/>
      <c r="N381" s="8"/>
      <c r="O381" s="8"/>
      <c r="P381" s="8"/>
      <c r="Q381" s="8"/>
      <c r="R381" s="8"/>
      <c r="S381" s="8"/>
      <c r="T381" s="8"/>
      <c r="U381" s="8"/>
      <c r="V381" s="8"/>
      <c r="W381" s="8"/>
      <c r="X381" s="8"/>
      <c r="Y381" s="8"/>
      <c r="Z381" s="8"/>
    </row>
    <row r="382" ht="14.25" customHeight="1">
      <c r="A382" s="8">
        <v>24227.0</v>
      </c>
      <c r="B382" s="8" t="s">
        <v>24</v>
      </c>
      <c r="C382" s="8" t="s">
        <v>158</v>
      </c>
      <c r="D382" s="8">
        <v>2015.0</v>
      </c>
      <c r="E382" s="8" t="s">
        <v>1215</v>
      </c>
      <c r="F382" s="8" t="s">
        <v>36</v>
      </c>
      <c r="G382" s="8">
        <v>10.0</v>
      </c>
      <c r="H382" s="8">
        <v>8.0</v>
      </c>
      <c r="I382" s="8" t="s">
        <v>33</v>
      </c>
      <c r="J382" s="8" t="s">
        <v>29</v>
      </c>
      <c r="K382" s="8"/>
      <c r="L382" s="8"/>
      <c r="M382" s="8"/>
      <c r="N382" s="8"/>
      <c r="O382" s="8"/>
      <c r="P382" s="8"/>
      <c r="Q382" s="8"/>
      <c r="R382" s="8"/>
      <c r="S382" s="8"/>
      <c r="T382" s="8"/>
      <c r="U382" s="8"/>
      <c r="V382" s="8"/>
      <c r="W382" s="8"/>
      <c r="X382" s="8"/>
      <c r="Y382" s="8"/>
      <c r="Z382" s="8"/>
    </row>
    <row r="383" ht="14.25" customHeight="1">
      <c r="A383" s="8">
        <v>24188.0</v>
      </c>
      <c r="B383" s="8" t="s">
        <v>24</v>
      </c>
      <c r="C383" s="8" t="s">
        <v>1216</v>
      </c>
      <c r="D383" s="8">
        <v>2019.0</v>
      </c>
      <c r="E383" s="8" t="s">
        <v>1217</v>
      </c>
      <c r="F383" s="8" t="s">
        <v>132</v>
      </c>
      <c r="G383" s="8">
        <v>29.0</v>
      </c>
      <c r="H383" s="8" t="s">
        <v>1218</v>
      </c>
      <c r="I383" s="8" t="s">
        <v>1219</v>
      </c>
      <c r="J383" s="8" t="s">
        <v>29</v>
      </c>
      <c r="K383" s="8"/>
      <c r="L383" s="8"/>
      <c r="M383" s="8"/>
      <c r="N383" s="8"/>
      <c r="O383" s="8"/>
      <c r="P383" s="8"/>
      <c r="Q383" s="8"/>
      <c r="R383" s="8"/>
      <c r="S383" s="8"/>
      <c r="T383" s="8"/>
      <c r="U383" s="8"/>
      <c r="V383" s="8"/>
      <c r="W383" s="8"/>
      <c r="X383" s="8"/>
      <c r="Y383" s="8"/>
      <c r="Z383" s="8"/>
    </row>
    <row r="384" ht="14.25" customHeight="1">
      <c r="A384" s="8">
        <v>24516.0</v>
      </c>
      <c r="B384" s="8" t="s">
        <v>24</v>
      </c>
      <c r="C384" s="8" t="s">
        <v>1220</v>
      </c>
      <c r="D384" s="8">
        <v>2008.0</v>
      </c>
      <c r="E384" s="8" t="s">
        <v>1221</v>
      </c>
      <c r="F384" s="8" t="s">
        <v>1222</v>
      </c>
      <c r="G384" s="8">
        <v>6.0</v>
      </c>
      <c r="H384" s="8">
        <v>2.0</v>
      </c>
      <c r="I384" s="8" t="s">
        <v>1223</v>
      </c>
      <c r="J384" s="8" t="s">
        <v>29</v>
      </c>
      <c r="K384" s="8"/>
      <c r="L384" s="8"/>
      <c r="M384" s="8"/>
      <c r="N384" s="8"/>
      <c r="O384" s="8"/>
      <c r="P384" s="8"/>
      <c r="Q384" s="8"/>
      <c r="R384" s="8"/>
      <c r="S384" s="8"/>
      <c r="T384" s="8"/>
      <c r="U384" s="8"/>
      <c r="V384" s="8"/>
      <c r="W384" s="8"/>
      <c r="X384" s="8"/>
      <c r="Y384" s="8"/>
      <c r="Z384" s="8"/>
    </row>
    <row r="385" ht="14.25" customHeight="1">
      <c r="A385" s="8" t="s">
        <v>1224</v>
      </c>
      <c r="B385" s="8" t="s">
        <v>24</v>
      </c>
      <c r="C385" s="8" t="s">
        <v>1225</v>
      </c>
      <c r="D385" s="8">
        <v>2016.0</v>
      </c>
      <c r="E385" s="8" t="s">
        <v>1226</v>
      </c>
      <c r="F385" s="8" t="s">
        <v>1227</v>
      </c>
      <c r="G385" s="8">
        <v>15.0</v>
      </c>
      <c r="H385" s="8">
        <v>2.0</v>
      </c>
      <c r="I385" s="11">
        <v>44743.0</v>
      </c>
      <c r="J385" s="8" t="s">
        <v>320</v>
      </c>
      <c r="K385" s="8"/>
      <c r="L385" s="8"/>
      <c r="M385" s="8"/>
      <c r="N385" s="8"/>
      <c r="O385" s="8"/>
      <c r="P385" s="8"/>
      <c r="Q385" s="8"/>
      <c r="R385" s="8"/>
      <c r="S385" s="8"/>
      <c r="T385" s="8"/>
      <c r="U385" s="8"/>
      <c r="V385" s="8"/>
      <c r="W385" s="8"/>
      <c r="X385" s="8"/>
      <c r="Y385" s="8"/>
      <c r="Z385" s="8"/>
    </row>
    <row r="386" ht="14.25" customHeight="1">
      <c r="A386" s="8">
        <v>25099.0</v>
      </c>
      <c r="B386" s="8" t="s">
        <v>24</v>
      </c>
      <c r="C386" s="8" t="s">
        <v>1228</v>
      </c>
      <c r="D386" s="8">
        <v>2011.0</v>
      </c>
      <c r="E386" s="8" t="s">
        <v>1229</v>
      </c>
      <c r="F386" s="8" t="s">
        <v>125</v>
      </c>
      <c r="G386" s="8">
        <v>32.0</v>
      </c>
      <c r="H386" s="8">
        <v>1.0</v>
      </c>
      <c r="I386" s="8" t="s">
        <v>1230</v>
      </c>
      <c r="J386" s="8" t="s">
        <v>29</v>
      </c>
      <c r="K386" s="8"/>
      <c r="L386" s="8"/>
      <c r="M386" s="8"/>
      <c r="N386" s="8"/>
      <c r="O386" s="8"/>
      <c r="P386" s="8"/>
      <c r="Q386" s="8"/>
      <c r="R386" s="8"/>
      <c r="S386" s="8"/>
      <c r="T386" s="8"/>
      <c r="U386" s="8"/>
      <c r="V386" s="8"/>
      <c r="W386" s="8"/>
      <c r="X386" s="8"/>
      <c r="Y386" s="8"/>
      <c r="Z386" s="8"/>
    </row>
    <row r="387" ht="14.25" customHeight="1">
      <c r="A387" s="8">
        <v>23357.0</v>
      </c>
      <c r="B387" s="8" t="s">
        <v>24</v>
      </c>
      <c r="C387" s="8" t="s">
        <v>1231</v>
      </c>
      <c r="D387" s="8">
        <v>2015.0</v>
      </c>
      <c r="E387" s="8" t="s">
        <v>1232</v>
      </c>
      <c r="F387" s="8" t="s">
        <v>286</v>
      </c>
      <c r="G387" s="8">
        <v>187.0</v>
      </c>
      <c r="H387" s="8">
        <v>3.0</v>
      </c>
      <c r="I387" s="8" t="s">
        <v>33</v>
      </c>
      <c r="J387" s="8" t="s">
        <v>29</v>
      </c>
      <c r="K387" s="8"/>
      <c r="L387" s="8"/>
      <c r="M387" s="8"/>
      <c r="N387" s="8"/>
      <c r="O387" s="8"/>
      <c r="P387" s="8"/>
      <c r="Q387" s="8"/>
      <c r="R387" s="8"/>
      <c r="S387" s="8"/>
      <c r="T387" s="8"/>
      <c r="U387" s="8"/>
      <c r="V387" s="8"/>
      <c r="W387" s="8"/>
      <c r="X387" s="8"/>
      <c r="Y387" s="8"/>
      <c r="Z387" s="8"/>
    </row>
    <row r="388" ht="14.25" customHeight="1">
      <c r="A388" s="8">
        <v>24605.0</v>
      </c>
      <c r="B388" s="8" t="s">
        <v>24</v>
      </c>
      <c r="C388" s="8" t="s">
        <v>1233</v>
      </c>
      <c r="D388" s="8">
        <v>2008.0</v>
      </c>
      <c r="E388" s="8" t="s">
        <v>1234</v>
      </c>
      <c r="F388" s="8" t="s">
        <v>769</v>
      </c>
      <c r="G388" s="8">
        <v>18.0</v>
      </c>
      <c r="H388" s="8">
        <v>2.0</v>
      </c>
      <c r="I388" s="8" t="s">
        <v>1235</v>
      </c>
      <c r="J388" s="8" t="s">
        <v>29</v>
      </c>
      <c r="K388" s="8"/>
      <c r="L388" s="8"/>
      <c r="M388" s="8"/>
      <c r="N388" s="8"/>
      <c r="O388" s="8"/>
      <c r="P388" s="8"/>
      <c r="Q388" s="8"/>
      <c r="R388" s="8"/>
      <c r="S388" s="8"/>
      <c r="T388" s="8"/>
      <c r="U388" s="8"/>
      <c r="V388" s="8"/>
      <c r="W388" s="8"/>
      <c r="X388" s="8"/>
      <c r="Y388" s="8"/>
      <c r="Z388" s="8"/>
    </row>
    <row r="389" ht="14.25" customHeight="1">
      <c r="A389" s="8">
        <v>24811.0</v>
      </c>
      <c r="B389" s="8" t="s">
        <v>24</v>
      </c>
      <c r="C389" s="8" t="s">
        <v>374</v>
      </c>
      <c r="D389" s="8">
        <v>2020.0</v>
      </c>
      <c r="E389" s="8" t="s">
        <v>1236</v>
      </c>
      <c r="F389" s="8" t="s">
        <v>145</v>
      </c>
      <c r="G389" s="8">
        <v>115.0</v>
      </c>
      <c r="H389" s="8" t="s">
        <v>33</v>
      </c>
      <c r="I389" s="8" t="s">
        <v>33</v>
      </c>
      <c r="J389" s="8" t="s">
        <v>29</v>
      </c>
      <c r="K389" s="8"/>
      <c r="L389" s="8"/>
      <c r="M389" s="8"/>
      <c r="N389" s="8"/>
      <c r="O389" s="8"/>
      <c r="P389" s="8"/>
      <c r="Q389" s="8"/>
      <c r="R389" s="8"/>
      <c r="S389" s="8"/>
      <c r="T389" s="8"/>
      <c r="U389" s="8"/>
      <c r="V389" s="8"/>
      <c r="W389" s="8"/>
      <c r="X389" s="8"/>
      <c r="Y389" s="8"/>
      <c r="Z389" s="8"/>
    </row>
    <row r="390" ht="14.25" customHeight="1">
      <c r="A390" s="8" t="s">
        <v>1237</v>
      </c>
      <c r="B390" s="8" t="s">
        <v>41</v>
      </c>
      <c r="C390" s="8" t="s">
        <v>1238</v>
      </c>
      <c r="D390" s="8">
        <v>2016.0</v>
      </c>
      <c r="E390" s="8" t="s">
        <v>1239</v>
      </c>
      <c r="F390" s="8" t="s">
        <v>1240</v>
      </c>
      <c r="G390" s="8" t="s">
        <v>33</v>
      </c>
      <c r="H390" s="8" t="s">
        <v>33</v>
      </c>
      <c r="I390" s="8" t="s">
        <v>33</v>
      </c>
      <c r="J390" s="8" t="s">
        <v>320</v>
      </c>
      <c r="K390" s="8"/>
      <c r="L390" s="8"/>
      <c r="M390" s="8"/>
      <c r="N390" s="8"/>
      <c r="O390" s="8"/>
      <c r="P390" s="8"/>
      <c r="Q390" s="8"/>
      <c r="R390" s="8"/>
      <c r="S390" s="8"/>
      <c r="T390" s="8"/>
      <c r="U390" s="8"/>
      <c r="V390" s="8"/>
      <c r="W390" s="8"/>
      <c r="X390" s="8"/>
      <c r="Y390" s="8"/>
      <c r="Z390" s="8"/>
    </row>
    <row r="391" ht="14.25" customHeight="1">
      <c r="A391" s="8">
        <v>25942.0</v>
      </c>
      <c r="B391" s="8" t="s">
        <v>24</v>
      </c>
      <c r="C391" s="8" t="s">
        <v>1241</v>
      </c>
      <c r="D391" s="8">
        <v>2005.0</v>
      </c>
      <c r="E391" s="8" t="s">
        <v>1242</v>
      </c>
      <c r="F391" s="8" t="s">
        <v>170</v>
      </c>
      <c r="G391" s="8">
        <v>213.0</v>
      </c>
      <c r="H391" s="11">
        <v>44621.0</v>
      </c>
      <c r="I391" s="8" t="s">
        <v>1243</v>
      </c>
      <c r="J391" s="8" t="s">
        <v>29</v>
      </c>
      <c r="K391" s="8"/>
      <c r="L391" s="8"/>
      <c r="M391" s="8"/>
      <c r="N391" s="8"/>
      <c r="O391" s="8"/>
      <c r="P391" s="8"/>
      <c r="Q391" s="8"/>
      <c r="R391" s="8"/>
      <c r="S391" s="8"/>
      <c r="T391" s="8"/>
      <c r="U391" s="8"/>
      <c r="V391" s="8"/>
      <c r="W391" s="8"/>
      <c r="X391" s="8"/>
      <c r="Y391" s="8"/>
      <c r="Z391" s="8"/>
    </row>
    <row r="392" ht="14.25" customHeight="1">
      <c r="A392" s="8">
        <v>23666.0</v>
      </c>
      <c r="B392" s="8" t="s">
        <v>24</v>
      </c>
      <c r="C392" s="8" t="s">
        <v>1244</v>
      </c>
      <c r="D392" s="8">
        <v>2011.0</v>
      </c>
      <c r="E392" s="8" t="s">
        <v>1245</v>
      </c>
      <c r="F392" s="8" t="s">
        <v>1246</v>
      </c>
      <c r="G392" s="8">
        <v>45.0</v>
      </c>
      <c r="H392" s="8">
        <v>4.0</v>
      </c>
      <c r="I392" s="8" t="s">
        <v>1247</v>
      </c>
      <c r="J392" s="8" t="s">
        <v>29</v>
      </c>
      <c r="K392" s="8"/>
      <c r="L392" s="8"/>
      <c r="M392" s="8"/>
      <c r="N392" s="8"/>
      <c r="O392" s="8"/>
      <c r="P392" s="8"/>
      <c r="Q392" s="8"/>
      <c r="R392" s="8"/>
      <c r="S392" s="8"/>
      <c r="T392" s="8"/>
      <c r="U392" s="8"/>
      <c r="V392" s="8"/>
      <c r="W392" s="8"/>
      <c r="X392" s="8"/>
      <c r="Y392" s="8"/>
      <c r="Z392" s="8"/>
    </row>
    <row r="393" ht="14.25" customHeight="1">
      <c r="A393" s="8">
        <v>23080.0</v>
      </c>
      <c r="B393" s="8" t="s">
        <v>24</v>
      </c>
      <c r="C393" s="8" t="s">
        <v>1248</v>
      </c>
      <c r="D393" s="8">
        <v>2003.0</v>
      </c>
      <c r="E393" s="8" t="s">
        <v>1249</v>
      </c>
      <c r="F393" s="8" t="s">
        <v>1250</v>
      </c>
      <c r="G393" s="8">
        <v>16.0</v>
      </c>
      <c r="H393" s="11">
        <v>44654.0</v>
      </c>
      <c r="I393" s="8" t="s">
        <v>1251</v>
      </c>
      <c r="J393" s="8" t="s">
        <v>29</v>
      </c>
      <c r="K393" s="8"/>
      <c r="L393" s="8"/>
      <c r="M393" s="8"/>
      <c r="N393" s="8"/>
      <c r="O393" s="8"/>
      <c r="P393" s="8"/>
      <c r="Q393" s="8"/>
      <c r="R393" s="8"/>
      <c r="S393" s="8"/>
      <c r="T393" s="8"/>
      <c r="U393" s="8"/>
      <c r="V393" s="8"/>
      <c r="W393" s="8"/>
      <c r="X393" s="8"/>
      <c r="Y393" s="8"/>
      <c r="Z393" s="8"/>
    </row>
    <row r="394" ht="14.25" customHeight="1">
      <c r="A394" s="8">
        <v>24212.0</v>
      </c>
      <c r="B394" s="8" t="s">
        <v>24</v>
      </c>
      <c r="C394" s="8" t="s">
        <v>1252</v>
      </c>
      <c r="D394" s="8">
        <v>2020.0</v>
      </c>
      <c r="E394" s="8" t="s">
        <v>1253</v>
      </c>
      <c r="F394" s="8" t="s">
        <v>64</v>
      </c>
      <c r="G394" s="8">
        <v>248.0</v>
      </c>
      <c r="H394" s="8" t="s">
        <v>33</v>
      </c>
      <c r="I394" s="8" t="s">
        <v>33</v>
      </c>
      <c r="J394" s="8" t="s">
        <v>29</v>
      </c>
      <c r="K394" s="8"/>
      <c r="L394" s="8"/>
      <c r="M394" s="8"/>
      <c r="N394" s="8"/>
      <c r="O394" s="8"/>
      <c r="P394" s="8"/>
      <c r="Q394" s="8"/>
      <c r="R394" s="8"/>
      <c r="S394" s="8"/>
      <c r="T394" s="8"/>
      <c r="U394" s="8"/>
      <c r="V394" s="8"/>
      <c r="W394" s="8"/>
      <c r="X394" s="8"/>
      <c r="Y394" s="8"/>
      <c r="Z394" s="8"/>
    </row>
    <row r="395" ht="14.25" customHeight="1">
      <c r="A395" s="8">
        <v>23428.0</v>
      </c>
      <c r="B395" s="8" t="s">
        <v>24</v>
      </c>
      <c r="C395" s="8" t="s">
        <v>1254</v>
      </c>
      <c r="D395" s="8">
        <v>2020.0</v>
      </c>
      <c r="E395" s="8" t="s">
        <v>1255</v>
      </c>
      <c r="F395" s="8" t="s">
        <v>933</v>
      </c>
      <c r="G395" s="8">
        <v>10.0</v>
      </c>
      <c r="H395" s="8">
        <v>1.0</v>
      </c>
      <c r="I395" s="8">
        <v>12.0</v>
      </c>
      <c r="J395" s="8" t="s">
        <v>29</v>
      </c>
      <c r="K395" s="8"/>
      <c r="L395" s="8"/>
      <c r="M395" s="8"/>
      <c r="N395" s="8"/>
      <c r="O395" s="8"/>
      <c r="P395" s="8"/>
      <c r="Q395" s="8"/>
      <c r="R395" s="8"/>
      <c r="S395" s="8"/>
      <c r="T395" s="8"/>
      <c r="U395" s="8"/>
      <c r="V395" s="8"/>
      <c r="W395" s="8"/>
      <c r="X395" s="8"/>
      <c r="Y395" s="8"/>
      <c r="Z395" s="8"/>
    </row>
    <row r="396" ht="14.25" customHeight="1">
      <c r="A396" s="8">
        <v>24313.0</v>
      </c>
      <c r="B396" s="8" t="s">
        <v>24</v>
      </c>
      <c r="C396" s="8" t="s">
        <v>1256</v>
      </c>
      <c r="D396" s="8">
        <v>2020.0</v>
      </c>
      <c r="E396" s="8" t="s">
        <v>1257</v>
      </c>
      <c r="F396" s="8" t="s">
        <v>60</v>
      </c>
      <c r="G396" s="8">
        <v>34.0</v>
      </c>
      <c r="H396" s="8">
        <v>4.0</v>
      </c>
      <c r="I396" s="8" t="s">
        <v>1258</v>
      </c>
      <c r="J396" s="8" t="s">
        <v>29</v>
      </c>
      <c r="K396" s="8"/>
      <c r="L396" s="8"/>
      <c r="M396" s="8"/>
      <c r="N396" s="8"/>
      <c r="O396" s="8"/>
      <c r="P396" s="8"/>
      <c r="Q396" s="8"/>
      <c r="R396" s="8"/>
      <c r="S396" s="8"/>
      <c r="T396" s="8"/>
      <c r="U396" s="8"/>
      <c r="V396" s="8"/>
      <c r="W396" s="8"/>
      <c r="X396" s="8"/>
      <c r="Y396" s="8"/>
      <c r="Z396" s="8"/>
    </row>
    <row r="397" ht="14.25" customHeight="1">
      <c r="A397" s="8">
        <v>24174.0</v>
      </c>
      <c r="B397" s="8" t="s">
        <v>24</v>
      </c>
      <c r="C397" s="8" t="s">
        <v>1259</v>
      </c>
      <c r="D397" s="8">
        <v>2018.0</v>
      </c>
      <c r="E397" s="8" t="s">
        <v>1260</v>
      </c>
      <c r="F397" s="8" t="s">
        <v>97</v>
      </c>
      <c r="G397" s="8">
        <v>24.0</v>
      </c>
      <c r="H397" s="8">
        <v>10.0</v>
      </c>
      <c r="I397" s="8" t="s">
        <v>1261</v>
      </c>
      <c r="J397" s="8" t="s">
        <v>29</v>
      </c>
      <c r="K397" s="8"/>
      <c r="L397" s="8"/>
      <c r="M397" s="8"/>
      <c r="N397" s="8"/>
      <c r="O397" s="8"/>
      <c r="P397" s="8"/>
      <c r="Q397" s="8"/>
      <c r="R397" s="8"/>
      <c r="S397" s="8"/>
      <c r="T397" s="8"/>
      <c r="U397" s="8"/>
      <c r="V397" s="8"/>
      <c r="W397" s="8"/>
      <c r="X397" s="8"/>
      <c r="Y397" s="8"/>
      <c r="Z397" s="8"/>
    </row>
    <row r="398" ht="14.25" customHeight="1">
      <c r="A398" s="8">
        <v>24540.0</v>
      </c>
      <c r="B398" s="8" t="s">
        <v>24</v>
      </c>
      <c r="C398" s="8" t="s">
        <v>398</v>
      </c>
      <c r="D398" s="8">
        <v>2017.0</v>
      </c>
      <c r="E398" s="8" t="s">
        <v>1262</v>
      </c>
      <c r="F398" s="8" t="s">
        <v>552</v>
      </c>
      <c r="G398" s="8">
        <v>23.0</v>
      </c>
      <c r="H398" s="8">
        <v>6.0</v>
      </c>
      <c r="I398" s="8" t="s">
        <v>1263</v>
      </c>
      <c r="J398" s="8" t="s">
        <v>29</v>
      </c>
      <c r="K398" s="8"/>
      <c r="L398" s="8"/>
      <c r="M398" s="8"/>
      <c r="N398" s="8"/>
      <c r="O398" s="8"/>
      <c r="P398" s="8"/>
      <c r="Q398" s="8"/>
      <c r="R398" s="8"/>
      <c r="S398" s="8"/>
      <c r="T398" s="8"/>
      <c r="U398" s="8"/>
      <c r="V398" s="8"/>
      <c r="W398" s="8"/>
      <c r="X398" s="8"/>
      <c r="Y398" s="8"/>
      <c r="Z398" s="8"/>
    </row>
    <row r="399" ht="14.25" customHeight="1">
      <c r="A399" s="8">
        <v>24951.0</v>
      </c>
      <c r="B399" s="8" t="s">
        <v>24</v>
      </c>
      <c r="C399" s="8" t="s">
        <v>1264</v>
      </c>
      <c r="D399" s="8">
        <v>2017.0</v>
      </c>
      <c r="E399" s="8" t="s">
        <v>1265</v>
      </c>
      <c r="F399" s="8" t="s">
        <v>195</v>
      </c>
      <c r="G399" s="8">
        <v>130.0</v>
      </c>
      <c r="H399" s="8" t="s">
        <v>33</v>
      </c>
      <c r="I399" s="11">
        <v>44866.0</v>
      </c>
      <c r="J399" s="8" t="s">
        <v>29</v>
      </c>
      <c r="K399" s="8"/>
      <c r="L399" s="8"/>
      <c r="M399" s="8"/>
      <c r="N399" s="8"/>
      <c r="O399" s="8"/>
      <c r="P399" s="8"/>
      <c r="Q399" s="8"/>
      <c r="R399" s="8"/>
      <c r="S399" s="8"/>
      <c r="T399" s="8"/>
      <c r="U399" s="8"/>
      <c r="V399" s="8"/>
      <c r="W399" s="8"/>
      <c r="X399" s="8"/>
      <c r="Y399" s="8"/>
      <c r="Z399" s="8"/>
    </row>
    <row r="400" ht="14.25" customHeight="1">
      <c r="A400" s="8">
        <v>24502.0</v>
      </c>
      <c r="B400" s="8" t="s">
        <v>24</v>
      </c>
      <c r="C400" s="8" t="s">
        <v>1266</v>
      </c>
      <c r="D400" s="8">
        <v>2008.0</v>
      </c>
      <c r="E400" s="8" t="s">
        <v>1267</v>
      </c>
      <c r="F400" s="8" t="s">
        <v>1268</v>
      </c>
      <c r="G400" s="8">
        <v>275.0</v>
      </c>
      <c r="H400" s="8">
        <v>1640.0</v>
      </c>
      <c r="I400" s="8" t="s">
        <v>1269</v>
      </c>
      <c r="J400" s="8" t="s">
        <v>29</v>
      </c>
      <c r="K400" s="8"/>
      <c r="L400" s="8"/>
      <c r="M400" s="8"/>
      <c r="N400" s="8"/>
      <c r="O400" s="8"/>
      <c r="P400" s="8"/>
      <c r="Q400" s="8"/>
      <c r="R400" s="8"/>
      <c r="S400" s="8"/>
      <c r="T400" s="8"/>
      <c r="U400" s="8"/>
      <c r="V400" s="8"/>
      <c r="W400" s="8"/>
      <c r="X400" s="8"/>
      <c r="Y400" s="8"/>
      <c r="Z400" s="8"/>
    </row>
    <row r="401" ht="14.25" customHeight="1">
      <c r="A401" s="8">
        <v>24123.0</v>
      </c>
      <c r="B401" s="8" t="s">
        <v>24</v>
      </c>
      <c r="C401" s="8" t="s">
        <v>1270</v>
      </c>
      <c r="D401" s="8">
        <v>2018.0</v>
      </c>
      <c r="E401" s="8" t="s">
        <v>1271</v>
      </c>
      <c r="F401" s="8" t="s">
        <v>1044</v>
      </c>
      <c r="G401" s="8">
        <v>387.0</v>
      </c>
      <c r="H401" s="8" t="s">
        <v>33</v>
      </c>
      <c r="I401" s="8" t="s">
        <v>1272</v>
      </c>
      <c r="J401" s="8" t="s">
        <v>29</v>
      </c>
      <c r="K401" s="8"/>
      <c r="L401" s="8"/>
      <c r="M401" s="8"/>
      <c r="N401" s="8"/>
      <c r="O401" s="8"/>
      <c r="P401" s="8"/>
      <c r="Q401" s="8"/>
      <c r="R401" s="8"/>
      <c r="S401" s="8"/>
      <c r="T401" s="8"/>
      <c r="U401" s="8"/>
      <c r="V401" s="8"/>
      <c r="W401" s="8"/>
      <c r="X401" s="8"/>
      <c r="Y401" s="8"/>
      <c r="Z401" s="8"/>
    </row>
    <row r="402" ht="14.25" customHeight="1">
      <c r="A402" s="8">
        <v>24888.0</v>
      </c>
      <c r="B402" s="8" t="s">
        <v>24</v>
      </c>
      <c r="C402" s="8" t="s">
        <v>1273</v>
      </c>
      <c r="D402" s="8">
        <v>2016.0</v>
      </c>
      <c r="E402" s="8" t="s">
        <v>1274</v>
      </c>
      <c r="F402" s="8" t="s">
        <v>1275</v>
      </c>
      <c r="G402" s="8">
        <v>145.0</v>
      </c>
      <c r="H402" s="8">
        <v>5.0</v>
      </c>
      <c r="I402" s="8" t="s">
        <v>1276</v>
      </c>
      <c r="J402" s="8" t="s">
        <v>29</v>
      </c>
      <c r="K402" s="8"/>
      <c r="L402" s="8"/>
      <c r="M402" s="8"/>
      <c r="N402" s="8"/>
      <c r="O402" s="8"/>
      <c r="P402" s="8"/>
      <c r="Q402" s="8"/>
      <c r="R402" s="8"/>
      <c r="S402" s="8"/>
      <c r="T402" s="8"/>
      <c r="U402" s="8"/>
      <c r="V402" s="8"/>
      <c r="W402" s="8"/>
      <c r="X402" s="8"/>
      <c r="Y402" s="8"/>
      <c r="Z402" s="8"/>
    </row>
    <row r="403" ht="14.25" customHeight="1">
      <c r="A403" s="8">
        <v>25130.0</v>
      </c>
      <c r="B403" s="8" t="s">
        <v>24</v>
      </c>
      <c r="C403" s="8" t="s">
        <v>1277</v>
      </c>
      <c r="D403" s="8">
        <v>2006.0</v>
      </c>
      <c r="E403" s="8" t="s">
        <v>1278</v>
      </c>
      <c r="F403" s="8" t="s">
        <v>1279</v>
      </c>
      <c r="G403" s="8">
        <v>26.0</v>
      </c>
      <c r="H403" s="8">
        <v>3.0</v>
      </c>
      <c r="I403" s="8" t="s">
        <v>1280</v>
      </c>
      <c r="J403" s="8" t="s">
        <v>29</v>
      </c>
      <c r="K403" s="8"/>
      <c r="L403" s="8"/>
      <c r="M403" s="8"/>
      <c r="N403" s="8"/>
      <c r="O403" s="8"/>
      <c r="P403" s="8"/>
      <c r="Q403" s="8"/>
      <c r="R403" s="8"/>
      <c r="S403" s="8"/>
      <c r="T403" s="8"/>
      <c r="U403" s="8"/>
      <c r="V403" s="8"/>
      <c r="W403" s="8"/>
      <c r="X403" s="8"/>
      <c r="Y403" s="8"/>
      <c r="Z403" s="8"/>
    </row>
    <row r="404" ht="14.25" customHeight="1">
      <c r="A404" s="8">
        <v>25781.0</v>
      </c>
      <c r="B404" s="8" t="s">
        <v>24</v>
      </c>
      <c r="C404" s="8" t="s">
        <v>1281</v>
      </c>
      <c r="D404" s="8">
        <v>2019.0</v>
      </c>
      <c r="E404" s="8" t="s">
        <v>1282</v>
      </c>
      <c r="F404" s="8" t="s">
        <v>64</v>
      </c>
      <c r="G404" s="8">
        <v>238.0</v>
      </c>
      <c r="H404" s="8" t="s">
        <v>33</v>
      </c>
      <c r="I404" s="8" t="s">
        <v>33</v>
      </c>
      <c r="J404" s="8" t="s">
        <v>29</v>
      </c>
      <c r="K404" s="8"/>
      <c r="L404" s="8"/>
      <c r="M404" s="8"/>
      <c r="N404" s="8"/>
      <c r="O404" s="8"/>
      <c r="P404" s="8"/>
      <c r="Q404" s="8"/>
      <c r="R404" s="8"/>
      <c r="S404" s="8"/>
      <c r="T404" s="8"/>
      <c r="U404" s="8"/>
      <c r="V404" s="8"/>
      <c r="W404" s="8"/>
      <c r="X404" s="8"/>
      <c r="Y404" s="8"/>
      <c r="Z404" s="8"/>
    </row>
    <row r="405" ht="14.25" customHeight="1">
      <c r="A405" s="8">
        <v>26111.0</v>
      </c>
      <c r="B405" s="8" t="s">
        <v>24</v>
      </c>
      <c r="C405" s="8" t="s">
        <v>1283</v>
      </c>
      <c r="D405" s="8">
        <v>2013.0</v>
      </c>
      <c r="E405" s="8" t="s">
        <v>1284</v>
      </c>
      <c r="F405" s="8" t="s">
        <v>1285</v>
      </c>
      <c r="G405" s="8">
        <v>107.0</v>
      </c>
      <c r="H405" s="8">
        <v>1.0</v>
      </c>
      <c r="I405" s="8" t="s">
        <v>1286</v>
      </c>
      <c r="J405" s="8" t="s">
        <v>29</v>
      </c>
      <c r="K405" s="8"/>
      <c r="L405" s="8"/>
      <c r="M405" s="8"/>
      <c r="N405" s="8"/>
      <c r="O405" s="8"/>
      <c r="P405" s="8"/>
      <c r="Q405" s="8"/>
      <c r="R405" s="8"/>
      <c r="S405" s="8"/>
      <c r="T405" s="8"/>
      <c r="U405" s="8"/>
      <c r="V405" s="8"/>
      <c r="W405" s="8"/>
      <c r="X405" s="8"/>
      <c r="Y405" s="8"/>
      <c r="Z405" s="8"/>
    </row>
    <row r="406" ht="14.25" customHeight="1">
      <c r="A406" s="8">
        <v>24624.0</v>
      </c>
      <c r="B406" s="8" t="s">
        <v>24</v>
      </c>
      <c r="C406" s="8" t="s">
        <v>1287</v>
      </c>
      <c r="D406" s="8">
        <v>2016.0</v>
      </c>
      <c r="E406" s="8" t="s">
        <v>1288</v>
      </c>
      <c r="F406" s="8" t="s">
        <v>1289</v>
      </c>
      <c r="G406" s="8">
        <v>67.0</v>
      </c>
      <c r="H406" s="8">
        <v>10.0</v>
      </c>
      <c r="I406" s="8" t="s">
        <v>1290</v>
      </c>
      <c r="J406" s="8" t="s">
        <v>29</v>
      </c>
      <c r="K406" s="8"/>
      <c r="L406" s="8"/>
      <c r="M406" s="8"/>
      <c r="N406" s="8"/>
      <c r="O406" s="8"/>
      <c r="P406" s="8"/>
      <c r="Q406" s="8"/>
      <c r="R406" s="8"/>
      <c r="S406" s="8"/>
      <c r="T406" s="8"/>
      <c r="U406" s="8"/>
      <c r="V406" s="8"/>
      <c r="W406" s="8"/>
      <c r="X406" s="8"/>
      <c r="Y406" s="8"/>
      <c r="Z406" s="8"/>
    </row>
    <row r="407" ht="14.25" customHeight="1">
      <c r="A407" s="8">
        <v>26094.0</v>
      </c>
      <c r="B407" s="8" t="s">
        <v>24</v>
      </c>
      <c r="C407" s="8" t="s">
        <v>1291</v>
      </c>
      <c r="D407" s="8">
        <v>2011.0</v>
      </c>
      <c r="E407" s="8" t="s">
        <v>1292</v>
      </c>
      <c r="F407" s="8" t="s">
        <v>109</v>
      </c>
      <c r="G407" s="8">
        <v>48.0</v>
      </c>
      <c r="H407" s="8">
        <v>3.0</v>
      </c>
      <c r="I407" s="8" t="s">
        <v>1293</v>
      </c>
      <c r="J407" s="8" t="s">
        <v>29</v>
      </c>
      <c r="K407" s="8"/>
      <c r="L407" s="8"/>
      <c r="M407" s="8"/>
      <c r="N407" s="8"/>
      <c r="O407" s="8"/>
      <c r="P407" s="8"/>
      <c r="Q407" s="8"/>
      <c r="R407" s="8"/>
      <c r="S407" s="8"/>
      <c r="T407" s="8"/>
      <c r="U407" s="8"/>
      <c r="V407" s="8"/>
      <c r="W407" s="8"/>
      <c r="X407" s="8"/>
      <c r="Y407" s="8"/>
      <c r="Z407" s="8"/>
    </row>
    <row r="408" ht="14.25" customHeight="1">
      <c r="A408" s="8">
        <v>25413.0</v>
      </c>
      <c r="B408" s="8" t="s">
        <v>24</v>
      </c>
      <c r="C408" s="8" t="s">
        <v>1294</v>
      </c>
      <c r="D408" s="8">
        <v>2018.0</v>
      </c>
      <c r="E408" s="8" t="s">
        <v>1295</v>
      </c>
      <c r="F408" s="8" t="s">
        <v>1296</v>
      </c>
      <c r="G408" s="8">
        <v>66.0</v>
      </c>
      <c r="H408" s="8">
        <v>3.0</v>
      </c>
      <c r="I408" s="8" t="s">
        <v>1297</v>
      </c>
      <c r="J408" s="8" t="s">
        <v>29</v>
      </c>
      <c r="K408" s="8"/>
      <c r="L408" s="8"/>
      <c r="M408" s="8"/>
      <c r="N408" s="8"/>
      <c r="O408" s="8"/>
      <c r="P408" s="8"/>
      <c r="Q408" s="8"/>
      <c r="R408" s="8"/>
      <c r="S408" s="8"/>
      <c r="T408" s="8"/>
      <c r="U408" s="8"/>
      <c r="V408" s="8"/>
      <c r="W408" s="8"/>
      <c r="X408" s="8"/>
      <c r="Y408" s="8"/>
      <c r="Z408" s="8"/>
    </row>
    <row r="409" ht="14.25" customHeight="1">
      <c r="A409" s="8">
        <v>23572.0</v>
      </c>
      <c r="B409" s="8" t="s">
        <v>24</v>
      </c>
      <c r="C409" s="8" t="s">
        <v>1298</v>
      </c>
      <c r="D409" s="8">
        <v>2010.0</v>
      </c>
      <c r="E409" s="8" t="s">
        <v>1299</v>
      </c>
      <c r="F409" s="8" t="s">
        <v>97</v>
      </c>
      <c r="G409" s="8">
        <v>16.0</v>
      </c>
      <c r="H409" s="8">
        <v>5.0</v>
      </c>
      <c r="I409" s="8" t="s">
        <v>1300</v>
      </c>
      <c r="J409" s="8" t="s">
        <v>29</v>
      </c>
      <c r="K409" s="8"/>
      <c r="L409" s="8"/>
      <c r="M409" s="8"/>
      <c r="N409" s="8"/>
      <c r="O409" s="8"/>
      <c r="P409" s="8"/>
      <c r="Q409" s="8"/>
      <c r="R409" s="8"/>
      <c r="S409" s="8"/>
      <c r="T409" s="8"/>
      <c r="U409" s="8"/>
      <c r="V409" s="8"/>
      <c r="W409" s="8"/>
      <c r="X409" s="8"/>
      <c r="Y409" s="8"/>
      <c r="Z409" s="8"/>
    </row>
    <row r="410" ht="14.25" customHeight="1">
      <c r="A410" s="8">
        <v>23938.0</v>
      </c>
      <c r="B410" s="8" t="s">
        <v>24</v>
      </c>
      <c r="C410" s="8" t="s">
        <v>1301</v>
      </c>
      <c r="D410" s="8">
        <v>2019.0</v>
      </c>
      <c r="E410" s="8" t="s">
        <v>1302</v>
      </c>
      <c r="F410" s="8" t="s">
        <v>1303</v>
      </c>
      <c r="G410" s="8">
        <v>12.0</v>
      </c>
      <c r="H410" s="8">
        <v>4.0</v>
      </c>
      <c r="I410" s="8" t="s">
        <v>1304</v>
      </c>
      <c r="J410" s="8" t="s">
        <v>29</v>
      </c>
      <c r="K410" s="8"/>
      <c r="L410" s="8"/>
      <c r="M410" s="8"/>
      <c r="N410" s="8"/>
      <c r="O410" s="8"/>
      <c r="P410" s="8"/>
      <c r="Q410" s="8"/>
      <c r="R410" s="8"/>
      <c r="S410" s="8"/>
      <c r="T410" s="8"/>
      <c r="U410" s="8"/>
      <c r="V410" s="8"/>
      <c r="W410" s="8"/>
      <c r="X410" s="8"/>
      <c r="Y410" s="8"/>
      <c r="Z410" s="8"/>
    </row>
    <row r="411" ht="14.25" customHeight="1">
      <c r="A411" s="8">
        <v>23052.0</v>
      </c>
      <c r="B411" s="8" t="s">
        <v>24</v>
      </c>
      <c r="C411" s="8" t="s">
        <v>1305</v>
      </c>
      <c r="D411" s="8">
        <v>2018.0</v>
      </c>
      <c r="E411" s="8" t="s">
        <v>1306</v>
      </c>
      <c r="F411" s="8" t="s">
        <v>1307</v>
      </c>
      <c r="G411" s="8">
        <v>9.0</v>
      </c>
      <c r="H411" s="8">
        <v>1.0</v>
      </c>
      <c r="I411" s="8" t="s">
        <v>1308</v>
      </c>
      <c r="J411" s="8" t="s">
        <v>29</v>
      </c>
      <c r="K411" s="8"/>
      <c r="L411" s="8"/>
      <c r="M411" s="8"/>
      <c r="N411" s="8"/>
      <c r="O411" s="8"/>
      <c r="P411" s="8"/>
      <c r="Q411" s="8"/>
      <c r="R411" s="8"/>
      <c r="S411" s="8"/>
      <c r="T411" s="8"/>
      <c r="U411" s="8"/>
      <c r="V411" s="8"/>
      <c r="W411" s="8"/>
      <c r="X411" s="8"/>
      <c r="Y411" s="8"/>
      <c r="Z411" s="8"/>
    </row>
    <row r="412" ht="14.25" customHeight="1">
      <c r="A412" s="8">
        <v>25274.0</v>
      </c>
      <c r="B412" s="8" t="s">
        <v>24</v>
      </c>
      <c r="C412" s="8" t="s">
        <v>1309</v>
      </c>
      <c r="D412" s="8">
        <v>2016.0</v>
      </c>
      <c r="E412" s="8" t="s">
        <v>1310</v>
      </c>
      <c r="F412" s="8" t="s">
        <v>1311</v>
      </c>
      <c r="G412" s="8">
        <v>3.0</v>
      </c>
      <c r="H412" s="8">
        <v>1.0</v>
      </c>
      <c r="I412" s="8" t="s">
        <v>33</v>
      </c>
      <c r="J412" s="8" t="s">
        <v>29</v>
      </c>
      <c r="K412" s="8"/>
      <c r="L412" s="8"/>
      <c r="M412" s="8"/>
      <c r="N412" s="8"/>
      <c r="O412" s="8"/>
      <c r="P412" s="8"/>
      <c r="Q412" s="8"/>
      <c r="R412" s="8"/>
      <c r="S412" s="8"/>
      <c r="T412" s="8"/>
      <c r="U412" s="8"/>
      <c r="V412" s="8"/>
      <c r="W412" s="8"/>
      <c r="X412" s="8"/>
      <c r="Y412" s="8"/>
      <c r="Z412" s="8"/>
    </row>
    <row r="413" ht="14.25" customHeight="1">
      <c r="A413" s="8">
        <v>25600.0</v>
      </c>
      <c r="B413" s="8" t="s">
        <v>24</v>
      </c>
      <c r="C413" s="8" t="s">
        <v>1312</v>
      </c>
      <c r="D413" s="8">
        <v>2009.0</v>
      </c>
      <c r="E413" s="8" t="s">
        <v>1313</v>
      </c>
      <c r="F413" s="8" t="s">
        <v>1314</v>
      </c>
      <c r="G413" s="8">
        <v>37.0</v>
      </c>
      <c r="H413" s="8">
        <v>4.0</v>
      </c>
      <c r="I413" s="8" t="s">
        <v>1315</v>
      </c>
      <c r="J413" s="8" t="s">
        <v>29</v>
      </c>
      <c r="K413" s="8"/>
      <c r="L413" s="8"/>
      <c r="M413" s="8"/>
      <c r="N413" s="8"/>
      <c r="O413" s="8"/>
      <c r="P413" s="8"/>
      <c r="Q413" s="8"/>
      <c r="R413" s="8"/>
      <c r="S413" s="8"/>
      <c r="T413" s="8"/>
      <c r="U413" s="8"/>
      <c r="V413" s="8"/>
      <c r="W413" s="8"/>
      <c r="X413" s="8"/>
      <c r="Y413" s="8"/>
      <c r="Z413" s="8"/>
    </row>
    <row r="414" ht="14.25" customHeight="1">
      <c r="A414" s="8">
        <v>25296.0</v>
      </c>
      <c r="B414" s="8" t="s">
        <v>24</v>
      </c>
      <c r="C414" s="8" t="s">
        <v>1316</v>
      </c>
      <c r="D414" s="8">
        <v>2013.0</v>
      </c>
      <c r="E414" s="8" t="s">
        <v>1317</v>
      </c>
      <c r="F414" s="8" t="s">
        <v>615</v>
      </c>
      <c r="G414" s="8">
        <v>22.0</v>
      </c>
      <c r="H414" s="8">
        <v>11.0</v>
      </c>
      <c r="I414" s="8" t="s">
        <v>1318</v>
      </c>
      <c r="J414" s="8" t="s">
        <v>29</v>
      </c>
      <c r="K414" s="8"/>
      <c r="L414" s="8"/>
      <c r="M414" s="8"/>
      <c r="N414" s="8"/>
      <c r="O414" s="8"/>
      <c r="P414" s="8"/>
      <c r="Q414" s="8"/>
      <c r="R414" s="8"/>
      <c r="S414" s="8"/>
      <c r="T414" s="8"/>
      <c r="U414" s="8"/>
      <c r="V414" s="8"/>
      <c r="W414" s="8"/>
      <c r="X414" s="8"/>
      <c r="Y414" s="8"/>
      <c r="Z414" s="8"/>
    </row>
    <row r="415" ht="14.25" customHeight="1">
      <c r="A415" s="8">
        <v>23759.0</v>
      </c>
      <c r="B415" s="8" t="s">
        <v>24</v>
      </c>
      <c r="C415" s="8" t="s">
        <v>1319</v>
      </c>
      <c r="D415" s="8">
        <v>2018.0</v>
      </c>
      <c r="E415" s="8" t="s">
        <v>1320</v>
      </c>
      <c r="F415" s="8" t="s">
        <v>286</v>
      </c>
      <c r="G415" s="8">
        <v>190.0</v>
      </c>
      <c r="H415" s="8">
        <v>7.0</v>
      </c>
      <c r="I415" s="8" t="s">
        <v>33</v>
      </c>
      <c r="J415" s="8" t="s">
        <v>29</v>
      </c>
      <c r="K415" s="8"/>
      <c r="L415" s="8"/>
      <c r="M415" s="8"/>
      <c r="N415" s="8"/>
      <c r="O415" s="8"/>
      <c r="P415" s="8"/>
      <c r="Q415" s="8"/>
      <c r="R415" s="8"/>
      <c r="S415" s="8"/>
      <c r="T415" s="8"/>
      <c r="U415" s="8"/>
      <c r="V415" s="8"/>
      <c r="W415" s="8"/>
      <c r="X415" s="8"/>
      <c r="Y415" s="8"/>
      <c r="Z415" s="8"/>
    </row>
    <row r="416" ht="14.25" customHeight="1">
      <c r="A416" s="8">
        <v>25512.0</v>
      </c>
      <c r="B416" s="8" t="s">
        <v>24</v>
      </c>
      <c r="C416" s="8" t="s">
        <v>1321</v>
      </c>
      <c r="D416" s="8">
        <v>2014.0</v>
      </c>
      <c r="E416" s="8" t="s">
        <v>1322</v>
      </c>
      <c r="F416" s="8" t="s">
        <v>60</v>
      </c>
      <c r="G416" s="8">
        <v>28.0</v>
      </c>
      <c r="H416" s="8">
        <v>1.0</v>
      </c>
      <c r="I416" s="8" t="s">
        <v>1323</v>
      </c>
      <c r="J416" s="8" t="s">
        <v>29</v>
      </c>
      <c r="K416" s="8"/>
      <c r="L416" s="8"/>
      <c r="M416" s="8"/>
      <c r="N416" s="8"/>
      <c r="O416" s="8"/>
      <c r="P416" s="8"/>
      <c r="Q416" s="8"/>
      <c r="R416" s="8"/>
      <c r="S416" s="8"/>
      <c r="T416" s="8"/>
      <c r="U416" s="8"/>
      <c r="V416" s="8"/>
      <c r="W416" s="8"/>
      <c r="X416" s="8"/>
      <c r="Y416" s="8"/>
      <c r="Z416" s="8"/>
    </row>
    <row r="417" ht="14.25" customHeight="1">
      <c r="A417" s="8">
        <v>24307.0</v>
      </c>
      <c r="B417" s="8" t="s">
        <v>24</v>
      </c>
      <c r="C417" s="8" t="s">
        <v>1324</v>
      </c>
      <c r="D417" s="8">
        <v>2016.0</v>
      </c>
      <c r="E417" s="8" t="s">
        <v>1325</v>
      </c>
      <c r="F417" s="8" t="s">
        <v>64</v>
      </c>
      <c r="G417" s="8">
        <v>204.0</v>
      </c>
      <c r="H417" s="8" t="s">
        <v>33</v>
      </c>
      <c r="I417" s="8" t="s">
        <v>1326</v>
      </c>
      <c r="J417" s="8" t="s">
        <v>29</v>
      </c>
      <c r="K417" s="8"/>
      <c r="L417" s="8"/>
      <c r="M417" s="8"/>
      <c r="N417" s="8"/>
      <c r="O417" s="8"/>
      <c r="P417" s="8"/>
      <c r="Q417" s="8"/>
      <c r="R417" s="8"/>
      <c r="S417" s="8"/>
      <c r="T417" s="8"/>
      <c r="U417" s="8"/>
      <c r="V417" s="8"/>
      <c r="W417" s="8"/>
      <c r="X417" s="8"/>
      <c r="Y417" s="8"/>
      <c r="Z417" s="8"/>
    </row>
    <row r="418" ht="14.25" customHeight="1">
      <c r="A418" s="8">
        <v>25903.0</v>
      </c>
      <c r="B418" s="8" t="s">
        <v>24</v>
      </c>
      <c r="C418" s="8" t="s">
        <v>1327</v>
      </c>
      <c r="D418" s="8">
        <v>2019.0</v>
      </c>
      <c r="E418" s="8" t="s">
        <v>1328</v>
      </c>
      <c r="F418" s="8" t="s">
        <v>552</v>
      </c>
      <c r="G418" s="8">
        <v>25.0</v>
      </c>
      <c r="H418" s="8">
        <v>6.0</v>
      </c>
      <c r="I418" s="8" t="s">
        <v>1329</v>
      </c>
      <c r="J418" s="8" t="s">
        <v>29</v>
      </c>
      <c r="K418" s="8"/>
      <c r="L418" s="8"/>
      <c r="M418" s="8"/>
      <c r="N418" s="8"/>
      <c r="O418" s="8"/>
      <c r="P418" s="8"/>
      <c r="Q418" s="8"/>
      <c r="R418" s="8"/>
      <c r="S418" s="8"/>
      <c r="T418" s="8"/>
      <c r="U418" s="8"/>
      <c r="V418" s="8"/>
      <c r="W418" s="8"/>
      <c r="X418" s="8"/>
      <c r="Y418" s="8"/>
      <c r="Z418" s="8"/>
    </row>
    <row r="419" ht="14.25" customHeight="1">
      <c r="A419" s="8">
        <v>25952.0</v>
      </c>
      <c r="B419" s="8" t="s">
        <v>24</v>
      </c>
      <c r="C419" s="8" t="s">
        <v>1330</v>
      </c>
      <c r="D419" s="8">
        <v>2011.0</v>
      </c>
      <c r="E419" s="8" t="s">
        <v>1331</v>
      </c>
      <c r="F419" s="8" t="s">
        <v>36</v>
      </c>
      <c r="G419" s="8">
        <v>6.0</v>
      </c>
      <c r="H419" s="8">
        <v>9.0</v>
      </c>
      <c r="I419" s="8" t="s">
        <v>33</v>
      </c>
      <c r="J419" s="8" t="s">
        <v>29</v>
      </c>
      <c r="K419" s="8"/>
      <c r="L419" s="8"/>
      <c r="M419" s="8"/>
      <c r="N419" s="8"/>
      <c r="O419" s="8"/>
      <c r="P419" s="8"/>
      <c r="Q419" s="8"/>
      <c r="R419" s="8"/>
      <c r="S419" s="8"/>
      <c r="T419" s="8"/>
      <c r="U419" s="8"/>
      <c r="V419" s="8"/>
      <c r="W419" s="8"/>
      <c r="X419" s="8"/>
      <c r="Y419" s="8"/>
      <c r="Z419" s="8"/>
    </row>
    <row r="420" ht="14.25" customHeight="1">
      <c r="A420" s="8">
        <v>23242.0</v>
      </c>
      <c r="B420" s="8" t="s">
        <v>24</v>
      </c>
      <c r="C420" s="8" t="s">
        <v>1332</v>
      </c>
      <c r="D420" s="8">
        <v>2010.0</v>
      </c>
      <c r="E420" s="8" t="s">
        <v>1333</v>
      </c>
      <c r="F420" s="8" t="s">
        <v>36</v>
      </c>
      <c r="G420" s="8">
        <v>5.0</v>
      </c>
      <c r="H420" s="8">
        <v>1.0</v>
      </c>
      <c r="I420" s="8" t="s">
        <v>33</v>
      </c>
      <c r="J420" s="8" t="s">
        <v>29</v>
      </c>
      <c r="K420" s="8"/>
      <c r="L420" s="8"/>
      <c r="M420" s="8"/>
      <c r="N420" s="8"/>
      <c r="O420" s="8"/>
      <c r="P420" s="8"/>
      <c r="Q420" s="8"/>
      <c r="R420" s="8"/>
      <c r="S420" s="8"/>
      <c r="T420" s="8"/>
      <c r="U420" s="8"/>
      <c r="V420" s="8"/>
      <c r="W420" s="8"/>
      <c r="X420" s="8"/>
      <c r="Y420" s="8"/>
      <c r="Z420" s="8"/>
    </row>
    <row r="421" ht="14.25" customHeight="1">
      <c r="A421" s="8">
        <v>24050.0</v>
      </c>
      <c r="B421" s="8" t="s">
        <v>24</v>
      </c>
      <c r="C421" s="8" t="s">
        <v>1334</v>
      </c>
      <c r="D421" s="8">
        <v>2020.0</v>
      </c>
      <c r="E421" s="8" t="s">
        <v>1335</v>
      </c>
      <c r="F421" s="8" t="s">
        <v>552</v>
      </c>
      <c r="G421" s="8" t="s">
        <v>33</v>
      </c>
      <c r="H421" s="8" t="s">
        <v>33</v>
      </c>
      <c r="I421" s="8" t="s">
        <v>33</v>
      </c>
      <c r="J421" s="8" t="s">
        <v>29</v>
      </c>
      <c r="K421" s="8"/>
      <c r="L421" s="8"/>
      <c r="M421" s="8"/>
      <c r="N421" s="8"/>
      <c r="O421" s="8"/>
      <c r="P421" s="8"/>
      <c r="Q421" s="8"/>
      <c r="R421" s="8"/>
      <c r="S421" s="8"/>
      <c r="T421" s="8"/>
      <c r="U421" s="8"/>
      <c r="V421" s="8"/>
      <c r="W421" s="8"/>
      <c r="X421" s="8"/>
      <c r="Y421" s="8"/>
      <c r="Z421" s="8"/>
    </row>
    <row r="422" ht="14.25" customHeight="1">
      <c r="A422" s="8">
        <v>23083.0</v>
      </c>
      <c r="B422" s="8" t="s">
        <v>24</v>
      </c>
      <c r="C422" s="8" t="s">
        <v>1336</v>
      </c>
      <c r="D422" s="8">
        <v>2015.0</v>
      </c>
      <c r="E422" s="8" t="s">
        <v>1337</v>
      </c>
      <c r="F422" s="8" t="s">
        <v>415</v>
      </c>
      <c r="G422" s="8">
        <v>10.0</v>
      </c>
      <c r="H422" s="8">
        <v>1.0</v>
      </c>
      <c r="I422" s="8" t="s">
        <v>33</v>
      </c>
      <c r="J422" s="8" t="s">
        <v>29</v>
      </c>
      <c r="K422" s="8"/>
      <c r="L422" s="8"/>
      <c r="M422" s="8"/>
      <c r="N422" s="8"/>
      <c r="O422" s="8"/>
      <c r="P422" s="8"/>
      <c r="Q422" s="8"/>
      <c r="R422" s="8"/>
      <c r="S422" s="8"/>
      <c r="T422" s="8"/>
      <c r="U422" s="8"/>
      <c r="V422" s="8"/>
      <c r="W422" s="8"/>
      <c r="X422" s="8"/>
      <c r="Y422" s="8"/>
      <c r="Z422" s="8"/>
    </row>
    <row r="423" ht="14.25" customHeight="1">
      <c r="A423" s="8">
        <v>24901.0</v>
      </c>
      <c r="B423" s="8" t="s">
        <v>24</v>
      </c>
      <c r="C423" s="8" t="s">
        <v>1338</v>
      </c>
      <c r="D423" s="8">
        <v>2016.0</v>
      </c>
      <c r="E423" s="8" t="s">
        <v>1339</v>
      </c>
      <c r="F423" s="8" t="s">
        <v>153</v>
      </c>
      <c r="G423" s="8">
        <v>180.0</v>
      </c>
      <c r="H423" s="8" t="s">
        <v>33</v>
      </c>
      <c r="I423" s="8" t="s">
        <v>1340</v>
      </c>
      <c r="J423" s="8" t="s">
        <v>29</v>
      </c>
      <c r="K423" s="8"/>
      <c r="L423" s="8"/>
      <c r="M423" s="8"/>
      <c r="N423" s="8"/>
      <c r="O423" s="8"/>
      <c r="P423" s="8"/>
      <c r="Q423" s="8"/>
      <c r="R423" s="8"/>
      <c r="S423" s="8"/>
      <c r="T423" s="8"/>
      <c r="U423" s="8"/>
      <c r="V423" s="8"/>
      <c r="W423" s="8"/>
      <c r="X423" s="8"/>
      <c r="Y423" s="8"/>
      <c r="Z423" s="8"/>
    </row>
    <row r="424" ht="14.25" customHeight="1">
      <c r="A424" s="8">
        <v>23490.0</v>
      </c>
      <c r="B424" s="8" t="s">
        <v>24</v>
      </c>
      <c r="C424" s="8" t="s">
        <v>1341</v>
      </c>
      <c r="D424" s="8">
        <v>2017.0</v>
      </c>
      <c r="E424" s="8" t="s">
        <v>1342</v>
      </c>
      <c r="F424" s="8" t="s">
        <v>27</v>
      </c>
      <c r="G424" s="8">
        <v>26.0</v>
      </c>
      <c r="H424" s="8">
        <v>5.0</v>
      </c>
      <c r="I424" s="8" t="s">
        <v>1343</v>
      </c>
      <c r="J424" s="8" t="s">
        <v>29</v>
      </c>
      <c r="K424" s="8"/>
      <c r="L424" s="8"/>
      <c r="M424" s="8"/>
      <c r="N424" s="8"/>
      <c r="O424" s="8"/>
      <c r="P424" s="8"/>
      <c r="Q424" s="8"/>
      <c r="R424" s="8"/>
      <c r="S424" s="8"/>
      <c r="T424" s="8"/>
      <c r="U424" s="8"/>
      <c r="V424" s="8"/>
      <c r="W424" s="8"/>
      <c r="X424" s="8"/>
      <c r="Y424" s="8"/>
      <c r="Z424" s="8"/>
    </row>
    <row r="425" ht="14.25" customHeight="1">
      <c r="A425" s="8">
        <v>25365.0</v>
      </c>
      <c r="B425" s="8" t="s">
        <v>24</v>
      </c>
      <c r="C425" s="8" t="s">
        <v>1344</v>
      </c>
      <c r="D425" s="8">
        <v>2020.0</v>
      </c>
      <c r="E425" s="8" t="s">
        <v>1345</v>
      </c>
      <c r="F425" s="8" t="s">
        <v>36</v>
      </c>
      <c r="G425" s="8">
        <v>15.0</v>
      </c>
      <c r="H425" s="12">
        <v>44051.0</v>
      </c>
      <c r="I425" s="8" t="s">
        <v>33</v>
      </c>
      <c r="J425" s="8" t="s">
        <v>29</v>
      </c>
      <c r="K425" s="8"/>
      <c r="L425" s="8"/>
      <c r="M425" s="8"/>
      <c r="N425" s="8"/>
      <c r="O425" s="8"/>
      <c r="P425" s="8"/>
      <c r="Q425" s="8"/>
      <c r="R425" s="8"/>
      <c r="S425" s="8"/>
      <c r="T425" s="8"/>
      <c r="U425" s="8"/>
      <c r="V425" s="8"/>
      <c r="W425" s="8"/>
      <c r="X425" s="8"/>
      <c r="Y425" s="8"/>
      <c r="Z425" s="8"/>
    </row>
    <row r="426" ht="14.25" customHeight="1">
      <c r="A426" s="8">
        <v>23276.0</v>
      </c>
      <c r="B426" s="8" t="s">
        <v>24</v>
      </c>
      <c r="C426" s="8" t="s">
        <v>1346</v>
      </c>
      <c r="D426" s="8">
        <v>2016.0</v>
      </c>
      <c r="E426" s="8" t="s">
        <v>1347</v>
      </c>
      <c r="F426" s="8" t="s">
        <v>1268</v>
      </c>
      <c r="G426" s="8">
        <v>283.0</v>
      </c>
      <c r="H426" s="8">
        <v>1823.0</v>
      </c>
      <c r="I426" s="8" t="s">
        <v>33</v>
      </c>
      <c r="J426" s="8" t="s">
        <v>29</v>
      </c>
      <c r="K426" s="8"/>
      <c r="L426" s="8"/>
      <c r="M426" s="8"/>
      <c r="N426" s="8"/>
      <c r="O426" s="8"/>
      <c r="P426" s="8"/>
      <c r="Q426" s="8"/>
      <c r="R426" s="8"/>
      <c r="S426" s="8"/>
      <c r="T426" s="8"/>
      <c r="U426" s="8"/>
      <c r="V426" s="8"/>
      <c r="W426" s="8"/>
      <c r="X426" s="8"/>
      <c r="Y426" s="8"/>
      <c r="Z426" s="8"/>
    </row>
    <row r="427" ht="14.25" customHeight="1">
      <c r="A427" s="8">
        <v>24368.0</v>
      </c>
      <c r="B427" s="8" t="s">
        <v>24</v>
      </c>
      <c r="C427" s="8" t="s">
        <v>1348</v>
      </c>
      <c r="D427" s="8">
        <v>2015.0</v>
      </c>
      <c r="E427" s="8" t="s">
        <v>1349</v>
      </c>
      <c r="F427" s="8" t="s">
        <v>97</v>
      </c>
      <c r="G427" s="8">
        <v>21.0</v>
      </c>
      <c r="H427" s="8">
        <v>11.0</v>
      </c>
      <c r="I427" s="8" t="s">
        <v>1350</v>
      </c>
      <c r="J427" s="8" t="s">
        <v>29</v>
      </c>
      <c r="K427" s="8"/>
      <c r="L427" s="8"/>
      <c r="M427" s="8"/>
      <c r="N427" s="8"/>
      <c r="O427" s="8"/>
      <c r="P427" s="8"/>
      <c r="Q427" s="8"/>
      <c r="R427" s="8"/>
      <c r="S427" s="8"/>
      <c r="T427" s="8"/>
      <c r="U427" s="8"/>
      <c r="V427" s="8"/>
      <c r="W427" s="8"/>
      <c r="X427" s="8"/>
      <c r="Y427" s="8"/>
      <c r="Z427" s="8"/>
    </row>
    <row r="428" ht="14.25" customHeight="1">
      <c r="A428" s="8">
        <v>24346.0</v>
      </c>
      <c r="B428" s="8" t="s">
        <v>24</v>
      </c>
      <c r="C428" s="8" t="s">
        <v>1351</v>
      </c>
      <c r="D428" s="8">
        <v>2015.0</v>
      </c>
      <c r="E428" s="8" t="s">
        <v>1352</v>
      </c>
      <c r="F428" s="8" t="s">
        <v>60</v>
      </c>
      <c r="G428" s="8">
        <v>29.0</v>
      </c>
      <c r="H428" s="8">
        <v>6.0</v>
      </c>
      <c r="I428" s="8" t="s">
        <v>1353</v>
      </c>
      <c r="J428" s="8" t="s">
        <v>29</v>
      </c>
      <c r="K428" s="8"/>
      <c r="L428" s="8"/>
      <c r="M428" s="8"/>
      <c r="N428" s="8"/>
      <c r="O428" s="8"/>
      <c r="P428" s="8"/>
      <c r="Q428" s="8"/>
      <c r="R428" s="8"/>
      <c r="S428" s="8"/>
      <c r="T428" s="8"/>
      <c r="U428" s="8"/>
      <c r="V428" s="8"/>
      <c r="W428" s="8"/>
      <c r="X428" s="8"/>
      <c r="Y428" s="8"/>
      <c r="Z428" s="8"/>
    </row>
    <row r="429" ht="14.25" customHeight="1">
      <c r="A429" s="8">
        <v>25071.0</v>
      </c>
      <c r="B429" s="8" t="s">
        <v>24</v>
      </c>
      <c r="C429" s="8" t="s">
        <v>1354</v>
      </c>
      <c r="D429" s="8">
        <v>2014.0</v>
      </c>
      <c r="E429" s="8" t="s">
        <v>1355</v>
      </c>
      <c r="F429" s="8" t="s">
        <v>36</v>
      </c>
      <c r="G429" s="8">
        <v>9.0</v>
      </c>
      <c r="H429" s="8">
        <v>11.0</v>
      </c>
      <c r="I429" s="8" t="s">
        <v>33</v>
      </c>
      <c r="J429" s="8" t="s">
        <v>29</v>
      </c>
      <c r="K429" s="8"/>
      <c r="L429" s="8"/>
      <c r="M429" s="8"/>
      <c r="N429" s="8"/>
      <c r="O429" s="8"/>
      <c r="P429" s="8"/>
      <c r="Q429" s="8"/>
      <c r="R429" s="8"/>
      <c r="S429" s="8"/>
      <c r="T429" s="8"/>
      <c r="U429" s="8"/>
      <c r="V429" s="8"/>
      <c r="W429" s="8"/>
      <c r="X429" s="8"/>
      <c r="Y429" s="8"/>
      <c r="Z429" s="8"/>
    </row>
    <row r="430" ht="14.25" customHeight="1">
      <c r="A430" s="8">
        <v>24108.0</v>
      </c>
      <c r="B430" s="8" t="s">
        <v>24</v>
      </c>
      <c r="C430" s="8" t="s">
        <v>1356</v>
      </c>
      <c r="D430" s="8">
        <v>2020.0</v>
      </c>
      <c r="E430" s="8" t="s">
        <v>1357</v>
      </c>
      <c r="F430" s="8" t="s">
        <v>260</v>
      </c>
      <c r="G430" s="8">
        <v>11.0</v>
      </c>
      <c r="H430" s="8">
        <v>1.0</v>
      </c>
      <c r="I430" s="8" t="s">
        <v>33</v>
      </c>
      <c r="J430" s="8" t="s">
        <v>29</v>
      </c>
      <c r="K430" s="8"/>
      <c r="L430" s="8"/>
      <c r="M430" s="8"/>
      <c r="N430" s="8"/>
      <c r="O430" s="8"/>
      <c r="P430" s="8"/>
      <c r="Q430" s="8"/>
      <c r="R430" s="8"/>
      <c r="S430" s="8"/>
      <c r="T430" s="8"/>
      <c r="U430" s="8"/>
      <c r="V430" s="8"/>
      <c r="W430" s="8"/>
      <c r="X430" s="8"/>
      <c r="Y430" s="8"/>
      <c r="Z430" s="8"/>
    </row>
    <row r="431" ht="14.25" customHeight="1">
      <c r="A431" s="8">
        <v>24126.0</v>
      </c>
      <c r="B431" s="8" t="s">
        <v>24</v>
      </c>
      <c r="C431" s="8" t="s">
        <v>115</v>
      </c>
      <c r="D431" s="8">
        <v>2009.0</v>
      </c>
      <c r="E431" s="8" t="s">
        <v>1358</v>
      </c>
      <c r="F431" s="8" t="s">
        <v>386</v>
      </c>
      <c r="G431" s="8">
        <v>2.0</v>
      </c>
      <c r="H431" s="8">
        <v>4.0</v>
      </c>
      <c r="I431" s="8" t="s">
        <v>1359</v>
      </c>
      <c r="J431" s="8" t="s">
        <v>29</v>
      </c>
      <c r="K431" s="8"/>
      <c r="L431" s="8"/>
      <c r="M431" s="8"/>
      <c r="N431" s="8"/>
      <c r="O431" s="8"/>
      <c r="P431" s="8"/>
      <c r="Q431" s="8"/>
      <c r="R431" s="8"/>
      <c r="S431" s="8"/>
      <c r="T431" s="8"/>
      <c r="U431" s="8"/>
      <c r="V431" s="8"/>
      <c r="W431" s="8"/>
      <c r="X431" s="8"/>
      <c r="Y431" s="8"/>
      <c r="Z431" s="8"/>
    </row>
    <row r="432" ht="14.25" customHeight="1">
      <c r="A432" s="8">
        <v>25247.0</v>
      </c>
      <c r="B432" s="8" t="s">
        <v>24</v>
      </c>
      <c r="C432" s="8" t="s">
        <v>1360</v>
      </c>
      <c r="D432" s="8">
        <v>2019.0</v>
      </c>
      <c r="E432" s="8" t="s">
        <v>1361</v>
      </c>
      <c r="F432" s="8" t="s">
        <v>1362</v>
      </c>
      <c r="G432" s="8">
        <v>572.0</v>
      </c>
      <c r="H432" s="8">
        <v>7770.0</v>
      </c>
      <c r="I432" s="8" t="s">
        <v>1363</v>
      </c>
      <c r="J432" s="8" t="s">
        <v>29</v>
      </c>
      <c r="K432" s="8"/>
      <c r="L432" s="8"/>
      <c r="M432" s="8"/>
      <c r="N432" s="8"/>
      <c r="O432" s="8"/>
      <c r="P432" s="8"/>
      <c r="Q432" s="8"/>
      <c r="R432" s="8"/>
      <c r="S432" s="8"/>
      <c r="T432" s="8"/>
      <c r="U432" s="8"/>
      <c r="V432" s="8"/>
      <c r="W432" s="8"/>
      <c r="X432" s="8"/>
      <c r="Y432" s="8"/>
      <c r="Z432" s="8"/>
    </row>
    <row r="433" ht="14.25" customHeight="1">
      <c r="A433" s="8">
        <v>24718.0</v>
      </c>
      <c r="B433" s="8" t="s">
        <v>24</v>
      </c>
      <c r="C433" s="8" t="s">
        <v>1364</v>
      </c>
      <c r="D433" s="8">
        <v>2018.0</v>
      </c>
      <c r="E433" s="8" t="s">
        <v>1365</v>
      </c>
      <c r="F433" s="8" t="s">
        <v>1207</v>
      </c>
      <c r="G433" s="8">
        <v>156.0</v>
      </c>
      <c r="H433" s="8" t="s">
        <v>33</v>
      </c>
      <c r="I433" s="8" t="s">
        <v>1366</v>
      </c>
      <c r="J433" s="8" t="s">
        <v>29</v>
      </c>
      <c r="K433" s="8"/>
      <c r="L433" s="8"/>
      <c r="M433" s="8"/>
      <c r="N433" s="8"/>
      <c r="O433" s="8"/>
      <c r="P433" s="8"/>
      <c r="Q433" s="8"/>
      <c r="R433" s="8"/>
      <c r="S433" s="8"/>
      <c r="T433" s="8"/>
      <c r="U433" s="8"/>
      <c r="V433" s="8"/>
      <c r="W433" s="8"/>
      <c r="X433" s="8"/>
      <c r="Y433" s="8"/>
      <c r="Z433" s="8"/>
    </row>
    <row r="434" ht="14.25" customHeight="1">
      <c r="A434" s="8">
        <v>25936.0</v>
      </c>
      <c r="B434" s="8" t="s">
        <v>24</v>
      </c>
      <c r="C434" s="8" t="s">
        <v>1367</v>
      </c>
      <c r="D434" s="8">
        <v>2010.0</v>
      </c>
      <c r="E434" s="8" t="s">
        <v>1368</v>
      </c>
      <c r="F434" s="8" t="s">
        <v>1362</v>
      </c>
      <c r="G434" s="8">
        <v>467.0</v>
      </c>
      <c r="H434" s="8">
        <v>7315.0</v>
      </c>
      <c r="I434" s="8" t="s">
        <v>1369</v>
      </c>
      <c r="J434" s="8" t="s">
        <v>29</v>
      </c>
      <c r="K434" s="8"/>
      <c r="L434" s="8"/>
      <c r="M434" s="8"/>
      <c r="N434" s="8"/>
      <c r="O434" s="8"/>
      <c r="P434" s="8"/>
      <c r="Q434" s="8"/>
      <c r="R434" s="8"/>
      <c r="S434" s="8"/>
      <c r="T434" s="8"/>
      <c r="U434" s="8"/>
      <c r="V434" s="8"/>
      <c r="W434" s="8"/>
      <c r="X434" s="8"/>
      <c r="Y434" s="8"/>
      <c r="Z434" s="8"/>
    </row>
    <row r="435" ht="14.25" customHeight="1">
      <c r="A435" s="8">
        <v>25908.0</v>
      </c>
      <c r="B435" s="8" t="s">
        <v>24</v>
      </c>
      <c r="C435" s="8" t="s">
        <v>1370</v>
      </c>
      <c r="D435" s="8">
        <v>2020.0</v>
      </c>
      <c r="E435" s="8" t="s">
        <v>1371</v>
      </c>
      <c r="F435" s="8" t="s">
        <v>552</v>
      </c>
      <c r="G435" s="8">
        <v>26.0</v>
      </c>
      <c r="H435" s="8">
        <v>8.0</v>
      </c>
      <c r="I435" s="8" t="s">
        <v>1372</v>
      </c>
      <c r="J435" s="8" t="s">
        <v>29</v>
      </c>
      <c r="K435" s="8"/>
      <c r="L435" s="8"/>
      <c r="M435" s="8"/>
      <c r="N435" s="8"/>
      <c r="O435" s="8"/>
      <c r="P435" s="8"/>
      <c r="Q435" s="8"/>
      <c r="R435" s="8"/>
      <c r="S435" s="8"/>
      <c r="T435" s="8"/>
      <c r="U435" s="8"/>
      <c r="V435" s="8"/>
      <c r="W435" s="8"/>
      <c r="X435" s="8"/>
      <c r="Y435" s="8"/>
      <c r="Z435" s="8"/>
    </row>
    <row r="436" ht="14.25" customHeight="1">
      <c r="A436" s="8">
        <v>24381.0</v>
      </c>
      <c r="B436" s="8" t="s">
        <v>24</v>
      </c>
      <c r="C436" s="8" t="s">
        <v>1373</v>
      </c>
      <c r="D436" s="8">
        <v>2014.0</v>
      </c>
      <c r="E436" s="8" t="s">
        <v>1374</v>
      </c>
      <c r="F436" s="8" t="s">
        <v>1268</v>
      </c>
      <c r="G436" s="8">
        <v>281.0</v>
      </c>
      <c r="H436" s="8">
        <v>1789.0</v>
      </c>
      <c r="I436" s="8" t="s">
        <v>33</v>
      </c>
      <c r="J436" s="8" t="s">
        <v>29</v>
      </c>
      <c r="K436" s="8"/>
      <c r="L436" s="8"/>
      <c r="M436" s="8"/>
      <c r="N436" s="8"/>
      <c r="O436" s="8"/>
      <c r="P436" s="8"/>
      <c r="Q436" s="8"/>
      <c r="R436" s="8"/>
      <c r="S436" s="8"/>
      <c r="T436" s="8"/>
      <c r="U436" s="8"/>
      <c r="V436" s="8"/>
      <c r="W436" s="8"/>
      <c r="X436" s="8"/>
      <c r="Y436" s="8"/>
      <c r="Z436" s="8"/>
    </row>
    <row r="437" ht="14.25" customHeight="1">
      <c r="A437" s="8">
        <v>23074.0</v>
      </c>
      <c r="B437" s="8" t="s">
        <v>24</v>
      </c>
      <c r="C437" s="8" t="s">
        <v>1375</v>
      </c>
      <c r="D437" s="8">
        <v>2012.0</v>
      </c>
      <c r="E437" s="8" t="s">
        <v>1376</v>
      </c>
      <c r="F437" s="8" t="s">
        <v>552</v>
      </c>
      <c r="G437" s="8">
        <v>18.0</v>
      </c>
      <c r="H437" s="8">
        <v>5.0</v>
      </c>
      <c r="I437" s="8" t="s">
        <v>1377</v>
      </c>
      <c r="J437" s="8" t="s">
        <v>29</v>
      </c>
      <c r="K437" s="8"/>
      <c r="L437" s="8"/>
      <c r="M437" s="8"/>
      <c r="N437" s="8"/>
      <c r="O437" s="8"/>
      <c r="P437" s="8"/>
      <c r="Q437" s="8"/>
      <c r="R437" s="8"/>
      <c r="S437" s="8"/>
      <c r="T437" s="8"/>
      <c r="U437" s="8"/>
      <c r="V437" s="8"/>
      <c r="W437" s="8"/>
      <c r="X437" s="8"/>
      <c r="Y437" s="8"/>
      <c r="Z437" s="8"/>
    </row>
    <row r="438" ht="14.25" customHeight="1">
      <c r="A438" s="8">
        <v>25944.0</v>
      </c>
      <c r="B438" s="8" t="s">
        <v>24</v>
      </c>
      <c r="C438" s="8" t="s">
        <v>1378</v>
      </c>
      <c r="D438" s="8">
        <v>2019.0</v>
      </c>
      <c r="E438" s="8" t="s">
        <v>1379</v>
      </c>
      <c r="F438" s="8" t="s">
        <v>1380</v>
      </c>
      <c r="G438" s="8">
        <v>11.0</v>
      </c>
      <c r="H438" s="8">
        <v>10.0</v>
      </c>
      <c r="I438" s="8" t="s">
        <v>33</v>
      </c>
      <c r="J438" s="8" t="s">
        <v>29</v>
      </c>
      <c r="K438" s="8"/>
      <c r="L438" s="8"/>
      <c r="M438" s="8"/>
      <c r="N438" s="8"/>
      <c r="O438" s="8"/>
      <c r="P438" s="8"/>
      <c r="Q438" s="8"/>
      <c r="R438" s="8"/>
      <c r="S438" s="8"/>
      <c r="T438" s="8"/>
      <c r="U438" s="8"/>
      <c r="V438" s="8"/>
      <c r="W438" s="8"/>
      <c r="X438" s="8"/>
      <c r="Y438" s="8"/>
      <c r="Z438" s="8"/>
    </row>
    <row r="439" ht="14.25" customHeight="1">
      <c r="A439" s="8" t="s">
        <v>1381</v>
      </c>
      <c r="B439" s="8" t="s">
        <v>24</v>
      </c>
      <c r="C439" s="8" t="s">
        <v>1382</v>
      </c>
      <c r="D439" s="8">
        <v>2018.0</v>
      </c>
      <c r="E439" s="8" t="s">
        <v>1383</v>
      </c>
      <c r="F439" s="8" t="s">
        <v>1384</v>
      </c>
      <c r="G439" s="8">
        <v>115.0</v>
      </c>
      <c r="H439" s="8">
        <v>27.0</v>
      </c>
      <c r="I439" s="8" t="s">
        <v>1385</v>
      </c>
      <c r="J439" s="8" t="s">
        <v>320</v>
      </c>
      <c r="K439" s="8"/>
      <c r="L439" s="8"/>
      <c r="M439" s="8"/>
      <c r="N439" s="8"/>
      <c r="O439" s="8"/>
      <c r="P439" s="8"/>
      <c r="Q439" s="8"/>
      <c r="R439" s="8"/>
      <c r="S439" s="8"/>
      <c r="T439" s="8"/>
      <c r="U439" s="8"/>
      <c r="V439" s="8"/>
      <c r="W439" s="8"/>
      <c r="X439" s="8"/>
      <c r="Y439" s="8"/>
      <c r="Z439" s="8"/>
    </row>
    <row r="440" ht="14.25" customHeight="1">
      <c r="A440" s="8">
        <v>24395.0</v>
      </c>
      <c r="B440" s="8" t="s">
        <v>24</v>
      </c>
      <c r="C440" s="8" t="s">
        <v>1386</v>
      </c>
      <c r="D440" s="8">
        <v>2019.0</v>
      </c>
      <c r="E440" s="8" t="s">
        <v>1387</v>
      </c>
      <c r="F440" s="8" t="s">
        <v>174</v>
      </c>
      <c r="G440" s="8">
        <v>2019.0</v>
      </c>
      <c r="H440" s="8">
        <v>8.0</v>
      </c>
      <c r="I440" s="8" t="s">
        <v>33</v>
      </c>
      <c r="J440" s="8" t="s">
        <v>29</v>
      </c>
      <c r="K440" s="8"/>
      <c r="L440" s="8"/>
      <c r="M440" s="8"/>
      <c r="N440" s="8"/>
      <c r="O440" s="8"/>
      <c r="P440" s="8"/>
      <c r="Q440" s="8"/>
      <c r="R440" s="8"/>
      <c r="S440" s="8"/>
      <c r="T440" s="8"/>
      <c r="U440" s="8"/>
      <c r="V440" s="8"/>
      <c r="W440" s="8"/>
      <c r="X440" s="8"/>
      <c r="Y440" s="8"/>
      <c r="Z440" s="8"/>
    </row>
    <row r="441" ht="14.25" customHeight="1">
      <c r="A441" s="8">
        <v>25223.0</v>
      </c>
      <c r="B441" s="8" t="s">
        <v>24</v>
      </c>
      <c r="C441" s="8" t="s">
        <v>1388</v>
      </c>
      <c r="D441" s="8">
        <v>2015.0</v>
      </c>
      <c r="E441" s="8" t="s">
        <v>1389</v>
      </c>
      <c r="F441" s="8" t="s">
        <v>343</v>
      </c>
      <c r="G441" s="8">
        <v>79.0</v>
      </c>
      <c r="H441" s="8">
        <v>4.0</v>
      </c>
      <c r="I441" s="8" t="s">
        <v>1390</v>
      </c>
      <c r="J441" s="8" t="s">
        <v>29</v>
      </c>
      <c r="K441" s="8"/>
      <c r="L441" s="8"/>
      <c r="M441" s="8"/>
      <c r="N441" s="8"/>
      <c r="O441" s="8"/>
      <c r="P441" s="8"/>
      <c r="Q441" s="8"/>
      <c r="R441" s="8"/>
      <c r="S441" s="8"/>
      <c r="T441" s="8"/>
      <c r="U441" s="8"/>
      <c r="V441" s="8"/>
      <c r="W441" s="8"/>
      <c r="X441" s="8"/>
      <c r="Y441" s="8"/>
      <c r="Z441" s="8"/>
    </row>
    <row r="442" ht="14.25" customHeight="1">
      <c r="A442" s="8">
        <v>25470.0</v>
      </c>
      <c r="B442" s="8" t="s">
        <v>24</v>
      </c>
      <c r="C442" s="8" t="s">
        <v>1391</v>
      </c>
      <c r="D442" s="8">
        <v>2020.0</v>
      </c>
      <c r="E442" s="8" t="s">
        <v>1392</v>
      </c>
      <c r="F442" s="8" t="s">
        <v>260</v>
      </c>
      <c r="G442" s="8">
        <v>11.0</v>
      </c>
      <c r="H442" s="8">
        <v>1.0</v>
      </c>
      <c r="I442" s="8" t="s">
        <v>33</v>
      </c>
      <c r="J442" s="8" t="s">
        <v>29</v>
      </c>
      <c r="K442" s="8"/>
      <c r="L442" s="8"/>
      <c r="M442" s="8"/>
      <c r="N442" s="8"/>
      <c r="O442" s="8"/>
      <c r="P442" s="8"/>
      <c r="Q442" s="8"/>
      <c r="R442" s="8"/>
      <c r="S442" s="8"/>
      <c r="T442" s="8"/>
      <c r="U442" s="8"/>
      <c r="V442" s="8"/>
      <c r="W442" s="8"/>
      <c r="X442" s="8"/>
      <c r="Y442" s="8"/>
      <c r="Z442" s="8"/>
    </row>
    <row r="443" ht="14.25" customHeight="1">
      <c r="A443" s="8">
        <v>25416.0</v>
      </c>
      <c r="B443" s="8" t="s">
        <v>24</v>
      </c>
      <c r="C443" s="8" t="s">
        <v>1393</v>
      </c>
      <c r="D443" s="8">
        <v>2019.0</v>
      </c>
      <c r="E443" s="8" t="s">
        <v>1394</v>
      </c>
      <c r="F443" s="8" t="s">
        <v>97</v>
      </c>
      <c r="G443" s="8">
        <v>25.0</v>
      </c>
      <c r="H443" s="8">
        <v>2.0</v>
      </c>
      <c r="I443" s="8" t="s">
        <v>1395</v>
      </c>
      <c r="J443" s="8" t="s">
        <v>29</v>
      </c>
      <c r="K443" s="8"/>
      <c r="L443" s="8"/>
      <c r="M443" s="8"/>
      <c r="N443" s="8"/>
      <c r="O443" s="8"/>
      <c r="P443" s="8"/>
      <c r="Q443" s="8"/>
      <c r="R443" s="8"/>
      <c r="S443" s="8"/>
      <c r="T443" s="8"/>
      <c r="U443" s="8"/>
      <c r="V443" s="8"/>
      <c r="W443" s="8"/>
      <c r="X443" s="8"/>
      <c r="Y443" s="8"/>
      <c r="Z443" s="8"/>
    </row>
    <row r="444" ht="14.25" customHeight="1">
      <c r="A444" s="8">
        <v>26067.0</v>
      </c>
      <c r="B444" s="8" t="s">
        <v>24</v>
      </c>
      <c r="C444" s="8" t="s">
        <v>1396</v>
      </c>
      <c r="D444" s="8">
        <v>2017.0</v>
      </c>
      <c r="E444" s="8" t="s">
        <v>1397</v>
      </c>
      <c r="F444" s="8" t="s">
        <v>36</v>
      </c>
      <c r="G444" s="8">
        <v>12.0</v>
      </c>
      <c r="H444" s="8">
        <v>12.0</v>
      </c>
      <c r="I444" s="8" t="s">
        <v>33</v>
      </c>
      <c r="J444" s="8" t="s">
        <v>29</v>
      </c>
      <c r="K444" s="8"/>
      <c r="L444" s="8"/>
      <c r="M444" s="8"/>
      <c r="N444" s="8"/>
      <c r="O444" s="8"/>
      <c r="P444" s="8"/>
      <c r="Q444" s="8"/>
      <c r="R444" s="8"/>
      <c r="S444" s="8"/>
      <c r="T444" s="8"/>
      <c r="U444" s="8"/>
      <c r="V444" s="8"/>
      <c r="W444" s="8"/>
      <c r="X444" s="8"/>
      <c r="Y444" s="8"/>
      <c r="Z444" s="8"/>
    </row>
    <row r="445" ht="14.25" customHeight="1">
      <c r="A445" s="8">
        <v>24053.0</v>
      </c>
      <c r="B445" s="8" t="s">
        <v>24</v>
      </c>
      <c r="C445" s="8" t="s">
        <v>1398</v>
      </c>
      <c r="D445" s="8">
        <v>2014.0</v>
      </c>
      <c r="E445" s="8" t="s">
        <v>1399</v>
      </c>
      <c r="F445" s="8" t="s">
        <v>1400</v>
      </c>
      <c r="G445" s="8">
        <v>95.0</v>
      </c>
      <c r="H445" s="8">
        <v>4.0</v>
      </c>
      <c r="I445" s="8" t="s">
        <v>1401</v>
      </c>
      <c r="J445" s="8" t="s">
        <v>29</v>
      </c>
      <c r="K445" s="8"/>
      <c r="L445" s="8"/>
      <c r="M445" s="8"/>
      <c r="N445" s="8"/>
      <c r="O445" s="8"/>
      <c r="P445" s="8"/>
      <c r="Q445" s="8"/>
      <c r="R445" s="8"/>
      <c r="S445" s="8"/>
      <c r="T445" s="8"/>
      <c r="U445" s="8"/>
      <c r="V445" s="8"/>
      <c r="W445" s="8"/>
      <c r="X445" s="8"/>
      <c r="Y445" s="8"/>
      <c r="Z445" s="8"/>
    </row>
    <row r="446" ht="14.25" customHeight="1">
      <c r="A446" s="8">
        <v>25369.0</v>
      </c>
      <c r="B446" s="8" t="s">
        <v>24</v>
      </c>
      <c r="C446" s="8" t="s">
        <v>1402</v>
      </c>
      <c r="D446" s="8">
        <v>2018.0</v>
      </c>
      <c r="E446" s="8" t="s">
        <v>1403</v>
      </c>
      <c r="F446" s="8" t="s">
        <v>1404</v>
      </c>
      <c r="G446" s="8">
        <v>10.0</v>
      </c>
      <c r="H446" s="8">
        <v>8.0</v>
      </c>
      <c r="I446" s="8" t="s">
        <v>1405</v>
      </c>
      <c r="J446" s="8" t="s">
        <v>29</v>
      </c>
      <c r="K446" s="8"/>
      <c r="L446" s="8"/>
      <c r="M446" s="8"/>
      <c r="N446" s="8"/>
      <c r="O446" s="8"/>
      <c r="P446" s="8"/>
      <c r="Q446" s="8"/>
      <c r="R446" s="8"/>
      <c r="S446" s="8"/>
      <c r="T446" s="8"/>
      <c r="U446" s="8"/>
      <c r="V446" s="8"/>
      <c r="W446" s="8"/>
      <c r="X446" s="8"/>
      <c r="Y446" s="8"/>
      <c r="Z446" s="8"/>
    </row>
    <row r="447" ht="14.25" customHeight="1">
      <c r="A447" s="8">
        <v>23856.0</v>
      </c>
      <c r="B447" s="8" t="s">
        <v>24</v>
      </c>
      <c r="C447" s="8" t="s">
        <v>1406</v>
      </c>
      <c r="D447" s="8">
        <v>2019.0</v>
      </c>
      <c r="E447" s="8" t="s">
        <v>1407</v>
      </c>
      <c r="F447" s="8" t="s">
        <v>365</v>
      </c>
      <c r="G447" s="8">
        <v>65.0</v>
      </c>
      <c r="H447" s="8">
        <v>1.0</v>
      </c>
      <c r="I447" s="8">
        <v>10.0</v>
      </c>
      <c r="J447" s="8" t="s">
        <v>29</v>
      </c>
      <c r="K447" s="8"/>
      <c r="L447" s="8"/>
      <c r="M447" s="8"/>
      <c r="N447" s="8"/>
      <c r="O447" s="8"/>
      <c r="P447" s="8"/>
      <c r="Q447" s="8"/>
      <c r="R447" s="8"/>
      <c r="S447" s="8"/>
      <c r="T447" s="8"/>
      <c r="U447" s="8"/>
      <c r="V447" s="8"/>
      <c r="W447" s="8"/>
      <c r="X447" s="8"/>
      <c r="Y447" s="8"/>
      <c r="Z447" s="8"/>
    </row>
    <row r="448" ht="14.25" customHeight="1">
      <c r="A448" s="8">
        <v>25419.0</v>
      </c>
      <c r="B448" s="8" t="s">
        <v>24</v>
      </c>
      <c r="C448" s="8" t="s">
        <v>1408</v>
      </c>
      <c r="D448" s="8">
        <v>2019.0</v>
      </c>
      <c r="E448" s="8" t="s">
        <v>1409</v>
      </c>
      <c r="F448" s="8" t="s">
        <v>1410</v>
      </c>
      <c r="G448" s="8">
        <v>6.0</v>
      </c>
      <c r="H448" s="8" t="s">
        <v>1411</v>
      </c>
      <c r="I448" s="8" t="s">
        <v>33</v>
      </c>
      <c r="J448" s="8" t="s">
        <v>29</v>
      </c>
      <c r="K448" s="8"/>
      <c r="L448" s="8"/>
      <c r="M448" s="8"/>
      <c r="N448" s="8"/>
      <c r="O448" s="8"/>
      <c r="P448" s="8"/>
      <c r="Q448" s="8"/>
      <c r="R448" s="8"/>
      <c r="S448" s="8"/>
      <c r="T448" s="8"/>
      <c r="U448" s="8"/>
      <c r="V448" s="8"/>
      <c r="W448" s="8"/>
      <c r="X448" s="8"/>
      <c r="Y448" s="8"/>
      <c r="Z448" s="8"/>
    </row>
    <row r="449" ht="14.25" customHeight="1">
      <c r="A449" s="8">
        <v>25513.0</v>
      </c>
      <c r="B449" s="8" t="s">
        <v>24</v>
      </c>
      <c r="C449" s="8" t="s">
        <v>1412</v>
      </c>
      <c r="D449" s="8">
        <v>2010.0</v>
      </c>
      <c r="E449" s="8" t="s">
        <v>1413</v>
      </c>
      <c r="F449" s="8" t="s">
        <v>343</v>
      </c>
      <c r="G449" s="8">
        <v>74.0</v>
      </c>
      <c r="H449" s="8">
        <v>4.0</v>
      </c>
      <c r="I449" s="8" t="s">
        <v>1414</v>
      </c>
      <c r="J449" s="8" t="s">
        <v>29</v>
      </c>
      <c r="K449" s="8"/>
      <c r="L449" s="8"/>
      <c r="M449" s="8"/>
      <c r="N449" s="8"/>
      <c r="O449" s="8"/>
      <c r="P449" s="8"/>
      <c r="Q449" s="8"/>
      <c r="R449" s="8"/>
      <c r="S449" s="8"/>
      <c r="T449" s="8"/>
      <c r="U449" s="8"/>
      <c r="V449" s="8"/>
      <c r="W449" s="8"/>
      <c r="X449" s="8"/>
      <c r="Y449" s="8"/>
      <c r="Z449" s="8"/>
    </row>
    <row r="450" ht="14.25" customHeight="1">
      <c r="A450" s="8">
        <v>23701.0</v>
      </c>
      <c r="B450" s="8" t="s">
        <v>24</v>
      </c>
      <c r="C450" s="8" t="s">
        <v>248</v>
      </c>
      <c r="D450" s="8">
        <v>2020.0</v>
      </c>
      <c r="E450" s="8" t="s">
        <v>1415</v>
      </c>
      <c r="F450" s="8" t="s">
        <v>1404</v>
      </c>
      <c r="G450" s="8">
        <v>12.0</v>
      </c>
      <c r="H450" s="8">
        <v>4.0</v>
      </c>
      <c r="I450" s="8" t="s">
        <v>1416</v>
      </c>
      <c r="J450" s="8" t="s">
        <v>29</v>
      </c>
      <c r="K450" s="8"/>
      <c r="L450" s="8"/>
      <c r="M450" s="8"/>
      <c r="N450" s="8"/>
      <c r="O450" s="8"/>
      <c r="P450" s="8"/>
      <c r="Q450" s="8"/>
      <c r="R450" s="8"/>
      <c r="S450" s="8"/>
      <c r="T450" s="8"/>
      <c r="U450" s="8"/>
      <c r="V450" s="8"/>
      <c r="W450" s="8"/>
      <c r="X450" s="8"/>
      <c r="Y450" s="8"/>
      <c r="Z450" s="8"/>
    </row>
    <row r="451" ht="14.25" customHeight="1">
      <c r="A451" s="8">
        <v>24648.0</v>
      </c>
      <c r="B451" s="8" t="s">
        <v>24</v>
      </c>
      <c r="C451" s="8" t="s">
        <v>1417</v>
      </c>
      <c r="D451" s="8">
        <v>2016.0</v>
      </c>
      <c r="E451" s="8" t="s">
        <v>1418</v>
      </c>
      <c r="F451" s="8" t="s">
        <v>1419</v>
      </c>
      <c r="G451" s="8">
        <v>6.0</v>
      </c>
      <c r="H451" s="8">
        <v>18.0</v>
      </c>
      <c r="I451" s="8" t="s">
        <v>1420</v>
      </c>
      <c r="J451" s="8" t="s">
        <v>29</v>
      </c>
      <c r="K451" s="8"/>
      <c r="L451" s="8"/>
      <c r="M451" s="8"/>
      <c r="N451" s="8"/>
      <c r="O451" s="8"/>
      <c r="P451" s="8"/>
      <c r="Q451" s="8"/>
      <c r="R451" s="8"/>
      <c r="S451" s="8"/>
      <c r="T451" s="8"/>
      <c r="U451" s="8"/>
      <c r="V451" s="8"/>
      <c r="W451" s="8"/>
      <c r="X451" s="8"/>
      <c r="Y451" s="8"/>
      <c r="Z451" s="8"/>
    </row>
    <row r="452" ht="14.25" customHeight="1">
      <c r="A452" s="8">
        <v>23412.0</v>
      </c>
      <c r="B452" s="8" t="s">
        <v>24</v>
      </c>
      <c r="C452" s="8" t="s">
        <v>1421</v>
      </c>
      <c r="D452" s="8">
        <v>2012.0</v>
      </c>
      <c r="E452" s="8" t="s">
        <v>1422</v>
      </c>
      <c r="F452" s="8" t="s">
        <v>36</v>
      </c>
      <c r="G452" s="8">
        <v>7.0</v>
      </c>
      <c r="H452" s="8">
        <v>5.0</v>
      </c>
      <c r="I452" s="8" t="s">
        <v>33</v>
      </c>
      <c r="J452" s="8" t="s">
        <v>29</v>
      </c>
      <c r="K452" s="8"/>
      <c r="L452" s="8"/>
      <c r="M452" s="8"/>
      <c r="N452" s="8"/>
      <c r="O452" s="8"/>
      <c r="P452" s="8"/>
      <c r="Q452" s="8"/>
      <c r="R452" s="8"/>
      <c r="S452" s="8"/>
      <c r="T452" s="8"/>
      <c r="U452" s="8"/>
      <c r="V452" s="8"/>
      <c r="W452" s="8"/>
      <c r="X452" s="8"/>
      <c r="Y452" s="8"/>
      <c r="Z452" s="8"/>
    </row>
    <row r="453" ht="14.25" customHeight="1">
      <c r="A453" s="8">
        <v>24677.0</v>
      </c>
      <c r="B453" s="8" t="s">
        <v>24</v>
      </c>
      <c r="C453" s="8" t="s">
        <v>1423</v>
      </c>
      <c r="D453" s="8">
        <v>2019.0</v>
      </c>
      <c r="E453" s="8" t="s">
        <v>1424</v>
      </c>
      <c r="F453" s="8" t="s">
        <v>81</v>
      </c>
      <c r="G453" s="8">
        <v>143.0</v>
      </c>
      <c r="H453" s="8" t="s">
        <v>33</v>
      </c>
      <c r="I453" s="8" t="s">
        <v>1425</v>
      </c>
      <c r="J453" s="8" t="s">
        <v>29</v>
      </c>
      <c r="K453" s="8"/>
      <c r="L453" s="8"/>
      <c r="M453" s="8"/>
      <c r="N453" s="8"/>
      <c r="O453" s="8"/>
      <c r="P453" s="8"/>
      <c r="Q453" s="8"/>
      <c r="R453" s="8"/>
      <c r="S453" s="8"/>
      <c r="T453" s="8"/>
      <c r="U453" s="8"/>
      <c r="V453" s="8"/>
      <c r="W453" s="8"/>
      <c r="X453" s="8"/>
      <c r="Y453" s="8"/>
      <c r="Z453" s="8"/>
    </row>
    <row r="454" ht="14.25" customHeight="1">
      <c r="A454" s="8">
        <v>25127.0</v>
      </c>
      <c r="B454" s="8" t="s">
        <v>24</v>
      </c>
      <c r="C454" s="8" t="s">
        <v>1426</v>
      </c>
      <c r="D454" s="8">
        <v>2017.0</v>
      </c>
      <c r="E454" s="8" t="s">
        <v>1427</v>
      </c>
      <c r="F454" s="8" t="s">
        <v>36</v>
      </c>
      <c r="G454" s="8">
        <v>12.0</v>
      </c>
      <c r="H454" s="8">
        <v>1.0</v>
      </c>
      <c r="I454" s="8" t="s">
        <v>33</v>
      </c>
      <c r="J454" s="8" t="s">
        <v>29</v>
      </c>
      <c r="K454" s="8"/>
      <c r="L454" s="8"/>
      <c r="M454" s="8"/>
      <c r="N454" s="8"/>
      <c r="O454" s="8"/>
      <c r="P454" s="8"/>
      <c r="Q454" s="8"/>
      <c r="R454" s="8"/>
      <c r="S454" s="8"/>
      <c r="T454" s="8"/>
      <c r="U454" s="8"/>
      <c r="V454" s="8"/>
      <c r="W454" s="8"/>
      <c r="X454" s="8"/>
      <c r="Y454" s="8"/>
      <c r="Z454" s="8"/>
    </row>
    <row r="455" ht="14.25" customHeight="1">
      <c r="A455" s="8">
        <v>25591.0</v>
      </c>
      <c r="B455" s="8" t="s">
        <v>24</v>
      </c>
      <c r="C455" s="8" t="s">
        <v>197</v>
      </c>
      <c r="D455" s="8">
        <v>2020.0</v>
      </c>
      <c r="E455" s="8" t="s">
        <v>1428</v>
      </c>
      <c r="F455" s="8" t="s">
        <v>1058</v>
      </c>
      <c r="G455" s="8">
        <v>23.0</v>
      </c>
      <c r="H455" s="8">
        <v>4.0</v>
      </c>
      <c r="I455" s="8" t="s">
        <v>1429</v>
      </c>
      <c r="J455" s="8" t="s">
        <v>29</v>
      </c>
      <c r="K455" s="8"/>
      <c r="L455" s="8"/>
      <c r="M455" s="8"/>
      <c r="N455" s="8"/>
      <c r="O455" s="8"/>
      <c r="P455" s="8"/>
      <c r="Q455" s="8"/>
      <c r="R455" s="8"/>
      <c r="S455" s="8"/>
      <c r="T455" s="8"/>
      <c r="U455" s="8"/>
      <c r="V455" s="8"/>
      <c r="W455" s="8"/>
      <c r="X455" s="8"/>
      <c r="Y455" s="8"/>
      <c r="Z455" s="8"/>
    </row>
    <row r="456" ht="14.25" customHeight="1">
      <c r="A456" s="8">
        <v>24446.0</v>
      </c>
      <c r="B456" s="8" t="s">
        <v>24</v>
      </c>
      <c r="C456" s="8" t="s">
        <v>1430</v>
      </c>
      <c r="D456" s="8">
        <v>2018.0</v>
      </c>
      <c r="E456" s="8" t="s">
        <v>1431</v>
      </c>
      <c r="F456" s="8" t="s">
        <v>174</v>
      </c>
      <c r="G456" s="8">
        <v>2018.0</v>
      </c>
      <c r="H456" s="8">
        <v>2.0</v>
      </c>
      <c r="I456" s="8" t="s">
        <v>33</v>
      </c>
      <c r="J456" s="8" t="s">
        <v>29</v>
      </c>
      <c r="K456" s="8"/>
      <c r="L456" s="8"/>
      <c r="M456" s="8"/>
      <c r="N456" s="8"/>
      <c r="O456" s="8"/>
      <c r="P456" s="8"/>
      <c r="Q456" s="8"/>
      <c r="R456" s="8"/>
      <c r="S456" s="8"/>
      <c r="T456" s="8"/>
      <c r="U456" s="8"/>
      <c r="V456" s="8"/>
      <c r="W456" s="8"/>
      <c r="X456" s="8"/>
      <c r="Y456" s="8"/>
      <c r="Z456" s="8"/>
    </row>
    <row r="457" ht="14.25" customHeight="1">
      <c r="A457" s="8">
        <v>23571.0</v>
      </c>
      <c r="B457" s="8" t="s">
        <v>24</v>
      </c>
      <c r="C457" s="8" t="s">
        <v>1432</v>
      </c>
      <c r="D457" s="8">
        <v>2006.0</v>
      </c>
      <c r="E457" s="8" t="s">
        <v>1433</v>
      </c>
      <c r="F457" s="8" t="s">
        <v>769</v>
      </c>
      <c r="G457" s="8">
        <v>16.0</v>
      </c>
      <c r="H457" s="8">
        <v>6.0</v>
      </c>
      <c r="I457" s="8" t="s">
        <v>1434</v>
      </c>
      <c r="J457" s="8" t="s">
        <v>29</v>
      </c>
      <c r="K457" s="8"/>
      <c r="L457" s="8"/>
      <c r="M457" s="8"/>
      <c r="N457" s="8"/>
      <c r="O457" s="8"/>
      <c r="P457" s="8"/>
      <c r="Q457" s="8"/>
      <c r="R457" s="8"/>
      <c r="S457" s="8"/>
      <c r="T457" s="8"/>
      <c r="U457" s="8"/>
      <c r="V457" s="8"/>
      <c r="W457" s="8"/>
      <c r="X457" s="8"/>
      <c r="Y457" s="8"/>
      <c r="Z457" s="8"/>
    </row>
    <row r="458" ht="14.25" customHeight="1">
      <c r="A458" s="8">
        <v>23331.0</v>
      </c>
      <c r="B458" s="8" t="s">
        <v>24</v>
      </c>
      <c r="C458" s="8" t="s">
        <v>1435</v>
      </c>
      <c r="D458" s="8">
        <v>2016.0</v>
      </c>
      <c r="E458" s="8" t="s">
        <v>1436</v>
      </c>
      <c r="F458" s="8" t="s">
        <v>64</v>
      </c>
      <c r="G458" s="8">
        <v>204.0</v>
      </c>
      <c r="H458" s="8" t="s">
        <v>33</v>
      </c>
      <c r="I458" s="8" t="s">
        <v>1437</v>
      </c>
      <c r="J458" s="8" t="s">
        <v>29</v>
      </c>
      <c r="K458" s="8"/>
      <c r="L458" s="8"/>
      <c r="M458" s="8"/>
      <c r="N458" s="8"/>
      <c r="O458" s="8"/>
      <c r="P458" s="8"/>
      <c r="Q458" s="8"/>
      <c r="R458" s="8"/>
      <c r="S458" s="8"/>
      <c r="T458" s="8"/>
      <c r="U458" s="8"/>
      <c r="V458" s="8"/>
      <c r="W458" s="8"/>
      <c r="X458" s="8"/>
      <c r="Y458" s="8"/>
      <c r="Z458" s="8"/>
    </row>
    <row r="459" ht="14.25" customHeight="1">
      <c r="A459" s="8">
        <v>23072.0</v>
      </c>
      <c r="B459" s="8" t="s">
        <v>24</v>
      </c>
      <c r="C459" s="8" t="s">
        <v>1438</v>
      </c>
      <c r="D459" s="8">
        <v>2019.0</v>
      </c>
      <c r="E459" s="8" t="s">
        <v>1439</v>
      </c>
      <c r="F459" s="8" t="s">
        <v>1222</v>
      </c>
      <c r="G459" s="8">
        <v>17.0</v>
      </c>
      <c r="H459" s="8">
        <v>3.0</v>
      </c>
      <c r="I459" s="8" t="s">
        <v>33</v>
      </c>
      <c r="J459" s="8" t="s">
        <v>29</v>
      </c>
      <c r="K459" s="8"/>
      <c r="L459" s="8"/>
      <c r="M459" s="8"/>
      <c r="N459" s="8"/>
      <c r="O459" s="8"/>
      <c r="P459" s="8"/>
      <c r="Q459" s="8"/>
      <c r="R459" s="8"/>
      <c r="S459" s="8"/>
      <c r="T459" s="8"/>
      <c r="U459" s="8"/>
      <c r="V459" s="8"/>
      <c r="W459" s="8"/>
      <c r="X459" s="8"/>
      <c r="Y459" s="8"/>
      <c r="Z459" s="8"/>
    </row>
    <row r="460" ht="14.25" customHeight="1">
      <c r="A460" s="8">
        <v>25080.0</v>
      </c>
      <c r="B460" s="8" t="s">
        <v>24</v>
      </c>
      <c r="C460" s="8" t="s">
        <v>1440</v>
      </c>
      <c r="D460" s="8">
        <v>2016.0</v>
      </c>
      <c r="E460" s="8" t="s">
        <v>1441</v>
      </c>
      <c r="F460" s="8" t="s">
        <v>400</v>
      </c>
      <c r="G460" s="8">
        <v>36.0</v>
      </c>
      <c r="H460" s="8">
        <v>5.0</v>
      </c>
      <c r="I460" s="8" t="s">
        <v>1442</v>
      </c>
      <c r="J460" s="8" t="s">
        <v>29</v>
      </c>
      <c r="K460" s="8"/>
      <c r="L460" s="8"/>
      <c r="M460" s="8"/>
      <c r="N460" s="8"/>
      <c r="O460" s="8"/>
      <c r="P460" s="8"/>
      <c r="Q460" s="8"/>
      <c r="R460" s="8"/>
      <c r="S460" s="8"/>
      <c r="T460" s="8"/>
      <c r="U460" s="8"/>
      <c r="V460" s="8"/>
      <c r="W460" s="8"/>
      <c r="X460" s="8"/>
      <c r="Y460" s="8"/>
      <c r="Z460" s="8"/>
    </row>
    <row r="461" ht="14.25" customHeight="1">
      <c r="A461" s="8">
        <v>25118.0</v>
      </c>
      <c r="B461" s="8" t="s">
        <v>24</v>
      </c>
      <c r="C461" s="8" t="s">
        <v>1443</v>
      </c>
      <c r="D461" s="8">
        <v>2020.0</v>
      </c>
      <c r="E461" s="8" t="s">
        <v>1444</v>
      </c>
      <c r="F461" s="8" t="s">
        <v>256</v>
      </c>
      <c r="G461" s="8">
        <v>198.0</v>
      </c>
      <c r="H461" s="8" t="s">
        <v>33</v>
      </c>
      <c r="I461" s="8" t="s">
        <v>33</v>
      </c>
      <c r="J461" s="8" t="s">
        <v>29</v>
      </c>
      <c r="K461" s="8"/>
      <c r="L461" s="8"/>
      <c r="M461" s="8"/>
      <c r="N461" s="8"/>
      <c r="O461" s="8"/>
      <c r="P461" s="8"/>
      <c r="Q461" s="8"/>
      <c r="R461" s="8"/>
      <c r="S461" s="8"/>
      <c r="T461" s="8"/>
      <c r="U461" s="8"/>
      <c r="V461" s="8"/>
      <c r="W461" s="8"/>
      <c r="X461" s="8"/>
      <c r="Y461" s="8"/>
      <c r="Z461" s="8"/>
    </row>
    <row r="462" ht="14.25" customHeight="1">
      <c r="A462" s="8">
        <v>23888.0</v>
      </c>
      <c r="B462" s="8" t="s">
        <v>24</v>
      </c>
      <c r="C462" s="8" t="s">
        <v>1445</v>
      </c>
      <c r="D462" s="8">
        <v>2017.0</v>
      </c>
      <c r="E462" s="8" t="s">
        <v>1446</v>
      </c>
      <c r="F462" s="8" t="s">
        <v>145</v>
      </c>
      <c r="G462" s="8">
        <v>73.0</v>
      </c>
      <c r="H462" s="8" t="s">
        <v>33</v>
      </c>
      <c r="I462" s="8" t="s">
        <v>1447</v>
      </c>
      <c r="J462" s="8" t="s">
        <v>29</v>
      </c>
      <c r="K462" s="8"/>
      <c r="L462" s="8"/>
      <c r="M462" s="8"/>
      <c r="N462" s="8"/>
      <c r="O462" s="8"/>
      <c r="P462" s="8"/>
      <c r="Q462" s="8"/>
      <c r="R462" s="8"/>
      <c r="S462" s="8"/>
      <c r="T462" s="8"/>
      <c r="U462" s="8"/>
      <c r="V462" s="8"/>
      <c r="W462" s="8"/>
      <c r="X462" s="8"/>
      <c r="Y462" s="8"/>
      <c r="Z462" s="8"/>
    </row>
    <row r="463" ht="14.25" customHeight="1">
      <c r="A463" s="8">
        <v>26049.0</v>
      </c>
      <c r="B463" s="8" t="s">
        <v>24</v>
      </c>
      <c r="C463" s="8" t="s">
        <v>1448</v>
      </c>
      <c r="D463" s="8">
        <v>2018.0</v>
      </c>
      <c r="E463" s="8" t="s">
        <v>1449</v>
      </c>
      <c r="F463" s="8" t="s">
        <v>952</v>
      </c>
      <c r="G463" s="8">
        <v>45.0</v>
      </c>
      <c r="H463" s="8">
        <v>3.0</v>
      </c>
      <c r="I463" s="8" t="s">
        <v>1450</v>
      </c>
      <c r="J463" s="8" t="s">
        <v>29</v>
      </c>
      <c r="K463" s="8"/>
      <c r="L463" s="8"/>
      <c r="M463" s="8"/>
      <c r="N463" s="8"/>
      <c r="O463" s="8"/>
      <c r="P463" s="8"/>
      <c r="Q463" s="8"/>
      <c r="R463" s="8"/>
      <c r="S463" s="8"/>
      <c r="T463" s="8"/>
      <c r="U463" s="8"/>
      <c r="V463" s="8"/>
      <c r="W463" s="8"/>
      <c r="X463" s="8"/>
      <c r="Y463" s="8"/>
      <c r="Z463" s="8"/>
    </row>
    <row r="464" ht="14.25" customHeight="1">
      <c r="A464" s="8">
        <v>23399.0</v>
      </c>
      <c r="B464" s="8" t="s">
        <v>24</v>
      </c>
      <c r="C464" s="8" t="s">
        <v>1451</v>
      </c>
      <c r="D464" s="8">
        <v>2016.0</v>
      </c>
      <c r="E464" s="8" t="s">
        <v>1452</v>
      </c>
      <c r="F464" s="8" t="s">
        <v>930</v>
      </c>
      <c r="G464" s="8">
        <v>4.0</v>
      </c>
      <c r="H464" s="8" t="s">
        <v>1453</v>
      </c>
      <c r="I464" s="8" t="s">
        <v>33</v>
      </c>
      <c r="J464" s="8" t="s">
        <v>29</v>
      </c>
      <c r="K464" s="8"/>
      <c r="L464" s="8"/>
      <c r="M464" s="8"/>
      <c r="N464" s="8"/>
      <c r="O464" s="8"/>
      <c r="P464" s="8"/>
      <c r="Q464" s="8"/>
      <c r="R464" s="8"/>
      <c r="S464" s="8"/>
      <c r="T464" s="8"/>
      <c r="U464" s="8"/>
      <c r="V464" s="8"/>
      <c r="W464" s="8"/>
      <c r="X464" s="8"/>
      <c r="Y464" s="8"/>
      <c r="Z464" s="8"/>
    </row>
    <row r="465" ht="14.25" customHeight="1">
      <c r="A465" s="8">
        <v>25980.0</v>
      </c>
      <c r="B465" s="8" t="s">
        <v>24</v>
      </c>
      <c r="C465" s="8" t="s">
        <v>1454</v>
      </c>
      <c r="D465" s="8">
        <v>2015.0</v>
      </c>
      <c r="E465" s="8" t="s">
        <v>1455</v>
      </c>
      <c r="F465" s="8" t="s">
        <v>648</v>
      </c>
      <c r="G465" s="8">
        <v>15.0</v>
      </c>
      <c r="H465" s="8">
        <v>2.0</v>
      </c>
      <c r="I465" s="8" t="s">
        <v>1456</v>
      </c>
      <c r="J465" s="8" t="s">
        <v>29</v>
      </c>
      <c r="K465" s="8"/>
      <c r="L465" s="8"/>
      <c r="M465" s="8"/>
      <c r="N465" s="8"/>
      <c r="O465" s="8"/>
      <c r="P465" s="8"/>
      <c r="Q465" s="8"/>
      <c r="R465" s="8"/>
      <c r="S465" s="8"/>
      <c r="T465" s="8"/>
      <c r="U465" s="8"/>
      <c r="V465" s="8"/>
      <c r="W465" s="8"/>
      <c r="X465" s="8"/>
      <c r="Y465" s="8"/>
      <c r="Z465" s="8"/>
    </row>
    <row r="466" ht="14.25" customHeight="1">
      <c r="A466" s="8">
        <v>25988.0</v>
      </c>
      <c r="B466" s="8" t="s">
        <v>24</v>
      </c>
      <c r="C466" s="8" t="s">
        <v>1457</v>
      </c>
      <c r="D466" s="8">
        <v>2018.0</v>
      </c>
      <c r="E466" s="8" t="s">
        <v>1458</v>
      </c>
      <c r="F466" s="8" t="s">
        <v>1459</v>
      </c>
      <c r="G466" s="8">
        <v>16.0</v>
      </c>
      <c r="H466" s="8">
        <v>8.0</v>
      </c>
      <c r="I466" s="8" t="s">
        <v>1460</v>
      </c>
      <c r="J466" s="8" t="s">
        <v>29</v>
      </c>
      <c r="K466" s="8"/>
      <c r="L466" s="8"/>
      <c r="M466" s="8"/>
      <c r="N466" s="8"/>
      <c r="O466" s="8"/>
      <c r="P466" s="8"/>
      <c r="Q466" s="8"/>
      <c r="R466" s="8"/>
      <c r="S466" s="8"/>
      <c r="T466" s="8"/>
      <c r="U466" s="8"/>
      <c r="V466" s="8"/>
      <c r="W466" s="8"/>
      <c r="X466" s="8"/>
      <c r="Y466" s="8"/>
      <c r="Z466" s="8"/>
    </row>
    <row r="467" ht="14.25" customHeight="1">
      <c r="A467" s="8">
        <v>24544.0</v>
      </c>
      <c r="B467" s="8" t="s">
        <v>24</v>
      </c>
      <c r="C467" s="8" t="s">
        <v>398</v>
      </c>
      <c r="D467" s="8">
        <v>2018.0</v>
      </c>
      <c r="E467" s="8" t="s">
        <v>1461</v>
      </c>
      <c r="F467" s="8" t="s">
        <v>49</v>
      </c>
      <c r="G467" s="8">
        <v>621.0</v>
      </c>
      <c r="H467" s="8" t="s">
        <v>33</v>
      </c>
      <c r="I467" s="8" t="s">
        <v>1462</v>
      </c>
      <c r="J467" s="8" t="s">
        <v>29</v>
      </c>
      <c r="K467" s="8"/>
      <c r="L467" s="8"/>
      <c r="M467" s="8"/>
      <c r="N467" s="8"/>
      <c r="O467" s="8"/>
      <c r="P467" s="8"/>
      <c r="Q467" s="8"/>
      <c r="R467" s="8"/>
      <c r="S467" s="8"/>
      <c r="T467" s="8"/>
      <c r="U467" s="8"/>
      <c r="V467" s="8"/>
      <c r="W467" s="8"/>
      <c r="X467" s="8"/>
      <c r="Y467" s="8"/>
      <c r="Z467" s="8"/>
    </row>
    <row r="468" ht="14.25" customHeight="1">
      <c r="A468" s="8">
        <v>24895.0</v>
      </c>
      <c r="B468" s="8" t="s">
        <v>24</v>
      </c>
      <c r="C468" s="8" t="s">
        <v>1463</v>
      </c>
      <c r="D468" s="8">
        <v>2016.0</v>
      </c>
      <c r="E468" s="8" t="s">
        <v>1464</v>
      </c>
      <c r="F468" s="8" t="s">
        <v>455</v>
      </c>
      <c r="G468" s="8">
        <v>6.0</v>
      </c>
      <c r="H468" s="8" t="s">
        <v>33</v>
      </c>
      <c r="I468" s="8" t="s">
        <v>1465</v>
      </c>
      <c r="J468" s="8" t="s">
        <v>29</v>
      </c>
      <c r="K468" s="8"/>
      <c r="L468" s="8"/>
      <c r="M468" s="8"/>
      <c r="N468" s="8"/>
      <c r="O468" s="8"/>
      <c r="P468" s="8"/>
      <c r="Q468" s="8"/>
      <c r="R468" s="8"/>
      <c r="S468" s="8"/>
      <c r="T468" s="8"/>
      <c r="U468" s="8"/>
      <c r="V468" s="8"/>
      <c r="W468" s="8"/>
      <c r="X468" s="8"/>
      <c r="Y468" s="8"/>
      <c r="Z468" s="8"/>
    </row>
    <row r="469" ht="14.25" customHeight="1">
      <c r="A469" s="8">
        <v>25713.0</v>
      </c>
      <c r="B469" s="8" t="s">
        <v>24</v>
      </c>
      <c r="C469" s="8" t="s">
        <v>785</v>
      </c>
      <c r="D469" s="8">
        <v>2007.0</v>
      </c>
      <c r="E469" s="8" t="s">
        <v>1466</v>
      </c>
      <c r="F469" s="8" t="s">
        <v>769</v>
      </c>
      <c r="G469" s="8">
        <v>17.0</v>
      </c>
      <c r="H469" s="8">
        <v>5.0</v>
      </c>
      <c r="I469" s="8" t="s">
        <v>1467</v>
      </c>
      <c r="J469" s="8" t="s">
        <v>29</v>
      </c>
      <c r="K469" s="8"/>
      <c r="L469" s="8"/>
      <c r="M469" s="8"/>
      <c r="N469" s="8"/>
      <c r="O469" s="8"/>
      <c r="P469" s="8"/>
      <c r="Q469" s="8"/>
      <c r="R469" s="8"/>
      <c r="S469" s="8"/>
      <c r="T469" s="8"/>
      <c r="U469" s="8"/>
      <c r="V469" s="8"/>
      <c r="W469" s="8"/>
      <c r="X469" s="8"/>
      <c r="Y469" s="8"/>
      <c r="Z469" s="8"/>
    </row>
    <row r="470" ht="14.25" customHeight="1">
      <c r="A470" s="8">
        <v>24962.0</v>
      </c>
      <c r="B470" s="8" t="s">
        <v>24</v>
      </c>
      <c r="C470" s="8" t="s">
        <v>1468</v>
      </c>
      <c r="D470" s="8">
        <v>2020.0</v>
      </c>
      <c r="E470" s="8" t="s">
        <v>1469</v>
      </c>
      <c r="F470" s="8" t="s">
        <v>64</v>
      </c>
      <c r="G470" s="8">
        <v>241.0</v>
      </c>
      <c r="H470" s="8" t="s">
        <v>33</v>
      </c>
      <c r="I470" s="8">
        <v>108383.0</v>
      </c>
      <c r="J470" s="8" t="s">
        <v>29</v>
      </c>
      <c r="K470" s="8"/>
      <c r="L470" s="8"/>
      <c r="M470" s="8"/>
      <c r="N470" s="8"/>
      <c r="O470" s="8"/>
      <c r="P470" s="8"/>
      <c r="Q470" s="8"/>
      <c r="R470" s="8"/>
      <c r="S470" s="8"/>
      <c r="T470" s="8"/>
      <c r="U470" s="8"/>
      <c r="V470" s="8"/>
      <c r="W470" s="8"/>
      <c r="X470" s="8"/>
      <c r="Y470" s="8"/>
      <c r="Z470" s="8"/>
    </row>
    <row r="471" ht="14.25" customHeight="1">
      <c r="A471" s="8">
        <v>25496.0</v>
      </c>
      <c r="B471" s="8" t="s">
        <v>24</v>
      </c>
      <c r="C471" s="8" t="s">
        <v>1470</v>
      </c>
      <c r="D471" s="8">
        <v>2016.0</v>
      </c>
      <c r="E471" s="8" t="s">
        <v>1471</v>
      </c>
      <c r="F471" s="8" t="s">
        <v>1472</v>
      </c>
      <c r="G471" s="8">
        <v>169.0</v>
      </c>
      <c r="H471" s="8" t="s">
        <v>33</v>
      </c>
      <c r="I471" s="8" t="s">
        <v>1473</v>
      </c>
      <c r="J471" s="8" t="s">
        <v>29</v>
      </c>
      <c r="K471" s="8"/>
      <c r="L471" s="8"/>
      <c r="M471" s="8"/>
      <c r="N471" s="8"/>
      <c r="O471" s="8"/>
      <c r="P471" s="8"/>
      <c r="Q471" s="8"/>
      <c r="R471" s="8"/>
      <c r="S471" s="8"/>
      <c r="T471" s="8"/>
      <c r="U471" s="8"/>
      <c r="V471" s="8"/>
      <c r="W471" s="8"/>
      <c r="X471" s="8"/>
      <c r="Y471" s="8"/>
      <c r="Z471" s="8"/>
    </row>
    <row r="472" ht="14.25" customHeight="1">
      <c r="A472" s="8">
        <v>24761.0</v>
      </c>
      <c r="B472" s="8" t="s">
        <v>24</v>
      </c>
      <c r="C472" s="8" t="s">
        <v>1474</v>
      </c>
      <c r="D472" s="8">
        <v>2012.0</v>
      </c>
      <c r="E472" s="8" t="s">
        <v>1475</v>
      </c>
      <c r="F472" s="8" t="s">
        <v>97</v>
      </c>
      <c r="G472" s="8">
        <v>18.0</v>
      </c>
      <c r="H472" s="8">
        <v>3.0</v>
      </c>
      <c r="I472" s="8" t="s">
        <v>1476</v>
      </c>
      <c r="J472" s="8" t="s">
        <v>29</v>
      </c>
      <c r="K472" s="8"/>
      <c r="L472" s="8"/>
      <c r="M472" s="8"/>
      <c r="N472" s="8"/>
      <c r="O472" s="8"/>
      <c r="P472" s="8"/>
      <c r="Q472" s="8"/>
      <c r="R472" s="8"/>
      <c r="S472" s="8"/>
      <c r="T472" s="8"/>
      <c r="U472" s="8"/>
      <c r="V472" s="8"/>
      <c r="W472" s="8"/>
      <c r="X472" s="8"/>
      <c r="Y472" s="8"/>
      <c r="Z472" s="8"/>
    </row>
    <row r="473" ht="14.25" customHeight="1">
      <c r="A473" s="8">
        <v>24772.0</v>
      </c>
      <c r="B473" s="8" t="s">
        <v>24</v>
      </c>
      <c r="C473" s="8" t="s">
        <v>1477</v>
      </c>
      <c r="D473" s="8">
        <v>2016.0</v>
      </c>
      <c r="E473" s="8" t="s">
        <v>1478</v>
      </c>
      <c r="F473" s="8" t="s">
        <v>260</v>
      </c>
      <c r="G473" s="8">
        <v>7.0</v>
      </c>
      <c r="H473" s="8" t="s">
        <v>33</v>
      </c>
      <c r="I473" s="8" t="s">
        <v>33</v>
      </c>
      <c r="J473" s="8" t="s">
        <v>29</v>
      </c>
      <c r="K473" s="8"/>
      <c r="L473" s="8"/>
      <c r="M473" s="8"/>
      <c r="N473" s="8"/>
      <c r="O473" s="8"/>
      <c r="P473" s="8"/>
      <c r="Q473" s="8"/>
      <c r="R473" s="8"/>
      <c r="S473" s="8"/>
      <c r="T473" s="8"/>
      <c r="U473" s="8"/>
      <c r="V473" s="8"/>
      <c r="W473" s="8"/>
      <c r="X473" s="8"/>
      <c r="Y473" s="8"/>
      <c r="Z473" s="8"/>
    </row>
    <row r="474" ht="14.25" customHeight="1">
      <c r="A474" s="8">
        <v>24155.0</v>
      </c>
      <c r="B474" s="8" t="s">
        <v>24</v>
      </c>
      <c r="C474" s="8" t="s">
        <v>1479</v>
      </c>
      <c r="D474" s="8">
        <v>2011.0</v>
      </c>
      <c r="E474" s="8" t="s">
        <v>1480</v>
      </c>
      <c r="F474" s="8" t="s">
        <v>64</v>
      </c>
      <c r="G474" s="8">
        <v>144.0</v>
      </c>
      <c r="H474" s="8">
        <v>10.0</v>
      </c>
      <c r="I474" s="8" t="s">
        <v>1481</v>
      </c>
      <c r="J474" s="8" t="s">
        <v>29</v>
      </c>
      <c r="K474" s="8"/>
      <c r="L474" s="8"/>
      <c r="M474" s="8"/>
      <c r="N474" s="8"/>
      <c r="O474" s="8"/>
      <c r="P474" s="8"/>
      <c r="Q474" s="8"/>
      <c r="R474" s="8"/>
      <c r="S474" s="8"/>
      <c r="T474" s="8"/>
      <c r="U474" s="8"/>
      <c r="V474" s="8"/>
      <c r="W474" s="8"/>
      <c r="X474" s="8"/>
      <c r="Y474" s="8"/>
      <c r="Z474" s="8"/>
    </row>
    <row r="475" ht="14.25" customHeight="1">
      <c r="A475" s="8">
        <v>25896.0</v>
      </c>
      <c r="B475" s="8" t="s">
        <v>24</v>
      </c>
      <c r="C475" s="8" t="s">
        <v>1482</v>
      </c>
      <c r="D475" s="8">
        <v>2012.0</v>
      </c>
      <c r="E475" s="8" t="s">
        <v>1483</v>
      </c>
      <c r="F475" s="8" t="s">
        <v>64</v>
      </c>
      <c r="G475" s="8">
        <v>148.0</v>
      </c>
      <c r="H475" s="8">
        <v>1.0</v>
      </c>
      <c r="I475" s="8" t="s">
        <v>1484</v>
      </c>
      <c r="J475" s="8" t="s">
        <v>29</v>
      </c>
      <c r="K475" s="8"/>
      <c r="L475" s="8"/>
      <c r="M475" s="8"/>
      <c r="N475" s="8"/>
      <c r="O475" s="8"/>
      <c r="P475" s="8"/>
      <c r="Q475" s="8"/>
      <c r="R475" s="8"/>
      <c r="S475" s="8"/>
      <c r="T475" s="8"/>
      <c r="U475" s="8"/>
      <c r="V475" s="8"/>
      <c r="W475" s="8"/>
      <c r="X475" s="8"/>
      <c r="Y475" s="8"/>
      <c r="Z475" s="8"/>
    </row>
    <row r="476" ht="14.25" customHeight="1">
      <c r="A476" s="8">
        <v>23223.0</v>
      </c>
      <c r="B476" s="8" t="s">
        <v>24</v>
      </c>
      <c r="C476" s="8" t="s">
        <v>1485</v>
      </c>
      <c r="D476" s="8">
        <v>2007.0</v>
      </c>
      <c r="E476" s="8" t="s">
        <v>1486</v>
      </c>
      <c r="F476" s="8" t="s">
        <v>64</v>
      </c>
      <c r="G476" s="8">
        <v>137.0</v>
      </c>
      <c r="H476" s="8">
        <v>1.0</v>
      </c>
      <c r="I476" s="8">
        <v>57.0</v>
      </c>
      <c r="J476" s="8" t="s">
        <v>29</v>
      </c>
      <c r="K476" s="8"/>
      <c r="L476" s="8"/>
      <c r="M476" s="8"/>
      <c r="N476" s="8"/>
      <c r="O476" s="8"/>
      <c r="P476" s="8"/>
      <c r="Q476" s="8"/>
      <c r="R476" s="8"/>
      <c r="S476" s="8"/>
      <c r="T476" s="8"/>
      <c r="U476" s="8"/>
      <c r="V476" s="8"/>
      <c r="W476" s="8"/>
      <c r="X476" s="8"/>
      <c r="Y476" s="8"/>
      <c r="Z476" s="8"/>
    </row>
    <row r="477" ht="14.25" customHeight="1">
      <c r="A477" s="8">
        <v>24129.0</v>
      </c>
      <c r="B477" s="8" t="s">
        <v>24</v>
      </c>
      <c r="C477" s="8" t="s">
        <v>1487</v>
      </c>
      <c r="D477" s="8">
        <v>2016.0</v>
      </c>
      <c r="E477" s="8" t="s">
        <v>1488</v>
      </c>
      <c r="F477" s="8" t="s">
        <v>138</v>
      </c>
      <c r="G477" s="8">
        <v>35.0</v>
      </c>
      <c r="H477" s="8">
        <v>3.0</v>
      </c>
      <c r="I477" s="8" t="s">
        <v>1489</v>
      </c>
      <c r="J477" s="8" t="s">
        <v>29</v>
      </c>
      <c r="K477" s="8"/>
      <c r="L477" s="8"/>
      <c r="M477" s="8"/>
      <c r="N477" s="8"/>
      <c r="O477" s="8"/>
      <c r="P477" s="8"/>
      <c r="Q477" s="8"/>
      <c r="R477" s="8"/>
      <c r="S477" s="8"/>
      <c r="T477" s="8"/>
      <c r="U477" s="8"/>
      <c r="V477" s="8"/>
      <c r="W477" s="8"/>
      <c r="X477" s="8"/>
      <c r="Y477" s="8"/>
      <c r="Z477" s="8"/>
    </row>
    <row r="478" ht="14.25" customHeight="1">
      <c r="A478" s="8">
        <v>24694.0</v>
      </c>
      <c r="B478" s="8" t="s">
        <v>24</v>
      </c>
      <c r="C478" s="8" t="s">
        <v>1490</v>
      </c>
      <c r="D478" s="8">
        <v>2017.0</v>
      </c>
      <c r="E478" s="8" t="s">
        <v>1491</v>
      </c>
      <c r="F478" s="8" t="s">
        <v>49</v>
      </c>
      <c r="G478" s="8">
        <v>590.0</v>
      </c>
      <c r="H478" s="8" t="s">
        <v>33</v>
      </c>
      <c r="I478" s="8" t="s">
        <v>1492</v>
      </c>
      <c r="J478" s="8" t="s">
        <v>29</v>
      </c>
      <c r="K478" s="8"/>
      <c r="L478" s="8"/>
      <c r="M478" s="8"/>
      <c r="N478" s="8"/>
      <c r="O478" s="8"/>
      <c r="P478" s="8"/>
      <c r="Q478" s="8"/>
      <c r="R478" s="8"/>
      <c r="S478" s="8"/>
      <c r="T478" s="8"/>
      <c r="U478" s="8"/>
      <c r="V478" s="8"/>
      <c r="W478" s="8"/>
      <c r="X478" s="8"/>
      <c r="Y478" s="8"/>
      <c r="Z478" s="8"/>
    </row>
    <row r="479" ht="14.25" customHeight="1">
      <c r="A479" s="8">
        <v>23740.0</v>
      </c>
      <c r="B479" s="8" t="s">
        <v>24</v>
      </c>
      <c r="C479" s="8" t="s">
        <v>1493</v>
      </c>
      <c r="D479" s="8">
        <v>2015.0</v>
      </c>
      <c r="E479" s="8" t="s">
        <v>1494</v>
      </c>
      <c r="F479" s="8" t="s">
        <v>455</v>
      </c>
      <c r="G479" s="8">
        <v>4.0</v>
      </c>
      <c r="H479" s="8" t="s">
        <v>33</v>
      </c>
      <c r="I479" s="8" t="s">
        <v>1495</v>
      </c>
      <c r="J479" s="8" t="s">
        <v>29</v>
      </c>
      <c r="K479" s="8"/>
      <c r="L479" s="8"/>
      <c r="M479" s="8"/>
      <c r="N479" s="8"/>
      <c r="O479" s="8"/>
      <c r="P479" s="8"/>
      <c r="Q479" s="8"/>
      <c r="R479" s="8"/>
      <c r="S479" s="8"/>
      <c r="T479" s="8"/>
      <c r="U479" s="8"/>
      <c r="V479" s="8"/>
      <c r="W479" s="8"/>
      <c r="X479" s="8"/>
      <c r="Y479" s="8"/>
      <c r="Z479" s="8"/>
    </row>
    <row r="480" ht="14.25" customHeight="1">
      <c r="A480" s="8">
        <v>24944.0</v>
      </c>
      <c r="B480" s="8" t="s">
        <v>24</v>
      </c>
      <c r="C480" s="8" t="s">
        <v>1496</v>
      </c>
      <c r="D480" s="8">
        <v>2019.0</v>
      </c>
      <c r="E480" s="8" t="s">
        <v>1497</v>
      </c>
      <c r="F480" s="8" t="s">
        <v>256</v>
      </c>
      <c r="G480" s="8">
        <v>172.0</v>
      </c>
      <c r="H480" s="8" t="s">
        <v>33</v>
      </c>
      <c r="I480" s="8" t="s">
        <v>1498</v>
      </c>
      <c r="J480" s="8" t="s">
        <v>29</v>
      </c>
      <c r="K480" s="8"/>
      <c r="L480" s="8"/>
      <c r="M480" s="8"/>
      <c r="N480" s="8"/>
      <c r="O480" s="8"/>
      <c r="P480" s="8"/>
      <c r="Q480" s="8"/>
      <c r="R480" s="8"/>
      <c r="S480" s="8"/>
      <c r="T480" s="8"/>
      <c r="U480" s="8"/>
      <c r="V480" s="8"/>
      <c r="W480" s="8"/>
      <c r="X480" s="8"/>
      <c r="Y480" s="8"/>
      <c r="Z480" s="8"/>
    </row>
    <row r="481" ht="14.25" customHeight="1">
      <c r="A481" s="8">
        <v>25998.0</v>
      </c>
      <c r="B481" s="8" t="s">
        <v>24</v>
      </c>
      <c r="C481" s="8" t="s">
        <v>1499</v>
      </c>
      <c r="D481" s="8">
        <v>2003.0</v>
      </c>
      <c r="E481" s="8" t="s">
        <v>1500</v>
      </c>
      <c r="F481" s="8" t="s">
        <v>1501</v>
      </c>
      <c r="G481" s="8">
        <v>95.0</v>
      </c>
      <c r="H481" s="8">
        <v>1.0</v>
      </c>
      <c r="I481" s="8" t="s">
        <v>1502</v>
      </c>
      <c r="J481" s="8" t="s">
        <v>29</v>
      </c>
      <c r="K481" s="8"/>
      <c r="L481" s="8"/>
      <c r="M481" s="8"/>
      <c r="N481" s="8"/>
      <c r="O481" s="8"/>
      <c r="P481" s="8"/>
      <c r="Q481" s="8"/>
      <c r="R481" s="8"/>
      <c r="S481" s="8"/>
      <c r="T481" s="8"/>
      <c r="U481" s="8"/>
      <c r="V481" s="8"/>
      <c r="W481" s="8"/>
      <c r="X481" s="8"/>
      <c r="Y481" s="8"/>
      <c r="Z481" s="8"/>
    </row>
    <row r="482" ht="14.25" customHeight="1">
      <c r="A482" s="8">
        <v>25575.0</v>
      </c>
      <c r="B482" s="8" t="s">
        <v>24</v>
      </c>
      <c r="C482" s="8" t="s">
        <v>1503</v>
      </c>
      <c r="D482" s="8">
        <v>2019.0</v>
      </c>
      <c r="E482" s="8" t="s">
        <v>1504</v>
      </c>
      <c r="F482" s="8" t="s">
        <v>449</v>
      </c>
      <c r="G482" s="8">
        <v>74.0</v>
      </c>
      <c r="H482" s="8" t="s">
        <v>33</v>
      </c>
      <c r="I482" s="8" t="s">
        <v>1505</v>
      </c>
      <c r="J482" s="8" t="s">
        <v>29</v>
      </c>
      <c r="K482" s="8"/>
      <c r="L482" s="8"/>
      <c r="M482" s="8"/>
      <c r="N482" s="8"/>
      <c r="O482" s="8"/>
      <c r="P482" s="8"/>
      <c r="Q482" s="8"/>
      <c r="R482" s="8"/>
      <c r="S482" s="8"/>
      <c r="T482" s="8"/>
      <c r="U482" s="8"/>
      <c r="V482" s="8"/>
      <c r="W482" s="8"/>
      <c r="X482" s="8"/>
      <c r="Y482" s="8"/>
      <c r="Z482" s="8"/>
    </row>
    <row r="483" ht="14.25" customHeight="1">
      <c r="A483" s="8">
        <v>24460.0</v>
      </c>
      <c r="B483" s="8" t="s">
        <v>24</v>
      </c>
      <c r="C483" s="8" t="s">
        <v>1506</v>
      </c>
      <c r="D483" s="8">
        <v>2009.0</v>
      </c>
      <c r="E483" s="8" t="s">
        <v>1507</v>
      </c>
      <c r="F483" s="8" t="s">
        <v>64</v>
      </c>
      <c r="G483" s="8">
        <v>142.0</v>
      </c>
      <c r="H483" s="8">
        <v>7.0</v>
      </c>
      <c r="I483" s="8" t="s">
        <v>1508</v>
      </c>
      <c r="J483" s="8" t="s">
        <v>29</v>
      </c>
      <c r="K483" s="8"/>
      <c r="L483" s="8"/>
      <c r="M483" s="8"/>
      <c r="N483" s="8"/>
      <c r="O483" s="8"/>
      <c r="P483" s="8"/>
      <c r="Q483" s="8"/>
      <c r="R483" s="8"/>
      <c r="S483" s="8"/>
      <c r="T483" s="8"/>
      <c r="U483" s="8"/>
      <c r="V483" s="8"/>
      <c r="W483" s="8"/>
      <c r="X483" s="8"/>
      <c r="Y483" s="8"/>
      <c r="Z483" s="8"/>
    </row>
    <row r="484" ht="14.25" customHeight="1">
      <c r="A484" s="8">
        <v>23793.0</v>
      </c>
      <c r="B484" s="8" t="s">
        <v>24</v>
      </c>
      <c r="C484" s="8" t="s">
        <v>1509</v>
      </c>
      <c r="D484" s="8">
        <v>2011.0</v>
      </c>
      <c r="E484" s="8" t="s">
        <v>1510</v>
      </c>
      <c r="F484" s="8" t="s">
        <v>36</v>
      </c>
      <c r="G484" s="8">
        <v>6.0</v>
      </c>
      <c r="H484" s="8">
        <v>10.0</v>
      </c>
      <c r="I484" s="8" t="s">
        <v>33</v>
      </c>
      <c r="J484" s="8" t="s">
        <v>29</v>
      </c>
      <c r="K484" s="8"/>
      <c r="L484" s="8"/>
      <c r="M484" s="8"/>
      <c r="N484" s="8"/>
      <c r="O484" s="8"/>
      <c r="P484" s="8"/>
      <c r="Q484" s="8"/>
      <c r="R484" s="8"/>
      <c r="S484" s="8"/>
      <c r="T484" s="8"/>
      <c r="U484" s="8"/>
      <c r="V484" s="8"/>
      <c r="W484" s="8"/>
      <c r="X484" s="8"/>
      <c r="Y484" s="8"/>
      <c r="Z484" s="8"/>
    </row>
    <row r="485" ht="14.25" customHeight="1">
      <c r="A485" s="8">
        <v>23639.0</v>
      </c>
      <c r="B485" s="8" t="s">
        <v>24</v>
      </c>
      <c r="C485" s="8" t="s">
        <v>1511</v>
      </c>
      <c r="D485" s="8">
        <v>2013.0</v>
      </c>
      <c r="E485" s="8" t="s">
        <v>1512</v>
      </c>
      <c r="F485" s="8" t="s">
        <v>36</v>
      </c>
      <c r="G485" s="8">
        <v>8.0</v>
      </c>
      <c r="H485" s="8">
        <v>12.0</v>
      </c>
      <c r="I485" s="8" t="s">
        <v>33</v>
      </c>
      <c r="J485" s="8" t="s">
        <v>29</v>
      </c>
      <c r="K485" s="8"/>
      <c r="L485" s="8"/>
      <c r="M485" s="8"/>
      <c r="N485" s="8"/>
      <c r="O485" s="8"/>
      <c r="P485" s="8"/>
      <c r="Q485" s="8"/>
      <c r="R485" s="8"/>
      <c r="S485" s="8"/>
      <c r="T485" s="8"/>
      <c r="U485" s="8"/>
      <c r="V485" s="8"/>
      <c r="W485" s="8"/>
      <c r="X485" s="8"/>
      <c r="Y485" s="8"/>
      <c r="Z485" s="8"/>
    </row>
    <row r="486" ht="14.25" customHeight="1">
      <c r="A486" s="8">
        <v>23730.0</v>
      </c>
      <c r="B486" s="8" t="s">
        <v>24</v>
      </c>
      <c r="C486" s="8" t="s">
        <v>1513</v>
      </c>
      <c r="D486" s="8">
        <v>2016.0</v>
      </c>
      <c r="E486" s="8" t="s">
        <v>1514</v>
      </c>
      <c r="F486" s="8" t="s">
        <v>538</v>
      </c>
      <c r="G486" s="8">
        <v>29.0</v>
      </c>
      <c r="H486" s="8">
        <v>1.0</v>
      </c>
      <c r="I486" s="8" t="s">
        <v>1515</v>
      </c>
      <c r="J486" s="8" t="s">
        <v>29</v>
      </c>
      <c r="K486" s="8"/>
      <c r="L486" s="8"/>
      <c r="M486" s="8"/>
      <c r="N486" s="8"/>
      <c r="O486" s="8"/>
      <c r="P486" s="8"/>
      <c r="Q486" s="8"/>
      <c r="R486" s="8"/>
      <c r="S486" s="8"/>
      <c r="T486" s="8"/>
      <c r="U486" s="8"/>
      <c r="V486" s="8"/>
      <c r="W486" s="8"/>
      <c r="X486" s="8"/>
      <c r="Y486" s="8"/>
      <c r="Z486" s="8"/>
    </row>
    <row r="487" ht="14.25" customHeight="1">
      <c r="A487" s="8">
        <v>24397.0</v>
      </c>
      <c r="B487" s="8" t="s">
        <v>24</v>
      </c>
      <c r="C487" s="8" t="s">
        <v>1516</v>
      </c>
      <c r="D487" s="8">
        <v>2015.0</v>
      </c>
      <c r="E487" s="8" t="s">
        <v>1517</v>
      </c>
      <c r="F487" s="8" t="s">
        <v>769</v>
      </c>
      <c r="G487" s="8">
        <v>25.0</v>
      </c>
      <c r="H487" s="8">
        <v>4.0</v>
      </c>
      <c r="I487" s="8" t="s">
        <v>1518</v>
      </c>
      <c r="J487" s="8" t="s">
        <v>29</v>
      </c>
      <c r="K487" s="8"/>
      <c r="L487" s="8"/>
      <c r="M487" s="8"/>
      <c r="N487" s="8"/>
      <c r="O487" s="8"/>
      <c r="P487" s="8"/>
      <c r="Q487" s="8"/>
      <c r="R487" s="8"/>
      <c r="S487" s="8"/>
      <c r="T487" s="8"/>
      <c r="U487" s="8"/>
      <c r="V487" s="8"/>
      <c r="W487" s="8"/>
      <c r="X487" s="8"/>
      <c r="Y487" s="8"/>
      <c r="Z487" s="8"/>
    </row>
    <row r="488" ht="14.25" customHeight="1">
      <c r="A488" s="8">
        <v>25211.0</v>
      </c>
      <c r="B488" s="8" t="s">
        <v>321</v>
      </c>
      <c r="C488" s="8" t="s">
        <v>1519</v>
      </c>
      <c r="D488" s="8">
        <v>2007.0</v>
      </c>
      <c r="E488" s="8" t="s">
        <v>1520</v>
      </c>
      <c r="F488" s="8" t="s">
        <v>33</v>
      </c>
      <c r="G488" s="8" t="s">
        <v>33</v>
      </c>
      <c r="H488" s="8" t="s">
        <v>33</v>
      </c>
      <c r="I488" s="8" t="s">
        <v>33</v>
      </c>
      <c r="J488" s="8" t="s">
        <v>29</v>
      </c>
      <c r="K488" s="8"/>
      <c r="L488" s="8"/>
      <c r="M488" s="8"/>
      <c r="N488" s="8"/>
      <c r="O488" s="8"/>
      <c r="P488" s="8"/>
      <c r="Q488" s="8"/>
      <c r="R488" s="8"/>
      <c r="S488" s="8"/>
      <c r="T488" s="8"/>
      <c r="U488" s="8"/>
      <c r="V488" s="8"/>
      <c r="W488" s="8"/>
      <c r="X488" s="8"/>
      <c r="Y488" s="8"/>
      <c r="Z488" s="8"/>
    </row>
    <row r="489" ht="14.25" customHeight="1">
      <c r="A489" s="8">
        <v>25521.0</v>
      </c>
      <c r="B489" s="8" t="s">
        <v>24</v>
      </c>
      <c r="C489" s="8" t="s">
        <v>1521</v>
      </c>
      <c r="D489" s="8">
        <v>2015.0</v>
      </c>
      <c r="E489" s="8" t="s">
        <v>1522</v>
      </c>
      <c r="F489" s="8" t="s">
        <v>60</v>
      </c>
      <c r="G489" s="8">
        <v>29.0</v>
      </c>
      <c r="H489" s="8">
        <v>1.0</v>
      </c>
      <c r="I489" s="8" t="s">
        <v>1523</v>
      </c>
      <c r="J489" s="8" t="s">
        <v>29</v>
      </c>
      <c r="K489" s="8"/>
      <c r="L489" s="8"/>
      <c r="M489" s="8"/>
      <c r="N489" s="8"/>
      <c r="O489" s="8"/>
      <c r="P489" s="8"/>
      <c r="Q489" s="8"/>
      <c r="R489" s="8"/>
      <c r="S489" s="8"/>
      <c r="T489" s="8"/>
      <c r="U489" s="8"/>
      <c r="V489" s="8"/>
      <c r="W489" s="8"/>
      <c r="X489" s="8"/>
      <c r="Y489" s="8"/>
      <c r="Z489" s="8"/>
    </row>
    <row r="490" ht="14.25" customHeight="1">
      <c r="A490" s="8">
        <v>23828.0</v>
      </c>
      <c r="B490" s="8" t="s">
        <v>24</v>
      </c>
      <c r="C490" s="8" t="s">
        <v>1524</v>
      </c>
      <c r="D490" s="8">
        <v>2014.0</v>
      </c>
      <c r="E490" s="8" t="s">
        <v>1525</v>
      </c>
      <c r="F490" s="8" t="s">
        <v>36</v>
      </c>
      <c r="G490" s="8">
        <v>9.0</v>
      </c>
      <c r="H490" s="8">
        <v>3.0</v>
      </c>
      <c r="I490" s="8" t="s">
        <v>33</v>
      </c>
      <c r="J490" s="8" t="s">
        <v>29</v>
      </c>
      <c r="K490" s="8"/>
      <c r="L490" s="8"/>
      <c r="M490" s="8"/>
      <c r="N490" s="8"/>
      <c r="O490" s="8"/>
      <c r="P490" s="8"/>
      <c r="Q490" s="8"/>
      <c r="R490" s="8"/>
      <c r="S490" s="8"/>
      <c r="T490" s="8"/>
      <c r="U490" s="8"/>
      <c r="V490" s="8"/>
      <c r="W490" s="8"/>
      <c r="X490" s="8"/>
      <c r="Y490" s="8"/>
      <c r="Z490" s="8"/>
    </row>
    <row r="491" ht="14.25" customHeight="1">
      <c r="A491" s="8">
        <v>23534.0</v>
      </c>
      <c r="B491" s="8" t="s">
        <v>24</v>
      </c>
      <c r="C491" s="8" t="s">
        <v>1526</v>
      </c>
      <c r="D491" s="8">
        <v>2020.0</v>
      </c>
      <c r="E491" s="8" t="s">
        <v>1527</v>
      </c>
      <c r="F491" s="8" t="s">
        <v>805</v>
      </c>
      <c r="G491" s="8">
        <v>9.0</v>
      </c>
      <c r="H491" s="8">
        <v>9.0</v>
      </c>
      <c r="I491" s="8">
        <v>313.0</v>
      </c>
      <c r="J491" s="8" t="s">
        <v>29</v>
      </c>
      <c r="K491" s="8"/>
      <c r="L491" s="8"/>
      <c r="M491" s="8"/>
      <c r="N491" s="8"/>
      <c r="O491" s="8"/>
      <c r="P491" s="8"/>
      <c r="Q491" s="8"/>
      <c r="R491" s="8"/>
      <c r="S491" s="8"/>
      <c r="T491" s="8"/>
      <c r="U491" s="8"/>
      <c r="V491" s="8"/>
      <c r="W491" s="8"/>
      <c r="X491" s="8"/>
      <c r="Y491" s="8"/>
      <c r="Z491" s="8"/>
    </row>
    <row r="492" ht="14.25" customHeight="1">
      <c r="A492" s="8">
        <v>24710.0</v>
      </c>
      <c r="B492" s="8" t="s">
        <v>24</v>
      </c>
      <c r="C492" s="8" t="s">
        <v>1528</v>
      </c>
      <c r="D492" s="8">
        <v>2013.0</v>
      </c>
      <c r="E492" s="8" t="s">
        <v>1529</v>
      </c>
      <c r="F492" s="8" t="s">
        <v>256</v>
      </c>
      <c r="G492" s="8">
        <v>75.0</v>
      </c>
      <c r="H492" s="8" t="s">
        <v>33</v>
      </c>
      <c r="I492" s="8" t="s">
        <v>1530</v>
      </c>
      <c r="J492" s="8" t="s">
        <v>29</v>
      </c>
      <c r="K492" s="8"/>
      <c r="L492" s="8"/>
      <c r="M492" s="8"/>
      <c r="N492" s="8"/>
      <c r="O492" s="8"/>
      <c r="P492" s="8"/>
      <c r="Q492" s="8"/>
      <c r="R492" s="8"/>
      <c r="S492" s="8"/>
      <c r="T492" s="8"/>
      <c r="U492" s="8"/>
      <c r="V492" s="8"/>
      <c r="W492" s="8"/>
      <c r="X492" s="8"/>
      <c r="Y492" s="8"/>
      <c r="Z492" s="8"/>
    </row>
    <row r="493" ht="14.25" customHeight="1">
      <c r="A493" s="8">
        <v>25716.0</v>
      </c>
      <c r="B493" s="8" t="s">
        <v>24</v>
      </c>
      <c r="C493" s="8" t="s">
        <v>1531</v>
      </c>
      <c r="D493" s="8">
        <v>2019.0</v>
      </c>
      <c r="E493" s="8" t="s">
        <v>1532</v>
      </c>
      <c r="F493" s="8" t="s">
        <v>46</v>
      </c>
      <c r="G493" s="8" t="s">
        <v>33</v>
      </c>
      <c r="H493" s="8" t="s">
        <v>33</v>
      </c>
      <c r="I493" s="8" t="s">
        <v>33</v>
      </c>
      <c r="J493" s="8" t="s">
        <v>29</v>
      </c>
      <c r="K493" s="8"/>
      <c r="L493" s="8"/>
      <c r="M493" s="8"/>
      <c r="N493" s="8"/>
      <c r="O493" s="8"/>
      <c r="P493" s="8"/>
      <c r="Q493" s="8"/>
      <c r="R493" s="8"/>
      <c r="S493" s="8"/>
      <c r="T493" s="8"/>
      <c r="U493" s="8"/>
      <c r="V493" s="8"/>
      <c r="W493" s="8"/>
      <c r="X493" s="8"/>
      <c r="Y493" s="8"/>
      <c r="Z493" s="8"/>
    </row>
    <row r="494" ht="14.25" customHeight="1">
      <c r="A494" s="8">
        <v>23256.0</v>
      </c>
      <c r="B494" s="8" t="s">
        <v>24</v>
      </c>
      <c r="C494" s="8" t="s">
        <v>1533</v>
      </c>
      <c r="D494" s="8">
        <v>2008.0</v>
      </c>
      <c r="E494" s="8" t="s">
        <v>1534</v>
      </c>
      <c r="F494" s="8" t="s">
        <v>64</v>
      </c>
      <c r="G494" s="8">
        <v>141.0</v>
      </c>
      <c r="H494" s="8">
        <v>10.0</v>
      </c>
      <c r="I494" s="8" t="s">
        <v>1535</v>
      </c>
      <c r="J494" s="8" t="s">
        <v>29</v>
      </c>
      <c r="K494" s="8"/>
      <c r="L494" s="8"/>
      <c r="M494" s="8"/>
      <c r="N494" s="8"/>
      <c r="O494" s="8"/>
      <c r="P494" s="8"/>
      <c r="Q494" s="8"/>
      <c r="R494" s="8"/>
      <c r="S494" s="8"/>
      <c r="T494" s="8"/>
      <c r="U494" s="8"/>
      <c r="V494" s="8"/>
      <c r="W494" s="8"/>
      <c r="X494" s="8"/>
      <c r="Y494" s="8"/>
      <c r="Z494" s="8"/>
    </row>
    <row r="495" ht="14.25" customHeight="1">
      <c r="A495" s="8">
        <v>24977.0</v>
      </c>
      <c r="B495" s="8" t="s">
        <v>24</v>
      </c>
      <c r="C495" s="8" t="s">
        <v>1536</v>
      </c>
      <c r="D495" s="8">
        <v>2020.0</v>
      </c>
      <c r="E495" s="8" t="s">
        <v>1537</v>
      </c>
      <c r="F495" s="8" t="s">
        <v>64</v>
      </c>
      <c r="G495" s="8">
        <v>249.0</v>
      </c>
      <c r="H495" s="8" t="s">
        <v>33</v>
      </c>
      <c r="I495" s="8" t="s">
        <v>33</v>
      </c>
      <c r="J495" s="8" t="s">
        <v>29</v>
      </c>
      <c r="K495" s="8"/>
      <c r="L495" s="8"/>
      <c r="M495" s="8"/>
      <c r="N495" s="8"/>
      <c r="O495" s="8"/>
      <c r="P495" s="8"/>
      <c r="Q495" s="8"/>
      <c r="R495" s="8"/>
      <c r="S495" s="8"/>
      <c r="T495" s="8"/>
      <c r="U495" s="8"/>
      <c r="V495" s="8"/>
      <c r="W495" s="8"/>
      <c r="X495" s="8"/>
      <c r="Y495" s="8"/>
      <c r="Z495" s="8"/>
    </row>
    <row r="496" ht="14.25" customHeight="1">
      <c r="A496" s="8">
        <v>24862.0</v>
      </c>
      <c r="B496" s="8" t="s">
        <v>24</v>
      </c>
      <c r="C496" s="8" t="s">
        <v>1538</v>
      </c>
      <c r="D496" s="8">
        <v>2016.0</v>
      </c>
      <c r="E496" s="8" t="s">
        <v>1539</v>
      </c>
      <c r="F496" s="8" t="s">
        <v>33</v>
      </c>
      <c r="G496" s="8" t="s">
        <v>33</v>
      </c>
      <c r="H496" s="8" t="s">
        <v>33</v>
      </c>
      <c r="I496" s="8" t="s">
        <v>33</v>
      </c>
      <c r="J496" s="8" t="s">
        <v>29</v>
      </c>
      <c r="K496" s="8"/>
      <c r="L496" s="8"/>
      <c r="M496" s="8"/>
      <c r="N496" s="8"/>
      <c r="O496" s="8"/>
      <c r="P496" s="8"/>
      <c r="Q496" s="8"/>
      <c r="R496" s="8"/>
      <c r="S496" s="8"/>
      <c r="T496" s="8"/>
      <c r="U496" s="8"/>
      <c r="V496" s="8"/>
      <c r="W496" s="8"/>
      <c r="X496" s="8"/>
      <c r="Y496" s="8"/>
      <c r="Z496" s="8"/>
    </row>
    <row r="497" ht="14.25" customHeight="1">
      <c r="A497" s="8">
        <v>23917.0</v>
      </c>
      <c r="B497" s="8" t="s">
        <v>24</v>
      </c>
      <c r="C497" s="8" t="s">
        <v>1540</v>
      </c>
      <c r="D497" s="8">
        <v>2013.0</v>
      </c>
      <c r="E497" s="8" t="s">
        <v>1541</v>
      </c>
      <c r="F497" s="8" t="s">
        <v>36</v>
      </c>
      <c r="G497" s="8">
        <v>8.0</v>
      </c>
      <c r="H497" s="8">
        <v>6.0</v>
      </c>
      <c r="I497" s="8" t="s">
        <v>33</v>
      </c>
      <c r="J497" s="8" t="s">
        <v>29</v>
      </c>
      <c r="K497" s="8"/>
      <c r="L497" s="8"/>
      <c r="M497" s="8"/>
      <c r="N497" s="8"/>
      <c r="O497" s="8"/>
      <c r="P497" s="8"/>
      <c r="Q497" s="8"/>
      <c r="R497" s="8"/>
      <c r="S497" s="8"/>
      <c r="T497" s="8"/>
      <c r="U497" s="8"/>
      <c r="V497" s="8"/>
      <c r="W497" s="8"/>
      <c r="X497" s="8"/>
      <c r="Y497" s="8"/>
      <c r="Z497" s="8"/>
    </row>
    <row r="498" ht="14.25" customHeight="1">
      <c r="A498" s="8">
        <v>24060.0</v>
      </c>
      <c r="B498" s="8" t="s">
        <v>24</v>
      </c>
      <c r="C498" s="8" t="s">
        <v>1542</v>
      </c>
      <c r="D498" s="8">
        <v>2020.0</v>
      </c>
      <c r="E498" s="8" t="s">
        <v>1543</v>
      </c>
      <c r="F498" s="8" t="s">
        <v>32</v>
      </c>
      <c r="G498" s="8">
        <v>119.0</v>
      </c>
      <c r="H498" s="8" t="s">
        <v>33</v>
      </c>
      <c r="I498" s="8" t="s">
        <v>33</v>
      </c>
      <c r="J498" s="8" t="s">
        <v>29</v>
      </c>
      <c r="K498" s="8"/>
      <c r="L498" s="8"/>
      <c r="M498" s="8"/>
      <c r="N498" s="8"/>
      <c r="O498" s="8"/>
      <c r="P498" s="8"/>
      <c r="Q498" s="8"/>
      <c r="R498" s="8"/>
      <c r="S498" s="8"/>
      <c r="T498" s="8"/>
      <c r="U498" s="8"/>
      <c r="V498" s="8"/>
      <c r="W498" s="8"/>
      <c r="X498" s="8"/>
      <c r="Y498" s="8"/>
      <c r="Z498" s="8"/>
    </row>
    <row r="499" ht="14.25" customHeight="1">
      <c r="A499" s="8" t="s">
        <v>1544</v>
      </c>
      <c r="B499" s="8" t="s">
        <v>41</v>
      </c>
      <c r="C499" s="8" t="s">
        <v>1238</v>
      </c>
      <c r="D499" s="8">
        <v>2014.0</v>
      </c>
      <c r="E499" s="8" t="s">
        <v>1545</v>
      </c>
      <c r="F499" s="8" t="s">
        <v>1546</v>
      </c>
      <c r="G499" s="8" t="s">
        <v>33</v>
      </c>
      <c r="H499" s="8" t="s">
        <v>33</v>
      </c>
      <c r="I499" s="8" t="s">
        <v>33</v>
      </c>
      <c r="J499" s="8" t="s">
        <v>320</v>
      </c>
      <c r="K499" s="8"/>
      <c r="L499" s="8"/>
      <c r="M499" s="8"/>
      <c r="N499" s="8"/>
      <c r="O499" s="8"/>
      <c r="P499" s="8"/>
      <c r="Q499" s="8"/>
      <c r="R499" s="8"/>
      <c r="S499" s="8"/>
      <c r="T499" s="8"/>
      <c r="U499" s="8"/>
      <c r="V499" s="8"/>
      <c r="W499" s="8"/>
      <c r="X499" s="8"/>
      <c r="Y499" s="8"/>
      <c r="Z499" s="8"/>
    </row>
    <row r="500" ht="14.25" customHeight="1">
      <c r="A500" s="8">
        <v>24366.0</v>
      </c>
      <c r="B500" s="8" t="s">
        <v>24</v>
      </c>
      <c r="C500" s="8" t="s">
        <v>1547</v>
      </c>
      <c r="D500" s="8">
        <v>2017.0</v>
      </c>
      <c r="E500" s="8" t="s">
        <v>1548</v>
      </c>
      <c r="F500" s="8" t="s">
        <v>174</v>
      </c>
      <c r="G500" s="8">
        <v>2017.0</v>
      </c>
      <c r="H500" s="8">
        <v>10.0</v>
      </c>
      <c r="I500" s="8" t="s">
        <v>33</v>
      </c>
      <c r="J500" s="8" t="s">
        <v>29</v>
      </c>
      <c r="K500" s="8"/>
      <c r="L500" s="8"/>
      <c r="M500" s="8"/>
      <c r="N500" s="8"/>
      <c r="O500" s="8"/>
      <c r="P500" s="8"/>
      <c r="Q500" s="8"/>
      <c r="R500" s="8"/>
      <c r="S500" s="8"/>
      <c r="T500" s="8"/>
      <c r="U500" s="8"/>
      <c r="V500" s="8"/>
      <c r="W500" s="8"/>
      <c r="X500" s="8"/>
      <c r="Y500" s="8"/>
      <c r="Z500" s="8"/>
    </row>
    <row r="501" ht="14.25" customHeight="1">
      <c r="A501" s="8">
        <v>24094.0</v>
      </c>
      <c r="B501" s="8" t="s">
        <v>24</v>
      </c>
      <c r="C501" s="8" t="s">
        <v>1549</v>
      </c>
      <c r="D501" s="8">
        <v>2014.0</v>
      </c>
      <c r="E501" s="8" t="s">
        <v>1550</v>
      </c>
      <c r="F501" s="8" t="s">
        <v>552</v>
      </c>
      <c r="G501" s="8">
        <v>20.0</v>
      </c>
      <c r="H501" s="8">
        <v>10.0</v>
      </c>
      <c r="I501" s="8" t="s">
        <v>1551</v>
      </c>
      <c r="J501" s="8" t="s">
        <v>29</v>
      </c>
      <c r="K501" s="8"/>
      <c r="L501" s="8"/>
      <c r="M501" s="8"/>
      <c r="N501" s="8"/>
      <c r="O501" s="8"/>
      <c r="P501" s="8"/>
      <c r="Q501" s="8"/>
      <c r="R501" s="8"/>
      <c r="S501" s="8"/>
      <c r="T501" s="8"/>
      <c r="U501" s="8"/>
      <c r="V501" s="8"/>
      <c r="W501" s="8"/>
      <c r="X501" s="8"/>
      <c r="Y501" s="8"/>
      <c r="Z501" s="8"/>
    </row>
    <row r="502" ht="14.25" customHeight="1">
      <c r="A502" s="8">
        <v>24114.0</v>
      </c>
      <c r="B502" s="8" t="s">
        <v>24</v>
      </c>
      <c r="C502" s="8" t="s">
        <v>1552</v>
      </c>
      <c r="D502" s="8">
        <v>2020.0</v>
      </c>
      <c r="E502" s="8" t="s">
        <v>1553</v>
      </c>
      <c r="F502" s="8" t="s">
        <v>473</v>
      </c>
      <c r="G502" s="8">
        <v>90.0</v>
      </c>
      <c r="H502" s="8" t="s">
        <v>33</v>
      </c>
      <c r="I502" s="8" t="s">
        <v>33</v>
      </c>
      <c r="J502" s="8" t="s">
        <v>29</v>
      </c>
      <c r="K502" s="8"/>
      <c r="L502" s="8"/>
      <c r="M502" s="8"/>
      <c r="N502" s="8"/>
      <c r="O502" s="8"/>
      <c r="P502" s="8"/>
      <c r="Q502" s="8"/>
      <c r="R502" s="8"/>
      <c r="S502" s="8"/>
      <c r="T502" s="8"/>
      <c r="U502" s="8"/>
      <c r="V502" s="8"/>
      <c r="W502" s="8"/>
      <c r="X502" s="8"/>
      <c r="Y502" s="8"/>
      <c r="Z502" s="8"/>
    </row>
    <row r="503" ht="14.25" customHeight="1">
      <c r="A503" s="8">
        <v>24133.0</v>
      </c>
      <c r="B503" s="8" t="s">
        <v>24</v>
      </c>
      <c r="C503" s="8" t="s">
        <v>1554</v>
      </c>
      <c r="D503" s="8">
        <v>2019.0</v>
      </c>
      <c r="E503" s="8" t="s">
        <v>1555</v>
      </c>
      <c r="F503" s="8" t="s">
        <v>1556</v>
      </c>
      <c r="G503" s="8">
        <v>41.0</v>
      </c>
      <c r="H503" s="8">
        <v>2.0</v>
      </c>
      <c r="I503" s="8" t="s">
        <v>1557</v>
      </c>
      <c r="J503" s="8" t="s">
        <v>29</v>
      </c>
      <c r="K503" s="8"/>
      <c r="L503" s="8"/>
      <c r="M503" s="8"/>
      <c r="N503" s="8"/>
      <c r="O503" s="8"/>
      <c r="P503" s="8"/>
      <c r="Q503" s="8"/>
      <c r="R503" s="8"/>
      <c r="S503" s="8"/>
      <c r="T503" s="8"/>
      <c r="U503" s="8"/>
      <c r="V503" s="8"/>
      <c r="W503" s="8"/>
      <c r="X503" s="8"/>
      <c r="Y503" s="8"/>
      <c r="Z503" s="8"/>
    </row>
    <row r="504" ht="14.25" customHeight="1">
      <c r="A504" s="8">
        <v>23825.0</v>
      </c>
      <c r="B504" s="8" t="s">
        <v>24</v>
      </c>
      <c r="C504" s="8" t="s">
        <v>1558</v>
      </c>
      <c r="D504" s="8">
        <v>2016.0</v>
      </c>
      <c r="E504" s="8" t="s">
        <v>1559</v>
      </c>
      <c r="F504" s="8" t="s">
        <v>1560</v>
      </c>
      <c r="G504" s="8">
        <v>64.0</v>
      </c>
      <c r="H504" s="8">
        <v>3.0</v>
      </c>
      <c r="I504" s="8" t="s">
        <v>1561</v>
      </c>
      <c r="J504" s="8" t="s">
        <v>29</v>
      </c>
      <c r="K504" s="8"/>
      <c r="L504" s="8"/>
      <c r="M504" s="8"/>
      <c r="N504" s="8"/>
      <c r="O504" s="8"/>
      <c r="P504" s="8"/>
      <c r="Q504" s="8"/>
      <c r="R504" s="8"/>
      <c r="S504" s="8"/>
      <c r="T504" s="8"/>
      <c r="U504" s="8"/>
      <c r="V504" s="8"/>
      <c r="W504" s="8"/>
      <c r="X504" s="8"/>
      <c r="Y504" s="8"/>
      <c r="Z504" s="8"/>
    </row>
    <row r="505" ht="14.25" customHeight="1">
      <c r="A505" s="8">
        <v>23190.0</v>
      </c>
      <c r="B505" s="8" t="s">
        <v>24</v>
      </c>
      <c r="C505" s="8" t="s">
        <v>1562</v>
      </c>
      <c r="D505" s="8">
        <v>2017.0</v>
      </c>
      <c r="E505" s="8" t="s">
        <v>1563</v>
      </c>
      <c r="F505" s="8" t="s">
        <v>1400</v>
      </c>
      <c r="G505" s="8">
        <v>98.0</v>
      </c>
      <c r="H505" s="8">
        <v>6.0</v>
      </c>
      <c r="I505" s="8" t="s">
        <v>1564</v>
      </c>
      <c r="J505" s="8" t="s">
        <v>29</v>
      </c>
      <c r="K505" s="8"/>
      <c r="L505" s="8"/>
      <c r="M505" s="8"/>
      <c r="N505" s="8"/>
      <c r="O505" s="8"/>
      <c r="P505" s="8"/>
      <c r="Q505" s="8"/>
      <c r="R505" s="8"/>
      <c r="S505" s="8"/>
      <c r="T505" s="8"/>
      <c r="U505" s="8"/>
      <c r="V505" s="8"/>
      <c r="W505" s="8"/>
      <c r="X505" s="8"/>
      <c r="Y505" s="8"/>
      <c r="Z505" s="8"/>
    </row>
    <row r="506" ht="14.25" customHeight="1">
      <c r="A506" s="8">
        <v>24258.0</v>
      </c>
      <c r="B506" s="8" t="s">
        <v>24</v>
      </c>
      <c r="C506" s="8" t="s">
        <v>1127</v>
      </c>
      <c r="D506" s="8">
        <v>2014.0</v>
      </c>
      <c r="E506" s="8" t="s">
        <v>1565</v>
      </c>
      <c r="F506" s="8" t="s">
        <v>74</v>
      </c>
      <c r="G506" s="8">
        <v>22.0</v>
      </c>
      <c r="H506" s="8">
        <v>3.0</v>
      </c>
      <c r="I506" s="8" t="s">
        <v>1566</v>
      </c>
      <c r="J506" s="8" t="s">
        <v>29</v>
      </c>
      <c r="K506" s="8"/>
      <c r="L506" s="8"/>
      <c r="M506" s="8"/>
      <c r="N506" s="8"/>
      <c r="O506" s="8"/>
      <c r="P506" s="8"/>
      <c r="Q506" s="8"/>
      <c r="R506" s="8"/>
      <c r="S506" s="8"/>
      <c r="T506" s="8"/>
      <c r="U506" s="8"/>
      <c r="V506" s="8"/>
      <c r="W506" s="8"/>
      <c r="X506" s="8"/>
      <c r="Y506" s="8"/>
      <c r="Z506" s="8"/>
    </row>
    <row r="507" ht="14.25" customHeight="1">
      <c r="A507" s="8">
        <v>23941.0</v>
      </c>
      <c r="B507" s="8" t="s">
        <v>24</v>
      </c>
      <c r="C507" s="8" t="s">
        <v>1567</v>
      </c>
      <c r="D507" s="8">
        <v>2016.0</v>
      </c>
      <c r="E507" s="8" t="s">
        <v>1568</v>
      </c>
      <c r="F507" s="8" t="s">
        <v>195</v>
      </c>
      <c r="G507" s="8">
        <v>115.0</v>
      </c>
      <c r="H507" s="8" t="s">
        <v>33</v>
      </c>
      <c r="I507" s="8" t="s">
        <v>1569</v>
      </c>
      <c r="J507" s="8" t="s">
        <v>29</v>
      </c>
      <c r="K507" s="8"/>
      <c r="L507" s="8"/>
      <c r="M507" s="8"/>
      <c r="N507" s="8"/>
      <c r="O507" s="8"/>
      <c r="P507" s="8"/>
      <c r="Q507" s="8"/>
      <c r="R507" s="8"/>
      <c r="S507" s="8"/>
      <c r="T507" s="8"/>
      <c r="U507" s="8"/>
      <c r="V507" s="8"/>
      <c r="W507" s="8"/>
      <c r="X507" s="8"/>
      <c r="Y507" s="8"/>
      <c r="Z507" s="8"/>
    </row>
    <row r="508" ht="14.25" customHeight="1">
      <c r="A508" s="8">
        <v>25086.0</v>
      </c>
      <c r="B508" s="8" t="s">
        <v>24</v>
      </c>
      <c r="C508" s="8" t="s">
        <v>1570</v>
      </c>
      <c r="D508" s="8">
        <v>2008.0</v>
      </c>
      <c r="E508" s="8" t="s">
        <v>1571</v>
      </c>
      <c r="F508" s="8" t="s">
        <v>56</v>
      </c>
      <c r="G508" s="8">
        <v>45.0</v>
      </c>
      <c r="H508" s="8">
        <v>6.0</v>
      </c>
      <c r="I508" s="8" t="s">
        <v>1572</v>
      </c>
      <c r="J508" s="8" t="s">
        <v>29</v>
      </c>
      <c r="K508" s="8"/>
      <c r="L508" s="8"/>
      <c r="M508" s="8"/>
      <c r="N508" s="8"/>
      <c r="O508" s="8"/>
      <c r="P508" s="8"/>
      <c r="Q508" s="8"/>
      <c r="R508" s="8"/>
      <c r="S508" s="8"/>
      <c r="T508" s="8"/>
      <c r="U508" s="8"/>
      <c r="V508" s="8"/>
      <c r="W508" s="8"/>
      <c r="X508" s="8"/>
      <c r="Y508" s="8"/>
      <c r="Z508" s="8"/>
    </row>
    <row r="509" ht="14.25" customHeight="1">
      <c r="A509" s="8">
        <v>23489.0</v>
      </c>
      <c r="B509" s="8" t="s">
        <v>24</v>
      </c>
      <c r="C509" s="8" t="s">
        <v>1573</v>
      </c>
      <c r="D509" s="8">
        <v>2010.0</v>
      </c>
      <c r="E509" s="8" t="s">
        <v>1574</v>
      </c>
      <c r="F509" s="8" t="s">
        <v>538</v>
      </c>
      <c r="G509" s="8">
        <v>12.0</v>
      </c>
      <c r="H509" s="8">
        <v>1.0</v>
      </c>
      <c r="I509" s="8" t="s">
        <v>1575</v>
      </c>
      <c r="J509" s="8" t="s">
        <v>29</v>
      </c>
      <c r="K509" s="8"/>
      <c r="L509" s="8"/>
      <c r="M509" s="8"/>
      <c r="N509" s="8"/>
      <c r="O509" s="8"/>
      <c r="P509" s="8"/>
      <c r="Q509" s="8"/>
      <c r="R509" s="8"/>
      <c r="S509" s="8"/>
      <c r="T509" s="8"/>
      <c r="U509" s="8"/>
      <c r="V509" s="8"/>
      <c r="W509" s="8"/>
      <c r="X509" s="8"/>
      <c r="Y509" s="8"/>
      <c r="Z509" s="8"/>
    </row>
    <row r="510" ht="14.25" customHeight="1">
      <c r="A510" s="8">
        <v>25028.0</v>
      </c>
      <c r="B510" s="8" t="s">
        <v>24</v>
      </c>
      <c r="C510" s="8" t="s">
        <v>1576</v>
      </c>
      <c r="D510" s="8">
        <v>2013.0</v>
      </c>
      <c r="E510" s="8" t="s">
        <v>1577</v>
      </c>
      <c r="F510" s="8" t="s">
        <v>1578</v>
      </c>
      <c r="G510" s="8">
        <v>37.0</v>
      </c>
      <c r="H510" s="8">
        <v>3.0</v>
      </c>
      <c r="I510" s="8" t="s">
        <v>1579</v>
      </c>
      <c r="J510" s="8" t="s">
        <v>29</v>
      </c>
      <c r="K510" s="8"/>
      <c r="L510" s="8"/>
      <c r="M510" s="8"/>
      <c r="N510" s="8"/>
      <c r="O510" s="8"/>
      <c r="P510" s="8"/>
      <c r="Q510" s="8"/>
      <c r="R510" s="8"/>
      <c r="S510" s="8"/>
      <c r="T510" s="8"/>
      <c r="U510" s="8"/>
      <c r="V510" s="8"/>
      <c r="W510" s="8"/>
      <c r="X510" s="8"/>
      <c r="Y510" s="8"/>
      <c r="Z510" s="8"/>
    </row>
    <row r="511" ht="14.25" customHeight="1">
      <c r="A511" s="8">
        <v>25052.0</v>
      </c>
      <c r="B511" s="8" t="s">
        <v>24</v>
      </c>
      <c r="C511" s="8" t="s">
        <v>1580</v>
      </c>
      <c r="D511" s="8">
        <v>2014.0</v>
      </c>
      <c r="E511" s="8" t="s">
        <v>1581</v>
      </c>
      <c r="F511" s="8" t="s">
        <v>1582</v>
      </c>
      <c r="G511" s="8">
        <v>64.0</v>
      </c>
      <c r="H511" s="8">
        <v>1.0</v>
      </c>
      <c r="I511" s="8" t="s">
        <v>1583</v>
      </c>
      <c r="J511" s="8" t="s">
        <v>29</v>
      </c>
      <c r="K511" s="8"/>
      <c r="L511" s="8"/>
      <c r="M511" s="8"/>
      <c r="N511" s="8"/>
      <c r="O511" s="8"/>
      <c r="P511" s="8"/>
      <c r="Q511" s="8"/>
      <c r="R511" s="8"/>
      <c r="S511" s="8"/>
      <c r="T511" s="8"/>
      <c r="U511" s="8"/>
      <c r="V511" s="8"/>
      <c r="W511" s="8"/>
      <c r="X511" s="8"/>
      <c r="Y511" s="8"/>
      <c r="Z511" s="8"/>
    </row>
    <row r="512" ht="14.25" customHeight="1">
      <c r="A512" s="8">
        <v>23211.0</v>
      </c>
      <c r="B512" s="8" t="s">
        <v>24</v>
      </c>
      <c r="C512" s="8" t="s">
        <v>1584</v>
      </c>
      <c r="D512" s="8">
        <v>2020.0</v>
      </c>
      <c r="E512" s="8" t="s">
        <v>1585</v>
      </c>
      <c r="F512" s="8" t="s">
        <v>336</v>
      </c>
      <c r="G512" s="8">
        <v>117.0</v>
      </c>
      <c r="H512" s="8">
        <v>7.0</v>
      </c>
      <c r="I512" s="8" t="s">
        <v>1586</v>
      </c>
      <c r="J512" s="8" t="s">
        <v>29</v>
      </c>
      <c r="K512" s="8"/>
      <c r="L512" s="8"/>
      <c r="M512" s="8"/>
      <c r="N512" s="8"/>
      <c r="O512" s="8"/>
      <c r="P512" s="8"/>
      <c r="Q512" s="8"/>
      <c r="R512" s="8"/>
      <c r="S512" s="8"/>
      <c r="T512" s="8"/>
      <c r="U512" s="8"/>
      <c r="V512" s="8"/>
      <c r="W512" s="8"/>
      <c r="X512" s="8"/>
      <c r="Y512" s="8"/>
      <c r="Z512" s="8"/>
    </row>
    <row r="513" ht="14.25" customHeight="1">
      <c r="A513" s="8">
        <v>24352.0</v>
      </c>
      <c r="B513" s="8" t="s">
        <v>24</v>
      </c>
      <c r="C513" s="8" t="s">
        <v>1587</v>
      </c>
      <c r="D513" s="8">
        <v>2016.0</v>
      </c>
      <c r="E513" s="8" t="s">
        <v>1588</v>
      </c>
      <c r="F513" s="8" t="s">
        <v>36</v>
      </c>
      <c r="G513" s="8">
        <v>11.0</v>
      </c>
      <c r="H513" s="8">
        <v>8.0</v>
      </c>
      <c r="I513" s="8" t="s">
        <v>33</v>
      </c>
      <c r="J513" s="8" t="s">
        <v>29</v>
      </c>
      <c r="K513" s="8"/>
      <c r="L513" s="8"/>
      <c r="M513" s="8"/>
      <c r="N513" s="8"/>
      <c r="O513" s="8"/>
      <c r="P513" s="8"/>
      <c r="Q513" s="8"/>
      <c r="R513" s="8"/>
      <c r="S513" s="8"/>
      <c r="T513" s="8"/>
      <c r="U513" s="8"/>
      <c r="V513" s="8"/>
      <c r="W513" s="8"/>
      <c r="X513" s="8"/>
      <c r="Y513" s="8"/>
      <c r="Z513" s="8"/>
    </row>
    <row r="514" ht="14.25" customHeight="1">
      <c r="A514" s="8">
        <v>25953.0</v>
      </c>
      <c r="B514" s="8" t="s">
        <v>24</v>
      </c>
      <c r="C514" s="8" t="s">
        <v>1330</v>
      </c>
      <c r="D514" s="8">
        <v>2013.0</v>
      </c>
      <c r="E514" s="8" t="s">
        <v>1589</v>
      </c>
      <c r="F514" s="8" t="s">
        <v>53</v>
      </c>
      <c r="G514" s="8">
        <v>4.0</v>
      </c>
      <c r="H514" s="8">
        <v>3.0</v>
      </c>
      <c r="I514" s="8" t="s">
        <v>33</v>
      </c>
      <c r="J514" s="8" t="s">
        <v>29</v>
      </c>
      <c r="K514" s="8"/>
      <c r="L514" s="8"/>
      <c r="M514" s="8"/>
      <c r="N514" s="8"/>
      <c r="O514" s="8"/>
      <c r="P514" s="8"/>
      <c r="Q514" s="8"/>
      <c r="R514" s="8"/>
      <c r="S514" s="8"/>
      <c r="T514" s="8"/>
      <c r="U514" s="8"/>
      <c r="V514" s="8"/>
      <c r="W514" s="8"/>
      <c r="X514" s="8"/>
      <c r="Y514" s="8"/>
      <c r="Z514" s="8"/>
    </row>
    <row r="515" ht="14.25" customHeight="1">
      <c r="A515" s="8">
        <v>24107.0</v>
      </c>
      <c r="B515" s="8" t="s">
        <v>24</v>
      </c>
      <c r="C515" s="8" t="s">
        <v>1590</v>
      </c>
      <c r="D515" s="8">
        <v>2018.0</v>
      </c>
      <c r="E515" s="8" t="s">
        <v>1591</v>
      </c>
      <c r="F515" s="8" t="s">
        <v>36</v>
      </c>
      <c r="G515" s="8">
        <v>13.0</v>
      </c>
      <c r="H515" s="8">
        <v>12.0</v>
      </c>
      <c r="I515" s="8" t="s">
        <v>33</v>
      </c>
      <c r="J515" s="8" t="s">
        <v>29</v>
      </c>
      <c r="K515" s="8"/>
      <c r="L515" s="8"/>
      <c r="M515" s="8"/>
      <c r="N515" s="8"/>
      <c r="O515" s="8"/>
      <c r="P515" s="8"/>
      <c r="Q515" s="8"/>
      <c r="R515" s="8"/>
      <c r="S515" s="8"/>
      <c r="T515" s="8"/>
      <c r="U515" s="8"/>
      <c r="V515" s="8"/>
      <c r="W515" s="8"/>
      <c r="X515" s="8"/>
      <c r="Y515" s="8"/>
      <c r="Z515" s="8"/>
    </row>
    <row r="516" ht="14.25" customHeight="1">
      <c r="A516" s="8">
        <v>26054.0</v>
      </c>
      <c r="B516" s="8" t="s">
        <v>24</v>
      </c>
      <c r="C516" s="8" t="s">
        <v>1592</v>
      </c>
      <c r="D516" s="8">
        <v>2013.0</v>
      </c>
      <c r="E516" s="8" t="s">
        <v>1593</v>
      </c>
      <c r="F516" s="8" t="s">
        <v>965</v>
      </c>
      <c r="G516" s="8">
        <v>8.0</v>
      </c>
      <c r="H516" s="8">
        <v>4.0</v>
      </c>
      <c r="I516" s="8">
        <v>7.0</v>
      </c>
      <c r="J516" s="8" t="s">
        <v>29</v>
      </c>
      <c r="K516" s="8"/>
      <c r="L516" s="8"/>
      <c r="M516" s="8"/>
      <c r="N516" s="8"/>
      <c r="O516" s="8"/>
      <c r="P516" s="8"/>
      <c r="Q516" s="8"/>
      <c r="R516" s="8"/>
      <c r="S516" s="8"/>
      <c r="T516" s="8"/>
      <c r="U516" s="8"/>
      <c r="V516" s="8"/>
      <c r="W516" s="8"/>
      <c r="X516" s="8"/>
      <c r="Y516" s="8"/>
      <c r="Z516" s="8"/>
    </row>
    <row r="517" ht="14.25" customHeight="1">
      <c r="A517" s="8">
        <v>26078.0</v>
      </c>
      <c r="B517" s="8" t="s">
        <v>24</v>
      </c>
      <c r="C517" s="8" t="s">
        <v>1594</v>
      </c>
      <c r="D517" s="8">
        <v>2019.0</v>
      </c>
      <c r="E517" s="8" t="s">
        <v>1595</v>
      </c>
      <c r="F517" s="8" t="s">
        <v>1596</v>
      </c>
      <c r="G517" s="8">
        <v>11.0</v>
      </c>
      <c r="H517" s="8">
        <v>13.0</v>
      </c>
      <c r="I517" s="8">
        <v>21.0</v>
      </c>
      <c r="J517" s="8" t="s">
        <v>29</v>
      </c>
      <c r="K517" s="8"/>
      <c r="L517" s="8"/>
      <c r="M517" s="8"/>
      <c r="N517" s="8"/>
      <c r="O517" s="8"/>
      <c r="P517" s="8"/>
      <c r="Q517" s="8"/>
      <c r="R517" s="8"/>
      <c r="S517" s="8"/>
      <c r="T517" s="8"/>
      <c r="U517" s="8"/>
      <c r="V517" s="8"/>
      <c r="W517" s="8"/>
      <c r="X517" s="8"/>
      <c r="Y517" s="8"/>
      <c r="Z517" s="8"/>
    </row>
    <row r="518" ht="14.25" customHeight="1">
      <c r="A518" s="8">
        <v>23674.0</v>
      </c>
      <c r="B518" s="8" t="s">
        <v>24</v>
      </c>
      <c r="C518" s="8" t="s">
        <v>1597</v>
      </c>
      <c r="D518" s="8">
        <v>2017.0</v>
      </c>
      <c r="E518" s="8" t="s">
        <v>1598</v>
      </c>
      <c r="F518" s="8" t="s">
        <v>1599</v>
      </c>
      <c r="G518" s="8">
        <v>15.0</v>
      </c>
      <c r="H518" s="8">
        <v>3.0</v>
      </c>
      <c r="I518" s="8" t="s">
        <v>1600</v>
      </c>
      <c r="J518" s="8" t="s">
        <v>29</v>
      </c>
      <c r="K518" s="8"/>
      <c r="L518" s="8"/>
      <c r="M518" s="8"/>
      <c r="N518" s="8"/>
      <c r="O518" s="8"/>
      <c r="P518" s="8"/>
      <c r="Q518" s="8"/>
      <c r="R518" s="8"/>
      <c r="S518" s="8"/>
      <c r="T518" s="8"/>
      <c r="U518" s="8"/>
      <c r="V518" s="8"/>
      <c r="W518" s="8"/>
      <c r="X518" s="8"/>
      <c r="Y518" s="8"/>
      <c r="Z518" s="8"/>
    </row>
    <row r="519" ht="14.25" customHeight="1">
      <c r="A519" s="8">
        <v>24819.0</v>
      </c>
      <c r="B519" s="8" t="s">
        <v>24</v>
      </c>
      <c r="C519" s="8" t="s">
        <v>1601</v>
      </c>
      <c r="D519" s="8">
        <v>2017.0</v>
      </c>
      <c r="E519" s="8" t="s">
        <v>1602</v>
      </c>
      <c r="F519" s="8" t="s">
        <v>49</v>
      </c>
      <c r="G519" s="8">
        <v>574.0</v>
      </c>
      <c r="H519" s="8" t="s">
        <v>33</v>
      </c>
      <c r="I519" s="8" t="s">
        <v>1603</v>
      </c>
      <c r="J519" s="8" t="s">
        <v>29</v>
      </c>
      <c r="K519" s="8"/>
      <c r="L519" s="8"/>
      <c r="M519" s="8"/>
      <c r="N519" s="8"/>
      <c r="O519" s="8"/>
      <c r="P519" s="8"/>
      <c r="Q519" s="8"/>
      <c r="R519" s="8"/>
      <c r="S519" s="8"/>
      <c r="T519" s="8"/>
      <c r="U519" s="8"/>
      <c r="V519" s="8"/>
      <c r="W519" s="8"/>
      <c r="X519" s="8"/>
      <c r="Y519" s="8"/>
      <c r="Z519" s="8"/>
    </row>
    <row r="520" ht="14.25" customHeight="1">
      <c r="A520" s="8">
        <v>24150.0</v>
      </c>
      <c r="B520" s="8" t="s">
        <v>24</v>
      </c>
      <c r="C520" s="8" t="s">
        <v>1604</v>
      </c>
      <c r="D520" s="8">
        <v>2017.0</v>
      </c>
      <c r="E520" s="8" t="s">
        <v>1605</v>
      </c>
      <c r="F520" s="8" t="s">
        <v>153</v>
      </c>
      <c r="G520" s="8">
        <v>187.0</v>
      </c>
      <c r="H520" s="8" t="s">
        <v>33</v>
      </c>
      <c r="I520" s="8" t="s">
        <v>582</v>
      </c>
      <c r="J520" s="8" t="s">
        <v>29</v>
      </c>
      <c r="K520" s="8"/>
      <c r="L520" s="8"/>
      <c r="M520" s="8"/>
      <c r="N520" s="8"/>
      <c r="O520" s="8"/>
      <c r="P520" s="8"/>
      <c r="Q520" s="8"/>
      <c r="R520" s="8"/>
      <c r="S520" s="8"/>
      <c r="T520" s="8"/>
      <c r="U520" s="8"/>
      <c r="V520" s="8"/>
      <c r="W520" s="8"/>
      <c r="X520" s="8"/>
      <c r="Y520" s="8"/>
      <c r="Z520" s="8"/>
    </row>
    <row r="521" ht="14.25" customHeight="1">
      <c r="A521" s="8">
        <v>24556.0</v>
      </c>
      <c r="B521" s="8" t="s">
        <v>24</v>
      </c>
      <c r="C521" s="8" t="s">
        <v>1606</v>
      </c>
      <c r="D521" s="8">
        <v>2012.0</v>
      </c>
      <c r="E521" s="8" t="s">
        <v>1607</v>
      </c>
      <c r="F521" s="8" t="s">
        <v>1608</v>
      </c>
      <c r="G521" s="8">
        <v>62.0</v>
      </c>
      <c r="H521" s="8">
        <v>6.0</v>
      </c>
      <c r="I521" s="8" t="s">
        <v>1609</v>
      </c>
      <c r="J521" s="8" t="s">
        <v>29</v>
      </c>
      <c r="K521" s="8"/>
      <c r="L521" s="8"/>
      <c r="M521" s="8"/>
      <c r="N521" s="8"/>
      <c r="O521" s="8"/>
      <c r="P521" s="8"/>
      <c r="Q521" s="8"/>
      <c r="R521" s="8"/>
      <c r="S521" s="8"/>
      <c r="T521" s="8"/>
      <c r="U521" s="8"/>
      <c r="V521" s="8"/>
      <c r="W521" s="8"/>
      <c r="X521" s="8"/>
      <c r="Y521" s="8"/>
      <c r="Z521" s="8"/>
    </row>
    <row r="522" ht="14.25" customHeight="1">
      <c r="A522" s="8">
        <v>25200.0</v>
      </c>
      <c r="B522" s="8" t="s">
        <v>24</v>
      </c>
      <c r="C522" s="8" t="s">
        <v>1610</v>
      </c>
      <c r="D522" s="8">
        <v>2019.0</v>
      </c>
      <c r="E522" s="8" t="s">
        <v>1611</v>
      </c>
      <c r="F522" s="8" t="s">
        <v>808</v>
      </c>
      <c r="G522" s="8">
        <v>10.0</v>
      </c>
      <c r="H522" s="8">
        <v>4.0</v>
      </c>
      <c r="I522" s="8" t="s">
        <v>33</v>
      </c>
      <c r="J522" s="8" t="s">
        <v>29</v>
      </c>
      <c r="K522" s="8"/>
      <c r="L522" s="8"/>
      <c r="M522" s="8"/>
      <c r="N522" s="8"/>
      <c r="O522" s="8"/>
      <c r="P522" s="8"/>
      <c r="Q522" s="8"/>
      <c r="R522" s="8"/>
      <c r="S522" s="8"/>
      <c r="T522" s="8"/>
      <c r="U522" s="8"/>
      <c r="V522" s="8"/>
      <c r="W522" s="8"/>
      <c r="X522" s="8"/>
      <c r="Y522" s="8"/>
      <c r="Z522" s="8"/>
    </row>
    <row r="523" ht="14.25" customHeight="1">
      <c r="A523" s="8">
        <v>23670.0</v>
      </c>
      <c r="B523" s="8" t="s">
        <v>24</v>
      </c>
      <c r="C523" s="8" t="s">
        <v>1612</v>
      </c>
      <c r="D523" s="8">
        <v>2020.0</v>
      </c>
      <c r="E523" s="8" t="s">
        <v>1613</v>
      </c>
      <c r="F523" s="8" t="s">
        <v>415</v>
      </c>
      <c r="G523" s="8">
        <v>15.0</v>
      </c>
      <c r="H523" s="8">
        <v>3.0</v>
      </c>
      <c r="I523" s="8">
        <v>14.0</v>
      </c>
      <c r="J523" s="8" t="s">
        <v>29</v>
      </c>
      <c r="K523" s="8"/>
      <c r="L523" s="8"/>
      <c r="M523" s="8"/>
      <c r="N523" s="8"/>
      <c r="O523" s="8"/>
      <c r="P523" s="8"/>
      <c r="Q523" s="8"/>
      <c r="R523" s="8"/>
      <c r="S523" s="8"/>
      <c r="T523" s="8"/>
      <c r="U523" s="8"/>
      <c r="V523" s="8"/>
      <c r="W523" s="8"/>
      <c r="X523" s="8"/>
      <c r="Y523" s="8"/>
      <c r="Z523" s="8"/>
    </row>
    <row r="524" ht="14.25" customHeight="1">
      <c r="A524" s="8">
        <v>24929.0</v>
      </c>
      <c r="B524" s="8" t="s">
        <v>24</v>
      </c>
      <c r="C524" s="8" t="s">
        <v>1614</v>
      </c>
      <c r="D524" s="8">
        <v>2019.0</v>
      </c>
      <c r="E524" s="8" t="s">
        <v>1615</v>
      </c>
      <c r="F524" s="8" t="s">
        <v>605</v>
      </c>
      <c r="G524" s="8">
        <v>131.0</v>
      </c>
      <c r="H524" s="8" t="s">
        <v>33</v>
      </c>
      <c r="I524" s="8" t="s">
        <v>1616</v>
      </c>
      <c r="J524" s="8" t="s">
        <v>29</v>
      </c>
      <c r="K524" s="8"/>
      <c r="L524" s="8"/>
      <c r="M524" s="8"/>
      <c r="N524" s="8"/>
      <c r="O524" s="8"/>
      <c r="P524" s="8"/>
      <c r="Q524" s="8"/>
      <c r="R524" s="8"/>
      <c r="S524" s="8"/>
      <c r="T524" s="8"/>
      <c r="U524" s="8"/>
      <c r="V524" s="8"/>
      <c r="W524" s="8"/>
      <c r="X524" s="8"/>
      <c r="Y524" s="8"/>
      <c r="Z524" s="8"/>
    </row>
    <row r="525" ht="14.25" customHeight="1">
      <c r="A525" s="8">
        <v>25846.0</v>
      </c>
      <c r="B525" s="8" t="s">
        <v>24</v>
      </c>
      <c r="C525" s="8" t="s">
        <v>1617</v>
      </c>
      <c r="D525" s="8">
        <v>2011.0</v>
      </c>
      <c r="E525" s="8" t="s">
        <v>1618</v>
      </c>
      <c r="F525" s="8" t="s">
        <v>438</v>
      </c>
      <c r="G525" s="8">
        <v>100.0</v>
      </c>
      <c r="H525" s="11">
        <v>44593.0</v>
      </c>
      <c r="I525" s="8" t="s">
        <v>1619</v>
      </c>
      <c r="J525" s="8" t="s">
        <v>29</v>
      </c>
      <c r="K525" s="8"/>
      <c r="L525" s="8"/>
      <c r="M525" s="8"/>
      <c r="N525" s="8"/>
      <c r="O525" s="8"/>
      <c r="P525" s="8"/>
      <c r="Q525" s="8"/>
      <c r="R525" s="8"/>
      <c r="S525" s="8"/>
      <c r="T525" s="8"/>
      <c r="U525" s="8"/>
      <c r="V525" s="8"/>
      <c r="W525" s="8"/>
      <c r="X525" s="8"/>
      <c r="Y525" s="8"/>
      <c r="Z525" s="8"/>
    </row>
    <row r="526" ht="14.25" customHeight="1">
      <c r="A526" s="8">
        <v>23864.0</v>
      </c>
      <c r="B526" s="8" t="s">
        <v>24</v>
      </c>
      <c r="C526" s="8" t="s">
        <v>1620</v>
      </c>
      <c r="D526" s="8">
        <v>2020.0</v>
      </c>
      <c r="E526" s="8" t="s">
        <v>1621</v>
      </c>
      <c r="F526" s="8" t="s">
        <v>256</v>
      </c>
      <c r="G526" s="8">
        <v>193.0</v>
      </c>
      <c r="H526" s="8" t="s">
        <v>33</v>
      </c>
      <c r="I526" s="8" t="s">
        <v>33</v>
      </c>
      <c r="J526" s="8" t="s">
        <v>29</v>
      </c>
      <c r="K526" s="8"/>
      <c r="L526" s="8"/>
      <c r="M526" s="8"/>
      <c r="N526" s="8"/>
      <c r="O526" s="8"/>
      <c r="P526" s="8"/>
      <c r="Q526" s="8"/>
      <c r="R526" s="8"/>
      <c r="S526" s="8"/>
      <c r="T526" s="8"/>
      <c r="U526" s="8"/>
      <c r="V526" s="8"/>
      <c r="W526" s="8"/>
      <c r="X526" s="8"/>
      <c r="Y526" s="8"/>
      <c r="Z526" s="8"/>
    </row>
    <row r="527" ht="14.25" customHeight="1">
      <c r="A527" s="8">
        <v>25543.0</v>
      </c>
      <c r="B527" s="8" t="s">
        <v>24</v>
      </c>
      <c r="C527" s="8" t="s">
        <v>1622</v>
      </c>
      <c r="D527" s="8">
        <v>2017.0</v>
      </c>
      <c r="E527" s="8" t="s">
        <v>1623</v>
      </c>
      <c r="F527" s="8" t="s">
        <v>36</v>
      </c>
      <c r="G527" s="8">
        <v>12.0</v>
      </c>
      <c r="H527" s="8">
        <v>2.0</v>
      </c>
      <c r="I527" s="8" t="s">
        <v>33</v>
      </c>
      <c r="J527" s="8" t="s">
        <v>29</v>
      </c>
      <c r="K527" s="8"/>
      <c r="L527" s="8"/>
      <c r="M527" s="8"/>
      <c r="N527" s="8"/>
      <c r="O527" s="8"/>
      <c r="P527" s="8"/>
      <c r="Q527" s="8"/>
      <c r="R527" s="8"/>
      <c r="S527" s="8"/>
      <c r="T527" s="8"/>
      <c r="U527" s="8"/>
      <c r="V527" s="8"/>
      <c r="W527" s="8"/>
      <c r="X527" s="8"/>
      <c r="Y527" s="8"/>
      <c r="Z527" s="8"/>
    </row>
    <row r="528" ht="14.25" customHeight="1">
      <c r="A528" s="8">
        <v>25740.0</v>
      </c>
      <c r="B528" s="8" t="s">
        <v>24</v>
      </c>
      <c r="C528" s="8" t="s">
        <v>1624</v>
      </c>
      <c r="D528" s="8">
        <v>2018.0</v>
      </c>
      <c r="E528" s="8" t="s">
        <v>1625</v>
      </c>
      <c r="F528" s="8" t="s">
        <v>60</v>
      </c>
      <c r="G528" s="8">
        <v>32.0</v>
      </c>
      <c r="H528" s="8">
        <v>1.0</v>
      </c>
      <c r="I528" s="8" t="s">
        <v>1626</v>
      </c>
      <c r="J528" s="8" t="s">
        <v>29</v>
      </c>
      <c r="K528" s="8"/>
      <c r="L528" s="8"/>
      <c r="M528" s="8"/>
      <c r="N528" s="8"/>
      <c r="O528" s="8"/>
      <c r="P528" s="8"/>
      <c r="Q528" s="8"/>
      <c r="R528" s="8"/>
      <c r="S528" s="8"/>
      <c r="T528" s="8"/>
      <c r="U528" s="8"/>
      <c r="V528" s="8"/>
      <c r="W528" s="8"/>
      <c r="X528" s="8"/>
      <c r="Y528" s="8"/>
      <c r="Z528" s="8"/>
    </row>
    <row r="529" ht="14.25" customHeight="1">
      <c r="A529" s="8">
        <v>25997.0</v>
      </c>
      <c r="B529" s="8" t="s">
        <v>24</v>
      </c>
      <c r="C529" s="8" t="s">
        <v>1499</v>
      </c>
      <c r="D529" s="8">
        <v>2000.0</v>
      </c>
      <c r="E529" s="8" t="s">
        <v>1627</v>
      </c>
      <c r="F529" s="8" t="s">
        <v>1058</v>
      </c>
      <c r="G529" s="8">
        <v>3.0</v>
      </c>
      <c r="H529" s="8">
        <v>1.0</v>
      </c>
      <c r="I529" s="8" t="s">
        <v>1628</v>
      </c>
      <c r="J529" s="8" t="s">
        <v>29</v>
      </c>
      <c r="K529" s="8"/>
      <c r="L529" s="8"/>
      <c r="M529" s="8"/>
      <c r="N529" s="8"/>
      <c r="O529" s="8"/>
      <c r="P529" s="8"/>
      <c r="Q529" s="8"/>
      <c r="R529" s="8"/>
      <c r="S529" s="8"/>
      <c r="T529" s="8"/>
      <c r="U529" s="8"/>
      <c r="V529" s="8"/>
      <c r="W529" s="8"/>
      <c r="X529" s="8"/>
      <c r="Y529" s="8"/>
      <c r="Z529" s="8"/>
    </row>
    <row r="530" ht="14.25" customHeight="1">
      <c r="A530" s="8">
        <v>23845.0</v>
      </c>
      <c r="B530" s="8" t="s">
        <v>24</v>
      </c>
      <c r="C530" s="8" t="s">
        <v>1629</v>
      </c>
      <c r="D530" s="8">
        <v>2011.0</v>
      </c>
      <c r="E530" s="8" t="s">
        <v>1630</v>
      </c>
      <c r="F530" s="8" t="s">
        <v>64</v>
      </c>
      <c r="G530" s="8">
        <v>144.0</v>
      </c>
      <c r="H530" s="8">
        <v>5.0</v>
      </c>
      <c r="I530" s="8" t="s">
        <v>1631</v>
      </c>
      <c r="J530" s="8" t="s">
        <v>29</v>
      </c>
      <c r="K530" s="8"/>
      <c r="L530" s="8"/>
      <c r="M530" s="8"/>
      <c r="N530" s="8"/>
      <c r="O530" s="8"/>
      <c r="P530" s="8"/>
      <c r="Q530" s="8"/>
      <c r="R530" s="8"/>
      <c r="S530" s="8"/>
      <c r="T530" s="8"/>
      <c r="U530" s="8"/>
      <c r="V530" s="8"/>
      <c r="W530" s="8"/>
      <c r="X530" s="8"/>
      <c r="Y530" s="8"/>
      <c r="Z530" s="8"/>
    </row>
    <row r="531" ht="14.25" customHeight="1">
      <c r="A531" s="8">
        <v>25417.0</v>
      </c>
      <c r="B531" s="8" t="s">
        <v>24</v>
      </c>
      <c r="C531" s="8" t="s">
        <v>1393</v>
      </c>
      <c r="D531" s="8">
        <v>2020.0</v>
      </c>
      <c r="E531" s="8" t="s">
        <v>1632</v>
      </c>
      <c r="F531" s="8" t="s">
        <v>404</v>
      </c>
      <c r="G531" s="8">
        <v>43.0</v>
      </c>
      <c r="H531" s="8">
        <v>7.0</v>
      </c>
      <c r="I531" s="8" t="s">
        <v>1633</v>
      </c>
      <c r="J531" s="8" t="s">
        <v>29</v>
      </c>
      <c r="K531" s="8"/>
      <c r="L531" s="8"/>
      <c r="M531" s="8"/>
      <c r="N531" s="8"/>
      <c r="O531" s="8"/>
      <c r="P531" s="8"/>
      <c r="Q531" s="8"/>
      <c r="R531" s="8"/>
      <c r="S531" s="8"/>
      <c r="T531" s="8"/>
      <c r="U531" s="8"/>
      <c r="V531" s="8"/>
      <c r="W531" s="8"/>
      <c r="X531" s="8"/>
      <c r="Y531" s="8"/>
      <c r="Z531" s="8"/>
    </row>
    <row r="532" ht="14.25" customHeight="1">
      <c r="A532" s="8">
        <v>25601.0</v>
      </c>
      <c r="B532" s="8" t="s">
        <v>24</v>
      </c>
      <c r="C532" s="8" t="s">
        <v>1312</v>
      </c>
      <c r="D532" s="8">
        <v>2017.0</v>
      </c>
      <c r="E532" s="8" t="s">
        <v>1634</v>
      </c>
      <c r="F532" s="8" t="s">
        <v>1635</v>
      </c>
      <c r="G532" s="8">
        <v>7.0</v>
      </c>
      <c r="H532" s="8" t="s">
        <v>33</v>
      </c>
      <c r="I532" s="8" t="s">
        <v>1636</v>
      </c>
      <c r="J532" s="8" t="s">
        <v>29</v>
      </c>
      <c r="K532" s="8"/>
      <c r="L532" s="8"/>
      <c r="M532" s="8"/>
      <c r="N532" s="8"/>
      <c r="O532" s="8"/>
      <c r="P532" s="8"/>
      <c r="Q532" s="8"/>
      <c r="R532" s="8"/>
      <c r="S532" s="8"/>
      <c r="T532" s="8"/>
      <c r="U532" s="8"/>
      <c r="V532" s="8"/>
      <c r="W532" s="8"/>
      <c r="X532" s="8"/>
      <c r="Y532" s="8"/>
      <c r="Z532" s="8"/>
    </row>
    <row r="533" ht="14.25" customHeight="1">
      <c r="A533" s="8">
        <v>23164.0</v>
      </c>
      <c r="B533" s="8" t="s">
        <v>24</v>
      </c>
      <c r="C533" s="8" t="s">
        <v>1637</v>
      </c>
      <c r="D533" s="8">
        <v>2014.0</v>
      </c>
      <c r="E533" s="8" t="s">
        <v>1638</v>
      </c>
      <c r="F533" s="8" t="s">
        <v>769</v>
      </c>
      <c r="G533" s="8">
        <v>24.0</v>
      </c>
      <c r="H533" s="8">
        <v>6.0</v>
      </c>
      <c r="I533" s="8" t="s">
        <v>1639</v>
      </c>
      <c r="J533" s="8" t="s">
        <v>29</v>
      </c>
      <c r="K533" s="8"/>
      <c r="L533" s="8"/>
      <c r="M533" s="8"/>
      <c r="N533" s="8"/>
      <c r="O533" s="8"/>
      <c r="P533" s="8"/>
      <c r="Q533" s="8"/>
      <c r="R533" s="8"/>
      <c r="S533" s="8"/>
      <c r="T533" s="8"/>
      <c r="U533" s="8"/>
      <c r="V533" s="8"/>
      <c r="W533" s="8"/>
      <c r="X533" s="8"/>
      <c r="Y533" s="8"/>
      <c r="Z533" s="8"/>
    </row>
    <row r="534" ht="14.25" customHeight="1">
      <c r="A534" s="8">
        <v>25618.0</v>
      </c>
      <c r="B534" s="8" t="s">
        <v>24</v>
      </c>
      <c r="C534" s="8" t="s">
        <v>1640</v>
      </c>
      <c r="D534" s="8">
        <v>2018.0</v>
      </c>
      <c r="E534" s="8" t="s">
        <v>1641</v>
      </c>
      <c r="F534" s="8" t="s">
        <v>473</v>
      </c>
      <c r="G534" s="8">
        <v>77.0</v>
      </c>
      <c r="H534" s="8" t="s">
        <v>33</v>
      </c>
      <c r="I534" s="8" t="s">
        <v>1642</v>
      </c>
      <c r="J534" s="8" t="s">
        <v>29</v>
      </c>
      <c r="K534" s="8"/>
      <c r="L534" s="8"/>
      <c r="M534" s="8"/>
      <c r="N534" s="8"/>
      <c r="O534" s="8"/>
      <c r="P534" s="8"/>
      <c r="Q534" s="8"/>
      <c r="R534" s="8"/>
      <c r="S534" s="8"/>
      <c r="T534" s="8"/>
      <c r="U534" s="8"/>
      <c r="V534" s="8"/>
      <c r="W534" s="8"/>
      <c r="X534" s="8"/>
      <c r="Y534" s="8"/>
      <c r="Z534" s="8"/>
    </row>
    <row r="535" ht="14.25" customHeight="1">
      <c r="A535" s="8">
        <v>24500.0</v>
      </c>
      <c r="B535" s="8" t="s">
        <v>24</v>
      </c>
      <c r="C535" s="8" t="s">
        <v>1643</v>
      </c>
      <c r="D535" s="8">
        <v>2018.0</v>
      </c>
      <c r="E535" s="8" t="s">
        <v>1644</v>
      </c>
      <c r="F535" s="8" t="s">
        <v>933</v>
      </c>
      <c r="G535" s="8">
        <v>8.0</v>
      </c>
      <c r="H535" s="8">
        <v>1.0</v>
      </c>
      <c r="I535" s="8" t="s">
        <v>33</v>
      </c>
      <c r="J535" s="8" t="s">
        <v>29</v>
      </c>
      <c r="K535" s="8"/>
      <c r="L535" s="8"/>
      <c r="M535" s="8"/>
      <c r="N535" s="8"/>
      <c r="O535" s="8"/>
      <c r="P535" s="8"/>
      <c r="Q535" s="8"/>
      <c r="R535" s="8"/>
      <c r="S535" s="8"/>
      <c r="T535" s="8"/>
      <c r="U535" s="8"/>
      <c r="V535" s="8"/>
      <c r="W535" s="8"/>
      <c r="X535" s="8"/>
      <c r="Y535" s="8"/>
      <c r="Z535" s="8"/>
    </row>
    <row r="536" ht="14.25" customHeight="1">
      <c r="A536" s="8">
        <v>24139.0</v>
      </c>
      <c r="B536" s="8" t="s">
        <v>24</v>
      </c>
      <c r="C536" s="8" t="s">
        <v>1645</v>
      </c>
      <c r="D536" s="8">
        <v>2019.0</v>
      </c>
      <c r="E536" s="8" t="s">
        <v>1646</v>
      </c>
      <c r="F536" s="8" t="s">
        <v>145</v>
      </c>
      <c r="G536" s="8">
        <v>105.0</v>
      </c>
      <c r="H536" s="8" t="s">
        <v>33</v>
      </c>
      <c r="I536" s="8" t="s">
        <v>1647</v>
      </c>
      <c r="J536" s="8" t="s">
        <v>29</v>
      </c>
      <c r="K536" s="8"/>
      <c r="L536" s="8"/>
      <c r="M536" s="8"/>
      <c r="N536" s="8"/>
      <c r="O536" s="8"/>
      <c r="P536" s="8"/>
      <c r="Q536" s="8"/>
      <c r="R536" s="8"/>
      <c r="S536" s="8"/>
      <c r="T536" s="8"/>
      <c r="U536" s="8"/>
      <c r="V536" s="8"/>
      <c r="W536" s="8"/>
      <c r="X536" s="8"/>
      <c r="Y536" s="8"/>
      <c r="Z536" s="8"/>
    </row>
    <row r="537" ht="14.25" customHeight="1">
      <c r="A537" s="8">
        <v>25082.0</v>
      </c>
      <c r="B537" s="8" t="s">
        <v>24</v>
      </c>
      <c r="C537" s="8" t="s">
        <v>1648</v>
      </c>
      <c r="D537" s="8">
        <v>2018.0</v>
      </c>
      <c r="E537" s="8" t="s">
        <v>1649</v>
      </c>
      <c r="F537" s="8" t="s">
        <v>256</v>
      </c>
      <c r="G537" s="8">
        <v>161.0</v>
      </c>
      <c r="H537" s="8" t="s">
        <v>33</v>
      </c>
      <c r="I537" s="8" t="s">
        <v>1650</v>
      </c>
      <c r="J537" s="8" t="s">
        <v>29</v>
      </c>
      <c r="K537" s="8"/>
      <c r="L537" s="8"/>
      <c r="M537" s="8"/>
      <c r="N537" s="8"/>
      <c r="O537" s="8"/>
      <c r="P537" s="8"/>
      <c r="Q537" s="8"/>
      <c r="R537" s="8"/>
      <c r="S537" s="8"/>
      <c r="T537" s="8"/>
      <c r="U537" s="8"/>
      <c r="V537" s="8"/>
      <c r="W537" s="8"/>
      <c r="X537" s="8"/>
      <c r="Y537" s="8"/>
      <c r="Z537" s="8"/>
    </row>
    <row r="538" ht="14.25" customHeight="1">
      <c r="A538" s="8">
        <v>23915.0</v>
      </c>
      <c r="B538" s="8" t="s">
        <v>24</v>
      </c>
      <c r="C538" s="8" t="s">
        <v>1651</v>
      </c>
      <c r="D538" s="8">
        <v>2006.0</v>
      </c>
      <c r="E538" s="8" t="s">
        <v>1652</v>
      </c>
      <c r="F538" s="8" t="s">
        <v>286</v>
      </c>
      <c r="G538" s="8">
        <v>122.0</v>
      </c>
      <c r="H538" s="11">
        <v>44621.0</v>
      </c>
      <c r="I538" s="8" t="s">
        <v>1653</v>
      </c>
      <c r="J538" s="8" t="s">
        <v>29</v>
      </c>
      <c r="K538" s="8"/>
      <c r="L538" s="8"/>
      <c r="M538" s="8"/>
      <c r="N538" s="8"/>
      <c r="O538" s="8"/>
      <c r="P538" s="8"/>
      <c r="Q538" s="8"/>
      <c r="R538" s="8"/>
      <c r="S538" s="8"/>
      <c r="T538" s="8"/>
      <c r="U538" s="8"/>
      <c r="V538" s="8"/>
      <c r="W538" s="8"/>
      <c r="X538" s="8"/>
      <c r="Y538" s="8"/>
      <c r="Z538" s="8"/>
    </row>
    <row r="539" ht="14.25" customHeight="1">
      <c r="A539" s="8">
        <v>24483.0</v>
      </c>
      <c r="B539" s="8" t="s">
        <v>24</v>
      </c>
      <c r="C539" s="8" t="s">
        <v>1654</v>
      </c>
      <c r="D539" s="8">
        <v>2003.0</v>
      </c>
      <c r="E539" s="8" t="s">
        <v>1655</v>
      </c>
      <c r="F539" s="8" t="s">
        <v>769</v>
      </c>
      <c r="G539" s="8">
        <v>13.0</v>
      </c>
      <c r="H539" s="8">
        <v>6.0</v>
      </c>
      <c r="I539" s="8" t="s">
        <v>1656</v>
      </c>
      <c r="J539" s="8" t="s">
        <v>29</v>
      </c>
      <c r="K539" s="8"/>
      <c r="L539" s="8"/>
      <c r="M539" s="8"/>
      <c r="N539" s="8"/>
      <c r="O539" s="8"/>
      <c r="P539" s="8"/>
      <c r="Q539" s="8"/>
      <c r="R539" s="8"/>
      <c r="S539" s="8"/>
      <c r="T539" s="8"/>
      <c r="U539" s="8"/>
      <c r="V539" s="8"/>
      <c r="W539" s="8"/>
      <c r="X539" s="8"/>
      <c r="Y539" s="8"/>
      <c r="Z539" s="8"/>
    </row>
    <row r="540" ht="14.25" customHeight="1">
      <c r="A540" s="8">
        <v>24627.0</v>
      </c>
      <c r="B540" s="8" t="s">
        <v>24</v>
      </c>
      <c r="C540" s="8" t="s">
        <v>1657</v>
      </c>
      <c r="D540" s="8">
        <v>2016.0</v>
      </c>
      <c r="E540" s="8" t="s">
        <v>1658</v>
      </c>
      <c r="F540" s="8" t="s">
        <v>109</v>
      </c>
      <c r="G540" s="8">
        <v>58.0</v>
      </c>
      <c r="H540" s="8">
        <v>1.0</v>
      </c>
      <c r="I540" s="8" t="s">
        <v>1659</v>
      </c>
      <c r="J540" s="8" t="s">
        <v>29</v>
      </c>
      <c r="K540" s="8"/>
      <c r="L540" s="8"/>
      <c r="M540" s="8"/>
      <c r="N540" s="8"/>
      <c r="O540" s="8"/>
      <c r="P540" s="8"/>
      <c r="Q540" s="8"/>
      <c r="R540" s="8"/>
      <c r="S540" s="8"/>
      <c r="T540" s="8"/>
      <c r="U540" s="8"/>
      <c r="V540" s="8"/>
      <c r="W540" s="8"/>
      <c r="X540" s="8"/>
      <c r="Y540" s="8"/>
      <c r="Z540" s="8"/>
    </row>
    <row r="541" ht="14.25" customHeight="1">
      <c r="A541" s="8">
        <v>24766.0</v>
      </c>
      <c r="B541" s="8" t="s">
        <v>24</v>
      </c>
      <c r="C541" s="8" t="s">
        <v>1660</v>
      </c>
      <c r="D541" s="8">
        <v>2019.0</v>
      </c>
      <c r="E541" s="8" t="s">
        <v>1661</v>
      </c>
      <c r="F541" s="8" t="s">
        <v>113</v>
      </c>
      <c r="G541" s="8">
        <v>34.0</v>
      </c>
      <c r="H541" s="8">
        <v>11.0</v>
      </c>
      <c r="I541" s="8" t="s">
        <v>1662</v>
      </c>
      <c r="J541" s="8" t="s">
        <v>29</v>
      </c>
      <c r="K541" s="8"/>
      <c r="L541" s="8"/>
      <c r="M541" s="8"/>
      <c r="N541" s="8"/>
      <c r="O541" s="8"/>
      <c r="P541" s="8"/>
      <c r="Q541" s="8"/>
      <c r="R541" s="8"/>
      <c r="S541" s="8"/>
      <c r="T541" s="8"/>
      <c r="U541" s="8"/>
      <c r="V541" s="8"/>
      <c r="W541" s="8"/>
      <c r="X541" s="8"/>
      <c r="Y541" s="8"/>
      <c r="Z541" s="8"/>
    </row>
    <row r="542" ht="14.25" customHeight="1">
      <c r="A542" s="8">
        <v>24716.0</v>
      </c>
      <c r="B542" s="8" t="s">
        <v>24</v>
      </c>
      <c r="C542" s="8" t="s">
        <v>1663</v>
      </c>
      <c r="D542" s="8">
        <v>2018.0</v>
      </c>
      <c r="E542" s="8" t="s">
        <v>1664</v>
      </c>
      <c r="F542" s="8" t="s">
        <v>1016</v>
      </c>
      <c r="G542" s="8">
        <v>811.0</v>
      </c>
      <c r="H542" s="8">
        <v>1.0</v>
      </c>
      <c r="I542" s="8" t="s">
        <v>1665</v>
      </c>
      <c r="J542" s="8" t="s">
        <v>29</v>
      </c>
      <c r="K542" s="8"/>
      <c r="L542" s="8"/>
      <c r="M542" s="8"/>
      <c r="N542" s="8"/>
      <c r="O542" s="8"/>
      <c r="P542" s="8"/>
      <c r="Q542" s="8"/>
      <c r="R542" s="8"/>
      <c r="S542" s="8"/>
      <c r="T542" s="8"/>
      <c r="U542" s="8"/>
      <c r="V542" s="8"/>
      <c r="W542" s="8"/>
      <c r="X542" s="8"/>
      <c r="Y542" s="8"/>
      <c r="Z542" s="8"/>
    </row>
    <row r="543" ht="14.25" customHeight="1">
      <c r="A543" s="8">
        <v>25336.0</v>
      </c>
      <c r="B543" s="8" t="s">
        <v>24</v>
      </c>
      <c r="C543" s="8" t="s">
        <v>1666</v>
      </c>
      <c r="D543" s="8">
        <v>2018.0</v>
      </c>
      <c r="E543" s="8" t="s">
        <v>1667</v>
      </c>
      <c r="F543" s="8" t="s">
        <v>256</v>
      </c>
      <c r="G543" s="8">
        <v>165.0</v>
      </c>
      <c r="H543" s="8" t="s">
        <v>33</v>
      </c>
      <c r="I543" s="8" t="s">
        <v>1668</v>
      </c>
      <c r="J543" s="8" t="s">
        <v>29</v>
      </c>
      <c r="K543" s="8"/>
      <c r="L543" s="8"/>
      <c r="M543" s="8"/>
      <c r="N543" s="8"/>
      <c r="O543" s="8"/>
      <c r="P543" s="8"/>
      <c r="Q543" s="8"/>
      <c r="R543" s="8"/>
      <c r="S543" s="8"/>
      <c r="T543" s="8"/>
      <c r="U543" s="8"/>
      <c r="V543" s="8"/>
      <c r="W543" s="8"/>
      <c r="X543" s="8"/>
      <c r="Y543" s="8"/>
      <c r="Z543" s="8"/>
    </row>
    <row r="544" ht="14.25" customHeight="1">
      <c r="A544" s="8">
        <v>23383.0</v>
      </c>
      <c r="B544" s="8" t="s">
        <v>24</v>
      </c>
      <c r="C544" s="8" t="s">
        <v>1669</v>
      </c>
      <c r="D544" s="8">
        <v>2014.0</v>
      </c>
      <c r="E544" s="8" t="s">
        <v>1670</v>
      </c>
      <c r="F544" s="8" t="s">
        <v>97</v>
      </c>
      <c r="G544" s="8">
        <v>20.0</v>
      </c>
      <c r="H544" s="8">
        <v>5.0</v>
      </c>
      <c r="I544" s="8" t="s">
        <v>1671</v>
      </c>
      <c r="J544" s="8" t="s">
        <v>29</v>
      </c>
      <c r="K544" s="8"/>
      <c r="L544" s="8"/>
      <c r="M544" s="8"/>
      <c r="N544" s="8"/>
      <c r="O544" s="8"/>
      <c r="P544" s="8"/>
      <c r="Q544" s="8"/>
      <c r="R544" s="8"/>
      <c r="S544" s="8"/>
      <c r="T544" s="8"/>
      <c r="U544" s="8"/>
      <c r="V544" s="8"/>
      <c r="W544" s="8"/>
      <c r="X544" s="8"/>
      <c r="Y544" s="8"/>
      <c r="Z544" s="8"/>
    </row>
    <row r="545" ht="14.25" customHeight="1">
      <c r="A545" s="8">
        <v>24481.0</v>
      </c>
      <c r="B545" s="8" t="s">
        <v>24</v>
      </c>
      <c r="C545" s="8" t="s">
        <v>1672</v>
      </c>
      <c r="D545" s="8">
        <v>2020.0</v>
      </c>
      <c r="E545" s="8" t="s">
        <v>1673</v>
      </c>
      <c r="F545" s="8" t="s">
        <v>1674</v>
      </c>
      <c r="G545" s="8">
        <v>45.0</v>
      </c>
      <c r="H545" s="8" t="s">
        <v>33</v>
      </c>
      <c r="I545" s="8" t="s">
        <v>33</v>
      </c>
      <c r="J545" s="8" t="s">
        <v>29</v>
      </c>
      <c r="K545" s="8"/>
      <c r="L545" s="8"/>
      <c r="M545" s="8"/>
      <c r="N545" s="8"/>
      <c r="O545" s="8"/>
      <c r="P545" s="8"/>
      <c r="Q545" s="8"/>
      <c r="R545" s="8"/>
      <c r="S545" s="8"/>
      <c r="T545" s="8"/>
      <c r="U545" s="8"/>
      <c r="V545" s="8"/>
      <c r="W545" s="8"/>
      <c r="X545" s="8"/>
      <c r="Y545" s="8"/>
      <c r="Z545" s="8"/>
    </row>
    <row r="546" ht="14.25" customHeight="1">
      <c r="A546" s="8">
        <v>23405.0</v>
      </c>
      <c r="B546" s="8" t="s">
        <v>24</v>
      </c>
      <c r="C546" s="8" t="s">
        <v>1675</v>
      </c>
      <c r="D546" s="8">
        <v>2010.0</v>
      </c>
      <c r="E546" s="8" t="s">
        <v>1676</v>
      </c>
      <c r="F546" s="8" t="s">
        <v>53</v>
      </c>
      <c r="G546" s="8">
        <v>1.0</v>
      </c>
      <c r="H546" s="8">
        <v>1.0</v>
      </c>
      <c r="I546" s="8" t="s">
        <v>33</v>
      </c>
      <c r="J546" s="8" t="s">
        <v>29</v>
      </c>
      <c r="K546" s="8"/>
      <c r="L546" s="8"/>
      <c r="M546" s="8"/>
      <c r="N546" s="8"/>
      <c r="O546" s="8"/>
      <c r="P546" s="8"/>
      <c r="Q546" s="8"/>
      <c r="R546" s="8"/>
      <c r="S546" s="8"/>
      <c r="T546" s="8"/>
      <c r="U546" s="8"/>
      <c r="V546" s="8"/>
      <c r="W546" s="8"/>
      <c r="X546" s="8"/>
      <c r="Y546" s="8"/>
      <c r="Z546" s="8"/>
    </row>
    <row r="547" ht="14.25" customHeight="1">
      <c r="A547" s="8">
        <v>24205.0</v>
      </c>
      <c r="B547" s="8" t="s">
        <v>24</v>
      </c>
      <c r="C547" s="8" t="s">
        <v>1677</v>
      </c>
      <c r="D547" s="8">
        <v>2018.0</v>
      </c>
      <c r="E547" s="8" t="s">
        <v>1678</v>
      </c>
      <c r="F547" s="8" t="s">
        <v>49</v>
      </c>
      <c r="G547" s="8">
        <v>642.0</v>
      </c>
      <c r="H547" s="8" t="s">
        <v>33</v>
      </c>
      <c r="I547" s="8" t="s">
        <v>1679</v>
      </c>
      <c r="J547" s="8" t="s">
        <v>29</v>
      </c>
      <c r="K547" s="8"/>
      <c r="L547" s="8"/>
      <c r="M547" s="8"/>
      <c r="N547" s="8"/>
      <c r="O547" s="8"/>
      <c r="P547" s="8"/>
      <c r="Q547" s="8"/>
      <c r="R547" s="8"/>
      <c r="S547" s="8"/>
      <c r="T547" s="8"/>
      <c r="U547" s="8"/>
      <c r="V547" s="8"/>
      <c r="W547" s="8"/>
      <c r="X547" s="8"/>
      <c r="Y547" s="8"/>
      <c r="Z547" s="8"/>
    </row>
    <row r="548" ht="14.25" customHeight="1">
      <c r="A548" s="8">
        <v>25499.0</v>
      </c>
      <c r="B548" s="8" t="s">
        <v>24</v>
      </c>
      <c r="C548" s="8" t="s">
        <v>1680</v>
      </c>
      <c r="D548" s="8">
        <v>2007.0</v>
      </c>
      <c r="E548" s="8" t="s">
        <v>1681</v>
      </c>
      <c r="F548" s="8" t="s">
        <v>1682</v>
      </c>
      <c r="G548" s="8">
        <v>330.0</v>
      </c>
      <c r="H548" s="8">
        <v>9.0</v>
      </c>
      <c r="I548" s="8" t="s">
        <v>1683</v>
      </c>
      <c r="J548" s="8" t="s">
        <v>29</v>
      </c>
      <c r="K548" s="8"/>
      <c r="L548" s="8"/>
      <c r="M548" s="8"/>
      <c r="N548" s="8"/>
      <c r="O548" s="8"/>
      <c r="P548" s="8"/>
      <c r="Q548" s="8"/>
      <c r="R548" s="8"/>
      <c r="S548" s="8"/>
      <c r="T548" s="8"/>
      <c r="U548" s="8"/>
      <c r="V548" s="8"/>
      <c r="W548" s="8"/>
      <c r="X548" s="8"/>
      <c r="Y548" s="8"/>
      <c r="Z548" s="8"/>
    </row>
    <row r="549" ht="14.25" customHeight="1">
      <c r="A549" s="8">
        <v>25447.0</v>
      </c>
      <c r="B549" s="8" t="s">
        <v>24</v>
      </c>
      <c r="C549" s="8" t="s">
        <v>1684</v>
      </c>
      <c r="D549" s="8">
        <v>2018.0</v>
      </c>
      <c r="E549" s="8" t="s">
        <v>1685</v>
      </c>
      <c r="F549" s="8" t="s">
        <v>242</v>
      </c>
      <c r="G549" s="8">
        <v>20.0</v>
      </c>
      <c r="H549" s="8">
        <v>3.0</v>
      </c>
      <c r="I549" s="8" t="s">
        <v>1686</v>
      </c>
      <c r="J549" s="8" t="s">
        <v>29</v>
      </c>
      <c r="K549" s="8"/>
      <c r="L549" s="8"/>
      <c r="M549" s="8"/>
      <c r="N549" s="8"/>
      <c r="O549" s="8"/>
      <c r="P549" s="8"/>
      <c r="Q549" s="8"/>
      <c r="R549" s="8"/>
      <c r="S549" s="8"/>
      <c r="T549" s="8"/>
      <c r="U549" s="8"/>
      <c r="V549" s="8"/>
      <c r="W549" s="8"/>
      <c r="X549" s="8"/>
      <c r="Y549" s="8"/>
      <c r="Z549" s="8"/>
    </row>
    <row r="550" ht="14.25" customHeight="1">
      <c r="A550" s="8">
        <v>23207.0</v>
      </c>
      <c r="B550" s="8" t="s">
        <v>24</v>
      </c>
      <c r="C550" s="8" t="s">
        <v>1687</v>
      </c>
      <c r="D550" s="8">
        <v>2018.0</v>
      </c>
      <c r="E550" s="8" t="s">
        <v>1688</v>
      </c>
      <c r="F550" s="8" t="s">
        <v>1689</v>
      </c>
      <c r="G550" s="8">
        <v>19.0</v>
      </c>
      <c r="H550" s="8">
        <v>1.0</v>
      </c>
      <c r="I550" s="8" t="s">
        <v>1690</v>
      </c>
      <c r="J550" s="8" t="s">
        <v>29</v>
      </c>
      <c r="K550" s="8"/>
      <c r="L550" s="8"/>
      <c r="M550" s="8"/>
      <c r="N550" s="8"/>
      <c r="O550" s="8"/>
      <c r="P550" s="8"/>
      <c r="Q550" s="8"/>
      <c r="R550" s="8"/>
      <c r="S550" s="8"/>
      <c r="T550" s="8"/>
      <c r="U550" s="8"/>
      <c r="V550" s="8"/>
      <c r="W550" s="8"/>
      <c r="X550" s="8"/>
      <c r="Y550" s="8"/>
      <c r="Z550" s="8"/>
    </row>
    <row r="551" ht="14.25" customHeight="1">
      <c r="A551" s="8">
        <v>24853.0</v>
      </c>
      <c r="B551" s="8" t="s">
        <v>24</v>
      </c>
      <c r="C551" s="8" t="s">
        <v>1691</v>
      </c>
      <c r="D551" s="8">
        <v>2017.0</v>
      </c>
      <c r="E551" s="8" t="s">
        <v>1692</v>
      </c>
      <c r="F551" s="8" t="s">
        <v>1693</v>
      </c>
      <c r="G551" s="8">
        <v>41.0</v>
      </c>
      <c r="H551" s="8">
        <v>2.0</v>
      </c>
      <c r="I551" s="8" t="s">
        <v>1694</v>
      </c>
      <c r="J551" s="8" t="s">
        <v>29</v>
      </c>
      <c r="K551" s="8"/>
      <c r="L551" s="8"/>
      <c r="M551" s="8"/>
      <c r="N551" s="8"/>
      <c r="O551" s="8"/>
      <c r="P551" s="8"/>
      <c r="Q551" s="8"/>
      <c r="R551" s="8"/>
      <c r="S551" s="8"/>
      <c r="T551" s="8"/>
      <c r="U551" s="8"/>
      <c r="V551" s="8"/>
      <c r="W551" s="8"/>
      <c r="X551" s="8"/>
      <c r="Y551" s="8"/>
      <c r="Z551" s="8"/>
    </row>
    <row r="552" ht="14.25" customHeight="1">
      <c r="A552" s="8">
        <v>23150.0</v>
      </c>
      <c r="B552" s="8" t="s">
        <v>24</v>
      </c>
      <c r="C552" s="8" t="s">
        <v>58</v>
      </c>
      <c r="D552" s="8">
        <v>2008.0</v>
      </c>
      <c r="E552" s="8" t="s">
        <v>1695</v>
      </c>
      <c r="F552" s="8" t="s">
        <v>389</v>
      </c>
      <c r="G552" s="8">
        <v>112.0</v>
      </c>
      <c r="H552" s="8">
        <v>5.0</v>
      </c>
      <c r="I552" s="8" t="s">
        <v>1696</v>
      </c>
      <c r="J552" s="8" t="s">
        <v>29</v>
      </c>
      <c r="K552" s="8"/>
      <c r="L552" s="8"/>
      <c r="M552" s="8"/>
      <c r="N552" s="8"/>
      <c r="O552" s="8"/>
      <c r="P552" s="8"/>
      <c r="Q552" s="8"/>
      <c r="R552" s="8"/>
      <c r="S552" s="8"/>
      <c r="T552" s="8"/>
      <c r="U552" s="8"/>
      <c r="V552" s="8"/>
      <c r="W552" s="8"/>
      <c r="X552" s="8"/>
      <c r="Y552" s="8"/>
      <c r="Z552" s="8"/>
    </row>
    <row r="553" ht="14.25" customHeight="1">
      <c r="A553" s="8">
        <v>23623.0</v>
      </c>
      <c r="B553" s="8" t="s">
        <v>24</v>
      </c>
      <c r="C553" s="8" t="s">
        <v>1697</v>
      </c>
      <c r="D553" s="8">
        <v>2016.0</v>
      </c>
      <c r="E553" s="8" t="s">
        <v>1698</v>
      </c>
      <c r="F553" s="8" t="s">
        <v>174</v>
      </c>
      <c r="G553" s="8">
        <v>2016.0</v>
      </c>
      <c r="H553" s="8">
        <v>1.0</v>
      </c>
      <c r="I553" s="8" t="s">
        <v>33</v>
      </c>
      <c r="J553" s="8" t="s">
        <v>29</v>
      </c>
      <c r="K553" s="8"/>
      <c r="L553" s="8"/>
      <c r="M553" s="8"/>
      <c r="N553" s="8"/>
      <c r="O553" s="8"/>
      <c r="P553" s="8"/>
      <c r="Q553" s="8"/>
      <c r="R553" s="8"/>
      <c r="S553" s="8"/>
      <c r="T553" s="8"/>
      <c r="U553" s="8"/>
      <c r="V553" s="8"/>
      <c r="W553" s="8"/>
      <c r="X553" s="8"/>
      <c r="Y553" s="8"/>
      <c r="Z553" s="8"/>
    </row>
    <row r="554" ht="14.25" customHeight="1">
      <c r="A554" s="8">
        <v>24736.0</v>
      </c>
      <c r="B554" s="8" t="s">
        <v>24</v>
      </c>
      <c r="C554" s="8" t="s">
        <v>1699</v>
      </c>
      <c r="D554" s="8">
        <v>2013.0</v>
      </c>
      <c r="E554" s="8" t="s">
        <v>1700</v>
      </c>
      <c r="F554" s="8" t="s">
        <v>400</v>
      </c>
      <c r="G554" s="8">
        <v>33.0</v>
      </c>
      <c r="H554" s="8">
        <v>1.0</v>
      </c>
      <c r="I554" s="8" t="s">
        <v>1701</v>
      </c>
      <c r="J554" s="8" t="s">
        <v>29</v>
      </c>
      <c r="K554" s="8"/>
      <c r="L554" s="8"/>
      <c r="M554" s="8"/>
      <c r="N554" s="8"/>
      <c r="O554" s="8"/>
      <c r="P554" s="8"/>
      <c r="Q554" s="8"/>
      <c r="R554" s="8"/>
      <c r="S554" s="8"/>
      <c r="T554" s="8"/>
      <c r="U554" s="8"/>
      <c r="V554" s="8"/>
      <c r="W554" s="8"/>
      <c r="X554" s="8"/>
      <c r="Y554" s="8"/>
      <c r="Z554" s="8"/>
    </row>
    <row r="555" ht="14.25" customHeight="1">
      <c r="A555" s="8">
        <v>25374.0</v>
      </c>
      <c r="B555" s="8" t="s">
        <v>24</v>
      </c>
      <c r="C555" s="8" t="s">
        <v>1702</v>
      </c>
      <c r="D555" s="8">
        <v>2016.0</v>
      </c>
      <c r="E555" s="8" t="s">
        <v>1703</v>
      </c>
      <c r="F555" s="8" t="s">
        <v>64</v>
      </c>
      <c r="G555" s="8">
        <v>196.0</v>
      </c>
      <c r="H555" s="8" t="s">
        <v>33</v>
      </c>
      <c r="I555" s="8" t="s">
        <v>1704</v>
      </c>
      <c r="J555" s="8" t="s">
        <v>29</v>
      </c>
      <c r="K555" s="8"/>
      <c r="L555" s="8"/>
      <c r="M555" s="8"/>
      <c r="N555" s="8"/>
      <c r="O555" s="8"/>
      <c r="P555" s="8"/>
      <c r="Q555" s="8"/>
      <c r="R555" s="8"/>
      <c r="S555" s="8"/>
      <c r="T555" s="8"/>
      <c r="U555" s="8"/>
      <c r="V555" s="8"/>
      <c r="W555" s="8"/>
      <c r="X555" s="8"/>
      <c r="Y555" s="8"/>
      <c r="Z555" s="8"/>
    </row>
    <row r="556" ht="14.25" customHeight="1">
      <c r="A556" s="8">
        <v>25240.0</v>
      </c>
      <c r="B556" s="8" t="s">
        <v>24</v>
      </c>
      <c r="C556" s="8" t="s">
        <v>1705</v>
      </c>
      <c r="D556" s="8">
        <v>2018.0</v>
      </c>
      <c r="E556" s="8" t="s">
        <v>1706</v>
      </c>
      <c r="F556" s="8" t="s">
        <v>545</v>
      </c>
      <c r="G556" s="8">
        <v>10.0</v>
      </c>
      <c r="H556" s="8">
        <v>10.0</v>
      </c>
      <c r="I556" s="8" t="s">
        <v>33</v>
      </c>
      <c r="J556" s="8" t="s">
        <v>29</v>
      </c>
      <c r="K556" s="8"/>
      <c r="L556" s="8"/>
      <c r="M556" s="8"/>
      <c r="N556" s="8"/>
      <c r="O556" s="8"/>
      <c r="P556" s="8"/>
      <c r="Q556" s="8"/>
      <c r="R556" s="8"/>
      <c r="S556" s="8"/>
      <c r="T556" s="8"/>
      <c r="U556" s="8"/>
      <c r="V556" s="8"/>
      <c r="W556" s="8"/>
      <c r="X556" s="8"/>
      <c r="Y556" s="8"/>
      <c r="Z556" s="8"/>
    </row>
    <row r="557" ht="14.25" customHeight="1">
      <c r="A557" s="8">
        <v>23641.0</v>
      </c>
      <c r="B557" s="8" t="s">
        <v>24</v>
      </c>
      <c r="C557" s="8" t="s">
        <v>1707</v>
      </c>
      <c r="D557" s="8">
        <v>2015.0</v>
      </c>
      <c r="E557" s="8" t="s">
        <v>1708</v>
      </c>
      <c r="F557" s="8" t="s">
        <v>866</v>
      </c>
      <c r="G557" s="8">
        <v>7.0</v>
      </c>
      <c r="H557" s="8">
        <v>3.0</v>
      </c>
      <c r="I557" s="8" t="s">
        <v>1709</v>
      </c>
      <c r="J557" s="8" t="s">
        <v>29</v>
      </c>
      <c r="K557" s="8"/>
      <c r="L557" s="8"/>
      <c r="M557" s="8"/>
      <c r="N557" s="8"/>
      <c r="O557" s="8"/>
      <c r="P557" s="8"/>
      <c r="Q557" s="8"/>
      <c r="R557" s="8"/>
      <c r="S557" s="8"/>
      <c r="T557" s="8"/>
      <c r="U557" s="8"/>
      <c r="V557" s="8"/>
      <c r="W557" s="8"/>
      <c r="X557" s="8"/>
      <c r="Y557" s="8"/>
      <c r="Z557" s="8"/>
    </row>
    <row r="558" ht="14.25" customHeight="1">
      <c r="A558" s="8">
        <v>23515.0</v>
      </c>
      <c r="B558" s="8" t="s">
        <v>24</v>
      </c>
      <c r="C558" s="8" t="s">
        <v>1710</v>
      </c>
      <c r="D558" s="8">
        <v>2017.0</v>
      </c>
      <c r="E558" s="8" t="s">
        <v>1711</v>
      </c>
      <c r="F558" s="8" t="s">
        <v>455</v>
      </c>
      <c r="G558" s="8">
        <v>12.0</v>
      </c>
      <c r="H558" s="8" t="s">
        <v>33</v>
      </c>
      <c r="I558" s="8" t="s">
        <v>1712</v>
      </c>
      <c r="J558" s="8" t="s">
        <v>29</v>
      </c>
      <c r="K558" s="8"/>
      <c r="L558" s="8"/>
      <c r="M558" s="8"/>
      <c r="N558" s="8"/>
      <c r="O558" s="8"/>
      <c r="P558" s="8"/>
      <c r="Q558" s="8"/>
      <c r="R558" s="8"/>
      <c r="S558" s="8"/>
      <c r="T558" s="8"/>
      <c r="U558" s="8"/>
      <c r="V558" s="8"/>
      <c r="W558" s="8"/>
      <c r="X558" s="8"/>
      <c r="Y558" s="8"/>
      <c r="Z558" s="8"/>
    </row>
    <row r="559" ht="14.25" customHeight="1">
      <c r="A559" s="8">
        <v>24606.0</v>
      </c>
      <c r="B559" s="8" t="s">
        <v>24</v>
      </c>
      <c r="C559" s="8" t="s">
        <v>1713</v>
      </c>
      <c r="D559" s="8">
        <v>2019.0</v>
      </c>
      <c r="E559" s="8" t="s">
        <v>1714</v>
      </c>
      <c r="F559" s="8" t="s">
        <v>1419</v>
      </c>
      <c r="G559" s="8">
        <v>9.0</v>
      </c>
      <c r="H559" s="8">
        <v>1.0</v>
      </c>
      <c r="I559" s="8" t="s">
        <v>1715</v>
      </c>
      <c r="J559" s="8" t="s">
        <v>29</v>
      </c>
      <c r="K559" s="8"/>
      <c r="L559" s="8"/>
      <c r="M559" s="8"/>
      <c r="N559" s="8"/>
      <c r="O559" s="8"/>
      <c r="P559" s="8"/>
      <c r="Q559" s="8"/>
      <c r="R559" s="8"/>
      <c r="S559" s="8"/>
      <c r="T559" s="8"/>
      <c r="U559" s="8"/>
      <c r="V559" s="8"/>
      <c r="W559" s="8"/>
      <c r="X559" s="8"/>
      <c r="Y559" s="8"/>
      <c r="Z559" s="8"/>
    </row>
    <row r="560" ht="14.25" customHeight="1">
      <c r="A560" s="8">
        <v>24000.0</v>
      </c>
      <c r="B560" s="8" t="s">
        <v>24</v>
      </c>
      <c r="C560" s="8" t="s">
        <v>1716</v>
      </c>
      <c r="D560" s="8">
        <v>2016.0</v>
      </c>
      <c r="E560" s="8" t="s">
        <v>1717</v>
      </c>
      <c r="F560" s="8" t="s">
        <v>1718</v>
      </c>
      <c r="G560" s="8">
        <v>36.0</v>
      </c>
      <c r="H560" s="8">
        <v>3.0</v>
      </c>
      <c r="I560" s="8" t="s">
        <v>1719</v>
      </c>
      <c r="J560" s="8" t="s">
        <v>29</v>
      </c>
      <c r="K560" s="8"/>
      <c r="L560" s="8"/>
      <c r="M560" s="8"/>
      <c r="N560" s="8"/>
      <c r="O560" s="8"/>
      <c r="P560" s="8"/>
      <c r="Q560" s="8"/>
      <c r="R560" s="8"/>
      <c r="S560" s="8"/>
      <c r="T560" s="8"/>
      <c r="U560" s="8"/>
      <c r="V560" s="8"/>
      <c r="W560" s="8"/>
      <c r="X560" s="8"/>
      <c r="Y560" s="8"/>
      <c r="Z560" s="8"/>
    </row>
    <row r="561" ht="14.25" customHeight="1">
      <c r="A561" s="8">
        <v>25065.0</v>
      </c>
      <c r="B561" s="8" t="s">
        <v>24</v>
      </c>
      <c r="C561" s="8" t="s">
        <v>1720</v>
      </c>
      <c r="D561" s="8">
        <v>2003.0</v>
      </c>
      <c r="E561" s="8" t="s">
        <v>1721</v>
      </c>
      <c r="F561" s="8" t="s">
        <v>769</v>
      </c>
      <c r="G561" s="8">
        <v>13.0</v>
      </c>
      <c r="H561" s="8">
        <v>3.0</v>
      </c>
      <c r="I561" s="8" t="s">
        <v>1722</v>
      </c>
      <c r="J561" s="8" t="s">
        <v>29</v>
      </c>
      <c r="K561" s="8"/>
      <c r="L561" s="8"/>
      <c r="M561" s="8"/>
      <c r="N561" s="8"/>
      <c r="O561" s="8"/>
      <c r="P561" s="8"/>
      <c r="Q561" s="8"/>
      <c r="R561" s="8"/>
      <c r="S561" s="8"/>
      <c r="T561" s="8"/>
      <c r="U561" s="8"/>
      <c r="V561" s="8"/>
      <c r="W561" s="8"/>
      <c r="X561" s="8"/>
      <c r="Y561" s="8"/>
      <c r="Z561" s="8"/>
    </row>
    <row r="562" ht="14.25" customHeight="1">
      <c r="A562" s="8">
        <v>24086.0</v>
      </c>
      <c r="B562" s="8" t="s">
        <v>24</v>
      </c>
      <c r="C562" s="8" t="s">
        <v>1723</v>
      </c>
      <c r="D562" s="8">
        <v>2014.0</v>
      </c>
      <c r="E562" s="8" t="s">
        <v>1724</v>
      </c>
      <c r="F562" s="8" t="s">
        <v>515</v>
      </c>
      <c r="G562" s="8">
        <v>55.0</v>
      </c>
      <c r="H562" s="8" t="s">
        <v>33</v>
      </c>
      <c r="I562" s="8" t="s">
        <v>1725</v>
      </c>
      <c r="J562" s="8" t="s">
        <v>29</v>
      </c>
      <c r="K562" s="8"/>
      <c r="L562" s="8"/>
      <c r="M562" s="8"/>
      <c r="N562" s="8"/>
      <c r="O562" s="8"/>
      <c r="P562" s="8"/>
      <c r="Q562" s="8"/>
      <c r="R562" s="8"/>
      <c r="S562" s="8"/>
      <c r="T562" s="8"/>
      <c r="U562" s="8"/>
      <c r="V562" s="8"/>
      <c r="W562" s="8"/>
      <c r="X562" s="8"/>
      <c r="Y562" s="8"/>
      <c r="Z562" s="8"/>
    </row>
    <row r="563" ht="14.25" customHeight="1">
      <c r="A563" s="8">
        <v>25051.0</v>
      </c>
      <c r="B563" s="8" t="s">
        <v>24</v>
      </c>
      <c r="C563" s="8" t="s">
        <v>1726</v>
      </c>
      <c r="D563" s="8">
        <v>2018.0</v>
      </c>
      <c r="E563" s="8" t="s">
        <v>1727</v>
      </c>
      <c r="F563" s="8" t="s">
        <v>49</v>
      </c>
      <c r="G563" s="8" t="s">
        <v>1728</v>
      </c>
      <c r="H563" s="8" t="s">
        <v>33</v>
      </c>
      <c r="I563" s="8" t="s">
        <v>1729</v>
      </c>
      <c r="J563" s="8" t="s">
        <v>29</v>
      </c>
      <c r="K563" s="8"/>
      <c r="L563" s="8"/>
      <c r="M563" s="8"/>
      <c r="N563" s="8"/>
      <c r="O563" s="8"/>
      <c r="P563" s="8"/>
      <c r="Q563" s="8"/>
      <c r="R563" s="8"/>
      <c r="S563" s="8"/>
      <c r="T563" s="8"/>
      <c r="U563" s="8"/>
      <c r="V563" s="8"/>
      <c r="W563" s="8"/>
      <c r="X563" s="8"/>
      <c r="Y563" s="8"/>
      <c r="Z563" s="8"/>
    </row>
    <row r="564" ht="14.25" customHeight="1">
      <c r="A564" s="8">
        <v>23507.0</v>
      </c>
      <c r="B564" s="8" t="s">
        <v>24</v>
      </c>
      <c r="C564" s="8" t="s">
        <v>1730</v>
      </c>
      <c r="D564" s="8">
        <v>2016.0</v>
      </c>
      <c r="E564" s="8" t="s">
        <v>1731</v>
      </c>
      <c r="F564" s="8" t="s">
        <v>1732</v>
      </c>
      <c r="G564" s="8">
        <v>38.0</v>
      </c>
      <c r="H564" s="8" t="s">
        <v>33</v>
      </c>
      <c r="I564" s="8" t="s">
        <v>1733</v>
      </c>
      <c r="J564" s="8" t="s">
        <v>29</v>
      </c>
      <c r="K564" s="8"/>
      <c r="L564" s="8"/>
      <c r="M564" s="8"/>
      <c r="N564" s="8"/>
      <c r="O564" s="8"/>
      <c r="P564" s="8"/>
      <c r="Q564" s="8"/>
      <c r="R564" s="8"/>
      <c r="S564" s="8"/>
      <c r="T564" s="8"/>
      <c r="U564" s="8"/>
      <c r="V564" s="8"/>
      <c r="W564" s="8"/>
      <c r="X564" s="8"/>
      <c r="Y564" s="8"/>
      <c r="Z564" s="8"/>
    </row>
    <row r="565" ht="14.25" customHeight="1">
      <c r="A565" s="8">
        <v>24723.0</v>
      </c>
      <c r="B565" s="8" t="s">
        <v>321</v>
      </c>
      <c r="C565" s="8" t="s">
        <v>1734</v>
      </c>
      <c r="D565" s="8">
        <v>2005.0</v>
      </c>
      <c r="E565" s="8" t="s">
        <v>1735</v>
      </c>
      <c r="F565" s="8" t="s">
        <v>1736</v>
      </c>
      <c r="G565" s="8" t="s">
        <v>33</v>
      </c>
      <c r="H565" s="8" t="s">
        <v>33</v>
      </c>
      <c r="I565" s="11">
        <v>44810.0</v>
      </c>
      <c r="J565" s="8" t="s">
        <v>29</v>
      </c>
      <c r="K565" s="8"/>
      <c r="L565" s="8"/>
      <c r="M565" s="8"/>
      <c r="N565" s="8"/>
      <c r="O565" s="8"/>
      <c r="P565" s="8"/>
      <c r="Q565" s="8"/>
      <c r="R565" s="8"/>
      <c r="S565" s="8"/>
      <c r="T565" s="8"/>
      <c r="U565" s="8"/>
      <c r="V565" s="8"/>
      <c r="W565" s="8"/>
      <c r="X565" s="8"/>
      <c r="Y565" s="8"/>
      <c r="Z565" s="8"/>
    </row>
    <row r="566" ht="14.25" customHeight="1">
      <c r="A566" s="8">
        <v>25292.0</v>
      </c>
      <c r="B566" s="8" t="s">
        <v>24</v>
      </c>
      <c r="C566" s="8" t="s">
        <v>1737</v>
      </c>
      <c r="D566" s="8">
        <v>2001.0</v>
      </c>
      <c r="E566" s="8" t="s">
        <v>1738</v>
      </c>
      <c r="F566" s="8" t="s">
        <v>1501</v>
      </c>
      <c r="G566" s="8">
        <v>86.0</v>
      </c>
      <c r="H566" s="8">
        <v>2.0</v>
      </c>
      <c r="I566" s="8" t="s">
        <v>1739</v>
      </c>
      <c r="J566" s="8" t="s">
        <v>29</v>
      </c>
      <c r="K566" s="8"/>
      <c r="L566" s="8"/>
      <c r="M566" s="8"/>
      <c r="N566" s="8"/>
      <c r="O566" s="8"/>
      <c r="P566" s="8"/>
      <c r="Q566" s="8"/>
      <c r="R566" s="8"/>
      <c r="S566" s="8"/>
      <c r="T566" s="8"/>
      <c r="U566" s="8"/>
      <c r="V566" s="8"/>
      <c r="W566" s="8"/>
      <c r="X566" s="8"/>
      <c r="Y566" s="8"/>
      <c r="Z566" s="8"/>
    </row>
    <row r="567" ht="14.25" customHeight="1">
      <c r="A567" s="8">
        <v>25645.0</v>
      </c>
      <c r="B567" s="8" t="s">
        <v>24</v>
      </c>
      <c r="C567" s="8" t="s">
        <v>1740</v>
      </c>
      <c r="D567" s="8">
        <v>2019.0</v>
      </c>
      <c r="E567" s="8" t="s">
        <v>1741</v>
      </c>
      <c r="F567" s="8" t="s">
        <v>1742</v>
      </c>
      <c r="G567" s="8">
        <v>6.0</v>
      </c>
      <c r="H567" s="8">
        <v>2.0</v>
      </c>
      <c r="I567" s="8">
        <v>20.0</v>
      </c>
      <c r="J567" s="8" t="s">
        <v>29</v>
      </c>
      <c r="K567" s="8"/>
      <c r="L567" s="8"/>
      <c r="M567" s="8"/>
      <c r="N567" s="8"/>
      <c r="O567" s="8"/>
      <c r="P567" s="8"/>
      <c r="Q567" s="8"/>
      <c r="R567" s="8"/>
      <c r="S567" s="8"/>
      <c r="T567" s="8"/>
      <c r="U567" s="8"/>
      <c r="V567" s="8"/>
      <c r="W567" s="8"/>
      <c r="X567" s="8"/>
      <c r="Y567" s="8"/>
      <c r="Z567" s="8"/>
    </row>
    <row r="568" ht="14.25" customHeight="1">
      <c r="A568" s="8">
        <v>25444.0</v>
      </c>
      <c r="B568" s="8" t="s">
        <v>24</v>
      </c>
      <c r="C568" s="8" t="s">
        <v>1743</v>
      </c>
      <c r="D568" s="8">
        <v>2003.0</v>
      </c>
      <c r="E568" s="8" t="s">
        <v>1744</v>
      </c>
      <c r="F568" s="8" t="s">
        <v>1745</v>
      </c>
      <c r="G568" s="8">
        <v>61.0</v>
      </c>
      <c r="H568" s="8">
        <v>5.0</v>
      </c>
      <c r="I568" s="8" t="s">
        <v>1746</v>
      </c>
      <c r="J568" s="8" t="s">
        <v>29</v>
      </c>
      <c r="K568" s="8"/>
      <c r="L568" s="8"/>
      <c r="M568" s="8"/>
      <c r="N568" s="8"/>
      <c r="O568" s="8"/>
      <c r="P568" s="8"/>
      <c r="Q568" s="8"/>
      <c r="R568" s="8"/>
      <c r="S568" s="8"/>
      <c r="T568" s="8"/>
      <c r="U568" s="8"/>
      <c r="V568" s="8"/>
      <c r="W568" s="8"/>
      <c r="X568" s="8"/>
      <c r="Y568" s="8"/>
      <c r="Z568" s="8"/>
    </row>
    <row r="569" ht="14.25" customHeight="1">
      <c r="A569" s="8">
        <v>24661.0</v>
      </c>
      <c r="B569" s="8" t="s">
        <v>24</v>
      </c>
      <c r="C569" s="8" t="s">
        <v>1747</v>
      </c>
      <c r="D569" s="8">
        <v>2019.0</v>
      </c>
      <c r="E569" s="8" t="s">
        <v>1748</v>
      </c>
      <c r="F569" s="8" t="s">
        <v>46</v>
      </c>
      <c r="G569" s="8" t="s">
        <v>33</v>
      </c>
      <c r="H569" s="8" t="s">
        <v>33</v>
      </c>
      <c r="I569" s="8" t="s">
        <v>33</v>
      </c>
      <c r="J569" s="8" t="s">
        <v>29</v>
      </c>
      <c r="K569" s="8"/>
      <c r="L569" s="8"/>
      <c r="M569" s="8"/>
      <c r="N569" s="8"/>
      <c r="O569" s="8"/>
      <c r="P569" s="8"/>
      <c r="Q569" s="8"/>
      <c r="R569" s="8"/>
      <c r="S569" s="8"/>
      <c r="T569" s="8"/>
      <c r="U569" s="8"/>
      <c r="V569" s="8"/>
      <c r="W569" s="8"/>
      <c r="X569" s="8"/>
      <c r="Y569" s="8"/>
      <c r="Z569" s="8"/>
    </row>
    <row r="570" ht="14.25" customHeight="1">
      <c r="A570" s="8">
        <v>23714.0</v>
      </c>
      <c r="B570" s="8" t="s">
        <v>24</v>
      </c>
      <c r="C570" s="8" t="s">
        <v>1749</v>
      </c>
      <c r="D570" s="8">
        <v>2020.0</v>
      </c>
      <c r="E570" s="8" t="s">
        <v>1750</v>
      </c>
      <c r="F570" s="8" t="s">
        <v>473</v>
      </c>
      <c r="G570" s="8">
        <v>96.0</v>
      </c>
      <c r="H570" s="8" t="s">
        <v>33</v>
      </c>
      <c r="I570" s="8" t="s">
        <v>33</v>
      </c>
      <c r="J570" s="8" t="s">
        <v>29</v>
      </c>
      <c r="K570" s="8"/>
      <c r="L570" s="8"/>
      <c r="M570" s="8"/>
      <c r="N570" s="8"/>
      <c r="O570" s="8"/>
      <c r="P570" s="8"/>
      <c r="Q570" s="8"/>
      <c r="R570" s="8"/>
      <c r="S570" s="8"/>
      <c r="T570" s="8"/>
      <c r="U570" s="8"/>
      <c r="V570" s="8"/>
      <c r="W570" s="8"/>
      <c r="X570" s="8"/>
      <c r="Y570" s="8"/>
      <c r="Z570" s="8"/>
    </row>
    <row r="571" ht="14.25" customHeight="1">
      <c r="A571" s="8">
        <v>24113.0</v>
      </c>
      <c r="B571" s="8" t="s">
        <v>24</v>
      </c>
      <c r="C571" s="8" t="s">
        <v>1751</v>
      </c>
      <c r="D571" s="8">
        <v>2018.0</v>
      </c>
      <c r="E571" s="8" t="s">
        <v>1752</v>
      </c>
      <c r="F571" s="8" t="s">
        <v>260</v>
      </c>
      <c r="G571" s="8">
        <v>9.0</v>
      </c>
      <c r="H571" s="8">
        <v>1.0</v>
      </c>
      <c r="I571" s="8" t="s">
        <v>33</v>
      </c>
      <c r="J571" s="8" t="s">
        <v>29</v>
      </c>
      <c r="K571" s="8"/>
      <c r="L571" s="8"/>
      <c r="M571" s="8"/>
      <c r="N571" s="8"/>
      <c r="O571" s="8"/>
      <c r="P571" s="8"/>
      <c r="Q571" s="8"/>
      <c r="R571" s="8"/>
      <c r="S571" s="8"/>
      <c r="T571" s="8"/>
      <c r="U571" s="8"/>
      <c r="V571" s="8"/>
      <c r="W571" s="8"/>
      <c r="X571" s="8"/>
      <c r="Y571" s="8"/>
      <c r="Z571" s="8"/>
    </row>
    <row r="572" ht="14.25" customHeight="1">
      <c r="A572" s="8">
        <v>23249.0</v>
      </c>
      <c r="B572" s="8" t="s">
        <v>24</v>
      </c>
      <c r="C572" s="8" t="s">
        <v>1753</v>
      </c>
      <c r="D572" s="8">
        <v>2019.0</v>
      </c>
      <c r="E572" s="8" t="s">
        <v>1754</v>
      </c>
      <c r="F572" s="8" t="s">
        <v>153</v>
      </c>
      <c r="G572" s="8">
        <v>232.0</v>
      </c>
      <c r="H572" s="8" t="s">
        <v>33</v>
      </c>
      <c r="I572" s="8" t="s">
        <v>1755</v>
      </c>
      <c r="J572" s="8" t="s">
        <v>29</v>
      </c>
      <c r="K572" s="8"/>
      <c r="L572" s="8"/>
      <c r="M572" s="8"/>
      <c r="N572" s="8"/>
      <c r="O572" s="8"/>
      <c r="P572" s="8"/>
      <c r="Q572" s="8"/>
      <c r="R572" s="8"/>
      <c r="S572" s="8"/>
      <c r="T572" s="8"/>
      <c r="U572" s="8"/>
      <c r="V572" s="8"/>
      <c r="W572" s="8"/>
      <c r="X572" s="8"/>
      <c r="Y572" s="8"/>
      <c r="Z572" s="8"/>
    </row>
    <row r="573" ht="14.25" customHeight="1">
      <c r="A573" s="8">
        <v>25577.0</v>
      </c>
      <c r="B573" s="8" t="s">
        <v>24</v>
      </c>
      <c r="C573" s="8" t="s">
        <v>1756</v>
      </c>
      <c r="D573" s="8">
        <v>2013.0</v>
      </c>
      <c r="E573" s="8" t="s">
        <v>1757</v>
      </c>
      <c r="F573" s="8" t="s">
        <v>389</v>
      </c>
      <c r="G573" s="8">
        <v>133.0</v>
      </c>
      <c r="H573" s="8" t="s">
        <v>33</v>
      </c>
      <c r="I573" s="8" t="s">
        <v>1758</v>
      </c>
      <c r="J573" s="8" t="s">
        <v>29</v>
      </c>
      <c r="K573" s="8"/>
      <c r="L573" s="8"/>
      <c r="M573" s="8"/>
      <c r="N573" s="8"/>
      <c r="O573" s="8"/>
      <c r="P573" s="8"/>
      <c r="Q573" s="8"/>
      <c r="R573" s="8"/>
      <c r="S573" s="8"/>
      <c r="T573" s="8"/>
      <c r="U573" s="8"/>
      <c r="V573" s="8"/>
      <c r="W573" s="8"/>
      <c r="X573" s="8"/>
      <c r="Y573" s="8"/>
      <c r="Z573" s="8"/>
    </row>
    <row r="574" ht="14.25" customHeight="1">
      <c r="A574" s="8">
        <v>25487.0</v>
      </c>
      <c r="B574" s="8" t="s">
        <v>24</v>
      </c>
      <c r="C574" s="8" t="s">
        <v>280</v>
      </c>
      <c r="D574" s="8">
        <v>2015.0</v>
      </c>
      <c r="E574" s="8" t="s">
        <v>1759</v>
      </c>
      <c r="F574" s="8" t="s">
        <v>1058</v>
      </c>
      <c r="G574" s="8">
        <v>18.0</v>
      </c>
      <c r="H574" s="8">
        <v>5.0</v>
      </c>
      <c r="I574" s="8" t="s">
        <v>1760</v>
      </c>
      <c r="J574" s="8" t="s">
        <v>29</v>
      </c>
      <c r="K574" s="8"/>
      <c r="L574" s="8"/>
      <c r="M574" s="8"/>
      <c r="N574" s="8"/>
      <c r="O574" s="8"/>
      <c r="P574" s="8"/>
      <c r="Q574" s="8"/>
      <c r="R574" s="8"/>
      <c r="S574" s="8"/>
      <c r="T574" s="8"/>
      <c r="U574" s="8"/>
      <c r="V574" s="8"/>
      <c r="W574" s="8"/>
      <c r="X574" s="8"/>
      <c r="Y574" s="8"/>
      <c r="Z574" s="8"/>
    </row>
    <row r="575" ht="14.25" customHeight="1">
      <c r="A575" s="8">
        <v>25216.0</v>
      </c>
      <c r="B575" s="8" t="s">
        <v>24</v>
      </c>
      <c r="C575" s="8" t="s">
        <v>1761</v>
      </c>
      <c r="D575" s="8">
        <v>2019.0</v>
      </c>
      <c r="E575" s="8" t="s">
        <v>1762</v>
      </c>
      <c r="F575" s="8" t="s">
        <v>36</v>
      </c>
      <c r="G575" s="8">
        <v>14.0</v>
      </c>
      <c r="H575" s="8">
        <v>3.0</v>
      </c>
      <c r="I575" s="8" t="s">
        <v>33</v>
      </c>
      <c r="J575" s="8" t="s">
        <v>29</v>
      </c>
      <c r="K575" s="8"/>
      <c r="L575" s="8"/>
      <c r="M575" s="8"/>
      <c r="N575" s="8"/>
      <c r="O575" s="8"/>
      <c r="P575" s="8"/>
      <c r="Q575" s="8"/>
      <c r="R575" s="8"/>
      <c r="S575" s="8"/>
      <c r="T575" s="8"/>
      <c r="U575" s="8"/>
      <c r="V575" s="8"/>
      <c r="W575" s="8"/>
      <c r="X575" s="8"/>
      <c r="Y575" s="8"/>
      <c r="Z575" s="8"/>
    </row>
    <row r="576" ht="14.25" customHeight="1">
      <c r="A576" s="8">
        <v>23138.0</v>
      </c>
      <c r="B576" s="8" t="s">
        <v>24</v>
      </c>
      <c r="C576" s="8" t="s">
        <v>1763</v>
      </c>
      <c r="D576" s="8">
        <v>2013.0</v>
      </c>
      <c r="E576" s="8" t="s">
        <v>1764</v>
      </c>
      <c r="F576" s="8" t="s">
        <v>36</v>
      </c>
      <c r="G576" s="8">
        <v>8.0</v>
      </c>
      <c r="H576" s="8">
        <v>1.0</v>
      </c>
      <c r="I576" s="8" t="s">
        <v>33</v>
      </c>
      <c r="J576" s="8" t="s">
        <v>29</v>
      </c>
      <c r="K576" s="8"/>
      <c r="L576" s="8"/>
      <c r="M576" s="8"/>
      <c r="N576" s="8"/>
      <c r="O576" s="8"/>
      <c r="P576" s="8"/>
      <c r="Q576" s="8"/>
      <c r="R576" s="8"/>
      <c r="S576" s="8"/>
      <c r="T576" s="8"/>
      <c r="U576" s="8"/>
      <c r="V576" s="8"/>
      <c r="W576" s="8"/>
      <c r="X576" s="8"/>
      <c r="Y576" s="8"/>
      <c r="Z576" s="8"/>
    </row>
    <row r="577" ht="14.25" customHeight="1">
      <c r="A577" s="8">
        <v>24375.0</v>
      </c>
      <c r="B577" s="8" t="s">
        <v>24</v>
      </c>
      <c r="C577" s="8" t="s">
        <v>1765</v>
      </c>
      <c r="D577" s="8">
        <v>2002.0</v>
      </c>
      <c r="E577" s="8" t="s">
        <v>1766</v>
      </c>
      <c r="F577" s="8" t="s">
        <v>1767</v>
      </c>
      <c r="G577" s="8">
        <v>68.0</v>
      </c>
      <c r="H577" s="8">
        <v>10.0</v>
      </c>
      <c r="I577" s="8" t="s">
        <v>1768</v>
      </c>
      <c r="J577" s="8" t="s">
        <v>29</v>
      </c>
      <c r="K577" s="8"/>
      <c r="L577" s="8"/>
      <c r="M577" s="8"/>
      <c r="N577" s="8"/>
      <c r="O577" s="8"/>
      <c r="P577" s="8"/>
      <c r="Q577" s="8"/>
      <c r="R577" s="8"/>
      <c r="S577" s="8"/>
      <c r="T577" s="8"/>
      <c r="U577" s="8"/>
      <c r="V577" s="8"/>
      <c r="W577" s="8"/>
      <c r="X577" s="8"/>
      <c r="Y577" s="8"/>
      <c r="Z577" s="8"/>
    </row>
    <row r="578" ht="14.25" customHeight="1">
      <c r="A578" s="8">
        <v>23877.0</v>
      </c>
      <c r="B578" s="8" t="s">
        <v>24</v>
      </c>
      <c r="C578" s="8" t="s">
        <v>1769</v>
      </c>
      <c r="D578" s="8">
        <v>2011.0</v>
      </c>
      <c r="E578" s="8" t="s">
        <v>1770</v>
      </c>
      <c r="F578" s="8" t="s">
        <v>36</v>
      </c>
      <c r="G578" s="8">
        <v>6.0</v>
      </c>
      <c r="H578" s="8">
        <v>8.0</v>
      </c>
      <c r="I578" s="8" t="s">
        <v>33</v>
      </c>
      <c r="J578" s="8" t="s">
        <v>29</v>
      </c>
      <c r="K578" s="8"/>
      <c r="L578" s="8"/>
      <c r="M578" s="8"/>
      <c r="N578" s="8"/>
      <c r="O578" s="8"/>
      <c r="P578" s="8"/>
      <c r="Q578" s="8"/>
      <c r="R578" s="8"/>
      <c r="S578" s="8"/>
      <c r="T578" s="8"/>
      <c r="U578" s="8"/>
      <c r="V578" s="8"/>
      <c r="W578" s="8"/>
      <c r="X578" s="8"/>
      <c r="Y578" s="8"/>
      <c r="Z578" s="8"/>
    </row>
    <row r="579" ht="14.25" customHeight="1">
      <c r="A579" s="8">
        <v>24149.0</v>
      </c>
      <c r="B579" s="8" t="s">
        <v>24</v>
      </c>
      <c r="C579" s="8" t="s">
        <v>1771</v>
      </c>
      <c r="D579" s="8">
        <v>2014.0</v>
      </c>
      <c r="E579" s="8" t="s">
        <v>1772</v>
      </c>
      <c r="F579" s="8" t="s">
        <v>1773</v>
      </c>
      <c r="G579" s="8">
        <v>123.0</v>
      </c>
      <c r="H579" s="8">
        <v>3.0</v>
      </c>
      <c r="I579" s="8" t="s">
        <v>1774</v>
      </c>
      <c r="J579" s="8" t="s">
        <v>29</v>
      </c>
      <c r="K579" s="8"/>
      <c r="L579" s="8"/>
      <c r="M579" s="8"/>
      <c r="N579" s="8"/>
      <c r="O579" s="8"/>
      <c r="P579" s="8"/>
      <c r="Q579" s="8"/>
      <c r="R579" s="8"/>
      <c r="S579" s="8"/>
      <c r="T579" s="8"/>
      <c r="U579" s="8"/>
      <c r="V579" s="8"/>
      <c r="W579" s="8"/>
      <c r="X579" s="8"/>
      <c r="Y579" s="8"/>
      <c r="Z579" s="8"/>
    </row>
    <row r="580" ht="14.25" customHeight="1">
      <c r="A580" s="8">
        <v>24299.0</v>
      </c>
      <c r="B580" s="8" t="s">
        <v>321</v>
      </c>
      <c r="C580" s="8" t="s">
        <v>1775</v>
      </c>
      <c r="D580" s="8">
        <v>2020.0</v>
      </c>
      <c r="E580" s="8" t="s">
        <v>1776</v>
      </c>
      <c r="F580" s="8" t="s">
        <v>1777</v>
      </c>
      <c r="G580" s="8">
        <v>2.0</v>
      </c>
      <c r="H580" s="8">
        <v>5.0</v>
      </c>
      <c r="I580" s="8" t="s">
        <v>33</v>
      </c>
      <c r="J580" s="8" t="s">
        <v>29</v>
      </c>
      <c r="K580" s="8"/>
      <c r="L580" s="8"/>
      <c r="M580" s="8"/>
      <c r="N580" s="8"/>
      <c r="O580" s="8"/>
      <c r="P580" s="8"/>
      <c r="Q580" s="8"/>
      <c r="R580" s="8"/>
      <c r="S580" s="8"/>
      <c r="T580" s="8"/>
      <c r="U580" s="8"/>
      <c r="V580" s="8"/>
      <c r="W580" s="8"/>
      <c r="X580" s="8"/>
      <c r="Y580" s="8"/>
      <c r="Z580" s="8"/>
    </row>
    <row r="581" ht="14.25" customHeight="1">
      <c r="A581" s="8">
        <v>23891.0</v>
      </c>
      <c r="B581" s="8" t="s">
        <v>24</v>
      </c>
      <c r="C581" s="8" t="s">
        <v>1778</v>
      </c>
      <c r="D581" s="8">
        <v>2020.0</v>
      </c>
      <c r="E581" s="8" t="s">
        <v>1779</v>
      </c>
      <c r="F581" s="8" t="s">
        <v>49</v>
      </c>
      <c r="G581" s="8">
        <v>737.0</v>
      </c>
      <c r="H581" s="8" t="s">
        <v>33</v>
      </c>
      <c r="I581" s="8" t="s">
        <v>33</v>
      </c>
      <c r="J581" s="8" t="s">
        <v>29</v>
      </c>
      <c r="K581" s="8"/>
      <c r="L581" s="8"/>
      <c r="M581" s="8"/>
      <c r="N581" s="8"/>
      <c r="O581" s="8"/>
      <c r="P581" s="8"/>
      <c r="Q581" s="8"/>
      <c r="R581" s="8"/>
      <c r="S581" s="8"/>
      <c r="T581" s="8"/>
      <c r="U581" s="8"/>
      <c r="V581" s="8"/>
      <c r="W581" s="8"/>
      <c r="X581" s="8"/>
      <c r="Y581" s="8"/>
      <c r="Z581" s="8"/>
    </row>
    <row r="582" ht="14.25" customHeight="1">
      <c r="A582" s="8">
        <v>24754.0</v>
      </c>
      <c r="B582" s="8" t="s">
        <v>24</v>
      </c>
      <c r="C582" s="8" t="s">
        <v>1780</v>
      </c>
      <c r="D582" s="8">
        <v>2016.0</v>
      </c>
      <c r="E582" s="8" t="s">
        <v>1781</v>
      </c>
      <c r="F582" s="8" t="s">
        <v>336</v>
      </c>
      <c r="G582" s="8">
        <v>113.0</v>
      </c>
      <c r="H582" s="8">
        <v>45.0</v>
      </c>
      <c r="I582" s="8" t="s">
        <v>1782</v>
      </c>
      <c r="J582" s="8" t="s">
        <v>29</v>
      </c>
      <c r="K582" s="8"/>
      <c r="L582" s="8"/>
      <c r="M582" s="8"/>
      <c r="N582" s="8"/>
      <c r="O582" s="8"/>
      <c r="P582" s="8"/>
      <c r="Q582" s="8"/>
      <c r="R582" s="8"/>
      <c r="S582" s="8"/>
      <c r="T582" s="8"/>
      <c r="U582" s="8"/>
      <c r="V582" s="8"/>
      <c r="W582" s="8"/>
      <c r="X582" s="8"/>
      <c r="Y582" s="8"/>
      <c r="Z582" s="8"/>
    </row>
    <row r="583" ht="14.25" customHeight="1">
      <c r="A583" s="8">
        <v>25410.0</v>
      </c>
      <c r="B583" s="8" t="s">
        <v>24</v>
      </c>
      <c r="C583" s="8" t="s">
        <v>1783</v>
      </c>
      <c r="D583" s="8">
        <v>2012.0</v>
      </c>
      <c r="E583" s="8" t="s">
        <v>1784</v>
      </c>
      <c r="F583" s="8" t="s">
        <v>581</v>
      </c>
      <c r="G583" s="8">
        <v>27.0</v>
      </c>
      <c r="H583" s="8">
        <v>8.0</v>
      </c>
      <c r="I583" s="8" t="s">
        <v>1785</v>
      </c>
      <c r="J583" s="8" t="s">
        <v>29</v>
      </c>
      <c r="K583" s="8"/>
      <c r="L583" s="8"/>
      <c r="M583" s="8"/>
      <c r="N583" s="8"/>
      <c r="O583" s="8"/>
      <c r="P583" s="8"/>
      <c r="Q583" s="8"/>
      <c r="R583" s="8"/>
      <c r="S583" s="8"/>
      <c r="T583" s="8"/>
      <c r="U583" s="8"/>
      <c r="V583" s="8"/>
      <c r="W583" s="8"/>
      <c r="X583" s="8"/>
      <c r="Y583" s="8"/>
      <c r="Z583" s="8"/>
    </row>
    <row r="584" ht="14.25" customHeight="1">
      <c r="A584" s="8">
        <v>25454.0</v>
      </c>
      <c r="B584" s="8" t="s">
        <v>24</v>
      </c>
      <c r="C584" s="8" t="s">
        <v>1786</v>
      </c>
      <c r="D584" s="8">
        <v>2012.0</v>
      </c>
      <c r="E584" s="8" t="s">
        <v>1787</v>
      </c>
      <c r="F584" s="8" t="s">
        <v>64</v>
      </c>
      <c r="G584" s="8">
        <v>145.0</v>
      </c>
      <c r="H584" s="8">
        <v>1.0</v>
      </c>
      <c r="I584" s="8" t="s">
        <v>1788</v>
      </c>
      <c r="J584" s="8" t="s">
        <v>29</v>
      </c>
      <c r="K584" s="8"/>
      <c r="L584" s="8"/>
      <c r="M584" s="8"/>
      <c r="N584" s="8"/>
      <c r="O584" s="8"/>
      <c r="P584" s="8"/>
      <c r="Q584" s="8"/>
      <c r="R584" s="8"/>
      <c r="S584" s="8"/>
      <c r="T584" s="8"/>
      <c r="U584" s="8"/>
      <c r="V584" s="8"/>
      <c r="W584" s="8"/>
      <c r="X584" s="8"/>
      <c r="Y584" s="8"/>
      <c r="Z584" s="8"/>
    </row>
    <row r="585" ht="14.25" customHeight="1">
      <c r="A585" s="8">
        <v>23508.0</v>
      </c>
      <c r="B585" s="8" t="s">
        <v>24</v>
      </c>
      <c r="C585" s="8" t="s">
        <v>1789</v>
      </c>
      <c r="D585" s="8">
        <v>2017.0</v>
      </c>
      <c r="E585" s="8" t="s">
        <v>1790</v>
      </c>
      <c r="F585" s="8" t="s">
        <v>49</v>
      </c>
      <c r="G585" s="8">
        <v>586.0</v>
      </c>
      <c r="H585" s="8" t="s">
        <v>33</v>
      </c>
      <c r="I585" s="8" t="s">
        <v>1791</v>
      </c>
      <c r="J585" s="8" t="s">
        <v>29</v>
      </c>
      <c r="K585" s="8"/>
      <c r="L585" s="8"/>
      <c r="M585" s="8"/>
      <c r="N585" s="8"/>
      <c r="O585" s="8"/>
      <c r="P585" s="8"/>
      <c r="Q585" s="8"/>
      <c r="R585" s="8"/>
      <c r="S585" s="8"/>
      <c r="T585" s="8"/>
      <c r="U585" s="8"/>
      <c r="V585" s="8"/>
      <c r="W585" s="8"/>
      <c r="X585" s="8"/>
      <c r="Y585" s="8"/>
      <c r="Z585" s="8"/>
    </row>
    <row r="586" ht="14.25" customHeight="1">
      <c r="A586" s="8">
        <v>23527.0</v>
      </c>
      <c r="B586" s="8" t="s">
        <v>24</v>
      </c>
      <c r="C586" s="8" t="s">
        <v>1792</v>
      </c>
      <c r="D586" s="8">
        <v>2013.0</v>
      </c>
      <c r="E586" s="8" t="s">
        <v>1793</v>
      </c>
      <c r="F586" s="8" t="s">
        <v>1380</v>
      </c>
      <c r="G586" s="8">
        <v>5.0</v>
      </c>
      <c r="H586" s="8">
        <v>2.0</v>
      </c>
      <c r="I586" s="8" t="s">
        <v>1794</v>
      </c>
      <c r="J586" s="8" t="s">
        <v>29</v>
      </c>
      <c r="K586" s="8"/>
      <c r="L586" s="8"/>
      <c r="M586" s="8"/>
      <c r="N586" s="8"/>
      <c r="O586" s="8"/>
      <c r="P586" s="8"/>
      <c r="Q586" s="8"/>
      <c r="R586" s="8"/>
      <c r="S586" s="8"/>
      <c r="T586" s="8"/>
      <c r="U586" s="8"/>
      <c r="V586" s="8"/>
      <c r="W586" s="8"/>
      <c r="X586" s="8"/>
      <c r="Y586" s="8"/>
      <c r="Z586" s="8"/>
    </row>
    <row r="587" ht="14.25" customHeight="1">
      <c r="A587" s="8">
        <v>25833.0</v>
      </c>
      <c r="B587" s="8" t="s">
        <v>24</v>
      </c>
      <c r="C587" s="8" t="s">
        <v>1795</v>
      </c>
      <c r="D587" s="8">
        <v>2020.0</v>
      </c>
      <c r="E587" s="8" t="s">
        <v>1796</v>
      </c>
      <c r="F587" s="8" t="s">
        <v>64</v>
      </c>
      <c r="G587" s="8">
        <v>245.0</v>
      </c>
      <c r="H587" s="8" t="s">
        <v>33</v>
      </c>
      <c r="I587" s="8" t="s">
        <v>33</v>
      </c>
      <c r="J587" s="8" t="s">
        <v>29</v>
      </c>
      <c r="K587" s="8"/>
      <c r="L587" s="8"/>
      <c r="M587" s="8"/>
      <c r="N587" s="8"/>
      <c r="O587" s="8"/>
      <c r="P587" s="8"/>
      <c r="Q587" s="8"/>
      <c r="R587" s="8"/>
      <c r="S587" s="8"/>
      <c r="T587" s="8"/>
      <c r="U587" s="8"/>
      <c r="V587" s="8"/>
      <c r="W587" s="8"/>
      <c r="X587" s="8"/>
      <c r="Y587" s="8"/>
      <c r="Z587" s="8"/>
    </row>
    <row r="588" ht="14.25" customHeight="1">
      <c r="A588" s="8">
        <v>23993.0</v>
      </c>
      <c r="B588" s="8" t="s">
        <v>24</v>
      </c>
      <c r="C588" s="8" t="s">
        <v>1797</v>
      </c>
      <c r="D588" s="8">
        <v>2018.0</v>
      </c>
      <c r="E588" s="8" t="s">
        <v>1798</v>
      </c>
      <c r="F588" s="8" t="s">
        <v>1799</v>
      </c>
      <c r="G588" s="8">
        <v>82.0</v>
      </c>
      <c r="H588" s="8" t="s">
        <v>1218</v>
      </c>
      <c r="I588" s="8" t="s">
        <v>1800</v>
      </c>
      <c r="J588" s="8" t="s">
        <v>29</v>
      </c>
      <c r="K588" s="8"/>
      <c r="L588" s="8"/>
      <c r="M588" s="8"/>
      <c r="N588" s="8"/>
      <c r="O588" s="8"/>
      <c r="P588" s="8"/>
      <c r="Q588" s="8"/>
      <c r="R588" s="8"/>
      <c r="S588" s="8"/>
      <c r="T588" s="8"/>
      <c r="U588" s="8"/>
      <c r="V588" s="8"/>
      <c r="W588" s="8"/>
      <c r="X588" s="8"/>
      <c r="Y588" s="8"/>
      <c r="Z588" s="8"/>
    </row>
    <row r="589" ht="14.25" customHeight="1">
      <c r="A589" s="8" t="s">
        <v>1801</v>
      </c>
      <c r="B589" s="8" t="s">
        <v>24</v>
      </c>
      <c r="C589" s="8" t="s">
        <v>1802</v>
      </c>
      <c r="D589" s="8">
        <v>2016.0</v>
      </c>
      <c r="E589" s="8" t="s">
        <v>1803</v>
      </c>
      <c r="F589" s="8" t="s">
        <v>1804</v>
      </c>
      <c r="G589" s="8" t="s">
        <v>33</v>
      </c>
      <c r="H589" s="8" t="s">
        <v>33</v>
      </c>
      <c r="I589" s="8" t="s">
        <v>33</v>
      </c>
      <c r="J589" s="8" t="s">
        <v>320</v>
      </c>
      <c r="K589" s="8"/>
      <c r="L589" s="8"/>
      <c r="M589" s="8"/>
      <c r="N589" s="8"/>
      <c r="O589" s="8"/>
      <c r="P589" s="8"/>
      <c r="Q589" s="8"/>
      <c r="R589" s="8"/>
      <c r="S589" s="8"/>
      <c r="T589" s="8"/>
      <c r="U589" s="8"/>
      <c r="V589" s="8"/>
      <c r="W589" s="8"/>
      <c r="X589" s="8"/>
      <c r="Y589" s="8"/>
      <c r="Z589" s="8"/>
    </row>
    <row r="590" ht="14.25" customHeight="1">
      <c r="A590" s="8">
        <v>25058.0</v>
      </c>
      <c r="B590" s="8" t="s">
        <v>24</v>
      </c>
      <c r="C590" s="8" t="s">
        <v>1805</v>
      </c>
      <c r="D590" s="8">
        <v>2015.0</v>
      </c>
      <c r="E590" s="8" t="s">
        <v>1806</v>
      </c>
      <c r="F590" s="8" t="s">
        <v>64</v>
      </c>
      <c r="G590" s="8">
        <v>187.0</v>
      </c>
      <c r="H590" s="8" t="s">
        <v>33</v>
      </c>
      <c r="I590" s="8" t="s">
        <v>1807</v>
      </c>
      <c r="J590" s="8" t="s">
        <v>29</v>
      </c>
      <c r="K590" s="8"/>
      <c r="L590" s="8"/>
      <c r="M590" s="8"/>
      <c r="N590" s="8"/>
      <c r="O590" s="8"/>
      <c r="P590" s="8"/>
      <c r="Q590" s="8"/>
      <c r="R590" s="8"/>
      <c r="S590" s="8"/>
      <c r="T590" s="8"/>
      <c r="U590" s="8"/>
      <c r="V590" s="8"/>
      <c r="W590" s="8"/>
      <c r="X590" s="8"/>
      <c r="Y590" s="8"/>
      <c r="Z590" s="8"/>
    </row>
    <row r="591" ht="14.25" customHeight="1">
      <c r="A591" s="8">
        <v>23306.0</v>
      </c>
      <c r="B591" s="8" t="s">
        <v>24</v>
      </c>
      <c r="C591" s="8" t="s">
        <v>1808</v>
      </c>
      <c r="D591" s="8">
        <v>2020.0</v>
      </c>
      <c r="E591" s="8" t="s">
        <v>1809</v>
      </c>
      <c r="F591" s="8" t="s">
        <v>1810</v>
      </c>
      <c r="G591" s="8">
        <v>77.0</v>
      </c>
      <c r="H591" s="8">
        <v>2.0</v>
      </c>
      <c r="I591" s="8" t="s">
        <v>1811</v>
      </c>
      <c r="J591" s="8" t="s">
        <v>29</v>
      </c>
      <c r="K591" s="8"/>
      <c r="L591" s="8"/>
      <c r="M591" s="8"/>
      <c r="N591" s="8"/>
      <c r="O591" s="8"/>
      <c r="P591" s="8"/>
      <c r="Q591" s="8"/>
      <c r="R591" s="8"/>
      <c r="S591" s="8"/>
      <c r="T591" s="8"/>
      <c r="U591" s="8"/>
      <c r="V591" s="8"/>
      <c r="W591" s="8"/>
      <c r="X591" s="8"/>
      <c r="Y591" s="8"/>
      <c r="Z591" s="8"/>
    </row>
    <row r="592" ht="14.25" customHeight="1">
      <c r="A592" s="8">
        <v>23523.0</v>
      </c>
      <c r="B592" s="8" t="s">
        <v>837</v>
      </c>
      <c r="C592" s="8" t="s">
        <v>1812</v>
      </c>
      <c r="D592" s="8">
        <v>2017.0</v>
      </c>
      <c r="E592" s="8" t="s">
        <v>1813</v>
      </c>
      <c r="F592" s="8" t="s">
        <v>33</v>
      </c>
      <c r="G592" s="8" t="s">
        <v>33</v>
      </c>
      <c r="H592" s="8" t="s">
        <v>33</v>
      </c>
      <c r="I592" s="8">
        <v>122.0</v>
      </c>
      <c r="J592" s="8" t="s">
        <v>29</v>
      </c>
      <c r="K592" s="8"/>
      <c r="L592" s="8"/>
      <c r="M592" s="8"/>
      <c r="N592" s="8"/>
      <c r="O592" s="8"/>
      <c r="P592" s="8"/>
      <c r="Q592" s="8"/>
      <c r="R592" s="8"/>
      <c r="S592" s="8"/>
      <c r="T592" s="8"/>
      <c r="U592" s="8"/>
      <c r="V592" s="8"/>
      <c r="W592" s="8"/>
      <c r="X592" s="8"/>
      <c r="Y592" s="8"/>
      <c r="Z592" s="8"/>
    </row>
    <row r="593" ht="14.25" customHeight="1">
      <c r="A593" s="8">
        <v>25276.0</v>
      </c>
      <c r="B593" s="8" t="s">
        <v>24</v>
      </c>
      <c r="C593" s="8" t="s">
        <v>1814</v>
      </c>
      <c r="D593" s="8">
        <v>2018.0</v>
      </c>
      <c r="E593" s="8" t="s">
        <v>1815</v>
      </c>
      <c r="F593" s="8" t="s">
        <v>145</v>
      </c>
      <c r="G593" s="8">
        <v>85.0</v>
      </c>
      <c r="H593" s="8" t="s">
        <v>33</v>
      </c>
      <c r="I593" s="8" t="s">
        <v>1816</v>
      </c>
      <c r="J593" s="8" t="s">
        <v>29</v>
      </c>
      <c r="K593" s="8"/>
      <c r="L593" s="8"/>
      <c r="M593" s="8"/>
      <c r="N593" s="8"/>
      <c r="O593" s="8"/>
      <c r="P593" s="8"/>
      <c r="Q593" s="8"/>
      <c r="R593" s="8"/>
      <c r="S593" s="8"/>
      <c r="T593" s="8"/>
      <c r="U593" s="8"/>
      <c r="V593" s="8"/>
      <c r="W593" s="8"/>
      <c r="X593" s="8"/>
      <c r="Y593" s="8"/>
      <c r="Z593" s="8"/>
    </row>
    <row r="594" ht="14.25" customHeight="1">
      <c r="A594" s="8">
        <v>25832.0</v>
      </c>
      <c r="B594" s="8" t="s">
        <v>24</v>
      </c>
      <c r="C594" s="8" t="s">
        <v>1795</v>
      </c>
      <c r="D594" s="8">
        <v>2020.0</v>
      </c>
      <c r="E594" s="8" t="s">
        <v>1817</v>
      </c>
      <c r="F594" s="8" t="s">
        <v>615</v>
      </c>
      <c r="G594" s="8">
        <v>29.0</v>
      </c>
      <c r="H594" s="8">
        <v>1.0</v>
      </c>
      <c r="I594" s="8" t="s">
        <v>1818</v>
      </c>
      <c r="J594" s="8" t="s">
        <v>29</v>
      </c>
      <c r="K594" s="8"/>
      <c r="L594" s="8"/>
      <c r="M594" s="8"/>
      <c r="N594" s="8"/>
      <c r="O594" s="8"/>
      <c r="P594" s="8"/>
      <c r="Q594" s="8"/>
      <c r="R594" s="8"/>
      <c r="S594" s="8"/>
      <c r="T594" s="8"/>
      <c r="U594" s="8"/>
      <c r="V594" s="8"/>
      <c r="W594" s="8"/>
      <c r="X594" s="8"/>
      <c r="Y594" s="8"/>
      <c r="Z594" s="8"/>
    </row>
    <row r="595" ht="14.25" customHeight="1">
      <c r="A595" s="8">
        <v>26112.0</v>
      </c>
      <c r="B595" s="8" t="s">
        <v>24</v>
      </c>
      <c r="C595" s="8" t="s">
        <v>1819</v>
      </c>
      <c r="D595" s="8">
        <v>2009.0</v>
      </c>
      <c r="E595" s="8" t="s">
        <v>1820</v>
      </c>
      <c r="F595" s="8" t="s">
        <v>46</v>
      </c>
      <c r="G595" s="8">
        <v>43.0</v>
      </c>
      <c r="H595" s="8">
        <v>3.0</v>
      </c>
      <c r="I595" s="8" t="s">
        <v>1821</v>
      </c>
      <c r="J595" s="8" t="s">
        <v>29</v>
      </c>
      <c r="K595" s="8"/>
      <c r="L595" s="8"/>
      <c r="M595" s="8"/>
      <c r="N595" s="8"/>
      <c r="O595" s="8"/>
      <c r="P595" s="8"/>
      <c r="Q595" s="8"/>
      <c r="R595" s="8"/>
      <c r="S595" s="8"/>
      <c r="T595" s="8"/>
      <c r="U595" s="8"/>
      <c r="V595" s="8"/>
      <c r="W595" s="8"/>
      <c r="X595" s="8"/>
      <c r="Y595" s="8"/>
      <c r="Z595" s="8"/>
    </row>
    <row r="596" ht="14.25" customHeight="1">
      <c r="A596" s="8">
        <v>25838.0</v>
      </c>
      <c r="B596" s="8" t="s">
        <v>321</v>
      </c>
      <c r="C596" s="8" t="s">
        <v>1822</v>
      </c>
      <c r="D596" s="8">
        <v>2006.0</v>
      </c>
      <c r="E596" s="8" t="s">
        <v>1823</v>
      </c>
      <c r="F596" s="8" t="s">
        <v>462</v>
      </c>
      <c r="G596" s="8">
        <v>3.0</v>
      </c>
      <c r="H596" s="8" t="s">
        <v>33</v>
      </c>
      <c r="I596" s="8" t="s">
        <v>33</v>
      </c>
      <c r="J596" s="8" t="s">
        <v>29</v>
      </c>
      <c r="K596" s="8"/>
      <c r="L596" s="8"/>
      <c r="M596" s="8"/>
      <c r="N596" s="8"/>
      <c r="O596" s="8"/>
      <c r="P596" s="8"/>
      <c r="Q596" s="8"/>
      <c r="R596" s="8"/>
      <c r="S596" s="8"/>
      <c r="T596" s="8"/>
      <c r="U596" s="8"/>
      <c r="V596" s="8"/>
      <c r="W596" s="8"/>
      <c r="X596" s="8"/>
      <c r="Y596" s="8"/>
      <c r="Z596" s="8"/>
    </row>
    <row r="597" ht="14.25" customHeight="1">
      <c r="A597" s="8">
        <v>24154.0</v>
      </c>
      <c r="B597" s="8" t="s">
        <v>24</v>
      </c>
      <c r="C597" s="8" t="s">
        <v>1824</v>
      </c>
      <c r="D597" s="8">
        <v>2018.0</v>
      </c>
      <c r="E597" s="8" t="s">
        <v>1825</v>
      </c>
      <c r="F597" s="8" t="s">
        <v>60</v>
      </c>
      <c r="G597" s="8">
        <v>32.0</v>
      </c>
      <c r="H597" s="8">
        <v>2.0</v>
      </c>
      <c r="I597" s="8" t="s">
        <v>1826</v>
      </c>
      <c r="J597" s="8" t="s">
        <v>29</v>
      </c>
      <c r="K597" s="8"/>
      <c r="L597" s="8"/>
      <c r="M597" s="8"/>
      <c r="N597" s="8"/>
      <c r="O597" s="8"/>
      <c r="P597" s="8"/>
      <c r="Q597" s="8"/>
      <c r="R597" s="8"/>
      <c r="S597" s="8"/>
      <c r="T597" s="8"/>
      <c r="U597" s="8"/>
      <c r="V597" s="8"/>
      <c r="W597" s="8"/>
      <c r="X597" s="8"/>
      <c r="Y597" s="8"/>
      <c r="Z597" s="8"/>
    </row>
    <row r="598" ht="14.25" customHeight="1">
      <c r="A598" s="8" t="s">
        <v>1827</v>
      </c>
      <c r="B598" s="8" t="s">
        <v>41</v>
      </c>
      <c r="C598" s="8" t="s">
        <v>1828</v>
      </c>
      <c r="D598" s="8">
        <v>2020.0</v>
      </c>
      <c r="E598" s="8" t="s">
        <v>1829</v>
      </c>
      <c r="F598" s="8" t="s">
        <v>1830</v>
      </c>
      <c r="G598" s="8" t="s">
        <v>33</v>
      </c>
      <c r="H598" s="8" t="s">
        <v>33</v>
      </c>
      <c r="I598" s="8" t="s">
        <v>1831</v>
      </c>
      <c r="J598" s="8" t="s">
        <v>320</v>
      </c>
      <c r="K598" s="8"/>
      <c r="L598" s="8"/>
      <c r="M598" s="8"/>
      <c r="N598" s="8"/>
      <c r="O598" s="8"/>
      <c r="P598" s="8"/>
      <c r="Q598" s="8"/>
      <c r="R598" s="8"/>
      <c r="S598" s="8"/>
      <c r="T598" s="8"/>
      <c r="U598" s="8"/>
      <c r="V598" s="8"/>
      <c r="W598" s="8"/>
      <c r="X598" s="8"/>
      <c r="Y598" s="8"/>
      <c r="Z598" s="8"/>
    </row>
    <row r="599" ht="14.25" customHeight="1">
      <c r="A599" s="8">
        <v>25930.0</v>
      </c>
      <c r="B599" s="8" t="s">
        <v>24</v>
      </c>
      <c r="C599" s="8" t="s">
        <v>1832</v>
      </c>
      <c r="D599" s="8">
        <v>2018.0</v>
      </c>
      <c r="E599" s="8" t="s">
        <v>1833</v>
      </c>
      <c r="F599" s="8" t="s">
        <v>678</v>
      </c>
      <c r="G599" s="8">
        <v>59.0</v>
      </c>
      <c r="H599" s="8" t="s">
        <v>33</v>
      </c>
      <c r="I599" s="8" t="s">
        <v>1834</v>
      </c>
      <c r="J599" s="8" t="s">
        <v>29</v>
      </c>
      <c r="K599" s="8"/>
      <c r="L599" s="8"/>
      <c r="M599" s="8"/>
      <c r="N599" s="8"/>
      <c r="O599" s="8"/>
      <c r="P599" s="8"/>
      <c r="Q599" s="8"/>
      <c r="R599" s="8"/>
      <c r="S599" s="8"/>
      <c r="T599" s="8"/>
      <c r="U599" s="8"/>
      <c r="V599" s="8"/>
      <c r="W599" s="8"/>
      <c r="X599" s="8"/>
      <c r="Y599" s="8"/>
      <c r="Z599" s="8"/>
    </row>
    <row r="600" ht="14.25" customHeight="1">
      <c r="A600" s="8">
        <v>24894.0</v>
      </c>
      <c r="B600" s="8" t="s">
        <v>24</v>
      </c>
      <c r="C600" s="8" t="s">
        <v>1835</v>
      </c>
      <c r="D600" s="8">
        <v>2013.0</v>
      </c>
      <c r="E600" s="8" t="s">
        <v>1836</v>
      </c>
      <c r="F600" s="8" t="s">
        <v>1837</v>
      </c>
      <c r="G600" s="8">
        <v>16.0</v>
      </c>
      <c r="H600" s="11">
        <v>44780.0</v>
      </c>
      <c r="I600" s="8" t="s">
        <v>1838</v>
      </c>
      <c r="J600" s="8" t="s">
        <v>29</v>
      </c>
      <c r="K600" s="8"/>
      <c r="L600" s="8"/>
      <c r="M600" s="8"/>
      <c r="N600" s="8"/>
      <c r="O600" s="8"/>
      <c r="P600" s="8"/>
      <c r="Q600" s="8"/>
      <c r="R600" s="8"/>
      <c r="S600" s="8"/>
      <c r="T600" s="8"/>
      <c r="U600" s="8"/>
      <c r="V600" s="8"/>
      <c r="W600" s="8"/>
      <c r="X600" s="8"/>
      <c r="Y600" s="8"/>
      <c r="Z600" s="8"/>
    </row>
    <row r="601" ht="14.25" customHeight="1">
      <c r="A601" s="8">
        <v>23594.0</v>
      </c>
      <c r="B601" s="8" t="s">
        <v>24</v>
      </c>
      <c r="C601" s="8" t="s">
        <v>1839</v>
      </c>
      <c r="D601" s="8">
        <v>2013.0</v>
      </c>
      <c r="E601" s="8" t="s">
        <v>1840</v>
      </c>
      <c r="F601" s="8" t="s">
        <v>1841</v>
      </c>
      <c r="G601" s="8">
        <v>19.0</v>
      </c>
      <c r="H601" s="8">
        <v>1.0</v>
      </c>
      <c r="I601" s="11">
        <v>44866.0</v>
      </c>
      <c r="J601" s="8" t="s">
        <v>29</v>
      </c>
      <c r="K601" s="8"/>
      <c r="L601" s="8"/>
      <c r="M601" s="8"/>
      <c r="N601" s="8"/>
      <c r="O601" s="8"/>
      <c r="P601" s="8"/>
      <c r="Q601" s="8"/>
      <c r="R601" s="8"/>
      <c r="S601" s="8"/>
      <c r="T601" s="8"/>
      <c r="U601" s="8"/>
      <c r="V601" s="8"/>
      <c r="W601" s="8"/>
      <c r="X601" s="8"/>
      <c r="Y601" s="8"/>
      <c r="Z601" s="8"/>
    </row>
    <row r="602" ht="14.25" customHeight="1">
      <c r="A602" s="8">
        <v>24728.0</v>
      </c>
      <c r="B602" s="8" t="s">
        <v>24</v>
      </c>
      <c r="C602" s="8" t="s">
        <v>1842</v>
      </c>
      <c r="D602" s="8">
        <v>2017.0</v>
      </c>
      <c r="E602" s="8" t="s">
        <v>1843</v>
      </c>
      <c r="F602" s="8" t="s">
        <v>32</v>
      </c>
      <c r="G602" s="8">
        <v>77.0</v>
      </c>
      <c r="H602" s="8" t="s">
        <v>33</v>
      </c>
      <c r="I602" s="8" t="s">
        <v>1844</v>
      </c>
      <c r="J602" s="8" t="s">
        <v>29</v>
      </c>
      <c r="K602" s="8"/>
      <c r="L602" s="8"/>
      <c r="M602" s="8"/>
      <c r="N602" s="8"/>
      <c r="O602" s="8"/>
      <c r="P602" s="8"/>
      <c r="Q602" s="8"/>
      <c r="R602" s="8"/>
      <c r="S602" s="8"/>
      <c r="T602" s="8"/>
      <c r="U602" s="8"/>
      <c r="V602" s="8"/>
      <c r="W602" s="8"/>
      <c r="X602" s="8"/>
      <c r="Y602" s="8"/>
      <c r="Z602" s="8"/>
    </row>
    <row r="603" ht="14.25" customHeight="1">
      <c r="A603" s="8">
        <v>23368.0</v>
      </c>
      <c r="B603" s="8" t="s">
        <v>24</v>
      </c>
      <c r="C603" s="8" t="s">
        <v>1845</v>
      </c>
      <c r="D603" s="8">
        <v>2008.0</v>
      </c>
      <c r="E603" s="8" t="s">
        <v>1846</v>
      </c>
      <c r="F603" s="8" t="s">
        <v>64</v>
      </c>
      <c r="G603" s="8">
        <v>141.0</v>
      </c>
      <c r="H603" s="8">
        <v>9.0</v>
      </c>
      <c r="I603" s="8" t="s">
        <v>1847</v>
      </c>
      <c r="J603" s="8" t="s">
        <v>29</v>
      </c>
      <c r="K603" s="8"/>
      <c r="L603" s="8"/>
      <c r="M603" s="8"/>
      <c r="N603" s="8"/>
      <c r="O603" s="8"/>
      <c r="P603" s="8"/>
      <c r="Q603" s="8"/>
      <c r="R603" s="8"/>
      <c r="S603" s="8"/>
      <c r="T603" s="8"/>
      <c r="U603" s="8"/>
      <c r="V603" s="8"/>
      <c r="W603" s="8"/>
      <c r="X603" s="8"/>
      <c r="Y603" s="8"/>
      <c r="Z603" s="8"/>
    </row>
    <row r="604" ht="14.25" customHeight="1">
      <c r="A604" s="8">
        <v>24472.0</v>
      </c>
      <c r="B604" s="8" t="s">
        <v>321</v>
      </c>
      <c r="C604" s="8" t="s">
        <v>1848</v>
      </c>
      <c r="D604" s="8">
        <v>2017.0</v>
      </c>
      <c r="E604" s="8" t="s">
        <v>1849</v>
      </c>
      <c r="F604" s="8" t="s">
        <v>462</v>
      </c>
      <c r="G604" s="8">
        <v>17.0</v>
      </c>
      <c r="H604" s="8" t="s">
        <v>33</v>
      </c>
      <c r="I604" s="8" t="s">
        <v>1850</v>
      </c>
      <c r="J604" s="8" t="s">
        <v>29</v>
      </c>
      <c r="K604" s="8"/>
      <c r="L604" s="8"/>
      <c r="M604" s="8"/>
      <c r="N604" s="8"/>
      <c r="O604" s="8"/>
      <c r="P604" s="8"/>
      <c r="Q604" s="8"/>
      <c r="R604" s="8"/>
      <c r="S604" s="8"/>
      <c r="T604" s="8"/>
      <c r="U604" s="8"/>
      <c r="V604" s="8"/>
      <c r="W604" s="8"/>
      <c r="X604" s="8"/>
      <c r="Y604" s="8"/>
      <c r="Z604" s="8"/>
    </row>
    <row r="605" ht="14.25" customHeight="1">
      <c r="A605" s="8">
        <v>25139.0</v>
      </c>
      <c r="B605" s="8" t="s">
        <v>24</v>
      </c>
      <c r="C605" s="8" t="s">
        <v>1851</v>
      </c>
      <c r="D605" s="8">
        <v>2014.0</v>
      </c>
      <c r="E605" s="8" t="s">
        <v>1852</v>
      </c>
      <c r="F605" s="8" t="s">
        <v>1853</v>
      </c>
      <c r="G605" s="8">
        <v>29.0</v>
      </c>
      <c r="H605" s="8" t="s">
        <v>33</v>
      </c>
      <c r="I605" s="8" t="s">
        <v>1854</v>
      </c>
      <c r="J605" s="8" t="s">
        <v>29</v>
      </c>
      <c r="K605" s="8"/>
      <c r="L605" s="8"/>
      <c r="M605" s="8"/>
      <c r="N605" s="8"/>
      <c r="O605" s="8"/>
      <c r="P605" s="8"/>
      <c r="Q605" s="8"/>
      <c r="R605" s="8"/>
      <c r="S605" s="8"/>
      <c r="T605" s="8"/>
      <c r="U605" s="8"/>
      <c r="V605" s="8"/>
      <c r="W605" s="8"/>
      <c r="X605" s="8"/>
      <c r="Y605" s="8"/>
      <c r="Z605" s="8"/>
    </row>
    <row r="606" ht="14.25" customHeight="1">
      <c r="A606" s="8">
        <v>26137.0</v>
      </c>
      <c r="B606" s="8" t="s">
        <v>24</v>
      </c>
      <c r="C606" s="8" t="s">
        <v>1855</v>
      </c>
      <c r="D606" s="8">
        <v>2016.0</v>
      </c>
      <c r="E606" s="8" t="s">
        <v>1856</v>
      </c>
      <c r="F606" s="8" t="s">
        <v>829</v>
      </c>
      <c r="G606" s="8">
        <v>48.0</v>
      </c>
      <c r="H606" s="8">
        <v>3.0</v>
      </c>
      <c r="I606" s="8" t="s">
        <v>1857</v>
      </c>
      <c r="J606" s="8" t="s">
        <v>29</v>
      </c>
      <c r="K606" s="8"/>
      <c r="L606" s="8"/>
      <c r="M606" s="8"/>
      <c r="N606" s="8"/>
      <c r="O606" s="8"/>
      <c r="P606" s="8"/>
      <c r="Q606" s="8"/>
      <c r="R606" s="8"/>
      <c r="S606" s="8"/>
      <c r="T606" s="8"/>
      <c r="U606" s="8"/>
      <c r="V606" s="8"/>
      <c r="W606" s="8"/>
      <c r="X606" s="8"/>
      <c r="Y606" s="8"/>
      <c r="Z606" s="8"/>
    </row>
    <row r="607" ht="14.25" customHeight="1">
      <c r="A607" s="8">
        <v>24127.0</v>
      </c>
      <c r="B607" s="8" t="s">
        <v>24</v>
      </c>
      <c r="C607" s="8" t="s">
        <v>115</v>
      </c>
      <c r="D607" s="8">
        <v>2009.0</v>
      </c>
      <c r="E607" s="8" t="s">
        <v>1858</v>
      </c>
      <c r="F607" s="8" t="s">
        <v>386</v>
      </c>
      <c r="G607" s="8">
        <v>2.0</v>
      </c>
      <c r="H607" s="8">
        <v>3.0</v>
      </c>
      <c r="I607" s="8" t="s">
        <v>1859</v>
      </c>
      <c r="J607" s="8" t="s">
        <v>29</v>
      </c>
      <c r="K607" s="8"/>
      <c r="L607" s="8"/>
      <c r="M607" s="8"/>
      <c r="N607" s="8"/>
      <c r="O607" s="8"/>
      <c r="P607" s="8"/>
      <c r="Q607" s="8"/>
      <c r="R607" s="8"/>
      <c r="S607" s="8"/>
      <c r="T607" s="8"/>
      <c r="U607" s="8"/>
      <c r="V607" s="8"/>
      <c r="W607" s="8"/>
      <c r="X607" s="8"/>
      <c r="Y607" s="8"/>
      <c r="Z607" s="8"/>
    </row>
    <row r="608" ht="14.25" customHeight="1">
      <c r="A608" s="8">
        <v>23869.0</v>
      </c>
      <c r="B608" s="8" t="s">
        <v>24</v>
      </c>
      <c r="C608" s="8" t="s">
        <v>1860</v>
      </c>
      <c r="D608" s="8">
        <v>2015.0</v>
      </c>
      <c r="E608" s="8" t="s">
        <v>1861</v>
      </c>
      <c r="F608" s="8" t="s">
        <v>449</v>
      </c>
      <c r="G608" s="8">
        <v>42.0</v>
      </c>
      <c r="H608" s="8" t="s">
        <v>33</v>
      </c>
      <c r="I608" s="8" t="s">
        <v>1862</v>
      </c>
      <c r="J608" s="8" t="s">
        <v>29</v>
      </c>
      <c r="K608" s="8"/>
      <c r="L608" s="8"/>
      <c r="M608" s="8"/>
      <c r="N608" s="8"/>
      <c r="O608" s="8"/>
      <c r="P608" s="8"/>
      <c r="Q608" s="8"/>
      <c r="R608" s="8"/>
      <c r="S608" s="8"/>
      <c r="T608" s="8"/>
      <c r="U608" s="8"/>
      <c r="V608" s="8"/>
      <c r="W608" s="8"/>
      <c r="X608" s="8"/>
      <c r="Y608" s="8"/>
      <c r="Z608" s="8"/>
    </row>
    <row r="609" ht="14.25" customHeight="1">
      <c r="A609" s="8">
        <v>25402.0</v>
      </c>
      <c r="B609" s="8" t="s">
        <v>24</v>
      </c>
      <c r="C609" s="8" t="s">
        <v>1863</v>
      </c>
      <c r="D609" s="8">
        <v>2012.0</v>
      </c>
      <c r="E609" s="8" t="s">
        <v>1864</v>
      </c>
      <c r="F609" s="8" t="s">
        <v>1718</v>
      </c>
      <c r="G609" s="8">
        <v>32.0</v>
      </c>
      <c r="H609" s="8">
        <v>2.0</v>
      </c>
      <c r="I609" s="8" t="s">
        <v>1865</v>
      </c>
      <c r="J609" s="8" t="s">
        <v>29</v>
      </c>
      <c r="K609" s="8"/>
      <c r="L609" s="8"/>
      <c r="M609" s="8"/>
      <c r="N609" s="8"/>
      <c r="O609" s="8"/>
      <c r="P609" s="8"/>
      <c r="Q609" s="8"/>
      <c r="R609" s="8"/>
      <c r="S609" s="8"/>
      <c r="T609" s="8"/>
      <c r="U609" s="8"/>
      <c r="V609" s="8"/>
      <c r="W609" s="8"/>
      <c r="X609" s="8"/>
      <c r="Y609" s="8"/>
      <c r="Z609" s="8"/>
    </row>
    <row r="610" ht="14.25" customHeight="1">
      <c r="A610" s="8">
        <v>25687.0</v>
      </c>
      <c r="B610" s="8" t="s">
        <v>24</v>
      </c>
      <c r="C610" s="8" t="s">
        <v>1866</v>
      </c>
      <c r="D610" s="8">
        <v>2018.0</v>
      </c>
      <c r="E610" s="8" t="s">
        <v>1867</v>
      </c>
      <c r="F610" s="8" t="s">
        <v>1868</v>
      </c>
      <c r="G610" s="8">
        <v>48.0</v>
      </c>
      <c r="H610" s="8" t="s">
        <v>33</v>
      </c>
      <c r="I610" s="8" t="s">
        <v>1869</v>
      </c>
      <c r="J610" s="8" t="s">
        <v>29</v>
      </c>
      <c r="K610" s="8"/>
      <c r="L610" s="8"/>
      <c r="M610" s="8"/>
      <c r="N610" s="8"/>
      <c r="O610" s="8"/>
      <c r="P610" s="8"/>
      <c r="Q610" s="8"/>
      <c r="R610" s="8"/>
      <c r="S610" s="8"/>
      <c r="T610" s="8"/>
      <c r="U610" s="8"/>
      <c r="V610" s="8"/>
      <c r="W610" s="8"/>
      <c r="X610" s="8"/>
      <c r="Y610" s="8"/>
      <c r="Z610" s="8"/>
    </row>
    <row r="611" ht="14.25" customHeight="1">
      <c r="A611" s="8">
        <v>23062.0</v>
      </c>
      <c r="B611" s="8" t="s">
        <v>24</v>
      </c>
      <c r="C611" s="8" t="s">
        <v>1870</v>
      </c>
      <c r="D611" s="8">
        <v>2017.0</v>
      </c>
      <c r="E611" s="8" t="s">
        <v>1871</v>
      </c>
      <c r="F611" s="8" t="s">
        <v>336</v>
      </c>
      <c r="G611" s="8">
        <v>114.0</v>
      </c>
      <c r="H611" s="8">
        <v>9.0</v>
      </c>
      <c r="I611" s="8" t="s">
        <v>1872</v>
      </c>
      <c r="J611" s="8" t="s">
        <v>29</v>
      </c>
      <c r="K611" s="8"/>
      <c r="L611" s="8"/>
      <c r="M611" s="8"/>
      <c r="N611" s="8"/>
      <c r="O611" s="8"/>
      <c r="P611" s="8"/>
      <c r="Q611" s="8"/>
      <c r="R611" s="8"/>
      <c r="S611" s="8"/>
      <c r="T611" s="8"/>
      <c r="U611" s="8"/>
      <c r="V611" s="8"/>
      <c r="W611" s="8"/>
      <c r="X611" s="8"/>
      <c r="Y611" s="8"/>
      <c r="Z611" s="8"/>
    </row>
    <row r="612" ht="14.25" customHeight="1">
      <c r="A612" s="8">
        <v>23854.0</v>
      </c>
      <c r="B612" s="8" t="s">
        <v>24</v>
      </c>
      <c r="C612" s="8" t="s">
        <v>1873</v>
      </c>
      <c r="D612" s="8">
        <v>2013.0</v>
      </c>
      <c r="E612" s="8" t="s">
        <v>1874</v>
      </c>
      <c r="F612" s="8" t="s">
        <v>60</v>
      </c>
      <c r="G612" s="8">
        <v>28.0</v>
      </c>
      <c r="H612" s="8">
        <v>1.0</v>
      </c>
      <c r="I612" s="8" t="s">
        <v>1875</v>
      </c>
      <c r="J612" s="8" t="s">
        <v>29</v>
      </c>
      <c r="K612" s="8"/>
      <c r="L612" s="8"/>
      <c r="M612" s="8"/>
      <c r="N612" s="8"/>
      <c r="O612" s="8"/>
      <c r="P612" s="8"/>
      <c r="Q612" s="8"/>
      <c r="R612" s="8"/>
      <c r="S612" s="8"/>
      <c r="T612" s="8"/>
      <c r="U612" s="8"/>
      <c r="V612" s="8"/>
      <c r="W612" s="8"/>
      <c r="X612" s="8"/>
      <c r="Y612" s="8"/>
      <c r="Z612" s="8"/>
    </row>
    <row r="613" ht="14.25" customHeight="1">
      <c r="A613" s="8">
        <v>24545.0</v>
      </c>
      <c r="B613" s="8" t="s">
        <v>24</v>
      </c>
      <c r="C613" s="8" t="s">
        <v>398</v>
      </c>
      <c r="D613" s="8">
        <v>2018.0</v>
      </c>
      <c r="E613" s="8" t="s">
        <v>1876</v>
      </c>
      <c r="F613" s="8" t="s">
        <v>1674</v>
      </c>
      <c r="G613" s="8">
        <v>30.0</v>
      </c>
      <c r="H613" s="8" t="s">
        <v>33</v>
      </c>
      <c r="I613" s="8" t="s">
        <v>1877</v>
      </c>
      <c r="J613" s="8" t="s">
        <v>29</v>
      </c>
      <c r="K613" s="9"/>
      <c r="L613" s="8"/>
      <c r="M613" s="8"/>
      <c r="N613" s="8"/>
      <c r="O613" s="8"/>
      <c r="P613" s="8"/>
      <c r="Q613" s="8"/>
      <c r="R613" s="8"/>
      <c r="S613" s="8"/>
      <c r="T613" s="8"/>
      <c r="U613" s="8"/>
      <c r="V613" s="8"/>
      <c r="W613" s="8"/>
      <c r="X613" s="8"/>
      <c r="Y613" s="8"/>
      <c r="Z613" s="8"/>
    </row>
    <row r="614" ht="14.25" customHeight="1">
      <c r="A614" s="8">
        <v>24269.0</v>
      </c>
      <c r="B614" s="8" t="s">
        <v>24</v>
      </c>
      <c r="C614" s="8" t="s">
        <v>1878</v>
      </c>
      <c r="D614" s="8">
        <v>2015.0</v>
      </c>
      <c r="E614" s="8" t="s">
        <v>1879</v>
      </c>
      <c r="F614" s="8" t="s">
        <v>1880</v>
      </c>
      <c r="G614" s="8">
        <v>114.0</v>
      </c>
      <c r="H614" s="8" t="s">
        <v>33</v>
      </c>
      <c r="I614" s="8" t="s">
        <v>1881</v>
      </c>
      <c r="J614" s="8" t="s">
        <v>29</v>
      </c>
      <c r="K614" s="8"/>
      <c r="L614" s="8"/>
      <c r="M614" s="8"/>
      <c r="N614" s="8"/>
      <c r="O614" s="8"/>
      <c r="P614" s="8"/>
      <c r="Q614" s="8"/>
      <c r="R614" s="8"/>
      <c r="S614" s="8"/>
      <c r="T614" s="8"/>
      <c r="U614" s="8"/>
      <c r="V614" s="8"/>
      <c r="W614" s="8"/>
      <c r="X614" s="8"/>
      <c r="Y614" s="8"/>
      <c r="Z614" s="8"/>
    </row>
    <row r="615" ht="14.25" customHeight="1">
      <c r="A615" s="8">
        <v>23019.0</v>
      </c>
      <c r="B615" s="8" t="s">
        <v>24</v>
      </c>
      <c r="C615" s="8" t="s">
        <v>1882</v>
      </c>
      <c r="D615" s="8">
        <v>2015.0</v>
      </c>
      <c r="E615" s="8" t="s">
        <v>1883</v>
      </c>
      <c r="F615" s="8" t="s">
        <v>97</v>
      </c>
      <c r="G615" s="8">
        <v>21.0</v>
      </c>
      <c r="H615" s="8">
        <v>5.0</v>
      </c>
      <c r="I615" s="8" t="s">
        <v>1884</v>
      </c>
      <c r="J615" s="8" t="s">
        <v>29</v>
      </c>
      <c r="K615" s="8"/>
      <c r="L615" s="8"/>
      <c r="M615" s="8"/>
      <c r="N615" s="8"/>
      <c r="O615" s="8"/>
      <c r="P615" s="8"/>
      <c r="Q615" s="8"/>
      <c r="R615" s="8"/>
      <c r="S615" s="8"/>
      <c r="T615" s="8"/>
      <c r="U615" s="8"/>
      <c r="V615" s="8"/>
      <c r="W615" s="8"/>
      <c r="X615" s="8"/>
      <c r="Y615" s="8"/>
      <c r="Z615" s="8"/>
    </row>
    <row r="616" ht="14.25" customHeight="1">
      <c r="A616" s="8">
        <v>25162.0</v>
      </c>
      <c r="B616" s="8" t="s">
        <v>24</v>
      </c>
      <c r="C616" s="8" t="s">
        <v>1885</v>
      </c>
      <c r="D616" s="8">
        <v>2018.0</v>
      </c>
      <c r="E616" s="8" t="s">
        <v>1886</v>
      </c>
      <c r="F616" s="8" t="s">
        <v>36</v>
      </c>
      <c r="G616" s="8">
        <v>13.0</v>
      </c>
      <c r="H616" s="8">
        <v>6.0</v>
      </c>
      <c r="I616" s="8" t="s">
        <v>33</v>
      </c>
      <c r="J616" s="8" t="s">
        <v>29</v>
      </c>
      <c r="K616" s="8"/>
      <c r="L616" s="8"/>
      <c r="M616" s="8"/>
      <c r="N616" s="8"/>
      <c r="O616" s="8"/>
      <c r="P616" s="8"/>
      <c r="Q616" s="8"/>
      <c r="R616" s="8"/>
      <c r="S616" s="8"/>
      <c r="T616" s="8"/>
      <c r="U616" s="8"/>
      <c r="V616" s="8"/>
      <c r="W616" s="8"/>
      <c r="X616" s="8"/>
      <c r="Y616" s="8"/>
      <c r="Z616" s="8"/>
    </row>
    <row r="617" ht="14.25" customHeight="1">
      <c r="A617" s="8">
        <v>25806.0</v>
      </c>
      <c r="B617" s="8" t="s">
        <v>24</v>
      </c>
      <c r="C617" s="8" t="s">
        <v>554</v>
      </c>
      <c r="D617" s="8">
        <v>2011.0</v>
      </c>
      <c r="E617" s="8" t="s">
        <v>1887</v>
      </c>
      <c r="F617" s="8" t="s">
        <v>64</v>
      </c>
      <c r="G617" s="8">
        <v>144.0</v>
      </c>
      <c r="H617" s="8">
        <v>5.0</v>
      </c>
      <c r="I617" s="8" t="s">
        <v>1888</v>
      </c>
      <c r="J617" s="8" t="s">
        <v>29</v>
      </c>
      <c r="K617" s="8"/>
      <c r="L617" s="8"/>
      <c r="M617" s="8"/>
      <c r="N617" s="8"/>
      <c r="O617" s="8"/>
      <c r="P617" s="8"/>
      <c r="Q617" s="8"/>
      <c r="R617" s="8"/>
      <c r="S617" s="8"/>
      <c r="T617" s="8"/>
      <c r="U617" s="8"/>
      <c r="V617" s="8"/>
      <c r="W617" s="8"/>
      <c r="X617" s="8"/>
      <c r="Y617" s="8"/>
      <c r="Z617" s="8"/>
    </row>
    <row r="618" ht="14.25" customHeight="1">
      <c r="A618" s="8">
        <v>24930.0</v>
      </c>
      <c r="B618" s="8" t="s">
        <v>24</v>
      </c>
      <c r="C618" s="8" t="s">
        <v>1889</v>
      </c>
      <c r="D618" s="8">
        <v>2016.0</v>
      </c>
      <c r="E618" s="8" t="s">
        <v>1890</v>
      </c>
      <c r="F618" s="8" t="s">
        <v>145</v>
      </c>
      <c r="G618" s="8">
        <v>70.0</v>
      </c>
      <c r="H618" s="8" t="s">
        <v>33</v>
      </c>
      <c r="I618" s="8" t="s">
        <v>1891</v>
      </c>
      <c r="J618" s="8" t="s">
        <v>29</v>
      </c>
      <c r="K618" s="8"/>
      <c r="L618" s="8"/>
      <c r="M618" s="8"/>
      <c r="N618" s="8"/>
      <c r="O618" s="8"/>
      <c r="P618" s="8"/>
      <c r="Q618" s="8"/>
      <c r="R618" s="8"/>
      <c r="S618" s="8"/>
      <c r="T618" s="8"/>
      <c r="U618" s="8"/>
      <c r="V618" s="8"/>
      <c r="W618" s="8"/>
      <c r="X618" s="8"/>
      <c r="Y618" s="8"/>
      <c r="Z618" s="8"/>
    </row>
    <row r="619" ht="14.25" customHeight="1">
      <c r="A619" s="8">
        <v>24001.0</v>
      </c>
      <c r="B619" s="8" t="s">
        <v>24</v>
      </c>
      <c r="C619" s="8" t="s">
        <v>1892</v>
      </c>
      <c r="D619" s="8">
        <v>2019.0</v>
      </c>
      <c r="E619" s="8" t="s">
        <v>1893</v>
      </c>
      <c r="F619" s="8" t="s">
        <v>49</v>
      </c>
      <c r="G619" s="8">
        <v>691.0</v>
      </c>
      <c r="H619" s="8" t="s">
        <v>33</v>
      </c>
      <c r="I619" s="8" t="s">
        <v>1894</v>
      </c>
      <c r="J619" s="8" t="s">
        <v>29</v>
      </c>
      <c r="K619" s="8"/>
      <c r="L619" s="8"/>
      <c r="M619" s="8"/>
      <c r="N619" s="8"/>
      <c r="O619" s="8"/>
      <c r="P619" s="8"/>
      <c r="Q619" s="8"/>
      <c r="R619" s="8"/>
      <c r="S619" s="8"/>
      <c r="T619" s="8"/>
      <c r="U619" s="8"/>
      <c r="V619" s="8"/>
      <c r="W619" s="8"/>
      <c r="X619" s="8"/>
      <c r="Y619" s="8"/>
      <c r="Z619" s="8"/>
    </row>
    <row r="620" ht="14.25" customHeight="1">
      <c r="A620" s="8">
        <v>23889.0</v>
      </c>
      <c r="B620" s="8" t="s">
        <v>24</v>
      </c>
      <c r="C620" s="8" t="s">
        <v>1445</v>
      </c>
      <c r="D620" s="8">
        <v>2020.0</v>
      </c>
      <c r="E620" s="8" t="s">
        <v>1895</v>
      </c>
      <c r="F620" s="8" t="s">
        <v>49</v>
      </c>
      <c r="G620" s="8">
        <v>715.0</v>
      </c>
      <c r="H620" s="8" t="s">
        <v>33</v>
      </c>
      <c r="I620" s="8" t="s">
        <v>33</v>
      </c>
      <c r="J620" s="8" t="s">
        <v>29</v>
      </c>
      <c r="K620" s="8"/>
      <c r="L620" s="8"/>
      <c r="M620" s="8"/>
      <c r="N620" s="8"/>
      <c r="O620" s="8"/>
      <c r="P620" s="8"/>
      <c r="Q620" s="8"/>
      <c r="R620" s="8"/>
      <c r="S620" s="8"/>
      <c r="T620" s="8"/>
      <c r="U620" s="8"/>
      <c r="V620" s="8"/>
      <c r="W620" s="8"/>
      <c r="X620" s="8"/>
      <c r="Y620" s="8"/>
      <c r="Z620" s="8"/>
    </row>
    <row r="621" ht="14.25" customHeight="1">
      <c r="A621" s="8">
        <v>24673.0</v>
      </c>
      <c r="B621" s="8" t="s">
        <v>24</v>
      </c>
      <c r="C621" s="8" t="s">
        <v>1896</v>
      </c>
      <c r="D621" s="8">
        <v>2019.0</v>
      </c>
      <c r="E621" s="8" t="s">
        <v>1897</v>
      </c>
      <c r="F621" s="8" t="s">
        <v>805</v>
      </c>
      <c r="G621" s="8">
        <v>8.0</v>
      </c>
      <c r="H621" s="8">
        <v>3.0</v>
      </c>
      <c r="I621" s="8" t="s">
        <v>33</v>
      </c>
      <c r="J621" s="8" t="s">
        <v>29</v>
      </c>
      <c r="K621" s="8"/>
      <c r="L621" s="8"/>
      <c r="M621" s="8"/>
      <c r="N621" s="8"/>
      <c r="O621" s="8"/>
      <c r="P621" s="8"/>
      <c r="Q621" s="8"/>
      <c r="R621" s="8"/>
      <c r="S621" s="8"/>
      <c r="T621" s="8"/>
      <c r="U621" s="8"/>
      <c r="V621" s="8"/>
      <c r="W621" s="8"/>
      <c r="X621" s="8"/>
      <c r="Y621" s="8"/>
      <c r="Z621" s="8"/>
    </row>
    <row r="622" ht="14.25" customHeight="1">
      <c r="A622" s="8">
        <v>24391.0</v>
      </c>
      <c r="B622" s="8" t="s">
        <v>24</v>
      </c>
      <c r="C622" s="8" t="s">
        <v>1898</v>
      </c>
      <c r="D622" s="8">
        <v>2016.0</v>
      </c>
      <c r="E622" s="8" t="s">
        <v>1899</v>
      </c>
      <c r="F622" s="8" t="s">
        <v>1900</v>
      </c>
      <c r="G622" s="8">
        <v>61.0</v>
      </c>
      <c r="H622" s="8">
        <v>1.0</v>
      </c>
      <c r="I622" s="8" t="s">
        <v>33</v>
      </c>
      <c r="J622" s="8" t="s">
        <v>29</v>
      </c>
      <c r="K622" s="8"/>
      <c r="L622" s="8"/>
      <c r="M622" s="8"/>
      <c r="N622" s="8"/>
      <c r="O622" s="8"/>
      <c r="P622" s="8"/>
      <c r="Q622" s="8"/>
      <c r="R622" s="8"/>
      <c r="S622" s="8"/>
      <c r="T622" s="8"/>
      <c r="U622" s="8"/>
      <c r="V622" s="8"/>
      <c r="W622" s="8"/>
      <c r="X622" s="8"/>
      <c r="Y622" s="8"/>
      <c r="Z622" s="8"/>
    </row>
    <row r="623" ht="14.25" customHeight="1">
      <c r="A623" s="8">
        <v>23946.0</v>
      </c>
      <c r="B623" s="8" t="s">
        <v>24</v>
      </c>
      <c r="C623" s="8" t="s">
        <v>1901</v>
      </c>
      <c r="D623" s="8">
        <v>2020.0</v>
      </c>
      <c r="E623" s="8" t="s">
        <v>1902</v>
      </c>
      <c r="F623" s="8" t="s">
        <v>552</v>
      </c>
      <c r="G623" s="8">
        <v>26.0</v>
      </c>
      <c r="H623" s="8">
        <v>6.0</v>
      </c>
      <c r="I623" s="8" t="s">
        <v>1903</v>
      </c>
      <c r="J623" s="8" t="s">
        <v>29</v>
      </c>
      <c r="K623" s="8"/>
      <c r="L623" s="8"/>
      <c r="M623" s="8"/>
      <c r="N623" s="8"/>
      <c r="O623" s="8"/>
      <c r="P623" s="8"/>
      <c r="Q623" s="8"/>
      <c r="R623" s="8"/>
      <c r="S623" s="8"/>
      <c r="T623" s="8"/>
      <c r="U623" s="8"/>
      <c r="V623" s="8"/>
      <c r="W623" s="8"/>
      <c r="X623" s="8"/>
      <c r="Y623" s="8"/>
      <c r="Z623" s="8"/>
    </row>
    <row r="624" ht="14.25" customHeight="1">
      <c r="A624" s="8">
        <v>23904.0</v>
      </c>
      <c r="B624" s="8" t="s">
        <v>24</v>
      </c>
      <c r="C624" s="8" t="s">
        <v>1904</v>
      </c>
      <c r="D624" s="8">
        <v>2018.0</v>
      </c>
      <c r="E624" s="8" t="s">
        <v>1905</v>
      </c>
      <c r="F624" s="8" t="s">
        <v>81</v>
      </c>
      <c r="G624" s="8">
        <v>135.0</v>
      </c>
      <c r="H624" s="8" t="s">
        <v>33</v>
      </c>
      <c r="I624" s="8" t="s">
        <v>1906</v>
      </c>
      <c r="J624" s="8" t="s">
        <v>29</v>
      </c>
      <c r="K624" s="8"/>
      <c r="L624" s="8"/>
      <c r="M624" s="8"/>
      <c r="N624" s="8"/>
      <c r="O624" s="8"/>
      <c r="P624" s="8"/>
      <c r="Q624" s="8"/>
      <c r="R624" s="8"/>
      <c r="S624" s="8"/>
      <c r="T624" s="8"/>
      <c r="U624" s="8"/>
      <c r="V624" s="8"/>
      <c r="W624" s="8"/>
      <c r="X624" s="8"/>
      <c r="Y624" s="8"/>
      <c r="Z624" s="8"/>
    </row>
    <row r="625" ht="14.25" customHeight="1">
      <c r="A625" s="8">
        <v>25083.0</v>
      </c>
      <c r="B625" s="8" t="s">
        <v>24</v>
      </c>
      <c r="C625" s="8" t="s">
        <v>533</v>
      </c>
      <c r="D625" s="8">
        <v>2008.0</v>
      </c>
      <c r="E625" s="8" t="s">
        <v>1907</v>
      </c>
      <c r="F625" s="8" t="s">
        <v>1908</v>
      </c>
      <c r="G625" s="8">
        <v>78.0</v>
      </c>
      <c r="H625" s="8" t="s">
        <v>1909</v>
      </c>
      <c r="I625" s="8" t="s">
        <v>1910</v>
      </c>
      <c r="J625" s="8" t="s">
        <v>29</v>
      </c>
      <c r="K625" s="8"/>
      <c r="L625" s="8"/>
      <c r="M625" s="8"/>
      <c r="N625" s="8"/>
      <c r="O625" s="8"/>
      <c r="P625" s="8"/>
      <c r="Q625" s="8"/>
      <c r="R625" s="8"/>
      <c r="S625" s="8"/>
      <c r="T625" s="8"/>
      <c r="U625" s="8"/>
      <c r="V625" s="8"/>
      <c r="W625" s="8"/>
      <c r="X625" s="8"/>
      <c r="Y625" s="8"/>
      <c r="Z625" s="8"/>
    </row>
    <row r="626" ht="14.25" customHeight="1">
      <c r="A626" s="8">
        <v>24557.0</v>
      </c>
      <c r="B626" s="8" t="s">
        <v>24</v>
      </c>
      <c r="C626" s="8" t="s">
        <v>30</v>
      </c>
      <c r="D626" s="8">
        <v>2014.0</v>
      </c>
      <c r="E626" s="8" t="s">
        <v>1911</v>
      </c>
      <c r="F626" s="8" t="s">
        <v>64</v>
      </c>
      <c r="G626" s="8">
        <v>172.0</v>
      </c>
      <c r="H626" s="8" t="s">
        <v>33</v>
      </c>
      <c r="I626" s="8" t="s">
        <v>1912</v>
      </c>
      <c r="J626" s="8" t="s">
        <v>29</v>
      </c>
      <c r="K626" s="8"/>
      <c r="L626" s="8"/>
      <c r="M626" s="8"/>
      <c r="N626" s="8"/>
      <c r="O626" s="8"/>
      <c r="P626" s="8"/>
      <c r="Q626" s="8"/>
      <c r="R626" s="8"/>
      <c r="S626" s="8"/>
      <c r="T626" s="8"/>
      <c r="U626" s="8"/>
      <c r="V626" s="8"/>
      <c r="W626" s="8"/>
      <c r="X626" s="8"/>
      <c r="Y626" s="8"/>
      <c r="Z626" s="8"/>
    </row>
    <row r="627" ht="14.25" customHeight="1">
      <c r="A627" s="8">
        <v>23706.0</v>
      </c>
      <c r="B627" s="8" t="s">
        <v>24</v>
      </c>
      <c r="C627" s="8" t="s">
        <v>1913</v>
      </c>
      <c r="D627" s="8">
        <v>2018.0</v>
      </c>
      <c r="E627" s="8" t="s">
        <v>1914</v>
      </c>
      <c r="F627" s="8" t="s">
        <v>1915</v>
      </c>
      <c r="G627" s="8">
        <v>98.0</v>
      </c>
      <c r="H627" s="8">
        <v>5.0</v>
      </c>
      <c r="I627" s="8" t="s">
        <v>1916</v>
      </c>
      <c r="J627" s="8" t="s">
        <v>29</v>
      </c>
      <c r="K627" s="8"/>
      <c r="L627" s="8"/>
      <c r="M627" s="8"/>
      <c r="N627" s="8"/>
      <c r="O627" s="8"/>
      <c r="P627" s="8"/>
      <c r="Q627" s="8"/>
      <c r="R627" s="8"/>
      <c r="S627" s="8"/>
      <c r="T627" s="8"/>
      <c r="U627" s="8"/>
      <c r="V627" s="8"/>
      <c r="W627" s="8"/>
      <c r="X627" s="8"/>
      <c r="Y627" s="8"/>
      <c r="Z627" s="8"/>
    </row>
    <row r="628" ht="14.25" customHeight="1">
      <c r="A628" s="8">
        <v>26016.0</v>
      </c>
      <c r="B628" s="8" t="s">
        <v>24</v>
      </c>
      <c r="C628" s="8" t="s">
        <v>1917</v>
      </c>
      <c r="D628" s="8">
        <v>2011.0</v>
      </c>
      <c r="E628" s="8" t="s">
        <v>1918</v>
      </c>
      <c r="F628" s="8" t="s">
        <v>81</v>
      </c>
      <c r="G628" s="8">
        <v>62.0</v>
      </c>
      <c r="H628" s="8">
        <v>6.0</v>
      </c>
      <c r="I628" s="8" t="s">
        <v>1919</v>
      </c>
      <c r="J628" s="8" t="s">
        <v>29</v>
      </c>
      <c r="K628" s="8"/>
      <c r="L628" s="8"/>
      <c r="M628" s="8"/>
      <c r="N628" s="8"/>
      <c r="O628" s="8"/>
      <c r="P628" s="8"/>
      <c r="Q628" s="8"/>
      <c r="R628" s="8"/>
      <c r="S628" s="8"/>
      <c r="T628" s="8"/>
      <c r="U628" s="8"/>
      <c r="V628" s="8"/>
      <c r="W628" s="8"/>
      <c r="X628" s="8"/>
      <c r="Y628" s="8"/>
      <c r="Z628" s="8"/>
    </row>
    <row r="629" ht="14.25" customHeight="1">
      <c r="A629" s="8">
        <v>25732.0</v>
      </c>
      <c r="B629" s="8" t="s">
        <v>24</v>
      </c>
      <c r="C629" s="8" t="s">
        <v>1920</v>
      </c>
      <c r="D629" s="8">
        <v>2016.0</v>
      </c>
      <c r="E629" s="8" t="s">
        <v>1921</v>
      </c>
      <c r="F629" s="8" t="s">
        <v>64</v>
      </c>
      <c r="G629" s="8">
        <v>198.0</v>
      </c>
      <c r="H629" s="8" t="s">
        <v>33</v>
      </c>
      <c r="I629" s="8" t="s">
        <v>1922</v>
      </c>
      <c r="J629" s="8" t="s">
        <v>29</v>
      </c>
      <c r="K629" s="8"/>
      <c r="L629" s="8"/>
      <c r="M629" s="8"/>
      <c r="N629" s="8"/>
      <c r="O629" s="8"/>
      <c r="P629" s="8"/>
      <c r="Q629" s="8"/>
      <c r="R629" s="8"/>
      <c r="S629" s="8"/>
      <c r="T629" s="8"/>
      <c r="U629" s="8"/>
      <c r="V629" s="8"/>
      <c r="W629" s="8"/>
      <c r="X629" s="8"/>
      <c r="Y629" s="8"/>
      <c r="Z629" s="8"/>
    </row>
    <row r="630" ht="14.25" customHeight="1">
      <c r="A630" s="8">
        <v>24159.0</v>
      </c>
      <c r="B630" s="8" t="s">
        <v>24</v>
      </c>
      <c r="C630" s="8" t="s">
        <v>1923</v>
      </c>
      <c r="D630" s="8">
        <v>2018.0</v>
      </c>
      <c r="E630" s="8" t="s">
        <v>1924</v>
      </c>
      <c r="F630" s="8" t="s">
        <v>1410</v>
      </c>
      <c r="G630" s="8">
        <v>5.0</v>
      </c>
      <c r="H630" s="8" t="s">
        <v>1925</v>
      </c>
      <c r="I630" s="8" t="s">
        <v>33</v>
      </c>
      <c r="J630" s="8" t="s">
        <v>29</v>
      </c>
      <c r="K630" s="8"/>
      <c r="L630" s="8"/>
      <c r="M630" s="8"/>
      <c r="N630" s="8"/>
      <c r="O630" s="8"/>
      <c r="P630" s="8"/>
      <c r="Q630" s="8"/>
      <c r="R630" s="8"/>
      <c r="S630" s="8"/>
      <c r="T630" s="8"/>
      <c r="U630" s="8"/>
      <c r="V630" s="8"/>
      <c r="W630" s="8"/>
      <c r="X630" s="8"/>
      <c r="Y630" s="8"/>
      <c r="Z630" s="8"/>
    </row>
    <row r="631" ht="14.25" customHeight="1">
      <c r="A631" s="8">
        <v>23106.0</v>
      </c>
      <c r="B631" s="8" t="s">
        <v>24</v>
      </c>
      <c r="C631" s="8" t="s">
        <v>1926</v>
      </c>
      <c r="D631" s="8">
        <v>2015.0</v>
      </c>
      <c r="E631" s="8" t="s">
        <v>1927</v>
      </c>
      <c r="F631" s="8" t="s">
        <v>552</v>
      </c>
      <c r="G631" s="8">
        <v>21.0</v>
      </c>
      <c r="H631" s="8">
        <v>1.0</v>
      </c>
      <c r="I631" s="8" t="s">
        <v>1928</v>
      </c>
      <c r="J631" s="8" t="s">
        <v>29</v>
      </c>
      <c r="K631" s="8"/>
      <c r="L631" s="8"/>
      <c r="M631" s="8"/>
      <c r="N631" s="8"/>
      <c r="O631" s="8"/>
      <c r="P631" s="8"/>
      <c r="Q631" s="8"/>
      <c r="R631" s="8"/>
      <c r="S631" s="8"/>
      <c r="T631" s="8"/>
      <c r="U631" s="8"/>
      <c r="V631" s="8"/>
      <c r="W631" s="8"/>
      <c r="X631" s="8"/>
      <c r="Y631" s="8"/>
      <c r="Z631" s="8"/>
    </row>
    <row r="632" ht="14.25" customHeight="1">
      <c r="A632" s="8">
        <v>23989.0</v>
      </c>
      <c r="B632" s="8" t="s">
        <v>24</v>
      </c>
      <c r="C632" s="8" t="s">
        <v>1929</v>
      </c>
      <c r="D632" s="8">
        <v>2014.0</v>
      </c>
      <c r="E632" s="8" t="s">
        <v>1930</v>
      </c>
      <c r="F632" s="8" t="s">
        <v>602</v>
      </c>
      <c r="G632" s="8">
        <v>41.0</v>
      </c>
      <c r="H632" s="8">
        <v>4.0</v>
      </c>
      <c r="I632" s="8" t="s">
        <v>1931</v>
      </c>
      <c r="J632" s="8" t="s">
        <v>29</v>
      </c>
      <c r="K632" s="8"/>
      <c r="L632" s="8"/>
      <c r="M632" s="8"/>
      <c r="N632" s="8"/>
      <c r="O632" s="8"/>
      <c r="P632" s="8"/>
      <c r="Q632" s="8"/>
      <c r="R632" s="8"/>
      <c r="S632" s="8"/>
      <c r="T632" s="8"/>
      <c r="U632" s="8"/>
      <c r="V632" s="8"/>
      <c r="W632" s="8"/>
      <c r="X632" s="8"/>
      <c r="Y632" s="8"/>
      <c r="Z632" s="8"/>
    </row>
    <row r="633" ht="14.25" customHeight="1">
      <c r="A633" s="8">
        <v>23237.0</v>
      </c>
      <c r="B633" s="8" t="s">
        <v>24</v>
      </c>
      <c r="C633" s="8" t="s">
        <v>1932</v>
      </c>
      <c r="D633" s="8">
        <v>2005.0</v>
      </c>
      <c r="E633" s="8" t="s">
        <v>1933</v>
      </c>
      <c r="F633" s="8" t="s">
        <v>60</v>
      </c>
      <c r="G633" s="8">
        <v>19.0</v>
      </c>
      <c r="H633" s="8">
        <v>1.0</v>
      </c>
      <c r="I633" s="8" t="s">
        <v>1934</v>
      </c>
      <c r="J633" s="8" t="s">
        <v>29</v>
      </c>
      <c r="K633" s="8"/>
      <c r="L633" s="8"/>
      <c r="M633" s="8"/>
      <c r="N633" s="8"/>
      <c r="O633" s="8"/>
      <c r="P633" s="8"/>
      <c r="Q633" s="8"/>
      <c r="R633" s="8"/>
      <c r="S633" s="8"/>
      <c r="T633" s="8"/>
      <c r="U633" s="8"/>
      <c r="V633" s="8"/>
      <c r="W633" s="8"/>
      <c r="X633" s="8"/>
      <c r="Y633" s="8"/>
      <c r="Z633" s="8"/>
    </row>
    <row r="634" ht="14.25" customHeight="1">
      <c r="A634" s="8">
        <v>23114.0</v>
      </c>
      <c r="B634" s="8" t="s">
        <v>24</v>
      </c>
      <c r="C634" s="8" t="s">
        <v>1935</v>
      </c>
      <c r="D634" s="8">
        <v>2018.0</v>
      </c>
      <c r="E634" s="8" t="s">
        <v>1936</v>
      </c>
      <c r="F634" s="8" t="s">
        <v>36</v>
      </c>
      <c r="G634" s="8">
        <v>13.0</v>
      </c>
      <c r="H634" s="8">
        <v>3.0</v>
      </c>
      <c r="I634" s="8" t="s">
        <v>33</v>
      </c>
      <c r="J634" s="8" t="s">
        <v>29</v>
      </c>
      <c r="K634" s="8"/>
      <c r="L634" s="8"/>
      <c r="M634" s="8"/>
      <c r="N634" s="8"/>
      <c r="O634" s="8"/>
      <c r="P634" s="8"/>
      <c r="Q634" s="8"/>
      <c r="R634" s="8"/>
      <c r="S634" s="8"/>
      <c r="T634" s="8"/>
      <c r="U634" s="8"/>
      <c r="V634" s="8"/>
      <c r="W634" s="8"/>
      <c r="X634" s="8"/>
      <c r="Y634" s="8"/>
      <c r="Z634" s="8"/>
    </row>
    <row r="635" ht="14.25" customHeight="1">
      <c r="A635" s="8">
        <v>23718.0</v>
      </c>
      <c r="B635" s="8" t="s">
        <v>24</v>
      </c>
      <c r="C635" s="8" t="s">
        <v>1937</v>
      </c>
      <c r="D635" s="8">
        <v>2015.0</v>
      </c>
      <c r="E635" s="8" t="s">
        <v>1938</v>
      </c>
      <c r="F635" s="8" t="s">
        <v>1939</v>
      </c>
      <c r="G635" s="8">
        <v>98.0</v>
      </c>
      <c r="H635" s="11">
        <v>44593.0</v>
      </c>
      <c r="I635" s="8" t="s">
        <v>1940</v>
      </c>
      <c r="J635" s="8" t="s">
        <v>29</v>
      </c>
      <c r="K635" s="8"/>
      <c r="L635" s="8"/>
      <c r="M635" s="8"/>
      <c r="N635" s="8"/>
      <c r="O635" s="8"/>
      <c r="P635" s="8"/>
      <c r="Q635" s="8"/>
      <c r="R635" s="8"/>
      <c r="S635" s="8"/>
      <c r="T635" s="8"/>
      <c r="U635" s="8"/>
      <c r="V635" s="8"/>
      <c r="W635" s="8"/>
      <c r="X635" s="8"/>
      <c r="Y635" s="8"/>
      <c r="Z635" s="8"/>
    </row>
    <row r="636" ht="14.25" customHeight="1">
      <c r="A636" s="8">
        <v>25837.0</v>
      </c>
      <c r="B636" s="8" t="s">
        <v>24</v>
      </c>
      <c r="C636" s="8" t="s">
        <v>1941</v>
      </c>
      <c r="D636" s="8">
        <v>2018.0</v>
      </c>
      <c r="E636" s="8" t="s">
        <v>1942</v>
      </c>
      <c r="F636" s="8" t="s">
        <v>1943</v>
      </c>
      <c r="G636" s="8">
        <v>29.0</v>
      </c>
      <c r="H636" s="8">
        <v>4.0</v>
      </c>
      <c r="I636" s="8" t="s">
        <v>1944</v>
      </c>
      <c r="J636" s="8" t="s">
        <v>29</v>
      </c>
      <c r="K636" s="8"/>
      <c r="L636" s="8"/>
      <c r="M636" s="8"/>
      <c r="N636" s="8"/>
      <c r="O636" s="8"/>
      <c r="P636" s="8"/>
      <c r="Q636" s="8"/>
      <c r="R636" s="8"/>
      <c r="S636" s="8"/>
      <c r="T636" s="8"/>
      <c r="U636" s="8"/>
      <c r="V636" s="8"/>
      <c r="W636" s="8"/>
      <c r="X636" s="8"/>
      <c r="Y636" s="8"/>
      <c r="Z636" s="8"/>
    </row>
    <row r="637" ht="14.25" customHeight="1">
      <c r="A637" s="8">
        <v>23691.0</v>
      </c>
      <c r="B637" s="8" t="s">
        <v>24</v>
      </c>
      <c r="C637" s="8" t="s">
        <v>1945</v>
      </c>
      <c r="D637" s="8">
        <v>2011.0</v>
      </c>
      <c r="E637" s="8" t="s">
        <v>1946</v>
      </c>
      <c r="F637" s="8" t="s">
        <v>1947</v>
      </c>
      <c r="G637" s="8">
        <v>7.0</v>
      </c>
      <c r="H637" s="8">
        <v>4.0</v>
      </c>
      <c r="I637" s="8" t="s">
        <v>33</v>
      </c>
      <c r="J637" s="8" t="s">
        <v>29</v>
      </c>
      <c r="K637" s="8"/>
      <c r="L637" s="8"/>
      <c r="M637" s="8"/>
      <c r="N637" s="8"/>
      <c r="O637" s="8"/>
      <c r="P637" s="8"/>
      <c r="Q637" s="8"/>
      <c r="R637" s="8"/>
      <c r="S637" s="8"/>
      <c r="T637" s="8"/>
      <c r="U637" s="8"/>
      <c r="V637" s="8"/>
      <c r="W637" s="8"/>
      <c r="X637" s="8"/>
      <c r="Y637" s="8"/>
      <c r="Z637" s="8"/>
    </row>
    <row r="638" ht="14.25" customHeight="1">
      <c r="A638" s="8">
        <v>23266.0</v>
      </c>
      <c r="B638" s="8" t="s">
        <v>24</v>
      </c>
      <c r="C638" s="8" t="s">
        <v>1948</v>
      </c>
      <c r="D638" s="8">
        <v>2020.0</v>
      </c>
      <c r="E638" s="8" t="s">
        <v>1949</v>
      </c>
      <c r="F638" s="8" t="s">
        <v>195</v>
      </c>
      <c r="G638" s="8">
        <v>159.0</v>
      </c>
      <c r="H638" s="8" t="s">
        <v>33</v>
      </c>
      <c r="I638" s="8" t="s">
        <v>33</v>
      </c>
      <c r="J638" s="8" t="s">
        <v>29</v>
      </c>
      <c r="K638" s="8"/>
      <c r="L638" s="8"/>
      <c r="M638" s="8"/>
      <c r="N638" s="8"/>
      <c r="O638" s="8"/>
      <c r="P638" s="8"/>
      <c r="Q638" s="8"/>
      <c r="R638" s="8"/>
      <c r="S638" s="8"/>
      <c r="T638" s="8"/>
      <c r="U638" s="8"/>
      <c r="V638" s="8"/>
      <c r="W638" s="8"/>
      <c r="X638" s="8"/>
      <c r="Y638" s="8"/>
      <c r="Z638" s="8"/>
    </row>
    <row r="639" ht="14.25" customHeight="1">
      <c r="A639" s="8">
        <v>24158.0</v>
      </c>
      <c r="B639" s="8" t="s">
        <v>24</v>
      </c>
      <c r="C639" s="8" t="s">
        <v>1923</v>
      </c>
      <c r="D639" s="8">
        <v>2014.0</v>
      </c>
      <c r="E639" s="8" t="s">
        <v>1950</v>
      </c>
      <c r="F639" s="8" t="s">
        <v>36</v>
      </c>
      <c r="G639" s="8">
        <v>9.0</v>
      </c>
      <c r="H639" s="8">
        <v>7.0</v>
      </c>
      <c r="I639" s="8" t="s">
        <v>33</v>
      </c>
      <c r="J639" s="8" t="s">
        <v>29</v>
      </c>
      <c r="K639" s="8"/>
      <c r="L639" s="8"/>
      <c r="M639" s="8"/>
      <c r="N639" s="8"/>
      <c r="O639" s="8"/>
      <c r="P639" s="8"/>
      <c r="Q639" s="8"/>
      <c r="R639" s="8"/>
      <c r="S639" s="8"/>
      <c r="T639" s="8"/>
      <c r="U639" s="8"/>
      <c r="V639" s="8"/>
      <c r="W639" s="8"/>
      <c r="X639" s="8"/>
      <c r="Y639" s="8"/>
      <c r="Z639" s="8"/>
    </row>
    <row r="640" ht="14.25" customHeight="1">
      <c r="A640" s="8">
        <v>24170.0</v>
      </c>
      <c r="B640" s="8" t="s">
        <v>24</v>
      </c>
      <c r="C640" s="8" t="s">
        <v>1951</v>
      </c>
      <c r="D640" s="8">
        <v>2016.0</v>
      </c>
      <c r="E640" s="8" t="s">
        <v>1952</v>
      </c>
      <c r="F640" s="8" t="s">
        <v>195</v>
      </c>
      <c r="G640" s="8">
        <v>115.0</v>
      </c>
      <c r="H640" s="8" t="s">
        <v>33</v>
      </c>
      <c r="I640" s="8" t="s">
        <v>1953</v>
      </c>
      <c r="J640" s="8" t="s">
        <v>29</v>
      </c>
      <c r="K640" s="8"/>
      <c r="L640" s="8"/>
      <c r="M640" s="8"/>
      <c r="N640" s="8"/>
      <c r="O640" s="8"/>
      <c r="P640" s="8"/>
      <c r="Q640" s="8"/>
      <c r="R640" s="8"/>
      <c r="S640" s="8"/>
      <c r="T640" s="8"/>
      <c r="U640" s="8"/>
      <c r="V640" s="8"/>
      <c r="W640" s="8"/>
      <c r="X640" s="8"/>
      <c r="Y640" s="8"/>
      <c r="Z640" s="8"/>
    </row>
    <row r="641" ht="14.25" customHeight="1">
      <c r="A641" s="8">
        <v>24974.0</v>
      </c>
      <c r="B641" s="8" t="s">
        <v>24</v>
      </c>
      <c r="C641" s="8" t="s">
        <v>1954</v>
      </c>
      <c r="D641" s="8">
        <v>2011.0</v>
      </c>
      <c r="E641" s="8" t="s">
        <v>1955</v>
      </c>
      <c r="F641" s="8" t="s">
        <v>36</v>
      </c>
      <c r="G641" s="8">
        <v>6.0</v>
      </c>
      <c r="H641" s="8">
        <v>7.0</v>
      </c>
      <c r="I641" s="8" t="s">
        <v>33</v>
      </c>
      <c r="J641" s="8" t="s">
        <v>29</v>
      </c>
      <c r="K641" s="8"/>
      <c r="L641" s="8"/>
      <c r="M641" s="8"/>
      <c r="N641" s="8"/>
      <c r="O641" s="8"/>
      <c r="P641" s="8"/>
      <c r="Q641" s="8"/>
      <c r="R641" s="8"/>
      <c r="S641" s="8"/>
      <c r="T641" s="8"/>
      <c r="U641" s="8"/>
      <c r="V641" s="8"/>
      <c r="W641" s="8"/>
      <c r="X641" s="8"/>
      <c r="Y641" s="8"/>
      <c r="Z641" s="8"/>
    </row>
    <row r="642" ht="14.25" customHeight="1">
      <c r="A642" s="8">
        <v>26141.0</v>
      </c>
      <c r="B642" s="8" t="s">
        <v>24</v>
      </c>
      <c r="C642" s="8" t="s">
        <v>1956</v>
      </c>
      <c r="D642" s="8">
        <v>2018.0</v>
      </c>
      <c r="E642" s="8" t="s">
        <v>1957</v>
      </c>
      <c r="F642" s="8" t="s">
        <v>545</v>
      </c>
      <c r="G642" s="8">
        <v>10.0</v>
      </c>
      <c r="H642" s="8">
        <v>6.0</v>
      </c>
      <c r="I642" s="8" t="s">
        <v>33</v>
      </c>
      <c r="J642" s="8" t="s">
        <v>29</v>
      </c>
      <c r="K642" s="8"/>
      <c r="L642" s="8"/>
      <c r="M642" s="8"/>
      <c r="N642" s="8"/>
      <c r="O642" s="8"/>
      <c r="P642" s="8"/>
      <c r="Q642" s="8"/>
      <c r="R642" s="8"/>
      <c r="S642" s="8"/>
      <c r="T642" s="8"/>
      <c r="U642" s="8"/>
      <c r="V642" s="8"/>
      <c r="W642" s="8"/>
      <c r="X642" s="8"/>
      <c r="Y642" s="8"/>
      <c r="Z642" s="8"/>
    </row>
    <row r="643" ht="14.25" customHeight="1">
      <c r="A643" s="8">
        <v>25850.0</v>
      </c>
      <c r="B643" s="8" t="s">
        <v>24</v>
      </c>
      <c r="C643" s="8" t="s">
        <v>1958</v>
      </c>
      <c r="D643" s="8">
        <v>2018.0</v>
      </c>
      <c r="E643" s="8" t="s">
        <v>1959</v>
      </c>
      <c r="F643" s="8" t="s">
        <v>1960</v>
      </c>
      <c r="G643" s="8">
        <v>18.0</v>
      </c>
      <c r="H643" s="8">
        <v>3.0</v>
      </c>
      <c r="I643" s="8" t="s">
        <v>1961</v>
      </c>
      <c r="J643" s="8" t="s">
        <v>29</v>
      </c>
      <c r="K643" s="8"/>
      <c r="L643" s="8"/>
      <c r="M643" s="8"/>
      <c r="N643" s="8"/>
      <c r="O643" s="8"/>
      <c r="P643" s="8"/>
      <c r="Q643" s="8"/>
      <c r="R643" s="8"/>
      <c r="S643" s="8"/>
      <c r="T643" s="8"/>
      <c r="U643" s="8"/>
      <c r="V643" s="8"/>
      <c r="W643" s="8"/>
      <c r="X643" s="8"/>
      <c r="Y643" s="8"/>
      <c r="Z643" s="8"/>
    </row>
    <row r="644" ht="14.25" customHeight="1">
      <c r="A644" s="8">
        <v>25803.0</v>
      </c>
      <c r="B644" s="8" t="s">
        <v>24</v>
      </c>
      <c r="C644" s="8" t="s">
        <v>1962</v>
      </c>
      <c r="D644" s="8">
        <v>2019.0</v>
      </c>
      <c r="E644" s="8" t="s">
        <v>1963</v>
      </c>
      <c r="F644" s="8" t="s">
        <v>581</v>
      </c>
      <c r="G644" s="8">
        <v>34.0</v>
      </c>
      <c r="H644" s="8">
        <v>2.0</v>
      </c>
      <c r="I644" s="8" t="s">
        <v>1964</v>
      </c>
      <c r="J644" s="8" t="s">
        <v>29</v>
      </c>
      <c r="K644" s="8"/>
      <c r="L644" s="8"/>
      <c r="M644" s="8"/>
      <c r="N644" s="8"/>
      <c r="O644" s="8"/>
      <c r="P644" s="8"/>
      <c r="Q644" s="8"/>
      <c r="R644" s="8"/>
      <c r="S644" s="8"/>
      <c r="T644" s="8"/>
      <c r="U644" s="8"/>
      <c r="V644" s="8"/>
      <c r="W644" s="8"/>
      <c r="X644" s="8"/>
      <c r="Y644" s="8"/>
      <c r="Z644" s="8"/>
    </row>
    <row r="645" ht="14.25" customHeight="1">
      <c r="A645" s="8">
        <v>23371.0</v>
      </c>
      <c r="B645" s="8" t="s">
        <v>24</v>
      </c>
      <c r="C645" s="8" t="s">
        <v>1965</v>
      </c>
      <c r="D645" s="8">
        <v>2014.0</v>
      </c>
      <c r="E645" s="8" t="s">
        <v>1966</v>
      </c>
      <c r="F645" s="8" t="s">
        <v>538</v>
      </c>
      <c r="G645" s="8">
        <v>24.0</v>
      </c>
      <c r="H645" s="8">
        <v>3.0</v>
      </c>
      <c r="I645" s="8" t="s">
        <v>1967</v>
      </c>
      <c r="J645" s="8" t="s">
        <v>29</v>
      </c>
      <c r="K645" s="8"/>
      <c r="L645" s="8"/>
      <c r="M645" s="8"/>
      <c r="N645" s="8"/>
      <c r="O645" s="8"/>
      <c r="P645" s="8"/>
      <c r="Q645" s="8"/>
      <c r="R645" s="8"/>
      <c r="S645" s="8"/>
      <c r="T645" s="8"/>
      <c r="U645" s="8"/>
      <c r="V645" s="8"/>
      <c r="W645" s="8"/>
      <c r="X645" s="8"/>
      <c r="Y645" s="8"/>
      <c r="Z645" s="8"/>
    </row>
    <row r="646" ht="14.25" customHeight="1">
      <c r="A646" s="8">
        <v>24104.0</v>
      </c>
      <c r="B646" s="8" t="s">
        <v>24</v>
      </c>
      <c r="C646" s="8" t="s">
        <v>1968</v>
      </c>
      <c r="D646" s="8">
        <v>2019.0</v>
      </c>
      <c r="E646" s="8" t="s">
        <v>1969</v>
      </c>
      <c r="F646" s="8" t="s">
        <v>1410</v>
      </c>
      <c r="G646" s="8">
        <v>6.0</v>
      </c>
      <c r="H646" s="8" t="s">
        <v>33</v>
      </c>
      <c r="I646" s="8">
        <v>10.0</v>
      </c>
      <c r="J646" s="8" t="s">
        <v>29</v>
      </c>
      <c r="K646" s="8"/>
      <c r="L646" s="8"/>
      <c r="M646" s="8"/>
      <c r="N646" s="8"/>
      <c r="O646" s="8"/>
      <c r="P646" s="8"/>
      <c r="Q646" s="8"/>
      <c r="R646" s="8"/>
      <c r="S646" s="8"/>
      <c r="T646" s="8"/>
      <c r="U646" s="8"/>
      <c r="V646" s="8"/>
      <c r="W646" s="8"/>
      <c r="X646" s="8"/>
      <c r="Y646" s="8"/>
      <c r="Z646" s="8"/>
    </row>
    <row r="647" ht="14.25" customHeight="1">
      <c r="A647" s="8">
        <v>26011.0</v>
      </c>
      <c r="B647" s="8" t="s">
        <v>24</v>
      </c>
      <c r="C647" s="8" t="s">
        <v>1970</v>
      </c>
      <c r="D647" s="8">
        <v>2011.0</v>
      </c>
      <c r="E647" s="8" t="s">
        <v>1971</v>
      </c>
      <c r="F647" s="8" t="s">
        <v>64</v>
      </c>
      <c r="G647" s="8">
        <v>144.0</v>
      </c>
      <c r="H647" s="8">
        <v>9.0</v>
      </c>
      <c r="I647" s="8" t="s">
        <v>1972</v>
      </c>
      <c r="J647" s="8" t="s">
        <v>29</v>
      </c>
      <c r="K647" s="8"/>
      <c r="L647" s="8"/>
      <c r="M647" s="8"/>
      <c r="N647" s="8"/>
      <c r="O647" s="8"/>
      <c r="P647" s="8"/>
      <c r="Q647" s="8"/>
      <c r="R647" s="8"/>
      <c r="S647" s="8"/>
      <c r="T647" s="8"/>
      <c r="U647" s="8"/>
      <c r="V647" s="8"/>
      <c r="W647" s="8"/>
      <c r="X647" s="8"/>
      <c r="Y647" s="8"/>
      <c r="Z647" s="8"/>
    </row>
    <row r="648" ht="14.25" customHeight="1">
      <c r="A648" s="8">
        <v>25393.0</v>
      </c>
      <c r="B648" s="8" t="s">
        <v>24</v>
      </c>
      <c r="C648" s="8" t="s">
        <v>1973</v>
      </c>
      <c r="D648" s="8">
        <v>2014.0</v>
      </c>
      <c r="E648" s="8" t="s">
        <v>1974</v>
      </c>
      <c r="F648" s="8" t="s">
        <v>515</v>
      </c>
      <c r="G648" s="8">
        <v>48.0</v>
      </c>
      <c r="H648" s="8" t="s">
        <v>33</v>
      </c>
      <c r="I648" s="8" t="s">
        <v>1975</v>
      </c>
      <c r="J648" s="8" t="s">
        <v>29</v>
      </c>
      <c r="K648" s="8"/>
      <c r="L648" s="8"/>
      <c r="M648" s="8"/>
      <c r="N648" s="8"/>
      <c r="O648" s="8"/>
      <c r="P648" s="8"/>
      <c r="Q648" s="8"/>
      <c r="R648" s="8"/>
      <c r="S648" s="8"/>
      <c r="T648" s="8"/>
      <c r="U648" s="8"/>
      <c r="V648" s="8"/>
      <c r="W648" s="8"/>
      <c r="X648" s="8"/>
      <c r="Y648" s="8"/>
      <c r="Z648" s="8"/>
    </row>
    <row r="649" ht="14.25" customHeight="1">
      <c r="A649" s="8">
        <v>23991.0</v>
      </c>
      <c r="B649" s="8" t="s">
        <v>24</v>
      </c>
      <c r="C649" s="8" t="s">
        <v>1976</v>
      </c>
      <c r="D649" s="8">
        <v>2010.0</v>
      </c>
      <c r="E649" s="8" t="s">
        <v>1977</v>
      </c>
      <c r="F649" s="8" t="s">
        <v>1978</v>
      </c>
      <c r="G649" s="8">
        <v>57.0</v>
      </c>
      <c r="H649" s="8" t="s">
        <v>1979</v>
      </c>
      <c r="I649" s="8" t="s">
        <v>495</v>
      </c>
      <c r="J649" s="8" t="s">
        <v>29</v>
      </c>
      <c r="K649" s="8"/>
      <c r="L649" s="8"/>
      <c r="M649" s="8"/>
      <c r="N649" s="8"/>
      <c r="O649" s="8"/>
      <c r="P649" s="8"/>
      <c r="Q649" s="8"/>
      <c r="R649" s="8"/>
      <c r="S649" s="8"/>
      <c r="T649" s="8"/>
      <c r="U649" s="8"/>
      <c r="V649" s="8"/>
      <c r="W649" s="8"/>
      <c r="X649" s="8"/>
      <c r="Y649" s="8"/>
      <c r="Z649" s="8"/>
    </row>
    <row r="650" ht="14.25" customHeight="1">
      <c r="A650" s="8">
        <v>25169.0</v>
      </c>
      <c r="B650" s="8" t="s">
        <v>24</v>
      </c>
      <c r="C650" s="8" t="s">
        <v>1980</v>
      </c>
      <c r="D650" s="8">
        <v>2018.0</v>
      </c>
      <c r="E650" s="8" t="s">
        <v>1981</v>
      </c>
      <c r="F650" s="8" t="s">
        <v>132</v>
      </c>
      <c r="G650" s="8">
        <v>28.0</v>
      </c>
      <c r="H650" s="8">
        <v>3.0</v>
      </c>
      <c r="I650" s="8" t="s">
        <v>1982</v>
      </c>
      <c r="J650" s="8" t="s">
        <v>29</v>
      </c>
      <c r="K650" s="8"/>
      <c r="L650" s="8"/>
      <c r="M650" s="8"/>
      <c r="N650" s="8"/>
      <c r="O650" s="8"/>
      <c r="P650" s="8"/>
      <c r="Q650" s="8"/>
      <c r="R650" s="8"/>
      <c r="S650" s="8"/>
      <c r="T650" s="8"/>
      <c r="U650" s="8"/>
      <c r="V650" s="8"/>
      <c r="W650" s="8"/>
      <c r="X650" s="8"/>
      <c r="Y650" s="8"/>
      <c r="Z650" s="8"/>
    </row>
    <row r="651" ht="14.25" customHeight="1">
      <c r="A651" s="8">
        <v>25275.0</v>
      </c>
      <c r="B651" s="8" t="s">
        <v>24</v>
      </c>
      <c r="C651" s="8" t="s">
        <v>1309</v>
      </c>
      <c r="D651" s="8">
        <v>2018.0</v>
      </c>
      <c r="E651" s="8" t="s">
        <v>1983</v>
      </c>
      <c r="F651" s="8" t="s">
        <v>153</v>
      </c>
      <c r="G651" s="8">
        <v>206.0</v>
      </c>
      <c r="H651" s="8" t="s">
        <v>33</v>
      </c>
      <c r="I651" s="8" t="s">
        <v>1984</v>
      </c>
      <c r="J651" s="8" t="s">
        <v>29</v>
      </c>
      <c r="K651" s="8"/>
      <c r="L651" s="8"/>
      <c r="M651" s="8"/>
      <c r="N651" s="8"/>
      <c r="O651" s="8"/>
      <c r="P651" s="8"/>
      <c r="Q651" s="8"/>
      <c r="R651" s="8"/>
      <c r="S651" s="8"/>
      <c r="T651" s="8"/>
      <c r="U651" s="8"/>
      <c r="V651" s="8"/>
      <c r="W651" s="8"/>
      <c r="X651" s="8"/>
      <c r="Y651" s="8"/>
      <c r="Z651" s="8"/>
    </row>
    <row r="652" ht="14.25" customHeight="1">
      <c r="A652" s="8">
        <v>25619.0</v>
      </c>
      <c r="B652" s="8" t="s">
        <v>24</v>
      </c>
      <c r="C652" s="8" t="s">
        <v>1985</v>
      </c>
      <c r="D652" s="8">
        <v>2020.0</v>
      </c>
      <c r="E652" s="8" t="s">
        <v>1986</v>
      </c>
      <c r="F652" s="8" t="s">
        <v>615</v>
      </c>
      <c r="G652" s="8">
        <v>29.0</v>
      </c>
      <c r="H652" s="8">
        <v>6.0</v>
      </c>
      <c r="I652" s="8" t="s">
        <v>1987</v>
      </c>
      <c r="J652" s="8" t="s">
        <v>29</v>
      </c>
      <c r="K652" s="8"/>
      <c r="L652" s="8"/>
      <c r="M652" s="8"/>
      <c r="N652" s="8"/>
      <c r="O652" s="8"/>
      <c r="P652" s="8"/>
      <c r="Q652" s="8"/>
      <c r="R652" s="8"/>
      <c r="S652" s="8"/>
      <c r="T652" s="8"/>
      <c r="U652" s="8"/>
      <c r="V652" s="8"/>
      <c r="W652" s="8"/>
      <c r="X652" s="8"/>
      <c r="Y652" s="8"/>
      <c r="Z652" s="8"/>
    </row>
    <row r="653" ht="14.25" customHeight="1">
      <c r="A653" s="8">
        <v>26015.0</v>
      </c>
      <c r="B653" s="8" t="s">
        <v>24</v>
      </c>
      <c r="C653" s="8" t="s">
        <v>1988</v>
      </c>
      <c r="D653" s="8">
        <v>2010.0</v>
      </c>
      <c r="E653" s="8" t="s">
        <v>1989</v>
      </c>
      <c r="F653" s="8" t="s">
        <v>1990</v>
      </c>
      <c r="G653" s="8">
        <v>11.0</v>
      </c>
      <c r="H653" s="8">
        <v>1.0</v>
      </c>
      <c r="I653" s="11">
        <v>44774.0</v>
      </c>
      <c r="J653" s="8" t="s">
        <v>29</v>
      </c>
      <c r="K653" s="8"/>
      <c r="L653" s="8"/>
      <c r="M653" s="8"/>
      <c r="N653" s="8"/>
      <c r="O653" s="8"/>
      <c r="P653" s="8"/>
      <c r="Q653" s="8"/>
      <c r="R653" s="8"/>
      <c r="S653" s="8"/>
      <c r="T653" s="8"/>
      <c r="U653" s="8"/>
      <c r="V653" s="8"/>
      <c r="W653" s="8"/>
      <c r="X653" s="8"/>
      <c r="Y653" s="8"/>
      <c r="Z653" s="8"/>
    </row>
    <row r="654" ht="14.25" customHeight="1">
      <c r="A654" s="8">
        <v>25156.0</v>
      </c>
      <c r="B654" s="8" t="s">
        <v>24</v>
      </c>
      <c r="C654" s="8" t="s">
        <v>1991</v>
      </c>
      <c r="D654" s="8">
        <v>2015.0</v>
      </c>
      <c r="E654" s="8" t="s">
        <v>1992</v>
      </c>
      <c r="F654" s="8" t="s">
        <v>404</v>
      </c>
      <c r="G654" s="8">
        <v>38.0</v>
      </c>
      <c r="H654" s="8">
        <v>8.0</v>
      </c>
      <c r="I654" s="8" t="s">
        <v>1993</v>
      </c>
      <c r="J654" s="8" t="s">
        <v>29</v>
      </c>
      <c r="K654" s="8"/>
      <c r="L654" s="8"/>
      <c r="M654" s="8"/>
      <c r="N654" s="8"/>
      <c r="O654" s="8"/>
      <c r="P654" s="8"/>
      <c r="Q654" s="8"/>
      <c r="R654" s="8"/>
      <c r="S654" s="8"/>
      <c r="T654" s="8"/>
      <c r="U654" s="8"/>
      <c r="V654" s="8"/>
      <c r="W654" s="8"/>
      <c r="X654" s="8"/>
      <c r="Y654" s="8"/>
      <c r="Z654" s="8"/>
    </row>
    <row r="655" ht="14.25" customHeight="1">
      <c r="A655" s="8">
        <v>24963.0</v>
      </c>
      <c r="B655" s="8" t="s">
        <v>24</v>
      </c>
      <c r="C655" s="8" t="s">
        <v>1994</v>
      </c>
      <c r="D655" s="8">
        <v>2004.0</v>
      </c>
      <c r="E655" s="8" t="s">
        <v>1995</v>
      </c>
      <c r="F655" s="8" t="s">
        <v>64</v>
      </c>
      <c r="G655" s="8">
        <v>120.0</v>
      </c>
      <c r="H655" s="8">
        <v>1.0</v>
      </c>
      <c r="I655" s="8" t="s">
        <v>1996</v>
      </c>
      <c r="J655" s="8" t="s">
        <v>29</v>
      </c>
      <c r="K655" s="8"/>
      <c r="L655" s="8"/>
      <c r="M655" s="8"/>
      <c r="N655" s="8"/>
      <c r="O655" s="8"/>
      <c r="P655" s="8"/>
      <c r="Q655" s="8"/>
      <c r="R655" s="8"/>
      <c r="S655" s="8"/>
      <c r="T655" s="8"/>
      <c r="U655" s="8"/>
      <c r="V655" s="8"/>
      <c r="W655" s="8"/>
      <c r="X655" s="8"/>
      <c r="Y655" s="8"/>
      <c r="Z655" s="8"/>
    </row>
    <row r="656" ht="14.25" customHeight="1">
      <c r="A656" s="8">
        <v>23378.0</v>
      </c>
      <c r="B656" s="8" t="s">
        <v>24</v>
      </c>
      <c r="C656" s="8" t="s">
        <v>1997</v>
      </c>
      <c r="D656" s="8">
        <v>2015.0</v>
      </c>
      <c r="E656" s="8" t="s">
        <v>1998</v>
      </c>
      <c r="F656" s="8" t="s">
        <v>538</v>
      </c>
      <c r="G656" s="8">
        <v>28.0</v>
      </c>
      <c r="H656" s="8">
        <v>3.0</v>
      </c>
      <c r="I656" s="8" t="s">
        <v>1999</v>
      </c>
      <c r="J656" s="8" t="s">
        <v>29</v>
      </c>
      <c r="K656" s="8"/>
      <c r="L656" s="8"/>
      <c r="M656" s="8"/>
      <c r="N656" s="8"/>
      <c r="O656" s="8"/>
      <c r="P656" s="8"/>
      <c r="Q656" s="8"/>
      <c r="R656" s="8"/>
      <c r="S656" s="8"/>
      <c r="T656" s="8"/>
      <c r="U656" s="8"/>
      <c r="V656" s="8"/>
      <c r="W656" s="8"/>
      <c r="X656" s="8"/>
      <c r="Y656" s="8"/>
      <c r="Z656" s="8"/>
    </row>
    <row r="657" ht="14.25" customHeight="1">
      <c r="A657" s="8">
        <v>23466.0</v>
      </c>
      <c r="B657" s="8" t="s">
        <v>24</v>
      </c>
      <c r="C657" s="8" t="s">
        <v>2000</v>
      </c>
      <c r="D657" s="8">
        <v>2012.0</v>
      </c>
      <c r="E657" s="8" t="s">
        <v>2001</v>
      </c>
      <c r="F657" s="8" t="s">
        <v>64</v>
      </c>
      <c r="G657" s="8">
        <v>145.0</v>
      </c>
      <c r="H657" s="8">
        <v>1.0</v>
      </c>
      <c r="I657" s="8" t="s">
        <v>2002</v>
      </c>
      <c r="J657" s="8" t="s">
        <v>29</v>
      </c>
      <c r="K657" s="8"/>
      <c r="L657" s="8"/>
      <c r="M657" s="8"/>
      <c r="N657" s="8"/>
      <c r="O657" s="8"/>
      <c r="P657" s="8"/>
      <c r="Q657" s="8"/>
      <c r="R657" s="8"/>
      <c r="S657" s="8"/>
      <c r="T657" s="8"/>
      <c r="U657" s="8"/>
      <c r="V657" s="8"/>
      <c r="W657" s="8"/>
      <c r="X657" s="8"/>
      <c r="Y657" s="8"/>
      <c r="Z657" s="8"/>
    </row>
    <row r="658" ht="14.25" customHeight="1">
      <c r="A658" s="8">
        <v>24232.0</v>
      </c>
      <c r="B658" s="8" t="s">
        <v>24</v>
      </c>
      <c r="C658" s="8" t="s">
        <v>2003</v>
      </c>
      <c r="D658" s="8">
        <v>2018.0</v>
      </c>
      <c r="E658" s="8" t="s">
        <v>2004</v>
      </c>
      <c r="F658" s="8" t="s">
        <v>109</v>
      </c>
      <c r="G658" s="8">
        <v>62.0</v>
      </c>
      <c r="H658" s="8">
        <v>3.0</v>
      </c>
      <c r="I658" s="8" t="s">
        <v>2005</v>
      </c>
      <c r="J658" s="8" t="s">
        <v>29</v>
      </c>
      <c r="K658" s="8"/>
      <c r="L658" s="8"/>
      <c r="M658" s="8"/>
      <c r="N658" s="8"/>
      <c r="O658" s="8"/>
      <c r="P658" s="8"/>
      <c r="Q658" s="8"/>
      <c r="R658" s="8"/>
      <c r="S658" s="8"/>
      <c r="T658" s="8"/>
      <c r="U658" s="8"/>
      <c r="V658" s="8"/>
      <c r="W658" s="8"/>
      <c r="X658" s="8"/>
      <c r="Y658" s="8"/>
      <c r="Z658" s="8"/>
    </row>
    <row r="659" ht="14.25" customHeight="1">
      <c r="A659" s="8">
        <v>25830.0</v>
      </c>
      <c r="B659" s="8" t="s">
        <v>24</v>
      </c>
      <c r="C659" s="8" t="s">
        <v>2006</v>
      </c>
      <c r="D659" s="8">
        <v>2018.0</v>
      </c>
      <c r="E659" s="8" t="s">
        <v>2007</v>
      </c>
      <c r="F659" s="8" t="s">
        <v>117</v>
      </c>
      <c r="G659" s="8">
        <v>359.0</v>
      </c>
      <c r="H659" s="8">
        <v>6374.0</v>
      </c>
      <c r="I659" s="8" t="s">
        <v>2008</v>
      </c>
      <c r="J659" s="8" t="s">
        <v>29</v>
      </c>
      <c r="K659" s="8"/>
      <c r="L659" s="8"/>
      <c r="M659" s="8"/>
      <c r="N659" s="8"/>
      <c r="O659" s="8"/>
      <c r="P659" s="8"/>
      <c r="Q659" s="8"/>
      <c r="R659" s="8"/>
      <c r="S659" s="8"/>
      <c r="T659" s="8"/>
      <c r="U659" s="8"/>
      <c r="V659" s="8"/>
      <c r="W659" s="8"/>
      <c r="X659" s="8"/>
      <c r="Y659" s="8"/>
      <c r="Z659" s="8"/>
    </row>
    <row r="660" ht="14.25" customHeight="1">
      <c r="A660" s="8">
        <v>25012.0</v>
      </c>
      <c r="B660" s="8" t="s">
        <v>24</v>
      </c>
      <c r="C660" s="8" t="s">
        <v>2009</v>
      </c>
      <c r="D660" s="8">
        <v>2010.0</v>
      </c>
      <c r="E660" s="8" t="s">
        <v>2010</v>
      </c>
      <c r="F660" s="8" t="s">
        <v>581</v>
      </c>
      <c r="G660" s="8">
        <v>25.0</v>
      </c>
      <c r="H660" s="8">
        <v>8.0</v>
      </c>
      <c r="I660" s="8" t="s">
        <v>2011</v>
      </c>
      <c r="J660" s="8" t="s">
        <v>29</v>
      </c>
      <c r="K660" s="8"/>
      <c r="L660" s="8"/>
      <c r="M660" s="8"/>
      <c r="N660" s="8"/>
      <c r="O660" s="8"/>
      <c r="P660" s="8"/>
      <c r="Q660" s="8"/>
      <c r="R660" s="8"/>
      <c r="S660" s="8"/>
      <c r="T660" s="8"/>
      <c r="U660" s="8"/>
      <c r="V660" s="8"/>
      <c r="W660" s="8"/>
      <c r="X660" s="8"/>
      <c r="Y660" s="8"/>
      <c r="Z660" s="8"/>
    </row>
    <row r="661" ht="14.25" customHeight="1">
      <c r="A661" s="8">
        <v>26002.0</v>
      </c>
      <c r="B661" s="8" t="s">
        <v>24</v>
      </c>
      <c r="C661" s="8" t="s">
        <v>2012</v>
      </c>
      <c r="D661" s="8">
        <v>2016.0</v>
      </c>
      <c r="E661" s="8" t="s">
        <v>2013</v>
      </c>
      <c r="F661" s="8" t="s">
        <v>2014</v>
      </c>
      <c r="G661" s="8">
        <v>32.0</v>
      </c>
      <c r="H661" s="8">
        <v>3.0</v>
      </c>
      <c r="I661" s="8" t="s">
        <v>2015</v>
      </c>
      <c r="J661" s="8" t="s">
        <v>29</v>
      </c>
      <c r="K661" s="8"/>
      <c r="L661" s="8"/>
      <c r="M661" s="8"/>
      <c r="N661" s="8"/>
      <c r="O661" s="8"/>
      <c r="P661" s="8"/>
      <c r="Q661" s="8"/>
      <c r="R661" s="8"/>
      <c r="S661" s="8"/>
      <c r="T661" s="8"/>
      <c r="U661" s="8"/>
      <c r="V661" s="8"/>
      <c r="W661" s="8"/>
      <c r="X661" s="8"/>
      <c r="Y661" s="8"/>
      <c r="Z661" s="8"/>
    </row>
    <row r="662" ht="14.25" customHeight="1">
      <c r="A662" s="8">
        <v>24461.0</v>
      </c>
      <c r="B662" s="8" t="s">
        <v>24</v>
      </c>
      <c r="C662" s="8" t="s">
        <v>1506</v>
      </c>
      <c r="D662" s="8">
        <v>2018.0</v>
      </c>
      <c r="E662" s="8" t="s">
        <v>2016</v>
      </c>
      <c r="F662" s="8" t="s">
        <v>36</v>
      </c>
      <c r="G662" s="8">
        <v>13.0</v>
      </c>
      <c r="H662" s="8">
        <v>7.0</v>
      </c>
      <c r="I662" s="8" t="s">
        <v>33</v>
      </c>
      <c r="J662" s="8" t="s">
        <v>29</v>
      </c>
      <c r="K662" s="8"/>
      <c r="L662" s="8"/>
      <c r="M662" s="8"/>
      <c r="N662" s="8"/>
      <c r="O662" s="8"/>
      <c r="P662" s="8"/>
      <c r="Q662" s="8"/>
      <c r="R662" s="8"/>
      <c r="S662" s="8"/>
      <c r="T662" s="8"/>
      <c r="U662" s="8"/>
      <c r="V662" s="8"/>
      <c r="W662" s="8"/>
      <c r="X662" s="8"/>
      <c r="Y662" s="8"/>
      <c r="Z662" s="8"/>
    </row>
    <row r="663" ht="14.25" customHeight="1">
      <c r="A663" s="8">
        <v>23927.0</v>
      </c>
      <c r="B663" s="8" t="s">
        <v>24</v>
      </c>
      <c r="C663" s="8" t="s">
        <v>2017</v>
      </c>
      <c r="D663" s="8">
        <v>2013.0</v>
      </c>
      <c r="E663" s="8" t="s">
        <v>2018</v>
      </c>
      <c r="F663" s="8" t="s">
        <v>97</v>
      </c>
      <c r="G663" s="8">
        <v>19.0</v>
      </c>
      <c r="H663" s="8">
        <v>10.0</v>
      </c>
      <c r="I663" s="8" t="s">
        <v>2019</v>
      </c>
      <c r="J663" s="8" t="s">
        <v>29</v>
      </c>
      <c r="K663" s="8"/>
      <c r="L663" s="8"/>
      <c r="M663" s="8"/>
      <c r="N663" s="8"/>
      <c r="O663" s="8"/>
      <c r="P663" s="8"/>
      <c r="Q663" s="8"/>
      <c r="R663" s="8"/>
      <c r="S663" s="8"/>
      <c r="T663" s="8"/>
      <c r="U663" s="8"/>
      <c r="V663" s="8"/>
      <c r="W663" s="8"/>
      <c r="X663" s="8"/>
      <c r="Y663" s="8"/>
      <c r="Z663" s="8"/>
    </row>
    <row r="664" ht="14.25" customHeight="1">
      <c r="A664" s="8">
        <v>23082.0</v>
      </c>
      <c r="B664" s="8" t="s">
        <v>24</v>
      </c>
      <c r="C664" s="8" t="s">
        <v>2020</v>
      </c>
      <c r="D664" s="8">
        <v>2014.0</v>
      </c>
      <c r="E664" s="8" t="s">
        <v>2021</v>
      </c>
      <c r="F664" s="8" t="s">
        <v>74</v>
      </c>
      <c r="G664" s="8">
        <v>22.0</v>
      </c>
      <c r="H664" s="8">
        <v>1.0</v>
      </c>
      <c r="I664" s="10">
        <v>41640.0</v>
      </c>
      <c r="J664" s="8" t="s">
        <v>29</v>
      </c>
      <c r="K664" s="8"/>
      <c r="L664" s="8"/>
      <c r="M664" s="8"/>
      <c r="N664" s="8"/>
      <c r="O664" s="8"/>
      <c r="P664" s="8"/>
      <c r="Q664" s="8"/>
      <c r="R664" s="8"/>
      <c r="S664" s="8"/>
      <c r="T664" s="8"/>
      <c r="U664" s="8"/>
      <c r="V664" s="8"/>
      <c r="W664" s="8"/>
      <c r="X664" s="8"/>
      <c r="Y664" s="8"/>
      <c r="Z664" s="8"/>
    </row>
    <row r="665" ht="14.25" customHeight="1">
      <c r="A665" s="8">
        <v>23061.0</v>
      </c>
      <c r="B665" s="8" t="s">
        <v>24</v>
      </c>
      <c r="C665" s="8" t="s">
        <v>2022</v>
      </c>
      <c r="D665" s="8">
        <v>2017.0</v>
      </c>
      <c r="E665" s="8" t="s">
        <v>2023</v>
      </c>
      <c r="F665" s="8" t="s">
        <v>97</v>
      </c>
      <c r="G665" s="8">
        <v>23.0</v>
      </c>
      <c r="H665" s="8">
        <v>6.0</v>
      </c>
      <c r="I665" s="8" t="s">
        <v>2024</v>
      </c>
      <c r="J665" s="8" t="s">
        <v>29</v>
      </c>
      <c r="K665" s="8"/>
      <c r="L665" s="8"/>
      <c r="M665" s="8"/>
      <c r="N665" s="8"/>
      <c r="O665" s="8"/>
      <c r="P665" s="8"/>
      <c r="Q665" s="8"/>
      <c r="R665" s="8"/>
      <c r="S665" s="8"/>
      <c r="T665" s="8"/>
      <c r="U665" s="8"/>
      <c r="V665" s="8"/>
      <c r="W665" s="8"/>
      <c r="X665" s="8"/>
      <c r="Y665" s="8"/>
      <c r="Z665" s="8"/>
    </row>
    <row r="666" ht="14.25" customHeight="1">
      <c r="A666" s="8">
        <v>23142.0</v>
      </c>
      <c r="B666" s="8" t="s">
        <v>24</v>
      </c>
      <c r="C666" s="8" t="s">
        <v>2025</v>
      </c>
      <c r="D666" s="8">
        <v>2020.0</v>
      </c>
      <c r="E666" s="8" t="s">
        <v>2026</v>
      </c>
      <c r="F666" s="8" t="s">
        <v>2027</v>
      </c>
      <c r="G666" s="8">
        <v>5.0</v>
      </c>
      <c r="H666" s="8">
        <v>1.0</v>
      </c>
      <c r="I666" s="8" t="s">
        <v>33</v>
      </c>
      <c r="J666" s="8" t="s">
        <v>29</v>
      </c>
      <c r="K666" s="8"/>
      <c r="L666" s="8"/>
      <c r="M666" s="8"/>
      <c r="N666" s="8"/>
      <c r="O666" s="8"/>
      <c r="P666" s="8"/>
      <c r="Q666" s="8"/>
      <c r="R666" s="8"/>
      <c r="S666" s="8"/>
      <c r="T666" s="8"/>
      <c r="U666" s="8"/>
      <c r="V666" s="8"/>
      <c r="W666" s="8"/>
      <c r="X666" s="8"/>
      <c r="Y666" s="8"/>
      <c r="Z666" s="8"/>
    </row>
    <row r="667" ht="14.25" customHeight="1">
      <c r="A667" s="8">
        <v>23160.0</v>
      </c>
      <c r="B667" s="8" t="s">
        <v>24</v>
      </c>
      <c r="C667" s="8" t="s">
        <v>2028</v>
      </c>
      <c r="D667" s="8">
        <v>2020.0</v>
      </c>
      <c r="E667" s="8" t="s">
        <v>2029</v>
      </c>
      <c r="F667" s="8" t="s">
        <v>1275</v>
      </c>
      <c r="G667" s="8">
        <v>149.0</v>
      </c>
      <c r="H667" s="8">
        <v>3.0</v>
      </c>
      <c r="I667" s="8" t="s">
        <v>2030</v>
      </c>
      <c r="J667" s="8" t="s">
        <v>29</v>
      </c>
      <c r="K667" s="8"/>
      <c r="L667" s="8"/>
      <c r="M667" s="8"/>
      <c r="N667" s="8"/>
      <c r="O667" s="8"/>
      <c r="P667" s="8"/>
      <c r="Q667" s="8"/>
      <c r="R667" s="8"/>
      <c r="S667" s="8"/>
      <c r="T667" s="8"/>
      <c r="U667" s="8"/>
      <c r="V667" s="8"/>
      <c r="W667" s="8"/>
      <c r="X667" s="8"/>
      <c r="Y667" s="8"/>
      <c r="Z667" s="8"/>
    </row>
    <row r="668" ht="14.25" customHeight="1">
      <c r="A668" s="8">
        <v>23171.0</v>
      </c>
      <c r="B668" s="8" t="s">
        <v>24</v>
      </c>
      <c r="C668" s="8" t="s">
        <v>2031</v>
      </c>
      <c r="D668" s="8">
        <v>2016.0</v>
      </c>
      <c r="E668" s="8" t="s">
        <v>2032</v>
      </c>
      <c r="F668" s="8" t="s">
        <v>2033</v>
      </c>
      <c r="G668" s="8" t="s">
        <v>33</v>
      </c>
      <c r="H668" s="8" t="s">
        <v>33</v>
      </c>
      <c r="I668" s="8" t="s">
        <v>2034</v>
      </c>
      <c r="J668" s="8" t="s">
        <v>29</v>
      </c>
      <c r="K668" s="8"/>
      <c r="L668" s="8"/>
      <c r="M668" s="8"/>
      <c r="N668" s="8"/>
      <c r="O668" s="8"/>
      <c r="P668" s="8"/>
      <c r="Q668" s="8"/>
      <c r="R668" s="8"/>
      <c r="S668" s="8"/>
      <c r="T668" s="8"/>
      <c r="U668" s="8"/>
      <c r="V668" s="8"/>
      <c r="W668" s="8"/>
      <c r="X668" s="8"/>
      <c r="Y668" s="8"/>
      <c r="Z668" s="8"/>
    </row>
    <row r="669" ht="14.25" customHeight="1">
      <c r="A669" s="8">
        <v>23509.0</v>
      </c>
      <c r="B669" s="8" t="s">
        <v>24</v>
      </c>
      <c r="C669" s="8" t="s">
        <v>2035</v>
      </c>
      <c r="D669" s="8">
        <v>2019.0</v>
      </c>
      <c r="E669" s="8" t="s">
        <v>2036</v>
      </c>
      <c r="F669" s="8" t="s">
        <v>2037</v>
      </c>
      <c r="G669" s="8">
        <v>121.0</v>
      </c>
      <c r="H669" s="8" t="s">
        <v>33</v>
      </c>
      <c r="I669" s="8" t="s">
        <v>2038</v>
      </c>
      <c r="J669" s="8" t="s">
        <v>29</v>
      </c>
      <c r="K669" s="8"/>
      <c r="L669" s="8"/>
      <c r="M669" s="8"/>
      <c r="N669" s="8"/>
      <c r="O669" s="8"/>
      <c r="P669" s="8"/>
      <c r="Q669" s="8"/>
      <c r="R669" s="8"/>
      <c r="S669" s="8"/>
      <c r="T669" s="8"/>
      <c r="U669" s="8"/>
      <c r="V669" s="8"/>
      <c r="W669" s="8"/>
      <c r="X669" s="8"/>
      <c r="Y669" s="8"/>
      <c r="Z669" s="8"/>
    </row>
    <row r="670" ht="14.25" customHeight="1">
      <c r="A670" s="8">
        <v>24622.0</v>
      </c>
      <c r="B670" s="8" t="s">
        <v>24</v>
      </c>
      <c r="C670" s="8" t="s">
        <v>2039</v>
      </c>
      <c r="D670" s="8">
        <v>2017.0</v>
      </c>
      <c r="E670" s="8" t="s">
        <v>2040</v>
      </c>
      <c r="F670" s="8" t="s">
        <v>2041</v>
      </c>
      <c r="G670" s="8">
        <v>8.0</v>
      </c>
      <c r="H670" s="8">
        <v>3.0</v>
      </c>
      <c r="I670" s="8" t="s">
        <v>2042</v>
      </c>
      <c r="J670" s="8" t="s">
        <v>29</v>
      </c>
      <c r="K670" s="8"/>
      <c r="L670" s="8"/>
      <c r="M670" s="8"/>
      <c r="N670" s="8"/>
      <c r="O670" s="8"/>
      <c r="P670" s="8"/>
      <c r="Q670" s="8"/>
      <c r="R670" s="8"/>
      <c r="S670" s="8"/>
      <c r="T670" s="8"/>
      <c r="U670" s="8"/>
      <c r="V670" s="8"/>
      <c r="W670" s="8"/>
      <c r="X670" s="8"/>
      <c r="Y670" s="8"/>
      <c r="Z670" s="8"/>
    </row>
    <row r="671" ht="14.25" customHeight="1">
      <c r="A671" s="8">
        <v>23449.0</v>
      </c>
      <c r="B671" s="8" t="s">
        <v>24</v>
      </c>
      <c r="C671" s="8" t="s">
        <v>2043</v>
      </c>
      <c r="D671" s="8">
        <v>2014.0</v>
      </c>
      <c r="E671" s="8" t="s">
        <v>2044</v>
      </c>
      <c r="F671" s="8" t="s">
        <v>2045</v>
      </c>
      <c r="G671" s="8">
        <v>7.0</v>
      </c>
      <c r="H671" s="8" t="s">
        <v>33</v>
      </c>
      <c r="I671" s="8" t="s">
        <v>2046</v>
      </c>
      <c r="J671" s="8" t="s">
        <v>29</v>
      </c>
      <c r="K671" s="8"/>
      <c r="L671" s="8"/>
      <c r="M671" s="8"/>
      <c r="N671" s="8"/>
      <c r="O671" s="8"/>
      <c r="P671" s="8"/>
      <c r="Q671" s="8"/>
      <c r="R671" s="8"/>
      <c r="S671" s="8"/>
      <c r="T671" s="8"/>
      <c r="U671" s="8"/>
      <c r="V671" s="8"/>
      <c r="W671" s="8"/>
      <c r="X671" s="8"/>
      <c r="Y671" s="8"/>
      <c r="Z671" s="8"/>
    </row>
    <row r="672" ht="14.25" customHeight="1">
      <c r="A672" s="8">
        <v>25166.0</v>
      </c>
      <c r="B672" s="8" t="s">
        <v>24</v>
      </c>
      <c r="C672" s="8" t="s">
        <v>2047</v>
      </c>
      <c r="D672" s="8">
        <v>2008.0</v>
      </c>
      <c r="E672" s="8" t="s">
        <v>2048</v>
      </c>
      <c r="F672" s="8" t="s">
        <v>2049</v>
      </c>
      <c r="G672" s="8">
        <v>141.0</v>
      </c>
      <c r="H672" s="8">
        <v>2.0</v>
      </c>
      <c r="I672" s="8" t="s">
        <v>1739</v>
      </c>
      <c r="J672" s="8" t="s">
        <v>29</v>
      </c>
      <c r="K672" s="8"/>
      <c r="L672" s="8"/>
      <c r="M672" s="8"/>
      <c r="N672" s="8"/>
      <c r="O672" s="8"/>
      <c r="P672" s="8"/>
      <c r="Q672" s="8"/>
      <c r="R672" s="8"/>
      <c r="S672" s="8"/>
      <c r="T672" s="8"/>
      <c r="U672" s="8"/>
      <c r="V672" s="8"/>
      <c r="W672" s="8"/>
      <c r="X672" s="8"/>
      <c r="Y672" s="8"/>
      <c r="Z672" s="8"/>
    </row>
    <row r="673" ht="14.25" customHeight="1">
      <c r="A673" s="8" t="s">
        <v>2050</v>
      </c>
      <c r="B673" s="8" t="s">
        <v>41</v>
      </c>
      <c r="C673" s="8" t="s">
        <v>2051</v>
      </c>
      <c r="D673" s="8">
        <v>2018.0</v>
      </c>
      <c r="E673" s="8" t="s">
        <v>2052</v>
      </c>
      <c r="F673" s="8" t="s">
        <v>2053</v>
      </c>
      <c r="G673" s="8" t="s">
        <v>33</v>
      </c>
      <c r="H673" s="8" t="s">
        <v>33</v>
      </c>
      <c r="I673" s="8" t="s">
        <v>33</v>
      </c>
      <c r="J673" s="8" t="s">
        <v>320</v>
      </c>
      <c r="K673" s="8"/>
      <c r="L673" s="8"/>
      <c r="M673" s="8"/>
      <c r="N673" s="8"/>
      <c r="O673" s="8"/>
      <c r="P673" s="8"/>
      <c r="Q673" s="8"/>
      <c r="R673" s="8"/>
      <c r="S673" s="8"/>
      <c r="T673" s="8"/>
      <c r="U673" s="8"/>
      <c r="V673" s="8"/>
      <c r="W673" s="8"/>
      <c r="X673" s="8"/>
      <c r="Y673" s="8"/>
      <c r="Z673" s="8"/>
    </row>
    <row r="674" ht="14.25" customHeight="1">
      <c r="A674" s="8">
        <v>25820.0</v>
      </c>
      <c r="B674" s="8" t="s">
        <v>24</v>
      </c>
      <c r="C674" s="8" t="s">
        <v>2054</v>
      </c>
      <c r="D674" s="8">
        <v>2018.0</v>
      </c>
      <c r="E674" s="8" t="s">
        <v>2055</v>
      </c>
      <c r="F674" s="8" t="s">
        <v>2056</v>
      </c>
      <c r="G674" s="8">
        <v>21.0</v>
      </c>
      <c r="H674" s="8">
        <v>3.0</v>
      </c>
      <c r="I674" s="8" t="s">
        <v>2057</v>
      </c>
      <c r="J674" s="8" t="s">
        <v>29</v>
      </c>
      <c r="K674" s="8"/>
      <c r="L674" s="8"/>
      <c r="M674" s="8"/>
      <c r="N674" s="8"/>
      <c r="O674" s="8"/>
      <c r="P674" s="8"/>
      <c r="Q674" s="8"/>
      <c r="R674" s="8"/>
      <c r="S674" s="8"/>
      <c r="T674" s="8"/>
      <c r="U674" s="8"/>
      <c r="V674" s="8"/>
      <c r="W674" s="8"/>
      <c r="X674" s="8"/>
      <c r="Y674" s="8"/>
      <c r="Z674" s="8"/>
    </row>
    <row r="675" ht="14.25" customHeight="1">
      <c r="A675" s="8">
        <v>25030.0</v>
      </c>
      <c r="B675" s="8" t="s">
        <v>24</v>
      </c>
      <c r="C675" s="8" t="s">
        <v>2058</v>
      </c>
      <c r="D675" s="8">
        <v>2018.0</v>
      </c>
      <c r="E675" s="8" t="s">
        <v>2059</v>
      </c>
      <c r="F675" s="8" t="s">
        <v>866</v>
      </c>
      <c r="G675" s="8">
        <v>10.0</v>
      </c>
      <c r="H675" s="8">
        <v>6.0</v>
      </c>
      <c r="I675" s="8" t="s">
        <v>33</v>
      </c>
      <c r="J675" s="8" t="s">
        <v>29</v>
      </c>
      <c r="K675" s="8"/>
      <c r="L675" s="8"/>
      <c r="M675" s="8"/>
      <c r="N675" s="8"/>
      <c r="O675" s="8"/>
      <c r="P675" s="8"/>
      <c r="Q675" s="8"/>
      <c r="R675" s="8"/>
      <c r="S675" s="8"/>
      <c r="T675" s="8"/>
      <c r="U675" s="8"/>
      <c r="V675" s="8"/>
      <c r="W675" s="8"/>
      <c r="X675" s="8"/>
      <c r="Y675" s="8"/>
      <c r="Z675" s="8"/>
    </row>
    <row r="676" ht="14.25" customHeight="1">
      <c r="A676" s="8">
        <v>25866.0</v>
      </c>
      <c r="B676" s="8" t="s">
        <v>24</v>
      </c>
      <c r="C676" s="8" t="s">
        <v>2060</v>
      </c>
      <c r="D676" s="8">
        <v>2018.0</v>
      </c>
      <c r="E676" s="8" t="s">
        <v>2061</v>
      </c>
      <c r="F676" s="8" t="s">
        <v>36</v>
      </c>
      <c r="G676" s="8">
        <v>13.0</v>
      </c>
      <c r="H676" s="8">
        <v>12.0</v>
      </c>
      <c r="I676" s="8" t="s">
        <v>33</v>
      </c>
      <c r="J676" s="8" t="s">
        <v>29</v>
      </c>
      <c r="K676" s="8"/>
      <c r="L676" s="8"/>
      <c r="M676" s="8"/>
      <c r="N676" s="8"/>
      <c r="O676" s="8"/>
      <c r="P676" s="8"/>
      <c r="Q676" s="8"/>
      <c r="R676" s="8"/>
      <c r="S676" s="8"/>
      <c r="T676" s="8"/>
      <c r="U676" s="8"/>
      <c r="V676" s="8"/>
      <c r="W676" s="8"/>
      <c r="X676" s="8"/>
      <c r="Y676" s="8"/>
      <c r="Z676" s="8"/>
    </row>
    <row r="677" ht="14.25" customHeight="1">
      <c r="A677" s="8">
        <v>25246.0</v>
      </c>
      <c r="B677" s="8" t="s">
        <v>24</v>
      </c>
      <c r="C677" s="8" t="s">
        <v>1360</v>
      </c>
      <c r="D677" s="8">
        <v>2016.0</v>
      </c>
      <c r="E677" s="8" t="s">
        <v>2062</v>
      </c>
      <c r="F677" s="8" t="s">
        <v>336</v>
      </c>
      <c r="G677" s="8">
        <v>113.0</v>
      </c>
      <c r="H677" s="8">
        <v>6.0</v>
      </c>
      <c r="I677" s="8" t="s">
        <v>2063</v>
      </c>
      <c r="J677" s="8" t="s">
        <v>29</v>
      </c>
      <c r="K677" s="8"/>
      <c r="L677" s="8"/>
      <c r="M677" s="8"/>
      <c r="N677" s="8"/>
      <c r="O677" s="8"/>
      <c r="P677" s="8"/>
      <c r="Q677" s="8"/>
      <c r="R677" s="8"/>
      <c r="S677" s="8"/>
      <c r="T677" s="8"/>
      <c r="U677" s="8"/>
      <c r="V677" s="8"/>
      <c r="W677" s="8"/>
      <c r="X677" s="8"/>
      <c r="Y677" s="8"/>
      <c r="Z677" s="8"/>
    </row>
    <row r="678" ht="14.25" customHeight="1">
      <c r="A678" s="8">
        <v>23905.0</v>
      </c>
      <c r="B678" s="8" t="s">
        <v>24</v>
      </c>
      <c r="C678" s="8" t="s">
        <v>2064</v>
      </c>
      <c r="D678" s="8">
        <v>2008.0</v>
      </c>
      <c r="E678" s="8" t="s">
        <v>2065</v>
      </c>
      <c r="F678" s="8" t="s">
        <v>36</v>
      </c>
      <c r="G678" s="8">
        <v>3.0</v>
      </c>
      <c r="H678" s="8">
        <v>8.0</v>
      </c>
      <c r="I678" s="8" t="s">
        <v>33</v>
      </c>
      <c r="J678" s="8" t="s">
        <v>29</v>
      </c>
      <c r="K678" s="8"/>
      <c r="L678" s="8"/>
      <c r="M678" s="8"/>
      <c r="N678" s="8"/>
      <c r="O678" s="8"/>
      <c r="P678" s="8"/>
      <c r="Q678" s="8"/>
      <c r="R678" s="8"/>
      <c r="S678" s="8"/>
      <c r="T678" s="8"/>
      <c r="U678" s="8"/>
      <c r="V678" s="8"/>
      <c r="W678" s="8"/>
      <c r="X678" s="8"/>
      <c r="Y678" s="8"/>
      <c r="Z678" s="8"/>
    </row>
    <row r="679" ht="14.25" customHeight="1">
      <c r="A679" s="8">
        <v>23780.0</v>
      </c>
      <c r="B679" s="8" t="s">
        <v>24</v>
      </c>
      <c r="C679" s="8" t="s">
        <v>2066</v>
      </c>
      <c r="D679" s="8">
        <v>2014.0</v>
      </c>
      <c r="E679" s="8" t="s">
        <v>2067</v>
      </c>
      <c r="F679" s="8" t="s">
        <v>2068</v>
      </c>
      <c r="G679" s="8">
        <v>369.0</v>
      </c>
      <c r="H679" s="8">
        <v>1643.0</v>
      </c>
      <c r="I679" s="8" t="s">
        <v>33</v>
      </c>
      <c r="J679" s="8" t="s">
        <v>29</v>
      </c>
      <c r="K679" s="8"/>
      <c r="L679" s="8"/>
      <c r="M679" s="8"/>
      <c r="N679" s="8"/>
      <c r="O679" s="8"/>
      <c r="P679" s="8"/>
      <c r="Q679" s="8"/>
      <c r="R679" s="8"/>
      <c r="S679" s="8"/>
      <c r="T679" s="8"/>
      <c r="U679" s="8"/>
      <c r="V679" s="8"/>
      <c r="W679" s="8"/>
      <c r="X679" s="8"/>
      <c r="Y679" s="8"/>
      <c r="Z679" s="8"/>
    </row>
    <row r="680" ht="14.25" customHeight="1">
      <c r="A680" s="8">
        <v>23581.0</v>
      </c>
      <c r="B680" s="8" t="s">
        <v>24</v>
      </c>
      <c r="C680" s="8" t="s">
        <v>2069</v>
      </c>
      <c r="D680" s="8">
        <v>2019.0</v>
      </c>
      <c r="E680" s="8" t="s">
        <v>2070</v>
      </c>
      <c r="F680" s="8" t="s">
        <v>515</v>
      </c>
      <c r="G680" s="8">
        <v>102.0</v>
      </c>
      <c r="H680" s="8" t="s">
        <v>33</v>
      </c>
      <c r="I680" s="8" t="s">
        <v>2071</v>
      </c>
      <c r="J680" s="8" t="s">
        <v>29</v>
      </c>
      <c r="K680" s="8"/>
      <c r="L680" s="8"/>
      <c r="M680" s="8"/>
      <c r="N680" s="8"/>
      <c r="O680" s="8"/>
      <c r="P680" s="8"/>
      <c r="Q680" s="8"/>
      <c r="R680" s="8"/>
      <c r="S680" s="8"/>
      <c r="T680" s="8"/>
      <c r="U680" s="8"/>
      <c r="V680" s="8"/>
      <c r="W680" s="8"/>
      <c r="X680" s="8"/>
      <c r="Y680" s="8"/>
      <c r="Z680" s="8"/>
    </row>
    <row r="681" ht="14.25" customHeight="1">
      <c r="A681" s="8">
        <v>25073.0</v>
      </c>
      <c r="B681" s="8" t="s">
        <v>24</v>
      </c>
      <c r="C681" s="8" t="s">
        <v>2072</v>
      </c>
      <c r="D681" s="8">
        <v>2020.0</v>
      </c>
      <c r="E681" s="8" t="s">
        <v>2073</v>
      </c>
      <c r="F681" s="8" t="s">
        <v>36</v>
      </c>
      <c r="G681" s="8">
        <v>15.0</v>
      </c>
      <c r="H681" s="8">
        <v>4.0</v>
      </c>
      <c r="I681" s="8" t="s">
        <v>33</v>
      </c>
      <c r="J681" s="8" t="s">
        <v>29</v>
      </c>
      <c r="K681" s="8"/>
      <c r="L681" s="8"/>
      <c r="M681" s="8"/>
      <c r="N681" s="8"/>
      <c r="O681" s="8"/>
      <c r="P681" s="8"/>
      <c r="Q681" s="8"/>
      <c r="R681" s="8"/>
      <c r="S681" s="8"/>
      <c r="T681" s="8"/>
      <c r="U681" s="8"/>
      <c r="V681" s="8"/>
      <c r="W681" s="8"/>
      <c r="X681" s="8"/>
      <c r="Y681" s="8"/>
      <c r="Z681" s="8"/>
    </row>
    <row r="682" ht="14.25" customHeight="1">
      <c r="A682" s="8">
        <v>24208.0</v>
      </c>
      <c r="B682" s="8" t="s">
        <v>24</v>
      </c>
      <c r="C682" s="8" t="s">
        <v>2074</v>
      </c>
      <c r="D682" s="8">
        <v>2016.0</v>
      </c>
      <c r="E682" s="8" t="s">
        <v>2075</v>
      </c>
      <c r="F682" s="8" t="s">
        <v>74</v>
      </c>
      <c r="G682" s="8">
        <v>33.0</v>
      </c>
      <c r="H682" s="8" t="s">
        <v>33</v>
      </c>
      <c r="I682" s="8" t="s">
        <v>2076</v>
      </c>
      <c r="J682" s="8" t="s">
        <v>29</v>
      </c>
      <c r="K682" s="8"/>
      <c r="L682" s="8"/>
      <c r="M682" s="8"/>
      <c r="N682" s="8"/>
      <c r="O682" s="8"/>
      <c r="P682" s="8"/>
      <c r="Q682" s="8"/>
      <c r="R682" s="8"/>
      <c r="S682" s="8"/>
      <c r="T682" s="8"/>
      <c r="U682" s="8"/>
      <c r="V682" s="8"/>
      <c r="W682" s="8"/>
      <c r="X682" s="8"/>
      <c r="Y682" s="8"/>
      <c r="Z682" s="8"/>
    </row>
    <row r="683" ht="14.25" customHeight="1">
      <c r="A683" s="8">
        <v>23893.0</v>
      </c>
      <c r="B683" s="8" t="s">
        <v>24</v>
      </c>
      <c r="C683" s="8" t="s">
        <v>2077</v>
      </c>
      <c r="D683" s="8">
        <v>2018.0</v>
      </c>
      <c r="E683" s="8" t="s">
        <v>2078</v>
      </c>
      <c r="F683" s="8" t="s">
        <v>64</v>
      </c>
      <c r="G683" s="8">
        <v>227.0</v>
      </c>
      <c r="H683" s="8" t="s">
        <v>33</v>
      </c>
      <c r="I683" s="8" t="s">
        <v>2079</v>
      </c>
      <c r="J683" s="8" t="s">
        <v>29</v>
      </c>
      <c r="K683" s="8"/>
      <c r="L683" s="8"/>
      <c r="M683" s="8"/>
      <c r="N683" s="8"/>
      <c r="O683" s="8"/>
      <c r="P683" s="8"/>
      <c r="Q683" s="8"/>
      <c r="R683" s="8"/>
      <c r="S683" s="8"/>
      <c r="T683" s="8"/>
      <c r="U683" s="8"/>
      <c r="V683" s="8"/>
      <c r="W683" s="8"/>
      <c r="X683" s="8"/>
      <c r="Y683" s="8"/>
      <c r="Z683" s="8"/>
    </row>
    <row r="684" ht="14.25" customHeight="1">
      <c r="A684" s="8">
        <v>24450.0</v>
      </c>
      <c r="B684" s="8" t="s">
        <v>24</v>
      </c>
      <c r="C684" s="8" t="s">
        <v>2080</v>
      </c>
      <c r="D684" s="8">
        <v>2019.0</v>
      </c>
      <c r="E684" s="8" t="s">
        <v>2081</v>
      </c>
      <c r="F684" s="8" t="s">
        <v>866</v>
      </c>
      <c r="G684" s="8">
        <v>11.0</v>
      </c>
      <c r="H684" s="8">
        <v>3.0</v>
      </c>
      <c r="I684" s="8" t="s">
        <v>33</v>
      </c>
      <c r="J684" s="8" t="s">
        <v>29</v>
      </c>
      <c r="K684" s="8"/>
      <c r="L684" s="8"/>
      <c r="M684" s="8"/>
      <c r="N684" s="8"/>
      <c r="O684" s="8"/>
      <c r="P684" s="8"/>
      <c r="Q684" s="8"/>
      <c r="R684" s="8"/>
      <c r="S684" s="8"/>
      <c r="T684" s="8"/>
      <c r="U684" s="8"/>
      <c r="V684" s="8"/>
      <c r="W684" s="8"/>
      <c r="X684" s="8"/>
      <c r="Y684" s="8"/>
      <c r="Z684" s="8"/>
    </row>
    <row r="685" ht="14.25" customHeight="1">
      <c r="A685" s="8">
        <v>23689.0</v>
      </c>
      <c r="B685" s="8" t="s">
        <v>24</v>
      </c>
      <c r="C685" s="8" t="s">
        <v>2082</v>
      </c>
      <c r="D685" s="8">
        <v>2019.0</v>
      </c>
      <c r="E685" s="8" t="s">
        <v>2083</v>
      </c>
      <c r="F685" s="8" t="s">
        <v>404</v>
      </c>
      <c r="G685" s="8">
        <v>42.0</v>
      </c>
      <c r="H685" s="8">
        <v>3.0</v>
      </c>
      <c r="I685" s="8" t="s">
        <v>2084</v>
      </c>
      <c r="J685" s="8" t="s">
        <v>29</v>
      </c>
      <c r="K685" s="8"/>
      <c r="L685" s="8"/>
      <c r="M685" s="8"/>
      <c r="N685" s="8"/>
      <c r="O685" s="8"/>
      <c r="P685" s="8"/>
      <c r="Q685" s="8"/>
      <c r="R685" s="8"/>
      <c r="S685" s="8"/>
      <c r="T685" s="8"/>
      <c r="U685" s="8"/>
      <c r="V685" s="8"/>
      <c r="W685" s="8"/>
      <c r="X685" s="8"/>
      <c r="Y685" s="8"/>
      <c r="Z685" s="8"/>
    </row>
    <row r="686" ht="14.25" customHeight="1">
      <c r="A686" s="8">
        <v>23030.0</v>
      </c>
      <c r="B686" s="8" t="s">
        <v>24</v>
      </c>
      <c r="C686" s="8" t="s">
        <v>2085</v>
      </c>
      <c r="D686" s="8">
        <v>2015.0</v>
      </c>
      <c r="E686" s="8" t="s">
        <v>2086</v>
      </c>
      <c r="F686" s="8" t="s">
        <v>769</v>
      </c>
      <c r="G686" s="8">
        <v>25.0</v>
      </c>
      <c r="H686" s="8">
        <v>4.0</v>
      </c>
      <c r="I686" s="8" t="s">
        <v>2087</v>
      </c>
      <c r="J686" s="8" t="s">
        <v>29</v>
      </c>
      <c r="K686" s="8"/>
      <c r="L686" s="8"/>
      <c r="M686" s="8"/>
      <c r="N686" s="8"/>
      <c r="O686" s="8"/>
      <c r="P686" s="8"/>
      <c r="Q686" s="8"/>
      <c r="R686" s="8"/>
      <c r="S686" s="8"/>
      <c r="T686" s="8"/>
      <c r="U686" s="8"/>
      <c r="V686" s="8"/>
      <c r="W686" s="8"/>
      <c r="X686" s="8"/>
      <c r="Y686" s="8"/>
      <c r="Z686" s="8"/>
    </row>
    <row r="687" ht="14.25" customHeight="1">
      <c r="A687" s="8">
        <v>23595.0</v>
      </c>
      <c r="B687" s="8" t="s">
        <v>24</v>
      </c>
      <c r="C687" s="8" t="s">
        <v>2088</v>
      </c>
      <c r="D687" s="8">
        <v>2017.0</v>
      </c>
      <c r="E687" s="8" t="s">
        <v>2089</v>
      </c>
      <c r="F687" s="8" t="s">
        <v>2090</v>
      </c>
      <c r="G687" s="8">
        <v>48.0</v>
      </c>
      <c r="H687" s="8">
        <v>12.0</v>
      </c>
      <c r="I687" s="8" t="s">
        <v>2091</v>
      </c>
      <c r="J687" s="8" t="s">
        <v>29</v>
      </c>
      <c r="K687" s="8"/>
      <c r="L687" s="8"/>
      <c r="M687" s="8"/>
      <c r="N687" s="8"/>
      <c r="O687" s="8"/>
      <c r="P687" s="8"/>
      <c r="Q687" s="8"/>
      <c r="R687" s="8"/>
      <c r="S687" s="8"/>
      <c r="T687" s="8"/>
      <c r="U687" s="8"/>
      <c r="V687" s="8"/>
      <c r="W687" s="8"/>
      <c r="X687" s="8"/>
      <c r="Y687" s="8"/>
      <c r="Z687" s="8"/>
    </row>
    <row r="688" ht="14.25" customHeight="1">
      <c r="A688" s="8">
        <v>23456.0</v>
      </c>
      <c r="B688" s="8" t="s">
        <v>24</v>
      </c>
      <c r="C688" s="8" t="s">
        <v>2092</v>
      </c>
      <c r="D688" s="8">
        <v>2019.0</v>
      </c>
      <c r="E688" s="8" t="s">
        <v>2093</v>
      </c>
      <c r="F688" s="8" t="s">
        <v>2094</v>
      </c>
      <c r="G688" s="8">
        <v>59.0</v>
      </c>
      <c r="H688" s="8">
        <v>4.0</v>
      </c>
      <c r="I688" s="8" t="s">
        <v>33</v>
      </c>
      <c r="J688" s="8" t="s">
        <v>29</v>
      </c>
      <c r="K688" s="8"/>
      <c r="L688" s="8"/>
      <c r="M688" s="8"/>
      <c r="N688" s="8"/>
      <c r="O688" s="8"/>
      <c r="P688" s="8"/>
      <c r="Q688" s="8"/>
      <c r="R688" s="8"/>
      <c r="S688" s="8"/>
      <c r="T688" s="8"/>
      <c r="U688" s="8"/>
      <c r="V688" s="8"/>
      <c r="W688" s="8"/>
      <c r="X688" s="8"/>
      <c r="Y688" s="8"/>
      <c r="Z688" s="8"/>
    </row>
    <row r="689" ht="14.25" customHeight="1">
      <c r="A689" s="8">
        <v>23448.0</v>
      </c>
      <c r="B689" s="8" t="s">
        <v>24</v>
      </c>
      <c r="C689" s="8" t="s">
        <v>2095</v>
      </c>
      <c r="D689" s="8">
        <v>2020.0</v>
      </c>
      <c r="E689" s="8" t="s">
        <v>2096</v>
      </c>
      <c r="F689" s="8" t="s">
        <v>2097</v>
      </c>
      <c r="G689" s="8">
        <v>256.0</v>
      </c>
      <c r="H689" s="8" t="s">
        <v>33</v>
      </c>
      <c r="I689" s="8" t="s">
        <v>33</v>
      </c>
      <c r="J689" s="8" t="s">
        <v>29</v>
      </c>
      <c r="K689" s="8"/>
      <c r="L689" s="8"/>
      <c r="M689" s="8"/>
      <c r="N689" s="8"/>
      <c r="O689" s="8"/>
      <c r="P689" s="8"/>
      <c r="Q689" s="8"/>
      <c r="R689" s="8"/>
      <c r="S689" s="8"/>
      <c r="T689" s="8"/>
      <c r="U689" s="8"/>
      <c r="V689" s="8"/>
      <c r="W689" s="8"/>
      <c r="X689" s="8"/>
      <c r="Y689" s="8"/>
      <c r="Z689" s="8"/>
    </row>
    <row r="690" ht="14.25" customHeight="1">
      <c r="A690" s="8" t="s">
        <v>2098</v>
      </c>
      <c r="B690" s="8" t="s">
        <v>41</v>
      </c>
      <c r="C690" s="8" t="s">
        <v>2099</v>
      </c>
      <c r="D690" s="8">
        <v>2013.0</v>
      </c>
      <c r="E690" s="8" t="s">
        <v>2100</v>
      </c>
      <c r="F690" s="8" t="s">
        <v>855</v>
      </c>
      <c r="G690" s="8" t="s">
        <v>33</v>
      </c>
      <c r="H690" s="8" t="s">
        <v>33</v>
      </c>
      <c r="I690" s="8" t="s">
        <v>33</v>
      </c>
      <c r="J690" s="8" t="s">
        <v>320</v>
      </c>
      <c r="K690" s="8"/>
      <c r="L690" s="8"/>
      <c r="M690" s="8"/>
      <c r="N690" s="8"/>
      <c r="O690" s="8"/>
      <c r="P690" s="8"/>
      <c r="Q690" s="8"/>
      <c r="R690" s="8"/>
      <c r="S690" s="8"/>
      <c r="T690" s="8"/>
      <c r="U690" s="8"/>
      <c r="V690" s="8"/>
      <c r="W690" s="8"/>
      <c r="X690" s="8"/>
      <c r="Y690" s="8"/>
      <c r="Z690" s="8"/>
    </row>
    <row r="691" ht="14.25" customHeight="1">
      <c r="A691" s="8">
        <v>24646.0</v>
      </c>
      <c r="B691" s="8" t="s">
        <v>24</v>
      </c>
      <c r="C691" s="8" t="s">
        <v>2101</v>
      </c>
      <c r="D691" s="8">
        <v>2014.0</v>
      </c>
      <c r="E691" s="8" t="s">
        <v>2102</v>
      </c>
      <c r="F691" s="8" t="s">
        <v>357</v>
      </c>
      <c r="G691" s="8">
        <v>22.0</v>
      </c>
      <c r="H691" s="8">
        <v>2.0</v>
      </c>
      <c r="I691" s="8" t="s">
        <v>1862</v>
      </c>
      <c r="J691" s="8" t="s">
        <v>29</v>
      </c>
      <c r="K691" s="8"/>
      <c r="L691" s="8"/>
      <c r="M691" s="8"/>
      <c r="N691" s="8"/>
      <c r="O691" s="8"/>
      <c r="P691" s="8"/>
      <c r="Q691" s="8"/>
      <c r="R691" s="8"/>
      <c r="S691" s="8"/>
      <c r="T691" s="8"/>
      <c r="U691" s="8"/>
      <c r="V691" s="8"/>
      <c r="W691" s="8"/>
      <c r="X691" s="8"/>
      <c r="Y691" s="8"/>
      <c r="Z691" s="8"/>
    </row>
    <row r="692" ht="14.25" customHeight="1">
      <c r="A692" s="8">
        <v>23404.0</v>
      </c>
      <c r="B692" s="8" t="s">
        <v>24</v>
      </c>
      <c r="C692" s="8" t="s">
        <v>2103</v>
      </c>
      <c r="D692" s="8">
        <v>2020.0</v>
      </c>
      <c r="E692" s="8" t="s">
        <v>2104</v>
      </c>
      <c r="F692" s="8" t="s">
        <v>2105</v>
      </c>
      <c r="G692" s="8">
        <v>93.0</v>
      </c>
      <c r="H692" s="8">
        <v>1.0</v>
      </c>
      <c r="I692" s="8" t="s">
        <v>2106</v>
      </c>
      <c r="J692" s="8" t="s">
        <v>29</v>
      </c>
      <c r="K692" s="8"/>
      <c r="L692" s="8"/>
      <c r="M692" s="8"/>
      <c r="N692" s="8"/>
      <c r="O692" s="8"/>
      <c r="P692" s="8"/>
      <c r="Q692" s="8"/>
      <c r="R692" s="8"/>
      <c r="S692" s="8"/>
      <c r="T692" s="8"/>
      <c r="U692" s="8"/>
      <c r="V692" s="8"/>
      <c r="W692" s="8"/>
      <c r="X692" s="8"/>
      <c r="Y692" s="8"/>
      <c r="Z692" s="8"/>
    </row>
    <row r="693" ht="14.25" customHeight="1">
      <c r="A693" s="8">
        <v>23858.0</v>
      </c>
      <c r="B693" s="8" t="s">
        <v>24</v>
      </c>
      <c r="C693" s="8" t="s">
        <v>2107</v>
      </c>
      <c r="D693" s="8">
        <v>2015.0</v>
      </c>
      <c r="E693" s="8" t="s">
        <v>2108</v>
      </c>
      <c r="F693" s="8" t="s">
        <v>67</v>
      </c>
      <c r="G693" s="8">
        <v>8.0</v>
      </c>
      <c r="H693" s="8">
        <v>1.0</v>
      </c>
      <c r="I693" s="8" t="s">
        <v>2109</v>
      </c>
      <c r="J693" s="8" t="s">
        <v>29</v>
      </c>
      <c r="K693" s="8"/>
      <c r="L693" s="8"/>
      <c r="M693" s="8"/>
      <c r="N693" s="8"/>
      <c r="O693" s="8"/>
      <c r="P693" s="8"/>
      <c r="Q693" s="8"/>
      <c r="R693" s="8"/>
      <c r="S693" s="8"/>
      <c r="T693" s="8"/>
      <c r="U693" s="8"/>
      <c r="V693" s="8"/>
      <c r="W693" s="8"/>
      <c r="X693" s="8"/>
      <c r="Y693" s="8"/>
      <c r="Z693" s="8"/>
    </row>
    <row r="694" ht="14.25" customHeight="1">
      <c r="A694" s="8">
        <v>25826.0</v>
      </c>
      <c r="B694" s="8" t="s">
        <v>24</v>
      </c>
      <c r="C694" s="8" t="s">
        <v>2110</v>
      </c>
      <c r="D694" s="8">
        <v>2017.0</v>
      </c>
      <c r="E694" s="8" t="s">
        <v>2111</v>
      </c>
      <c r="F694" s="8" t="s">
        <v>60</v>
      </c>
      <c r="G694" s="8">
        <v>32.0</v>
      </c>
      <c r="H694" s="8">
        <v>1.0</v>
      </c>
      <c r="I694" s="8" t="s">
        <v>619</v>
      </c>
      <c r="J694" s="8" t="s">
        <v>29</v>
      </c>
      <c r="K694" s="8"/>
      <c r="L694" s="8"/>
      <c r="M694" s="8"/>
      <c r="N694" s="8"/>
      <c r="O694" s="8"/>
      <c r="P694" s="8"/>
      <c r="Q694" s="8"/>
      <c r="R694" s="8"/>
      <c r="S694" s="8"/>
      <c r="T694" s="8"/>
      <c r="U694" s="8"/>
      <c r="V694" s="8"/>
      <c r="W694" s="8"/>
      <c r="X694" s="8"/>
      <c r="Y694" s="8"/>
      <c r="Z694" s="8"/>
    </row>
    <row r="695" ht="14.25" customHeight="1">
      <c r="A695" s="8">
        <v>24420.0</v>
      </c>
      <c r="B695" s="8" t="s">
        <v>24</v>
      </c>
      <c r="C695" s="8" t="s">
        <v>2112</v>
      </c>
      <c r="D695" s="8">
        <v>2018.0</v>
      </c>
      <c r="E695" s="8" t="s">
        <v>2113</v>
      </c>
      <c r="F695" s="8" t="s">
        <v>552</v>
      </c>
      <c r="G695" s="8">
        <v>24.0</v>
      </c>
      <c r="H695" s="8">
        <v>3.0</v>
      </c>
      <c r="I695" s="8" t="s">
        <v>2114</v>
      </c>
      <c r="J695" s="8" t="s">
        <v>29</v>
      </c>
      <c r="K695" s="8"/>
      <c r="L695" s="8"/>
      <c r="M695" s="8"/>
      <c r="N695" s="8"/>
      <c r="O695" s="8"/>
      <c r="P695" s="8"/>
      <c r="Q695" s="8"/>
      <c r="R695" s="8"/>
      <c r="S695" s="8"/>
      <c r="T695" s="8"/>
      <c r="U695" s="8"/>
      <c r="V695" s="8"/>
      <c r="W695" s="8"/>
      <c r="X695" s="8"/>
      <c r="Y695" s="8"/>
      <c r="Z695" s="8"/>
    </row>
    <row r="696" ht="14.25" customHeight="1">
      <c r="A696" s="8">
        <v>23937.0</v>
      </c>
      <c r="B696" s="8" t="s">
        <v>24</v>
      </c>
      <c r="C696" s="8" t="s">
        <v>2115</v>
      </c>
      <c r="D696" s="8">
        <v>2009.0</v>
      </c>
      <c r="E696" s="8" t="s">
        <v>2116</v>
      </c>
      <c r="F696" s="8" t="s">
        <v>97</v>
      </c>
      <c r="G696" s="8">
        <v>15.0</v>
      </c>
      <c r="H696" s="8">
        <v>3.0</v>
      </c>
      <c r="I696" s="8" t="s">
        <v>2117</v>
      </c>
      <c r="J696" s="8" t="s">
        <v>29</v>
      </c>
      <c r="K696" s="8"/>
      <c r="L696" s="8"/>
      <c r="M696" s="8"/>
      <c r="N696" s="8"/>
      <c r="O696" s="8"/>
      <c r="P696" s="8"/>
      <c r="Q696" s="8"/>
      <c r="R696" s="8"/>
      <c r="S696" s="8"/>
      <c r="T696" s="8"/>
      <c r="U696" s="8"/>
      <c r="V696" s="8"/>
      <c r="W696" s="8"/>
      <c r="X696" s="8"/>
      <c r="Y696" s="8"/>
      <c r="Z696" s="8"/>
    </row>
    <row r="697" ht="14.25" customHeight="1">
      <c r="A697" s="8">
        <v>23985.0</v>
      </c>
      <c r="B697" s="8" t="s">
        <v>24</v>
      </c>
      <c r="C697" s="8" t="s">
        <v>2118</v>
      </c>
      <c r="D697" s="8">
        <v>2007.0</v>
      </c>
      <c r="E697" s="8" t="s">
        <v>2119</v>
      </c>
      <c r="F697" s="8" t="s">
        <v>64</v>
      </c>
      <c r="G697" s="8">
        <v>137.0</v>
      </c>
      <c r="H697" s="8">
        <v>3.0</v>
      </c>
      <c r="I697" s="8" t="s">
        <v>2120</v>
      </c>
      <c r="J697" s="8" t="s">
        <v>29</v>
      </c>
      <c r="K697" s="8"/>
      <c r="L697" s="8"/>
      <c r="M697" s="8"/>
      <c r="N697" s="8"/>
      <c r="O697" s="8"/>
      <c r="P697" s="8"/>
      <c r="Q697" s="8"/>
      <c r="R697" s="8"/>
      <c r="S697" s="8"/>
      <c r="T697" s="8"/>
      <c r="U697" s="8"/>
      <c r="V697" s="8"/>
      <c r="W697" s="8"/>
      <c r="X697" s="8"/>
      <c r="Y697" s="8"/>
      <c r="Z697" s="8"/>
    </row>
    <row r="698" ht="14.25" customHeight="1">
      <c r="A698" s="8">
        <v>25675.0</v>
      </c>
      <c r="B698" s="8" t="s">
        <v>24</v>
      </c>
      <c r="C698" s="8" t="s">
        <v>2121</v>
      </c>
      <c r="D698" s="8">
        <v>2009.0</v>
      </c>
      <c r="E698" s="8" t="s">
        <v>2122</v>
      </c>
      <c r="F698" s="8" t="s">
        <v>132</v>
      </c>
      <c r="G698" s="8">
        <v>19.0</v>
      </c>
      <c r="H698" s="8">
        <v>5.0</v>
      </c>
      <c r="I698" s="8" t="s">
        <v>2123</v>
      </c>
      <c r="J698" s="8" t="s">
        <v>29</v>
      </c>
      <c r="K698" s="8"/>
      <c r="L698" s="8"/>
      <c r="M698" s="8"/>
      <c r="N698" s="8"/>
      <c r="O698" s="8"/>
      <c r="P698" s="8"/>
      <c r="Q698" s="8"/>
      <c r="R698" s="8"/>
      <c r="S698" s="8"/>
      <c r="T698" s="8"/>
      <c r="U698" s="8"/>
      <c r="V698" s="8"/>
      <c r="W698" s="8"/>
      <c r="X698" s="8"/>
      <c r="Y698" s="8"/>
      <c r="Z698" s="8"/>
    </row>
    <row r="699" ht="14.25" customHeight="1">
      <c r="A699" s="8" t="s">
        <v>2124</v>
      </c>
      <c r="B699" s="8" t="s">
        <v>41</v>
      </c>
      <c r="C699" s="8" t="s">
        <v>2125</v>
      </c>
      <c r="D699" s="8">
        <v>2017.0</v>
      </c>
      <c r="E699" s="8" t="s">
        <v>2126</v>
      </c>
      <c r="F699" s="8" t="s">
        <v>319</v>
      </c>
      <c r="G699" s="8" t="s">
        <v>33</v>
      </c>
      <c r="H699" s="8" t="s">
        <v>33</v>
      </c>
      <c r="I699" s="8" t="s">
        <v>33</v>
      </c>
      <c r="J699" s="8" t="s">
        <v>320</v>
      </c>
      <c r="K699" s="8"/>
      <c r="L699" s="8"/>
      <c r="M699" s="8"/>
      <c r="N699" s="8"/>
      <c r="O699" s="8"/>
      <c r="P699" s="8"/>
      <c r="Q699" s="8"/>
      <c r="R699" s="8"/>
      <c r="S699" s="8"/>
      <c r="T699" s="8"/>
      <c r="U699" s="8"/>
      <c r="V699" s="8"/>
      <c r="W699" s="8"/>
      <c r="X699" s="8"/>
      <c r="Y699" s="8"/>
      <c r="Z699" s="8"/>
    </row>
    <row r="700" ht="14.25" customHeight="1">
      <c r="A700" s="8">
        <v>24917.0</v>
      </c>
      <c r="B700" s="8" t="s">
        <v>24</v>
      </c>
      <c r="C700" s="8" t="s">
        <v>2127</v>
      </c>
      <c r="D700" s="8">
        <v>2018.0</v>
      </c>
      <c r="E700" s="8" t="s">
        <v>2128</v>
      </c>
      <c r="F700" s="8" t="s">
        <v>36</v>
      </c>
      <c r="G700" s="8">
        <v>13.0</v>
      </c>
      <c r="H700" s="8">
        <v>4.0</v>
      </c>
      <c r="I700" s="8" t="s">
        <v>33</v>
      </c>
      <c r="J700" s="8" t="s">
        <v>29</v>
      </c>
      <c r="K700" s="8"/>
      <c r="L700" s="8"/>
      <c r="M700" s="8"/>
      <c r="N700" s="8"/>
      <c r="O700" s="8"/>
      <c r="P700" s="8"/>
      <c r="Q700" s="8"/>
      <c r="R700" s="8"/>
      <c r="S700" s="8"/>
      <c r="T700" s="8"/>
      <c r="U700" s="8"/>
      <c r="V700" s="8"/>
      <c r="W700" s="8"/>
      <c r="X700" s="8"/>
      <c r="Y700" s="8"/>
      <c r="Z700" s="8"/>
    </row>
    <row r="701" ht="14.25" customHeight="1">
      <c r="A701" s="8">
        <v>25469.0</v>
      </c>
      <c r="B701" s="8" t="s">
        <v>24</v>
      </c>
      <c r="C701" s="8" t="s">
        <v>1391</v>
      </c>
      <c r="D701" s="8">
        <v>2017.0</v>
      </c>
      <c r="E701" s="8" t="s">
        <v>2129</v>
      </c>
      <c r="F701" s="8" t="s">
        <v>769</v>
      </c>
      <c r="G701" s="8">
        <v>27.0</v>
      </c>
      <c r="H701" s="8">
        <v>2.0</v>
      </c>
      <c r="I701" s="8" t="s">
        <v>2130</v>
      </c>
      <c r="J701" s="8" t="s">
        <v>29</v>
      </c>
      <c r="K701" s="8"/>
      <c r="L701" s="8"/>
      <c r="M701" s="8"/>
      <c r="N701" s="8"/>
      <c r="O701" s="8"/>
      <c r="P701" s="8"/>
      <c r="Q701" s="8"/>
      <c r="R701" s="8"/>
      <c r="S701" s="8"/>
      <c r="T701" s="8"/>
      <c r="U701" s="8"/>
      <c r="V701" s="8"/>
      <c r="W701" s="8"/>
      <c r="X701" s="8"/>
      <c r="Y701" s="8"/>
      <c r="Z701" s="8"/>
    </row>
    <row r="702" ht="14.25" customHeight="1">
      <c r="A702" s="8">
        <v>23513.0</v>
      </c>
      <c r="B702" s="8" t="s">
        <v>24</v>
      </c>
      <c r="C702" s="8" t="s">
        <v>2131</v>
      </c>
      <c r="D702" s="8">
        <v>2020.0</v>
      </c>
      <c r="E702" s="8" t="s">
        <v>2132</v>
      </c>
      <c r="F702" s="8" t="s">
        <v>49</v>
      </c>
      <c r="G702" s="8">
        <v>734.0</v>
      </c>
      <c r="H702" s="8" t="s">
        <v>33</v>
      </c>
      <c r="I702" s="8" t="s">
        <v>33</v>
      </c>
      <c r="J702" s="8" t="s">
        <v>29</v>
      </c>
      <c r="K702" s="8"/>
      <c r="L702" s="8"/>
      <c r="M702" s="8"/>
      <c r="N702" s="8"/>
      <c r="O702" s="8"/>
      <c r="P702" s="8"/>
      <c r="Q702" s="8"/>
      <c r="R702" s="8"/>
      <c r="S702" s="8"/>
      <c r="T702" s="8"/>
      <c r="U702" s="8"/>
      <c r="V702" s="8"/>
      <c r="W702" s="8"/>
      <c r="X702" s="8"/>
      <c r="Y702" s="8"/>
      <c r="Z702" s="8"/>
    </row>
    <row r="703" ht="14.25" customHeight="1">
      <c r="A703" s="8">
        <v>25157.0</v>
      </c>
      <c r="B703" s="8" t="s">
        <v>24</v>
      </c>
      <c r="C703" s="8" t="s">
        <v>1991</v>
      </c>
      <c r="D703" s="8">
        <v>2016.0</v>
      </c>
      <c r="E703" s="8" t="s">
        <v>2133</v>
      </c>
      <c r="F703" s="8" t="s">
        <v>32</v>
      </c>
      <c r="G703" s="8">
        <v>64.0</v>
      </c>
      <c r="H703" s="8" t="s">
        <v>33</v>
      </c>
      <c r="I703" s="8" t="s">
        <v>1188</v>
      </c>
      <c r="J703" s="8" t="s">
        <v>29</v>
      </c>
      <c r="K703" s="8"/>
      <c r="L703" s="8"/>
      <c r="M703" s="8"/>
      <c r="N703" s="8"/>
      <c r="O703" s="8"/>
      <c r="P703" s="8"/>
      <c r="Q703" s="8"/>
      <c r="R703" s="8"/>
      <c r="S703" s="8"/>
      <c r="T703" s="8"/>
      <c r="U703" s="8"/>
      <c r="V703" s="8"/>
      <c r="W703" s="8"/>
      <c r="X703" s="8"/>
      <c r="Y703" s="8"/>
      <c r="Z703" s="8"/>
    </row>
    <row r="704" ht="14.25" customHeight="1">
      <c r="A704" s="8">
        <v>26096.0</v>
      </c>
      <c r="B704" s="8" t="s">
        <v>321</v>
      </c>
      <c r="C704" s="8" t="s">
        <v>2134</v>
      </c>
      <c r="D704" s="8">
        <v>2001.0</v>
      </c>
      <c r="E704" s="8" t="s">
        <v>2135</v>
      </c>
      <c r="F704" s="8" t="s">
        <v>462</v>
      </c>
      <c r="G704" s="8" t="s">
        <v>33</v>
      </c>
      <c r="H704" s="8" t="s">
        <v>33</v>
      </c>
      <c r="I704" s="8" t="s">
        <v>2136</v>
      </c>
      <c r="J704" s="8" t="s">
        <v>29</v>
      </c>
      <c r="K704" s="8"/>
      <c r="L704" s="8"/>
      <c r="M704" s="8"/>
      <c r="N704" s="8"/>
      <c r="O704" s="8"/>
      <c r="P704" s="8"/>
      <c r="Q704" s="8"/>
      <c r="R704" s="8"/>
      <c r="S704" s="8"/>
      <c r="T704" s="8"/>
      <c r="U704" s="8"/>
      <c r="V704" s="8"/>
      <c r="W704" s="8"/>
      <c r="X704" s="8"/>
      <c r="Y704" s="8"/>
      <c r="Z704" s="8"/>
    </row>
    <row r="705" ht="14.25" customHeight="1">
      <c r="A705" s="8">
        <v>25088.0</v>
      </c>
      <c r="B705" s="8" t="s">
        <v>24</v>
      </c>
      <c r="C705" s="8" t="s">
        <v>2137</v>
      </c>
      <c r="D705" s="8">
        <v>2003.0</v>
      </c>
      <c r="E705" s="8" t="s">
        <v>2138</v>
      </c>
      <c r="F705" s="8" t="s">
        <v>2139</v>
      </c>
      <c r="G705" s="8">
        <v>63.0</v>
      </c>
      <c r="H705" s="8">
        <v>4.0</v>
      </c>
      <c r="I705" s="8" t="s">
        <v>2140</v>
      </c>
      <c r="J705" s="8" t="s">
        <v>29</v>
      </c>
      <c r="K705" s="8"/>
      <c r="L705" s="8"/>
      <c r="M705" s="8"/>
      <c r="N705" s="8"/>
      <c r="O705" s="8"/>
      <c r="P705" s="8"/>
      <c r="Q705" s="8"/>
      <c r="R705" s="8"/>
      <c r="S705" s="8"/>
      <c r="T705" s="8"/>
      <c r="U705" s="8"/>
      <c r="V705" s="8"/>
      <c r="W705" s="8"/>
      <c r="X705" s="8"/>
      <c r="Y705" s="8"/>
      <c r="Z705" s="8"/>
    </row>
    <row r="706" ht="14.25" customHeight="1">
      <c r="A706" s="8">
        <v>24067.0</v>
      </c>
      <c r="B706" s="8" t="s">
        <v>24</v>
      </c>
      <c r="C706" s="8" t="s">
        <v>2141</v>
      </c>
      <c r="D706" s="8">
        <v>2020.0</v>
      </c>
      <c r="E706" s="8" t="s">
        <v>2142</v>
      </c>
      <c r="F706" s="8" t="s">
        <v>64</v>
      </c>
      <c r="G706" s="8">
        <v>250.0</v>
      </c>
      <c r="H706" s="8" t="s">
        <v>33</v>
      </c>
      <c r="I706" s="8" t="s">
        <v>33</v>
      </c>
      <c r="J706" s="8" t="s">
        <v>29</v>
      </c>
      <c r="K706" s="8"/>
      <c r="L706" s="8"/>
      <c r="M706" s="8"/>
      <c r="N706" s="8"/>
      <c r="O706" s="8"/>
      <c r="P706" s="8"/>
      <c r="Q706" s="8"/>
      <c r="R706" s="8"/>
      <c r="S706" s="8"/>
      <c r="T706" s="8"/>
      <c r="U706" s="8"/>
      <c r="V706" s="8"/>
      <c r="W706" s="8"/>
      <c r="X706" s="8"/>
      <c r="Y706" s="8"/>
      <c r="Z706" s="8"/>
    </row>
    <row r="707" ht="14.25" customHeight="1">
      <c r="A707" s="8">
        <v>23247.0</v>
      </c>
      <c r="B707" s="8" t="s">
        <v>321</v>
      </c>
      <c r="C707" s="8" t="s">
        <v>2143</v>
      </c>
      <c r="D707" s="8">
        <v>2012.0</v>
      </c>
      <c r="E707" s="8" t="s">
        <v>2144</v>
      </c>
      <c r="F707" s="8" t="s">
        <v>33</v>
      </c>
      <c r="G707" s="8" t="s">
        <v>33</v>
      </c>
      <c r="H707" s="8" t="s">
        <v>33</v>
      </c>
      <c r="I707" s="8" t="s">
        <v>2145</v>
      </c>
      <c r="J707" s="8" t="s">
        <v>29</v>
      </c>
      <c r="K707" s="8"/>
      <c r="L707" s="8"/>
      <c r="M707" s="8"/>
      <c r="N707" s="8"/>
      <c r="O707" s="8"/>
      <c r="P707" s="8"/>
      <c r="Q707" s="8"/>
      <c r="R707" s="8"/>
      <c r="S707" s="8"/>
      <c r="T707" s="8"/>
      <c r="U707" s="8"/>
      <c r="V707" s="8"/>
      <c r="W707" s="8"/>
      <c r="X707" s="8"/>
      <c r="Y707" s="8"/>
      <c r="Z707" s="8"/>
    </row>
    <row r="708" ht="14.25" customHeight="1">
      <c r="A708" s="8">
        <v>24341.0</v>
      </c>
      <c r="B708" s="8" t="s">
        <v>24</v>
      </c>
      <c r="C708" s="8" t="s">
        <v>2146</v>
      </c>
      <c r="D708" s="8">
        <v>2012.0</v>
      </c>
      <c r="E708" s="8" t="s">
        <v>2147</v>
      </c>
      <c r="F708" s="8" t="s">
        <v>60</v>
      </c>
      <c r="G708" s="8">
        <v>27.0</v>
      </c>
      <c r="H708" s="8">
        <v>1.0</v>
      </c>
      <c r="I708" s="8" t="s">
        <v>2148</v>
      </c>
      <c r="J708" s="8" t="s">
        <v>29</v>
      </c>
      <c r="K708" s="8"/>
      <c r="L708" s="8"/>
      <c r="M708" s="8"/>
      <c r="N708" s="8"/>
      <c r="O708" s="8"/>
      <c r="P708" s="8"/>
      <c r="Q708" s="8"/>
      <c r="R708" s="8"/>
      <c r="S708" s="8"/>
      <c r="T708" s="8"/>
      <c r="U708" s="8"/>
      <c r="V708" s="8"/>
      <c r="W708" s="8"/>
      <c r="X708" s="8"/>
      <c r="Y708" s="8"/>
      <c r="Z708" s="8"/>
    </row>
    <row r="709" ht="14.25" customHeight="1">
      <c r="A709" s="8">
        <v>25072.0</v>
      </c>
      <c r="B709" s="8" t="s">
        <v>24</v>
      </c>
      <c r="C709" s="8" t="s">
        <v>2149</v>
      </c>
      <c r="D709" s="8">
        <v>2015.0</v>
      </c>
      <c r="E709" s="8" t="s">
        <v>2150</v>
      </c>
      <c r="F709" s="8" t="s">
        <v>81</v>
      </c>
      <c r="G709" s="8">
        <v>100.0</v>
      </c>
      <c r="H709" s="8">
        <v>1.0</v>
      </c>
      <c r="I709" s="8" t="s">
        <v>2151</v>
      </c>
      <c r="J709" s="8" t="s">
        <v>29</v>
      </c>
      <c r="K709" s="8"/>
      <c r="L709" s="8"/>
      <c r="M709" s="8"/>
      <c r="N709" s="8"/>
      <c r="O709" s="8"/>
      <c r="P709" s="8"/>
      <c r="Q709" s="8"/>
      <c r="R709" s="8"/>
      <c r="S709" s="8"/>
      <c r="T709" s="8"/>
      <c r="U709" s="8"/>
      <c r="V709" s="8"/>
      <c r="W709" s="8"/>
      <c r="X709" s="8"/>
      <c r="Y709" s="8"/>
      <c r="Z709" s="8"/>
    </row>
    <row r="710" ht="14.25" customHeight="1">
      <c r="A710" s="8">
        <v>25926.0</v>
      </c>
      <c r="B710" s="8" t="s">
        <v>576</v>
      </c>
      <c r="C710" s="8" t="s">
        <v>2152</v>
      </c>
      <c r="D710" s="8">
        <v>2013.0</v>
      </c>
      <c r="E710" s="8" t="s">
        <v>2153</v>
      </c>
      <c r="F710" s="8" t="s">
        <v>33</v>
      </c>
      <c r="G710" s="8" t="s">
        <v>33</v>
      </c>
      <c r="H710" s="8" t="s">
        <v>33</v>
      </c>
      <c r="I710" s="8" t="s">
        <v>33</v>
      </c>
      <c r="J710" s="8" t="s">
        <v>29</v>
      </c>
      <c r="K710" s="8"/>
      <c r="L710" s="8"/>
      <c r="M710" s="8"/>
      <c r="N710" s="8"/>
      <c r="O710" s="8"/>
      <c r="P710" s="8"/>
      <c r="Q710" s="8"/>
      <c r="R710" s="8"/>
      <c r="S710" s="8"/>
      <c r="T710" s="8"/>
      <c r="U710" s="8"/>
      <c r="V710" s="8"/>
      <c r="W710" s="8"/>
      <c r="X710" s="8"/>
      <c r="Y710" s="8"/>
      <c r="Z710" s="8"/>
    </row>
    <row r="711" ht="14.25" customHeight="1">
      <c r="A711" s="8">
        <v>24194.0</v>
      </c>
      <c r="B711" s="8" t="s">
        <v>24</v>
      </c>
      <c r="C711" s="8" t="s">
        <v>2154</v>
      </c>
      <c r="D711" s="8">
        <v>2018.0</v>
      </c>
      <c r="E711" s="8" t="s">
        <v>2155</v>
      </c>
      <c r="F711" s="8" t="s">
        <v>145</v>
      </c>
      <c r="G711" s="8">
        <v>89.0</v>
      </c>
      <c r="H711" s="8" t="s">
        <v>33</v>
      </c>
      <c r="I711" s="8" t="s">
        <v>2156</v>
      </c>
      <c r="J711" s="8" t="s">
        <v>29</v>
      </c>
      <c r="K711" s="8"/>
      <c r="L711" s="8"/>
      <c r="M711" s="8"/>
      <c r="N711" s="8"/>
      <c r="O711" s="8"/>
      <c r="P711" s="8"/>
      <c r="Q711" s="8"/>
      <c r="R711" s="8"/>
      <c r="S711" s="8"/>
      <c r="T711" s="8"/>
      <c r="U711" s="8"/>
      <c r="V711" s="8"/>
      <c r="W711" s="8"/>
      <c r="X711" s="8"/>
      <c r="Y711" s="8"/>
      <c r="Z711" s="8"/>
    </row>
    <row r="712" ht="14.25" customHeight="1">
      <c r="A712" s="8">
        <v>25551.0</v>
      </c>
      <c r="B712" s="8" t="s">
        <v>24</v>
      </c>
      <c r="C712" s="8" t="s">
        <v>2157</v>
      </c>
      <c r="D712" s="8">
        <v>2018.0</v>
      </c>
      <c r="E712" s="8" t="s">
        <v>2158</v>
      </c>
      <c r="F712" s="8" t="s">
        <v>2159</v>
      </c>
      <c r="G712" s="8">
        <v>604.0</v>
      </c>
      <c r="H712" s="8" t="s">
        <v>33</v>
      </c>
      <c r="I712" s="8" t="s">
        <v>2160</v>
      </c>
      <c r="J712" s="8" t="s">
        <v>29</v>
      </c>
      <c r="K712" s="8"/>
      <c r="L712" s="8"/>
      <c r="M712" s="8"/>
      <c r="N712" s="8"/>
      <c r="O712" s="8"/>
      <c r="P712" s="8"/>
      <c r="Q712" s="8"/>
      <c r="R712" s="8"/>
      <c r="S712" s="8"/>
      <c r="T712" s="8"/>
      <c r="U712" s="8"/>
      <c r="V712" s="8"/>
      <c r="W712" s="8"/>
      <c r="X712" s="8"/>
      <c r="Y712" s="8"/>
      <c r="Z712" s="8"/>
    </row>
    <row r="713" ht="14.25" customHeight="1">
      <c r="A713" s="8">
        <v>25560.0</v>
      </c>
      <c r="B713" s="8" t="s">
        <v>24</v>
      </c>
      <c r="C713" s="8" t="s">
        <v>2161</v>
      </c>
      <c r="D713" s="8">
        <v>2020.0</v>
      </c>
      <c r="E713" s="8" t="s">
        <v>2162</v>
      </c>
      <c r="F713" s="8" t="s">
        <v>545</v>
      </c>
      <c r="G713" s="8">
        <v>12.0</v>
      </c>
      <c r="H713" s="8">
        <v>3.0</v>
      </c>
      <c r="I713" s="8" t="s">
        <v>33</v>
      </c>
      <c r="J713" s="8" t="s">
        <v>29</v>
      </c>
      <c r="K713" s="8"/>
      <c r="L713" s="8"/>
      <c r="M713" s="8"/>
      <c r="N713" s="8"/>
      <c r="O713" s="8"/>
      <c r="P713" s="8"/>
      <c r="Q713" s="8"/>
      <c r="R713" s="8"/>
      <c r="S713" s="8"/>
      <c r="T713" s="8"/>
      <c r="U713" s="8"/>
      <c r="V713" s="8"/>
      <c r="W713" s="8"/>
      <c r="X713" s="8"/>
      <c r="Y713" s="8"/>
      <c r="Z713" s="8"/>
    </row>
    <row r="714" ht="14.25" customHeight="1">
      <c r="A714" s="8">
        <v>24443.0</v>
      </c>
      <c r="B714" s="8" t="s">
        <v>24</v>
      </c>
      <c r="C714" s="8" t="s">
        <v>2163</v>
      </c>
      <c r="D714" s="8">
        <v>2014.0</v>
      </c>
      <c r="E714" s="8" t="s">
        <v>2164</v>
      </c>
      <c r="F714" s="8" t="s">
        <v>97</v>
      </c>
      <c r="G714" s="8">
        <v>20.0</v>
      </c>
      <c r="H714" s="8">
        <v>4.0</v>
      </c>
      <c r="I714" s="8" t="s">
        <v>2165</v>
      </c>
      <c r="J714" s="8" t="s">
        <v>29</v>
      </c>
      <c r="K714" s="8"/>
      <c r="L714" s="8"/>
      <c r="M714" s="8"/>
      <c r="N714" s="8"/>
      <c r="O714" s="8"/>
      <c r="P714" s="8"/>
      <c r="Q714" s="8"/>
      <c r="R714" s="8"/>
      <c r="S714" s="8"/>
      <c r="T714" s="8"/>
      <c r="U714" s="8"/>
      <c r="V714" s="8"/>
      <c r="W714" s="8"/>
      <c r="X714" s="8"/>
      <c r="Y714" s="8"/>
      <c r="Z714" s="8"/>
    </row>
    <row r="715" ht="14.25" customHeight="1">
      <c r="A715" s="8" t="s">
        <v>2166</v>
      </c>
      <c r="B715" s="8" t="s">
        <v>41</v>
      </c>
      <c r="C715" s="8" t="s">
        <v>2167</v>
      </c>
      <c r="D715" s="8">
        <v>2016.0</v>
      </c>
      <c r="E715" s="8" t="s">
        <v>2168</v>
      </c>
      <c r="F715" s="8" t="s">
        <v>2169</v>
      </c>
      <c r="G715" s="8" t="s">
        <v>33</v>
      </c>
      <c r="H715" s="8" t="s">
        <v>33</v>
      </c>
      <c r="I715" s="8" t="s">
        <v>33</v>
      </c>
      <c r="J715" s="8" t="s">
        <v>320</v>
      </c>
      <c r="K715" s="8"/>
      <c r="L715" s="8"/>
      <c r="M715" s="8"/>
      <c r="N715" s="8"/>
      <c r="O715" s="8"/>
      <c r="P715" s="8"/>
      <c r="Q715" s="8"/>
      <c r="R715" s="8"/>
      <c r="S715" s="8"/>
      <c r="T715" s="8"/>
      <c r="U715" s="8"/>
      <c r="V715" s="8"/>
      <c r="W715" s="8"/>
      <c r="X715" s="8"/>
      <c r="Y715" s="8"/>
      <c r="Z715" s="8"/>
    </row>
    <row r="716" ht="14.25" customHeight="1">
      <c r="A716" s="8">
        <v>23791.0</v>
      </c>
      <c r="B716" s="8" t="s">
        <v>24</v>
      </c>
      <c r="C716" s="8" t="s">
        <v>2170</v>
      </c>
      <c r="D716" s="8">
        <v>2016.0</v>
      </c>
      <c r="E716" s="8" t="s">
        <v>2171</v>
      </c>
      <c r="F716" s="8" t="s">
        <v>343</v>
      </c>
      <c r="G716" s="8">
        <v>80.0</v>
      </c>
      <c r="H716" s="8">
        <v>4.0</v>
      </c>
      <c r="I716" s="8" t="s">
        <v>2172</v>
      </c>
      <c r="J716" s="8" t="s">
        <v>29</v>
      </c>
      <c r="K716" s="8"/>
      <c r="L716" s="8"/>
      <c r="M716" s="8"/>
      <c r="N716" s="8"/>
      <c r="O716" s="8"/>
      <c r="P716" s="8"/>
      <c r="Q716" s="8"/>
      <c r="R716" s="8"/>
      <c r="S716" s="8"/>
      <c r="T716" s="8"/>
      <c r="U716" s="8"/>
      <c r="V716" s="8"/>
      <c r="W716" s="8"/>
      <c r="X716" s="8"/>
      <c r="Y716" s="8"/>
      <c r="Z716" s="8"/>
    </row>
    <row r="717" ht="14.25" customHeight="1">
      <c r="A717" s="8">
        <v>25442.0</v>
      </c>
      <c r="B717" s="8" t="s">
        <v>24</v>
      </c>
      <c r="C717" s="8" t="s">
        <v>2173</v>
      </c>
      <c r="D717" s="8">
        <v>2008.0</v>
      </c>
      <c r="E717" s="8" t="s">
        <v>2174</v>
      </c>
      <c r="F717" s="8" t="s">
        <v>2175</v>
      </c>
      <c r="G717" s="8">
        <v>5.0</v>
      </c>
      <c r="H717" s="8">
        <v>3.0</v>
      </c>
      <c r="I717" s="8" t="s">
        <v>2176</v>
      </c>
      <c r="J717" s="8" t="s">
        <v>29</v>
      </c>
      <c r="K717" s="8"/>
      <c r="L717" s="8"/>
      <c r="M717" s="8"/>
      <c r="N717" s="8"/>
      <c r="O717" s="8"/>
      <c r="P717" s="8"/>
      <c r="Q717" s="8"/>
      <c r="R717" s="8"/>
      <c r="S717" s="8"/>
      <c r="T717" s="8"/>
      <c r="U717" s="8"/>
      <c r="V717" s="8"/>
      <c r="W717" s="8"/>
      <c r="X717" s="8"/>
      <c r="Y717" s="8"/>
      <c r="Z717" s="8"/>
    </row>
    <row r="718" ht="14.25" customHeight="1">
      <c r="A718" s="8">
        <v>25625.0</v>
      </c>
      <c r="B718" s="8" t="s">
        <v>24</v>
      </c>
      <c r="C718" s="8" t="s">
        <v>2177</v>
      </c>
      <c r="D718" s="8">
        <v>2017.0</v>
      </c>
      <c r="E718" s="8" t="s">
        <v>2178</v>
      </c>
      <c r="F718" s="8" t="s">
        <v>53</v>
      </c>
      <c r="G718" s="8">
        <v>8.0</v>
      </c>
      <c r="H718" s="8">
        <v>6.0</v>
      </c>
      <c r="I718" s="8" t="s">
        <v>33</v>
      </c>
      <c r="J718" s="8" t="s">
        <v>29</v>
      </c>
      <c r="K718" s="8"/>
      <c r="L718" s="8"/>
      <c r="M718" s="8"/>
      <c r="N718" s="8"/>
      <c r="O718" s="8"/>
      <c r="P718" s="8"/>
      <c r="Q718" s="8"/>
      <c r="R718" s="8"/>
      <c r="S718" s="8"/>
      <c r="T718" s="8"/>
      <c r="U718" s="8"/>
      <c r="V718" s="8"/>
      <c r="W718" s="8"/>
      <c r="X718" s="8"/>
      <c r="Y718" s="8"/>
      <c r="Z718" s="8"/>
    </row>
    <row r="719" ht="14.25" customHeight="1">
      <c r="A719" s="8">
        <v>24055.0</v>
      </c>
      <c r="B719" s="8" t="s">
        <v>24</v>
      </c>
      <c r="C719" s="8" t="s">
        <v>1398</v>
      </c>
      <c r="D719" s="8">
        <v>2017.0</v>
      </c>
      <c r="E719" s="8" t="s">
        <v>2179</v>
      </c>
      <c r="F719" s="8" t="s">
        <v>538</v>
      </c>
      <c r="G719" s="8">
        <v>32.0</v>
      </c>
      <c r="H719" s="8">
        <v>1.0</v>
      </c>
      <c r="I719" s="8" t="s">
        <v>2180</v>
      </c>
      <c r="J719" s="8" t="s">
        <v>29</v>
      </c>
      <c r="K719" s="8"/>
      <c r="L719" s="8"/>
      <c r="M719" s="8"/>
      <c r="N719" s="8"/>
      <c r="O719" s="8"/>
      <c r="P719" s="8"/>
      <c r="Q719" s="8"/>
      <c r="R719" s="8"/>
      <c r="S719" s="8"/>
      <c r="T719" s="8"/>
      <c r="U719" s="8"/>
      <c r="V719" s="8"/>
      <c r="W719" s="8"/>
      <c r="X719" s="8"/>
      <c r="Y719" s="8"/>
      <c r="Z719" s="8"/>
    </row>
    <row r="720" ht="14.25" customHeight="1">
      <c r="A720" s="8">
        <v>24192.0</v>
      </c>
      <c r="B720" s="8" t="s">
        <v>24</v>
      </c>
      <c r="C720" s="8" t="s">
        <v>2181</v>
      </c>
      <c r="D720" s="8">
        <v>2019.0</v>
      </c>
      <c r="E720" s="8" t="s">
        <v>2182</v>
      </c>
      <c r="F720" s="8" t="s">
        <v>2183</v>
      </c>
      <c r="G720" s="8">
        <v>36.0</v>
      </c>
      <c r="H720" s="8" t="s">
        <v>33</v>
      </c>
      <c r="I720" s="10">
        <v>42370.0</v>
      </c>
      <c r="J720" s="8" t="s">
        <v>29</v>
      </c>
      <c r="K720" s="8"/>
      <c r="L720" s="8"/>
      <c r="M720" s="8"/>
      <c r="N720" s="8"/>
      <c r="O720" s="8"/>
      <c r="P720" s="8"/>
      <c r="Q720" s="8"/>
      <c r="R720" s="8"/>
      <c r="S720" s="8"/>
      <c r="T720" s="8"/>
      <c r="U720" s="8"/>
      <c r="V720" s="8"/>
      <c r="W720" s="8"/>
      <c r="X720" s="8"/>
      <c r="Y720" s="8"/>
      <c r="Z720" s="8"/>
    </row>
    <row r="721" ht="14.25" customHeight="1">
      <c r="A721" s="8">
        <v>23913.0</v>
      </c>
      <c r="B721" s="8" t="s">
        <v>24</v>
      </c>
      <c r="C721" s="8" t="s">
        <v>2184</v>
      </c>
      <c r="D721" s="8">
        <v>2006.0</v>
      </c>
      <c r="E721" s="8" t="s">
        <v>2185</v>
      </c>
      <c r="F721" s="8" t="s">
        <v>2186</v>
      </c>
      <c r="G721" s="8">
        <v>15.0</v>
      </c>
      <c r="H721" s="8">
        <v>2.0</v>
      </c>
      <c r="I721" s="8" t="s">
        <v>2187</v>
      </c>
      <c r="J721" s="8" t="s">
        <v>29</v>
      </c>
      <c r="K721" s="8"/>
      <c r="L721" s="8"/>
      <c r="M721" s="8"/>
      <c r="N721" s="8"/>
      <c r="O721" s="8"/>
      <c r="P721" s="8"/>
      <c r="Q721" s="8"/>
      <c r="R721" s="8"/>
      <c r="S721" s="8"/>
      <c r="T721" s="8"/>
      <c r="U721" s="8"/>
      <c r="V721" s="8"/>
      <c r="W721" s="8"/>
      <c r="X721" s="8"/>
      <c r="Y721" s="8"/>
      <c r="Z721" s="8"/>
    </row>
    <row r="722" ht="14.25" customHeight="1">
      <c r="A722" s="8">
        <v>25717.0</v>
      </c>
      <c r="B722" s="8" t="s">
        <v>24</v>
      </c>
      <c r="C722" s="8" t="s">
        <v>2188</v>
      </c>
      <c r="D722" s="8">
        <v>2009.0</v>
      </c>
      <c r="E722" s="8" t="s">
        <v>2189</v>
      </c>
      <c r="F722" s="8" t="s">
        <v>769</v>
      </c>
      <c r="G722" s="8">
        <v>19.0</v>
      </c>
      <c r="H722" s="8">
        <v>8.0</v>
      </c>
      <c r="I722" s="8" t="s">
        <v>2190</v>
      </c>
      <c r="J722" s="8" t="s">
        <v>29</v>
      </c>
      <c r="K722" s="8"/>
      <c r="L722" s="8"/>
      <c r="M722" s="8"/>
      <c r="N722" s="8"/>
      <c r="O722" s="8"/>
      <c r="P722" s="8"/>
      <c r="Q722" s="8"/>
      <c r="R722" s="8"/>
      <c r="S722" s="8"/>
      <c r="T722" s="8"/>
      <c r="U722" s="8"/>
      <c r="V722" s="8"/>
      <c r="W722" s="8"/>
      <c r="X722" s="8"/>
      <c r="Y722" s="8"/>
      <c r="Z722" s="8"/>
    </row>
    <row r="723" ht="14.25" customHeight="1">
      <c r="A723" s="8">
        <v>25407.0</v>
      </c>
      <c r="B723" s="8" t="s">
        <v>24</v>
      </c>
      <c r="C723" s="8" t="s">
        <v>2191</v>
      </c>
      <c r="D723" s="8">
        <v>2014.0</v>
      </c>
      <c r="E723" s="8" t="s">
        <v>2192</v>
      </c>
      <c r="F723" s="8" t="s">
        <v>1268</v>
      </c>
      <c r="G723" s="8">
        <v>281.0</v>
      </c>
      <c r="H723" s="8">
        <v>1777.0</v>
      </c>
      <c r="I723" s="8" t="s">
        <v>33</v>
      </c>
      <c r="J723" s="8" t="s">
        <v>29</v>
      </c>
      <c r="K723" s="8"/>
      <c r="L723" s="8"/>
      <c r="M723" s="8"/>
      <c r="N723" s="8"/>
      <c r="O723" s="8"/>
      <c r="P723" s="8"/>
      <c r="Q723" s="8"/>
      <c r="R723" s="8"/>
      <c r="S723" s="8"/>
      <c r="T723" s="8"/>
      <c r="U723" s="8"/>
      <c r="V723" s="8"/>
      <c r="W723" s="8"/>
      <c r="X723" s="8"/>
      <c r="Y723" s="8"/>
      <c r="Z723" s="8"/>
    </row>
    <row r="724" ht="14.25" customHeight="1">
      <c r="A724" s="8">
        <v>26090.0</v>
      </c>
      <c r="B724" s="8" t="s">
        <v>24</v>
      </c>
      <c r="C724" s="8" t="s">
        <v>2193</v>
      </c>
      <c r="D724" s="8">
        <v>2010.0</v>
      </c>
      <c r="E724" s="8" t="s">
        <v>2194</v>
      </c>
      <c r="F724" s="8" t="s">
        <v>286</v>
      </c>
      <c r="G724" s="8">
        <v>161.0</v>
      </c>
      <c r="H724" s="11">
        <v>44652.0</v>
      </c>
      <c r="I724" s="8" t="s">
        <v>2195</v>
      </c>
      <c r="J724" s="8" t="s">
        <v>29</v>
      </c>
      <c r="K724" s="8"/>
      <c r="L724" s="8"/>
      <c r="M724" s="8"/>
      <c r="N724" s="8"/>
      <c r="O724" s="8"/>
      <c r="P724" s="8"/>
      <c r="Q724" s="8"/>
      <c r="R724" s="8"/>
      <c r="S724" s="8"/>
      <c r="T724" s="8"/>
      <c r="U724" s="8"/>
      <c r="V724" s="8"/>
      <c r="W724" s="8"/>
      <c r="X724" s="8"/>
      <c r="Y724" s="8"/>
      <c r="Z724" s="8"/>
    </row>
    <row r="725" ht="14.25" customHeight="1">
      <c r="A725" s="8">
        <v>23704.0</v>
      </c>
      <c r="B725" s="8" t="s">
        <v>24</v>
      </c>
      <c r="C725" s="8" t="s">
        <v>2196</v>
      </c>
      <c r="D725" s="8">
        <v>2020.0</v>
      </c>
      <c r="E725" s="8" t="s">
        <v>2197</v>
      </c>
      <c r="F725" s="8" t="s">
        <v>1268</v>
      </c>
      <c r="G725" s="8">
        <v>287.0</v>
      </c>
      <c r="H725" s="8">
        <v>1922.0</v>
      </c>
      <c r="I725" s="8" t="s">
        <v>33</v>
      </c>
      <c r="J725" s="8" t="s">
        <v>29</v>
      </c>
      <c r="K725" s="8"/>
      <c r="L725" s="8"/>
      <c r="M725" s="8"/>
      <c r="N725" s="8"/>
      <c r="O725" s="8"/>
      <c r="P725" s="8"/>
      <c r="Q725" s="8"/>
      <c r="R725" s="8"/>
      <c r="S725" s="8"/>
      <c r="T725" s="8"/>
      <c r="U725" s="8"/>
      <c r="V725" s="8"/>
      <c r="W725" s="8"/>
      <c r="X725" s="8"/>
      <c r="Y725" s="8"/>
      <c r="Z725" s="8"/>
    </row>
    <row r="726" ht="14.25" customHeight="1">
      <c r="A726" s="8">
        <v>25523.0</v>
      </c>
      <c r="B726" s="8" t="s">
        <v>24</v>
      </c>
      <c r="C726" s="8" t="s">
        <v>2198</v>
      </c>
      <c r="D726" s="8">
        <v>2005.0</v>
      </c>
      <c r="E726" s="8" t="s">
        <v>2199</v>
      </c>
      <c r="F726" s="8" t="s">
        <v>56</v>
      </c>
      <c r="G726" s="8">
        <v>42.0</v>
      </c>
      <c r="H726" s="8">
        <v>2.0</v>
      </c>
      <c r="I726" s="8" t="s">
        <v>2200</v>
      </c>
      <c r="J726" s="8" t="s">
        <v>29</v>
      </c>
      <c r="K726" s="8"/>
      <c r="L726" s="8"/>
      <c r="M726" s="8"/>
      <c r="N726" s="8"/>
      <c r="O726" s="8"/>
      <c r="P726" s="8"/>
      <c r="Q726" s="8"/>
      <c r="R726" s="8"/>
      <c r="S726" s="8"/>
      <c r="T726" s="8"/>
      <c r="U726" s="8"/>
      <c r="V726" s="8"/>
      <c r="W726" s="8"/>
      <c r="X726" s="8"/>
      <c r="Y726" s="8"/>
      <c r="Z726" s="8"/>
    </row>
    <row r="727" ht="14.25" customHeight="1">
      <c r="A727" s="8">
        <v>23804.0</v>
      </c>
      <c r="B727" s="8" t="s">
        <v>24</v>
      </c>
      <c r="C727" s="8" t="s">
        <v>2201</v>
      </c>
      <c r="D727" s="8">
        <v>2017.0</v>
      </c>
      <c r="E727" s="8" t="s">
        <v>2202</v>
      </c>
      <c r="F727" s="8" t="s">
        <v>2203</v>
      </c>
      <c r="G727" s="8">
        <v>26.0</v>
      </c>
      <c r="H727" s="8">
        <v>1.0</v>
      </c>
      <c r="I727" s="8" t="s">
        <v>2204</v>
      </c>
      <c r="J727" s="8" t="s">
        <v>29</v>
      </c>
      <c r="K727" s="8"/>
      <c r="L727" s="8"/>
      <c r="M727" s="8"/>
      <c r="N727" s="8"/>
      <c r="O727" s="8"/>
      <c r="P727" s="8"/>
      <c r="Q727" s="8"/>
      <c r="R727" s="8"/>
      <c r="S727" s="8"/>
      <c r="T727" s="8"/>
      <c r="U727" s="8"/>
      <c r="V727" s="8"/>
      <c r="W727" s="8"/>
      <c r="X727" s="8"/>
      <c r="Y727" s="8"/>
      <c r="Z727" s="8"/>
    </row>
    <row r="728" ht="14.25" customHeight="1">
      <c r="A728" s="8">
        <v>25757.0</v>
      </c>
      <c r="B728" s="8" t="s">
        <v>24</v>
      </c>
      <c r="C728" s="8" t="s">
        <v>2205</v>
      </c>
      <c r="D728" s="8">
        <v>2020.0</v>
      </c>
      <c r="E728" s="8" t="s">
        <v>2206</v>
      </c>
      <c r="F728" s="8" t="s">
        <v>153</v>
      </c>
      <c r="G728" s="8">
        <v>254.0</v>
      </c>
      <c r="H728" s="8" t="s">
        <v>33</v>
      </c>
      <c r="I728" s="8" t="s">
        <v>33</v>
      </c>
      <c r="J728" s="8" t="s">
        <v>29</v>
      </c>
      <c r="K728" s="8"/>
      <c r="L728" s="8"/>
      <c r="M728" s="8"/>
      <c r="N728" s="8"/>
      <c r="O728" s="8"/>
      <c r="P728" s="8"/>
      <c r="Q728" s="8"/>
      <c r="R728" s="8"/>
      <c r="S728" s="8"/>
      <c r="T728" s="8"/>
      <c r="U728" s="8"/>
      <c r="V728" s="8"/>
      <c r="W728" s="8"/>
      <c r="X728" s="8"/>
      <c r="Y728" s="8"/>
      <c r="Z728" s="8"/>
    </row>
    <row r="729" ht="14.25" customHeight="1">
      <c r="A729" s="8">
        <v>23345.0</v>
      </c>
      <c r="B729" s="8" t="s">
        <v>24</v>
      </c>
      <c r="C729" s="8" t="s">
        <v>2207</v>
      </c>
      <c r="D729" s="8">
        <v>2020.0</v>
      </c>
      <c r="E729" s="8" t="s">
        <v>2208</v>
      </c>
      <c r="F729" s="8" t="s">
        <v>36</v>
      </c>
      <c r="G729" s="8">
        <v>15.0</v>
      </c>
      <c r="H729" s="8">
        <v>1.0</v>
      </c>
      <c r="I729" s="8" t="s">
        <v>33</v>
      </c>
      <c r="J729" s="8" t="s">
        <v>29</v>
      </c>
      <c r="K729" s="8"/>
      <c r="L729" s="8"/>
      <c r="M729" s="8"/>
      <c r="N729" s="8"/>
      <c r="O729" s="8"/>
      <c r="P729" s="8"/>
      <c r="Q729" s="8"/>
      <c r="R729" s="8"/>
      <c r="S729" s="8"/>
      <c r="T729" s="8"/>
      <c r="U729" s="8"/>
      <c r="V729" s="8"/>
      <c r="W729" s="8"/>
      <c r="X729" s="8"/>
      <c r="Y729" s="8"/>
      <c r="Z729" s="8"/>
    </row>
    <row r="730" ht="14.25" customHeight="1">
      <c r="A730" s="8">
        <v>23620.0</v>
      </c>
      <c r="B730" s="8" t="s">
        <v>24</v>
      </c>
      <c r="C730" s="8" t="s">
        <v>2209</v>
      </c>
      <c r="D730" s="8">
        <v>2019.0</v>
      </c>
      <c r="E730" s="8" t="s">
        <v>2210</v>
      </c>
      <c r="F730" s="8" t="s">
        <v>548</v>
      </c>
      <c r="G730" s="8">
        <v>252.0</v>
      </c>
      <c r="H730" s="8" t="s">
        <v>33</v>
      </c>
      <c r="I730" s="8" t="s">
        <v>2211</v>
      </c>
      <c r="J730" s="8" t="s">
        <v>29</v>
      </c>
      <c r="K730" s="8"/>
      <c r="L730" s="8"/>
      <c r="M730" s="8"/>
      <c r="N730" s="8"/>
      <c r="O730" s="8"/>
      <c r="P730" s="8"/>
      <c r="Q730" s="8"/>
      <c r="R730" s="8"/>
      <c r="S730" s="8"/>
      <c r="T730" s="8"/>
      <c r="U730" s="8"/>
      <c r="V730" s="8"/>
      <c r="W730" s="8"/>
      <c r="X730" s="8"/>
      <c r="Y730" s="8"/>
      <c r="Z730" s="8"/>
    </row>
    <row r="731" ht="14.25" customHeight="1">
      <c r="A731" s="8">
        <v>24266.0</v>
      </c>
      <c r="B731" s="8" t="s">
        <v>24</v>
      </c>
      <c r="C731" s="8" t="s">
        <v>2212</v>
      </c>
      <c r="D731" s="8">
        <v>2014.0</v>
      </c>
      <c r="E731" s="8" t="s">
        <v>2213</v>
      </c>
      <c r="F731" s="8" t="s">
        <v>97</v>
      </c>
      <c r="G731" s="8">
        <v>20.0</v>
      </c>
      <c r="H731" s="8">
        <v>4.0</v>
      </c>
      <c r="I731" s="8" t="s">
        <v>2214</v>
      </c>
      <c r="J731" s="8" t="s">
        <v>29</v>
      </c>
      <c r="K731" s="8"/>
      <c r="L731" s="8"/>
      <c r="M731" s="8"/>
      <c r="N731" s="8"/>
      <c r="O731" s="8"/>
      <c r="P731" s="8"/>
      <c r="Q731" s="8"/>
      <c r="R731" s="8"/>
      <c r="S731" s="8"/>
      <c r="T731" s="8"/>
      <c r="U731" s="8"/>
      <c r="V731" s="8"/>
      <c r="W731" s="8"/>
      <c r="X731" s="8"/>
      <c r="Y731" s="8"/>
      <c r="Z731" s="8"/>
    </row>
    <row r="732" ht="14.25" customHeight="1">
      <c r="A732" s="8">
        <v>24858.0</v>
      </c>
      <c r="B732" s="8" t="s">
        <v>24</v>
      </c>
      <c r="C732" s="8" t="s">
        <v>2215</v>
      </c>
      <c r="D732" s="8">
        <v>2019.0</v>
      </c>
      <c r="E732" s="8" t="s">
        <v>2216</v>
      </c>
      <c r="F732" s="8" t="s">
        <v>455</v>
      </c>
      <c r="G732" s="8">
        <v>20.0</v>
      </c>
      <c r="H732" s="8" t="s">
        <v>33</v>
      </c>
      <c r="I732" s="8" t="s">
        <v>33</v>
      </c>
      <c r="J732" s="8" t="s">
        <v>29</v>
      </c>
      <c r="K732" s="8"/>
      <c r="L732" s="8"/>
      <c r="M732" s="8"/>
      <c r="N732" s="8"/>
      <c r="O732" s="8"/>
      <c r="P732" s="8"/>
      <c r="Q732" s="8"/>
      <c r="R732" s="8"/>
      <c r="S732" s="8"/>
      <c r="T732" s="8"/>
      <c r="U732" s="8"/>
      <c r="V732" s="8"/>
      <c r="W732" s="8"/>
      <c r="X732" s="8"/>
      <c r="Y732" s="8"/>
      <c r="Z732" s="8"/>
    </row>
    <row r="733" ht="14.25" customHeight="1">
      <c r="A733" s="8">
        <v>24267.0</v>
      </c>
      <c r="B733" s="8" t="s">
        <v>24</v>
      </c>
      <c r="C733" s="8" t="s">
        <v>2212</v>
      </c>
      <c r="D733" s="8">
        <v>2016.0</v>
      </c>
      <c r="E733" s="8" t="s">
        <v>2217</v>
      </c>
      <c r="F733" s="8" t="s">
        <v>153</v>
      </c>
      <c r="G733" s="8">
        <v>166.0</v>
      </c>
      <c r="H733" s="8" t="s">
        <v>33</v>
      </c>
      <c r="I733" s="8" t="s">
        <v>2218</v>
      </c>
      <c r="J733" s="8" t="s">
        <v>29</v>
      </c>
      <c r="K733" s="8"/>
      <c r="L733" s="8"/>
      <c r="M733" s="8"/>
      <c r="N733" s="8"/>
      <c r="O733" s="8"/>
      <c r="P733" s="8"/>
      <c r="Q733" s="8"/>
      <c r="R733" s="8"/>
      <c r="S733" s="8"/>
      <c r="T733" s="8"/>
      <c r="U733" s="8"/>
      <c r="V733" s="8"/>
      <c r="W733" s="8"/>
      <c r="X733" s="8"/>
      <c r="Y733" s="8"/>
      <c r="Z733" s="8"/>
    </row>
    <row r="734" ht="14.25" customHeight="1">
      <c r="A734" s="8">
        <v>24003.0</v>
      </c>
      <c r="B734" s="8" t="s">
        <v>24</v>
      </c>
      <c r="C734" s="8" t="s">
        <v>2219</v>
      </c>
      <c r="D734" s="8">
        <v>2018.0</v>
      </c>
      <c r="E734" s="8" t="s">
        <v>2220</v>
      </c>
      <c r="F734" s="8" t="s">
        <v>2221</v>
      </c>
      <c r="G734" s="8">
        <v>41.0</v>
      </c>
      <c r="H734" s="8">
        <v>2.0</v>
      </c>
      <c r="I734" s="8" t="s">
        <v>2222</v>
      </c>
      <c r="J734" s="8" t="s">
        <v>29</v>
      </c>
      <c r="K734" s="8"/>
      <c r="L734" s="8"/>
      <c r="M734" s="8"/>
      <c r="N734" s="8"/>
      <c r="O734" s="8"/>
      <c r="P734" s="8"/>
      <c r="Q734" s="8"/>
      <c r="R734" s="8"/>
      <c r="S734" s="8"/>
      <c r="T734" s="8"/>
      <c r="U734" s="8"/>
      <c r="V734" s="8"/>
      <c r="W734" s="8"/>
      <c r="X734" s="8"/>
      <c r="Y734" s="8"/>
      <c r="Z734" s="8"/>
    </row>
    <row r="735" ht="14.25" customHeight="1">
      <c r="A735" s="8">
        <v>24062.0</v>
      </c>
      <c r="B735" s="8" t="s">
        <v>24</v>
      </c>
      <c r="C735" s="8" t="s">
        <v>2223</v>
      </c>
      <c r="D735" s="8">
        <v>2014.0</v>
      </c>
      <c r="E735" s="8" t="s">
        <v>2224</v>
      </c>
      <c r="F735" s="8" t="s">
        <v>2225</v>
      </c>
      <c r="G735" s="8">
        <v>83.0</v>
      </c>
      <c r="H735" s="8">
        <v>5.0</v>
      </c>
      <c r="I735" s="8" t="s">
        <v>2226</v>
      </c>
      <c r="J735" s="8" t="s">
        <v>29</v>
      </c>
      <c r="K735" s="8"/>
      <c r="L735" s="8"/>
      <c r="M735" s="8"/>
      <c r="N735" s="8"/>
      <c r="O735" s="8"/>
      <c r="P735" s="8"/>
      <c r="Q735" s="8"/>
      <c r="R735" s="8"/>
      <c r="S735" s="8"/>
      <c r="T735" s="8"/>
      <c r="U735" s="8"/>
      <c r="V735" s="8"/>
      <c r="W735" s="8"/>
      <c r="X735" s="8"/>
      <c r="Y735" s="8"/>
      <c r="Z735" s="8"/>
    </row>
    <row r="736" ht="14.25" customHeight="1">
      <c r="A736" s="8">
        <v>26902.0</v>
      </c>
      <c r="B736" s="8" t="s">
        <v>41</v>
      </c>
      <c r="C736" s="8" t="s">
        <v>2227</v>
      </c>
      <c r="D736" s="8">
        <v>2008.0</v>
      </c>
      <c r="E736" s="8" t="s">
        <v>2228</v>
      </c>
      <c r="F736" s="8" t="s">
        <v>33</v>
      </c>
      <c r="G736" s="8" t="s">
        <v>33</v>
      </c>
      <c r="H736" s="8" t="s">
        <v>33</v>
      </c>
      <c r="I736" s="8" t="s">
        <v>33</v>
      </c>
      <c r="J736" s="8" t="s">
        <v>29</v>
      </c>
      <c r="K736" s="8"/>
      <c r="L736" s="8"/>
      <c r="M736" s="8"/>
      <c r="N736" s="8"/>
      <c r="O736" s="8"/>
      <c r="P736" s="8"/>
      <c r="Q736" s="8"/>
      <c r="R736" s="8"/>
      <c r="S736" s="8"/>
      <c r="T736" s="8"/>
      <c r="U736" s="8"/>
      <c r="V736" s="8"/>
      <c r="W736" s="8"/>
      <c r="X736" s="8"/>
      <c r="Y736" s="8"/>
      <c r="Z736" s="8"/>
    </row>
    <row r="737" ht="14.25" customHeight="1">
      <c r="A737" s="8">
        <v>23988.0</v>
      </c>
      <c r="B737" s="8" t="s">
        <v>24</v>
      </c>
      <c r="C737" s="8" t="s">
        <v>2229</v>
      </c>
      <c r="D737" s="8">
        <v>2019.0</v>
      </c>
      <c r="E737" s="8" t="s">
        <v>2230</v>
      </c>
      <c r="F737" s="8" t="s">
        <v>49</v>
      </c>
      <c r="G737" s="8">
        <v>650.0</v>
      </c>
      <c r="H737" s="8" t="s">
        <v>33</v>
      </c>
      <c r="I737" s="8" t="s">
        <v>2231</v>
      </c>
      <c r="J737" s="8" t="s">
        <v>29</v>
      </c>
      <c r="K737" s="8"/>
      <c r="L737" s="8"/>
      <c r="M737" s="8"/>
      <c r="N737" s="8"/>
      <c r="O737" s="8"/>
      <c r="P737" s="8"/>
      <c r="Q737" s="8"/>
      <c r="R737" s="8"/>
      <c r="S737" s="8"/>
      <c r="T737" s="8"/>
      <c r="U737" s="8"/>
      <c r="V737" s="8"/>
      <c r="W737" s="8"/>
      <c r="X737" s="8"/>
      <c r="Y737" s="8"/>
      <c r="Z737" s="8"/>
    </row>
    <row r="738" ht="14.25" customHeight="1">
      <c r="A738" s="8">
        <v>25210.0</v>
      </c>
      <c r="B738" s="8" t="s">
        <v>24</v>
      </c>
      <c r="C738" s="8" t="s">
        <v>2232</v>
      </c>
      <c r="D738" s="8">
        <v>2021.0</v>
      </c>
      <c r="E738" s="8" t="s">
        <v>2233</v>
      </c>
      <c r="F738" s="8" t="s">
        <v>49</v>
      </c>
      <c r="G738" s="8">
        <v>751.0</v>
      </c>
      <c r="H738" s="8" t="s">
        <v>33</v>
      </c>
      <c r="I738" s="8" t="s">
        <v>33</v>
      </c>
      <c r="J738" s="8" t="s">
        <v>29</v>
      </c>
      <c r="K738" s="8"/>
      <c r="L738" s="8"/>
      <c r="M738" s="8"/>
      <c r="N738" s="8"/>
      <c r="O738" s="8"/>
      <c r="P738" s="8"/>
      <c r="Q738" s="8"/>
      <c r="R738" s="8"/>
      <c r="S738" s="8"/>
      <c r="T738" s="8"/>
      <c r="U738" s="8"/>
      <c r="V738" s="8"/>
      <c r="W738" s="8"/>
      <c r="X738" s="8"/>
      <c r="Y738" s="8"/>
      <c r="Z738" s="8"/>
    </row>
    <row r="739" ht="14.25" customHeight="1">
      <c r="A739" s="8">
        <v>25493.0</v>
      </c>
      <c r="B739" s="8" t="s">
        <v>24</v>
      </c>
      <c r="C739" s="8" t="s">
        <v>2234</v>
      </c>
      <c r="D739" s="8">
        <v>2013.0</v>
      </c>
      <c r="E739" s="8" t="s">
        <v>2235</v>
      </c>
      <c r="F739" s="8" t="s">
        <v>2236</v>
      </c>
      <c r="G739" s="8">
        <v>43.0</v>
      </c>
      <c r="H739" s="8">
        <v>5.0</v>
      </c>
      <c r="I739" s="8" t="s">
        <v>2237</v>
      </c>
      <c r="J739" s="8" t="s">
        <v>29</v>
      </c>
      <c r="K739" s="8"/>
      <c r="L739" s="8"/>
      <c r="M739" s="8"/>
      <c r="N739" s="8"/>
      <c r="O739" s="8"/>
      <c r="P739" s="8"/>
      <c r="Q739" s="8"/>
      <c r="R739" s="8"/>
      <c r="S739" s="8"/>
      <c r="T739" s="8"/>
      <c r="U739" s="8"/>
      <c r="V739" s="8"/>
      <c r="W739" s="8"/>
      <c r="X739" s="8"/>
      <c r="Y739" s="8"/>
      <c r="Z739" s="8"/>
    </row>
    <row r="740" ht="14.25" customHeight="1">
      <c r="A740" s="8">
        <v>25137.0</v>
      </c>
      <c r="B740" s="8" t="s">
        <v>24</v>
      </c>
      <c r="C740" s="8" t="s">
        <v>2238</v>
      </c>
      <c r="D740" s="8">
        <v>2015.0</v>
      </c>
      <c r="E740" s="8" t="s">
        <v>2239</v>
      </c>
      <c r="F740" s="8" t="s">
        <v>64</v>
      </c>
      <c r="G740" s="8">
        <v>189.0</v>
      </c>
      <c r="H740" s="8" t="s">
        <v>33</v>
      </c>
      <c r="I740" s="8" t="s">
        <v>2240</v>
      </c>
      <c r="J740" s="8" t="s">
        <v>29</v>
      </c>
      <c r="K740" s="8"/>
      <c r="L740" s="8"/>
      <c r="M740" s="8"/>
      <c r="N740" s="8"/>
      <c r="O740" s="8"/>
      <c r="P740" s="8"/>
      <c r="Q740" s="8"/>
      <c r="R740" s="8"/>
      <c r="S740" s="8"/>
      <c r="T740" s="8"/>
      <c r="U740" s="8"/>
      <c r="V740" s="8"/>
      <c r="W740" s="8"/>
      <c r="X740" s="8"/>
      <c r="Y740" s="8"/>
      <c r="Z740" s="8"/>
    </row>
    <row r="741" ht="14.25" customHeight="1">
      <c r="A741" s="8">
        <v>25411.0</v>
      </c>
      <c r="B741" s="8" t="s">
        <v>24</v>
      </c>
      <c r="C741" s="8" t="s">
        <v>2241</v>
      </c>
      <c r="D741" s="8">
        <v>2010.0</v>
      </c>
      <c r="E741" s="8" t="s">
        <v>2242</v>
      </c>
      <c r="F741" s="8" t="s">
        <v>438</v>
      </c>
      <c r="G741" s="8">
        <v>96.0</v>
      </c>
      <c r="H741" s="8">
        <v>1.0</v>
      </c>
      <c r="I741" s="8" t="s">
        <v>2243</v>
      </c>
      <c r="J741" s="8" t="s">
        <v>29</v>
      </c>
      <c r="K741" s="8"/>
      <c r="L741" s="8"/>
      <c r="M741" s="8"/>
      <c r="N741" s="8"/>
      <c r="O741" s="8"/>
      <c r="P741" s="8"/>
      <c r="Q741" s="8"/>
      <c r="R741" s="8"/>
      <c r="S741" s="8"/>
      <c r="T741" s="8"/>
      <c r="U741" s="8"/>
      <c r="V741" s="8"/>
      <c r="W741" s="8"/>
      <c r="X741" s="8"/>
      <c r="Y741" s="8"/>
      <c r="Z741" s="8"/>
    </row>
    <row r="742" ht="14.25" customHeight="1">
      <c r="A742" s="8">
        <v>25438.0</v>
      </c>
      <c r="B742" s="8" t="s">
        <v>24</v>
      </c>
      <c r="C742" s="8" t="s">
        <v>2244</v>
      </c>
      <c r="D742" s="8">
        <v>2020.0</v>
      </c>
      <c r="E742" s="8" t="s">
        <v>2245</v>
      </c>
      <c r="F742" s="8" t="s">
        <v>97</v>
      </c>
      <c r="G742" s="8">
        <v>26.0</v>
      </c>
      <c r="H742" s="8">
        <v>9.0</v>
      </c>
      <c r="I742" s="8" t="s">
        <v>2246</v>
      </c>
      <c r="J742" s="8" t="s">
        <v>29</v>
      </c>
      <c r="K742" s="8"/>
      <c r="L742" s="8"/>
      <c r="M742" s="8"/>
      <c r="N742" s="8"/>
      <c r="O742" s="8"/>
      <c r="P742" s="8"/>
      <c r="Q742" s="8"/>
      <c r="R742" s="8"/>
      <c r="S742" s="8"/>
      <c r="T742" s="8"/>
      <c r="U742" s="8"/>
      <c r="V742" s="8"/>
      <c r="W742" s="8"/>
      <c r="X742" s="8"/>
      <c r="Y742" s="8"/>
      <c r="Z742" s="8"/>
    </row>
    <row r="743" ht="14.25" customHeight="1">
      <c r="A743" s="8">
        <v>26086.0</v>
      </c>
      <c r="B743" s="8" t="s">
        <v>24</v>
      </c>
      <c r="C743" s="8" t="s">
        <v>2247</v>
      </c>
      <c r="D743" s="8">
        <v>2019.0</v>
      </c>
      <c r="E743" s="8" t="s">
        <v>2248</v>
      </c>
      <c r="F743" s="8" t="s">
        <v>1596</v>
      </c>
      <c r="G743" s="8">
        <v>11.0</v>
      </c>
      <c r="H743" s="8">
        <v>5.0</v>
      </c>
      <c r="I743" s="8">
        <v>23.0</v>
      </c>
      <c r="J743" s="8" t="s">
        <v>29</v>
      </c>
      <c r="K743" s="8"/>
      <c r="L743" s="8"/>
      <c r="M743" s="8"/>
      <c r="N743" s="8"/>
      <c r="O743" s="8"/>
      <c r="P743" s="8"/>
      <c r="Q743" s="8"/>
      <c r="R743" s="8"/>
      <c r="S743" s="8"/>
      <c r="T743" s="8"/>
      <c r="U743" s="8"/>
      <c r="V743" s="8"/>
      <c r="W743" s="8"/>
      <c r="X743" s="8"/>
      <c r="Y743" s="8"/>
      <c r="Z743" s="8"/>
    </row>
    <row r="744" ht="14.25" customHeight="1">
      <c r="A744" s="8">
        <v>26102.0</v>
      </c>
      <c r="B744" s="8" t="s">
        <v>24</v>
      </c>
      <c r="C744" s="8" t="s">
        <v>2249</v>
      </c>
      <c r="D744" s="8">
        <v>2014.0</v>
      </c>
      <c r="E744" s="8" t="s">
        <v>2250</v>
      </c>
      <c r="F744" s="8" t="s">
        <v>36</v>
      </c>
      <c r="G744" s="8">
        <v>9.0</v>
      </c>
      <c r="H744" s="8">
        <v>11.0</v>
      </c>
      <c r="I744" s="8" t="s">
        <v>33</v>
      </c>
      <c r="J744" s="8" t="s">
        <v>29</v>
      </c>
      <c r="K744" s="8"/>
      <c r="L744" s="8"/>
      <c r="M744" s="8"/>
      <c r="N744" s="8"/>
      <c r="O744" s="8"/>
      <c r="P744" s="8"/>
      <c r="Q744" s="8"/>
      <c r="R744" s="8"/>
      <c r="S744" s="8"/>
      <c r="T744" s="8"/>
      <c r="U744" s="8"/>
      <c r="V744" s="8"/>
      <c r="W744" s="8"/>
      <c r="X744" s="8"/>
      <c r="Y744" s="8"/>
      <c r="Z744" s="8"/>
    </row>
    <row r="745" ht="14.25" customHeight="1">
      <c r="A745" s="8">
        <v>25858.0</v>
      </c>
      <c r="B745" s="8" t="s">
        <v>24</v>
      </c>
      <c r="C745" s="8" t="s">
        <v>1087</v>
      </c>
      <c r="D745" s="8">
        <v>2015.0</v>
      </c>
      <c r="E745" s="8" t="s">
        <v>2251</v>
      </c>
      <c r="F745" s="8" t="s">
        <v>64</v>
      </c>
      <c r="G745" s="8">
        <v>181.0</v>
      </c>
      <c r="H745" s="8" t="s">
        <v>33</v>
      </c>
      <c r="I745" s="8" t="s">
        <v>2252</v>
      </c>
      <c r="J745" s="8" t="s">
        <v>29</v>
      </c>
      <c r="K745" s="8"/>
      <c r="L745" s="8"/>
      <c r="M745" s="8"/>
      <c r="N745" s="8"/>
      <c r="O745" s="8"/>
      <c r="P745" s="8"/>
      <c r="Q745" s="8"/>
      <c r="R745" s="8"/>
      <c r="S745" s="8"/>
      <c r="T745" s="8"/>
      <c r="U745" s="8"/>
      <c r="V745" s="8"/>
      <c r="W745" s="8"/>
      <c r="X745" s="8"/>
      <c r="Y745" s="8"/>
      <c r="Z745" s="8"/>
    </row>
    <row r="746" ht="14.25" customHeight="1">
      <c r="A746" s="8">
        <v>25622.0</v>
      </c>
      <c r="B746" s="8" t="s">
        <v>24</v>
      </c>
      <c r="C746" s="8" t="s">
        <v>2177</v>
      </c>
      <c r="D746" s="8">
        <v>2014.0</v>
      </c>
      <c r="E746" s="8" t="s">
        <v>2253</v>
      </c>
      <c r="F746" s="8" t="s">
        <v>53</v>
      </c>
      <c r="G746" s="8">
        <v>5.0</v>
      </c>
      <c r="H746" s="8">
        <v>2.0</v>
      </c>
      <c r="I746" s="8" t="s">
        <v>33</v>
      </c>
      <c r="J746" s="8" t="s">
        <v>29</v>
      </c>
      <c r="K746" s="8"/>
      <c r="L746" s="8"/>
      <c r="M746" s="8"/>
      <c r="N746" s="8"/>
      <c r="O746" s="8"/>
      <c r="P746" s="8"/>
      <c r="Q746" s="8"/>
      <c r="R746" s="8"/>
      <c r="S746" s="8"/>
      <c r="T746" s="8"/>
      <c r="U746" s="8"/>
      <c r="V746" s="8"/>
      <c r="W746" s="8"/>
      <c r="X746" s="8"/>
      <c r="Y746" s="8"/>
      <c r="Z746" s="8"/>
    </row>
    <row r="747" ht="14.25" customHeight="1">
      <c r="A747" s="8">
        <v>25671.0</v>
      </c>
      <c r="B747" s="8" t="s">
        <v>24</v>
      </c>
      <c r="C747" s="8" t="s">
        <v>2254</v>
      </c>
      <c r="D747" s="8">
        <v>2013.0</v>
      </c>
      <c r="E747" s="8" t="s">
        <v>2255</v>
      </c>
      <c r="F747" s="8" t="s">
        <v>2256</v>
      </c>
      <c r="G747" s="8">
        <v>8.0</v>
      </c>
      <c r="H747" s="8">
        <v>4.0</v>
      </c>
      <c r="I747" s="8" t="s">
        <v>2257</v>
      </c>
      <c r="J747" s="8" t="s">
        <v>29</v>
      </c>
      <c r="K747" s="8"/>
      <c r="L747" s="8"/>
      <c r="M747" s="8"/>
      <c r="N747" s="8"/>
      <c r="O747" s="8"/>
      <c r="P747" s="8"/>
      <c r="Q747" s="8"/>
      <c r="R747" s="8"/>
      <c r="S747" s="8"/>
      <c r="T747" s="8"/>
      <c r="U747" s="8"/>
      <c r="V747" s="8"/>
      <c r="W747" s="8"/>
      <c r="X747" s="8"/>
      <c r="Y747" s="8"/>
      <c r="Z747" s="8"/>
    </row>
    <row r="748" ht="14.25" customHeight="1">
      <c r="A748" s="8">
        <v>25875.0</v>
      </c>
      <c r="B748" s="8" t="s">
        <v>24</v>
      </c>
      <c r="C748" s="8" t="s">
        <v>2258</v>
      </c>
      <c r="D748" s="8">
        <v>2009.0</v>
      </c>
      <c r="E748" s="8" t="s">
        <v>2259</v>
      </c>
      <c r="F748" s="8" t="s">
        <v>538</v>
      </c>
      <c r="G748" s="8">
        <v>6.0</v>
      </c>
      <c r="H748" s="8">
        <v>3.0</v>
      </c>
      <c r="I748" s="8" t="s">
        <v>2260</v>
      </c>
      <c r="J748" s="8" t="s">
        <v>29</v>
      </c>
      <c r="K748" s="8"/>
      <c r="L748" s="8"/>
      <c r="M748" s="8"/>
      <c r="N748" s="8"/>
      <c r="O748" s="8"/>
      <c r="P748" s="8"/>
      <c r="Q748" s="8"/>
      <c r="R748" s="8"/>
      <c r="S748" s="8"/>
      <c r="T748" s="8"/>
      <c r="U748" s="8"/>
      <c r="V748" s="8"/>
      <c r="W748" s="8"/>
      <c r="X748" s="8"/>
      <c r="Y748" s="8"/>
      <c r="Z748" s="8"/>
    </row>
    <row r="749" ht="14.25" customHeight="1">
      <c r="A749" s="8">
        <v>23932.0</v>
      </c>
      <c r="B749" s="8" t="s">
        <v>24</v>
      </c>
      <c r="C749" s="8" t="s">
        <v>2261</v>
      </c>
      <c r="D749" s="8">
        <v>2017.0</v>
      </c>
      <c r="E749" s="8" t="s">
        <v>2262</v>
      </c>
      <c r="F749" s="8" t="s">
        <v>36</v>
      </c>
      <c r="G749" s="8">
        <v>12.0</v>
      </c>
      <c r="H749" s="8">
        <v>10.0</v>
      </c>
      <c r="I749" s="8" t="s">
        <v>33</v>
      </c>
      <c r="J749" s="8" t="s">
        <v>29</v>
      </c>
      <c r="K749" s="8"/>
      <c r="L749" s="8"/>
      <c r="M749" s="8"/>
      <c r="N749" s="8"/>
      <c r="O749" s="8"/>
      <c r="P749" s="8"/>
      <c r="Q749" s="8"/>
      <c r="R749" s="8"/>
      <c r="S749" s="8"/>
      <c r="T749" s="8"/>
      <c r="U749" s="8"/>
      <c r="V749" s="8"/>
      <c r="W749" s="8"/>
      <c r="X749" s="8"/>
      <c r="Y749" s="8"/>
      <c r="Z749" s="8"/>
    </row>
    <row r="750" ht="14.25" customHeight="1">
      <c r="A750" s="8">
        <v>23727.0</v>
      </c>
      <c r="B750" s="8" t="s">
        <v>24</v>
      </c>
      <c r="C750" s="8" t="s">
        <v>660</v>
      </c>
      <c r="D750" s="8">
        <v>2019.0</v>
      </c>
      <c r="E750" s="8" t="s">
        <v>2263</v>
      </c>
      <c r="F750" s="8" t="s">
        <v>552</v>
      </c>
      <c r="G750" s="8">
        <v>25.0</v>
      </c>
      <c r="H750" s="8">
        <v>8.0</v>
      </c>
      <c r="I750" s="8" t="s">
        <v>2264</v>
      </c>
      <c r="J750" s="8" t="s">
        <v>29</v>
      </c>
      <c r="K750" s="8"/>
      <c r="L750" s="8"/>
      <c r="M750" s="8"/>
      <c r="N750" s="8"/>
      <c r="O750" s="8"/>
      <c r="P750" s="8"/>
      <c r="Q750" s="8"/>
      <c r="R750" s="8"/>
      <c r="S750" s="8"/>
      <c r="T750" s="8"/>
      <c r="U750" s="8"/>
      <c r="V750" s="8"/>
      <c r="W750" s="8"/>
      <c r="X750" s="8"/>
      <c r="Y750" s="8"/>
      <c r="Z750" s="8"/>
    </row>
    <row r="751" ht="14.25" customHeight="1">
      <c r="A751" s="8">
        <v>23285.0</v>
      </c>
      <c r="B751" s="8" t="s">
        <v>24</v>
      </c>
      <c r="C751" s="8" t="s">
        <v>2265</v>
      </c>
      <c r="D751" s="8">
        <v>2010.0</v>
      </c>
      <c r="E751" s="8" t="s">
        <v>2266</v>
      </c>
      <c r="F751" s="8" t="s">
        <v>769</v>
      </c>
      <c r="G751" s="8">
        <v>20.0</v>
      </c>
      <c r="H751" s="8">
        <v>1.0</v>
      </c>
      <c r="I751" s="8" t="s">
        <v>2267</v>
      </c>
      <c r="J751" s="8" t="s">
        <v>29</v>
      </c>
      <c r="K751" s="8"/>
      <c r="L751" s="8"/>
      <c r="M751" s="8"/>
      <c r="N751" s="8"/>
      <c r="O751" s="8"/>
      <c r="P751" s="8"/>
      <c r="Q751" s="8"/>
      <c r="R751" s="8"/>
      <c r="S751" s="8"/>
      <c r="T751" s="8"/>
      <c r="U751" s="8"/>
      <c r="V751" s="8"/>
      <c r="W751" s="8"/>
      <c r="X751" s="8"/>
      <c r="Y751" s="8"/>
      <c r="Z751" s="8"/>
    </row>
    <row r="752" ht="14.25" customHeight="1">
      <c r="A752" s="8">
        <v>24857.0</v>
      </c>
      <c r="B752" s="8" t="s">
        <v>24</v>
      </c>
      <c r="C752" s="8" t="s">
        <v>2215</v>
      </c>
      <c r="D752" s="8">
        <v>2017.0</v>
      </c>
      <c r="E752" s="8" t="s">
        <v>2268</v>
      </c>
      <c r="F752" s="8" t="s">
        <v>153</v>
      </c>
      <c r="G752" s="8">
        <v>188.0</v>
      </c>
      <c r="H752" s="8" t="s">
        <v>33</v>
      </c>
      <c r="I752" s="8" t="s">
        <v>2269</v>
      </c>
      <c r="J752" s="8" t="s">
        <v>29</v>
      </c>
      <c r="K752" s="8"/>
      <c r="L752" s="8"/>
      <c r="M752" s="8"/>
      <c r="N752" s="8"/>
      <c r="O752" s="8"/>
      <c r="P752" s="8"/>
      <c r="Q752" s="8"/>
      <c r="R752" s="8"/>
      <c r="S752" s="8"/>
      <c r="T752" s="8"/>
      <c r="U752" s="8"/>
      <c r="V752" s="8"/>
      <c r="W752" s="8"/>
      <c r="X752" s="8"/>
      <c r="Y752" s="8"/>
      <c r="Z752" s="8"/>
    </row>
    <row r="753" ht="14.25" customHeight="1">
      <c r="A753" s="8">
        <v>25877.0</v>
      </c>
      <c r="B753" s="8" t="s">
        <v>24</v>
      </c>
      <c r="C753" s="8" t="s">
        <v>2270</v>
      </c>
      <c r="D753" s="8">
        <v>2007.0</v>
      </c>
      <c r="E753" s="8" t="s">
        <v>2271</v>
      </c>
      <c r="F753" s="8" t="s">
        <v>2272</v>
      </c>
      <c r="G753" s="8">
        <v>64.0</v>
      </c>
      <c r="H753" s="8">
        <v>5.0</v>
      </c>
      <c r="I753" s="8">
        <v>555.0</v>
      </c>
      <c r="J753" s="8" t="s">
        <v>29</v>
      </c>
      <c r="K753" s="8"/>
      <c r="L753" s="8"/>
      <c r="M753" s="8"/>
      <c r="N753" s="8"/>
      <c r="O753" s="8"/>
      <c r="P753" s="8"/>
      <c r="Q753" s="8"/>
      <c r="R753" s="8"/>
      <c r="S753" s="8"/>
      <c r="T753" s="8"/>
      <c r="U753" s="8"/>
      <c r="V753" s="8"/>
      <c r="W753" s="8"/>
      <c r="X753" s="8"/>
      <c r="Y753" s="8"/>
      <c r="Z753" s="8"/>
    </row>
    <row r="754" ht="14.25" customHeight="1">
      <c r="A754" s="8">
        <v>23980.0</v>
      </c>
      <c r="B754" s="8" t="s">
        <v>24</v>
      </c>
      <c r="C754" s="8" t="s">
        <v>2273</v>
      </c>
      <c r="D754" s="8">
        <v>2017.0</v>
      </c>
      <c r="E754" s="8" t="s">
        <v>2274</v>
      </c>
      <c r="F754" s="8" t="s">
        <v>552</v>
      </c>
      <c r="G754" s="8">
        <v>23.0</v>
      </c>
      <c r="H754" s="8">
        <v>12.0</v>
      </c>
      <c r="I754" s="8" t="s">
        <v>2275</v>
      </c>
      <c r="J754" s="8" t="s">
        <v>29</v>
      </c>
      <c r="K754" s="8"/>
      <c r="L754" s="8"/>
      <c r="M754" s="8"/>
      <c r="N754" s="8"/>
      <c r="O754" s="8"/>
      <c r="P754" s="8"/>
      <c r="Q754" s="8"/>
      <c r="R754" s="8"/>
      <c r="S754" s="8"/>
      <c r="T754" s="8"/>
      <c r="U754" s="8"/>
      <c r="V754" s="8"/>
      <c r="W754" s="8"/>
      <c r="X754" s="8"/>
      <c r="Y754" s="8"/>
      <c r="Z754" s="8"/>
    </row>
    <row r="755" ht="14.25" customHeight="1">
      <c r="A755" s="8">
        <v>25784.0</v>
      </c>
      <c r="B755" s="8" t="s">
        <v>24</v>
      </c>
      <c r="C755" s="8" t="s">
        <v>2276</v>
      </c>
      <c r="D755" s="8">
        <v>2017.0</v>
      </c>
      <c r="E755" s="8" t="s">
        <v>2277</v>
      </c>
      <c r="F755" s="8" t="s">
        <v>2278</v>
      </c>
      <c r="G755" s="8">
        <v>3.0</v>
      </c>
      <c r="H755" s="8">
        <v>4.0</v>
      </c>
      <c r="I755" s="8" t="s">
        <v>821</v>
      </c>
      <c r="J755" s="8" t="s">
        <v>29</v>
      </c>
      <c r="K755" s="8"/>
      <c r="L755" s="8"/>
      <c r="M755" s="8"/>
      <c r="N755" s="8"/>
      <c r="O755" s="8"/>
      <c r="P755" s="8"/>
      <c r="Q755" s="8"/>
      <c r="R755" s="8"/>
      <c r="S755" s="8"/>
      <c r="T755" s="8"/>
      <c r="U755" s="8"/>
      <c r="V755" s="8"/>
      <c r="W755" s="8"/>
      <c r="X755" s="8"/>
      <c r="Y755" s="8"/>
      <c r="Z755" s="8"/>
    </row>
    <row r="756" ht="14.25" customHeight="1">
      <c r="A756" s="8" t="s">
        <v>2279</v>
      </c>
      <c r="B756" s="8" t="s">
        <v>41</v>
      </c>
      <c r="C756" s="8" t="s">
        <v>2280</v>
      </c>
      <c r="D756" s="8">
        <v>2018.0</v>
      </c>
      <c r="E756" s="8" t="s">
        <v>2281</v>
      </c>
      <c r="F756" s="8" t="s">
        <v>2282</v>
      </c>
      <c r="G756" s="8" t="s">
        <v>33</v>
      </c>
      <c r="H756" s="8" t="s">
        <v>33</v>
      </c>
      <c r="I756" s="8" t="s">
        <v>33</v>
      </c>
      <c r="J756" s="8" t="s">
        <v>320</v>
      </c>
      <c r="K756" s="8"/>
      <c r="L756" s="8"/>
      <c r="M756" s="8"/>
      <c r="N756" s="8"/>
      <c r="O756" s="8"/>
      <c r="P756" s="8"/>
      <c r="Q756" s="8"/>
      <c r="R756" s="8"/>
      <c r="S756" s="8"/>
      <c r="T756" s="8"/>
      <c r="U756" s="8"/>
      <c r="V756" s="8"/>
      <c r="W756" s="8"/>
      <c r="X756" s="8"/>
      <c r="Y756" s="8"/>
      <c r="Z756" s="8"/>
    </row>
    <row r="757" ht="14.25" customHeight="1">
      <c r="A757" s="8">
        <v>25182.0</v>
      </c>
      <c r="B757" s="8" t="s">
        <v>24</v>
      </c>
      <c r="C757" s="8" t="s">
        <v>2283</v>
      </c>
      <c r="D757" s="8">
        <v>2016.0</v>
      </c>
      <c r="E757" s="8" t="s">
        <v>2284</v>
      </c>
      <c r="F757" s="8" t="s">
        <v>97</v>
      </c>
      <c r="G757" s="8">
        <v>22.0</v>
      </c>
      <c r="H757" s="8">
        <v>8.0</v>
      </c>
      <c r="I757" s="8" t="s">
        <v>2285</v>
      </c>
      <c r="J757" s="8" t="s">
        <v>29</v>
      </c>
      <c r="K757" s="8"/>
      <c r="L757" s="8"/>
      <c r="M757" s="8"/>
      <c r="N757" s="8"/>
      <c r="O757" s="8"/>
      <c r="P757" s="8"/>
      <c r="Q757" s="8"/>
      <c r="R757" s="8"/>
      <c r="S757" s="8"/>
      <c r="T757" s="8"/>
      <c r="U757" s="8"/>
      <c r="V757" s="8"/>
      <c r="W757" s="8"/>
      <c r="X757" s="8"/>
      <c r="Y757" s="8"/>
      <c r="Z757" s="8"/>
    </row>
    <row r="758" ht="14.25" customHeight="1">
      <c r="A758" s="8">
        <v>24705.0</v>
      </c>
      <c r="B758" s="8" t="s">
        <v>24</v>
      </c>
      <c r="C758" s="8" t="s">
        <v>2286</v>
      </c>
      <c r="D758" s="8">
        <v>2012.0</v>
      </c>
      <c r="E758" s="8" t="s">
        <v>2287</v>
      </c>
      <c r="F758" s="8" t="s">
        <v>2288</v>
      </c>
      <c r="G758" s="8">
        <v>26.0</v>
      </c>
      <c r="H758" s="8" t="s">
        <v>33</v>
      </c>
      <c r="I758" s="8" t="s">
        <v>2289</v>
      </c>
      <c r="J758" s="8" t="s">
        <v>29</v>
      </c>
      <c r="K758" s="8"/>
      <c r="L758" s="8"/>
      <c r="M758" s="8"/>
      <c r="N758" s="8"/>
      <c r="O758" s="8"/>
      <c r="P758" s="8"/>
      <c r="Q758" s="8"/>
      <c r="R758" s="8"/>
      <c r="S758" s="8"/>
      <c r="T758" s="8"/>
      <c r="U758" s="8"/>
      <c r="V758" s="8"/>
      <c r="W758" s="8"/>
      <c r="X758" s="8"/>
      <c r="Y758" s="8"/>
      <c r="Z758" s="8"/>
    </row>
    <row r="759" ht="14.25" customHeight="1">
      <c r="A759" s="8">
        <v>25948.0</v>
      </c>
      <c r="B759" s="8" t="s">
        <v>24</v>
      </c>
      <c r="C759" s="8" t="s">
        <v>2290</v>
      </c>
      <c r="D759" s="8">
        <v>2020.0</v>
      </c>
      <c r="E759" s="8" t="s">
        <v>2291</v>
      </c>
      <c r="F759" s="8" t="s">
        <v>153</v>
      </c>
      <c r="G759" s="8">
        <v>255.0</v>
      </c>
      <c r="H759" s="8" t="s">
        <v>33</v>
      </c>
      <c r="I759" s="8" t="s">
        <v>33</v>
      </c>
      <c r="J759" s="8" t="s">
        <v>29</v>
      </c>
      <c r="K759" s="8"/>
      <c r="L759" s="8"/>
      <c r="M759" s="8"/>
      <c r="N759" s="8"/>
      <c r="O759" s="8"/>
      <c r="P759" s="8"/>
      <c r="Q759" s="8"/>
      <c r="R759" s="8"/>
      <c r="S759" s="8"/>
      <c r="T759" s="8"/>
      <c r="U759" s="8"/>
      <c r="V759" s="8"/>
      <c r="W759" s="8"/>
      <c r="X759" s="8"/>
      <c r="Y759" s="8"/>
      <c r="Z759" s="8"/>
    </row>
    <row r="760" ht="14.25" customHeight="1">
      <c r="A760" s="8">
        <v>24769.0</v>
      </c>
      <c r="B760" s="8" t="s">
        <v>24</v>
      </c>
      <c r="C760" s="8" t="s">
        <v>2292</v>
      </c>
      <c r="D760" s="8">
        <v>2011.0</v>
      </c>
      <c r="E760" s="8" t="s">
        <v>2293</v>
      </c>
      <c r="F760" s="8" t="s">
        <v>36</v>
      </c>
      <c r="G760" s="8">
        <v>6.0</v>
      </c>
      <c r="H760" s="8">
        <v>11.0</v>
      </c>
      <c r="I760" s="8" t="s">
        <v>33</v>
      </c>
      <c r="J760" s="8" t="s">
        <v>29</v>
      </c>
      <c r="K760" s="8"/>
      <c r="L760" s="8"/>
      <c r="M760" s="8"/>
      <c r="N760" s="8"/>
      <c r="O760" s="8"/>
      <c r="P760" s="8"/>
      <c r="Q760" s="8"/>
      <c r="R760" s="8"/>
      <c r="S760" s="8"/>
      <c r="T760" s="8"/>
      <c r="U760" s="8"/>
      <c r="V760" s="8"/>
      <c r="W760" s="8"/>
      <c r="X760" s="8"/>
      <c r="Y760" s="8"/>
      <c r="Z760" s="8"/>
    </row>
    <row r="761" ht="14.25" customHeight="1">
      <c r="A761" s="8">
        <v>26214.0</v>
      </c>
      <c r="B761" s="8" t="s">
        <v>576</v>
      </c>
      <c r="C761" s="8" t="s">
        <v>2294</v>
      </c>
      <c r="D761" s="8">
        <v>2017.0</v>
      </c>
      <c r="E761" s="8" t="s">
        <v>2295</v>
      </c>
      <c r="F761" s="8" t="s">
        <v>462</v>
      </c>
      <c r="G761" s="8" t="s">
        <v>33</v>
      </c>
      <c r="H761" s="8" t="s">
        <v>33</v>
      </c>
      <c r="I761" s="8">
        <v>142.0</v>
      </c>
      <c r="J761" s="8" t="s">
        <v>29</v>
      </c>
      <c r="K761" s="8"/>
      <c r="L761" s="8"/>
      <c r="M761" s="8"/>
      <c r="N761" s="8"/>
      <c r="O761" s="8"/>
      <c r="P761" s="8"/>
      <c r="Q761" s="8"/>
      <c r="R761" s="8"/>
      <c r="S761" s="8"/>
      <c r="T761" s="8"/>
      <c r="U761" s="8"/>
      <c r="V761" s="8"/>
      <c r="W761" s="8"/>
      <c r="X761" s="8"/>
      <c r="Y761" s="8"/>
      <c r="Z761" s="8"/>
    </row>
    <row r="762" ht="14.25" customHeight="1">
      <c r="A762" s="8">
        <v>23051.0</v>
      </c>
      <c r="B762" s="8" t="s">
        <v>24</v>
      </c>
      <c r="C762" s="8" t="s">
        <v>2296</v>
      </c>
      <c r="D762" s="8">
        <v>2014.0</v>
      </c>
      <c r="E762" s="8" t="s">
        <v>2297</v>
      </c>
      <c r="F762" s="8" t="s">
        <v>2298</v>
      </c>
      <c r="G762" s="8">
        <v>34.0</v>
      </c>
      <c r="H762" s="8">
        <v>3.0</v>
      </c>
      <c r="I762" s="8" t="s">
        <v>2299</v>
      </c>
      <c r="J762" s="8" t="s">
        <v>29</v>
      </c>
      <c r="K762" s="8"/>
      <c r="L762" s="8"/>
      <c r="M762" s="8"/>
      <c r="N762" s="8"/>
      <c r="O762" s="8"/>
      <c r="P762" s="8"/>
      <c r="Q762" s="8"/>
      <c r="R762" s="8"/>
      <c r="S762" s="8"/>
      <c r="T762" s="8"/>
      <c r="U762" s="8"/>
      <c r="V762" s="8"/>
      <c r="W762" s="8"/>
      <c r="X762" s="8"/>
      <c r="Y762" s="8"/>
      <c r="Z762" s="8"/>
    </row>
    <row r="763" ht="14.25" customHeight="1">
      <c r="A763" s="8">
        <v>24145.0</v>
      </c>
      <c r="B763" s="8" t="s">
        <v>24</v>
      </c>
      <c r="C763" s="8" t="s">
        <v>2300</v>
      </c>
      <c r="D763" s="8">
        <v>2018.0</v>
      </c>
      <c r="E763" s="8" t="s">
        <v>2301</v>
      </c>
      <c r="F763" s="8" t="s">
        <v>49</v>
      </c>
      <c r="G763" s="8">
        <v>639.0</v>
      </c>
      <c r="H763" s="8" t="s">
        <v>33</v>
      </c>
      <c r="I763" s="8" t="s">
        <v>2302</v>
      </c>
      <c r="J763" s="8" t="s">
        <v>29</v>
      </c>
      <c r="K763" s="8"/>
      <c r="L763" s="8"/>
      <c r="M763" s="8"/>
      <c r="N763" s="8"/>
      <c r="O763" s="8"/>
      <c r="P763" s="8"/>
      <c r="Q763" s="8"/>
      <c r="R763" s="8"/>
      <c r="S763" s="8"/>
      <c r="T763" s="8"/>
      <c r="U763" s="8"/>
      <c r="V763" s="8"/>
      <c r="W763" s="8"/>
      <c r="X763" s="8"/>
      <c r="Y763" s="8"/>
      <c r="Z763" s="8"/>
    </row>
    <row r="764" ht="14.25" customHeight="1">
      <c r="A764" s="8">
        <v>26131.0</v>
      </c>
      <c r="B764" s="8" t="s">
        <v>24</v>
      </c>
      <c r="C764" s="8" t="s">
        <v>2303</v>
      </c>
      <c r="D764" s="8">
        <v>2020.0</v>
      </c>
      <c r="E764" s="8" t="s">
        <v>2304</v>
      </c>
      <c r="F764" s="8" t="s">
        <v>49</v>
      </c>
      <c r="G764" s="8">
        <v>745.0</v>
      </c>
      <c r="H764" s="8" t="s">
        <v>33</v>
      </c>
      <c r="I764" s="8" t="s">
        <v>33</v>
      </c>
      <c r="J764" s="8" t="s">
        <v>29</v>
      </c>
      <c r="K764" s="8"/>
      <c r="L764" s="8"/>
      <c r="M764" s="8"/>
      <c r="N764" s="8"/>
      <c r="O764" s="8"/>
      <c r="P764" s="8"/>
      <c r="Q764" s="8"/>
      <c r="R764" s="8"/>
      <c r="S764" s="8"/>
      <c r="T764" s="8"/>
      <c r="U764" s="8"/>
      <c r="V764" s="8"/>
      <c r="W764" s="8"/>
      <c r="X764" s="8"/>
      <c r="Y764" s="8"/>
      <c r="Z764" s="8"/>
    </row>
    <row r="765" ht="14.25" customHeight="1">
      <c r="A765" s="8">
        <v>23657.0</v>
      </c>
      <c r="B765" s="8" t="s">
        <v>24</v>
      </c>
      <c r="C765" s="8" t="s">
        <v>291</v>
      </c>
      <c r="D765" s="8">
        <v>2020.0</v>
      </c>
      <c r="E765" s="8" t="s">
        <v>2305</v>
      </c>
      <c r="F765" s="8" t="s">
        <v>1596</v>
      </c>
      <c r="G765" s="8">
        <v>12.0</v>
      </c>
      <c r="H765" s="8">
        <v>3.0</v>
      </c>
      <c r="I765" s="8">
        <v>17.0</v>
      </c>
      <c r="J765" s="8" t="s">
        <v>29</v>
      </c>
      <c r="K765" s="8"/>
      <c r="L765" s="8"/>
      <c r="M765" s="8"/>
      <c r="N765" s="8"/>
      <c r="O765" s="8"/>
      <c r="P765" s="8"/>
      <c r="Q765" s="8"/>
      <c r="R765" s="8"/>
      <c r="S765" s="8"/>
      <c r="T765" s="8"/>
      <c r="U765" s="8"/>
      <c r="V765" s="8"/>
      <c r="W765" s="8"/>
      <c r="X765" s="8"/>
      <c r="Y765" s="8"/>
      <c r="Z765" s="8"/>
    </row>
    <row r="766" ht="14.25" customHeight="1">
      <c r="A766" s="8">
        <v>23146.0</v>
      </c>
      <c r="B766" s="8" t="s">
        <v>24</v>
      </c>
      <c r="C766" s="8" t="s">
        <v>2306</v>
      </c>
      <c r="D766" s="8">
        <v>2020.0</v>
      </c>
      <c r="E766" s="8" t="s">
        <v>2307</v>
      </c>
      <c r="F766" s="8" t="s">
        <v>2308</v>
      </c>
      <c r="G766" s="8">
        <v>10.0</v>
      </c>
      <c r="H766" s="8">
        <v>1.0</v>
      </c>
      <c r="I766" s="8" t="s">
        <v>2309</v>
      </c>
      <c r="J766" s="8" t="s">
        <v>29</v>
      </c>
      <c r="K766" s="8"/>
      <c r="L766" s="8"/>
      <c r="M766" s="8"/>
      <c r="N766" s="8"/>
      <c r="O766" s="8"/>
      <c r="P766" s="8"/>
      <c r="Q766" s="8"/>
      <c r="R766" s="8"/>
      <c r="S766" s="8"/>
      <c r="T766" s="8"/>
      <c r="U766" s="8"/>
      <c r="V766" s="8"/>
      <c r="W766" s="8"/>
      <c r="X766" s="8"/>
      <c r="Y766" s="8"/>
      <c r="Z766" s="8"/>
    </row>
    <row r="767" ht="14.25" customHeight="1">
      <c r="A767" s="8">
        <v>25676.0</v>
      </c>
      <c r="B767" s="8" t="s">
        <v>24</v>
      </c>
      <c r="C767" s="8" t="s">
        <v>2310</v>
      </c>
      <c r="D767" s="8">
        <v>2015.0</v>
      </c>
      <c r="E767" s="8" t="s">
        <v>2311</v>
      </c>
      <c r="F767" s="8" t="s">
        <v>2312</v>
      </c>
      <c r="G767" s="8">
        <v>72.0</v>
      </c>
      <c r="H767" s="8">
        <v>3.0</v>
      </c>
      <c r="I767" s="8" t="s">
        <v>2313</v>
      </c>
      <c r="J767" s="8" t="s">
        <v>29</v>
      </c>
      <c r="K767" s="8"/>
      <c r="L767" s="8"/>
      <c r="M767" s="8"/>
      <c r="N767" s="8"/>
      <c r="O767" s="8"/>
      <c r="P767" s="8"/>
      <c r="Q767" s="8"/>
      <c r="R767" s="8"/>
      <c r="S767" s="8"/>
      <c r="T767" s="8"/>
      <c r="U767" s="8"/>
      <c r="V767" s="8"/>
      <c r="W767" s="8"/>
      <c r="X767" s="8"/>
      <c r="Y767" s="8"/>
      <c r="Z767" s="8"/>
    </row>
    <row r="768" ht="14.25" customHeight="1">
      <c r="A768" s="8">
        <v>25435.0</v>
      </c>
      <c r="B768" s="8" t="s">
        <v>24</v>
      </c>
      <c r="C768" s="8" t="s">
        <v>2314</v>
      </c>
      <c r="D768" s="8">
        <v>2019.0</v>
      </c>
      <c r="E768" s="8" t="s">
        <v>2315</v>
      </c>
      <c r="F768" s="8" t="s">
        <v>548</v>
      </c>
      <c r="G768" s="8">
        <v>252.0</v>
      </c>
      <c r="H768" s="8" t="s">
        <v>33</v>
      </c>
      <c r="I768" s="8" t="s">
        <v>2316</v>
      </c>
      <c r="J768" s="8" t="s">
        <v>29</v>
      </c>
      <c r="K768" s="8"/>
      <c r="L768" s="8"/>
      <c r="M768" s="8"/>
      <c r="N768" s="8"/>
      <c r="O768" s="8"/>
      <c r="P768" s="8"/>
      <c r="Q768" s="8"/>
      <c r="R768" s="8"/>
      <c r="S768" s="8"/>
      <c r="T768" s="8"/>
      <c r="U768" s="8"/>
      <c r="V768" s="8"/>
      <c r="W768" s="8"/>
      <c r="X768" s="8"/>
      <c r="Y768" s="8"/>
      <c r="Z768" s="8"/>
    </row>
    <row r="769" ht="14.25" customHeight="1">
      <c r="A769" s="8">
        <v>23738.0</v>
      </c>
      <c r="B769" s="8" t="s">
        <v>24</v>
      </c>
      <c r="C769" s="8" t="s">
        <v>2317</v>
      </c>
      <c r="D769" s="8">
        <v>2013.0</v>
      </c>
      <c r="E769" s="8" t="s">
        <v>2318</v>
      </c>
      <c r="F769" s="8" t="s">
        <v>2319</v>
      </c>
      <c r="G769" s="8">
        <v>60.0</v>
      </c>
      <c r="H769" s="8">
        <v>2.0</v>
      </c>
      <c r="I769" s="8" t="s">
        <v>2320</v>
      </c>
      <c r="J769" s="8" t="s">
        <v>29</v>
      </c>
      <c r="K769" s="8"/>
      <c r="L769" s="8"/>
      <c r="M769" s="8"/>
      <c r="N769" s="8"/>
      <c r="O769" s="8"/>
      <c r="P769" s="8"/>
      <c r="Q769" s="8"/>
      <c r="R769" s="8"/>
      <c r="S769" s="8"/>
      <c r="T769" s="8"/>
      <c r="U769" s="8"/>
      <c r="V769" s="8"/>
      <c r="W769" s="8"/>
      <c r="X769" s="8"/>
      <c r="Y769" s="8"/>
      <c r="Z769" s="8"/>
    </row>
    <row r="770" ht="14.25" customHeight="1">
      <c r="A770" s="8">
        <v>24088.0</v>
      </c>
      <c r="B770" s="8" t="s">
        <v>24</v>
      </c>
      <c r="C770" s="8" t="s">
        <v>2321</v>
      </c>
      <c r="D770" s="8">
        <v>2008.0</v>
      </c>
      <c r="E770" s="8" t="s">
        <v>2322</v>
      </c>
      <c r="F770" s="8" t="s">
        <v>60</v>
      </c>
      <c r="G770" s="8">
        <v>22.0</v>
      </c>
      <c r="H770" s="8">
        <v>3.0</v>
      </c>
      <c r="I770" s="8" t="s">
        <v>2323</v>
      </c>
      <c r="J770" s="8" t="s">
        <v>29</v>
      </c>
      <c r="K770" s="8"/>
      <c r="L770" s="8"/>
      <c r="M770" s="8"/>
      <c r="N770" s="8"/>
      <c r="O770" s="8"/>
      <c r="P770" s="8"/>
      <c r="Q770" s="8"/>
      <c r="R770" s="8"/>
      <c r="S770" s="8"/>
      <c r="T770" s="8"/>
      <c r="U770" s="8"/>
      <c r="V770" s="8"/>
      <c r="W770" s="8"/>
      <c r="X770" s="8"/>
      <c r="Y770" s="8"/>
      <c r="Z770" s="8"/>
    </row>
    <row r="771" ht="14.25" customHeight="1">
      <c r="A771" s="8">
        <v>24153.0</v>
      </c>
      <c r="B771" s="8" t="s">
        <v>24</v>
      </c>
      <c r="C771" s="8" t="s">
        <v>1824</v>
      </c>
      <c r="D771" s="8">
        <v>2014.0</v>
      </c>
      <c r="E771" s="8" t="s">
        <v>2324</v>
      </c>
      <c r="F771" s="8" t="s">
        <v>97</v>
      </c>
      <c r="G771" s="8">
        <v>20.0</v>
      </c>
      <c r="H771" s="8">
        <v>7.0</v>
      </c>
      <c r="I771" s="8" t="s">
        <v>2325</v>
      </c>
      <c r="J771" s="8" t="s">
        <v>29</v>
      </c>
      <c r="K771" s="8"/>
      <c r="L771" s="8"/>
      <c r="M771" s="8"/>
      <c r="N771" s="8"/>
      <c r="O771" s="8"/>
      <c r="P771" s="8"/>
      <c r="Q771" s="8"/>
      <c r="R771" s="8"/>
      <c r="S771" s="8"/>
      <c r="T771" s="8"/>
      <c r="U771" s="8"/>
      <c r="V771" s="8"/>
      <c r="W771" s="8"/>
      <c r="X771" s="8"/>
      <c r="Y771" s="8"/>
      <c r="Z771" s="8"/>
    </row>
    <row r="772" ht="14.25" customHeight="1">
      <c r="A772" s="8">
        <v>23694.0</v>
      </c>
      <c r="B772" s="8" t="s">
        <v>24</v>
      </c>
      <c r="C772" s="8" t="s">
        <v>2326</v>
      </c>
      <c r="D772" s="8">
        <v>2010.0</v>
      </c>
      <c r="E772" s="8" t="s">
        <v>2327</v>
      </c>
      <c r="F772" s="8" t="s">
        <v>615</v>
      </c>
      <c r="G772" s="8">
        <v>19.0</v>
      </c>
      <c r="H772" s="8">
        <v>6.0</v>
      </c>
      <c r="I772" s="8" t="s">
        <v>2328</v>
      </c>
      <c r="J772" s="8" t="s">
        <v>29</v>
      </c>
      <c r="K772" s="8"/>
      <c r="L772" s="8"/>
      <c r="M772" s="8"/>
      <c r="N772" s="8"/>
      <c r="O772" s="8"/>
      <c r="P772" s="8"/>
      <c r="Q772" s="8"/>
      <c r="R772" s="8"/>
      <c r="S772" s="8"/>
      <c r="T772" s="8"/>
      <c r="U772" s="8"/>
      <c r="V772" s="8"/>
      <c r="W772" s="8"/>
      <c r="X772" s="8"/>
      <c r="Y772" s="8"/>
      <c r="Z772" s="8"/>
    </row>
    <row r="773" ht="14.25" customHeight="1">
      <c r="A773" s="8">
        <v>25355.0</v>
      </c>
      <c r="B773" s="8" t="s">
        <v>24</v>
      </c>
      <c r="C773" s="8" t="s">
        <v>2329</v>
      </c>
      <c r="D773" s="8">
        <v>2016.0</v>
      </c>
      <c r="E773" s="8" t="s">
        <v>2330</v>
      </c>
      <c r="F773" s="8" t="s">
        <v>336</v>
      </c>
      <c r="G773" s="8">
        <v>113.0</v>
      </c>
      <c r="H773" s="8">
        <v>2.0</v>
      </c>
      <c r="I773" s="8" t="s">
        <v>2331</v>
      </c>
      <c r="J773" s="8" t="s">
        <v>29</v>
      </c>
      <c r="K773" s="8"/>
      <c r="L773" s="8"/>
      <c r="M773" s="8"/>
      <c r="N773" s="8"/>
      <c r="O773" s="8"/>
      <c r="P773" s="8"/>
      <c r="Q773" s="8"/>
      <c r="R773" s="8"/>
      <c r="S773" s="8"/>
      <c r="T773" s="8"/>
      <c r="U773" s="8"/>
      <c r="V773" s="8"/>
      <c r="W773" s="8"/>
      <c r="X773" s="8"/>
      <c r="Y773" s="8"/>
      <c r="Z773" s="8"/>
    </row>
    <row r="774" ht="14.25" customHeight="1">
      <c r="A774" s="8">
        <v>23651.0</v>
      </c>
      <c r="B774" s="8" t="s">
        <v>24</v>
      </c>
      <c r="C774" s="8" t="s">
        <v>2332</v>
      </c>
      <c r="D774" s="8">
        <v>2002.0</v>
      </c>
      <c r="E774" s="8" t="s">
        <v>2333</v>
      </c>
      <c r="F774" s="8" t="s">
        <v>2334</v>
      </c>
      <c r="G774" s="8">
        <v>4.0</v>
      </c>
      <c r="H774" s="8">
        <v>2.0</v>
      </c>
      <c r="I774" s="8" t="s">
        <v>2335</v>
      </c>
      <c r="J774" s="8" t="s">
        <v>29</v>
      </c>
      <c r="K774" s="8"/>
      <c r="L774" s="8"/>
      <c r="M774" s="8"/>
      <c r="N774" s="8"/>
      <c r="O774" s="8"/>
      <c r="P774" s="8"/>
      <c r="Q774" s="8"/>
      <c r="R774" s="8"/>
      <c r="S774" s="8"/>
      <c r="T774" s="8"/>
      <c r="U774" s="8"/>
      <c r="V774" s="8"/>
      <c r="W774" s="8"/>
      <c r="X774" s="8"/>
      <c r="Y774" s="8"/>
      <c r="Z774" s="8"/>
    </row>
    <row r="775" ht="14.25" customHeight="1">
      <c r="A775" s="8">
        <v>25802.0</v>
      </c>
      <c r="B775" s="8" t="s">
        <v>24</v>
      </c>
      <c r="C775" s="8" t="s">
        <v>2336</v>
      </c>
      <c r="D775" s="8">
        <v>2012.0</v>
      </c>
      <c r="E775" s="8" t="s">
        <v>2337</v>
      </c>
      <c r="F775" s="8" t="s">
        <v>829</v>
      </c>
      <c r="G775" s="8">
        <v>44.0</v>
      </c>
      <c r="H775" s="8">
        <v>3.0</v>
      </c>
      <c r="I775" s="8" t="s">
        <v>2338</v>
      </c>
      <c r="J775" s="8" t="s">
        <v>29</v>
      </c>
      <c r="K775" s="8"/>
      <c r="L775" s="8"/>
      <c r="M775" s="8"/>
      <c r="N775" s="8"/>
      <c r="O775" s="8"/>
      <c r="P775" s="8"/>
      <c r="Q775" s="8"/>
      <c r="R775" s="8"/>
      <c r="S775" s="8"/>
      <c r="T775" s="8"/>
      <c r="U775" s="8"/>
      <c r="V775" s="8"/>
      <c r="W775" s="8"/>
      <c r="X775" s="8"/>
      <c r="Y775" s="8"/>
      <c r="Z775" s="8"/>
    </row>
    <row r="776" ht="14.25" customHeight="1">
      <c r="A776" s="8">
        <v>23071.0</v>
      </c>
      <c r="B776" s="8" t="s">
        <v>24</v>
      </c>
      <c r="C776" s="8" t="s">
        <v>1438</v>
      </c>
      <c r="D776" s="8">
        <v>2017.0</v>
      </c>
      <c r="E776" s="8" t="s">
        <v>2339</v>
      </c>
      <c r="F776" s="8" t="s">
        <v>64</v>
      </c>
      <c r="G776" s="8">
        <v>206.0</v>
      </c>
      <c r="H776" s="8" t="s">
        <v>33</v>
      </c>
      <c r="I776" s="8" t="s">
        <v>2340</v>
      </c>
      <c r="J776" s="8" t="s">
        <v>29</v>
      </c>
      <c r="K776" s="8"/>
      <c r="L776" s="8"/>
      <c r="M776" s="8"/>
      <c r="N776" s="8"/>
      <c r="O776" s="8"/>
      <c r="P776" s="8"/>
      <c r="Q776" s="8"/>
      <c r="R776" s="8"/>
      <c r="S776" s="8"/>
      <c r="T776" s="8"/>
      <c r="U776" s="8"/>
      <c r="V776" s="8"/>
      <c r="W776" s="8"/>
      <c r="X776" s="8"/>
      <c r="Y776" s="8"/>
      <c r="Z776" s="8"/>
    </row>
    <row r="777" ht="14.25" customHeight="1">
      <c r="A777" s="8">
        <v>24956.0</v>
      </c>
      <c r="B777" s="8" t="s">
        <v>24</v>
      </c>
      <c r="C777" s="8" t="s">
        <v>2341</v>
      </c>
      <c r="D777" s="8">
        <v>2011.0</v>
      </c>
      <c r="E777" s="8" t="s">
        <v>2342</v>
      </c>
      <c r="F777" s="8" t="s">
        <v>2343</v>
      </c>
      <c r="G777" s="8">
        <v>35.0</v>
      </c>
      <c r="H777" s="8">
        <v>3.0</v>
      </c>
      <c r="I777" s="8" t="s">
        <v>2344</v>
      </c>
      <c r="J777" s="8" t="s">
        <v>29</v>
      </c>
      <c r="K777" s="8"/>
      <c r="L777" s="8"/>
      <c r="M777" s="8"/>
      <c r="N777" s="8"/>
      <c r="O777" s="8"/>
      <c r="P777" s="8"/>
      <c r="Q777" s="8"/>
      <c r="R777" s="8"/>
      <c r="S777" s="8"/>
      <c r="T777" s="8"/>
      <c r="U777" s="8"/>
      <c r="V777" s="8"/>
      <c r="W777" s="8"/>
      <c r="X777" s="8"/>
      <c r="Y777" s="8"/>
      <c r="Z777" s="8"/>
    </row>
    <row r="778" ht="14.25" customHeight="1">
      <c r="A778" s="8">
        <v>25888.0</v>
      </c>
      <c r="B778" s="8" t="s">
        <v>24</v>
      </c>
      <c r="C778" s="8" t="s">
        <v>34</v>
      </c>
      <c r="D778" s="8">
        <v>2016.0</v>
      </c>
      <c r="E778" s="8" t="s">
        <v>2345</v>
      </c>
      <c r="F778" s="8" t="s">
        <v>64</v>
      </c>
      <c r="G778" s="8">
        <v>196.0</v>
      </c>
      <c r="H778" s="8" t="s">
        <v>33</v>
      </c>
      <c r="I778" s="10">
        <v>43009.0</v>
      </c>
      <c r="J778" s="8" t="s">
        <v>29</v>
      </c>
      <c r="K778" s="8"/>
      <c r="L778" s="8"/>
      <c r="M778" s="8"/>
      <c r="N778" s="8"/>
      <c r="O778" s="8"/>
      <c r="P778" s="8"/>
      <c r="Q778" s="8"/>
      <c r="R778" s="8"/>
      <c r="S778" s="8"/>
      <c r="T778" s="8"/>
      <c r="U778" s="8"/>
      <c r="V778" s="8"/>
      <c r="W778" s="8"/>
      <c r="X778" s="8"/>
      <c r="Y778" s="8"/>
      <c r="Z778" s="8"/>
    </row>
    <row r="779" ht="14.25" customHeight="1">
      <c r="A779" s="8" t="s">
        <v>2346</v>
      </c>
      <c r="B779" s="8" t="s">
        <v>41</v>
      </c>
      <c r="C779" s="8" t="s">
        <v>2347</v>
      </c>
      <c r="D779" s="8">
        <v>2013.0</v>
      </c>
      <c r="E779" s="8" t="s">
        <v>2348</v>
      </c>
      <c r="F779" s="8" t="s">
        <v>319</v>
      </c>
      <c r="G779" s="8" t="s">
        <v>33</v>
      </c>
      <c r="H779" s="8" t="s">
        <v>33</v>
      </c>
      <c r="I779" s="8" t="s">
        <v>33</v>
      </c>
      <c r="J779" s="8" t="s">
        <v>320</v>
      </c>
      <c r="K779" s="8"/>
      <c r="L779" s="8"/>
      <c r="M779" s="8"/>
      <c r="N779" s="8"/>
      <c r="O779" s="8"/>
      <c r="P779" s="8"/>
      <c r="Q779" s="8"/>
      <c r="R779" s="8"/>
      <c r="S779" s="8"/>
      <c r="T779" s="8"/>
      <c r="U779" s="8"/>
      <c r="V779" s="8"/>
      <c r="W779" s="8"/>
      <c r="X779" s="8"/>
      <c r="Y779" s="8"/>
      <c r="Z779" s="8"/>
    </row>
    <row r="780" ht="14.25" customHeight="1">
      <c r="A780" s="8">
        <v>24036.0</v>
      </c>
      <c r="B780" s="8" t="s">
        <v>24</v>
      </c>
      <c r="C780" s="8" t="s">
        <v>2349</v>
      </c>
      <c r="D780" s="8">
        <v>2008.0</v>
      </c>
      <c r="E780" s="8" t="s">
        <v>2350</v>
      </c>
      <c r="F780" s="8" t="s">
        <v>538</v>
      </c>
      <c r="G780" s="8">
        <v>5.0</v>
      </c>
      <c r="H780" s="11">
        <v>44622.0</v>
      </c>
      <c r="I780" s="8" t="s">
        <v>2351</v>
      </c>
      <c r="J780" s="8" t="s">
        <v>29</v>
      </c>
      <c r="K780" s="8"/>
      <c r="L780" s="8"/>
      <c r="M780" s="8"/>
      <c r="N780" s="8"/>
      <c r="O780" s="8"/>
      <c r="P780" s="8"/>
      <c r="Q780" s="8"/>
      <c r="R780" s="8"/>
      <c r="S780" s="8"/>
      <c r="T780" s="8"/>
      <c r="U780" s="8"/>
      <c r="V780" s="8"/>
      <c r="W780" s="8"/>
      <c r="X780" s="8"/>
      <c r="Y780" s="8"/>
      <c r="Z780" s="8"/>
    </row>
    <row r="781" ht="14.25" customHeight="1">
      <c r="A781" s="8">
        <v>23654.0</v>
      </c>
      <c r="B781" s="8" t="s">
        <v>24</v>
      </c>
      <c r="C781" s="8" t="s">
        <v>2352</v>
      </c>
      <c r="D781" s="8">
        <v>2018.0</v>
      </c>
      <c r="E781" s="8" t="s">
        <v>2353</v>
      </c>
      <c r="F781" s="8" t="s">
        <v>97</v>
      </c>
      <c r="G781" s="8">
        <v>24.0</v>
      </c>
      <c r="H781" s="8">
        <v>9.0</v>
      </c>
      <c r="I781" s="8" t="s">
        <v>2354</v>
      </c>
      <c r="J781" s="8" t="s">
        <v>29</v>
      </c>
      <c r="K781" s="8"/>
      <c r="L781" s="8"/>
      <c r="M781" s="8"/>
      <c r="N781" s="8"/>
      <c r="O781" s="8"/>
      <c r="P781" s="8"/>
      <c r="Q781" s="8"/>
      <c r="R781" s="8"/>
      <c r="S781" s="8"/>
      <c r="T781" s="8"/>
      <c r="U781" s="8"/>
      <c r="V781" s="8"/>
      <c r="W781" s="8"/>
      <c r="X781" s="8"/>
      <c r="Y781" s="8"/>
      <c r="Z781" s="8"/>
    </row>
    <row r="782" ht="14.25" customHeight="1">
      <c r="A782" s="8">
        <v>24175.0</v>
      </c>
      <c r="B782" s="8" t="s">
        <v>24</v>
      </c>
      <c r="C782" s="8" t="s">
        <v>2355</v>
      </c>
      <c r="D782" s="8">
        <v>2015.0</v>
      </c>
      <c r="E782" s="8" t="s">
        <v>2356</v>
      </c>
      <c r="F782" s="8" t="s">
        <v>2357</v>
      </c>
      <c r="G782" s="8">
        <v>18.0</v>
      </c>
      <c r="H782" s="8">
        <v>8.0</v>
      </c>
      <c r="I782" s="8" t="s">
        <v>2358</v>
      </c>
      <c r="J782" s="8" t="s">
        <v>29</v>
      </c>
      <c r="K782" s="8"/>
      <c r="L782" s="8"/>
      <c r="M782" s="8"/>
      <c r="N782" s="8"/>
      <c r="O782" s="8"/>
      <c r="P782" s="8"/>
      <c r="Q782" s="8"/>
      <c r="R782" s="8"/>
      <c r="S782" s="8"/>
      <c r="T782" s="8"/>
      <c r="U782" s="8"/>
      <c r="V782" s="8"/>
      <c r="W782" s="8"/>
      <c r="X782" s="8"/>
      <c r="Y782" s="8"/>
      <c r="Z782" s="8"/>
    </row>
    <row r="783" ht="14.25" customHeight="1">
      <c r="A783" s="8">
        <v>23684.0</v>
      </c>
      <c r="B783" s="8" t="s">
        <v>24</v>
      </c>
      <c r="C783" s="8" t="s">
        <v>2359</v>
      </c>
      <c r="D783" s="8">
        <v>2013.0</v>
      </c>
      <c r="E783" s="8" t="s">
        <v>2360</v>
      </c>
      <c r="F783" s="8" t="s">
        <v>648</v>
      </c>
      <c r="G783" s="8">
        <v>13.0</v>
      </c>
      <c r="H783" s="8">
        <v>1.0</v>
      </c>
      <c r="I783" s="8" t="s">
        <v>2361</v>
      </c>
      <c r="J783" s="8" t="s">
        <v>29</v>
      </c>
      <c r="K783" s="8"/>
      <c r="L783" s="8"/>
      <c r="M783" s="8"/>
      <c r="N783" s="8"/>
      <c r="O783" s="8"/>
      <c r="P783" s="8"/>
      <c r="Q783" s="8"/>
      <c r="R783" s="8"/>
      <c r="S783" s="8"/>
      <c r="T783" s="8"/>
      <c r="U783" s="8"/>
      <c r="V783" s="8"/>
      <c r="W783" s="8"/>
      <c r="X783" s="8"/>
      <c r="Y783" s="8"/>
      <c r="Z783" s="8"/>
    </row>
    <row r="784" ht="14.25" customHeight="1">
      <c r="A784" s="8">
        <v>23528.0</v>
      </c>
      <c r="B784" s="8" t="s">
        <v>24</v>
      </c>
      <c r="C784" s="8" t="s">
        <v>2362</v>
      </c>
      <c r="D784" s="8">
        <v>2003.0</v>
      </c>
      <c r="E784" s="8" t="s">
        <v>2363</v>
      </c>
      <c r="F784" s="8" t="s">
        <v>2357</v>
      </c>
      <c r="G784" s="8">
        <v>6.0</v>
      </c>
      <c r="H784" s="8">
        <v>4.0</v>
      </c>
      <c r="I784" s="8" t="s">
        <v>2364</v>
      </c>
      <c r="J784" s="8" t="s">
        <v>29</v>
      </c>
      <c r="K784" s="8"/>
      <c r="L784" s="8"/>
      <c r="M784" s="8"/>
      <c r="N784" s="8"/>
      <c r="O784" s="8"/>
      <c r="P784" s="8"/>
      <c r="Q784" s="8"/>
      <c r="R784" s="8"/>
      <c r="S784" s="8"/>
      <c r="T784" s="8"/>
      <c r="U784" s="8"/>
      <c r="V784" s="8"/>
      <c r="W784" s="8"/>
      <c r="X784" s="8"/>
      <c r="Y784" s="8"/>
      <c r="Z784" s="8"/>
    </row>
    <row r="785" ht="14.25" customHeight="1">
      <c r="A785" s="8">
        <v>25422.0</v>
      </c>
      <c r="B785" s="8" t="s">
        <v>24</v>
      </c>
      <c r="C785" s="8" t="s">
        <v>2365</v>
      </c>
      <c r="D785" s="8">
        <v>2013.0</v>
      </c>
      <c r="E785" s="8" t="s">
        <v>2366</v>
      </c>
      <c r="F785" s="8" t="s">
        <v>615</v>
      </c>
      <c r="G785" s="8">
        <v>22.0</v>
      </c>
      <c r="H785" s="8">
        <v>8.0</v>
      </c>
      <c r="I785" s="8" t="s">
        <v>2367</v>
      </c>
      <c r="J785" s="8" t="s">
        <v>29</v>
      </c>
      <c r="K785" s="8"/>
      <c r="L785" s="8"/>
      <c r="M785" s="8"/>
      <c r="N785" s="8"/>
      <c r="O785" s="8"/>
      <c r="P785" s="8"/>
      <c r="Q785" s="8"/>
      <c r="R785" s="8"/>
      <c r="S785" s="8"/>
      <c r="T785" s="8"/>
      <c r="U785" s="8"/>
      <c r="V785" s="8"/>
      <c r="W785" s="8"/>
      <c r="X785" s="8"/>
      <c r="Y785" s="8"/>
      <c r="Z785" s="8"/>
    </row>
    <row r="786" ht="14.25" customHeight="1">
      <c r="A786" s="8">
        <v>23833.0</v>
      </c>
      <c r="B786" s="8" t="s">
        <v>24</v>
      </c>
      <c r="C786" s="8" t="s">
        <v>2368</v>
      </c>
      <c r="D786" s="8">
        <v>2014.0</v>
      </c>
      <c r="E786" s="8" t="s">
        <v>2369</v>
      </c>
      <c r="F786" s="8" t="s">
        <v>2370</v>
      </c>
      <c r="G786" s="8">
        <v>15.0</v>
      </c>
      <c r="H786" s="8">
        <v>4.0</v>
      </c>
      <c r="I786" s="8" t="s">
        <v>2371</v>
      </c>
      <c r="J786" s="8" t="s">
        <v>29</v>
      </c>
      <c r="K786" s="8"/>
      <c r="L786" s="8"/>
      <c r="M786" s="8"/>
      <c r="N786" s="8"/>
      <c r="O786" s="8"/>
      <c r="P786" s="8"/>
      <c r="Q786" s="8"/>
      <c r="R786" s="8"/>
      <c r="S786" s="8"/>
      <c r="T786" s="8"/>
      <c r="U786" s="8"/>
      <c r="V786" s="8"/>
      <c r="W786" s="8"/>
      <c r="X786" s="8"/>
      <c r="Y786" s="8"/>
      <c r="Z786" s="8"/>
    </row>
    <row r="787" ht="14.25" customHeight="1">
      <c r="A787" s="8">
        <v>24576.0</v>
      </c>
      <c r="B787" s="8" t="s">
        <v>24</v>
      </c>
      <c r="C787" s="8" t="s">
        <v>2372</v>
      </c>
      <c r="D787" s="8">
        <v>2013.0</v>
      </c>
      <c r="E787" s="8" t="s">
        <v>2373</v>
      </c>
      <c r="F787" s="8" t="s">
        <v>64</v>
      </c>
      <c r="G787" s="8">
        <v>166.0</v>
      </c>
      <c r="H787" s="8" t="s">
        <v>33</v>
      </c>
      <c r="I787" s="8" t="s">
        <v>2374</v>
      </c>
      <c r="J787" s="8" t="s">
        <v>29</v>
      </c>
      <c r="K787" s="8"/>
      <c r="L787" s="8"/>
      <c r="M787" s="8"/>
      <c r="N787" s="8"/>
      <c r="O787" s="8"/>
      <c r="P787" s="8"/>
      <c r="Q787" s="8"/>
      <c r="R787" s="8"/>
      <c r="S787" s="8"/>
      <c r="T787" s="8"/>
      <c r="U787" s="8"/>
      <c r="V787" s="8"/>
      <c r="W787" s="8"/>
      <c r="X787" s="8"/>
      <c r="Y787" s="8"/>
      <c r="Z787" s="8"/>
    </row>
    <row r="788" ht="14.25" customHeight="1">
      <c r="A788" s="8">
        <v>25894.0</v>
      </c>
      <c r="B788" s="8" t="s">
        <v>24</v>
      </c>
      <c r="C788" s="8" t="s">
        <v>2375</v>
      </c>
      <c r="D788" s="8">
        <v>2020.0</v>
      </c>
      <c r="E788" s="8" t="s">
        <v>2376</v>
      </c>
      <c r="F788" s="8" t="s">
        <v>97</v>
      </c>
      <c r="G788" s="8">
        <v>26.0</v>
      </c>
      <c r="H788" s="8">
        <v>10.0</v>
      </c>
      <c r="I788" s="8" t="s">
        <v>2377</v>
      </c>
      <c r="J788" s="8" t="s">
        <v>29</v>
      </c>
      <c r="K788" s="8"/>
      <c r="L788" s="8"/>
      <c r="M788" s="8"/>
      <c r="N788" s="8"/>
      <c r="O788" s="8"/>
      <c r="P788" s="8"/>
      <c r="Q788" s="8"/>
      <c r="R788" s="8"/>
      <c r="S788" s="8"/>
      <c r="T788" s="8"/>
      <c r="U788" s="8"/>
      <c r="V788" s="8"/>
      <c r="W788" s="8"/>
      <c r="X788" s="8"/>
      <c r="Y788" s="8"/>
      <c r="Z788" s="8"/>
    </row>
    <row r="789" ht="14.25" customHeight="1">
      <c r="A789" s="8">
        <v>25798.0</v>
      </c>
      <c r="B789" s="8" t="s">
        <v>24</v>
      </c>
      <c r="C789" s="8" t="s">
        <v>2378</v>
      </c>
      <c r="D789" s="8">
        <v>2009.0</v>
      </c>
      <c r="E789" s="8" t="s">
        <v>2379</v>
      </c>
      <c r="F789" s="8" t="s">
        <v>67</v>
      </c>
      <c r="G789" s="8">
        <v>2.0</v>
      </c>
      <c r="H789" s="8">
        <v>1.0</v>
      </c>
      <c r="I789" s="8" t="s">
        <v>2380</v>
      </c>
      <c r="J789" s="8" t="s">
        <v>29</v>
      </c>
      <c r="K789" s="8"/>
      <c r="L789" s="8"/>
      <c r="M789" s="8"/>
      <c r="N789" s="8"/>
      <c r="O789" s="8"/>
      <c r="P789" s="8"/>
      <c r="Q789" s="8"/>
      <c r="R789" s="8"/>
      <c r="S789" s="8"/>
      <c r="T789" s="8"/>
      <c r="U789" s="8"/>
      <c r="V789" s="8"/>
      <c r="W789" s="8"/>
      <c r="X789" s="8"/>
      <c r="Y789" s="8"/>
      <c r="Z789" s="8"/>
    </row>
    <row r="790" ht="14.25" customHeight="1">
      <c r="A790" s="8">
        <v>25473.0</v>
      </c>
      <c r="B790" s="8" t="s">
        <v>24</v>
      </c>
      <c r="C790" s="8" t="s">
        <v>2381</v>
      </c>
      <c r="D790" s="8">
        <v>2013.0</v>
      </c>
      <c r="E790" s="8" t="s">
        <v>2382</v>
      </c>
      <c r="F790" s="8" t="s">
        <v>36</v>
      </c>
      <c r="G790" s="8">
        <v>8.0</v>
      </c>
      <c r="H790" s="8">
        <v>11.0</v>
      </c>
      <c r="I790" s="8" t="s">
        <v>33</v>
      </c>
      <c r="J790" s="8" t="s">
        <v>29</v>
      </c>
      <c r="K790" s="8"/>
      <c r="L790" s="8"/>
      <c r="M790" s="8"/>
      <c r="N790" s="8"/>
      <c r="O790" s="8"/>
      <c r="P790" s="8"/>
      <c r="Q790" s="8"/>
      <c r="R790" s="8"/>
      <c r="S790" s="8"/>
      <c r="T790" s="8"/>
      <c r="U790" s="8"/>
      <c r="V790" s="8"/>
      <c r="W790" s="8"/>
      <c r="X790" s="8"/>
      <c r="Y790" s="8"/>
      <c r="Z790" s="8"/>
    </row>
    <row r="791" ht="14.25" customHeight="1">
      <c r="A791" s="8">
        <v>23100.0</v>
      </c>
      <c r="B791" s="8" t="s">
        <v>24</v>
      </c>
      <c r="C791" s="8" t="s">
        <v>2383</v>
      </c>
      <c r="D791" s="8">
        <v>2020.0</v>
      </c>
      <c r="E791" s="8" t="s">
        <v>2384</v>
      </c>
      <c r="F791" s="8" t="s">
        <v>49</v>
      </c>
      <c r="G791" s="8">
        <v>704.0</v>
      </c>
      <c r="H791" s="8" t="s">
        <v>33</v>
      </c>
      <c r="I791" s="8" t="s">
        <v>33</v>
      </c>
      <c r="J791" s="8" t="s">
        <v>29</v>
      </c>
      <c r="K791" s="8"/>
      <c r="L791" s="8"/>
      <c r="M791" s="8"/>
      <c r="N791" s="8"/>
      <c r="O791" s="8"/>
      <c r="P791" s="8"/>
      <c r="Q791" s="8"/>
      <c r="R791" s="8"/>
      <c r="S791" s="8"/>
      <c r="T791" s="8"/>
      <c r="U791" s="8"/>
      <c r="V791" s="8"/>
      <c r="W791" s="8"/>
      <c r="X791" s="8"/>
      <c r="Y791" s="8"/>
      <c r="Z791" s="8"/>
    </row>
    <row r="792" ht="14.25" customHeight="1">
      <c r="A792" s="8">
        <v>24025.0</v>
      </c>
      <c r="B792" s="8" t="s">
        <v>24</v>
      </c>
      <c r="C792" s="8" t="s">
        <v>2385</v>
      </c>
      <c r="D792" s="8">
        <v>2015.0</v>
      </c>
      <c r="E792" s="8" t="s">
        <v>2386</v>
      </c>
      <c r="F792" s="8" t="s">
        <v>866</v>
      </c>
      <c r="G792" s="8">
        <v>7.0</v>
      </c>
      <c r="H792" s="8">
        <v>5.0</v>
      </c>
      <c r="I792" s="8" t="s">
        <v>2387</v>
      </c>
      <c r="J792" s="8" t="s">
        <v>29</v>
      </c>
      <c r="K792" s="8"/>
      <c r="L792" s="8"/>
      <c r="M792" s="8"/>
      <c r="N792" s="8"/>
      <c r="O792" s="8"/>
      <c r="P792" s="8"/>
      <c r="Q792" s="8"/>
      <c r="R792" s="8"/>
      <c r="S792" s="8"/>
      <c r="T792" s="8"/>
      <c r="U792" s="8"/>
      <c r="V792" s="8"/>
      <c r="W792" s="8"/>
      <c r="X792" s="8"/>
      <c r="Y792" s="8"/>
      <c r="Z792" s="8"/>
    </row>
    <row r="793" ht="14.25" customHeight="1">
      <c r="A793" s="8">
        <v>23967.0</v>
      </c>
      <c r="B793" s="8" t="s">
        <v>24</v>
      </c>
      <c r="C793" s="8" t="s">
        <v>2388</v>
      </c>
      <c r="D793" s="8">
        <v>2016.0</v>
      </c>
      <c r="E793" s="8" t="s">
        <v>2389</v>
      </c>
      <c r="F793" s="8" t="s">
        <v>485</v>
      </c>
      <c r="G793" s="8">
        <v>5.0</v>
      </c>
      <c r="H793" s="8">
        <v>3.0</v>
      </c>
      <c r="I793" s="8" t="s">
        <v>2390</v>
      </c>
      <c r="J793" s="8" t="s">
        <v>29</v>
      </c>
      <c r="K793" s="8"/>
      <c r="L793" s="8"/>
      <c r="M793" s="8"/>
      <c r="N793" s="8"/>
      <c r="O793" s="8"/>
      <c r="P793" s="8"/>
      <c r="Q793" s="8"/>
      <c r="R793" s="8"/>
      <c r="S793" s="8"/>
      <c r="T793" s="8"/>
      <c r="U793" s="8"/>
      <c r="V793" s="8"/>
      <c r="W793" s="8"/>
      <c r="X793" s="8"/>
      <c r="Y793" s="8"/>
      <c r="Z793" s="8"/>
    </row>
    <row r="794" ht="14.25" customHeight="1">
      <c r="A794" s="8">
        <v>25391.0</v>
      </c>
      <c r="B794" s="8" t="s">
        <v>24</v>
      </c>
      <c r="C794" s="8" t="s">
        <v>1973</v>
      </c>
      <c r="D794" s="8">
        <v>2012.0</v>
      </c>
      <c r="E794" s="8" t="s">
        <v>2389</v>
      </c>
      <c r="F794" s="8" t="s">
        <v>365</v>
      </c>
      <c r="G794" s="8">
        <v>58.0</v>
      </c>
      <c r="H794" s="8">
        <v>1.0</v>
      </c>
      <c r="I794" s="8" t="s">
        <v>2391</v>
      </c>
      <c r="J794" s="8" t="s">
        <v>29</v>
      </c>
      <c r="K794" s="8"/>
      <c r="L794" s="8"/>
      <c r="M794" s="8"/>
      <c r="N794" s="8"/>
      <c r="O794" s="8"/>
      <c r="P794" s="8"/>
      <c r="Q794" s="8"/>
      <c r="R794" s="8"/>
      <c r="S794" s="8"/>
      <c r="T794" s="8"/>
      <c r="U794" s="8"/>
      <c r="V794" s="8"/>
      <c r="W794" s="8"/>
      <c r="X794" s="8"/>
      <c r="Y794" s="8"/>
      <c r="Z794" s="8"/>
    </row>
    <row r="795" ht="14.25" customHeight="1">
      <c r="A795" s="8">
        <v>26006.0</v>
      </c>
      <c r="B795" s="8" t="s">
        <v>24</v>
      </c>
      <c r="C795" s="8" t="s">
        <v>2392</v>
      </c>
      <c r="D795" s="8">
        <v>2017.0</v>
      </c>
      <c r="E795" s="8" t="s">
        <v>2393</v>
      </c>
      <c r="F795" s="8" t="s">
        <v>548</v>
      </c>
      <c r="G795" s="8">
        <v>220.0</v>
      </c>
      <c r="H795" s="8" t="s">
        <v>33</v>
      </c>
      <c r="I795" s="8" t="s">
        <v>2394</v>
      </c>
      <c r="J795" s="8" t="s">
        <v>29</v>
      </c>
      <c r="K795" s="8"/>
      <c r="L795" s="8"/>
      <c r="M795" s="8"/>
      <c r="N795" s="8"/>
      <c r="O795" s="8"/>
      <c r="P795" s="8"/>
      <c r="Q795" s="8"/>
      <c r="R795" s="8"/>
      <c r="S795" s="8"/>
      <c r="T795" s="8"/>
      <c r="U795" s="8"/>
      <c r="V795" s="8"/>
      <c r="W795" s="8"/>
      <c r="X795" s="8"/>
      <c r="Y795" s="8"/>
      <c r="Z795" s="8"/>
    </row>
    <row r="796" ht="14.25" customHeight="1">
      <c r="A796" s="8">
        <v>24842.0</v>
      </c>
      <c r="B796" s="8" t="s">
        <v>24</v>
      </c>
      <c r="C796" s="8" t="s">
        <v>2395</v>
      </c>
      <c r="D796" s="8">
        <v>2018.0</v>
      </c>
      <c r="E796" s="8" t="s">
        <v>2396</v>
      </c>
      <c r="F796" s="8" t="s">
        <v>545</v>
      </c>
      <c r="G796" s="8">
        <v>10.0</v>
      </c>
      <c r="H796" s="8">
        <v>12.0</v>
      </c>
      <c r="I796" s="8" t="s">
        <v>33</v>
      </c>
      <c r="J796" s="8" t="s">
        <v>29</v>
      </c>
      <c r="K796" s="8"/>
      <c r="L796" s="8"/>
      <c r="M796" s="8"/>
      <c r="N796" s="8"/>
      <c r="O796" s="8"/>
      <c r="P796" s="8"/>
      <c r="Q796" s="8"/>
      <c r="R796" s="8"/>
      <c r="S796" s="8"/>
      <c r="T796" s="8"/>
      <c r="U796" s="8"/>
      <c r="V796" s="8"/>
      <c r="W796" s="8"/>
      <c r="X796" s="8"/>
      <c r="Y796" s="8"/>
      <c r="Z796" s="8"/>
    </row>
    <row r="797" ht="14.25" customHeight="1">
      <c r="A797" s="8">
        <v>23258.0</v>
      </c>
      <c r="B797" s="8" t="s">
        <v>24</v>
      </c>
      <c r="C797" s="8" t="s">
        <v>2397</v>
      </c>
      <c r="D797" s="8">
        <v>2018.0</v>
      </c>
      <c r="E797" s="8" t="s">
        <v>2398</v>
      </c>
      <c r="F797" s="8" t="s">
        <v>336</v>
      </c>
      <c r="G797" s="8">
        <v>115.0</v>
      </c>
      <c r="H797" s="8">
        <v>52.0</v>
      </c>
      <c r="I797" s="8" t="s">
        <v>2399</v>
      </c>
      <c r="J797" s="8" t="s">
        <v>29</v>
      </c>
      <c r="K797" s="8"/>
      <c r="L797" s="8"/>
      <c r="M797" s="8"/>
      <c r="N797" s="8"/>
      <c r="O797" s="8"/>
      <c r="P797" s="8"/>
      <c r="Q797" s="8"/>
      <c r="R797" s="8"/>
      <c r="S797" s="8"/>
      <c r="T797" s="8"/>
      <c r="U797" s="8"/>
      <c r="V797" s="8"/>
      <c r="W797" s="8"/>
      <c r="X797" s="8"/>
      <c r="Y797" s="8"/>
      <c r="Z797" s="8"/>
    </row>
    <row r="798" ht="14.25" customHeight="1">
      <c r="A798" s="8">
        <v>25767.0</v>
      </c>
      <c r="B798" s="8" t="s">
        <v>24</v>
      </c>
      <c r="C798" s="8" t="s">
        <v>2400</v>
      </c>
      <c r="D798" s="8">
        <v>2005.0</v>
      </c>
      <c r="E798" s="8" t="s">
        <v>2401</v>
      </c>
      <c r="F798" s="8" t="s">
        <v>109</v>
      </c>
      <c r="G798" s="8">
        <v>36.0</v>
      </c>
      <c r="H798" s="8">
        <v>3.0</v>
      </c>
      <c r="I798" s="8" t="s">
        <v>2402</v>
      </c>
      <c r="J798" s="8" t="s">
        <v>29</v>
      </c>
      <c r="K798" s="8"/>
      <c r="L798" s="8"/>
      <c r="M798" s="8"/>
      <c r="N798" s="8"/>
      <c r="O798" s="8"/>
      <c r="P798" s="8"/>
      <c r="Q798" s="8"/>
      <c r="R798" s="8"/>
      <c r="S798" s="8"/>
      <c r="T798" s="8"/>
      <c r="U798" s="8"/>
      <c r="V798" s="8"/>
      <c r="W798" s="8"/>
      <c r="X798" s="8"/>
      <c r="Y798" s="8"/>
      <c r="Z798" s="8"/>
    </row>
    <row r="799" ht="14.25" customHeight="1">
      <c r="A799" s="8">
        <v>24843.0</v>
      </c>
      <c r="B799" s="8" t="s">
        <v>576</v>
      </c>
      <c r="C799" s="8" t="s">
        <v>2403</v>
      </c>
      <c r="D799" s="8">
        <v>2014.0</v>
      </c>
      <c r="E799" s="8" t="s">
        <v>2404</v>
      </c>
      <c r="F799" s="8" t="s">
        <v>462</v>
      </c>
      <c r="G799" s="8" t="s">
        <v>33</v>
      </c>
      <c r="H799" s="8" t="s">
        <v>33</v>
      </c>
      <c r="I799" s="8" t="s">
        <v>33</v>
      </c>
      <c r="J799" s="8" t="s">
        <v>29</v>
      </c>
      <c r="K799" s="8"/>
      <c r="L799" s="8"/>
      <c r="M799" s="8"/>
      <c r="N799" s="8"/>
      <c r="O799" s="8"/>
      <c r="P799" s="8"/>
      <c r="Q799" s="8"/>
      <c r="R799" s="8"/>
      <c r="S799" s="8"/>
      <c r="T799" s="8"/>
      <c r="U799" s="8"/>
      <c r="V799" s="8"/>
      <c r="W799" s="8"/>
      <c r="X799" s="8"/>
      <c r="Y799" s="8"/>
      <c r="Z799" s="8"/>
    </row>
    <row r="800" ht="14.25" customHeight="1">
      <c r="A800" s="8">
        <v>24878.0</v>
      </c>
      <c r="B800" s="8" t="s">
        <v>24</v>
      </c>
      <c r="C800" s="8" t="s">
        <v>2405</v>
      </c>
      <c r="D800" s="8">
        <v>2019.0</v>
      </c>
      <c r="E800" s="8" t="s">
        <v>2406</v>
      </c>
      <c r="F800" s="8" t="s">
        <v>548</v>
      </c>
      <c r="G800" s="8">
        <v>253.0</v>
      </c>
      <c r="H800" s="8" t="s">
        <v>33</v>
      </c>
      <c r="I800" s="8" t="s">
        <v>2407</v>
      </c>
      <c r="J800" s="8" t="s">
        <v>29</v>
      </c>
      <c r="K800" s="8"/>
      <c r="L800" s="8"/>
      <c r="M800" s="8"/>
      <c r="N800" s="8"/>
      <c r="O800" s="8"/>
      <c r="P800" s="8"/>
      <c r="Q800" s="8"/>
      <c r="R800" s="8"/>
      <c r="S800" s="8"/>
      <c r="T800" s="8"/>
      <c r="U800" s="8"/>
      <c r="V800" s="8"/>
      <c r="W800" s="8"/>
      <c r="X800" s="8"/>
      <c r="Y800" s="8"/>
      <c r="Z800" s="8"/>
    </row>
    <row r="801" ht="14.25" customHeight="1">
      <c r="A801" s="8">
        <v>24717.0</v>
      </c>
      <c r="B801" s="8" t="s">
        <v>24</v>
      </c>
      <c r="C801" s="8" t="s">
        <v>2408</v>
      </c>
      <c r="D801" s="8">
        <v>2017.0</v>
      </c>
      <c r="E801" s="8" t="s">
        <v>2409</v>
      </c>
      <c r="F801" s="8" t="s">
        <v>2410</v>
      </c>
      <c r="G801" s="8">
        <v>158.0</v>
      </c>
      <c r="H801" s="8">
        <v>2.0</v>
      </c>
      <c r="I801" s="8" t="s">
        <v>2411</v>
      </c>
      <c r="J801" s="8" t="s">
        <v>29</v>
      </c>
      <c r="K801" s="8"/>
      <c r="L801" s="8"/>
      <c r="M801" s="8"/>
      <c r="N801" s="8"/>
      <c r="O801" s="8"/>
      <c r="P801" s="8"/>
      <c r="Q801" s="8"/>
      <c r="R801" s="8"/>
      <c r="S801" s="8"/>
      <c r="T801" s="8"/>
      <c r="U801" s="8"/>
      <c r="V801" s="8"/>
      <c r="W801" s="8"/>
      <c r="X801" s="8"/>
      <c r="Y801" s="8"/>
      <c r="Z801" s="8"/>
    </row>
    <row r="802" ht="14.25" customHeight="1">
      <c r="A802" s="8">
        <v>25242.0</v>
      </c>
      <c r="B802" s="8" t="s">
        <v>24</v>
      </c>
      <c r="C802" s="8" t="s">
        <v>2412</v>
      </c>
      <c r="D802" s="8">
        <v>2017.0</v>
      </c>
      <c r="E802" s="8" t="s">
        <v>2413</v>
      </c>
      <c r="F802" s="8" t="s">
        <v>49</v>
      </c>
      <c r="G802" s="8">
        <v>609.0</v>
      </c>
      <c r="H802" s="8" t="s">
        <v>33</v>
      </c>
      <c r="I802" s="8" t="s">
        <v>2414</v>
      </c>
      <c r="J802" s="8" t="s">
        <v>29</v>
      </c>
      <c r="K802" s="8"/>
      <c r="L802" s="8"/>
      <c r="M802" s="8"/>
      <c r="N802" s="8"/>
      <c r="O802" s="8"/>
      <c r="P802" s="8"/>
      <c r="Q802" s="8"/>
      <c r="R802" s="8"/>
      <c r="S802" s="8"/>
      <c r="T802" s="8"/>
      <c r="U802" s="8"/>
      <c r="V802" s="8"/>
      <c r="W802" s="8"/>
      <c r="X802" s="8"/>
      <c r="Y802" s="8"/>
      <c r="Z802" s="8"/>
    </row>
    <row r="803" ht="14.25" customHeight="1">
      <c r="A803" s="8">
        <v>25335.0</v>
      </c>
      <c r="B803" s="8" t="s">
        <v>24</v>
      </c>
      <c r="C803" s="8" t="s">
        <v>2415</v>
      </c>
      <c r="D803" s="8">
        <v>2020.0</v>
      </c>
      <c r="E803" s="8" t="s">
        <v>2416</v>
      </c>
      <c r="F803" s="8" t="s">
        <v>715</v>
      </c>
      <c r="G803" s="8" t="s">
        <v>33</v>
      </c>
      <c r="H803" s="8" t="s">
        <v>33</v>
      </c>
      <c r="I803" s="8">
        <v>21.0</v>
      </c>
      <c r="J803" s="8" t="s">
        <v>29</v>
      </c>
      <c r="K803" s="8"/>
      <c r="L803" s="8"/>
      <c r="M803" s="8"/>
      <c r="N803" s="8"/>
      <c r="O803" s="8"/>
      <c r="P803" s="8"/>
      <c r="Q803" s="8"/>
      <c r="R803" s="8"/>
      <c r="S803" s="8"/>
      <c r="T803" s="8"/>
      <c r="U803" s="8"/>
      <c r="V803" s="8"/>
      <c r="W803" s="8"/>
      <c r="X803" s="8"/>
      <c r="Y803" s="8"/>
      <c r="Z803" s="8"/>
    </row>
    <row r="804" ht="14.25" customHeight="1">
      <c r="A804" s="8">
        <v>24978.0</v>
      </c>
      <c r="B804" s="8" t="s">
        <v>24</v>
      </c>
      <c r="C804" s="8" t="s">
        <v>2417</v>
      </c>
      <c r="D804" s="8">
        <v>2010.0</v>
      </c>
      <c r="E804" s="8" t="s">
        <v>2418</v>
      </c>
      <c r="F804" s="8" t="s">
        <v>36</v>
      </c>
      <c r="G804" s="8">
        <v>5.0</v>
      </c>
      <c r="H804" s="8">
        <v>6.0</v>
      </c>
      <c r="I804" s="8" t="s">
        <v>33</v>
      </c>
      <c r="J804" s="8" t="s">
        <v>29</v>
      </c>
      <c r="K804" s="8"/>
      <c r="L804" s="8"/>
      <c r="M804" s="8"/>
      <c r="N804" s="8"/>
      <c r="O804" s="8"/>
      <c r="P804" s="8"/>
      <c r="Q804" s="8"/>
      <c r="R804" s="8"/>
      <c r="S804" s="8"/>
      <c r="T804" s="8"/>
      <c r="U804" s="8"/>
      <c r="V804" s="8"/>
      <c r="W804" s="8"/>
      <c r="X804" s="8"/>
      <c r="Y804" s="8"/>
      <c r="Z804" s="8"/>
    </row>
    <row r="805" ht="14.25" customHeight="1">
      <c r="A805" s="8">
        <v>23588.0</v>
      </c>
      <c r="B805" s="8" t="s">
        <v>24</v>
      </c>
      <c r="C805" s="8" t="s">
        <v>2419</v>
      </c>
      <c r="D805" s="8">
        <v>2019.0</v>
      </c>
      <c r="E805" s="8" t="s">
        <v>2420</v>
      </c>
      <c r="F805" s="8" t="s">
        <v>49</v>
      </c>
      <c r="G805" s="8">
        <v>678.0</v>
      </c>
      <c r="H805" s="8" t="s">
        <v>33</v>
      </c>
      <c r="I805" s="8" t="s">
        <v>2421</v>
      </c>
      <c r="J805" s="8" t="s">
        <v>29</v>
      </c>
      <c r="K805" s="8"/>
      <c r="L805" s="8"/>
      <c r="M805" s="8"/>
      <c r="N805" s="8"/>
      <c r="O805" s="8"/>
      <c r="P805" s="8"/>
      <c r="Q805" s="8"/>
      <c r="R805" s="8"/>
      <c r="S805" s="8"/>
      <c r="T805" s="8"/>
      <c r="U805" s="8"/>
      <c r="V805" s="8"/>
      <c r="W805" s="8"/>
      <c r="X805" s="8"/>
      <c r="Y805" s="8"/>
      <c r="Z805" s="8"/>
    </row>
    <row r="806" ht="14.25" customHeight="1">
      <c r="A806" s="8">
        <v>23936.0</v>
      </c>
      <c r="B806" s="8" t="s">
        <v>24</v>
      </c>
      <c r="C806" s="8" t="s">
        <v>2115</v>
      </c>
      <c r="D806" s="8">
        <v>2007.0</v>
      </c>
      <c r="E806" s="8" t="s">
        <v>2422</v>
      </c>
      <c r="F806" s="8" t="s">
        <v>60</v>
      </c>
      <c r="G806" s="8">
        <v>21.0</v>
      </c>
      <c r="H806" s="8">
        <v>2.0</v>
      </c>
      <c r="I806" s="8" t="s">
        <v>2423</v>
      </c>
      <c r="J806" s="8" t="s">
        <v>29</v>
      </c>
      <c r="K806" s="8"/>
      <c r="L806" s="8"/>
      <c r="M806" s="8"/>
      <c r="N806" s="8"/>
      <c r="O806" s="8"/>
      <c r="P806" s="8"/>
      <c r="Q806" s="8"/>
      <c r="R806" s="8"/>
      <c r="S806" s="8"/>
      <c r="T806" s="8"/>
      <c r="U806" s="8"/>
      <c r="V806" s="8"/>
      <c r="W806" s="8"/>
      <c r="X806" s="8"/>
      <c r="Y806" s="8"/>
      <c r="Z806" s="8"/>
    </row>
    <row r="807" ht="14.25" customHeight="1">
      <c r="A807" s="8">
        <v>24699.0</v>
      </c>
      <c r="B807" s="8" t="s">
        <v>24</v>
      </c>
      <c r="C807" s="8" t="s">
        <v>2424</v>
      </c>
      <c r="D807" s="8">
        <v>2013.0</v>
      </c>
      <c r="E807" s="8" t="s">
        <v>2425</v>
      </c>
      <c r="F807" s="8" t="s">
        <v>343</v>
      </c>
      <c r="G807" s="8">
        <v>77.0</v>
      </c>
      <c r="H807" s="8">
        <v>1.0</v>
      </c>
      <c r="I807" s="8" t="s">
        <v>2426</v>
      </c>
      <c r="J807" s="8" t="s">
        <v>29</v>
      </c>
      <c r="K807" s="8"/>
      <c r="L807" s="8"/>
      <c r="M807" s="8"/>
      <c r="N807" s="8"/>
      <c r="O807" s="8"/>
      <c r="P807" s="8"/>
      <c r="Q807" s="8"/>
      <c r="R807" s="8"/>
      <c r="S807" s="8"/>
      <c r="T807" s="8"/>
      <c r="U807" s="8"/>
      <c r="V807" s="8"/>
      <c r="W807" s="8"/>
      <c r="X807" s="8"/>
      <c r="Y807" s="8"/>
      <c r="Z807" s="8"/>
    </row>
    <row r="808" ht="14.25" customHeight="1">
      <c r="A808" s="8">
        <v>24536.0</v>
      </c>
      <c r="B808" s="8" t="s">
        <v>24</v>
      </c>
      <c r="C808" s="8" t="s">
        <v>398</v>
      </c>
      <c r="D808" s="8">
        <v>2016.0</v>
      </c>
      <c r="E808" s="8" t="s">
        <v>2427</v>
      </c>
      <c r="F808" s="8" t="s">
        <v>1459</v>
      </c>
      <c r="G808" s="8">
        <v>14.0</v>
      </c>
      <c r="H808" s="8">
        <v>8.0</v>
      </c>
      <c r="I808" s="8" t="s">
        <v>2428</v>
      </c>
      <c r="J808" s="8" t="s">
        <v>29</v>
      </c>
      <c r="K808" s="8"/>
      <c r="L808" s="8"/>
      <c r="M808" s="8"/>
      <c r="N808" s="8"/>
      <c r="O808" s="8"/>
      <c r="P808" s="8"/>
      <c r="Q808" s="8"/>
      <c r="R808" s="8"/>
      <c r="S808" s="8"/>
      <c r="T808" s="8"/>
      <c r="U808" s="8"/>
      <c r="V808" s="8"/>
      <c r="W808" s="8"/>
      <c r="X808" s="8"/>
      <c r="Y808" s="8"/>
      <c r="Z808" s="8"/>
    </row>
    <row r="809" ht="14.25" customHeight="1">
      <c r="A809" s="8">
        <v>24392.0</v>
      </c>
      <c r="B809" s="8" t="s">
        <v>24</v>
      </c>
      <c r="C809" s="8" t="s">
        <v>2429</v>
      </c>
      <c r="D809" s="8">
        <v>2020.0</v>
      </c>
      <c r="E809" s="8" t="s">
        <v>2430</v>
      </c>
      <c r="F809" s="8" t="s">
        <v>256</v>
      </c>
      <c r="G809" s="8">
        <v>192.0</v>
      </c>
      <c r="H809" s="8" t="s">
        <v>33</v>
      </c>
      <c r="I809" s="8" t="s">
        <v>33</v>
      </c>
      <c r="J809" s="8" t="s">
        <v>29</v>
      </c>
      <c r="K809" s="8"/>
      <c r="L809" s="8"/>
      <c r="M809" s="8"/>
      <c r="N809" s="8"/>
      <c r="O809" s="8"/>
      <c r="P809" s="8"/>
      <c r="Q809" s="8"/>
      <c r="R809" s="8"/>
      <c r="S809" s="8"/>
      <c r="T809" s="8"/>
      <c r="U809" s="8"/>
      <c r="V809" s="8"/>
      <c r="W809" s="8"/>
      <c r="X809" s="8"/>
      <c r="Y809" s="8"/>
      <c r="Z809" s="8"/>
    </row>
    <row r="810" ht="14.25" customHeight="1">
      <c r="A810" s="8">
        <v>26017.0</v>
      </c>
      <c r="B810" s="8" t="s">
        <v>24</v>
      </c>
      <c r="C810" s="8" t="s">
        <v>1917</v>
      </c>
      <c r="D810" s="8">
        <v>2014.0</v>
      </c>
      <c r="E810" s="8" t="s">
        <v>2431</v>
      </c>
      <c r="F810" s="8" t="s">
        <v>36</v>
      </c>
      <c r="G810" s="8">
        <v>9.0</v>
      </c>
      <c r="H810" s="8">
        <v>8.0</v>
      </c>
      <c r="I810" s="8" t="s">
        <v>33</v>
      </c>
      <c r="J810" s="8" t="s">
        <v>29</v>
      </c>
      <c r="K810" s="8"/>
      <c r="L810" s="8"/>
      <c r="M810" s="8"/>
      <c r="N810" s="8"/>
      <c r="O810" s="8"/>
      <c r="P810" s="8"/>
      <c r="Q810" s="8"/>
      <c r="R810" s="8"/>
      <c r="S810" s="8"/>
      <c r="T810" s="8"/>
      <c r="U810" s="8"/>
      <c r="V810" s="8"/>
      <c r="W810" s="8"/>
      <c r="X810" s="8"/>
      <c r="Y810" s="8"/>
      <c r="Z810" s="8"/>
    </row>
    <row r="811" ht="14.25" customHeight="1">
      <c r="A811" s="8">
        <v>24826.0</v>
      </c>
      <c r="B811" s="8" t="s">
        <v>24</v>
      </c>
      <c r="C811" s="8" t="s">
        <v>2432</v>
      </c>
      <c r="D811" s="8">
        <v>2018.0</v>
      </c>
      <c r="E811" s="8" t="s">
        <v>2433</v>
      </c>
      <c r="F811" s="8" t="s">
        <v>74</v>
      </c>
      <c r="G811" s="8">
        <v>43.0</v>
      </c>
      <c r="H811" s="8" t="s">
        <v>33</v>
      </c>
      <c r="I811" s="10">
        <v>43313.0</v>
      </c>
      <c r="J811" s="8" t="s">
        <v>29</v>
      </c>
      <c r="K811" s="8"/>
      <c r="L811" s="8"/>
      <c r="M811" s="8"/>
      <c r="N811" s="8"/>
      <c r="O811" s="8"/>
      <c r="P811" s="8"/>
      <c r="Q811" s="8"/>
      <c r="R811" s="8"/>
      <c r="S811" s="8"/>
      <c r="T811" s="8"/>
      <c r="U811" s="8"/>
      <c r="V811" s="8"/>
      <c r="W811" s="8"/>
      <c r="X811" s="8"/>
      <c r="Y811" s="8"/>
      <c r="Z811" s="8"/>
    </row>
    <row r="812" ht="14.25" customHeight="1">
      <c r="A812" s="8">
        <v>25409.0</v>
      </c>
      <c r="B812" s="8" t="s">
        <v>24</v>
      </c>
      <c r="C812" s="8" t="s">
        <v>1783</v>
      </c>
      <c r="D812" s="8">
        <v>2011.0</v>
      </c>
      <c r="E812" s="8" t="s">
        <v>2434</v>
      </c>
      <c r="F812" s="8" t="s">
        <v>2435</v>
      </c>
      <c r="G812" s="8">
        <v>53.0</v>
      </c>
      <c r="H812" s="8">
        <v>1.0</v>
      </c>
      <c r="I812" s="8" t="s">
        <v>2436</v>
      </c>
      <c r="J812" s="8" t="s">
        <v>29</v>
      </c>
      <c r="K812" s="8"/>
      <c r="L812" s="8"/>
      <c r="M812" s="8"/>
      <c r="N812" s="8"/>
      <c r="O812" s="8"/>
      <c r="P812" s="8"/>
      <c r="Q812" s="8"/>
      <c r="R812" s="8"/>
      <c r="S812" s="8"/>
      <c r="T812" s="8"/>
      <c r="U812" s="8"/>
      <c r="V812" s="8"/>
      <c r="W812" s="8"/>
      <c r="X812" s="8"/>
      <c r="Y812" s="8"/>
      <c r="Z812" s="8"/>
    </row>
    <row r="813" ht="14.25" customHeight="1">
      <c r="A813" s="8">
        <v>23992.0</v>
      </c>
      <c r="B813" s="8" t="s">
        <v>24</v>
      </c>
      <c r="C813" s="8" t="s">
        <v>2437</v>
      </c>
      <c r="D813" s="8">
        <v>2020.0</v>
      </c>
      <c r="E813" s="8" t="s">
        <v>2438</v>
      </c>
      <c r="F813" s="8" t="s">
        <v>2439</v>
      </c>
      <c r="G813" s="8">
        <v>15.0</v>
      </c>
      <c r="H813" s="8">
        <v>1.0</v>
      </c>
      <c r="I813" s="8">
        <v>8.0</v>
      </c>
      <c r="J813" s="8" t="s">
        <v>29</v>
      </c>
      <c r="K813" s="8"/>
      <c r="L813" s="8"/>
      <c r="M813" s="8"/>
      <c r="N813" s="8"/>
      <c r="O813" s="8"/>
      <c r="P813" s="8"/>
      <c r="Q813" s="8"/>
      <c r="R813" s="8"/>
      <c r="S813" s="8"/>
      <c r="T813" s="8"/>
      <c r="U813" s="8"/>
      <c r="V813" s="8"/>
      <c r="W813" s="8"/>
      <c r="X813" s="8"/>
      <c r="Y813" s="8"/>
      <c r="Z813" s="8"/>
    </row>
    <row r="814" ht="14.25" customHeight="1">
      <c r="A814" s="8">
        <v>24160.0</v>
      </c>
      <c r="B814" s="8" t="s">
        <v>24</v>
      </c>
      <c r="C814" s="8" t="s">
        <v>2440</v>
      </c>
      <c r="D814" s="8">
        <v>2018.0</v>
      </c>
      <c r="E814" s="8" t="s">
        <v>2441</v>
      </c>
      <c r="F814" s="8" t="s">
        <v>866</v>
      </c>
      <c r="G814" s="8">
        <v>10.0</v>
      </c>
      <c r="H814" s="8">
        <v>5.0</v>
      </c>
      <c r="I814" s="8" t="s">
        <v>33</v>
      </c>
      <c r="J814" s="8" t="s">
        <v>29</v>
      </c>
      <c r="K814" s="8"/>
      <c r="L814" s="8"/>
      <c r="M814" s="8"/>
      <c r="N814" s="8"/>
      <c r="O814" s="8"/>
      <c r="P814" s="8"/>
      <c r="Q814" s="8"/>
      <c r="R814" s="8"/>
      <c r="S814" s="8"/>
      <c r="T814" s="8"/>
      <c r="U814" s="8"/>
      <c r="V814" s="8"/>
      <c r="W814" s="8"/>
      <c r="X814" s="8"/>
      <c r="Y814" s="8"/>
      <c r="Z814" s="8"/>
    </row>
    <row r="815" ht="14.25" customHeight="1">
      <c r="A815" s="8">
        <v>26117.0</v>
      </c>
      <c r="B815" s="8" t="s">
        <v>24</v>
      </c>
      <c r="C815" s="8" t="s">
        <v>2442</v>
      </c>
      <c r="D815" s="8">
        <v>2012.0</v>
      </c>
      <c r="E815" s="8" t="s">
        <v>2443</v>
      </c>
      <c r="F815" s="8" t="s">
        <v>153</v>
      </c>
      <c r="G815" s="8">
        <v>96.0</v>
      </c>
      <c r="H815" s="8">
        <v>1.0</v>
      </c>
      <c r="I815" s="8" t="s">
        <v>519</v>
      </c>
      <c r="J815" s="8" t="s">
        <v>29</v>
      </c>
      <c r="K815" s="8"/>
      <c r="L815" s="8"/>
      <c r="M815" s="8"/>
      <c r="N815" s="8"/>
      <c r="O815" s="8"/>
      <c r="P815" s="8"/>
      <c r="Q815" s="8"/>
      <c r="R815" s="8"/>
      <c r="S815" s="8"/>
      <c r="T815" s="8"/>
      <c r="U815" s="8"/>
      <c r="V815" s="8"/>
      <c r="W815" s="8"/>
      <c r="X815" s="8"/>
      <c r="Y815" s="8"/>
      <c r="Z815" s="8"/>
    </row>
    <row r="816" ht="14.25" customHeight="1">
      <c r="A816" s="8">
        <v>23977.0</v>
      </c>
      <c r="B816" s="8" t="s">
        <v>24</v>
      </c>
      <c r="C816" s="8" t="s">
        <v>2444</v>
      </c>
      <c r="D816" s="8">
        <v>2019.0</v>
      </c>
      <c r="E816" s="8" t="s">
        <v>2445</v>
      </c>
      <c r="F816" s="8" t="s">
        <v>933</v>
      </c>
      <c r="G816" s="8">
        <v>9.0</v>
      </c>
      <c r="H816" s="8" t="s">
        <v>33</v>
      </c>
      <c r="I816" s="8">
        <v>11.0</v>
      </c>
      <c r="J816" s="8" t="s">
        <v>29</v>
      </c>
      <c r="K816" s="8"/>
      <c r="L816" s="8"/>
      <c r="M816" s="8"/>
      <c r="N816" s="8"/>
      <c r="O816" s="8"/>
      <c r="P816" s="8"/>
      <c r="Q816" s="8"/>
      <c r="R816" s="8"/>
      <c r="S816" s="8"/>
      <c r="T816" s="8"/>
      <c r="U816" s="8"/>
      <c r="V816" s="8"/>
      <c r="W816" s="8"/>
      <c r="X816" s="8"/>
      <c r="Y816" s="8"/>
      <c r="Z816" s="8"/>
    </row>
    <row r="817" ht="14.25" customHeight="1">
      <c r="A817" s="8">
        <v>23753.0</v>
      </c>
      <c r="B817" s="8" t="s">
        <v>576</v>
      </c>
      <c r="C817" s="8" t="s">
        <v>2446</v>
      </c>
      <c r="D817" s="8">
        <v>2008.0</v>
      </c>
      <c r="E817" s="8" t="s">
        <v>2447</v>
      </c>
      <c r="F817" s="8" t="s">
        <v>33</v>
      </c>
      <c r="G817" s="8" t="s">
        <v>33</v>
      </c>
      <c r="H817" s="8" t="s">
        <v>33</v>
      </c>
      <c r="I817" s="8" t="s">
        <v>33</v>
      </c>
      <c r="J817" s="8" t="s">
        <v>29</v>
      </c>
      <c r="K817" s="8"/>
      <c r="L817" s="8"/>
      <c r="M817" s="8"/>
      <c r="N817" s="8"/>
      <c r="O817" s="8"/>
      <c r="P817" s="8"/>
      <c r="Q817" s="8"/>
      <c r="R817" s="8"/>
      <c r="S817" s="8"/>
      <c r="T817" s="8"/>
      <c r="U817" s="8"/>
      <c r="V817" s="8"/>
      <c r="W817" s="8"/>
      <c r="X817" s="8"/>
      <c r="Y817" s="8"/>
      <c r="Z817" s="8"/>
    </row>
    <row r="818" ht="14.25" customHeight="1">
      <c r="A818" s="8">
        <v>23782.0</v>
      </c>
      <c r="B818" s="8" t="s">
        <v>24</v>
      </c>
      <c r="C818" s="8" t="s">
        <v>2066</v>
      </c>
      <c r="D818" s="8">
        <v>2018.0</v>
      </c>
      <c r="E818" s="8" t="s">
        <v>2448</v>
      </c>
      <c r="F818" s="8" t="s">
        <v>2449</v>
      </c>
      <c r="G818" s="8">
        <v>9.0</v>
      </c>
      <c r="H818" s="8">
        <v>8.0</v>
      </c>
      <c r="I818" s="8" t="s">
        <v>2450</v>
      </c>
      <c r="J818" s="8" t="s">
        <v>29</v>
      </c>
      <c r="K818" s="8"/>
      <c r="L818" s="8"/>
      <c r="M818" s="8"/>
      <c r="N818" s="8"/>
      <c r="O818" s="8"/>
      <c r="P818" s="8"/>
      <c r="Q818" s="8"/>
      <c r="R818" s="8"/>
      <c r="S818" s="8"/>
      <c r="T818" s="8"/>
      <c r="U818" s="8"/>
      <c r="V818" s="8"/>
      <c r="W818" s="8"/>
      <c r="X818" s="8"/>
      <c r="Y818" s="8"/>
      <c r="Z818" s="8"/>
    </row>
    <row r="819" ht="14.25" customHeight="1">
      <c r="A819" s="8">
        <v>23559.0</v>
      </c>
      <c r="B819" s="8" t="s">
        <v>24</v>
      </c>
      <c r="C819" s="8" t="s">
        <v>2451</v>
      </c>
      <c r="D819" s="8">
        <v>2019.0</v>
      </c>
      <c r="E819" s="8" t="s">
        <v>2452</v>
      </c>
      <c r="F819" s="8" t="s">
        <v>64</v>
      </c>
      <c r="G819" s="8">
        <v>233.0</v>
      </c>
      <c r="H819" s="8" t="s">
        <v>33</v>
      </c>
      <c r="I819" s="8" t="s">
        <v>2453</v>
      </c>
      <c r="J819" s="8" t="s">
        <v>29</v>
      </c>
      <c r="K819" s="8"/>
      <c r="L819" s="8"/>
      <c r="M819" s="8"/>
      <c r="N819" s="8"/>
      <c r="O819" s="8"/>
      <c r="P819" s="8"/>
      <c r="Q819" s="8"/>
      <c r="R819" s="8"/>
      <c r="S819" s="8"/>
      <c r="T819" s="8"/>
      <c r="U819" s="8"/>
      <c r="V819" s="8"/>
      <c r="W819" s="8"/>
      <c r="X819" s="8"/>
      <c r="Y819" s="8"/>
      <c r="Z819" s="8"/>
    </row>
    <row r="820" ht="14.25" customHeight="1">
      <c r="A820" s="8">
        <v>23234.0</v>
      </c>
      <c r="B820" s="8" t="s">
        <v>24</v>
      </c>
      <c r="C820" s="8" t="s">
        <v>2454</v>
      </c>
      <c r="D820" s="8">
        <v>2012.0</v>
      </c>
      <c r="E820" s="8" t="s">
        <v>2455</v>
      </c>
      <c r="F820" s="8" t="s">
        <v>2159</v>
      </c>
      <c r="G820" s="8">
        <v>444.0</v>
      </c>
      <c r="H820" s="8" t="s">
        <v>33</v>
      </c>
      <c r="I820" s="8" t="s">
        <v>2456</v>
      </c>
      <c r="J820" s="8" t="s">
        <v>29</v>
      </c>
      <c r="K820" s="8"/>
      <c r="L820" s="8"/>
      <c r="M820" s="8"/>
      <c r="N820" s="8"/>
      <c r="O820" s="8"/>
      <c r="P820" s="8"/>
      <c r="Q820" s="8"/>
      <c r="R820" s="8"/>
      <c r="S820" s="8"/>
      <c r="T820" s="8"/>
      <c r="U820" s="8"/>
      <c r="V820" s="8"/>
      <c r="W820" s="8"/>
      <c r="X820" s="8"/>
      <c r="Y820" s="8"/>
      <c r="Z820" s="8"/>
    </row>
    <row r="821" ht="14.25" customHeight="1">
      <c r="A821" s="8">
        <v>24180.0</v>
      </c>
      <c r="B821" s="8" t="s">
        <v>24</v>
      </c>
      <c r="C821" s="8" t="s">
        <v>2457</v>
      </c>
      <c r="D821" s="8">
        <v>2018.0</v>
      </c>
      <c r="E821" s="8" t="s">
        <v>2458</v>
      </c>
      <c r="F821" s="8" t="s">
        <v>438</v>
      </c>
      <c r="G821" s="8">
        <v>169.0</v>
      </c>
      <c r="H821" s="8" t="s">
        <v>33</v>
      </c>
      <c r="I821" s="8" t="s">
        <v>2459</v>
      </c>
      <c r="J821" s="8" t="s">
        <v>29</v>
      </c>
      <c r="K821" s="8"/>
      <c r="L821" s="8"/>
      <c r="M821" s="8"/>
      <c r="N821" s="8"/>
      <c r="O821" s="8"/>
      <c r="P821" s="8"/>
      <c r="Q821" s="8"/>
      <c r="R821" s="8"/>
      <c r="S821" s="8"/>
      <c r="T821" s="8"/>
      <c r="U821" s="8"/>
      <c r="V821" s="8"/>
      <c r="W821" s="8"/>
      <c r="X821" s="8"/>
      <c r="Y821" s="8"/>
      <c r="Z821" s="8"/>
    </row>
    <row r="822" ht="14.25" customHeight="1">
      <c r="A822" s="8">
        <v>24693.0</v>
      </c>
      <c r="B822" s="8" t="s">
        <v>24</v>
      </c>
      <c r="C822" s="8" t="s">
        <v>2460</v>
      </c>
      <c r="D822" s="8">
        <v>2020.0</v>
      </c>
      <c r="E822" s="8" t="s">
        <v>2461</v>
      </c>
      <c r="F822" s="8" t="s">
        <v>32</v>
      </c>
      <c r="G822" s="8">
        <v>112.0</v>
      </c>
      <c r="H822" s="8" t="s">
        <v>33</v>
      </c>
      <c r="I822" s="8" t="s">
        <v>33</v>
      </c>
      <c r="J822" s="8" t="s">
        <v>29</v>
      </c>
      <c r="K822" s="8"/>
      <c r="L822" s="8"/>
      <c r="M822" s="8"/>
      <c r="N822" s="8"/>
      <c r="O822" s="8"/>
      <c r="P822" s="8"/>
      <c r="Q822" s="8"/>
      <c r="R822" s="8"/>
      <c r="S822" s="8"/>
      <c r="T822" s="8"/>
      <c r="U822" s="8"/>
      <c r="V822" s="8"/>
      <c r="W822" s="8"/>
      <c r="X822" s="8"/>
      <c r="Y822" s="8"/>
      <c r="Z822" s="8"/>
    </row>
    <row r="823" ht="14.25" customHeight="1">
      <c r="A823" s="8">
        <v>24600.0</v>
      </c>
      <c r="B823" s="8" t="s">
        <v>24</v>
      </c>
      <c r="C823" s="8" t="s">
        <v>2462</v>
      </c>
      <c r="D823" s="8">
        <v>2017.0</v>
      </c>
      <c r="E823" s="8" t="s">
        <v>2463</v>
      </c>
      <c r="F823" s="8" t="s">
        <v>32</v>
      </c>
      <c r="G823" s="8">
        <v>76.0</v>
      </c>
      <c r="H823" s="8" t="s">
        <v>33</v>
      </c>
      <c r="I823" s="8" t="s">
        <v>2464</v>
      </c>
      <c r="J823" s="8" t="s">
        <v>29</v>
      </c>
      <c r="K823" s="8"/>
      <c r="L823" s="8"/>
      <c r="M823" s="8"/>
      <c r="N823" s="8"/>
      <c r="O823" s="8"/>
      <c r="P823" s="8"/>
      <c r="Q823" s="8"/>
      <c r="R823" s="8"/>
      <c r="S823" s="8"/>
      <c r="T823" s="8"/>
      <c r="U823" s="8"/>
      <c r="V823" s="8"/>
      <c r="W823" s="8"/>
      <c r="X823" s="8"/>
      <c r="Y823" s="8"/>
      <c r="Z823" s="8"/>
    </row>
    <row r="824" ht="14.25" customHeight="1">
      <c r="A824" s="8">
        <v>25317.0</v>
      </c>
      <c r="B824" s="8" t="s">
        <v>24</v>
      </c>
      <c r="C824" s="8" t="s">
        <v>2465</v>
      </c>
      <c r="D824" s="8">
        <v>2013.0</v>
      </c>
      <c r="E824" s="8" t="s">
        <v>2466</v>
      </c>
      <c r="F824" s="8" t="s">
        <v>2159</v>
      </c>
      <c r="G824" s="8">
        <v>493.0</v>
      </c>
      <c r="H824" s="8" t="s">
        <v>33</v>
      </c>
      <c r="I824" s="8" t="s">
        <v>2467</v>
      </c>
      <c r="J824" s="8" t="s">
        <v>29</v>
      </c>
      <c r="K824" s="8"/>
      <c r="L824" s="8"/>
      <c r="M824" s="8"/>
      <c r="N824" s="8"/>
      <c r="O824" s="8"/>
      <c r="P824" s="8"/>
      <c r="Q824" s="8"/>
      <c r="R824" s="8"/>
      <c r="S824" s="8"/>
      <c r="T824" s="8"/>
      <c r="U824" s="8"/>
      <c r="V824" s="8"/>
      <c r="W824" s="8"/>
      <c r="X824" s="8"/>
      <c r="Y824" s="8"/>
      <c r="Z824" s="8"/>
    </row>
    <row r="825" ht="14.25" customHeight="1">
      <c r="A825" s="8">
        <v>24877.0</v>
      </c>
      <c r="B825" s="8" t="s">
        <v>24</v>
      </c>
      <c r="C825" s="8" t="s">
        <v>2468</v>
      </c>
      <c r="D825" s="8">
        <v>2011.0</v>
      </c>
      <c r="E825" s="8" t="s">
        <v>2469</v>
      </c>
      <c r="F825" s="8" t="s">
        <v>1810</v>
      </c>
      <c r="G825" s="8">
        <v>68.0</v>
      </c>
      <c r="H825" s="8">
        <v>1.0</v>
      </c>
      <c r="I825" s="8" t="s">
        <v>2470</v>
      </c>
      <c r="J825" s="8" t="s">
        <v>29</v>
      </c>
      <c r="K825" s="8"/>
      <c r="L825" s="8"/>
      <c r="M825" s="8"/>
      <c r="N825" s="8"/>
      <c r="O825" s="8"/>
      <c r="P825" s="8"/>
      <c r="Q825" s="8"/>
      <c r="R825" s="8"/>
      <c r="S825" s="8"/>
      <c r="T825" s="8"/>
      <c r="U825" s="8"/>
      <c r="V825" s="8"/>
      <c r="W825" s="8"/>
      <c r="X825" s="8"/>
      <c r="Y825" s="8"/>
      <c r="Z825" s="8"/>
    </row>
    <row r="826" ht="14.25" customHeight="1">
      <c r="A826" s="8">
        <v>25221.0</v>
      </c>
      <c r="B826" s="8" t="s">
        <v>24</v>
      </c>
      <c r="C826" s="8" t="s">
        <v>2471</v>
      </c>
      <c r="D826" s="8">
        <v>2011.0</v>
      </c>
      <c r="E826" s="8" t="s">
        <v>2472</v>
      </c>
      <c r="F826" s="8" t="s">
        <v>36</v>
      </c>
      <c r="G826" s="8">
        <v>6.0</v>
      </c>
      <c r="H826" s="8">
        <v>2.0</v>
      </c>
      <c r="I826" s="8" t="s">
        <v>33</v>
      </c>
      <c r="J826" s="8" t="s">
        <v>29</v>
      </c>
      <c r="K826" s="8"/>
      <c r="L826" s="8"/>
      <c r="M826" s="8"/>
      <c r="N826" s="8"/>
      <c r="O826" s="8"/>
      <c r="P826" s="8"/>
      <c r="Q826" s="8"/>
      <c r="R826" s="8"/>
      <c r="S826" s="8"/>
      <c r="T826" s="8"/>
      <c r="U826" s="8"/>
      <c r="V826" s="8"/>
      <c r="W826" s="8"/>
      <c r="X826" s="8"/>
      <c r="Y826" s="8"/>
      <c r="Z826" s="8"/>
    </row>
    <row r="827" ht="14.25" customHeight="1">
      <c r="A827" s="8">
        <v>24326.0</v>
      </c>
      <c r="B827" s="8" t="s">
        <v>24</v>
      </c>
      <c r="C827" s="8" t="s">
        <v>2473</v>
      </c>
      <c r="D827" s="8">
        <v>2017.0</v>
      </c>
      <c r="E827" s="8" t="s">
        <v>2474</v>
      </c>
      <c r="F827" s="8" t="s">
        <v>56</v>
      </c>
      <c r="G827" s="8">
        <v>54.0</v>
      </c>
      <c r="H827" s="8">
        <v>6.0</v>
      </c>
      <c r="I827" s="8" t="s">
        <v>2475</v>
      </c>
      <c r="J827" s="8" t="s">
        <v>29</v>
      </c>
      <c r="K827" s="8"/>
      <c r="L827" s="8"/>
      <c r="M827" s="8"/>
      <c r="N827" s="8"/>
      <c r="O827" s="8"/>
      <c r="P827" s="8"/>
      <c r="Q827" s="8"/>
      <c r="R827" s="8"/>
      <c r="S827" s="8"/>
      <c r="T827" s="8"/>
      <c r="U827" s="8"/>
      <c r="V827" s="8"/>
      <c r="W827" s="8"/>
      <c r="X827" s="8"/>
      <c r="Y827" s="8"/>
      <c r="Z827" s="8"/>
    </row>
    <row r="828" ht="14.25" customHeight="1">
      <c r="A828" s="8">
        <v>23438.0</v>
      </c>
      <c r="B828" s="8" t="s">
        <v>24</v>
      </c>
      <c r="C828" s="8" t="s">
        <v>2476</v>
      </c>
      <c r="D828" s="8">
        <v>2018.0</v>
      </c>
      <c r="E828" s="8" t="s">
        <v>2477</v>
      </c>
      <c r="F828" s="8" t="s">
        <v>2478</v>
      </c>
      <c r="G828" s="8">
        <v>29.0</v>
      </c>
      <c r="H828" s="8">
        <v>2.0</v>
      </c>
      <c r="I828" s="8" t="s">
        <v>2479</v>
      </c>
      <c r="J828" s="8" t="s">
        <v>29</v>
      </c>
      <c r="K828" s="8"/>
      <c r="L828" s="8"/>
      <c r="M828" s="8"/>
      <c r="N828" s="8"/>
      <c r="O828" s="8"/>
      <c r="P828" s="8"/>
      <c r="Q828" s="8"/>
      <c r="R828" s="8"/>
      <c r="S828" s="8"/>
      <c r="T828" s="8"/>
      <c r="U828" s="8"/>
      <c r="V828" s="8"/>
      <c r="W828" s="8"/>
      <c r="X828" s="8"/>
      <c r="Y828" s="8"/>
      <c r="Z828" s="8"/>
    </row>
    <row r="829" ht="14.25" customHeight="1">
      <c r="A829" s="8">
        <v>26053.0</v>
      </c>
      <c r="B829" s="8" t="s">
        <v>24</v>
      </c>
      <c r="C829" s="8" t="s">
        <v>2480</v>
      </c>
      <c r="D829" s="8">
        <v>2018.0</v>
      </c>
      <c r="E829" s="8" t="s">
        <v>2481</v>
      </c>
      <c r="F829" s="8" t="s">
        <v>256</v>
      </c>
      <c r="G829" s="8">
        <v>163.0</v>
      </c>
      <c r="H829" s="8" t="s">
        <v>33</v>
      </c>
      <c r="I829" s="8" t="s">
        <v>2482</v>
      </c>
      <c r="J829" s="8" t="s">
        <v>29</v>
      </c>
      <c r="K829" s="8"/>
      <c r="L829" s="8"/>
      <c r="M829" s="8"/>
      <c r="N829" s="8"/>
      <c r="O829" s="8"/>
      <c r="P829" s="8"/>
      <c r="Q829" s="8"/>
      <c r="R829" s="8"/>
      <c r="S829" s="8"/>
      <c r="T829" s="8"/>
      <c r="U829" s="8"/>
      <c r="V829" s="8"/>
      <c r="W829" s="8"/>
      <c r="X829" s="8"/>
      <c r="Y829" s="8"/>
      <c r="Z829" s="8"/>
    </row>
    <row r="830" ht="14.25" customHeight="1">
      <c r="A830" s="8">
        <v>24169.0</v>
      </c>
      <c r="B830" s="8" t="s">
        <v>24</v>
      </c>
      <c r="C830" s="8" t="s">
        <v>2483</v>
      </c>
      <c r="D830" s="8">
        <v>2015.0</v>
      </c>
      <c r="E830" s="8" t="s">
        <v>2484</v>
      </c>
      <c r="F830" s="8" t="s">
        <v>965</v>
      </c>
      <c r="G830" s="8">
        <v>10.0</v>
      </c>
      <c r="H830" s="8">
        <v>7.0</v>
      </c>
      <c r="I830" s="8">
        <v>20.0</v>
      </c>
      <c r="J830" s="8" t="s">
        <v>29</v>
      </c>
      <c r="K830" s="8"/>
      <c r="L830" s="8"/>
      <c r="M830" s="8"/>
      <c r="N830" s="8"/>
      <c r="O830" s="8"/>
      <c r="P830" s="8"/>
      <c r="Q830" s="8"/>
      <c r="R830" s="8"/>
      <c r="S830" s="8"/>
      <c r="T830" s="8"/>
      <c r="U830" s="8"/>
      <c r="V830" s="8"/>
      <c r="W830" s="8"/>
      <c r="X830" s="8"/>
      <c r="Y830" s="8"/>
      <c r="Z830" s="8"/>
    </row>
    <row r="831" ht="14.25" customHeight="1">
      <c r="A831" s="8">
        <v>25191.0</v>
      </c>
      <c r="B831" s="8" t="s">
        <v>24</v>
      </c>
      <c r="C831" s="8" t="s">
        <v>2485</v>
      </c>
      <c r="D831" s="8">
        <v>2010.0</v>
      </c>
      <c r="E831" s="8" t="s">
        <v>2486</v>
      </c>
      <c r="F831" s="8" t="s">
        <v>242</v>
      </c>
      <c r="G831" s="8">
        <v>12.0</v>
      </c>
      <c r="H831" s="8">
        <v>5.0</v>
      </c>
      <c r="I831" s="8" t="s">
        <v>2487</v>
      </c>
      <c r="J831" s="8" t="s">
        <v>29</v>
      </c>
      <c r="K831" s="8"/>
      <c r="L831" s="8"/>
      <c r="M831" s="8"/>
      <c r="N831" s="8"/>
      <c r="O831" s="8"/>
      <c r="P831" s="8"/>
      <c r="Q831" s="8"/>
      <c r="R831" s="8"/>
      <c r="S831" s="8"/>
      <c r="T831" s="8"/>
      <c r="U831" s="8"/>
      <c r="V831" s="8"/>
      <c r="W831" s="8"/>
      <c r="X831" s="8"/>
      <c r="Y831" s="8"/>
      <c r="Z831" s="8"/>
    </row>
    <row r="832" ht="14.25" customHeight="1">
      <c r="A832" s="8">
        <v>23464.0</v>
      </c>
      <c r="B832" s="8" t="s">
        <v>24</v>
      </c>
      <c r="C832" s="8" t="s">
        <v>2488</v>
      </c>
      <c r="D832" s="8">
        <v>2020.0</v>
      </c>
      <c r="E832" s="8" t="s">
        <v>2489</v>
      </c>
      <c r="F832" s="8" t="s">
        <v>615</v>
      </c>
      <c r="G832" s="8">
        <v>29.0</v>
      </c>
      <c r="H832" s="8">
        <v>6.0</v>
      </c>
      <c r="I832" s="8" t="s">
        <v>2490</v>
      </c>
      <c r="J832" s="8" t="s">
        <v>29</v>
      </c>
      <c r="K832" s="8"/>
      <c r="L832" s="8"/>
      <c r="M832" s="8"/>
      <c r="N832" s="8"/>
      <c r="O832" s="8"/>
      <c r="P832" s="8"/>
      <c r="Q832" s="8"/>
      <c r="R832" s="8"/>
      <c r="S832" s="8"/>
      <c r="T832" s="8"/>
      <c r="U832" s="8"/>
      <c r="V832" s="8"/>
      <c r="W832" s="8"/>
      <c r="X832" s="8"/>
      <c r="Y832" s="8"/>
      <c r="Z832" s="8"/>
    </row>
    <row r="833" ht="14.25" customHeight="1">
      <c r="A833" s="8">
        <v>26103.0</v>
      </c>
      <c r="B833" s="8" t="s">
        <v>24</v>
      </c>
      <c r="C833" s="8" t="s">
        <v>2491</v>
      </c>
      <c r="D833" s="8">
        <v>2005.0</v>
      </c>
      <c r="E833" s="8" t="s">
        <v>2492</v>
      </c>
      <c r="F833" s="8" t="s">
        <v>60</v>
      </c>
      <c r="G833" s="8">
        <v>19.0</v>
      </c>
      <c r="H833" s="8">
        <v>1.0</v>
      </c>
      <c r="I833" s="8" t="s">
        <v>2493</v>
      </c>
      <c r="J833" s="8" t="s">
        <v>29</v>
      </c>
      <c r="K833" s="8"/>
      <c r="L833" s="8"/>
      <c r="M833" s="8"/>
      <c r="N833" s="8"/>
      <c r="O833" s="8"/>
      <c r="P833" s="8"/>
      <c r="Q833" s="8"/>
      <c r="R833" s="8"/>
      <c r="S833" s="8"/>
      <c r="T833" s="8"/>
      <c r="U833" s="8"/>
      <c r="V833" s="8"/>
      <c r="W833" s="8"/>
      <c r="X833" s="8"/>
      <c r="Y833" s="8"/>
      <c r="Z833" s="8"/>
    </row>
    <row r="834" ht="14.25" customHeight="1">
      <c r="A834" s="8">
        <v>23760.0</v>
      </c>
      <c r="B834" s="8" t="s">
        <v>24</v>
      </c>
      <c r="C834" s="8" t="s">
        <v>2494</v>
      </c>
      <c r="D834" s="8">
        <v>2012.0</v>
      </c>
      <c r="E834" s="8" t="s">
        <v>2495</v>
      </c>
      <c r="F834" s="8" t="s">
        <v>336</v>
      </c>
      <c r="G834" s="8">
        <v>109.0</v>
      </c>
      <c r="H834" s="8">
        <v>7.0</v>
      </c>
      <c r="I834" s="8" t="s">
        <v>2496</v>
      </c>
      <c r="J834" s="8" t="s">
        <v>29</v>
      </c>
      <c r="K834" s="8"/>
      <c r="L834" s="8"/>
      <c r="M834" s="8"/>
      <c r="N834" s="8"/>
      <c r="O834" s="8"/>
      <c r="P834" s="8"/>
      <c r="Q834" s="8"/>
      <c r="R834" s="8"/>
      <c r="S834" s="8"/>
      <c r="T834" s="8"/>
      <c r="U834" s="8"/>
      <c r="V834" s="8"/>
      <c r="W834" s="8"/>
      <c r="X834" s="8"/>
      <c r="Y834" s="8"/>
      <c r="Z834" s="8"/>
    </row>
    <row r="835" ht="14.25" customHeight="1">
      <c r="A835" s="8">
        <v>24885.0</v>
      </c>
      <c r="B835" s="8" t="s">
        <v>24</v>
      </c>
      <c r="C835" s="8" t="s">
        <v>2497</v>
      </c>
      <c r="D835" s="8">
        <v>2009.0</v>
      </c>
      <c r="E835" s="8" t="s">
        <v>2498</v>
      </c>
      <c r="F835" s="8" t="s">
        <v>2499</v>
      </c>
      <c r="G835" s="8">
        <v>5.0</v>
      </c>
      <c r="H835" s="8">
        <v>2.0</v>
      </c>
      <c r="I835" s="8" t="s">
        <v>2500</v>
      </c>
      <c r="J835" s="8" t="s">
        <v>29</v>
      </c>
      <c r="K835" s="8"/>
      <c r="L835" s="8"/>
      <c r="M835" s="8"/>
      <c r="N835" s="8"/>
      <c r="O835" s="8"/>
      <c r="P835" s="8"/>
      <c r="Q835" s="8"/>
      <c r="R835" s="8"/>
      <c r="S835" s="8"/>
      <c r="T835" s="8"/>
      <c r="U835" s="8"/>
      <c r="V835" s="8"/>
      <c r="W835" s="8"/>
      <c r="X835" s="8"/>
      <c r="Y835" s="8"/>
      <c r="Z835" s="8"/>
    </row>
    <row r="836" ht="14.25" customHeight="1">
      <c r="A836" s="8">
        <v>23315.0</v>
      </c>
      <c r="B836" s="8" t="s">
        <v>24</v>
      </c>
      <c r="C836" s="8" t="s">
        <v>2501</v>
      </c>
      <c r="D836" s="8">
        <v>2020.0</v>
      </c>
      <c r="E836" s="8" t="s">
        <v>2502</v>
      </c>
      <c r="F836" s="8" t="s">
        <v>455</v>
      </c>
      <c r="G836" s="8">
        <v>21.0</v>
      </c>
      <c r="H836" s="8" t="s">
        <v>33</v>
      </c>
      <c r="I836" s="8" t="s">
        <v>33</v>
      </c>
      <c r="J836" s="8" t="s">
        <v>29</v>
      </c>
      <c r="K836" s="8"/>
      <c r="L836" s="8"/>
      <c r="M836" s="8"/>
      <c r="N836" s="8"/>
      <c r="O836" s="8"/>
      <c r="P836" s="8"/>
      <c r="Q836" s="8"/>
      <c r="R836" s="8"/>
      <c r="S836" s="8"/>
      <c r="T836" s="8"/>
      <c r="U836" s="8"/>
      <c r="V836" s="8"/>
      <c r="W836" s="8"/>
      <c r="X836" s="8"/>
      <c r="Y836" s="8"/>
      <c r="Z836" s="8"/>
    </row>
    <row r="837" ht="14.25" customHeight="1">
      <c r="A837" s="8">
        <v>25557.0</v>
      </c>
      <c r="B837" s="8" t="s">
        <v>24</v>
      </c>
      <c r="C837" s="8" t="s">
        <v>2503</v>
      </c>
      <c r="D837" s="8">
        <v>2020.0</v>
      </c>
      <c r="E837" s="8" t="s">
        <v>2504</v>
      </c>
      <c r="F837" s="8" t="s">
        <v>56</v>
      </c>
      <c r="G837" s="8" t="s">
        <v>33</v>
      </c>
      <c r="H837" s="8" t="s">
        <v>33</v>
      </c>
      <c r="I837" s="8">
        <v>11.0</v>
      </c>
      <c r="J837" s="8" t="s">
        <v>29</v>
      </c>
      <c r="K837" s="8"/>
      <c r="L837" s="8"/>
      <c r="M837" s="8"/>
      <c r="N837" s="8"/>
      <c r="O837" s="8"/>
      <c r="P837" s="8"/>
      <c r="Q837" s="8"/>
      <c r="R837" s="8"/>
      <c r="S837" s="8"/>
      <c r="T837" s="8"/>
      <c r="U837" s="8"/>
      <c r="V837" s="8"/>
      <c r="W837" s="8"/>
      <c r="X837" s="8"/>
      <c r="Y837" s="8"/>
      <c r="Z837" s="8"/>
    </row>
    <row r="838" ht="14.25" customHeight="1">
      <c r="A838" s="8">
        <v>24654.0</v>
      </c>
      <c r="B838" s="8" t="s">
        <v>24</v>
      </c>
      <c r="C838" s="8" t="s">
        <v>2505</v>
      </c>
      <c r="D838" s="8">
        <v>2019.0</v>
      </c>
      <c r="E838" s="8" t="s">
        <v>2506</v>
      </c>
      <c r="F838" s="8" t="s">
        <v>2507</v>
      </c>
      <c r="G838" s="8">
        <v>23.0</v>
      </c>
      <c r="H838" s="8">
        <v>1.0</v>
      </c>
      <c r="I838" s="8" t="s">
        <v>686</v>
      </c>
      <c r="J838" s="8" t="s">
        <v>29</v>
      </c>
      <c r="K838" s="8"/>
      <c r="L838" s="8"/>
      <c r="M838" s="8"/>
      <c r="N838" s="8"/>
      <c r="O838" s="8"/>
      <c r="P838" s="8"/>
      <c r="Q838" s="8"/>
      <c r="R838" s="8"/>
      <c r="S838" s="8"/>
      <c r="T838" s="8"/>
      <c r="U838" s="8"/>
      <c r="V838" s="8"/>
      <c r="W838" s="8"/>
      <c r="X838" s="8"/>
      <c r="Y838" s="8"/>
      <c r="Z838" s="8"/>
    </row>
    <row r="839" ht="14.25" customHeight="1">
      <c r="A839" s="8" t="s">
        <v>2508</v>
      </c>
      <c r="B839" s="8" t="s">
        <v>41</v>
      </c>
      <c r="C839" s="8" t="s">
        <v>2509</v>
      </c>
      <c r="D839" s="8">
        <v>2019.0</v>
      </c>
      <c r="E839" s="8" t="s">
        <v>2510</v>
      </c>
      <c r="F839" s="8" t="s">
        <v>2511</v>
      </c>
      <c r="G839" s="8" t="s">
        <v>33</v>
      </c>
      <c r="H839" s="8" t="s">
        <v>33</v>
      </c>
      <c r="I839" s="8" t="s">
        <v>33</v>
      </c>
      <c r="J839" s="8" t="s">
        <v>320</v>
      </c>
      <c r="K839" s="8"/>
      <c r="L839" s="8"/>
      <c r="M839" s="8"/>
      <c r="N839" s="8"/>
      <c r="O839" s="8"/>
      <c r="P839" s="8"/>
      <c r="Q839" s="8"/>
      <c r="R839" s="8"/>
      <c r="S839" s="8"/>
      <c r="T839" s="8"/>
      <c r="U839" s="8"/>
      <c r="V839" s="8"/>
      <c r="W839" s="8"/>
      <c r="X839" s="8"/>
      <c r="Y839" s="8"/>
      <c r="Z839" s="8"/>
    </row>
    <row r="840" ht="14.25" customHeight="1">
      <c r="A840" s="8">
        <v>25607.0</v>
      </c>
      <c r="B840" s="8" t="s">
        <v>24</v>
      </c>
      <c r="C840" s="8" t="s">
        <v>2512</v>
      </c>
      <c r="D840" s="8">
        <v>2019.0</v>
      </c>
      <c r="E840" s="8" t="s">
        <v>2513</v>
      </c>
      <c r="F840" s="8" t="s">
        <v>1410</v>
      </c>
      <c r="G840" s="8">
        <v>6.0</v>
      </c>
      <c r="H840" s="8" t="s">
        <v>2514</v>
      </c>
      <c r="I840" s="10">
        <v>42005.0</v>
      </c>
      <c r="J840" s="8" t="s">
        <v>29</v>
      </c>
      <c r="K840" s="8"/>
      <c r="L840" s="8"/>
      <c r="M840" s="8"/>
      <c r="N840" s="8"/>
      <c r="O840" s="8"/>
      <c r="P840" s="8"/>
      <c r="Q840" s="8"/>
      <c r="R840" s="8"/>
      <c r="S840" s="8"/>
      <c r="T840" s="8"/>
      <c r="U840" s="8"/>
      <c r="V840" s="8"/>
      <c r="W840" s="8"/>
      <c r="X840" s="8"/>
      <c r="Y840" s="8"/>
      <c r="Z840" s="8"/>
    </row>
    <row r="841" ht="14.25" customHeight="1">
      <c r="A841" s="8" t="s">
        <v>2515</v>
      </c>
      <c r="B841" s="8" t="s">
        <v>24</v>
      </c>
      <c r="C841" s="8" t="s">
        <v>2516</v>
      </c>
      <c r="D841" s="8">
        <v>2014.0</v>
      </c>
      <c r="E841" s="8" t="s">
        <v>2517</v>
      </c>
      <c r="F841" s="8" t="s">
        <v>97</v>
      </c>
      <c r="G841" s="8">
        <v>20.0</v>
      </c>
      <c r="H841" s="8">
        <v>5.0</v>
      </c>
      <c r="I841" s="8" t="s">
        <v>2518</v>
      </c>
      <c r="J841" s="8" t="s">
        <v>320</v>
      </c>
      <c r="K841" s="8"/>
      <c r="L841" s="8"/>
      <c r="M841" s="8"/>
      <c r="N841" s="8"/>
      <c r="O841" s="8"/>
      <c r="P841" s="8"/>
      <c r="Q841" s="8"/>
      <c r="R841" s="8"/>
      <c r="S841" s="8"/>
      <c r="T841" s="8"/>
      <c r="U841" s="8"/>
      <c r="V841" s="8"/>
      <c r="W841" s="8"/>
      <c r="X841" s="8"/>
      <c r="Y841" s="8"/>
      <c r="Z841" s="8"/>
    </row>
    <row r="842" ht="14.25" customHeight="1">
      <c r="A842" s="8">
        <v>23547.0</v>
      </c>
      <c r="B842" s="8" t="s">
        <v>24</v>
      </c>
      <c r="C842" s="8" t="s">
        <v>2519</v>
      </c>
      <c r="D842" s="8">
        <v>2020.0</v>
      </c>
      <c r="E842" s="8" t="s">
        <v>2520</v>
      </c>
      <c r="F842" s="8" t="s">
        <v>2521</v>
      </c>
      <c r="G842" s="8">
        <v>81.0</v>
      </c>
      <c r="H842" s="8" t="s">
        <v>33</v>
      </c>
      <c r="I842" s="8">
        <v>16.0</v>
      </c>
      <c r="J842" s="8" t="s">
        <v>29</v>
      </c>
      <c r="K842" s="8"/>
      <c r="L842" s="8"/>
      <c r="M842" s="8"/>
      <c r="N842" s="8"/>
      <c r="O842" s="8"/>
      <c r="P842" s="8"/>
      <c r="Q842" s="8"/>
      <c r="R842" s="8"/>
      <c r="S842" s="8"/>
      <c r="T842" s="8"/>
      <c r="U842" s="8"/>
      <c r="V842" s="8"/>
      <c r="W842" s="8"/>
      <c r="X842" s="8"/>
      <c r="Y842" s="8"/>
      <c r="Z842" s="8"/>
    </row>
    <row r="843" ht="14.25" customHeight="1">
      <c r="A843" s="8">
        <v>23020.0</v>
      </c>
      <c r="B843" s="8" t="s">
        <v>24</v>
      </c>
      <c r="C843" s="8" t="s">
        <v>2522</v>
      </c>
      <c r="D843" s="8">
        <v>2019.0</v>
      </c>
      <c r="E843" s="8" t="s">
        <v>2523</v>
      </c>
      <c r="F843" s="8" t="s">
        <v>81</v>
      </c>
      <c r="G843" s="8">
        <v>140.0</v>
      </c>
      <c r="H843" s="8" t="s">
        <v>33</v>
      </c>
      <c r="I843" s="8" t="s">
        <v>2524</v>
      </c>
      <c r="J843" s="8" t="s">
        <v>29</v>
      </c>
      <c r="K843" s="8"/>
      <c r="L843" s="8"/>
      <c r="M843" s="8"/>
      <c r="N843" s="8"/>
      <c r="O843" s="8"/>
      <c r="P843" s="8"/>
      <c r="Q843" s="8"/>
      <c r="R843" s="8"/>
      <c r="S843" s="8"/>
      <c r="T843" s="8"/>
      <c r="U843" s="8"/>
      <c r="V843" s="8"/>
      <c r="W843" s="8"/>
      <c r="X843" s="8"/>
      <c r="Y843" s="8"/>
      <c r="Z843" s="8"/>
    </row>
    <row r="844" ht="14.25" customHeight="1">
      <c r="A844" s="8">
        <v>24966.0</v>
      </c>
      <c r="B844" s="8" t="s">
        <v>24</v>
      </c>
      <c r="C844" s="8" t="s">
        <v>2525</v>
      </c>
      <c r="D844" s="8">
        <v>2019.0</v>
      </c>
      <c r="E844" s="8" t="s">
        <v>2526</v>
      </c>
      <c r="F844" s="8" t="s">
        <v>74</v>
      </c>
      <c r="G844" s="8">
        <v>52.0</v>
      </c>
      <c r="H844" s="8" t="s">
        <v>33</v>
      </c>
      <c r="I844" s="8" t="s">
        <v>33</v>
      </c>
      <c r="J844" s="8" t="s">
        <v>29</v>
      </c>
      <c r="K844" s="8"/>
      <c r="L844" s="8"/>
      <c r="M844" s="8"/>
      <c r="N844" s="8"/>
      <c r="O844" s="8"/>
      <c r="P844" s="8"/>
      <c r="Q844" s="8"/>
      <c r="R844" s="8"/>
      <c r="S844" s="8"/>
      <c r="T844" s="8"/>
      <c r="U844" s="8"/>
      <c r="V844" s="8"/>
      <c r="W844" s="8"/>
      <c r="X844" s="8"/>
      <c r="Y844" s="8"/>
      <c r="Z844" s="8"/>
    </row>
    <row r="845" ht="14.25" customHeight="1">
      <c r="A845" s="8">
        <v>23975.0</v>
      </c>
      <c r="B845" s="8" t="s">
        <v>24</v>
      </c>
      <c r="C845" s="8" t="s">
        <v>2444</v>
      </c>
      <c r="D845" s="8">
        <v>2008.0</v>
      </c>
      <c r="E845" s="8" t="s">
        <v>2527</v>
      </c>
      <c r="F845" s="8" t="s">
        <v>548</v>
      </c>
      <c r="G845" s="8">
        <v>153.0</v>
      </c>
      <c r="H845" s="8">
        <v>2.0</v>
      </c>
      <c r="I845" s="8" t="s">
        <v>2528</v>
      </c>
      <c r="J845" s="8" t="s">
        <v>29</v>
      </c>
      <c r="K845" s="8"/>
      <c r="L845" s="8"/>
      <c r="M845" s="8"/>
      <c r="N845" s="8"/>
      <c r="O845" s="8"/>
      <c r="P845" s="8"/>
      <c r="Q845" s="8"/>
      <c r="R845" s="8"/>
      <c r="S845" s="8"/>
      <c r="T845" s="8"/>
      <c r="U845" s="8"/>
      <c r="V845" s="8"/>
      <c r="W845" s="8"/>
      <c r="X845" s="8"/>
      <c r="Y845" s="8"/>
      <c r="Z845" s="8"/>
    </row>
    <row r="846" ht="14.25" customHeight="1">
      <c r="A846" s="8">
        <v>24674.0</v>
      </c>
      <c r="B846" s="8" t="s">
        <v>24</v>
      </c>
      <c r="C846" s="8" t="s">
        <v>2529</v>
      </c>
      <c r="D846" s="8">
        <v>2017.0</v>
      </c>
      <c r="E846" s="8" t="s">
        <v>2530</v>
      </c>
      <c r="F846" s="8" t="s">
        <v>2531</v>
      </c>
      <c r="G846" s="8">
        <v>141.0</v>
      </c>
      <c r="H846" s="11">
        <v>44906.0</v>
      </c>
      <c r="I846" s="8" t="s">
        <v>2532</v>
      </c>
      <c r="J846" s="8" t="s">
        <v>29</v>
      </c>
      <c r="K846" s="8"/>
      <c r="L846" s="8"/>
      <c r="M846" s="8"/>
      <c r="N846" s="8"/>
      <c r="O846" s="8"/>
      <c r="P846" s="8"/>
      <c r="Q846" s="8"/>
      <c r="R846" s="8"/>
      <c r="S846" s="8"/>
      <c r="T846" s="8"/>
      <c r="U846" s="8"/>
      <c r="V846" s="8"/>
      <c r="W846" s="8"/>
      <c r="X846" s="8"/>
      <c r="Y846" s="8"/>
      <c r="Z846" s="8"/>
    </row>
    <row r="847" ht="14.25" customHeight="1">
      <c r="A847" s="8">
        <v>23787.0</v>
      </c>
      <c r="B847" s="8" t="s">
        <v>24</v>
      </c>
      <c r="C847" s="8" t="s">
        <v>2533</v>
      </c>
      <c r="D847" s="8">
        <v>2018.0</v>
      </c>
      <c r="E847" s="8" t="s">
        <v>2534</v>
      </c>
      <c r="F847" s="8" t="s">
        <v>545</v>
      </c>
      <c r="G847" s="8">
        <v>10.0</v>
      </c>
      <c r="H847" s="8">
        <v>12.0</v>
      </c>
      <c r="I847" s="8" t="s">
        <v>33</v>
      </c>
      <c r="J847" s="8" t="s">
        <v>29</v>
      </c>
      <c r="K847" s="8"/>
      <c r="L847" s="8"/>
      <c r="M847" s="8"/>
      <c r="N847" s="8"/>
      <c r="O847" s="8"/>
      <c r="P847" s="8"/>
      <c r="Q847" s="8"/>
      <c r="R847" s="8"/>
      <c r="S847" s="8"/>
      <c r="T847" s="8"/>
      <c r="U847" s="8"/>
      <c r="V847" s="8"/>
      <c r="W847" s="8"/>
      <c r="X847" s="8"/>
      <c r="Y847" s="8"/>
      <c r="Z847" s="8"/>
    </row>
    <row r="848" ht="14.25" customHeight="1">
      <c r="A848" s="8">
        <v>23091.0</v>
      </c>
      <c r="B848" s="8" t="s">
        <v>24</v>
      </c>
      <c r="C848" s="8" t="s">
        <v>2535</v>
      </c>
      <c r="D848" s="8">
        <v>2010.0</v>
      </c>
      <c r="E848" s="8" t="s">
        <v>2536</v>
      </c>
      <c r="F848" s="8" t="s">
        <v>1314</v>
      </c>
      <c r="G848" s="8">
        <v>38.0</v>
      </c>
      <c r="H848" s="8">
        <v>1.0</v>
      </c>
      <c r="I848" s="8" t="s">
        <v>2537</v>
      </c>
      <c r="J848" s="8" t="s">
        <v>29</v>
      </c>
      <c r="K848" s="8"/>
      <c r="L848" s="8"/>
      <c r="M848" s="8"/>
      <c r="N848" s="8"/>
      <c r="O848" s="8"/>
      <c r="P848" s="8"/>
      <c r="Q848" s="8"/>
      <c r="R848" s="8"/>
      <c r="S848" s="8"/>
      <c r="T848" s="8"/>
      <c r="U848" s="8"/>
      <c r="V848" s="8"/>
      <c r="W848" s="8"/>
      <c r="X848" s="8"/>
      <c r="Y848" s="8"/>
      <c r="Z848" s="8"/>
    </row>
    <row r="849" ht="14.25" customHeight="1">
      <c r="A849" s="8">
        <v>24372.0</v>
      </c>
      <c r="B849" s="8" t="s">
        <v>24</v>
      </c>
      <c r="C849" s="8" t="s">
        <v>2538</v>
      </c>
      <c r="D849" s="8">
        <v>2012.0</v>
      </c>
      <c r="E849" s="8" t="s">
        <v>2539</v>
      </c>
      <c r="F849" s="8" t="s">
        <v>2540</v>
      </c>
      <c r="G849" s="8">
        <v>134.0</v>
      </c>
      <c r="H849" s="8" t="s">
        <v>33</v>
      </c>
      <c r="I849" s="8" t="s">
        <v>2541</v>
      </c>
      <c r="J849" s="8" t="s">
        <v>29</v>
      </c>
      <c r="K849" s="8"/>
      <c r="L849" s="8"/>
      <c r="M849" s="8"/>
      <c r="N849" s="8"/>
      <c r="O849" s="8"/>
      <c r="P849" s="8"/>
      <c r="Q849" s="8"/>
      <c r="R849" s="8"/>
      <c r="S849" s="8"/>
      <c r="T849" s="8"/>
      <c r="U849" s="8"/>
      <c r="V849" s="8"/>
      <c r="W849" s="8"/>
      <c r="X849" s="8"/>
      <c r="Y849" s="8"/>
      <c r="Z849" s="8"/>
    </row>
    <row r="850" ht="14.25" customHeight="1">
      <c r="A850" s="8">
        <v>24920.0</v>
      </c>
      <c r="B850" s="8" t="s">
        <v>24</v>
      </c>
      <c r="C850" s="8" t="s">
        <v>2542</v>
      </c>
      <c r="D850" s="8">
        <v>2016.0</v>
      </c>
      <c r="E850" s="8" t="s">
        <v>2543</v>
      </c>
      <c r="F850" s="8" t="s">
        <v>1013</v>
      </c>
      <c r="G850" s="8">
        <v>81.0</v>
      </c>
      <c r="H850" s="8">
        <v>3.0</v>
      </c>
      <c r="I850" s="8" t="s">
        <v>2544</v>
      </c>
      <c r="J850" s="8" t="s">
        <v>29</v>
      </c>
      <c r="K850" s="8"/>
      <c r="L850" s="8"/>
      <c r="M850" s="8"/>
      <c r="N850" s="8"/>
      <c r="O850" s="8"/>
      <c r="P850" s="8"/>
      <c r="Q850" s="8"/>
      <c r="R850" s="8"/>
      <c r="S850" s="8"/>
      <c r="T850" s="8"/>
      <c r="U850" s="8"/>
      <c r="V850" s="8"/>
      <c r="W850" s="8"/>
      <c r="X850" s="8"/>
      <c r="Y850" s="8"/>
      <c r="Z850" s="8"/>
    </row>
    <row r="851" ht="14.25" customHeight="1">
      <c r="A851" s="8">
        <v>24065.0</v>
      </c>
      <c r="B851" s="8" t="s">
        <v>24</v>
      </c>
      <c r="C851" s="8" t="s">
        <v>2545</v>
      </c>
      <c r="D851" s="8">
        <v>2018.0</v>
      </c>
      <c r="E851" s="8" t="s">
        <v>2546</v>
      </c>
      <c r="F851" s="8" t="s">
        <v>27</v>
      </c>
      <c r="G851" s="8">
        <v>27.0</v>
      </c>
      <c r="H851" s="8">
        <v>9.0</v>
      </c>
      <c r="I851" s="8" t="s">
        <v>2547</v>
      </c>
      <c r="J851" s="8" t="s">
        <v>29</v>
      </c>
      <c r="K851" s="8"/>
      <c r="L851" s="8"/>
      <c r="M851" s="8"/>
      <c r="N851" s="8"/>
      <c r="O851" s="8"/>
      <c r="P851" s="8"/>
      <c r="Q851" s="8"/>
      <c r="R851" s="8"/>
      <c r="S851" s="8"/>
      <c r="T851" s="8"/>
      <c r="U851" s="8"/>
      <c r="V851" s="8"/>
      <c r="W851" s="8"/>
      <c r="X851" s="8"/>
      <c r="Y851" s="8"/>
      <c r="Z851" s="8"/>
    </row>
    <row r="852" ht="14.25" customHeight="1">
      <c r="A852" s="8">
        <v>24128.0</v>
      </c>
      <c r="B852" s="8" t="s">
        <v>24</v>
      </c>
      <c r="C852" s="8" t="s">
        <v>115</v>
      </c>
      <c r="D852" s="8">
        <v>2015.0</v>
      </c>
      <c r="E852" s="8" t="s">
        <v>2548</v>
      </c>
      <c r="F852" s="8" t="s">
        <v>260</v>
      </c>
      <c r="G852" s="8">
        <v>6.0</v>
      </c>
      <c r="H852" s="8" t="s">
        <v>33</v>
      </c>
      <c r="I852" s="8">
        <v>7.0</v>
      </c>
      <c r="J852" s="8" t="s">
        <v>29</v>
      </c>
      <c r="K852" s="8"/>
      <c r="L852" s="8"/>
      <c r="M852" s="8"/>
      <c r="N852" s="8"/>
      <c r="O852" s="8"/>
      <c r="P852" s="8"/>
      <c r="Q852" s="8"/>
      <c r="R852" s="8"/>
      <c r="S852" s="8"/>
      <c r="T852" s="8"/>
      <c r="U852" s="8"/>
      <c r="V852" s="8"/>
      <c r="W852" s="8"/>
      <c r="X852" s="8"/>
      <c r="Y852" s="8"/>
      <c r="Z852" s="8"/>
    </row>
    <row r="853" ht="14.25" customHeight="1">
      <c r="A853" s="8">
        <v>25680.0</v>
      </c>
      <c r="B853" s="8" t="s">
        <v>24</v>
      </c>
      <c r="C853" s="8" t="s">
        <v>2549</v>
      </c>
      <c r="D853" s="8">
        <v>2017.0</v>
      </c>
      <c r="E853" s="8" t="s">
        <v>2550</v>
      </c>
      <c r="F853" s="8" t="s">
        <v>1810</v>
      </c>
      <c r="G853" s="8">
        <v>74.0</v>
      </c>
      <c r="H853" s="8">
        <v>8.0</v>
      </c>
      <c r="I853" s="8" t="s">
        <v>2551</v>
      </c>
      <c r="J853" s="8" t="s">
        <v>29</v>
      </c>
      <c r="K853" s="8"/>
      <c r="L853" s="8"/>
      <c r="M853" s="8"/>
      <c r="N853" s="8"/>
      <c r="O853" s="8"/>
      <c r="P853" s="8"/>
      <c r="Q853" s="8"/>
      <c r="R853" s="8"/>
      <c r="S853" s="8"/>
      <c r="T853" s="8"/>
      <c r="U853" s="8"/>
      <c r="V853" s="8"/>
      <c r="W853" s="8"/>
      <c r="X853" s="8"/>
      <c r="Y853" s="8"/>
      <c r="Z853" s="8"/>
    </row>
    <row r="854" ht="14.25" customHeight="1">
      <c r="A854" s="8">
        <v>25737.0</v>
      </c>
      <c r="B854" s="8" t="s">
        <v>24</v>
      </c>
      <c r="C854" s="8" t="s">
        <v>2552</v>
      </c>
      <c r="D854" s="8">
        <v>2013.0</v>
      </c>
      <c r="E854" s="8" t="s">
        <v>2553</v>
      </c>
      <c r="F854" s="8" t="s">
        <v>965</v>
      </c>
      <c r="G854" s="8">
        <v>8.0</v>
      </c>
      <c r="H854" s="8">
        <v>7.0</v>
      </c>
      <c r="I854" s="8">
        <v>9.0</v>
      </c>
      <c r="J854" s="8" t="s">
        <v>29</v>
      </c>
      <c r="K854" s="8"/>
      <c r="L854" s="8"/>
      <c r="M854" s="8"/>
      <c r="N854" s="8"/>
      <c r="O854" s="8"/>
      <c r="P854" s="8"/>
      <c r="Q854" s="8"/>
      <c r="R854" s="8"/>
      <c r="S854" s="8"/>
      <c r="T854" s="8"/>
      <c r="U854" s="8"/>
      <c r="V854" s="8"/>
      <c r="W854" s="8"/>
      <c r="X854" s="8"/>
      <c r="Y854" s="8"/>
      <c r="Z854" s="8"/>
    </row>
    <row r="855" ht="14.25" customHeight="1">
      <c r="A855" s="8">
        <v>25233.0</v>
      </c>
      <c r="B855" s="8" t="s">
        <v>24</v>
      </c>
      <c r="C855" s="8" t="s">
        <v>2554</v>
      </c>
      <c r="D855" s="8">
        <v>2014.0</v>
      </c>
      <c r="E855" s="8" t="s">
        <v>2555</v>
      </c>
      <c r="F855" s="8" t="s">
        <v>1799</v>
      </c>
      <c r="G855" s="8">
        <v>78.0</v>
      </c>
      <c r="H855" s="8">
        <v>4.0</v>
      </c>
      <c r="I855" s="8" t="s">
        <v>2556</v>
      </c>
      <c r="J855" s="8" t="s">
        <v>29</v>
      </c>
      <c r="K855" s="8"/>
      <c r="L855" s="8"/>
      <c r="M855" s="8"/>
      <c r="N855" s="8"/>
      <c r="O855" s="8"/>
      <c r="P855" s="8"/>
      <c r="Q855" s="8"/>
      <c r="R855" s="8"/>
      <c r="S855" s="8"/>
      <c r="T855" s="8"/>
      <c r="U855" s="8"/>
      <c r="V855" s="8"/>
      <c r="W855" s="8"/>
      <c r="X855" s="8"/>
      <c r="Y855" s="8"/>
      <c r="Z855" s="8"/>
    </row>
    <row r="856" ht="14.25" customHeight="1">
      <c r="A856" s="8">
        <v>23616.0</v>
      </c>
      <c r="B856" s="8" t="s">
        <v>837</v>
      </c>
      <c r="C856" s="8" t="s">
        <v>2557</v>
      </c>
      <c r="D856" s="8">
        <v>2016.0</v>
      </c>
      <c r="E856" s="8" t="s">
        <v>2558</v>
      </c>
      <c r="F856" s="8" t="s">
        <v>33</v>
      </c>
      <c r="G856" s="8" t="s">
        <v>33</v>
      </c>
      <c r="H856" s="8" t="s">
        <v>33</v>
      </c>
      <c r="I856" s="8" t="s">
        <v>33</v>
      </c>
      <c r="J856" s="8" t="s">
        <v>29</v>
      </c>
      <c r="K856" s="8"/>
      <c r="L856" s="8"/>
      <c r="M856" s="8"/>
      <c r="N856" s="8"/>
      <c r="O856" s="8"/>
      <c r="P856" s="8"/>
      <c r="Q856" s="8"/>
      <c r="R856" s="8"/>
      <c r="S856" s="8"/>
      <c r="T856" s="8"/>
      <c r="U856" s="8"/>
      <c r="V856" s="8"/>
      <c r="W856" s="8"/>
      <c r="X856" s="8"/>
      <c r="Y856" s="8"/>
      <c r="Z856" s="8"/>
    </row>
    <row r="857" ht="14.25" customHeight="1">
      <c r="A857" s="8">
        <v>24867.0</v>
      </c>
      <c r="B857" s="8" t="s">
        <v>24</v>
      </c>
      <c r="C857" s="8" t="s">
        <v>2559</v>
      </c>
      <c r="D857" s="8">
        <v>2018.0</v>
      </c>
      <c r="E857" s="8" t="s">
        <v>2560</v>
      </c>
      <c r="F857" s="8" t="s">
        <v>473</v>
      </c>
      <c r="G857" s="8">
        <v>78.0</v>
      </c>
      <c r="H857" s="8" t="s">
        <v>33</v>
      </c>
      <c r="I857" s="8" t="s">
        <v>2561</v>
      </c>
      <c r="J857" s="8" t="s">
        <v>29</v>
      </c>
      <c r="K857" s="8"/>
      <c r="L857" s="8"/>
      <c r="M857" s="8"/>
      <c r="N857" s="8"/>
      <c r="O857" s="8"/>
      <c r="P857" s="8"/>
      <c r="Q857" s="8"/>
      <c r="R857" s="8"/>
      <c r="S857" s="8"/>
      <c r="T857" s="8"/>
      <c r="U857" s="8"/>
      <c r="V857" s="8"/>
      <c r="W857" s="8"/>
      <c r="X857" s="8"/>
      <c r="Y857" s="8"/>
      <c r="Z857" s="8"/>
    </row>
    <row r="858" ht="14.25" customHeight="1">
      <c r="A858" s="8">
        <v>25559.0</v>
      </c>
      <c r="B858" s="8" t="s">
        <v>24</v>
      </c>
      <c r="C858" s="8" t="s">
        <v>2161</v>
      </c>
      <c r="D858" s="8">
        <v>2018.0</v>
      </c>
      <c r="E858" s="8" t="s">
        <v>2562</v>
      </c>
      <c r="F858" s="8" t="s">
        <v>2563</v>
      </c>
      <c r="G858" s="8">
        <v>7.0</v>
      </c>
      <c r="H858" s="8">
        <v>9.0</v>
      </c>
      <c r="I858" s="8" t="s">
        <v>33</v>
      </c>
      <c r="J858" s="8" t="s">
        <v>29</v>
      </c>
      <c r="K858" s="8"/>
      <c r="L858" s="8"/>
      <c r="M858" s="8"/>
      <c r="N858" s="8"/>
      <c r="O858" s="8"/>
      <c r="P858" s="8"/>
      <c r="Q858" s="8"/>
      <c r="R858" s="8"/>
      <c r="S858" s="8"/>
      <c r="T858" s="8"/>
      <c r="U858" s="8"/>
      <c r="V858" s="8"/>
      <c r="W858" s="8"/>
      <c r="X858" s="8"/>
      <c r="Y858" s="8"/>
      <c r="Z858" s="8"/>
    </row>
    <row r="859" ht="14.25" customHeight="1">
      <c r="A859" s="8">
        <v>25973.0</v>
      </c>
      <c r="B859" s="8" t="s">
        <v>24</v>
      </c>
      <c r="C859" s="8" t="s">
        <v>2564</v>
      </c>
      <c r="D859" s="8">
        <v>2020.0</v>
      </c>
      <c r="E859" s="8" t="s">
        <v>2565</v>
      </c>
      <c r="F859" s="8" t="s">
        <v>64</v>
      </c>
      <c r="G859" s="8">
        <v>247.0</v>
      </c>
      <c r="H859" s="8" t="s">
        <v>33</v>
      </c>
      <c r="I859" s="8" t="s">
        <v>33</v>
      </c>
      <c r="J859" s="8" t="s">
        <v>29</v>
      </c>
      <c r="K859" s="8"/>
      <c r="L859" s="8"/>
      <c r="M859" s="8"/>
      <c r="N859" s="8"/>
      <c r="O859" s="8"/>
      <c r="P859" s="8"/>
      <c r="Q859" s="8"/>
      <c r="R859" s="8"/>
      <c r="S859" s="8"/>
      <c r="T859" s="8"/>
      <c r="U859" s="8"/>
      <c r="V859" s="8"/>
      <c r="W859" s="8"/>
      <c r="X859" s="8"/>
      <c r="Y859" s="8"/>
      <c r="Z859" s="8"/>
    </row>
    <row r="860" ht="14.25" customHeight="1">
      <c r="A860" s="8">
        <v>25278.0</v>
      </c>
      <c r="B860" s="8" t="s">
        <v>24</v>
      </c>
      <c r="C860" s="8" t="s">
        <v>2566</v>
      </c>
      <c r="D860" s="8">
        <v>2018.0</v>
      </c>
      <c r="E860" s="8" t="s">
        <v>2567</v>
      </c>
      <c r="F860" s="8" t="s">
        <v>933</v>
      </c>
      <c r="G860" s="8">
        <v>8.0</v>
      </c>
      <c r="H860" s="8" t="s">
        <v>33</v>
      </c>
      <c r="I860" s="8">
        <v>8.0</v>
      </c>
      <c r="J860" s="8" t="s">
        <v>29</v>
      </c>
      <c r="K860" s="8"/>
      <c r="L860" s="8"/>
      <c r="M860" s="8"/>
      <c r="N860" s="8"/>
      <c r="O860" s="8"/>
      <c r="P860" s="8"/>
      <c r="Q860" s="8"/>
      <c r="R860" s="8"/>
      <c r="S860" s="8"/>
      <c r="T860" s="8"/>
      <c r="U860" s="8"/>
      <c r="V860" s="8"/>
      <c r="W860" s="8"/>
      <c r="X860" s="8"/>
      <c r="Y860" s="8"/>
      <c r="Z860" s="8"/>
    </row>
    <row r="861" ht="14.25" customHeight="1">
      <c r="A861" s="8">
        <v>25633.0</v>
      </c>
      <c r="B861" s="8" t="s">
        <v>24</v>
      </c>
      <c r="C861" s="8" t="s">
        <v>2568</v>
      </c>
      <c r="D861" s="8">
        <v>2014.0</v>
      </c>
      <c r="E861" s="8" t="s">
        <v>2569</v>
      </c>
      <c r="F861" s="8" t="s">
        <v>64</v>
      </c>
      <c r="G861" s="8">
        <v>169.0</v>
      </c>
      <c r="H861" s="8" t="s">
        <v>33</v>
      </c>
      <c r="I861" s="8" t="s">
        <v>1701</v>
      </c>
      <c r="J861" s="8" t="s">
        <v>29</v>
      </c>
      <c r="K861" s="8"/>
      <c r="L861" s="8"/>
      <c r="M861" s="8"/>
      <c r="N861" s="8"/>
      <c r="O861" s="8"/>
      <c r="P861" s="8"/>
      <c r="Q861" s="8"/>
      <c r="R861" s="8"/>
      <c r="S861" s="8"/>
      <c r="T861" s="8"/>
      <c r="U861" s="8"/>
      <c r="V861" s="8"/>
      <c r="W861" s="8"/>
      <c r="X861" s="8"/>
      <c r="Y861" s="8"/>
      <c r="Z861" s="8"/>
    </row>
    <row r="862" ht="14.25" customHeight="1">
      <c r="A862" s="8">
        <v>24750.0</v>
      </c>
      <c r="B862" s="8" t="s">
        <v>24</v>
      </c>
      <c r="C862" s="8" t="s">
        <v>2570</v>
      </c>
      <c r="D862" s="8">
        <v>2016.0</v>
      </c>
      <c r="E862" s="8" t="s">
        <v>2571</v>
      </c>
      <c r="F862" s="8" t="s">
        <v>36</v>
      </c>
      <c r="G862" s="8">
        <v>11.0</v>
      </c>
      <c r="H862" s="8">
        <v>4.0</v>
      </c>
      <c r="I862" s="8" t="s">
        <v>33</v>
      </c>
      <c r="J862" s="8" t="s">
        <v>29</v>
      </c>
      <c r="K862" s="8"/>
      <c r="L862" s="8"/>
      <c r="M862" s="8"/>
      <c r="N862" s="8"/>
      <c r="O862" s="8"/>
      <c r="P862" s="8"/>
      <c r="Q862" s="8"/>
      <c r="R862" s="8"/>
      <c r="S862" s="8"/>
      <c r="T862" s="8"/>
      <c r="U862" s="8"/>
      <c r="V862" s="8"/>
      <c r="W862" s="8"/>
      <c r="X862" s="8"/>
      <c r="Y862" s="8"/>
      <c r="Z862" s="8"/>
    </row>
    <row r="863" ht="14.25" customHeight="1">
      <c r="A863" s="8">
        <v>23232.0</v>
      </c>
      <c r="B863" s="8" t="s">
        <v>24</v>
      </c>
      <c r="C863" s="8" t="s">
        <v>2572</v>
      </c>
      <c r="D863" s="8">
        <v>2014.0</v>
      </c>
      <c r="E863" s="8" t="s">
        <v>2573</v>
      </c>
      <c r="F863" s="8" t="s">
        <v>615</v>
      </c>
      <c r="G863" s="8">
        <v>23.0</v>
      </c>
      <c r="H863" s="8">
        <v>10.0</v>
      </c>
      <c r="I863" s="8" t="s">
        <v>2574</v>
      </c>
      <c r="J863" s="8" t="s">
        <v>29</v>
      </c>
      <c r="K863" s="8"/>
      <c r="L863" s="8"/>
      <c r="M863" s="8"/>
      <c r="N863" s="8"/>
      <c r="O863" s="8"/>
      <c r="P863" s="8"/>
      <c r="Q863" s="8"/>
      <c r="R863" s="8"/>
      <c r="S863" s="8"/>
      <c r="T863" s="8"/>
      <c r="U863" s="8"/>
      <c r="V863" s="8"/>
      <c r="W863" s="8"/>
      <c r="X863" s="8"/>
      <c r="Y863" s="8"/>
      <c r="Z863" s="8"/>
    </row>
    <row r="864" ht="14.25" customHeight="1">
      <c r="A864" s="8">
        <v>25225.0</v>
      </c>
      <c r="B864" s="8" t="s">
        <v>24</v>
      </c>
      <c r="C864" s="8" t="s">
        <v>2575</v>
      </c>
      <c r="D864" s="8">
        <v>2016.0</v>
      </c>
      <c r="E864" s="8" t="s">
        <v>2576</v>
      </c>
      <c r="F864" s="8" t="s">
        <v>33</v>
      </c>
      <c r="G864" s="8">
        <v>60.0</v>
      </c>
      <c r="H864" s="8">
        <v>1.0</v>
      </c>
      <c r="I864" s="8" t="s">
        <v>2577</v>
      </c>
      <c r="J864" s="8" t="s">
        <v>29</v>
      </c>
      <c r="K864" s="8"/>
      <c r="L864" s="8"/>
      <c r="M864" s="8"/>
      <c r="N864" s="8"/>
      <c r="O864" s="8"/>
      <c r="P864" s="8"/>
      <c r="Q864" s="8"/>
      <c r="R864" s="8"/>
      <c r="S864" s="8"/>
      <c r="T864" s="8"/>
      <c r="U864" s="8"/>
      <c r="V864" s="8"/>
      <c r="W864" s="8"/>
      <c r="X864" s="8"/>
      <c r="Y864" s="8"/>
      <c r="Z864" s="8"/>
    </row>
    <row r="865" ht="14.25" customHeight="1">
      <c r="A865" s="8">
        <v>23865.0</v>
      </c>
      <c r="B865" s="8" t="s">
        <v>24</v>
      </c>
      <c r="C865" s="8" t="s">
        <v>2578</v>
      </c>
      <c r="D865" s="8">
        <v>2019.0</v>
      </c>
      <c r="E865" s="8" t="s">
        <v>2579</v>
      </c>
      <c r="F865" s="8" t="s">
        <v>64</v>
      </c>
      <c r="G865" s="8">
        <v>230.0</v>
      </c>
      <c r="H865" s="8" t="s">
        <v>33</v>
      </c>
      <c r="I865" s="8" t="s">
        <v>2580</v>
      </c>
      <c r="J865" s="8" t="s">
        <v>29</v>
      </c>
      <c r="K865" s="8"/>
      <c r="L865" s="8"/>
      <c r="M865" s="8"/>
      <c r="N865" s="8"/>
      <c r="O865" s="8"/>
      <c r="P865" s="8"/>
      <c r="Q865" s="8"/>
      <c r="R865" s="8"/>
      <c r="S865" s="8"/>
      <c r="T865" s="8"/>
      <c r="U865" s="8"/>
      <c r="V865" s="8"/>
      <c r="W865" s="8"/>
      <c r="X865" s="8"/>
      <c r="Y865" s="8"/>
      <c r="Z865" s="8"/>
    </row>
    <row r="866" ht="14.25" customHeight="1">
      <c r="A866" s="8">
        <v>25049.0</v>
      </c>
      <c r="B866" s="8" t="s">
        <v>24</v>
      </c>
      <c r="C866" s="8" t="s">
        <v>2581</v>
      </c>
      <c r="D866" s="8">
        <v>2017.0</v>
      </c>
      <c r="E866" s="8" t="s">
        <v>2582</v>
      </c>
      <c r="F866" s="8" t="s">
        <v>74</v>
      </c>
      <c r="G866" s="8">
        <v>36.0</v>
      </c>
      <c r="H866" s="8" t="s">
        <v>33</v>
      </c>
      <c r="I866" s="8" t="s">
        <v>2583</v>
      </c>
      <c r="J866" s="8" t="s">
        <v>29</v>
      </c>
      <c r="K866" s="8"/>
      <c r="L866" s="8"/>
      <c r="M866" s="8"/>
      <c r="N866" s="8"/>
      <c r="O866" s="8"/>
      <c r="P866" s="8"/>
      <c r="Q866" s="8"/>
      <c r="R866" s="8"/>
      <c r="S866" s="8"/>
      <c r="T866" s="8"/>
      <c r="U866" s="8"/>
      <c r="V866" s="8"/>
      <c r="W866" s="8"/>
      <c r="X866" s="8"/>
      <c r="Y866" s="8"/>
      <c r="Z866" s="8"/>
    </row>
    <row r="867" ht="14.25" customHeight="1">
      <c r="A867" s="8">
        <v>25614.0</v>
      </c>
      <c r="B867" s="8" t="s">
        <v>576</v>
      </c>
      <c r="C867" s="8" t="s">
        <v>2584</v>
      </c>
      <c r="D867" s="8">
        <v>2015.0</v>
      </c>
      <c r="E867" s="8" t="s">
        <v>2585</v>
      </c>
      <c r="F867" s="8" t="s">
        <v>462</v>
      </c>
      <c r="G867" s="8" t="s">
        <v>33</v>
      </c>
      <c r="H867" s="8" t="s">
        <v>33</v>
      </c>
      <c r="I867" s="8" t="s">
        <v>33</v>
      </c>
      <c r="J867" s="8" t="s">
        <v>29</v>
      </c>
      <c r="K867" s="8"/>
      <c r="L867" s="8"/>
      <c r="M867" s="8"/>
      <c r="N867" s="8"/>
      <c r="O867" s="8"/>
      <c r="P867" s="8"/>
      <c r="Q867" s="8"/>
      <c r="R867" s="8"/>
      <c r="S867" s="8"/>
      <c r="T867" s="8"/>
      <c r="U867" s="8"/>
      <c r="V867" s="8"/>
      <c r="W867" s="8"/>
      <c r="X867" s="8"/>
      <c r="Y867" s="8"/>
      <c r="Z867" s="8"/>
    </row>
    <row r="868" ht="14.25" customHeight="1">
      <c r="A868" s="8">
        <v>25066.0</v>
      </c>
      <c r="B868" s="8" t="s">
        <v>24</v>
      </c>
      <c r="C868" s="8" t="s">
        <v>2586</v>
      </c>
      <c r="D868" s="8">
        <v>2010.0</v>
      </c>
      <c r="E868" s="8" t="s">
        <v>2587</v>
      </c>
      <c r="F868" s="8" t="s">
        <v>769</v>
      </c>
      <c r="G868" s="8">
        <v>20.0</v>
      </c>
      <c r="H868" s="8">
        <v>8.0</v>
      </c>
      <c r="I868" s="8" t="s">
        <v>2588</v>
      </c>
      <c r="J868" s="8" t="s">
        <v>29</v>
      </c>
      <c r="K868" s="8"/>
      <c r="L868" s="8"/>
      <c r="M868" s="8"/>
      <c r="N868" s="8"/>
      <c r="O868" s="8"/>
      <c r="P868" s="8"/>
      <c r="Q868" s="8"/>
      <c r="R868" s="8"/>
      <c r="S868" s="8"/>
      <c r="T868" s="8"/>
      <c r="U868" s="8"/>
      <c r="V868" s="8"/>
      <c r="W868" s="8"/>
      <c r="X868" s="8"/>
      <c r="Y868" s="8"/>
      <c r="Z868" s="8"/>
    </row>
    <row r="869" ht="14.25" customHeight="1">
      <c r="A869" s="8">
        <v>24364.0</v>
      </c>
      <c r="B869" s="8" t="s">
        <v>24</v>
      </c>
      <c r="C869" s="8" t="s">
        <v>2589</v>
      </c>
      <c r="D869" s="8">
        <v>2018.0</v>
      </c>
      <c r="E869" s="8" t="s">
        <v>2590</v>
      </c>
      <c r="F869" s="8" t="s">
        <v>125</v>
      </c>
      <c r="G869" s="8">
        <v>39.0</v>
      </c>
      <c r="H869" s="8">
        <v>4.0</v>
      </c>
      <c r="I869" s="8" t="s">
        <v>2591</v>
      </c>
      <c r="J869" s="8" t="s">
        <v>29</v>
      </c>
      <c r="K869" s="8"/>
      <c r="L869" s="8"/>
      <c r="M869" s="8"/>
      <c r="N869" s="8"/>
      <c r="O869" s="8"/>
      <c r="P869" s="8"/>
      <c r="Q869" s="8"/>
      <c r="R869" s="8"/>
      <c r="S869" s="8"/>
      <c r="T869" s="8"/>
      <c r="U869" s="8"/>
      <c r="V869" s="8"/>
      <c r="W869" s="8"/>
      <c r="X869" s="8"/>
      <c r="Y869" s="8"/>
      <c r="Z869" s="8"/>
    </row>
    <row r="870" ht="14.25" customHeight="1">
      <c r="A870" s="8">
        <v>25361.0</v>
      </c>
      <c r="B870" s="8" t="s">
        <v>24</v>
      </c>
      <c r="C870" s="8" t="s">
        <v>2592</v>
      </c>
      <c r="D870" s="8">
        <v>2015.0</v>
      </c>
      <c r="E870" s="8" t="s">
        <v>2593</v>
      </c>
      <c r="F870" s="8" t="s">
        <v>2594</v>
      </c>
      <c r="G870" s="8">
        <v>16.0</v>
      </c>
      <c r="H870" s="8">
        <v>2.0</v>
      </c>
      <c r="I870" s="8" t="s">
        <v>2595</v>
      </c>
      <c r="J870" s="8" t="s">
        <v>29</v>
      </c>
      <c r="K870" s="8"/>
      <c r="L870" s="8"/>
      <c r="M870" s="8"/>
      <c r="N870" s="8"/>
      <c r="O870" s="8"/>
      <c r="P870" s="8"/>
      <c r="Q870" s="8"/>
      <c r="R870" s="8"/>
      <c r="S870" s="8"/>
      <c r="T870" s="8"/>
      <c r="U870" s="8"/>
      <c r="V870" s="8"/>
      <c r="W870" s="8"/>
      <c r="X870" s="8"/>
      <c r="Y870" s="8"/>
      <c r="Z870" s="8"/>
    </row>
    <row r="871" ht="14.25" customHeight="1">
      <c r="A871" s="8">
        <v>24773.0</v>
      </c>
      <c r="B871" s="8" t="s">
        <v>24</v>
      </c>
      <c r="C871" s="8" t="s">
        <v>1477</v>
      </c>
      <c r="D871" s="8">
        <v>2019.0</v>
      </c>
      <c r="E871" s="8" t="s">
        <v>2596</v>
      </c>
      <c r="F871" s="8" t="s">
        <v>552</v>
      </c>
      <c r="G871" s="8">
        <v>25.0</v>
      </c>
      <c r="H871" s="8">
        <v>7.0</v>
      </c>
      <c r="I871" s="8" t="s">
        <v>2597</v>
      </c>
      <c r="J871" s="8" t="s">
        <v>29</v>
      </c>
      <c r="K871" s="8"/>
      <c r="L871" s="8"/>
      <c r="M871" s="8"/>
      <c r="N871" s="8"/>
      <c r="O871" s="8"/>
      <c r="P871" s="8"/>
      <c r="Q871" s="8"/>
      <c r="R871" s="8"/>
      <c r="S871" s="8"/>
      <c r="T871" s="8"/>
      <c r="U871" s="8"/>
      <c r="V871" s="8"/>
      <c r="W871" s="8"/>
      <c r="X871" s="8"/>
      <c r="Y871" s="8"/>
      <c r="Z871" s="8"/>
    </row>
    <row r="872" ht="14.25" customHeight="1">
      <c r="A872" s="8">
        <v>23517.0</v>
      </c>
      <c r="B872" s="8" t="s">
        <v>24</v>
      </c>
      <c r="C872" s="8" t="s">
        <v>2598</v>
      </c>
      <c r="D872" s="8">
        <v>2014.0</v>
      </c>
      <c r="E872" s="8" t="s">
        <v>2599</v>
      </c>
      <c r="F872" s="8" t="s">
        <v>2600</v>
      </c>
      <c r="G872" s="8">
        <v>4.0</v>
      </c>
      <c r="H872" s="8">
        <v>2.0</v>
      </c>
      <c r="I872" s="8" t="s">
        <v>2601</v>
      </c>
      <c r="J872" s="8" t="s">
        <v>29</v>
      </c>
      <c r="K872" s="8"/>
      <c r="L872" s="8"/>
      <c r="M872" s="8"/>
      <c r="N872" s="8"/>
      <c r="O872" s="8"/>
      <c r="P872" s="8"/>
      <c r="Q872" s="8"/>
      <c r="R872" s="8"/>
      <c r="S872" s="8"/>
      <c r="T872" s="8"/>
      <c r="U872" s="8"/>
      <c r="V872" s="8"/>
      <c r="W872" s="8"/>
      <c r="X872" s="8"/>
      <c r="Y872" s="8"/>
      <c r="Z872" s="8"/>
    </row>
    <row r="873" ht="14.25" customHeight="1">
      <c r="A873" s="8">
        <v>24353.0</v>
      </c>
      <c r="B873" s="8" t="s">
        <v>24</v>
      </c>
      <c r="C873" s="8" t="s">
        <v>2602</v>
      </c>
      <c r="D873" s="8">
        <v>2019.0</v>
      </c>
      <c r="E873" s="8" t="s">
        <v>2603</v>
      </c>
      <c r="F873" s="8" t="s">
        <v>64</v>
      </c>
      <c r="G873" s="8">
        <v>231.0</v>
      </c>
      <c r="H873" s="8" t="s">
        <v>33</v>
      </c>
      <c r="I873" s="8" t="s">
        <v>2604</v>
      </c>
      <c r="J873" s="8" t="s">
        <v>29</v>
      </c>
      <c r="K873" s="8"/>
      <c r="L873" s="8"/>
      <c r="M873" s="8"/>
      <c r="N873" s="8"/>
      <c r="O873" s="8"/>
      <c r="P873" s="8"/>
      <c r="Q873" s="8"/>
      <c r="R873" s="8"/>
      <c r="S873" s="8"/>
      <c r="T873" s="8"/>
      <c r="U873" s="8"/>
      <c r="V873" s="8"/>
      <c r="W873" s="8"/>
      <c r="X873" s="8"/>
      <c r="Y873" s="8"/>
      <c r="Z873" s="8"/>
    </row>
    <row r="874" ht="14.25" customHeight="1">
      <c r="A874" s="8">
        <v>25516.0</v>
      </c>
      <c r="B874" s="8" t="s">
        <v>24</v>
      </c>
      <c r="C874" s="8" t="s">
        <v>2605</v>
      </c>
      <c r="D874" s="8">
        <v>2011.0</v>
      </c>
      <c r="E874" s="8" t="s">
        <v>2606</v>
      </c>
      <c r="F874" s="8" t="s">
        <v>109</v>
      </c>
      <c r="G874" s="8">
        <v>47.0</v>
      </c>
      <c r="H874" s="8">
        <v>3.0</v>
      </c>
      <c r="I874" s="8" t="s">
        <v>2607</v>
      </c>
      <c r="J874" s="8" t="s">
        <v>29</v>
      </c>
      <c r="K874" s="8"/>
      <c r="L874" s="8"/>
      <c r="M874" s="8"/>
      <c r="N874" s="8"/>
      <c r="O874" s="8"/>
      <c r="P874" s="8"/>
      <c r="Q874" s="8"/>
      <c r="R874" s="8"/>
      <c r="S874" s="8"/>
      <c r="T874" s="8"/>
      <c r="U874" s="8"/>
      <c r="V874" s="8"/>
      <c r="W874" s="8"/>
      <c r="X874" s="8"/>
      <c r="Y874" s="8"/>
      <c r="Z874" s="8"/>
    </row>
    <row r="875" ht="14.25" customHeight="1">
      <c r="A875" s="8">
        <v>24422.0</v>
      </c>
      <c r="B875" s="8" t="s">
        <v>24</v>
      </c>
      <c r="C875" s="8" t="s">
        <v>2608</v>
      </c>
      <c r="D875" s="8">
        <v>2005.0</v>
      </c>
      <c r="E875" s="8" t="s">
        <v>2609</v>
      </c>
      <c r="F875" s="8" t="s">
        <v>1246</v>
      </c>
      <c r="G875" s="8">
        <v>39.0</v>
      </c>
      <c r="H875" s="8">
        <v>7.0</v>
      </c>
      <c r="I875" s="8" t="s">
        <v>2610</v>
      </c>
      <c r="J875" s="8" t="s">
        <v>29</v>
      </c>
      <c r="K875" s="8"/>
      <c r="L875" s="8"/>
      <c r="M875" s="8"/>
      <c r="N875" s="8"/>
      <c r="O875" s="8"/>
      <c r="P875" s="8"/>
      <c r="Q875" s="8"/>
      <c r="R875" s="8"/>
      <c r="S875" s="8"/>
      <c r="T875" s="8"/>
      <c r="U875" s="8"/>
      <c r="V875" s="8"/>
      <c r="W875" s="8"/>
      <c r="X875" s="8"/>
      <c r="Y875" s="8"/>
      <c r="Z875" s="8"/>
    </row>
    <row r="876" ht="14.25" customHeight="1">
      <c r="A876" s="8">
        <v>25630.0</v>
      </c>
      <c r="B876" s="8" t="s">
        <v>24</v>
      </c>
      <c r="C876" s="8" t="s">
        <v>2611</v>
      </c>
      <c r="D876" s="8">
        <v>2011.0</v>
      </c>
      <c r="E876" s="8" t="s">
        <v>2612</v>
      </c>
      <c r="F876" s="8" t="s">
        <v>242</v>
      </c>
      <c r="G876" s="8">
        <v>13.0</v>
      </c>
      <c r="H876" s="8">
        <v>2.0</v>
      </c>
      <c r="I876" s="8" t="s">
        <v>2613</v>
      </c>
      <c r="J876" s="8" t="s">
        <v>29</v>
      </c>
      <c r="K876" s="8"/>
      <c r="L876" s="8"/>
      <c r="M876" s="8"/>
      <c r="N876" s="8"/>
      <c r="O876" s="8"/>
      <c r="P876" s="8"/>
      <c r="Q876" s="8"/>
      <c r="R876" s="8"/>
      <c r="S876" s="8"/>
      <c r="T876" s="8"/>
      <c r="U876" s="8"/>
      <c r="V876" s="8"/>
      <c r="W876" s="8"/>
      <c r="X876" s="8"/>
      <c r="Y876" s="8"/>
      <c r="Z876" s="8"/>
    </row>
    <row r="877" ht="14.25" customHeight="1">
      <c r="A877" s="8">
        <v>23013.0</v>
      </c>
      <c r="B877" s="8" t="s">
        <v>24</v>
      </c>
      <c r="C877" s="8" t="s">
        <v>2614</v>
      </c>
      <c r="D877" s="8">
        <v>2018.0</v>
      </c>
      <c r="E877" s="8" t="s">
        <v>2615</v>
      </c>
      <c r="F877" s="8" t="s">
        <v>36</v>
      </c>
      <c r="G877" s="8">
        <v>13.0</v>
      </c>
      <c r="H877" s="8">
        <v>10.0</v>
      </c>
      <c r="I877" s="8" t="s">
        <v>33</v>
      </c>
      <c r="J877" s="8" t="s">
        <v>29</v>
      </c>
      <c r="K877" s="8"/>
      <c r="L877" s="8"/>
      <c r="M877" s="8"/>
      <c r="N877" s="8"/>
      <c r="O877" s="8"/>
      <c r="P877" s="8"/>
      <c r="Q877" s="8"/>
      <c r="R877" s="8"/>
      <c r="S877" s="8"/>
      <c r="T877" s="8"/>
      <c r="U877" s="8"/>
      <c r="V877" s="8"/>
      <c r="W877" s="8"/>
      <c r="X877" s="8"/>
      <c r="Y877" s="8"/>
      <c r="Z877" s="8"/>
    </row>
    <row r="878" ht="14.25" customHeight="1">
      <c r="A878" s="8">
        <v>25878.0</v>
      </c>
      <c r="B878" s="8" t="s">
        <v>24</v>
      </c>
      <c r="C878" s="8" t="s">
        <v>2616</v>
      </c>
      <c r="D878" s="8">
        <v>2017.0</v>
      </c>
      <c r="E878" s="8" t="s">
        <v>2617</v>
      </c>
      <c r="F878" s="8" t="s">
        <v>615</v>
      </c>
      <c r="G878" s="8">
        <v>26.0</v>
      </c>
      <c r="H878" s="8">
        <v>13.0</v>
      </c>
      <c r="I878" s="8" t="s">
        <v>2618</v>
      </c>
      <c r="J878" s="8" t="s">
        <v>29</v>
      </c>
      <c r="K878" s="8"/>
      <c r="L878" s="8"/>
      <c r="M878" s="8"/>
      <c r="N878" s="8"/>
      <c r="O878" s="8"/>
      <c r="P878" s="8"/>
      <c r="Q878" s="8"/>
      <c r="R878" s="8"/>
      <c r="S878" s="8"/>
      <c r="T878" s="8"/>
      <c r="U878" s="8"/>
      <c r="V878" s="8"/>
      <c r="W878" s="8"/>
      <c r="X878" s="8"/>
      <c r="Y878" s="8"/>
      <c r="Z878" s="8"/>
    </row>
    <row r="879" ht="14.25" customHeight="1">
      <c r="A879" s="8">
        <v>23170.0</v>
      </c>
      <c r="B879" s="8" t="s">
        <v>24</v>
      </c>
      <c r="C879" s="8" t="s">
        <v>2619</v>
      </c>
      <c r="D879" s="8">
        <v>2016.0</v>
      </c>
      <c r="E879" s="8" t="s">
        <v>2620</v>
      </c>
      <c r="F879" s="8" t="s">
        <v>769</v>
      </c>
      <c r="G879" s="8">
        <v>26.0</v>
      </c>
      <c r="H879" s="8">
        <v>6.0</v>
      </c>
      <c r="I879" s="8" t="s">
        <v>2621</v>
      </c>
      <c r="J879" s="8" t="s">
        <v>29</v>
      </c>
      <c r="K879" s="8"/>
      <c r="L879" s="8"/>
      <c r="M879" s="8"/>
      <c r="N879" s="8"/>
      <c r="O879" s="8"/>
      <c r="P879" s="8"/>
      <c r="Q879" s="8"/>
      <c r="R879" s="8"/>
      <c r="S879" s="8"/>
      <c r="T879" s="8"/>
      <c r="U879" s="8"/>
      <c r="V879" s="8"/>
      <c r="W879" s="8"/>
      <c r="X879" s="8"/>
      <c r="Y879" s="8"/>
      <c r="Z879" s="8"/>
    </row>
    <row r="880" ht="14.25" customHeight="1">
      <c r="A880" s="8">
        <v>23722.0</v>
      </c>
      <c r="B880" s="8" t="s">
        <v>24</v>
      </c>
      <c r="C880" s="8" t="s">
        <v>2622</v>
      </c>
      <c r="D880" s="8">
        <v>2019.0</v>
      </c>
      <c r="E880" s="8" t="s">
        <v>2623</v>
      </c>
      <c r="F880" s="8" t="s">
        <v>49</v>
      </c>
      <c r="G880" s="8">
        <v>651.0</v>
      </c>
      <c r="H880" s="8" t="s">
        <v>33</v>
      </c>
      <c r="I880" s="8" t="s">
        <v>2624</v>
      </c>
      <c r="J880" s="8" t="s">
        <v>29</v>
      </c>
      <c r="K880" s="8"/>
      <c r="L880" s="8"/>
      <c r="M880" s="8"/>
      <c r="N880" s="8"/>
      <c r="O880" s="8"/>
      <c r="P880" s="8"/>
      <c r="Q880" s="8"/>
      <c r="R880" s="8"/>
      <c r="S880" s="8"/>
      <c r="T880" s="8"/>
      <c r="U880" s="8"/>
      <c r="V880" s="8"/>
      <c r="W880" s="8"/>
      <c r="X880" s="8"/>
      <c r="Y880" s="8"/>
      <c r="Z880" s="8"/>
    </row>
    <row r="881" ht="14.25" customHeight="1">
      <c r="A881" s="8">
        <v>23364.0</v>
      </c>
      <c r="B881" s="8" t="s">
        <v>24</v>
      </c>
      <c r="C881" s="8" t="s">
        <v>2625</v>
      </c>
      <c r="D881" s="8">
        <v>2011.0</v>
      </c>
      <c r="E881" s="8" t="s">
        <v>2626</v>
      </c>
      <c r="F881" s="8" t="s">
        <v>769</v>
      </c>
      <c r="G881" s="8">
        <v>21.0</v>
      </c>
      <c r="H881" s="8">
        <v>3.0</v>
      </c>
      <c r="I881" s="8" t="s">
        <v>2627</v>
      </c>
      <c r="J881" s="8" t="s">
        <v>29</v>
      </c>
      <c r="K881" s="8"/>
      <c r="L881" s="8"/>
      <c r="M881" s="8"/>
      <c r="N881" s="8"/>
      <c r="O881" s="8"/>
      <c r="P881" s="8"/>
      <c r="Q881" s="8"/>
      <c r="R881" s="8"/>
      <c r="S881" s="8"/>
      <c r="T881" s="8"/>
      <c r="U881" s="8"/>
      <c r="V881" s="8"/>
      <c r="W881" s="8"/>
      <c r="X881" s="8"/>
      <c r="Y881" s="8"/>
      <c r="Z881" s="8"/>
    </row>
    <row r="882" ht="14.25" customHeight="1">
      <c r="A882" s="8">
        <v>23968.0</v>
      </c>
      <c r="B882" s="8" t="s">
        <v>24</v>
      </c>
      <c r="C882" s="8" t="s">
        <v>928</v>
      </c>
      <c r="D882" s="8">
        <v>2017.0</v>
      </c>
      <c r="E882" s="8" t="s">
        <v>2628</v>
      </c>
      <c r="F882" s="8" t="s">
        <v>36</v>
      </c>
      <c r="G882" s="8">
        <v>12.0</v>
      </c>
      <c r="H882" s="8">
        <v>9.0</v>
      </c>
      <c r="I882" s="8" t="s">
        <v>33</v>
      </c>
      <c r="J882" s="8" t="s">
        <v>29</v>
      </c>
      <c r="K882" s="8"/>
      <c r="L882" s="8"/>
      <c r="M882" s="8"/>
      <c r="N882" s="8"/>
      <c r="O882" s="8"/>
      <c r="P882" s="8"/>
      <c r="Q882" s="8"/>
      <c r="R882" s="8"/>
      <c r="S882" s="8"/>
      <c r="T882" s="8"/>
      <c r="U882" s="8"/>
      <c r="V882" s="8"/>
      <c r="W882" s="8"/>
      <c r="X882" s="8"/>
      <c r="Y882" s="8"/>
      <c r="Z882" s="8"/>
    </row>
    <row r="883" ht="14.25" customHeight="1">
      <c r="A883" s="8">
        <v>23957.0</v>
      </c>
      <c r="B883" s="8" t="s">
        <v>24</v>
      </c>
      <c r="C883" s="8" t="s">
        <v>824</v>
      </c>
      <c r="D883" s="8">
        <v>2018.0</v>
      </c>
      <c r="E883" s="8" t="s">
        <v>2629</v>
      </c>
      <c r="F883" s="8" t="s">
        <v>49</v>
      </c>
      <c r="G883" s="8">
        <v>618.0</v>
      </c>
      <c r="H883" s="8" t="s">
        <v>33</v>
      </c>
      <c r="I883" s="8" t="s">
        <v>2630</v>
      </c>
      <c r="J883" s="8" t="s">
        <v>29</v>
      </c>
      <c r="K883" s="8"/>
      <c r="L883" s="8"/>
      <c r="M883" s="8"/>
      <c r="N883" s="8"/>
      <c r="O883" s="8"/>
      <c r="P883" s="8"/>
      <c r="Q883" s="8"/>
      <c r="R883" s="8"/>
      <c r="S883" s="8"/>
      <c r="T883" s="8"/>
      <c r="U883" s="8"/>
      <c r="V883" s="8"/>
      <c r="W883" s="8"/>
      <c r="X883" s="8"/>
      <c r="Y883" s="8"/>
      <c r="Z883" s="8"/>
    </row>
    <row r="884" ht="14.25" customHeight="1">
      <c r="A884" s="8">
        <v>23713.0</v>
      </c>
      <c r="B884" s="8" t="s">
        <v>24</v>
      </c>
      <c r="C884" s="8" t="s">
        <v>2631</v>
      </c>
      <c r="D884" s="8">
        <v>2019.0</v>
      </c>
      <c r="E884" s="8" t="s">
        <v>2632</v>
      </c>
      <c r="F884" s="8" t="s">
        <v>192</v>
      </c>
      <c r="G884" s="8">
        <v>8.0</v>
      </c>
      <c r="H884" s="8">
        <v>1.0</v>
      </c>
      <c r="I884" s="8" t="s">
        <v>33</v>
      </c>
      <c r="J884" s="8" t="s">
        <v>29</v>
      </c>
      <c r="K884" s="8"/>
      <c r="L884" s="8"/>
      <c r="M884" s="8"/>
      <c r="N884" s="8"/>
      <c r="O884" s="8"/>
      <c r="P884" s="8"/>
      <c r="Q884" s="8"/>
      <c r="R884" s="8"/>
      <c r="S884" s="8"/>
      <c r="T884" s="8"/>
      <c r="U884" s="8"/>
      <c r="V884" s="8"/>
      <c r="W884" s="8"/>
      <c r="X884" s="8"/>
      <c r="Y884" s="8"/>
      <c r="Z884" s="8"/>
    </row>
    <row r="885" ht="14.25" customHeight="1">
      <c r="A885" s="8">
        <v>25392.0</v>
      </c>
      <c r="B885" s="8" t="s">
        <v>24</v>
      </c>
      <c r="C885" s="8" t="s">
        <v>1973</v>
      </c>
      <c r="D885" s="8">
        <v>2014.0</v>
      </c>
      <c r="E885" s="8" t="s">
        <v>2633</v>
      </c>
      <c r="F885" s="8" t="s">
        <v>36</v>
      </c>
      <c r="G885" s="8">
        <v>9.0</v>
      </c>
      <c r="H885" s="8">
        <v>11.0</v>
      </c>
      <c r="I885" s="8" t="s">
        <v>33</v>
      </c>
      <c r="J885" s="8" t="s">
        <v>29</v>
      </c>
      <c r="K885" s="8"/>
      <c r="L885" s="8"/>
      <c r="M885" s="8"/>
      <c r="N885" s="8"/>
      <c r="O885" s="8"/>
      <c r="P885" s="8"/>
      <c r="Q885" s="8"/>
      <c r="R885" s="8"/>
      <c r="S885" s="8"/>
      <c r="T885" s="8"/>
      <c r="U885" s="8"/>
      <c r="V885" s="8"/>
      <c r="W885" s="8"/>
      <c r="X885" s="8"/>
      <c r="Y885" s="8"/>
      <c r="Z885" s="8"/>
    </row>
    <row r="886" ht="14.25" customHeight="1">
      <c r="A886" s="8">
        <v>24507.0</v>
      </c>
      <c r="B886" s="8" t="s">
        <v>24</v>
      </c>
      <c r="C886" s="8" t="s">
        <v>2634</v>
      </c>
      <c r="D886" s="8">
        <v>2008.0</v>
      </c>
      <c r="E886" s="8" t="s">
        <v>2635</v>
      </c>
      <c r="F886" s="8" t="s">
        <v>615</v>
      </c>
      <c r="G886" s="8">
        <v>17.0</v>
      </c>
      <c r="H886" s="8">
        <v>10.0</v>
      </c>
      <c r="I886" s="8" t="s">
        <v>2636</v>
      </c>
      <c r="J886" s="8" t="s">
        <v>29</v>
      </c>
      <c r="K886" s="8"/>
      <c r="L886" s="8"/>
      <c r="M886" s="8"/>
      <c r="N886" s="8"/>
      <c r="O886" s="8"/>
      <c r="P886" s="8"/>
      <c r="Q886" s="8"/>
      <c r="R886" s="8"/>
      <c r="S886" s="8"/>
      <c r="T886" s="8"/>
      <c r="U886" s="8"/>
      <c r="V886" s="8"/>
      <c r="W886" s="8"/>
      <c r="X886" s="8"/>
      <c r="Y886" s="8"/>
      <c r="Z886" s="8"/>
    </row>
    <row r="887" ht="14.25" customHeight="1">
      <c r="A887" s="8">
        <v>25734.0</v>
      </c>
      <c r="B887" s="8" t="s">
        <v>24</v>
      </c>
      <c r="C887" s="8" t="s">
        <v>2637</v>
      </c>
      <c r="D887" s="8">
        <v>2017.0</v>
      </c>
      <c r="E887" s="8" t="s">
        <v>2638</v>
      </c>
      <c r="F887" s="8" t="s">
        <v>515</v>
      </c>
      <c r="G887" s="8">
        <v>78.0</v>
      </c>
      <c r="H887" s="8" t="s">
        <v>33</v>
      </c>
      <c r="I887" s="8" t="s">
        <v>2639</v>
      </c>
      <c r="J887" s="8" t="s">
        <v>29</v>
      </c>
      <c r="K887" s="8"/>
      <c r="L887" s="8"/>
      <c r="M887" s="8"/>
      <c r="N887" s="8"/>
      <c r="O887" s="8"/>
      <c r="P887" s="8"/>
      <c r="Q887" s="8"/>
      <c r="R887" s="8"/>
      <c r="S887" s="8"/>
      <c r="T887" s="8"/>
      <c r="U887" s="8"/>
      <c r="V887" s="8"/>
      <c r="W887" s="8"/>
      <c r="X887" s="8"/>
      <c r="Y887" s="8"/>
      <c r="Z887" s="8"/>
    </row>
    <row r="888" ht="14.25" customHeight="1">
      <c r="A888" s="8">
        <v>26092.0</v>
      </c>
      <c r="B888" s="8" t="s">
        <v>24</v>
      </c>
      <c r="C888" s="8" t="s">
        <v>2640</v>
      </c>
      <c r="D888" s="8">
        <v>2020.0</v>
      </c>
      <c r="E888" s="8" t="s">
        <v>2641</v>
      </c>
      <c r="F888" s="8" t="s">
        <v>522</v>
      </c>
      <c r="G888" s="8">
        <v>30.0</v>
      </c>
      <c r="H888" s="8">
        <v>7.0</v>
      </c>
      <c r="I888" s="8" t="s">
        <v>2642</v>
      </c>
      <c r="J888" s="8" t="s">
        <v>29</v>
      </c>
      <c r="K888" s="8"/>
      <c r="L888" s="8"/>
      <c r="M888" s="8"/>
      <c r="N888" s="8"/>
      <c r="O888" s="8"/>
      <c r="P888" s="8"/>
      <c r="Q888" s="8"/>
      <c r="R888" s="8"/>
      <c r="S888" s="8"/>
      <c r="T888" s="8"/>
      <c r="U888" s="8"/>
      <c r="V888" s="8"/>
      <c r="W888" s="8"/>
      <c r="X888" s="8"/>
      <c r="Y888" s="8"/>
      <c r="Z888" s="8"/>
    </row>
    <row r="889" ht="14.25" customHeight="1">
      <c r="A889" s="8">
        <v>24206.0</v>
      </c>
      <c r="B889" s="8" t="s">
        <v>24</v>
      </c>
      <c r="C889" s="8" t="s">
        <v>2643</v>
      </c>
      <c r="D889" s="8">
        <v>2009.0</v>
      </c>
      <c r="E889" s="8" t="s">
        <v>2644</v>
      </c>
      <c r="F889" s="8" t="s">
        <v>64</v>
      </c>
      <c r="G889" s="8">
        <v>142.0</v>
      </c>
      <c r="H889" s="8">
        <v>12.0</v>
      </c>
      <c r="I889" s="8" t="s">
        <v>2645</v>
      </c>
      <c r="J889" s="8" t="s">
        <v>29</v>
      </c>
      <c r="K889" s="8"/>
      <c r="L889" s="8"/>
      <c r="M889" s="8"/>
      <c r="N889" s="8"/>
      <c r="O889" s="8"/>
      <c r="P889" s="8"/>
      <c r="Q889" s="8"/>
      <c r="R889" s="8"/>
      <c r="S889" s="8"/>
      <c r="T889" s="8"/>
      <c r="U889" s="8"/>
      <c r="V889" s="8"/>
      <c r="W889" s="8"/>
      <c r="X889" s="8"/>
      <c r="Y889" s="8"/>
      <c r="Z889" s="8"/>
    </row>
    <row r="890" ht="14.25" customHeight="1">
      <c r="A890" s="8">
        <v>24796.0</v>
      </c>
      <c r="B890" s="8" t="s">
        <v>24</v>
      </c>
      <c r="C890" s="8" t="s">
        <v>2646</v>
      </c>
      <c r="D890" s="8">
        <v>2013.0</v>
      </c>
      <c r="E890" s="8" t="s">
        <v>2647</v>
      </c>
      <c r="F890" s="8" t="s">
        <v>36</v>
      </c>
      <c r="G890" s="8">
        <v>8.0</v>
      </c>
      <c r="H890" s="8">
        <v>7.0</v>
      </c>
      <c r="I890" s="8" t="s">
        <v>33</v>
      </c>
      <c r="J890" s="8" t="s">
        <v>29</v>
      </c>
      <c r="K890" s="8"/>
      <c r="L890" s="8"/>
      <c r="M890" s="8"/>
      <c r="N890" s="8"/>
      <c r="O890" s="8"/>
      <c r="P890" s="8"/>
      <c r="Q890" s="8"/>
      <c r="R890" s="8"/>
      <c r="S890" s="8"/>
      <c r="T890" s="8"/>
      <c r="U890" s="8"/>
      <c r="V890" s="8"/>
      <c r="W890" s="8"/>
      <c r="X890" s="8"/>
      <c r="Y890" s="8"/>
      <c r="Z890" s="8"/>
    </row>
    <row r="891" ht="14.25" customHeight="1">
      <c r="A891" s="8">
        <v>24913.0</v>
      </c>
      <c r="B891" s="8" t="s">
        <v>24</v>
      </c>
      <c r="C891" s="8" t="s">
        <v>2648</v>
      </c>
      <c r="D891" s="8">
        <v>2020.0</v>
      </c>
      <c r="E891" s="8" t="s">
        <v>2649</v>
      </c>
      <c r="F891" s="8" t="s">
        <v>170</v>
      </c>
      <c r="G891" s="8">
        <v>465.0</v>
      </c>
      <c r="H891" s="8" t="s">
        <v>33</v>
      </c>
      <c r="I891" s="8">
        <v>10.0</v>
      </c>
      <c r="J891" s="8" t="s">
        <v>29</v>
      </c>
      <c r="K891" s="8"/>
      <c r="L891" s="8"/>
      <c r="M891" s="8"/>
      <c r="N891" s="8"/>
      <c r="O891" s="8"/>
      <c r="P891" s="8"/>
      <c r="Q891" s="8"/>
      <c r="R891" s="8"/>
      <c r="S891" s="8"/>
      <c r="T891" s="8"/>
      <c r="U891" s="8"/>
      <c r="V891" s="8"/>
      <c r="W891" s="8"/>
      <c r="X891" s="8"/>
      <c r="Y891" s="8"/>
      <c r="Z891" s="8"/>
    </row>
    <row r="892" ht="14.25" customHeight="1">
      <c r="A892" s="8">
        <v>24291.0</v>
      </c>
      <c r="B892" s="8" t="s">
        <v>24</v>
      </c>
      <c r="C892" s="8" t="s">
        <v>2650</v>
      </c>
      <c r="D892" s="8">
        <v>2016.0</v>
      </c>
      <c r="E892" s="8" t="s">
        <v>2651</v>
      </c>
      <c r="F892" s="8" t="s">
        <v>286</v>
      </c>
      <c r="G892" s="8">
        <v>188.0</v>
      </c>
      <c r="H892" s="8">
        <v>4.0</v>
      </c>
      <c r="I892" s="8" t="s">
        <v>33</v>
      </c>
      <c r="J892" s="8" t="s">
        <v>29</v>
      </c>
      <c r="K892" s="8"/>
      <c r="L892" s="8"/>
      <c r="M892" s="8"/>
      <c r="N892" s="8"/>
      <c r="O892" s="8"/>
      <c r="P892" s="8"/>
      <c r="Q892" s="8"/>
      <c r="R892" s="8"/>
      <c r="S892" s="8"/>
      <c r="T892" s="8"/>
      <c r="U892" s="8"/>
      <c r="V892" s="8"/>
      <c r="W892" s="8"/>
      <c r="X892" s="8"/>
      <c r="Y892" s="8"/>
      <c r="Z892" s="8"/>
    </row>
    <row r="893" ht="14.25" customHeight="1">
      <c r="A893" s="8">
        <v>24262.0</v>
      </c>
      <c r="B893" s="8" t="s">
        <v>24</v>
      </c>
      <c r="C893" s="8" t="s">
        <v>2652</v>
      </c>
      <c r="D893" s="8">
        <v>2019.0</v>
      </c>
      <c r="E893" s="8" t="s">
        <v>2653</v>
      </c>
      <c r="F893" s="8" t="s">
        <v>2654</v>
      </c>
      <c r="G893" s="8">
        <v>1.0</v>
      </c>
      <c r="H893" s="8">
        <v>1.0</v>
      </c>
      <c r="I893" s="8" t="s">
        <v>33</v>
      </c>
      <c r="J893" s="8" t="s">
        <v>29</v>
      </c>
      <c r="K893" s="8"/>
      <c r="L893" s="8"/>
      <c r="M893" s="8"/>
      <c r="N893" s="8"/>
      <c r="O893" s="8"/>
      <c r="P893" s="8"/>
      <c r="Q893" s="8"/>
      <c r="R893" s="8"/>
      <c r="S893" s="8"/>
      <c r="T893" s="8"/>
      <c r="U893" s="8"/>
      <c r="V893" s="8"/>
      <c r="W893" s="8"/>
      <c r="X893" s="8"/>
      <c r="Y893" s="8"/>
      <c r="Z893" s="8"/>
    </row>
    <row r="894" ht="14.25" customHeight="1">
      <c r="A894" s="8">
        <v>25297.0</v>
      </c>
      <c r="B894" s="8" t="s">
        <v>24</v>
      </c>
      <c r="C894" s="8" t="s">
        <v>1316</v>
      </c>
      <c r="D894" s="8">
        <v>2020.0</v>
      </c>
      <c r="E894" s="8" t="s">
        <v>2655</v>
      </c>
      <c r="F894" s="8" t="s">
        <v>2334</v>
      </c>
      <c r="G894" s="8" t="s">
        <v>33</v>
      </c>
      <c r="H894" s="8" t="s">
        <v>33</v>
      </c>
      <c r="I894" s="8" t="s">
        <v>33</v>
      </c>
      <c r="J894" s="8" t="s">
        <v>29</v>
      </c>
      <c r="K894" s="8"/>
      <c r="L894" s="8"/>
      <c r="M894" s="8"/>
      <c r="N894" s="8"/>
      <c r="O894" s="8"/>
      <c r="P894" s="8"/>
      <c r="Q894" s="8"/>
      <c r="R894" s="8"/>
      <c r="S894" s="8"/>
      <c r="T894" s="8"/>
      <c r="U894" s="8"/>
      <c r="V894" s="8"/>
      <c r="W894" s="8"/>
      <c r="X894" s="8"/>
      <c r="Y894" s="8"/>
      <c r="Z894" s="8"/>
    </row>
    <row r="895" ht="14.25" customHeight="1">
      <c r="A895" s="8">
        <v>23602.0</v>
      </c>
      <c r="B895" s="8" t="s">
        <v>24</v>
      </c>
      <c r="C895" s="8" t="s">
        <v>2656</v>
      </c>
      <c r="D895" s="8">
        <v>2020.0</v>
      </c>
      <c r="E895" s="8" t="s">
        <v>2657</v>
      </c>
      <c r="F895" s="8" t="s">
        <v>145</v>
      </c>
      <c r="G895" s="8">
        <v>117.0</v>
      </c>
      <c r="H895" s="8" t="s">
        <v>33</v>
      </c>
      <c r="I895" s="8" t="s">
        <v>33</v>
      </c>
      <c r="J895" s="8" t="s">
        <v>29</v>
      </c>
      <c r="K895" s="8"/>
      <c r="L895" s="8"/>
      <c r="M895" s="8"/>
      <c r="N895" s="8"/>
      <c r="O895" s="8"/>
      <c r="P895" s="8"/>
      <c r="Q895" s="8"/>
      <c r="R895" s="8"/>
      <c r="S895" s="8"/>
      <c r="T895" s="8"/>
      <c r="U895" s="8"/>
      <c r="V895" s="8"/>
      <c r="W895" s="8"/>
      <c r="X895" s="8"/>
      <c r="Y895" s="8"/>
      <c r="Z895" s="8"/>
    </row>
    <row r="896" ht="14.25" customHeight="1">
      <c r="A896" s="8">
        <v>23430.0</v>
      </c>
      <c r="B896" s="8" t="s">
        <v>24</v>
      </c>
      <c r="C896" s="8" t="s">
        <v>2658</v>
      </c>
      <c r="D896" s="8">
        <v>2005.0</v>
      </c>
      <c r="E896" s="8" t="s">
        <v>2659</v>
      </c>
      <c r="F896" s="8" t="s">
        <v>343</v>
      </c>
      <c r="G896" s="8">
        <v>69.0</v>
      </c>
      <c r="H896" s="8">
        <v>2.0</v>
      </c>
      <c r="I896" s="8" t="s">
        <v>2660</v>
      </c>
      <c r="J896" s="8" t="s">
        <v>29</v>
      </c>
      <c r="K896" s="8"/>
      <c r="L896" s="8"/>
      <c r="M896" s="8"/>
      <c r="N896" s="8"/>
      <c r="O896" s="8"/>
      <c r="P896" s="8"/>
      <c r="Q896" s="8"/>
      <c r="R896" s="8"/>
      <c r="S896" s="8"/>
      <c r="T896" s="8"/>
      <c r="U896" s="8"/>
      <c r="V896" s="8"/>
      <c r="W896" s="8"/>
      <c r="X896" s="8"/>
      <c r="Y896" s="8"/>
      <c r="Z896" s="8"/>
    </row>
    <row r="897" ht="14.25" customHeight="1">
      <c r="A897" s="8">
        <v>24566.0</v>
      </c>
      <c r="B897" s="8" t="s">
        <v>24</v>
      </c>
      <c r="C897" s="8" t="s">
        <v>406</v>
      </c>
      <c r="D897" s="8">
        <v>2019.0</v>
      </c>
      <c r="E897" s="8" t="s">
        <v>2661</v>
      </c>
      <c r="F897" s="8" t="s">
        <v>581</v>
      </c>
      <c r="G897" s="8" t="s">
        <v>33</v>
      </c>
      <c r="H897" s="8" t="s">
        <v>33</v>
      </c>
      <c r="I897" s="8" t="s">
        <v>33</v>
      </c>
      <c r="J897" s="8" t="s">
        <v>29</v>
      </c>
      <c r="K897" s="8"/>
      <c r="L897" s="8"/>
      <c r="M897" s="8"/>
      <c r="N897" s="8"/>
      <c r="O897" s="8"/>
      <c r="P897" s="8"/>
      <c r="Q897" s="8"/>
      <c r="R897" s="8"/>
      <c r="S897" s="8"/>
      <c r="T897" s="8"/>
      <c r="U897" s="8"/>
      <c r="V897" s="8"/>
      <c r="W897" s="8"/>
      <c r="X897" s="8"/>
      <c r="Y897" s="8"/>
      <c r="Z897" s="8"/>
    </row>
    <row r="898" ht="14.25" customHeight="1">
      <c r="A898" s="8">
        <v>26001.0</v>
      </c>
      <c r="B898" s="8" t="s">
        <v>24</v>
      </c>
      <c r="C898" s="8" t="s">
        <v>2662</v>
      </c>
      <c r="D898" s="8">
        <v>2018.0</v>
      </c>
      <c r="E898" s="8" t="s">
        <v>2663</v>
      </c>
      <c r="F898" s="8" t="s">
        <v>2664</v>
      </c>
      <c r="G898" s="8">
        <v>48.0</v>
      </c>
      <c r="H898" s="8">
        <v>4.0</v>
      </c>
      <c r="I898" s="8" t="s">
        <v>2665</v>
      </c>
      <c r="J898" s="8" t="s">
        <v>29</v>
      </c>
      <c r="K898" s="8"/>
      <c r="L898" s="8"/>
      <c r="M898" s="8"/>
      <c r="N898" s="8"/>
      <c r="O898" s="8"/>
      <c r="P898" s="8"/>
      <c r="Q898" s="8"/>
      <c r="R898" s="8"/>
      <c r="S898" s="8"/>
      <c r="T898" s="8"/>
      <c r="U898" s="8"/>
      <c r="V898" s="8"/>
      <c r="W898" s="8"/>
      <c r="X898" s="8"/>
      <c r="Y898" s="8"/>
      <c r="Z898" s="8"/>
    </row>
    <row r="899" ht="14.25" customHeight="1">
      <c r="A899" s="8">
        <v>25232.0</v>
      </c>
      <c r="B899" s="8" t="s">
        <v>24</v>
      </c>
      <c r="C899" s="8" t="s">
        <v>2666</v>
      </c>
      <c r="D899" s="8">
        <v>2018.0</v>
      </c>
      <c r="E899" s="8" t="s">
        <v>2667</v>
      </c>
      <c r="F899" s="8" t="s">
        <v>2668</v>
      </c>
      <c r="G899" s="8">
        <v>74.0</v>
      </c>
      <c r="H899" s="8">
        <v>4.0</v>
      </c>
      <c r="I899" s="8" t="s">
        <v>2669</v>
      </c>
      <c r="J899" s="8" t="s">
        <v>29</v>
      </c>
      <c r="K899" s="8"/>
      <c r="L899" s="8"/>
      <c r="M899" s="8"/>
      <c r="N899" s="8"/>
      <c r="O899" s="8"/>
      <c r="P899" s="8"/>
      <c r="Q899" s="8"/>
      <c r="R899" s="8"/>
      <c r="S899" s="8"/>
      <c r="T899" s="8"/>
      <c r="U899" s="8"/>
      <c r="V899" s="8"/>
      <c r="W899" s="8"/>
      <c r="X899" s="8"/>
      <c r="Y899" s="8"/>
      <c r="Z899" s="8"/>
    </row>
    <row r="900" ht="14.25" customHeight="1">
      <c r="A900" s="8">
        <v>25370.0</v>
      </c>
      <c r="B900" s="8" t="s">
        <v>24</v>
      </c>
      <c r="C900" s="8" t="s">
        <v>2670</v>
      </c>
      <c r="D900" s="8">
        <v>2014.0</v>
      </c>
      <c r="E900" s="8" t="s">
        <v>2671</v>
      </c>
      <c r="F900" s="8" t="s">
        <v>615</v>
      </c>
      <c r="G900" s="8">
        <v>23.0</v>
      </c>
      <c r="H900" s="8">
        <v>13.0</v>
      </c>
      <c r="I900" s="8" t="s">
        <v>2672</v>
      </c>
      <c r="J900" s="8" t="s">
        <v>29</v>
      </c>
      <c r="K900" s="8"/>
      <c r="L900" s="8"/>
      <c r="M900" s="8"/>
      <c r="N900" s="8"/>
      <c r="O900" s="8"/>
      <c r="P900" s="8"/>
      <c r="Q900" s="8"/>
      <c r="R900" s="8"/>
      <c r="S900" s="8"/>
      <c r="T900" s="8"/>
      <c r="U900" s="8"/>
      <c r="V900" s="8"/>
      <c r="W900" s="8"/>
      <c r="X900" s="8"/>
      <c r="Y900" s="8"/>
      <c r="Z900" s="8"/>
    </row>
    <row r="901" ht="14.25" customHeight="1">
      <c r="A901" s="8">
        <v>25061.0</v>
      </c>
      <c r="B901" s="8" t="s">
        <v>24</v>
      </c>
      <c r="C901" s="8" t="s">
        <v>2673</v>
      </c>
      <c r="D901" s="8">
        <v>2019.0</v>
      </c>
      <c r="E901" s="8" t="s">
        <v>2674</v>
      </c>
      <c r="F901" s="8" t="s">
        <v>145</v>
      </c>
      <c r="G901" s="8">
        <v>97.0</v>
      </c>
      <c r="H901" s="8" t="s">
        <v>33</v>
      </c>
      <c r="I901" s="8" t="s">
        <v>2675</v>
      </c>
      <c r="J901" s="8" t="s">
        <v>29</v>
      </c>
      <c r="K901" s="8"/>
      <c r="L901" s="8"/>
      <c r="M901" s="8"/>
      <c r="N901" s="8"/>
      <c r="O901" s="8"/>
      <c r="P901" s="8"/>
      <c r="Q901" s="8"/>
      <c r="R901" s="8"/>
      <c r="S901" s="8"/>
      <c r="T901" s="8"/>
      <c r="U901" s="8"/>
      <c r="V901" s="8"/>
      <c r="W901" s="8"/>
      <c r="X901" s="8"/>
      <c r="Y901" s="8"/>
      <c r="Z901" s="8"/>
    </row>
    <row r="902" ht="14.25" customHeight="1">
      <c r="A902" s="8">
        <v>25761.0</v>
      </c>
      <c r="B902" s="8" t="s">
        <v>24</v>
      </c>
      <c r="C902" s="8" t="s">
        <v>2676</v>
      </c>
      <c r="D902" s="8">
        <v>2014.0</v>
      </c>
      <c r="E902" s="8" t="s">
        <v>2677</v>
      </c>
      <c r="F902" s="8" t="s">
        <v>538</v>
      </c>
      <c r="G902" s="8">
        <v>23.0</v>
      </c>
      <c r="H902" s="8">
        <v>3.0</v>
      </c>
      <c r="I902" s="8" t="s">
        <v>2678</v>
      </c>
      <c r="J902" s="8" t="s">
        <v>29</v>
      </c>
      <c r="K902" s="8"/>
      <c r="L902" s="8"/>
      <c r="M902" s="8"/>
      <c r="N902" s="8"/>
      <c r="O902" s="8"/>
      <c r="P902" s="8"/>
      <c r="Q902" s="8"/>
      <c r="R902" s="8"/>
      <c r="S902" s="8"/>
      <c r="T902" s="8"/>
      <c r="U902" s="8"/>
      <c r="V902" s="8"/>
      <c r="W902" s="8"/>
      <c r="X902" s="8"/>
      <c r="Y902" s="8"/>
      <c r="Z902" s="8"/>
    </row>
    <row r="903" ht="14.25" customHeight="1">
      <c r="A903" s="8" t="s">
        <v>2679</v>
      </c>
      <c r="B903" s="8" t="s">
        <v>41</v>
      </c>
      <c r="C903" s="8" t="s">
        <v>2680</v>
      </c>
      <c r="D903" s="8">
        <v>2019.0</v>
      </c>
      <c r="E903" s="8" t="s">
        <v>2681</v>
      </c>
      <c r="F903" s="8" t="s">
        <v>855</v>
      </c>
      <c r="G903" s="8" t="s">
        <v>33</v>
      </c>
      <c r="H903" s="8" t="s">
        <v>33</v>
      </c>
      <c r="I903" s="8" t="s">
        <v>33</v>
      </c>
      <c r="J903" s="8" t="s">
        <v>320</v>
      </c>
      <c r="K903" s="8"/>
      <c r="L903" s="8"/>
      <c r="M903" s="8"/>
      <c r="N903" s="8"/>
      <c r="O903" s="8"/>
      <c r="P903" s="8"/>
      <c r="Q903" s="8"/>
      <c r="R903" s="8"/>
      <c r="S903" s="8"/>
      <c r="T903" s="8"/>
      <c r="U903" s="8"/>
      <c r="V903" s="8"/>
      <c r="W903" s="8"/>
      <c r="X903" s="8"/>
      <c r="Y903" s="8"/>
      <c r="Z903" s="8"/>
    </row>
    <row r="904" ht="14.25" customHeight="1">
      <c r="A904" s="8">
        <v>25420.0</v>
      </c>
      <c r="B904" s="8" t="s">
        <v>24</v>
      </c>
      <c r="C904" s="8" t="s">
        <v>2682</v>
      </c>
      <c r="D904" s="8">
        <v>2018.0</v>
      </c>
      <c r="E904" s="8" t="s">
        <v>2683</v>
      </c>
      <c r="F904" s="8" t="s">
        <v>2684</v>
      </c>
      <c r="G904" s="8">
        <v>13.0</v>
      </c>
      <c r="H904" s="8">
        <v>1.0</v>
      </c>
      <c r="I904" s="8" t="s">
        <v>2685</v>
      </c>
      <c r="J904" s="8" t="s">
        <v>29</v>
      </c>
      <c r="K904" s="8"/>
      <c r="L904" s="8"/>
      <c r="M904" s="8"/>
      <c r="N904" s="8"/>
      <c r="O904" s="8"/>
      <c r="P904" s="8"/>
      <c r="Q904" s="8"/>
      <c r="R904" s="8"/>
      <c r="S904" s="8"/>
      <c r="T904" s="8"/>
      <c r="U904" s="8"/>
      <c r="V904" s="8"/>
      <c r="W904" s="8"/>
      <c r="X904" s="8"/>
      <c r="Y904" s="8"/>
      <c r="Z904" s="8"/>
    </row>
    <row r="905" ht="14.25" customHeight="1">
      <c r="A905" s="8">
        <v>25008.0</v>
      </c>
      <c r="B905" s="8" t="s">
        <v>24</v>
      </c>
      <c r="C905" s="8" t="s">
        <v>2686</v>
      </c>
      <c r="D905" s="8">
        <v>2016.0</v>
      </c>
      <c r="E905" s="8" t="s">
        <v>2687</v>
      </c>
      <c r="F905" s="8" t="s">
        <v>256</v>
      </c>
      <c r="G905" s="8">
        <v>134.0</v>
      </c>
      <c r="H905" s="8" t="s">
        <v>33</v>
      </c>
      <c r="I905" s="8" t="s">
        <v>2688</v>
      </c>
      <c r="J905" s="8" t="s">
        <v>29</v>
      </c>
      <c r="K905" s="8"/>
      <c r="L905" s="8"/>
      <c r="M905" s="8"/>
      <c r="N905" s="8"/>
      <c r="O905" s="8"/>
      <c r="P905" s="8"/>
      <c r="Q905" s="8"/>
      <c r="R905" s="8"/>
      <c r="S905" s="8"/>
      <c r="T905" s="8"/>
      <c r="U905" s="8"/>
      <c r="V905" s="8"/>
      <c r="W905" s="8"/>
      <c r="X905" s="8"/>
      <c r="Y905" s="8"/>
      <c r="Z905" s="8"/>
    </row>
    <row r="906" ht="14.25" customHeight="1">
      <c r="A906" s="8">
        <v>24503.0</v>
      </c>
      <c r="B906" s="8" t="s">
        <v>576</v>
      </c>
      <c r="C906" s="8" t="s">
        <v>2689</v>
      </c>
      <c r="D906" s="8">
        <v>2016.0</v>
      </c>
      <c r="E906" s="8" t="s">
        <v>2690</v>
      </c>
      <c r="F906" s="8" t="s">
        <v>462</v>
      </c>
      <c r="G906" s="8" t="s">
        <v>33</v>
      </c>
      <c r="H906" s="8" t="s">
        <v>33</v>
      </c>
      <c r="I906" s="8">
        <v>81.0</v>
      </c>
      <c r="J906" s="8" t="s">
        <v>29</v>
      </c>
      <c r="K906" s="8"/>
      <c r="L906" s="8"/>
      <c r="M906" s="8"/>
      <c r="N906" s="8"/>
      <c r="O906" s="8"/>
      <c r="P906" s="8"/>
      <c r="Q906" s="8"/>
      <c r="R906" s="8"/>
      <c r="S906" s="8"/>
      <c r="T906" s="8"/>
      <c r="U906" s="8"/>
      <c r="V906" s="8"/>
      <c r="W906" s="8"/>
      <c r="X906" s="8"/>
      <c r="Y906" s="8"/>
      <c r="Z906" s="8"/>
    </row>
    <row r="907" ht="14.25" customHeight="1">
      <c r="A907" s="8">
        <v>24195.0</v>
      </c>
      <c r="B907" s="8" t="s">
        <v>24</v>
      </c>
      <c r="C907" s="8" t="s">
        <v>2691</v>
      </c>
      <c r="D907" s="8">
        <v>2014.0</v>
      </c>
      <c r="E907" s="8" t="s">
        <v>2692</v>
      </c>
      <c r="F907" s="8" t="s">
        <v>56</v>
      </c>
      <c r="G907" s="8">
        <v>51.0</v>
      </c>
      <c r="H907" s="8">
        <v>3.0</v>
      </c>
      <c r="I907" s="8" t="s">
        <v>2693</v>
      </c>
      <c r="J907" s="8" t="s">
        <v>29</v>
      </c>
      <c r="K907" s="8"/>
      <c r="L907" s="8"/>
      <c r="M907" s="8"/>
      <c r="N907" s="8"/>
      <c r="O907" s="8"/>
      <c r="P907" s="8"/>
      <c r="Q907" s="8"/>
      <c r="R907" s="8"/>
      <c r="S907" s="8"/>
      <c r="T907" s="8"/>
      <c r="U907" s="8"/>
      <c r="V907" s="8"/>
      <c r="W907" s="8"/>
      <c r="X907" s="8"/>
      <c r="Y907" s="8"/>
      <c r="Z907" s="8"/>
    </row>
    <row r="908" ht="14.25" customHeight="1">
      <c r="A908" s="8">
        <v>25824.0</v>
      </c>
      <c r="B908" s="8" t="s">
        <v>576</v>
      </c>
      <c r="C908" s="8" t="s">
        <v>2694</v>
      </c>
      <c r="D908" s="8">
        <v>2013.0</v>
      </c>
      <c r="E908" s="8" t="s">
        <v>2695</v>
      </c>
      <c r="F908" s="8" t="s">
        <v>462</v>
      </c>
      <c r="G908" s="8" t="s">
        <v>33</v>
      </c>
      <c r="H908" s="8" t="s">
        <v>33</v>
      </c>
      <c r="I908" s="8" t="s">
        <v>33</v>
      </c>
      <c r="J908" s="8" t="s">
        <v>29</v>
      </c>
      <c r="K908" s="8"/>
      <c r="L908" s="8"/>
      <c r="M908" s="8"/>
      <c r="N908" s="8"/>
      <c r="O908" s="8"/>
      <c r="P908" s="8"/>
      <c r="Q908" s="8"/>
      <c r="R908" s="8"/>
      <c r="S908" s="8"/>
      <c r="T908" s="8"/>
      <c r="U908" s="8"/>
      <c r="V908" s="8"/>
      <c r="W908" s="8"/>
      <c r="X908" s="8"/>
      <c r="Y908" s="8"/>
      <c r="Z908" s="8"/>
    </row>
    <row r="909" ht="14.25" customHeight="1">
      <c r="A909" s="8">
        <v>23487.0</v>
      </c>
      <c r="B909" s="8" t="s">
        <v>837</v>
      </c>
      <c r="C909" s="8" t="s">
        <v>2696</v>
      </c>
      <c r="D909" s="8">
        <v>2012.0</v>
      </c>
      <c r="E909" s="9" t="s">
        <v>2697</v>
      </c>
      <c r="F909" s="8" t="s">
        <v>33</v>
      </c>
      <c r="G909" s="8" t="s">
        <v>33</v>
      </c>
      <c r="H909" s="8" t="s">
        <v>33</v>
      </c>
      <c r="I909" s="8" t="s">
        <v>33</v>
      </c>
      <c r="J909" s="8" t="s">
        <v>29</v>
      </c>
      <c r="K909" s="8"/>
      <c r="L909" s="8"/>
      <c r="M909" s="8"/>
      <c r="N909" s="8"/>
      <c r="O909" s="8"/>
      <c r="P909" s="8"/>
      <c r="Q909" s="8"/>
      <c r="R909" s="8"/>
      <c r="S909" s="8"/>
      <c r="T909" s="8"/>
      <c r="U909" s="8"/>
      <c r="V909" s="8"/>
      <c r="W909" s="8"/>
      <c r="X909" s="8"/>
      <c r="Y909" s="8"/>
      <c r="Z909" s="8"/>
    </row>
    <row r="910" ht="14.25" customHeight="1">
      <c r="A910" s="8">
        <v>23068.0</v>
      </c>
      <c r="B910" s="8" t="s">
        <v>24</v>
      </c>
      <c r="C910" s="8" t="s">
        <v>2698</v>
      </c>
      <c r="D910" s="8">
        <v>2010.0</v>
      </c>
      <c r="E910" s="8" t="s">
        <v>2699</v>
      </c>
      <c r="F910" s="8" t="s">
        <v>2700</v>
      </c>
      <c r="G910" s="8">
        <v>10.0</v>
      </c>
      <c r="H910" s="8">
        <v>2.0</v>
      </c>
      <c r="I910" s="8" t="s">
        <v>2701</v>
      </c>
      <c r="J910" s="8" t="s">
        <v>29</v>
      </c>
      <c r="K910" s="8"/>
      <c r="L910" s="8"/>
      <c r="M910" s="8"/>
      <c r="N910" s="8"/>
      <c r="O910" s="8"/>
      <c r="P910" s="8"/>
      <c r="Q910" s="8"/>
      <c r="R910" s="8"/>
      <c r="S910" s="8"/>
      <c r="T910" s="8"/>
      <c r="U910" s="8"/>
      <c r="V910" s="8"/>
      <c r="W910" s="8"/>
      <c r="X910" s="8"/>
      <c r="Y910" s="8"/>
      <c r="Z910" s="8"/>
    </row>
    <row r="911" ht="14.25" customHeight="1">
      <c r="A911" s="8">
        <v>24112.0</v>
      </c>
      <c r="B911" s="8" t="s">
        <v>24</v>
      </c>
      <c r="C911" s="8" t="s">
        <v>1751</v>
      </c>
      <c r="D911" s="8">
        <v>2005.0</v>
      </c>
      <c r="E911" s="8" t="s">
        <v>2702</v>
      </c>
      <c r="F911" s="8" t="s">
        <v>1044</v>
      </c>
      <c r="G911" s="8">
        <v>182.0</v>
      </c>
      <c r="H911" s="8">
        <v>1.0</v>
      </c>
      <c r="I911" s="8" t="s">
        <v>2703</v>
      </c>
      <c r="J911" s="8" t="s">
        <v>29</v>
      </c>
      <c r="K911" s="8"/>
      <c r="L911" s="8"/>
      <c r="M911" s="8"/>
      <c r="N911" s="8"/>
      <c r="O911" s="8"/>
      <c r="P911" s="8"/>
      <c r="Q911" s="8"/>
      <c r="R911" s="8"/>
      <c r="S911" s="8"/>
      <c r="T911" s="8"/>
      <c r="U911" s="8"/>
      <c r="V911" s="8"/>
      <c r="W911" s="8"/>
      <c r="X911" s="8"/>
      <c r="Y911" s="8"/>
      <c r="Z911" s="8"/>
    </row>
    <row r="912" ht="14.25" customHeight="1">
      <c r="A912" s="8">
        <v>24288.0</v>
      </c>
      <c r="B912" s="8" t="s">
        <v>24</v>
      </c>
      <c r="C912" s="8" t="s">
        <v>2704</v>
      </c>
      <c r="D912" s="8">
        <v>2019.0</v>
      </c>
      <c r="E912" s="8" t="s">
        <v>2705</v>
      </c>
      <c r="F912" s="8" t="s">
        <v>74</v>
      </c>
      <c r="G912" s="8">
        <v>52.0</v>
      </c>
      <c r="H912" s="8" t="s">
        <v>33</v>
      </c>
      <c r="I912" s="8" t="s">
        <v>33</v>
      </c>
      <c r="J912" s="8" t="s">
        <v>29</v>
      </c>
      <c r="K912" s="8"/>
      <c r="L912" s="8"/>
      <c r="M912" s="8"/>
      <c r="N912" s="8"/>
      <c r="O912" s="8"/>
      <c r="P912" s="8"/>
      <c r="Q912" s="8"/>
      <c r="R912" s="8"/>
      <c r="S912" s="8"/>
      <c r="T912" s="8"/>
      <c r="U912" s="8"/>
      <c r="V912" s="8"/>
      <c r="W912" s="8"/>
      <c r="X912" s="8"/>
      <c r="Y912" s="8"/>
      <c r="Z912" s="8"/>
    </row>
    <row r="913" ht="14.25" customHeight="1">
      <c r="A913" s="8">
        <v>26081.0</v>
      </c>
      <c r="B913" s="8" t="s">
        <v>24</v>
      </c>
      <c r="C913" s="8" t="s">
        <v>2706</v>
      </c>
      <c r="D913" s="8">
        <v>2020.0</v>
      </c>
      <c r="E913" s="8" t="s">
        <v>2707</v>
      </c>
      <c r="F913" s="8" t="s">
        <v>509</v>
      </c>
      <c r="G913" s="8" t="s">
        <v>33</v>
      </c>
      <c r="H913" s="8" t="s">
        <v>33</v>
      </c>
      <c r="I913" s="8" t="s">
        <v>33</v>
      </c>
      <c r="J913" s="8" t="s">
        <v>29</v>
      </c>
      <c r="K913" s="8"/>
      <c r="L913" s="8"/>
      <c r="M913" s="8"/>
      <c r="N913" s="8"/>
      <c r="O913" s="8"/>
      <c r="P913" s="8"/>
      <c r="Q913" s="8"/>
      <c r="R913" s="8"/>
      <c r="S913" s="8"/>
      <c r="T913" s="8"/>
      <c r="U913" s="8"/>
      <c r="V913" s="8"/>
      <c r="W913" s="8"/>
      <c r="X913" s="8"/>
      <c r="Y913" s="8"/>
      <c r="Z913" s="8"/>
    </row>
    <row r="914" ht="14.25" customHeight="1">
      <c r="A914" s="8">
        <v>24302.0</v>
      </c>
      <c r="B914" s="8" t="s">
        <v>24</v>
      </c>
      <c r="C914" s="8" t="s">
        <v>2708</v>
      </c>
      <c r="D914" s="8">
        <v>2019.0</v>
      </c>
      <c r="E914" s="8" t="s">
        <v>2709</v>
      </c>
      <c r="F914" s="8" t="s">
        <v>552</v>
      </c>
      <c r="G914" s="8">
        <v>25.0</v>
      </c>
      <c r="H914" s="8">
        <v>2.0</v>
      </c>
      <c r="I914" s="8" t="s">
        <v>2710</v>
      </c>
      <c r="J914" s="8" t="s">
        <v>29</v>
      </c>
      <c r="K914" s="8"/>
      <c r="L914" s="8"/>
      <c r="M914" s="8"/>
      <c r="N914" s="8"/>
      <c r="O914" s="8"/>
      <c r="P914" s="8"/>
      <c r="Q914" s="8"/>
      <c r="R914" s="8"/>
      <c r="S914" s="8"/>
      <c r="T914" s="8"/>
      <c r="U914" s="8"/>
      <c r="V914" s="8"/>
      <c r="W914" s="8"/>
      <c r="X914" s="8"/>
      <c r="Y914" s="8"/>
      <c r="Z914" s="8"/>
    </row>
    <row r="915" ht="14.25" customHeight="1">
      <c r="A915" s="8">
        <v>25565.0</v>
      </c>
      <c r="B915" s="8" t="s">
        <v>576</v>
      </c>
      <c r="C915" s="8" t="s">
        <v>2711</v>
      </c>
      <c r="D915" s="8">
        <v>2008.0</v>
      </c>
      <c r="E915" s="8" t="s">
        <v>2712</v>
      </c>
      <c r="F915" s="8" t="s">
        <v>462</v>
      </c>
      <c r="G915" s="8" t="s">
        <v>33</v>
      </c>
      <c r="H915" s="8" t="s">
        <v>33</v>
      </c>
      <c r="I915" s="8" t="s">
        <v>33</v>
      </c>
      <c r="J915" s="8" t="s">
        <v>29</v>
      </c>
      <c r="K915" s="8"/>
      <c r="L915" s="8"/>
      <c r="M915" s="8"/>
      <c r="N915" s="8"/>
      <c r="O915" s="8"/>
      <c r="P915" s="8"/>
      <c r="Q915" s="8"/>
      <c r="R915" s="8"/>
      <c r="S915" s="8"/>
      <c r="T915" s="8"/>
      <c r="U915" s="8"/>
      <c r="V915" s="8"/>
      <c r="W915" s="8"/>
      <c r="X915" s="8"/>
      <c r="Y915" s="8"/>
      <c r="Z915" s="8"/>
    </row>
    <row r="916" ht="14.25" customHeight="1">
      <c r="A916" s="8">
        <v>25865.0</v>
      </c>
      <c r="B916" s="8" t="s">
        <v>24</v>
      </c>
      <c r="C916" s="8" t="s">
        <v>2713</v>
      </c>
      <c r="D916" s="8">
        <v>2018.0</v>
      </c>
      <c r="E916" s="8" t="s">
        <v>2714</v>
      </c>
      <c r="F916" s="8" t="s">
        <v>2715</v>
      </c>
      <c r="G916" s="8">
        <v>14.0</v>
      </c>
      <c r="H916" s="8">
        <v>1.0</v>
      </c>
      <c r="I916" s="8" t="s">
        <v>33</v>
      </c>
      <c r="J916" s="8" t="s">
        <v>29</v>
      </c>
      <c r="K916" s="8"/>
      <c r="L916" s="8"/>
      <c r="M916" s="8"/>
      <c r="N916" s="8"/>
      <c r="O916" s="8"/>
      <c r="P916" s="8"/>
      <c r="Q916" s="8"/>
      <c r="R916" s="8"/>
      <c r="S916" s="8"/>
      <c r="T916" s="8"/>
      <c r="U916" s="8"/>
      <c r="V916" s="8"/>
      <c r="W916" s="8"/>
      <c r="X916" s="8"/>
      <c r="Y916" s="8"/>
      <c r="Z916" s="8"/>
    </row>
    <row r="917" ht="14.25" customHeight="1">
      <c r="A917" s="8">
        <v>25327.0</v>
      </c>
      <c r="B917" s="8" t="s">
        <v>24</v>
      </c>
      <c r="C917" s="8" t="s">
        <v>2716</v>
      </c>
      <c r="D917" s="8">
        <v>2016.0</v>
      </c>
      <c r="E917" s="8" t="s">
        <v>2717</v>
      </c>
      <c r="F917" s="8" t="s">
        <v>36</v>
      </c>
      <c r="G917" s="8">
        <v>11.0</v>
      </c>
      <c r="H917" s="8">
        <v>1.0</v>
      </c>
      <c r="I917" s="8" t="s">
        <v>33</v>
      </c>
      <c r="J917" s="8" t="s">
        <v>29</v>
      </c>
      <c r="K917" s="8"/>
      <c r="L917" s="8"/>
      <c r="M917" s="8"/>
      <c r="N917" s="8"/>
      <c r="O917" s="8"/>
      <c r="P917" s="8"/>
      <c r="Q917" s="8"/>
      <c r="R917" s="8"/>
      <c r="S917" s="8"/>
      <c r="T917" s="8"/>
      <c r="U917" s="8"/>
      <c r="V917" s="8"/>
      <c r="W917" s="8"/>
      <c r="X917" s="8"/>
      <c r="Y917" s="8"/>
      <c r="Z917" s="8"/>
    </row>
    <row r="918" ht="14.25" customHeight="1">
      <c r="A918" s="8">
        <v>24991.0</v>
      </c>
      <c r="B918" s="8" t="s">
        <v>24</v>
      </c>
      <c r="C918" s="8" t="s">
        <v>2718</v>
      </c>
      <c r="D918" s="8">
        <v>2019.0</v>
      </c>
      <c r="E918" s="8" t="s">
        <v>2719</v>
      </c>
      <c r="F918" s="8" t="s">
        <v>552</v>
      </c>
      <c r="G918" s="8">
        <v>25.0</v>
      </c>
      <c r="H918" s="8">
        <v>5.0</v>
      </c>
      <c r="I918" s="8" t="s">
        <v>2720</v>
      </c>
      <c r="J918" s="8" t="s">
        <v>29</v>
      </c>
      <c r="K918" s="8"/>
      <c r="L918" s="8"/>
      <c r="M918" s="8"/>
      <c r="N918" s="8"/>
      <c r="O918" s="8"/>
      <c r="P918" s="8"/>
      <c r="Q918" s="8"/>
      <c r="R918" s="8"/>
      <c r="S918" s="8"/>
      <c r="T918" s="8"/>
      <c r="U918" s="8"/>
      <c r="V918" s="8"/>
      <c r="W918" s="8"/>
      <c r="X918" s="8"/>
      <c r="Y918" s="8"/>
      <c r="Z918" s="8"/>
    </row>
    <row r="919" ht="14.25" customHeight="1">
      <c r="A919" s="8">
        <v>24211.0</v>
      </c>
      <c r="B919" s="8" t="s">
        <v>24</v>
      </c>
      <c r="C919" s="8" t="s">
        <v>2721</v>
      </c>
      <c r="D919" s="8">
        <v>2015.0</v>
      </c>
      <c r="E919" s="8" t="s">
        <v>2722</v>
      </c>
      <c r="F919" s="8" t="s">
        <v>552</v>
      </c>
      <c r="G919" s="8">
        <v>21.0</v>
      </c>
      <c r="H919" s="8">
        <v>1.0</v>
      </c>
      <c r="I919" s="8" t="s">
        <v>2723</v>
      </c>
      <c r="J919" s="8" t="s">
        <v>29</v>
      </c>
      <c r="K919" s="8"/>
      <c r="L919" s="8"/>
      <c r="M919" s="8"/>
      <c r="N919" s="8"/>
      <c r="O919" s="8"/>
      <c r="P919" s="8"/>
      <c r="Q919" s="8"/>
      <c r="R919" s="8"/>
      <c r="S919" s="8"/>
      <c r="T919" s="8"/>
      <c r="U919" s="8"/>
      <c r="V919" s="8"/>
      <c r="W919" s="8"/>
      <c r="X919" s="8"/>
      <c r="Y919" s="8"/>
      <c r="Z919" s="8"/>
    </row>
    <row r="920" ht="14.25" customHeight="1">
      <c r="A920" s="8">
        <v>23598.0</v>
      </c>
      <c r="B920" s="8" t="s">
        <v>24</v>
      </c>
      <c r="C920" s="8" t="s">
        <v>2724</v>
      </c>
      <c r="D920" s="8">
        <v>2015.0</v>
      </c>
      <c r="E920" s="8" t="s">
        <v>2725</v>
      </c>
      <c r="F920" s="8" t="s">
        <v>1419</v>
      </c>
      <c r="G920" s="8">
        <v>5.0</v>
      </c>
      <c r="H920" s="8">
        <v>22.0</v>
      </c>
      <c r="I920" s="8" t="s">
        <v>2726</v>
      </c>
      <c r="J920" s="8" t="s">
        <v>29</v>
      </c>
      <c r="K920" s="8"/>
      <c r="L920" s="8"/>
      <c r="M920" s="8"/>
      <c r="N920" s="8"/>
      <c r="O920" s="8"/>
      <c r="P920" s="8"/>
      <c r="Q920" s="8"/>
      <c r="R920" s="8"/>
      <c r="S920" s="8"/>
      <c r="T920" s="8"/>
      <c r="U920" s="8"/>
      <c r="V920" s="8"/>
      <c r="W920" s="8"/>
      <c r="X920" s="8"/>
      <c r="Y920" s="8"/>
      <c r="Z920" s="8"/>
    </row>
    <row r="921" ht="14.25" customHeight="1">
      <c r="A921" s="8">
        <v>24347.0</v>
      </c>
      <c r="B921" s="8" t="s">
        <v>24</v>
      </c>
      <c r="C921" s="8" t="s">
        <v>2727</v>
      </c>
      <c r="D921" s="8">
        <v>2014.0</v>
      </c>
      <c r="E921" s="8" t="s">
        <v>2728</v>
      </c>
      <c r="F921" s="8" t="s">
        <v>552</v>
      </c>
      <c r="G921" s="8">
        <v>20.0</v>
      </c>
      <c r="H921" s="8">
        <v>8.0</v>
      </c>
      <c r="I921" s="8" t="s">
        <v>2729</v>
      </c>
      <c r="J921" s="8" t="s">
        <v>29</v>
      </c>
      <c r="K921" s="8"/>
      <c r="L921" s="8"/>
      <c r="M921" s="8"/>
      <c r="N921" s="8"/>
      <c r="O921" s="8"/>
      <c r="P921" s="8"/>
      <c r="Q921" s="8"/>
      <c r="R921" s="8"/>
      <c r="S921" s="8"/>
      <c r="T921" s="8"/>
      <c r="U921" s="8"/>
      <c r="V921" s="8"/>
      <c r="W921" s="8"/>
      <c r="X921" s="8"/>
      <c r="Y921" s="8"/>
      <c r="Z921" s="8"/>
    </row>
    <row r="922" ht="14.25" customHeight="1">
      <c r="A922" s="8">
        <v>24579.0</v>
      </c>
      <c r="B922" s="8" t="s">
        <v>24</v>
      </c>
      <c r="C922" s="8" t="s">
        <v>2730</v>
      </c>
      <c r="D922" s="8">
        <v>2018.0</v>
      </c>
      <c r="E922" s="8" t="s">
        <v>2731</v>
      </c>
      <c r="F922" s="8" t="s">
        <v>2732</v>
      </c>
      <c r="G922" s="8">
        <v>18.0</v>
      </c>
      <c r="H922" s="8">
        <v>1.0</v>
      </c>
      <c r="I922" s="8" t="s">
        <v>2733</v>
      </c>
      <c r="J922" s="8" t="s">
        <v>29</v>
      </c>
      <c r="K922" s="8"/>
      <c r="L922" s="8"/>
      <c r="M922" s="8"/>
      <c r="N922" s="8"/>
      <c r="O922" s="8"/>
      <c r="P922" s="8"/>
      <c r="Q922" s="8"/>
      <c r="R922" s="8"/>
      <c r="S922" s="8"/>
      <c r="T922" s="8"/>
      <c r="U922" s="8"/>
      <c r="V922" s="8"/>
      <c r="W922" s="8"/>
      <c r="X922" s="8"/>
      <c r="Y922" s="8"/>
      <c r="Z922" s="8"/>
    </row>
    <row r="923" ht="14.25" customHeight="1">
      <c r="A923" s="8">
        <v>23796.0</v>
      </c>
      <c r="B923" s="8" t="s">
        <v>24</v>
      </c>
      <c r="C923" s="8" t="s">
        <v>2734</v>
      </c>
      <c r="D923" s="8">
        <v>2020.0</v>
      </c>
      <c r="E923" s="8" t="s">
        <v>2735</v>
      </c>
      <c r="F923" s="8" t="s">
        <v>256</v>
      </c>
      <c r="G923" s="8">
        <v>184.0</v>
      </c>
      <c r="H923" s="8" t="s">
        <v>33</v>
      </c>
      <c r="I923" s="8" t="s">
        <v>33</v>
      </c>
      <c r="J923" s="8" t="s">
        <v>29</v>
      </c>
      <c r="K923" s="8"/>
      <c r="L923" s="8"/>
      <c r="M923" s="8"/>
      <c r="N923" s="8"/>
      <c r="O923" s="8"/>
      <c r="P923" s="8"/>
      <c r="Q923" s="8"/>
      <c r="R923" s="8"/>
      <c r="S923" s="8"/>
      <c r="T923" s="8"/>
      <c r="U923" s="8"/>
      <c r="V923" s="8"/>
      <c r="W923" s="8"/>
      <c r="X923" s="8"/>
      <c r="Y923" s="8"/>
      <c r="Z923" s="8"/>
    </row>
    <row r="924" ht="14.25" customHeight="1">
      <c r="A924" s="8">
        <v>25123.0</v>
      </c>
      <c r="B924" s="8" t="s">
        <v>24</v>
      </c>
      <c r="C924" s="8" t="s">
        <v>2736</v>
      </c>
      <c r="D924" s="8">
        <v>2018.0</v>
      </c>
      <c r="E924" s="8" t="s">
        <v>2737</v>
      </c>
      <c r="F924" s="8" t="s">
        <v>930</v>
      </c>
      <c r="G924" s="8">
        <v>6.0</v>
      </c>
      <c r="H924" s="8" t="s">
        <v>2738</v>
      </c>
      <c r="I924" s="8" t="s">
        <v>33</v>
      </c>
      <c r="J924" s="8" t="s">
        <v>29</v>
      </c>
      <c r="K924" s="8"/>
      <c r="L924" s="8"/>
      <c r="M924" s="8"/>
      <c r="N924" s="8"/>
      <c r="O924" s="8"/>
      <c r="P924" s="8"/>
      <c r="Q924" s="8"/>
      <c r="R924" s="8"/>
      <c r="S924" s="8"/>
      <c r="T924" s="8"/>
      <c r="U924" s="8"/>
      <c r="V924" s="8"/>
      <c r="W924" s="8"/>
      <c r="X924" s="8"/>
      <c r="Y924" s="8"/>
      <c r="Z924" s="8"/>
    </row>
    <row r="925" ht="14.25" customHeight="1">
      <c r="A925" s="8">
        <v>23177.0</v>
      </c>
      <c r="B925" s="8" t="s">
        <v>24</v>
      </c>
      <c r="C925" s="8" t="s">
        <v>2739</v>
      </c>
      <c r="D925" s="8">
        <v>2019.0</v>
      </c>
      <c r="E925" s="8" t="s">
        <v>2740</v>
      </c>
      <c r="F925" s="8" t="s">
        <v>53</v>
      </c>
      <c r="G925" s="8">
        <v>10.0</v>
      </c>
      <c r="H925" s="8">
        <v>5.0</v>
      </c>
      <c r="I925" s="8" t="s">
        <v>33</v>
      </c>
      <c r="J925" s="8" t="s">
        <v>29</v>
      </c>
      <c r="K925" s="8"/>
      <c r="L925" s="8"/>
      <c r="M925" s="8"/>
      <c r="N925" s="8"/>
      <c r="O925" s="8"/>
      <c r="P925" s="8"/>
      <c r="Q925" s="8"/>
      <c r="R925" s="8"/>
      <c r="S925" s="8"/>
      <c r="T925" s="8"/>
      <c r="U925" s="8"/>
      <c r="V925" s="8"/>
      <c r="W925" s="8"/>
      <c r="X925" s="8"/>
      <c r="Y925" s="8"/>
      <c r="Z925" s="8"/>
    </row>
    <row r="926" ht="14.25" customHeight="1">
      <c r="A926" s="8">
        <v>24700.0</v>
      </c>
      <c r="B926" s="8" t="s">
        <v>24</v>
      </c>
      <c r="C926" s="8" t="s">
        <v>2741</v>
      </c>
      <c r="D926" s="8">
        <v>2009.0</v>
      </c>
      <c r="E926" s="8" t="s">
        <v>2742</v>
      </c>
      <c r="F926" s="8" t="s">
        <v>2743</v>
      </c>
      <c r="G926" s="8">
        <v>22.0</v>
      </c>
      <c r="H926" s="8">
        <v>4.0</v>
      </c>
      <c r="I926" s="8" t="s">
        <v>2744</v>
      </c>
      <c r="J926" s="8" t="s">
        <v>29</v>
      </c>
      <c r="K926" s="8"/>
      <c r="L926" s="8"/>
      <c r="M926" s="8"/>
      <c r="N926" s="8"/>
      <c r="O926" s="8"/>
      <c r="P926" s="8"/>
      <c r="Q926" s="8"/>
      <c r="R926" s="8"/>
      <c r="S926" s="8"/>
      <c r="T926" s="8"/>
      <c r="U926" s="8"/>
      <c r="V926" s="8"/>
      <c r="W926" s="8"/>
      <c r="X926" s="8"/>
      <c r="Y926" s="8"/>
      <c r="Z926" s="8"/>
    </row>
    <row r="927" ht="14.25" customHeight="1">
      <c r="A927" s="8">
        <v>23330.0</v>
      </c>
      <c r="B927" s="8" t="s">
        <v>24</v>
      </c>
      <c r="C927" s="8" t="s">
        <v>1435</v>
      </c>
      <c r="D927" s="8">
        <v>2013.0</v>
      </c>
      <c r="E927" s="8" t="s">
        <v>2745</v>
      </c>
      <c r="F927" s="8" t="s">
        <v>64</v>
      </c>
      <c r="G927" s="8">
        <v>157.0</v>
      </c>
      <c r="H927" s="8" t="s">
        <v>33</v>
      </c>
      <c r="I927" s="8" t="s">
        <v>2746</v>
      </c>
      <c r="J927" s="8" t="s">
        <v>29</v>
      </c>
      <c r="K927" s="8"/>
      <c r="L927" s="8"/>
      <c r="M927" s="8"/>
      <c r="N927" s="8"/>
      <c r="O927" s="8"/>
      <c r="P927" s="8"/>
      <c r="Q927" s="8"/>
      <c r="R927" s="8"/>
      <c r="S927" s="8"/>
      <c r="T927" s="8"/>
      <c r="U927" s="8"/>
      <c r="V927" s="8"/>
      <c r="W927" s="8"/>
      <c r="X927" s="8"/>
      <c r="Y927" s="8"/>
      <c r="Z927" s="8"/>
    </row>
    <row r="928" ht="14.25" customHeight="1">
      <c r="A928" s="8">
        <v>23612.0</v>
      </c>
      <c r="B928" s="8" t="s">
        <v>24</v>
      </c>
      <c r="C928" s="8" t="s">
        <v>2747</v>
      </c>
      <c r="D928" s="8">
        <v>2018.0</v>
      </c>
      <c r="E928" s="8" t="s">
        <v>2748</v>
      </c>
      <c r="F928" s="8" t="s">
        <v>81</v>
      </c>
      <c r="G928" s="8">
        <v>133.0</v>
      </c>
      <c r="H928" s="8" t="s">
        <v>33</v>
      </c>
      <c r="I928" s="8" t="s">
        <v>2749</v>
      </c>
      <c r="J928" s="8" t="s">
        <v>29</v>
      </c>
      <c r="K928" s="8"/>
      <c r="L928" s="8"/>
      <c r="M928" s="8"/>
      <c r="N928" s="8"/>
      <c r="O928" s="8"/>
      <c r="P928" s="8"/>
      <c r="Q928" s="8"/>
      <c r="R928" s="8"/>
      <c r="S928" s="8"/>
      <c r="T928" s="8"/>
      <c r="U928" s="8"/>
      <c r="V928" s="8"/>
      <c r="W928" s="8"/>
      <c r="X928" s="8"/>
      <c r="Y928" s="8"/>
      <c r="Z928" s="8"/>
    </row>
    <row r="929" ht="14.25" customHeight="1">
      <c r="A929" s="8">
        <v>23128.0</v>
      </c>
      <c r="B929" s="8" t="s">
        <v>24</v>
      </c>
      <c r="C929" s="8" t="s">
        <v>2750</v>
      </c>
      <c r="D929" s="8">
        <v>2015.0</v>
      </c>
      <c r="E929" s="8" t="s">
        <v>2751</v>
      </c>
      <c r="F929" s="8" t="s">
        <v>46</v>
      </c>
      <c r="G929" s="8">
        <v>49.0</v>
      </c>
      <c r="H929" s="8">
        <v>1.0</v>
      </c>
      <c r="I929" s="8" t="s">
        <v>2752</v>
      </c>
      <c r="J929" s="8" t="s">
        <v>29</v>
      </c>
      <c r="K929" s="8"/>
      <c r="L929" s="8"/>
      <c r="M929" s="8"/>
      <c r="N929" s="8"/>
      <c r="O929" s="8"/>
      <c r="P929" s="8"/>
      <c r="Q929" s="8"/>
      <c r="R929" s="8"/>
      <c r="S929" s="8"/>
      <c r="T929" s="8"/>
      <c r="U929" s="8"/>
      <c r="V929" s="8"/>
      <c r="W929" s="8"/>
      <c r="X929" s="8"/>
      <c r="Y929" s="8"/>
      <c r="Z929" s="8"/>
    </row>
    <row r="930" ht="14.25" customHeight="1">
      <c r="A930" s="8">
        <v>25933.0</v>
      </c>
      <c r="B930" s="8" t="s">
        <v>576</v>
      </c>
      <c r="C930" s="8" t="s">
        <v>2753</v>
      </c>
      <c r="D930" s="8">
        <v>2007.0</v>
      </c>
      <c r="E930" s="8" t="s">
        <v>2754</v>
      </c>
      <c r="F930" s="8" t="s">
        <v>462</v>
      </c>
      <c r="G930" s="8" t="s">
        <v>33</v>
      </c>
      <c r="H930" s="8" t="s">
        <v>33</v>
      </c>
      <c r="I930" s="8">
        <v>123.0</v>
      </c>
      <c r="J930" s="8" t="s">
        <v>29</v>
      </c>
      <c r="K930" s="8"/>
      <c r="L930" s="8"/>
      <c r="M930" s="8"/>
      <c r="N930" s="8"/>
      <c r="O930" s="8"/>
      <c r="P930" s="8"/>
      <c r="Q930" s="8"/>
      <c r="R930" s="8"/>
      <c r="S930" s="8"/>
      <c r="T930" s="8"/>
      <c r="U930" s="8"/>
      <c r="V930" s="8"/>
      <c r="W930" s="8"/>
      <c r="X930" s="8"/>
      <c r="Y930" s="8"/>
      <c r="Z930" s="8"/>
    </row>
    <row r="931" ht="14.25" customHeight="1">
      <c r="A931" s="8">
        <v>23964.0</v>
      </c>
      <c r="B931" s="8" t="s">
        <v>24</v>
      </c>
      <c r="C931" s="8" t="s">
        <v>2755</v>
      </c>
      <c r="D931" s="8">
        <v>2005.0</v>
      </c>
      <c r="E931" s="8" t="s">
        <v>2756</v>
      </c>
      <c r="F931" s="8" t="s">
        <v>49</v>
      </c>
      <c r="G931" s="8">
        <v>341.0</v>
      </c>
      <c r="H931" s="11">
        <v>44621.0</v>
      </c>
      <c r="I931" s="8" t="s">
        <v>2757</v>
      </c>
      <c r="J931" s="8" t="s">
        <v>29</v>
      </c>
      <c r="K931" s="8"/>
      <c r="L931" s="8"/>
      <c r="M931" s="8"/>
      <c r="N931" s="8"/>
      <c r="O931" s="8"/>
      <c r="P931" s="8"/>
      <c r="Q931" s="8"/>
      <c r="R931" s="8"/>
      <c r="S931" s="8"/>
      <c r="T931" s="8"/>
      <c r="U931" s="8"/>
      <c r="V931" s="8"/>
      <c r="W931" s="8"/>
      <c r="X931" s="8"/>
      <c r="Y931" s="8"/>
      <c r="Z931" s="8"/>
    </row>
    <row r="932" ht="14.25" customHeight="1">
      <c r="A932" s="8">
        <v>23304.0</v>
      </c>
      <c r="B932" s="8" t="s">
        <v>24</v>
      </c>
      <c r="C932" s="8" t="s">
        <v>2758</v>
      </c>
      <c r="D932" s="8">
        <v>2012.0</v>
      </c>
      <c r="E932" s="8" t="s">
        <v>2759</v>
      </c>
      <c r="F932" s="8" t="s">
        <v>2225</v>
      </c>
      <c r="G932" s="8">
        <v>81.0</v>
      </c>
      <c r="H932" s="8">
        <v>6.0</v>
      </c>
      <c r="I932" s="8" t="s">
        <v>2760</v>
      </c>
      <c r="J932" s="8" t="s">
        <v>29</v>
      </c>
      <c r="K932" s="8"/>
      <c r="L932" s="8"/>
      <c r="M932" s="8"/>
      <c r="N932" s="8"/>
      <c r="O932" s="8"/>
      <c r="P932" s="8"/>
      <c r="Q932" s="8"/>
      <c r="R932" s="8"/>
      <c r="S932" s="8"/>
      <c r="T932" s="8"/>
      <c r="U932" s="8"/>
      <c r="V932" s="8"/>
      <c r="W932" s="8"/>
      <c r="X932" s="8"/>
      <c r="Y932" s="8"/>
      <c r="Z932" s="8"/>
    </row>
    <row r="933" ht="14.25" customHeight="1">
      <c r="A933" s="8">
        <v>24871.0</v>
      </c>
      <c r="B933" s="8" t="s">
        <v>24</v>
      </c>
      <c r="C933" s="8" t="s">
        <v>2761</v>
      </c>
      <c r="D933" s="8">
        <v>2013.0</v>
      </c>
      <c r="E933" s="8" t="s">
        <v>2762</v>
      </c>
      <c r="F933" s="8" t="s">
        <v>125</v>
      </c>
      <c r="G933" s="8">
        <v>34.0</v>
      </c>
      <c r="H933" s="8">
        <v>2.0</v>
      </c>
      <c r="I933" s="8" t="s">
        <v>2763</v>
      </c>
      <c r="J933" s="8" t="s">
        <v>29</v>
      </c>
      <c r="K933" s="8"/>
      <c r="L933" s="8"/>
      <c r="M933" s="8"/>
      <c r="N933" s="8"/>
      <c r="O933" s="8"/>
      <c r="P933" s="8"/>
      <c r="Q933" s="8"/>
      <c r="R933" s="8"/>
      <c r="S933" s="8"/>
      <c r="T933" s="8"/>
      <c r="U933" s="8"/>
      <c r="V933" s="8"/>
      <c r="W933" s="8"/>
      <c r="X933" s="8"/>
      <c r="Y933" s="8"/>
      <c r="Z933" s="8"/>
    </row>
    <row r="934" ht="14.25" customHeight="1">
      <c r="A934" s="8">
        <v>25636.0</v>
      </c>
      <c r="B934" s="8" t="s">
        <v>24</v>
      </c>
      <c r="C934" s="8" t="s">
        <v>2764</v>
      </c>
      <c r="D934" s="8">
        <v>2019.0</v>
      </c>
      <c r="E934" s="8" t="s">
        <v>2765</v>
      </c>
      <c r="F934" s="8" t="s">
        <v>1404</v>
      </c>
      <c r="G934" s="8">
        <v>11.0</v>
      </c>
      <c r="H934" s="8">
        <v>6.0</v>
      </c>
      <c r="I934" s="8" t="s">
        <v>2766</v>
      </c>
      <c r="J934" s="8" t="s">
        <v>29</v>
      </c>
      <c r="K934" s="8"/>
      <c r="L934" s="8"/>
      <c r="M934" s="8"/>
      <c r="N934" s="8"/>
      <c r="O934" s="8"/>
      <c r="P934" s="8"/>
      <c r="Q934" s="8"/>
      <c r="R934" s="8"/>
      <c r="S934" s="8"/>
      <c r="T934" s="8"/>
      <c r="U934" s="8"/>
      <c r="V934" s="8"/>
      <c r="W934" s="8"/>
      <c r="X934" s="8"/>
      <c r="Y934" s="8"/>
      <c r="Z934" s="8"/>
    </row>
    <row r="935" ht="14.25" customHeight="1">
      <c r="A935" s="8">
        <v>23660.0</v>
      </c>
      <c r="B935" s="8" t="s">
        <v>24</v>
      </c>
      <c r="C935" s="8" t="s">
        <v>2767</v>
      </c>
      <c r="D935" s="8">
        <v>2011.0</v>
      </c>
      <c r="E935" s="8" t="s">
        <v>2768</v>
      </c>
      <c r="F935" s="8" t="s">
        <v>2769</v>
      </c>
      <c r="G935" s="8" t="s">
        <v>33</v>
      </c>
      <c r="H935" s="8" t="s">
        <v>33</v>
      </c>
      <c r="I935" s="8" t="s">
        <v>33</v>
      </c>
      <c r="J935" s="8" t="s">
        <v>29</v>
      </c>
      <c r="K935" s="8"/>
      <c r="L935" s="8"/>
      <c r="M935" s="8"/>
      <c r="N935" s="8"/>
      <c r="O935" s="8"/>
      <c r="P935" s="8"/>
      <c r="Q935" s="8"/>
      <c r="R935" s="8"/>
      <c r="S935" s="8"/>
      <c r="T935" s="8"/>
      <c r="U935" s="8"/>
      <c r="V935" s="8"/>
      <c r="W935" s="8"/>
      <c r="X935" s="8"/>
      <c r="Y935" s="8"/>
      <c r="Z935" s="8"/>
    </row>
    <row r="936" ht="14.25" customHeight="1">
      <c r="A936" s="8">
        <v>23614.0</v>
      </c>
      <c r="B936" s="8" t="s">
        <v>24</v>
      </c>
      <c r="C936" s="8" t="s">
        <v>2770</v>
      </c>
      <c r="D936" s="8">
        <v>2019.0</v>
      </c>
      <c r="E936" s="8" t="s">
        <v>2771</v>
      </c>
      <c r="F936" s="8" t="s">
        <v>422</v>
      </c>
      <c r="G936" s="8">
        <v>48.0</v>
      </c>
      <c r="H936" s="8">
        <v>8.0</v>
      </c>
      <c r="I936" s="8" t="s">
        <v>2772</v>
      </c>
      <c r="J936" s="8" t="s">
        <v>29</v>
      </c>
      <c r="K936" s="8"/>
      <c r="L936" s="8"/>
      <c r="M936" s="8"/>
      <c r="N936" s="8"/>
      <c r="O936" s="8"/>
      <c r="P936" s="8"/>
      <c r="Q936" s="8"/>
      <c r="R936" s="8"/>
      <c r="S936" s="8"/>
      <c r="T936" s="8"/>
      <c r="U936" s="8"/>
      <c r="V936" s="8"/>
      <c r="W936" s="8"/>
      <c r="X936" s="8"/>
      <c r="Y936" s="8"/>
      <c r="Z936" s="8"/>
    </row>
    <row r="937" ht="14.25" customHeight="1">
      <c r="A937" s="8">
        <v>25286.0</v>
      </c>
      <c r="B937" s="8" t="s">
        <v>24</v>
      </c>
      <c r="C937" s="8" t="s">
        <v>2773</v>
      </c>
      <c r="D937" s="8">
        <v>2018.0</v>
      </c>
      <c r="E937" s="8" t="s">
        <v>2774</v>
      </c>
      <c r="F937" s="8" t="s">
        <v>145</v>
      </c>
      <c r="G937" s="8">
        <v>84.0</v>
      </c>
      <c r="H937" s="8" t="s">
        <v>33</v>
      </c>
      <c r="I937" s="8" t="s">
        <v>2775</v>
      </c>
      <c r="J937" s="8" t="s">
        <v>29</v>
      </c>
      <c r="K937" s="8"/>
      <c r="L937" s="8"/>
      <c r="M937" s="8"/>
      <c r="N937" s="8"/>
      <c r="O937" s="8"/>
      <c r="P937" s="8"/>
      <c r="Q937" s="8"/>
      <c r="R937" s="8"/>
      <c r="S937" s="8"/>
      <c r="T937" s="8"/>
      <c r="U937" s="8"/>
      <c r="V937" s="8"/>
      <c r="W937" s="8"/>
      <c r="X937" s="8"/>
      <c r="Y937" s="8"/>
      <c r="Z937" s="8"/>
    </row>
    <row r="938" ht="14.25" customHeight="1">
      <c r="A938" s="8">
        <v>24167.0</v>
      </c>
      <c r="B938" s="8" t="s">
        <v>24</v>
      </c>
      <c r="C938" s="8" t="s">
        <v>2776</v>
      </c>
      <c r="D938" s="8">
        <v>2018.0</v>
      </c>
      <c r="E938" s="8" t="s">
        <v>2777</v>
      </c>
      <c r="F938" s="8" t="s">
        <v>36</v>
      </c>
      <c r="G938" s="8">
        <v>14.0</v>
      </c>
      <c r="H938" s="8">
        <v>6.0</v>
      </c>
      <c r="I938" s="8" t="s">
        <v>33</v>
      </c>
      <c r="J938" s="8" t="s">
        <v>29</v>
      </c>
      <c r="K938" s="8"/>
      <c r="L938" s="8"/>
      <c r="M938" s="8"/>
      <c r="N938" s="8"/>
      <c r="O938" s="8"/>
      <c r="P938" s="8"/>
      <c r="Q938" s="8"/>
      <c r="R938" s="8"/>
      <c r="S938" s="8"/>
      <c r="T938" s="8"/>
      <c r="U938" s="8"/>
      <c r="V938" s="8"/>
      <c r="W938" s="8"/>
      <c r="X938" s="8"/>
      <c r="Y938" s="8"/>
      <c r="Z938" s="8"/>
    </row>
    <row r="939" ht="14.25" customHeight="1">
      <c r="A939" s="8">
        <v>25124.0</v>
      </c>
      <c r="B939" s="8" t="s">
        <v>24</v>
      </c>
      <c r="C939" s="8" t="s">
        <v>2778</v>
      </c>
      <c r="D939" s="8">
        <v>2020.0</v>
      </c>
      <c r="E939" s="8" t="s">
        <v>2779</v>
      </c>
      <c r="F939" s="8" t="s">
        <v>2780</v>
      </c>
      <c r="G939" s="8">
        <v>221.0</v>
      </c>
      <c r="H939" s="8" t="s">
        <v>33</v>
      </c>
      <c r="I939" s="8" t="s">
        <v>33</v>
      </c>
      <c r="J939" s="8" t="s">
        <v>29</v>
      </c>
      <c r="K939" s="8"/>
      <c r="L939" s="8"/>
      <c r="M939" s="8"/>
      <c r="N939" s="8"/>
      <c r="O939" s="8"/>
      <c r="P939" s="8"/>
      <c r="Q939" s="8"/>
      <c r="R939" s="8"/>
      <c r="S939" s="8"/>
      <c r="T939" s="8"/>
      <c r="U939" s="8"/>
      <c r="V939" s="8"/>
      <c r="W939" s="8"/>
      <c r="X939" s="8"/>
      <c r="Y939" s="8"/>
      <c r="Z939" s="8"/>
    </row>
    <row r="940" ht="14.25" customHeight="1">
      <c r="A940" s="8">
        <v>24138.0</v>
      </c>
      <c r="B940" s="8" t="s">
        <v>24</v>
      </c>
      <c r="C940" s="8" t="s">
        <v>1645</v>
      </c>
      <c r="D940" s="8">
        <v>2019.0</v>
      </c>
      <c r="E940" s="8" t="s">
        <v>2781</v>
      </c>
      <c r="F940" s="8" t="s">
        <v>1182</v>
      </c>
      <c r="G940" s="8">
        <v>16.0</v>
      </c>
      <c r="H940" s="8">
        <v>12.0</v>
      </c>
      <c r="I940" s="8" t="s">
        <v>33</v>
      </c>
      <c r="J940" s="8" t="s">
        <v>29</v>
      </c>
      <c r="K940" s="8"/>
      <c r="L940" s="8"/>
      <c r="M940" s="8"/>
      <c r="N940" s="8"/>
      <c r="O940" s="8"/>
      <c r="P940" s="8"/>
      <c r="Q940" s="8"/>
      <c r="R940" s="8"/>
      <c r="S940" s="8"/>
      <c r="T940" s="8"/>
      <c r="U940" s="8"/>
      <c r="V940" s="8"/>
      <c r="W940" s="8"/>
      <c r="X940" s="8"/>
      <c r="Y940" s="8"/>
      <c r="Z940" s="8"/>
    </row>
    <row r="941" ht="14.25" customHeight="1">
      <c r="A941" s="8">
        <v>23064.0</v>
      </c>
      <c r="B941" s="8" t="s">
        <v>24</v>
      </c>
      <c r="C941" s="8" t="s">
        <v>2782</v>
      </c>
      <c r="D941" s="8">
        <v>2000.0</v>
      </c>
      <c r="E941" s="8" t="s">
        <v>2783</v>
      </c>
      <c r="F941" s="8" t="s">
        <v>2784</v>
      </c>
      <c r="G941" s="8">
        <v>8.0</v>
      </c>
      <c r="H941" s="11">
        <v>44713.0</v>
      </c>
      <c r="I941" s="8" t="s">
        <v>2785</v>
      </c>
      <c r="J941" s="8" t="s">
        <v>29</v>
      </c>
      <c r="K941" s="8"/>
      <c r="L941" s="8"/>
      <c r="M941" s="8"/>
      <c r="N941" s="8"/>
      <c r="O941" s="8"/>
      <c r="P941" s="8"/>
      <c r="Q941" s="8"/>
      <c r="R941" s="8"/>
      <c r="S941" s="8"/>
      <c r="T941" s="8"/>
      <c r="U941" s="8"/>
      <c r="V941" s="8"/>
      <c r="W941" s="8"/>
      <c r="X941" s="8"/>
      <c r="Y941" s="8"/>
      <c r="Z941" s="8"/>
    </row>
    <row r="942" ht="14.25" customHeight="1">
      <c r="A942" s="8">
        <v>25405.0</v>
      </c>
      <c r="B942" s="8" t="s">
        <v>24</v>
      </c>
      <c r="C942" s="8" t="s">
        <v>2786</v>
      </c>
      <c r="D942" s="8">
        <v>2009.0</v>
      </c>
      <c r="E942" s="8" t="s">
        <v>2787</v>
      </c>
      <c r="F942" s="8" t="s">
        <v>602</v>
      </c>
      <c r="G942" s="8">
        <v>36.0</v>
      </c>
      <c r="H942" s="8">
        <v>10.0</v>
      </c>
      <c r="I942" s="8" t="s">
        <v>2788</v>
      </c>
      <c r="J942" s="8" t="s">
        <v>29</v>
      </c>
      <c r="K942" s="8"/>
      <c r="L942" s="8"/>
      <c r="M942" s="8"/>
      <c r="N942" s="8"/>
      <c r="O942" s="8"/>
      <c r="P942" s="8"/>
      <c r="Q942" s="8"/>
      <c r="R942" s="8"/>
      <c r="S942" s="8"/>
      <c r="T942" s="8"/>
      <c r="U942" s="8"/>
      <c r="V942" s="8"/>
      <c r="W942" s="8"/>
      <c r="X942" s="8"/>
      <c r="Y942" s="8"/>
      <c r="Z942" s="8"/>
    </row>
    <row r="943" ht="14.25" customHeight="1">
      <c r="A943" s="8">
        <v>23929.0</v>
      </c>
      <c r="B943" s="8" t="s">
        <v>24</v>
      </c>
      <c r="C943" s="8" t="s">
        <v>2789</v>
      </c>
      <c r="D943" s="8">
        <v>2019.0</v>
      </c>
      <c r="E943" s="8" t="s">
        <v>2790</v>
      </c>
      <c r="F943" s="8" t="s">
        <v>170</v>
      </c>
      <c r="G943" s="8">
        <v>448.0</v>
      </c>
      <c r="H943" s="8" t="s">
        <v>33</v>
      </c>
      <c r="I943" s="8" t="s">
        <v>272</v>
      </c>
      <c r="J943" s="8" t="s">
        <v>29</v>
      </c>
      <c r="K943" s="8"/>
      <c r="L943" s="8"/>
      <c r="M943" s="8"/>
      <c r="N943" s="8"/>
      <c r="O943" s="8"/>
      <c r="P943" s="8"/>
      <c r="Q943" s="8"/>
      <c r="R943" s="8"/>
      <c r="S943" s="8"/>
      <c r="T943" s="8"/>
      <c r="U943" s="8"/>
      <c r="V943" s="8"/>
      <c r="W943" s="8"/>
      <c r="X943" s="8"/>
      <c r="Y943" s="8"/>
      <c r="Z943" s="8"/>
    </row>
    <row r="944" ht="14.25" customHeight="1">
      <c r="A944" s="8">
        <v>26076.0</v>
      </c>
      <c r="B944" s="8" t="s">
        <v>24</v>
      </c>
      <c r="C944" s="8" t="s">
        <v>1594</v>
      </c>
      <c r="D944" s="8">
        <v>2016.0</v>
      </c>
      <c r="E944" s="8" t="s">
        <v>2791</v>
      </c>
      <c r="F944" s="8" t="s">
        <v>145</v>
      </c>
      <c r="G944" s="8">
        <v>63.0</v>
      </c>
      <c r="H944" s="8" t="s">
        <v>33</v>
      </c>
      <c r="I944" s="8" t="s">
        <v>2792</v>
      </c>
      <c r="J944" s="8" t="s">
        <v>29</v>
      </c>
      <c r="K944" s="8"/>
      <c r="L944" s="8"/>
      <c r="M944" s="8"/>
      <c r="N944" s="8"/>
      <c r="O944" s="8"/>
      <c r="P944" s="8"/>
      <c r="Q944" s="8"/>
      <c r="R944" s="8"/>
      <c r="S944" s="8"/>
      <c r="T944" s="8"/>
      <c r="U944" s="8"/>
      <c r="V944" s="8"/>
      <c r="W944" s="8"/>
      <c r="X944" s="8"/>
      <c r="Y944" s="8"/>
      <c r="Z944" s="8"/>
    </row>
    <row r="945" ht="14.25" customHeight="1">
      <c r="A945" s="8">
        <v>24270.0</v>
      </c>
      <c r="B945" s="8" t="s">
        <v>24</v>
      </c>
      <c r="C945" s="8" t="s">
        <v>2793</v>
      </c>
      <c r="D945" s="8">
        <v>2019.0</v>
      </c>
      <c r="E945" s="8" t="s">
        <v>2794</v>
      </c>
      <c r="F945" s="8" t="s">
        <v>2410</v>
      </c>
      <c r="G945" s="8">
        <v>160.0</v>
      </c>
      <c r="H945" s="8">
        <v>4.0</v>
      </c>
      <c r="I945" s="8" t="s">
        <v>2795</v>
      </c>
      <c r="J945" s="8" t="s">
        <v>29</v>
      </c>
      <c r="K945" s="8"/>
      <c r="L945" s="8"/>
      <c r="M945" s="8"/>
      <c r="N945" s="8"/>
      <c r="O945" s="8"/>
      <c r="P945" s="8"/>
      <c r="Q945" s="8"/>
      <c r="R945" s="8"/>
      <c r="S945" s="8"/>
      <c r="T945" s="8"/>
      <c r="U945" s="8"/>
      <c r="V945" s="8"/>
      <c r="W945" s="8"/>
      <c r="X945" s="8"/>
      <c r="Y945" s="8"/>
      <c r="Z945" s="8"/>
    </row>
    <row r="946" ht="14.25" customHeight="1">
      <c r="A946" s="8">
        <v>23754.0</v>
      </c>
      <c r="B946" s="8" t="s">
        <v>24</v>
      </c>
      <c r="C946" s="8" t="s">
        <v>2796</v>
      </c>
      <c r="D946" s="8">
        <v>2017.0</v>
      </c>
      <c r="E946" s="8" t="s">
        <v>2797</v>
      </c>
      <c r="F946" s="8" t="s">
        <v>64</v>
      </c>
      <c r="G946" s="8">
        <v>210.0</v>
      </c>
      <c r="H946" s="8" t="s">
        <v>33</v>
      </c>
      <c r="I946" s="8" t="s">
        <v>2798</v>
      </c>
      <c r="J946" s="8" t="s">
        <v>29</v>
      </c>
      <c r="K946" s="8"/>
      <c r="L946" s="8"/>
      <c r="M946" s="8"/>
      <c r="N946" s="8"/>
      <c r="O946" s="8"/>
      <c r="P946" s="8"/>
      <c r="Q946" s="8"/>
      <c r="R946" s="8"/>
      <c r="S946" s="8"/>
      <c r="T946" s="8"/>
      <c r="U946" s="8"/>
      <c r="V946" s="8"/>
      <c r="W946" s="8"/>
      <c r="X946" s="8"/>
      <c r="Y946" s="8"/>
      <c r="Z946" s="8"/>
    </row>
    <row r="947" ht="14.25" customHeight="1">
      <c r="A947" s="8">
        <v>23022.0</v>
      </c>
      <c r="B947" s="8" t="s">
        <v>24</v>
      </c>
      <c r="C947" s="8" t="s">
        <v>2799</v>
      </c>
      <c r="D947" s="8">
        <v>2007.0</v>
      </c>
      <c r="E947" s="8" t="s">
        <v>2800</v>
      </c>
      <c r="F947" s="8" t="s">
        <v>615</v>
      </c>
      <c r="G947" s="8">
        <v>16.0</v>
      </c>
      <c r="H947" s="8">
        <v>12.0</v>
      </c>
      <c r="I947" s="8" t="s">
        <v>2801</v>
      </c>
      <c r="J947" s="8" t="s">
        <v>29</v>
      </c>
      <c r="K947" s="8"/>
      <c r="L947" s="8"/>
      <c r="M947" s="8"/>
      <c r="N947" s="8"/>
      <c r="O947" s="8"/>
      <c r="P947" s="8"/>
      <c r="Q947" s="8"/>
      <c r="R947" s="8"/>
      <c r="S947" s="8"/>
      <c r="T947" s="8"/>
      <c r="U947" s="8"/>
      <c r="V947" s="8"/>
      <c r="W947" s="8"/>
      <c r="X947" s="8"/>
      <c r="Y947" s="8"/>
      <c r="Z947" s="8"/>
    </row>
    <row r="948" ht="14.25" customHeight="1">
      <c r="A948" s="8">
        <v>24228.0</v>
      </c>
      <c r="B948" s="8" t="s">
        <v>24</v>
      </c>
      <c r="C948" s="8" t="s">
        <v>158</v>
      </c>
      <c r="D948" s="8">
        <v>2015.0</v>
      </c>
      <c r="E948" s="8" t="s">
        <v>2802</v>
      </c>
      <c r="F948" s="8" t="s">
        <v>2803</v>
      </c>
      <c r="G948" s="8">
        <v>165.0</v>
      </c>
      <c r="H948" s="8" t="s">
        <v>33</v>
      </c>
      <c r="I948" s="8" t="s">
        <v>2804</v>
      </c>
      <c r="J948" s="8" t="s">
        <v>29</v>
      </c>
      <c r="K948" s="8"/>
      <c r="L948" s="8"/>
      <c r="M948" s="8"/>
      <c r="N948" s="8"/>
      <c r="O948" s="8"/>
      <c r="P948" s="8"/>
      <c r="Q948" s="8"/>
      <c r="R948" s="8"/>
      <c r="S948" s="8"/>
      <c r="T948" s="8"/>
      <c r="U948" s="8"/>
      <c r="V948" s="8"/>
      <c r="W948" s="8"/>
      <c r="X948" s="8"/>
      <c r="Y948" s="8"/>
      <c r="Z948" s="8"/>
    </row>
    <row r="949" ht="14.25" customHeight="1">
      <c r="A949" s="8">
        <v>25766.0</v>
      </c>
      <c r="B949" s="8" t="s">
        <v>24</v>
      </c>
      <c r="C949" s="8" t="s">
        <v>2805</v>
      </c>
      <c r="D949" s="8">
        <v>2020.0</v>
      </c>
      <c r="E949" s="8" t="s">
        <v>2806</v>
      </c>
      <c r="F949" s="8" t="s">
        <v>2807</v>
      </c>
      <c r="G949" s="8">
        <v>168.0</v>
      </c>
      <c r="H949" s="8" t="s">
        <v>33</v>
      </c>
      <c r="I949" s="8" t="s">
        <v>2808</v>
      </c>
      <c r="J949" s="8" t="s">
        <v>29</v>
      </c>
      <c r="K949" s="8"/>
      <c r="L949" s="8"/>
      <c r="M949" s="8"/>
      <c r="N949" s="8"/>
      <c r="O949" s="8"/>
      <c r="P949" s="8"/>
      <c r="Q949" s="8"/>
      <c r="R949" s="8"/>
      <c r="S949" s="8"/>
      <c r="T949" s="8"/>
      <c r="U949" s="8"/>
      <c r="V949" s="8"/>
      <c r="W949" s="8"/>
      <c r="X949" s="8"/>
      <c r="Y949" s="8"/>
      <c r="Z949" s="8"/>
    </row>
    <row r="950" ht="14.25" customHeight="1">
      <c r="A950" s="8">
        <v>25193.0</v>
      </c>
      <c r="B950" s="8" t="s">
        <v>24</v>
      </c>
      <c r="C950" s="8" t="s">
        <v>2809</v>
      </c>
      <c r="D950" s="8">
        <v>2019.0</v>
      </c>
      <c r="E950" s="8" t="s">
        <v>2810</v>
      </c>
      <c r="F950" s="8" t="s">
        <v>36</v>
      </c>
      <c r="G950" s="8">
        <v>14.0</v>
      </c>
      <c r="H950" s="8">
        <v>2.0</v>
      </c>
      <c r="I950" s="8" t="s">
        <v>33</v>
      </c>
      <c r="J950" s="8" t="s">
        <v>29</v>
      </c>
      <c r="K950" s="8"/>
      <c r="L950" s="8"/>
      <c r="M950" s="8"/>
      <c r="N950" s="8"/>
      <c r="O950" s="8"/>
      <c r="P950" s="8"/>
      <c r="Q950" s="8"/>
      <c r="R950" s="8"/>
      <c r="S950" s="8"/>
      <c r="T950" s="8"/>
      <c r="U950" s="8"/>
      <c r="V950" s="8"/>
      <c r="W950" s="8"/>
      <c r="X950" s="8"/>
      <c r="Y950" s="8"/>
      <c r="Z950" s="8"/>
    </row>
    <row r="951" ht="14.25" customHeight="1">
      <c r="A951" s="8">
        <v>24667.0</v>
      </c>
      <c r="B951" s="8" t="s">
        <v>24</v>
      </c>
      <c r="C951" s="8" t="s">
        <v>2811</v>
      </c>
      <c r="D951" s="8">
        <v>2016.0</v>
      </c>
      <c r="E951" s="8" t="s">
        <v>2812</v>
      </c>
      <c r="F951" s="8" t="s">
        <v>2813</v>
      </c>
      <c r="G951" s="8">
        <v>150.0</v>
      </c>
      <c r="H951" s="8">
        <v>1.0</v>
      </c>
      <c r="I951" s="8" t="s">
        <v>2814</v>
      </c>
      <c r="J951" s="8" t="s">
        <v>29</v>
      </c>
      <c r="K951" s="8"/>
      <c r="L951" s="8"/>
      <c r="M951" s="8"/>
      <c r="N951" s="8"/>
      <c r="O951" s="8"/>
      <c r="P951" s="8"/>
      <c r="Q951" s="8"/>
      <c r="R951" s="8"/>
      <c r="S951" s="8"/>
      <c r="T951" s="8"/>
      <c r="U951" s="8"/>
      <c r="V951" s="8"/>
      <c r="W951" s="8"/>
      <c r="X951" s="8"/>
      <c r="Y951" s="8"/>
      <c r="Z951" s="8"/>
    </row>
    <row r="952" ht="14.25" customHeight="1">
      <c r="A952" s="8">
        <v>23353.0</v>
      </c>
      <c r="B952" s="8" t="s">
        <v>24</v>
      </c>
      <c r="C952" s="8" t="s">
        <v>2815</v>
      </c>
      <c r="D952" s="8">
        <v>2014.0</v>
      </c>
      <c r="E952" s="8" t="s">
        <v>2816</v>
      </c>
      <c r="F952" s="8" t="s">
        <v>36</v>
      </c>
      <c r="G952" s="8">
        <v>9.0</v>
      </c>
      <c r="H952" s="8">
        <v>12.0</v>
      </c>
      <c r="I952" s="8" t="s">
        <v>33</v>
      </c>
      <c r="J952" s="8" t="s">
        <v>29</v>
      </c>
      <c r="K952" s="8"/>
      <c r="L952" s="8"/>
      <c r="M952" s="8"/>
      <c r="N952" s="8"/>
      <c r="O952" s="8"/>
      <c r="P952" s="8"/>
      <c r="Q952" s="8"/>
      <c r="R952" s="8"/>
      <c r="S952" s="8"/>
      <c r="T952" s="8"/>
      <c r="U952" s="8"/>
      <c r="V952" s="8"/>
      <c r="W952" s="8"/>
      <c r="X952" s="8"/>
      <c r="Y952" s="8"/>
      <c r="Z952" s="8"/>
    </row>
    <row r="953" ht="14.25" customHeight="1">
      <c r="A953" s="8">
        <v>26135.0</v>
      </c>
      <c r="B953" s="8" t="s">
        <v>24</v>
      </c>
      <c r="C953" s="8" t="s">
        <v>2817</v>
      </c>
      <c r="D953" s="8">
        <v>2019.0</v>
      </c>
      <c r="E953" s="8" t="s">
        <v>2818</v>
      </c>
      <c r="F953" s="8" t="s">
        <v>545</v>
      </c>
      <c r="G953" s="8">
        <v>11.0</v>
      </c>
      <c r="H953" s="8">
        <v>23.0</v>
      </c>
      <c r="I953" s="8" t="s">
        <v>33</v>
      </c>
      <c r="J953" s="8" t="s">
        <v>29</v>
      </c>
      <c r="K953" s="8"/>
      <c r="L953" s="8"/>
      <c r="M953" s="8"/>
      <c r="N953" s="8"/>
      <c r="O953" s="8"/>
      <c r="P953" s="8"/>
      <c r="Q953" s="8"/>
      <c r="R953" s="8"/>
      <c r="S953" s="8"/>
      <c r="T953" s="8"/>
      <c r="U953" s="8"/>
      <c r="V953" s="8"/>
      <c r="W953" s="8"/>
      <c r="X953" s="8"/>
      <c r="Y953" s="8"/>
      <c r="Z953" s="8"/>
    </row>
    <row r="954" ht="14.25" customHeight="1">
      <c r="A954" s="8">
        <v>24748.0</v>
      </c>
      <c r="B954" s="8" t="s">
        <v>24</v>
      </c>
      <c r="C954" s="8" t="s">
        <v>2819</v>
      </c>
      <c r="D954" s="8">
        <v>2008.0</v>
      </c>
      <c r="E954" s="8" t="s">
        <v>2820</v>
      </c>
      <c r="F954" s="8" t="s">
        <v>64</v>
      </c>
      <c r="G954" s="8">
        <v>141.0</v>
      </c>
      <c r="H954" s="8">
        <v>6.0</v>
      </c>
      <c r="I954" s="8" t="s">
        <v>2821</v>
      </c>
      <c r="J954" s="8" t="s">
        <v>29</v>
      </c>
      <c r="K954" s="8"/>
      <c r="L954" s="8"/>
      <c r="M954" s="8"/>
      <c r="N954" s="8"/>
      <c r="O954" s="8"/>
      <c r="P954" s="8"/>
      <c r="Q954" s="8"/>
      <c r="R954" s="8"/>
      <c r="S954" s="8"/>
      <c r="T954" s="8"/>
      <c r="U954" s="8"/>
      <c r="V954" s="8"/>
      <c r="W954" s="8"/>
      <c r="X954" s="8"/>
      <c r="Y954" s="8"/>
      <c r="Z954" s="8"/>
    </row>
    <row r="955" ht="14.25" customHeight="1">
      <c r="A955" s="8">
        <v>23343.0</v>
      </c>
      <c r="B955" s="8" t="s">
        <v>24</v>
      </c>
      <c r="C955" s="8" t="s">
        <v>2822</v>
      </c>
      <c r="D955" s="8">
        <v>2015.0</v>
      </c>
      <c r="E955" s="8" t="s">
        <v>2823</v>
      </c>
      <c r="F955" s="8" t="s">
        <v>866</v>
      </c>
      <c r="G955" s="8">
        <v>7.0</v>
      </c>
      <c r="H955" s="8">
        <v>9.0</v>
      </c>
      <c r="I955" s="8" t="s">
        <v>2824</v>
      </c>
      <c r="J955" s="8" t="s">
        <v>29</v>
      </c>
      <c r="K955" s="8"/>
      <c r="L955" s="8"/>
      <c r="M955" s="8"/>
      <c r="N955" s="8"/>
      <c r="O955" s="8"/>
      <c r="P955" s="8"/>
      <c r="Q955" s="8"/>
      <c r="R955" s="8"/>
      <c r="S955" s="8"/>
      <c r="T955" s="8"/>
      <c r="U955" s="8"/>
      <c r="V955" s="8"/>
      <c r="W955" s="8"/>
      <c r="X955" s="8"/>
      <c r="Y955" s="8"/>
      <c r="Z955" s="8"/>
    </row>
    <row r="956" ht="14.25" customHeight="1">
      <c r="A956" s="8">
        <v>25172.0</v>
      </c>
      <c r="B956" s="8" t="s">
        <v>24</v>
      </c>
      <c r="C956" s="8" t="s">
        <v>2825</v>
      </c>
      <c r="D956" s="8">
        <v>2015.0</v>
      </c>
      <c r="E956" s="8" t="s">
        <v>2826</v>
      </c>
      <c r="F956" s="8" t="s">
        <v>615</v>
      </c>
      <c r="G956" s="8">
        <v>24.0</v>
      </c>
      <c r="H956" s="8">
        <v>8.0</v>
      </c>
      <c r="I956" s="8" t="s">
        <v>2827</v>
      </c>
      <c r="J956" s="8" t="s">
        <v>29</v>
      </c>
      <c r="K956" s="8"/>
      <c r="L956" s="8"/>
      <c r="M956" s="8"/>
      <c r="N956" s="8"/>
      <c r="O956" s="8"/>
      <c r="P956" s="8"/>
      <c r="Q956" s="8"/>
      <c r="R956" s="8"/>
      <c r="S956" s="8"/>
      <c r="T956" s="8"/>
      <c r="U956" s="8"/>
      <c r="V956" s="8"/>
      <c r="W956" s="8"/>
      <c r="X956" s="8"/>
      <c r="Y956" s="8"/>
      <c r="Z956" s="8"/>
    </row>
    <row r="957" ht="14.25" customHeight="1">
      <c r="A957" s="8">
        <v>23154.0</v>
      </c>
      <c r="B957" s="8" t="s">
        <v>24</v>
      </c>
      <c r="C957" s="8" t="s">
        <v>2828</v>
      </c>
      <c r="D957" s="8">
        <v>2019.0</v>
      </c>
      <c r="E957" s="8" t="s">
        <v>2829</v>
      </c>
      <c r="F957" s="8" t="s">
        <v>242</v>
      </c>
      <c r="G957" s="8">
        <v>21.0</v>
      </c>
      <c r="H957" s="8">
        <v>2.0</v>
      </c>
      <c r="I957" s="8" t="s">
        <v>2830</v>
      </c>
      <c r="J957" s="8" t="s">
        <v>29</v>
      </c>
      <c r="K957" s="8"/>
      <c r="L957" s="8"/>
      <c r="M957" s="8"/>
      <c r="N957" s="8"/>
      <c r="O957" s="8"/>
      <c r="P957" s="8"/>
      <c r="Q957" s="8"/>
      <c r="R957" s="8"/>
      <c r="S957" s="8"/>
      <c r="T957" s="8"/>
      <c r="U957" s="8"/>
      <c r="V957" s="8"/>
      <c r="W957" s="8"/>
      <c r="X957" s="8"/>
      <c r="Y957" s="8"/>
      <c r="Z957" s="8"/>
    </row>
    <row r="958" ht="14.25" customHeight="1">
      <c r="A958" s="8">
        <v>26084.0</v>
      </c>
      <c r="B958" s="8" t="s">
        <v>24</v>
      </c>
      <c r="C958" s="8" t="s">
        <v>2247</v>
      </c>
      <c r="D958" s="8">
        <v>2017.0</v>
      </c>
      <c r="E958" s="8" t="s">
        <v>2831</v>
      </c>
      <c r="F958" s="8" t="s">
        <v>1880</v>
      </c>
      <c r="G958" s="8">
        <v>136.0</v>
      </c>
      <c r="H958" s="8" t="s">
        <v>33</v>
      </c>
      <c r="I958" s="8" t="s">
        <v>2832</v>
      </c>
      <c r="J958" s="8" t="s">
        <v>29</v>
      </c>
      <c r="K958" s="8"/>
      <c r="L958" s="8"/>
      <c r="M958" s="8"/>
      <c r="N958" s="8"/>
      <c r="O958" s="8"/>
      <c r="P958" s="8"/>
      <c r="Q958" s="8"/>
      <c r="R958" s="8"/>
      <c r="S958" s="8"/>
      <c r="T958" s="8"/>
      <c r="U958" s="8"/>
      <c r="V958" s="8"/>
      <c r="W958" s="8"/>
      <c r="X958" s="8"/>
      <c r="Y958" s="8"/>
      <c r="Z958" s="8"/>
    </row>
    <row r="959" ht="14.25" customHeight="1">
      <c r="A959" s="8">
        <v>24619.0</v>
      </c>
      <c r="B959" s="8" t="s">
        <v>24</v>
      </c>
      <c r="C959" s="8" t="s">
        <v>1135</v>
      </c>
      <c r="D959" s="8">
        <v>2017.0</v>
      </c>
      <c r="E959" s="8" t="s">
        <v>2833</v>
      </c>
      <c r="F959" s="8" t="s">
        <v>56</v>
      </c>
      <c r="G959" s="8">
        <v>54.0</v>
      </c>
      <c r="H959" s="8">
        <v>3.0</v>
      </c>
      <c r="I959" s="8" t="s">
        <v>2834</v>
      </c>
      <c r="J959" s="8" t="s">
        <v>29</v>
      </c>
      <c r="K959" s="8"/>
      <c r="L959" s="8"/>
      <c r="M959" s="8"/>
      <c r="N959" s="8"/>
      <c r="O959" s="8"/>
      <c r="P959" s="8"/>
      <c r="Q959" s="8"/>
      <c r="R959" s="8"/>
      <c r="S959" s="8"/>
      <c r="T959" s="8"/>
      <c r="U959" s="8"/>
      <c r="V959" s="8"/>
      <c r="W959" s="8"/>
      <c r="X959" s="8"/>
      <c r="Y959" s="8"/>
      <c r="Z959" s="8"/>
    </row>
    <row r="960" ht="14.25" customHeight="1">
      <c r="A960" s="8">
        <v>25745.0</v>
      </c>
      <c r="B960" s="8" t="s">
        <v>24</v>
      </c>
      <c r="C960" s="8" t="s">
        <v>2835</v>
      </c>
      <c r="D960" s="8">
        <v>2020.0</v>
      </c>
      <c r="E960" s="8" t="s">
        <v>2836</v>
      </c>
      <c r="F960" s="8" t="s">
        <v>545</v>
      </c>
      <c r="G960" s="8">
        <v>12.0</v>
      </c>
      <c r="H960" s="8">
        <v>6.0</v>
      </c>
      <c r="I960" s="8" t="s">
        <v>33</v>
      </c>
      <c r="J960" s="8" t="s">
        <v>29</v>
      </c>
      <c r="K960" s="8"/>
      <c r="L960" s="8"/>
      <c r="M960" s="8"/>
      <c r="N960" s="8"/>
      <c r="O960" s="8"/>
      <c r="P960" s="8"/>
      <c r="Q960" s="8"/>
      <c r="R960" s="8"/>
      <c r="S960" s="8"/>
      <c r="T960" s="8"/>
      <c r="U960" s="8"/>
      <c r="V960" s="8"/>
      <c r="W960" s="8"/>
      <c r="X960" s="8"/>
      <c r="Y960" s="8"/>
      <c r="Z960" s="8"/>
    </row>
    <row r="961" ht="14.25" customHeight="1">
      <c r="A961" s="8">
        <v>23582.0</v>
      </c>
      <c r="B961" s="8" t="s">
        <v>24</v>
      </c>
      <c r="C961" s="8" t="s">
        <v>25</v>
      </c>
      <c r="D961" s="8">
        <v>2012.0</v>
      </c>
      <c r="E961" s="8" t="s">
        <v>2837</v>
      </c>
      <c r="F961" s="8" t="s">
        <v>27</v>
      </c>
      <c r="G961" s="8">
        <v>21.0</v>
      </c>
      <c r="H961" s="8">
        <v>4.0</v>
      </c>
      <c r="I961" s="8" t="s">
        <v>2838</v>
      </c>
      <c r="J961" s="8" t="s">
        <v>29</v>
      </c>
      <c r="K961" s="8"/>
      <c r="L961" s="8"/>
      <c r="M961" s="8"/>
      <c r="N961" s="8"/>
      <c r="O961" s="8"/>
      <c r="P961" s="8"/>
      <c r="Q961" s="8"/>
      <c r="R961" s="8"/>
      <c r="S961" s="8"/>
      <c r="T961" s="8"/>
      <c r="U961" s="8"/>
      <c r="V961" s="8"/>
      <c r="W961" s="8"/>
      <c r="X961" s="8"/>
      <c r="Y961" s="8"/>
      <c r="Z961" s="8"/>
    </row>
    <row r="962" ht="14.25" customHeight="1">
      <c r="A962" s="8">
        <v>24321.0</v>
      </c>
      <c r="B962" s="8" t="s">
        <v>24</v>
      </c>
      <c r="C962" s="8" t="s">
        <v>2473</v>
      </c>
      <c r="D962" s="8">
        <v>2009.0</v>
      </c>
      <c r="E962" s="8" t="s">
        <v>2839</v>
      </c>
      <c r="F962" s="8" t="s">
        <v>242</v>
      </c>
      <c r="G962" s="8">
        <v>11.0</v>
      </c>
      <c r="H962" s="8">
        <v>6.0</v>
      </c>
      <c r="I962" s="8" t="s">
        <v>2840</v>
      </c>
      <c r="J962" s="8" t="s">
        <v>29</v>
      </c>
      <c r="K962" s="8"/>
      <c r="L962" s="8"/>
      <c r="M962" s="8"/>
      <c r="N962" s="8"/>
      <c r="O962" s="8"/>
      <c r="P962" s="8"/>
      <c r="Q962" s="8"/>
      <c r="R962" s="8"/>
      <c r="S962" s="8"/>
      <c r="T962" s="8"/>
      <c r="U962" s="8"/>
      <c r="V962" s="8"/>
      <c r="W962" s="8"/>
      <c r="X962" s="8"/>
      <c r="Y962" s="8"/>
      <c r="Z962" s="8"/>
    </row>
    <row r="963" ht="14.25" customHeight="1">
      <c r="A963" s="8">
        <v>25175.0</v>
      </c>
      <c r="B963" s="8" t="s">
        <v>24</v>
      </c>
      <c r="C963" s="8" t="s">
        <v>2841</v>
      </c>
      <c r="D963" s="8">
        <v>2019.0</v>
      </c>
      <c r="E963" s="8" t="s">
        <v>2842</v>
      </c>
      <c r="F963" s="8" t="s">
        <v>49</v>
      </c>
      <c r="G963" s="8">
        <v>687.0</v>
      </c>
      <c r="H963" s="8" t="s">
        <v>33</v>
      </c>
      <c r="I963" s="8" t="s">
        <v>2843</v>
      </c>
      <c r="J963" s="8" t="s">
        <v>29</v>
      </c>
      <c r="K963" s="8"/>
      <c r="L963" s="8"/>
      <c r="M963" s="8"/>
      <c r="N963" s="8"/>
      <c r="O963" s="8"/>
      <c r="P963" s="8"/>
      <c r="Q963" s="8"/>
      <c r="R963" s="8"/>
      <c r="S963" s="8"/>
      <c r="T963" s="8"/>
      <c r="U963" s="8"/>
      <c r="V963" s="8"/>
      <c r="W963" s="8"/>
      <c r="X963" s="8"/>
      <c r="Y963" s="8"/>
      <c r="Z963" s="8"/>
    </row>
    <row r="964" ht="14.25" customHeight="1">
      <c r="A964" s="8">
        <v>24574.0</v>
      </c>
      <c r="B964" s="8" t="s">
        <v>24</v>
      </c>
      <c r="C964" s="8" t="s">
        <v>960</v>
      </c>
      <c r="D964" s="8">
        <v>2016.0</v>
      </c>
      <c r="E964" s="8" t="s">
        <v>2844</v>
      </c>
      <c r="F964" s="8" t="s">
        <v>736</v>
      </c>
      <c r="G964" s="8" t="s">
        <v>33</v>
      </c>
      <c r="H964" s="8" t="s">
        <v>33</v>
      </c>
      <c r="I964" s="8" t="s">
        <v>33</v>
      </c>
      <c r="J964" s="8" t="s">
        <v>29</v>
      </c>
      <c r="K964" s="8"/>
      <c r="L964" s="8"/>
      <c r="M964" s="8"/>
      <c r="N964" s="8"/>
      <c r="O964" s="8"/>
      <c r="P964" s="8"/>
      <c r="Q964" s="8"/>
      <c r="R964" s="8"/>
      <c r="S964" s="8"/>
      <c r="T964" s="8"/>
      <c r="U964" s="8"/>
      <c r="V964" s="8"/>
      <c r="W964" s="8"/>
      <c r="X964" s="8"/>
      <c r="Y964" s="8"/>
      <c r="Z964" s="8"/>
    </row>
    <row r="965" ht="14.25" customHeight="1">
      <c r="A965" s="8">
        <v>23087.0</v>
      </c>
      <c r="B965" s="8" t="s">
        <v>24</v>
      </c>
      <c r="C965" s="8" t="s">
        <v>2845</v>
      </c>
      <c r="D965" s="8">
        <v>2014.0</v>
      </c>
      <c r="E965" s="8" t="s">
        <v>2846</v>
      </c>
      <c r="F965" s="8" t="s">
        <v>965</v>
      </c>
      <c r="G965" s="8">
        <v>9.0</v>
      </c>
      <c r="H965" s="8">
        <v>9.0</v>
      </c>
      <c r="I965" s="8">
        <v>7.0</v>
      </c>
      <c r="J965" s="8" t="s">
        <v>29</v>
      </c>
      <c r="K965" s="8"/>
      <c r="L965" s="8"/>
      <c r="M965" s="8"/>
      <c r="N965" s="8"/>
      <c r="O965" s="8"/>
      <c r="P965" s="8"/>
      <c r="Q965" s="8"/>
      <c r="R965" s="8"/>
      <c r="S965" s="8"/>
      <c r="T965" s="8"/>
      <c r="U965" s="8"/>
      <c r="V965" s="8"/>
      <c r="W965" s="8"/>
      <c r="X965" s="8"/>
      <c r="Y965" s="8"/>
      <c r="Z965" s="8"/>
    </row>
    <row r="966" ht="14.25" customHeight="1">
      <c r="A966" s="8" t="s">
        <v>2847</v>
      </c>
      <c r="B966" s="8" t="s">
        <v>41</v>
      </c>
      <c r="C966" s="8" t="s">
        <v>1238</v>
      </c>
      <c r="D966" s="8">
        <v>2016.0</v>
      </c>
      <c r="E966" s="8" t="s">
        <v>2848</v>
      </c>
      <c r="F966" s="8" t="s">
        <v>855</v>
      </c>
      <c r="G966" s="8" t="s">
        <v>33</v>
      </c>
      <c r="H966" s="8" t="s">
        <v>33</v>
      </c>
      <c r="I966" s="8" t="s">
        <v>33</v>
      </c>
      <c r="J966" s="8" t="s">
        <v>320</v>
      </c>
      <c r="K966" s="8"/>
      <c r="L966" s="8"/>
      <c r="M966" s="8"/>
      <c r="N966" s="8"/>
      <c r="O966" s="8"/>
      <c r="P966" s="8"/>
      <c r="Q966" s="8"/>
      <c r="R966" s="8"/>
      <c r="S966" s="8"/>
      <c r="T966" s="8"/>
      <c r="U966" s="8"/>
      <c r="V966" s="8"/>
      <c r="W966" s="8"/>
      <c r="X966" s="8"/>
      <c r="Y966" s="8"/>
      <c r="Z966" s="8"/>
    </row>
    <row r="967" ht="14.25" customHeight="1">
      <c r="A967" s="8">
        <v>25190.0</v>
      </c>
      <c r="B967" s="8" t="s">
        <v>24</v>
      </c>
      <c r="C967" s="8" t="s">
        <v>2849</v>
      </c>
      <c r="D967" s="8">
        <v>2019.0</v>
      </c>
      <c r="E967" s="8" t="s">
        <v>2850</v>
      </c>
      <c r="F967" s="8" t="s">
        <v>36</v>
      </c>
      <c r="G967" s="8">
        <v>14.0</v>
      </c>
      <c r="H967" s="8">
        <v>7.0</v>
      </c>
      <c r="I967" s="8" t="s">
        <v>33</v>
      </c>
      <c r="J967" s="8" t="s">
        <v>29</v>
      </c>
      <c r="K967" s="8"/>
      <c r="L967" s="8"/>
      <c r="M967" s="8"/>
      <c r="N967" s="8"/>
      <c r="O967" s="8"/>
      <c r="P967" s="8"/>
      <c r="Q967" s="8"/>
      <c r="R967" s="8"/>
      <c r="S967" s="8"/>
      <c r="T967" s="8"/>
      <c r="U967" s="8"/>
      <c r="V967" s="8"/>
      <c r="W967" s="8"/>
      <c r="X967" s="8"/>
      <c r="Y967" s="8"/>
      <c r="Z967" s="8"/>
    </row>
    <row r="968" ht="14.25" customHeight="1">
      <c r="A968" s="8" t="s">
        <v>2851</v>
      </c>
      <c r="B968" s="8" t="s">
        <v>24</v>
      </c>
      <c r="C968" s="8" t="s">
        <v>2852</v>
      </c>
      <c r="D968" s="8">
        <v>2017.0</v>
      </c>
      <c r="E968" s="8" t="s">
        <v>2853</v>
      </c>
      <c r="F968" s="8" t="s">
        <v>2041</v>
      </c>
      <c r="G968" s="8">
        <v>8.0</v>
      </c>
      <c r="H968" s="8">
        <v>4.0</v>
      </c>
      <c r="I968" s="8" t="s">
        <v>2854</v>
      </c>
      <c r="J968" s="8" t="s">
        <v>320</v>
      </c>
      <c r="K968" s="8"/>
      <c r="L968" s="8"/>
      <c r="M968" s="8"/>
      <c r="N968" s="8"/>
      <c r="O968" s="8"/>
      <c r="P968" s="8"/>
      <c r="Q968" s="8"/>
      <c r="R968" s="8"/>
      <c r="S968" s="8"/>
      <c r="T968" s="8"/>
      <c r="U968" s="8"/>
      <c r="V968" s="8"/>
      <c r="W968" s="8"/>
      <c r="X968" s="8"/>
      <c r="Y968" s="8"/>
      <c r="Z968" s="8"/>
    </row>
    <row r="969" ht="14.25" customHeight="1">
      <c r="A969" s="8">
        <v>25880.0</v>
      </c>
      <c r="B969" s="8" t="s">
        <v>24</v>
      </c>
      <c r="C969" s="8" t="s">
        <v>2855</v>
      </c>
      <c r="D969" s="8">
        <v>2018.0</v>
      </c>
      <c r="E969" s="8" t="s">
        <v>2856</v>
      </c>
      <c r="F969" s="8" t="s">
        <v>615</v>
      </c>
      <c r="G969" s="8">
        <v>27.0</v>
      </c>
      <c r="H969" s="8">
        <v>8.0</v>
      </c>
      <c r="I969" s="8" t="s">
        <v>2857</v>
      </c>
      <c r="J969" s="8" t="s">
        <v>29</v>
      </c>
      <c r="K969" s="8"/>
      <c r="L969" s="8"/>
      <c r="M969" s="8"/>
      <c r="N969" s="8"/>
      <c r="O969" s="8"/>
      <c r="P969" s="8"/>
      <c r="Q969" s="8"/>
      <c r="R969" s="8"/>
      <c r="S969" s="8"/>
      <c r="T969" s="8"/>
      <c r="U969" s="8"/>
      <c r="V969" s="8"/>
      <c r="W969" s="8"/>
      <c r="X969" s="8"/>
      <c r="Y969" s="8"/>
      <c r="Z969" s="8"/>
    </row>
    <row r="970" ht="14.25" customHeight="1">
      <c r="A970" s="8">
        <v>24806.0</v>
      </c>
      <c r="B970" s="8" t="s">
        <v>24</v>
      </c>
      <c r="C970" s="8" t="s">
        <v>2858</v>
      </c>
      <c r="D970" s="8">
        <v>2015.0</v>
      </c>
      <c r="E970" s="8" t="s">
        <v>2859</v>
      </c>
      <c r="F970" s="8" t="s">
        <v>2860</v>
      </c>
      <c r="G970" s="8">
        <v>3.0</v>
      </c>
      <c r="H970" s="8">
        <v>1.0</v>
      </c>
      <c r="I970" s="8" t="s">
        <v>33</v>
      </c>
      <c r="J970" s="8" t="s">
        <v>29</v>
      </c>
      <c r="K970" s="8"/>
      <c r="L970" s="8"/>
      <c r="M970" s="8"/>
      <c r="N970" s="8"/>
      <c r="O970" s="8"/>
      <c r="P970" s="8"/>
      <c r="Q970" s="8"/>
      <c r="R970" s="8"/>
      <c r="S970" s="8"/>
      <c r="T970" s="8"/>
      <c r="U970" s="8"/>
      <c r="V970" s="8"/>
      <c r="W970" s="8"/>
      <c r="X970" s="8"/>
      <c r="Y970" s="8"/>
      <c r="Z970" s="8"/>
    </row>
    <row r="971" ht="14.25" customHeight="1">
      <c r="A971" s="8">
        <v>25482.0</v>
      </c>
      <c r="B971" s="8" t="s">
        <v>24</v>
      </c>
      <c r="C971" s="8" t="s">
        <v>2861</v>
      </c>
      <c r="D971" s="8">
        <v>2011.0</v>
      </c>
      <c r="E971" s="8" t="s">
        <v>2862</v>
      </c>
      <c r="F971" s="8" t="s">
        <v>913</v>
      </c>
      <c r="G971" s="8">
        <v>39.0</v>
      </c>
      <c r="H971" s="8">
        <v>2.0</v>
      </c>
      <c r="I971" s="8" t="s">
        <v>2863</v>
      </c>
      <c r="J971" s="8" t="s">
        <v>29</v>
      </c>
      <c r="K971" s="8"/>
      <c r="L971" s="8"/>
      <c r="M971" s="8"/>
      <c r="N971" s="8"/>
      <c r="O971" s="8"/>
      <c r="P971" s="8"/>
      <c r="Q971" s="8"/>
      <c r="R971" s="8"/>
      <c r="S971" s="8"/>
      <c r="T971" s="8"/>
      <c r="U971" s="8"/>
      <c r="V971" s="8"/>
      <c r="W971" s="8"/>
      <c r="X971" s="8"/>
      <c r="Y971" s="8"/>
      <c r="Z971" s="8"/>
    </row>
    <row r="972" ht="14.25" customHeight="1">
      <c r="A972" s="8">
        <v>25970.0</v>
      </c>
      <c r="B972" s="8" t="s">
        <v>24</v>
      </c>
      <c r="C972" s="8" t="s">
        <v>2864</v>
      </c>
      <c r="D972" s="8">
        <v>2017.0</v>
      </c>
      <c r="E972" s="8" t="s">
        <v>2865</v>
      </c>
      <c r="F972" s="8" t="s">
        <v>2866</v>
      </c>
      <c r="G972" s="8">
        <v>11.0</v>
      </c>
      <c r="H972" s="8">
        <v>1.0</v>
      </c>
      <c r="I972" s="8" t="s">
        <v>2867</v>
      </c>
      <c r="J972" s="8" t="s">
        <v>29</v>
      </c>
      <c r="K972" s="8"/>
      <c r="L972" s="8"/>
      <c r="M972" s="8"/>
      <c r="N972" s="8"/>
      <c r="O972" s="8"/>
      <c r="P972" s="8"/>
      <c r="Q972" s="8"/>
      <c r="R972" s="8"/>
      <c r="S972" s="8"/>
      <c r="T972" s="8"/>
      <c r="U972" s="8"/>
      <c r="V972" s="8"/>
      <c r="W972" s="8"/>
      <c r="X972" s="8"/>
      <c r="Y972" s="8"/>
      <c r="Z972" s="8"/>
    </row>
    <row r="973" ht="14.25" customHeight="1">
      <c r="A973" s="8">
        <v>23848.0</v>
      </c>
      <c r="B973" s="8" t="s">
        <v>24</v>
      </c>
      <c r="C973" s="8" t="s">
        <v>2868</v>
      </c>
      <c r="D973" s="8">
        <v>2011.0</v>
      </c>
      <c r="E973" s="8" t="s">
        <v>2869</v>
      </c>
      <c r="F973" s="8" t="s">
        <v>121</v>
      </c>
      <c r="G973" s="8">
        <v>61.0</v>
      </c>
      <c r="H973" s="8">
        <v>4.0</v>
      </c>
      <c r="I973" s="8" t="s">
        <v>2870</v>
      </c>
      <c r="J973" s="8" t="s">
        <v>29</v>
      </c>
      <c r="K973" s="8"/>
      <c r="L973" s="8"/>
      <c r="M973" s="8"/>
      <c r="N973" s="8"/>
      <c r="O973" s="8"/>
      <c r="P973" s="8"/>
      <c r="Q973" s="8"/>
      <c r="R973" s="8"/>
      <c r="S973" s="8"/>
      <c r="T973" s="8"/>
      <c r="U973" s="8"/>
      <c r="V973" s="8"/>
      <c r="W973" s="8"/>
      <c r="X973" s="8"/>
      <c r="Y973" s="8"/>
      <c r="Z973" s="8"/>
    </row>
    <row r="974" ht="14.25" customHeight="1">
      <c r="A974" s="8">
        <v>25711.0</v>
      </c>
      <c r="B974" s="8" t="s">
        <v>24</v>
      </c>
      <c r="C974" s="8" t="s">
        <v>2871</v>
      </c>
      <c r="D974" s="8">
        <v>2010.0</v>
      </c>
      <c r="E974" s="8" t="s">
        <v>2872</v>
      </c>
      <c r="F974" s="8" t="s">
        <v>36</v>
      </c>
      <c r="G974" s="8">
        <v>5.0</v>
      </c>
      <c r="H974" s="8">
        <v>12.0</v>
      </c>
      <c r="I974" s="8" t="s">
        <v>33</v>
      </c>
      <c r="J974" s="8" t="s">
        <v>29</v>
      </c>
      <c r="K974" s="8"/>
      <c r="L974" s="8"/>
      <c r="M974" s="8"/>
      <c r="N974" s="8"/>
      <c r="O974" s="8"/>
      <c r="P974" s="8"/>
      <c r="Q974" s="8"/>
      <c r="R974" s="8"/>
      <c r="S974" s="8"/>
      <c r="T974" s="8"/>
      <c r="U974" s="8"/>
      <c r="V974" s="8"/>
      <c r="W974" s="8"/>
      <c r="X974" s="8"/>
      <c r="Y974" s="8"/>
      <c r="Z974" s="8"/>
    </row>
    <row r="975" ht="14.25" customHeight="1">
      <c r="A975" s="8">
        <v>24451.0</v>
      </c>
      <c r="B975" s="8" t="s">
        <v>24</v>
      </c>
      <c r="C975" s="8" t="s">
        <v>2873</v>
      </c>
      <c r="D975" s="8">
        <v>2018.0</v>
      </c>
      <c r="E975" s="8" t="s">
        <v>2874</v>
      </c>
      <c r="F975" s="8" t="s">
        <v>2875</v>
      </c>
      <c r="G975" s="8">
        <v>94.0</v>
      </c>
      <c r="H975" s="8" t="s">
        <v>33</v>
      </c>
      <c r="I975" s="8" t="s">
        <v>2876</v>
      </c>
      <c r="J975" s="8" t="s">
        <v>29</v>
      </c>
      <c r="K975" s="9"/>
      <c r="L975" s="8"/>
      <c r="M975" s="8"/>
      <c r="N975" s="8"/>
      <c r="O975" s="8"/>
      <c r="P975" s="8"/>
      <c r="Q975" s="8"/>
      <c r="R975" s="8"/>
      <c r="S975" s="8"/>
      <c r="T975" s="8"/>
      <c r="U975" s="8"/>
      <c r="V975" s="8"/>
      <c r="W975" s="8"/>
      <c r="X975" s="8"/>
      <c r="Y975" s="8"/>
      <c r="Z975" s="8"/>
    </row>
    <row r="976" ht="14.25" customHeight="1">
      <c r="A976" s="8">
        <v>24821.0</v>
      </c>
      <c r="B976" s="8" t="s">
        <v>576</v>
      </c>
      <c r="C976" s="8" t="s">
        <v>2877</v>
      </c>
      <c r="D976" s="8">
        <v>2008.0</v>
      </c>
      <c r="E976" s="8" t="s">
        <v>2878</v>
      </c>
      <c r="F976" s="8" t="s">
        <v>462</v>
      </c>
      <c r="G976" s="8" t="s">
        <v>33</v>
      </c>
      <c r="H976" s="8" t="s">
        <v>33</v>
      </c>
      <c r="I976" s="8" t="s">
        <v>33</v>
      </c>
      <c r="J976" s="8" t="s">
        <v>29</v>
      </c>
      <c r="K976" s="8"/>
      <c r="L976" s="8"/>
      <c r="M976" s="8"/>
      <c r="N976" s="8"/>
      <c r="O976" s="8"/>
      <c r="P976" s="8"/>
      <c r="Q976" s="8"/>
      <c r="R976" s="8"/>
      <c r="S976" s="8"/>
      <c r="T976" s="8"/>
      <c r="U976" s="8"/>
      <c r="V976" s="8"/>
      <c r="W976" s="8"/>
      <c r="X976" s="8"/>
      <c r="Y976" s="8"/>
      <c r="Z976" s="8"/>
    </row>
    <row r="977" ht="14.25" customHeight="1">
      <c r="A977" s="8">
        <v>25574.0</v>
      </c>
      <c r="B977" s="8" t="s">
        <v>24</v>
      </c>
      <c r="C977" s="8" t="s">
        <v>2879</v>
      </c>
      <c r="D977" s="8">
        <v>2018.0</v>
      </c>
      <c r="E977" s="8" t="s">
        <v>2880</v>
      </c>
      <c r="F977" s="8" t="s">
        <v>36</v>
      </c>
      <c r="G977" s="8">
        <v>13.0</v>
      </c>
      <c r="H977" s="8">
        <v>1.0</v>
      </c>
      <c r="I977" s="8" t="s">
        <v>33</v>
      </c>
      <c r="J977" s="8" t="s">
        <v>29</v>
      </c>
      <c r="K977" s="8"/>
      <c r="L977" s="8"/>
      <c r="M977" s="8"/>
      <c r="N977" s="8"/>
      <c r="O977" s="8"/>
      <c r="P977" s="8"/>
      <c r="Q977" s="8"/>
      <c r="R977" s="8"/>
      <c r="S977" s="8"/>
      <c r="T977" s="8"/>
      <c r="U977" s="8"/>
      <c r="V977" s="8"/>
      <c r="W977" s="8"/>
      <c r="X977" s="8"/>
      <c r="Y977" s="8"/>
      <c r="Z977" s="8"/>
    </row>
    <row r="978" ht="14.25" customHeight="1">
      <c r="A978" s="8">
        <v>25313.0</v>
      </c>
      <c r="B978" s="8" t="s">
        <v>24</v>
      </c>
      <c r="C978" s="8" t="s">
        <v>2881</v>
      </c>
      <c r="D978" s="8">
        <v>2014.0</v>
      </c>
      <c r="E978" s="8" t="s">
        <v>2882</v>
      </c>
      <c r="F978" s="8" t="s">
        <v>605</v>
      </c>
      <c r="G978" s="8">
        <v>69.0</v>
      </c>
      <c r="H978" s="8" t="s">
        <v>33</v>
      </c>
      <c r="I978" s="8" t="s">
        <v>2883</v>
      </c>
      <c r="J978" s="8" t="s">
        <v>29</v>
      </c>
      <c r="K978" s="8"/>
      <c r="L978" s="8"/>
      <c r="M978" s="8"/>
      <c r="N978" s="8"/>
      <c r="O978" s="8"/>
      <c r="P978" s="8"/>
      <c r="Q978" s="8"/>
      <c r="R978" s="8"/>
      <c r="S978" s="8"/>
      <c r="T978" s="8"/>
      <c r="U978" s="8"/>
      <c r="V978" s="8"/>
      <c r="W978" s="8"/>
      <c r="X978" s="8"/>
      <c r="Y978" s="8"/>
      <c r="Z978" s="8"/>
    </row>
    <row r="979" ht="14.25" customHeight="1">
      <c r="A979" s="8">
        <v>23710.0</v>
      </c>
      <c r="B979" s="8" t="s">
        <v>837</v>
      </c>
      <c r="C979" s="8" t="s">
        <v>2884</v>
      </c>
      <c r="D979" s="8">
        <v>2020.0</v>
      </c>
      <c r="E979" s="8" t="s">
        <v>2885</v>
      </c>
      <c r="F979" s="8" t="s">
        <v>33</v>
      </c>
      <c r="G979" s="8" t="s">
        <v>33</v>
      </c>
      <c r="H979" s="8" t="s">
        <v>33</v>
      </c>
      <c r="I979" s="8" t="s">
        <v>33</v>
      </c>
      <c r="J979" s="8" t="s">
        <v>29</v>
      </c>
      <c r="K979" s="8"/>
      <c r="L979" s="8"/>
      <c r="M979" s="8"/>
      <c r="N979" s="8"/>
      <c r="O979" s="8"/>
      <c r="P979" s="8"/>
      <c r="Q979" s="8"/>
      <c r="R979" s="8"/>
      <c r="S979" s="8"/>
      <c r="T979" s="8"/>
      <c r="U979" s="8"/>
      <c r="V979" s="8"/>
      <c r="W979" s="8"/>
      <c r="X979" s="8"/>
      <c r="Y979" s="8"/>
      <c r="Z979" s="8"/>
    </row>
    <row r="980" ht="14.25" customHeight="1">
      <c r="A980" s="8">
        <v>25892.0</v>
      </c>
      <c r="B980" s="8" t="s">
        <v>24</v>
      </c>
      <c r="C980" s="8" t="s">
        <v>2886</v>
      </c>
      <c r="D980" s="8">
        <v>2017.0</v>
      </c>
      <c r="E980" s="8" t="s">
        <v>2887</v>
      </c>
      <c r="F980" s="8" t="s">
        <v>36</v>
      </c>
      <c r="G980" s="8">
        <v>12.0</v>
      </c>
      <c r="H980" s="8">
        <v>11.0</v>
      </c>
      <c r="I980" s="8" t="s">
        <v>33</v>
      </c>
      <c r="J980" s="8" t="s">
        <v>29</v>
      </c>
      <c r="K980" s="8"/>
      <c r="L980" s="8"/>
      <c r="M980" s="8"/>
      <c r="N980" s="8"/>
      <c r="O980" s="8"/>
      <c r="P980" s="8"/>
      <c r="Q980" s="8"/>
      <c r="R980" s="8"/>
      <c r="S980" s="8"/>
      <c r="T980" s="8"/>
      <c r="U980" s="8"/>
      <c r="V980" s="8"/>
      <c r="W980" s="8"/>
      <c r="X980" s="8"/>
      <c r="Y980" s="8"/>
      <c r="Z980" s="8"/>
    </row>
    <row r="981" ht="14.25" customHeight="1">
      <c r="A981" s="8" t="s">
        <v>2888</v>
      </c>
      <c r="B981" s="8" t="s">
        <v>41</v>
      </c>
      <c r="C981" s="8" t="s">
        <v>2889</v>
      </c>
      <c r="D981" s="8">
        <v>2014.0</v>
      </c>
      <c r="E981" s="8" t="s">
        <v>2890</v>
      </c>
      <c r="F981" s="8" t="s">
        <v>2891</v>
      </c>
      <c r="G981" s="8" t="s">
        <v>33</v>
      </c>
      <c r="H981" s="8" t="s">
        <v>33</v>
      </c>
      <c r="I981" s="8" t="s">
        <v>33</v>
      </c>
      <c r="J981" s="8" t="s">
        <v>320</v>
      </c>
      <c r="K981" s="8"/>
      <c r="L981" s="8"/>
      <c r="M981" s="8"/>
      <c r="N981" s="8"/>
      <c r="O981" s="8"/>
      <c r="P981" s="8"/>
      <c r="Q981" s="8"/>
      <c r="R981" s="8"/>
      <c r="S981" s="8"/>
      <c r="T981" s="8"/>
      <c r="U981" s="8"/>
      <c r="V981" s="8"/>
      <c r="W981" s="8"/>
      <c r="X981" s="8"/>
      <c r="Y981" s="8"/>
      <c r="Z981" s="8"/>
    </row>
    <row r="982" ht="14.25" customHeight="1">
      <c r="A982" s="8">
        <v>25443.0</v>
      </c>
      <c r="B982" s="8" t="s">
        <v>24</v>
      </c>
      <c r="C982" s="8" t="s">
        <v>2892</v>
      </c>
      <c r="D982" s="8">
        <v>2016.0</v>
      </c>
      <c r="E982" s="8" t="s">
        <v>2893</v>
      </c>
      <c r="F982" s="8" t="s">
        <v>1400</v>
      </c>
      <c r="G982" s="8">
        <v>97.0</v>
      </c>
      <c r="H982" s="8">
        <v>5.0</v>
      </c>
      <c r="I982" s="8" t="s">
        <v>2894</v>
      </c>
      <c r="J982" s="8" t="s">
        <v>29</v>
      </c>
      <c r="K982" s="8"/>
      <c r="L982" s="8"/>
      <c r="M982" s="8"/>
      <c r="N982" s="8"/>
      <c r="O982" s="8"/>
      <c r="P982" s="8"/>
      <c r="Q982" s="8"/>
      <c r="R982" s="8"/>
      <c r="S982" s="8"/>
      <c r="T982" s="8"/>
      <c r="U982" s="8"/>
      <c r="V982" s="8"/>
      <c r="W982" s="8"/>
      <c r="X982" s="8"/>
      <c r="Y982" s="8"/>
      <c r="Z982" s="8"/>
    </row>
    <row r="983" ht="14.25" customHeight="1">
      <c r="A983" s="8">
        <v>23073.0</v>
      </c>
      <c r="B983" s="8" t="s">
        <v>24</v>
      </c>
      <c r="C983" s="8" t="s">
        <v>2895</v>
      </c>
      <c r="D983" s="8">
        <v>2014.0</v>
      </c>
      <c r="E983" s="8" t="s">
        <v>2896</v>
      </c>
      <c r="F983" s="8" t="s">
        <v>2897</v>
      </c>
      <c r="G983" s="8">
        <v>24.0</v>
      </c>
      <c r="H983" s="8">
        <v>2.0</v>
      </c>
      <c r="I983" s="8" t="s">
        <v>2898</v>
      </c>
      <c r="J983" s="8" t="s">
        <v>29</v>
      </c>
      <c r="K983" s="8"/>
      <c r="L983" s="8"/>
      <c r="M983" s="8"/>
      <c r="N983" s="8"/>
      <c r="O983" s="8"/>
      <c r="P983" s="8"/>
      <c r="Q983" s="8"/>
      <c r="R983" s="8"/>
      <c r="S983" s="8"/>
      <c r="T983" s="8"/>
      <c r="U983" s="8"/>
      <c r="V983" s="8"/>
      <c r="W983" s="8"/>
      <c r="X983" s="8"/>
      <c r="Y983" s="8"/>
      <c r="Z983" s="8"/>
    </row>
    <row r="984" ht="14.25" customHeight="1">
      <c r="A984" s="8">
        <v>25754.0</v>
      </c>
      <c r="B984" s="8" t="s">
        <v>24</v>
      </c>
      <c r="C984" s="8" t="s">
        <v>2899</v>
      </c>
      <c r="D984" s="8">
        <v>2018.0</v>
      </c>
      <c r="E984" s="8" t="s">
        <v>2900</v>
      </c>
      <c r="F984" s="8" t="s">
        <v>545</v>
      </c>
      <c r="G984" s="8">
        <v>10.0</v>
      </c>
      <c r="H984" s="8">
        <v>7.0</v>
      </c>
      <c r="I984" s="8" t="s">
        <v>33</v>
      </c>
      <c r="J984" s="8" t="s">
        <v>29</v>
      </c>
      <c r="K984" s="8"/>
      <c r="L984" s="8"/>
      <c r="M984" s="8"/>
      <c r="N984" s="8"/>
      <c r="O984" s="8"/>
      <c r="P984" s="8"/>
      <c r="Q984" s="8"/>
      <c r="R984" s="8"/>
      <c r="S984" s="8"/>
      <c r="T984" s="8"/>
      <c r="U984" s="8"/>
      <c r="V984" s="8"/>
      <c r="W984" s="8"/>
      <c r="X984" s="8"/>
      <c r="Y984" s="8"/>
      <c r="Z984" s="8"/>
    </row>
    <row r="985" ht="14.25" customHeight="1">
      <c r="A985" s="8">
        <v>25682.0</v>
      </c>
      <c r="B985" s="8" t="s">
        <v>24</v>
      </c>
      <c r="C985" s="8" t="s">
        <v>2901</v>
      </c>
      <c r="D985" s="8">
        <v>2013.0</v>
      </c>
      <c r="E985" s="8" t="s">
        <v>2902</v>
      </c>
      <c r="F985" s="8" t="s">
        <v>615</v>
      </c>
      <c r="G985" s="8">
        <v>22.0</v>
      </c>
      <c r="H985" s="8">
        <v>4.0</v>
      </c>
      <c r="I985" s="8" t="s">
        <v>2903</v>
      </c>
      <c r="J985" s="8" t="s">
        <v>29</v>
      </c>
      <c r="K985" s="8"/>
      <c r="L985" s="8"/>
      <c r="M985" s="8"/>
      <c r="N985" s="8"/>
      <c r="O985" s="8"/>
      <c r="P985" s="8"/>
      <c r="Q985" s="8"/>
      <c r="R985" s="8"/>
      <c r="S985" s="8"/>
      <c r="T985" s="8"/>
      <c r="U985" s="8"/>
      <c r="V985" s="8"/>
      <c r="W985" s="8"/>
      <c r="X985" s="8"/>
      <c r="Y985" s="8"/>
      <c r="Z985" s="8"/>
    </row>
    <row r="986" ht="14.25" customHeight="1">
      <c r="A986" s="8">
        <v>25674.0</v>
      </c>
      <c r="B986" s="8" t="s">
        <v>24</v>
      </c>
      <c r="C986" s="8" t="s">
        <v>2904</v>
      </c>
      <c r="D986" s="8">
        <v>2010.0</v>
      </c>
      <c r="E986" s="8" t="s">
        <v>2905</v>
      </c>
      <c r="F986" s="8" t="s">
        <v>64</v>
      </c>
      <c r="G986" s="8">
        <v>143.0</v>
      </c>
      <c r="H986" s="8">
        <v>1.0</v>
      </c>
      <c r="I986" s="8" t="s">
        <v>2906</v>
      </c>
      <c r="J986" s="8" t="s">
        <v>29</v>
      </c>
      <c r="K986" s="8"/>
      <c r="L986" s="8"/>
      <c r="M986" s="8"/>
      <c r="N986" s="8"/>
      <c r="O986" s="8"/>
      <c r="P986" s="8"/>
      <c r="Q986" s="8"/>
      <c r="R986" s="8"/>
      <c r="S986" s="8"/>
      <c r="T986" s="8"/>
      <c r="U986" s="8"/>
      <c r="V986" s="8"/>
      <c r="W986" s="8"/>
      <c r="X986" s="8"/>
      <c r="Y986" s="8"/>
      <c r="Z986" s="8"/>
    </row>
    <row r="987" ht="14.25" customHeight="1">
      <c r="A987" s="8">
        <v>23278.0</v>
      </c>
      <c r="B987" s="8" t="s">
        <v>24</v>
      </c>
      <c r="C987" s="8" t="s">
        <v>2907</v>
      </c>
      <c r="D987" s="8">
        <v>2015.0</v>
      </c>
      <c r="E987" s="8" t="s">
        <v>2908</v>
      </c>
      <c r="F987" s="8" t="s">
        <v>2097</v>
      </c>
      <c r="G987" s="8">
        <v>138.0</v>
      </c>
      <c r="H987" s="8" t="s">
        <v>33</v>
      </c>
      <c r="I987" s="8" t="s">
        <v>2909</v>
      </c>
      <c r="J987" s="8" t="s">
        <v>29</v>
      </c>
      <c r="K987" s="8"/>
      <c r="L987" s="8"/>
      <c r="M987" s="8"/>
      <c r="N987" s="8"/>
      <c r="O987" s="8"/>
      <c r="P987" s="8"/>
      <c r="Q987" s="8"/>
      <c r="R987" s="8"/>
      <c r="S987" s="8"/>
      <c r="T987" s="8"/>
      <c r="U987" s="8"/>
      <c r="V987" s="8"/>
      <c r="W987" s="8"/>
      <c r="X987" s="8"/>
      <c r="Y987" s="8"/>
      <c r="Z987" s="8"/>
    </row>
    <row r="988" ht="14.25" customHeight="1">
      <c r="A988" s="8">
        <v>25054.0</v>
      </c>
      <c r="B988" s="8" t="s">
        <v>24</v>
      </c>
      <c r="C988" s="8" t="s">
        <v>2910</v>
      </c>
      <c r="D988" s="8">
        <v>2020.0</v>
      </c>
      <c r="E988" s="8" t="s">
        <v>2911</v>
      </c>
      <c r="F988" s="8" t="s">
        <v>548</v>
      </c>
      <c r="G988" s="8">
        <v>256.0</v>
      </c>
      <c r="H988" s="8" t="s">
        <v>33</v>
      </c>
      <c r="I988" s="8" t="s">
        <v>33</v>
      </c>
      <c r="J988" s="8" t="s">
        <v>29</v>
      </c>
      <c r="K988" s="8"/>
      <c r="L988" s="8"/>
      <c r="M988" s="8"/>
      <c r="N988" s="8"/>
      <c r="O988" s="8"/>
      <c r="P988" s="8"/>
      <c r="Q988" s="8"/>
      <c r="R988" s="8"/>
      <c r="S988" s="8"/>
      <c r="T988" s="8"/>
      <c r="U988" s="8"/>
      <c r="V988" s="8"/>
      <c r="W988" s="8"/>
      <c r="X988" s="8"/>
      <c r="Y988" s="8"/>
      <c r="Z988" s="8"/>
    </row>
    <row r="989" ht="14.25" customHeight="1">
      <c r="A989" s="8">
        <v>23407.0</v>
      </c>
      <c r="B989" s="8" t="s">
        <v>837</v>
      </c>
      <c r="C989" s="8" t="s">
        <v>2912</v>
      </c>
      <c r="D989" s="8">
        <v>2016.0</v>
      </c>
      <c r="E989" s="8" t="s">
        <v>2913</v>
      </c>
      <c r="F989" s="8" t="s">
        <v>2914</v>
      </c>
      <c r="G989" s="8" t="s">
        <v>33</v>
      </c>
      <c r="H989" s="8" t="s">
        <v>33</v>
      </c>
      <c r="I989" s="8" t="s">
        <v>33</v>
      </c>
      <c r="J989" s="8" t="s">
        <v>29</v>
      </c>
      <c r="K989" s="8"/>
      <c r="L989" s="8"/>
      <c r="M989" s="8"/>
      <c r="N989" s="8"/>
      <c r="O989" s="8"/>
      <c r="P989" s="8"/>
      <c r="Q989" s="8"/>
      <c r="R989" s="8"/>
      <c r="S989" s="8"/>
      <c r="T989" s="8"/>
      <c r="U989" s="8"/>
      <c r="V989" s="8"/>
      <c r="W989" s="8"/>
      <c r="X989" s="8"/>
      <c r="Y989" s="8"/>
      <c r="Z989" s="8"/>
    </row>
    <row r="990" ht="14.25" customHeight="1">
      <c r="A990" s="8">
        <v>24849.0</v>
      </c>
      <c r="B990" s="8" t="s">
        <v>24</v>
      </c>
      <c r="C990" s="8" t="s">
        <v>2915</v>
      </c>
      <c r="D990" s="8">
        <v>2012.0</v>
      </c>
      <c r="E990" s="8" t="s">
        <v>2916</v>
      </c>
      <c r="F990" s="8" t="s">
        <v>64</v>
      </c>
      <c r="G990" s="8">
        <v>156.0</v>
      </c>
      <c r="H990" s="8" t="s">
        <v>33</v>
      </c>
      <c r="I990" s="8" t="s">
        <v>2917</v>
      </c>
      <c r="J990" s="8" t="s">
        <v>29</v>
      </c>
      <c r="K990" s="8"/>
      <c r="L990" s="8"/>
      <c r="M990" s="8"/>
      <c r="N990" s="8"/>
      <c r="O990" s="8"/>
      <c r="P990" s="8"/>
      <c r="Q990" s="8"/>
      <c r="R990" s="8"/>
      <c r="S990" s="8"/>
      <c r="T990" s="8"/>
      <c r="U990" s="8"/>
      <c r="V990" s="8"/>
      <c r="W990" s="8"/>
      <c r="X990" s="8"/>
      <c r="Y990" s="8"/>
      <c r="Z990" s="8"/>
    </row>
    <row r="991" ht="14.25" customHeight="1">
      <c r="A991" s="8">
        <v>24265.0</v>
      </c>
      <c r="B991" s="8" t="s">
        <v>24</v>
      </c>
      <c r="C991" s="8" t="s">
        <v>2918</v>
      </c>
      <c r="D991" s="8">
        <v>2018.0</v>
      </c>
      <c r="E991" s="8" t="s">
        <v>2919</v>
      </c>
      <c r="F991" s="8" t="s">
        <v>64</v>
      </c>
      <c r="G991" s="8">
        <v>228.0</v>
      </c>
      <c r="H991" s="8" t="s">
        <v>33</v>
      </c>
      <c r="I991" s="8" t="s">
        <v>2920</v>
      </c>
      <c r="J991" s="8" t="s">
        <v>29</v>
      </c>
      <c r="K991" s="8"/>
      <c r="L991" s="8"/>
      <c r="M991" s="8"/>
      <c r="N991" s="8"/>
      <c r="O991" s="8"/>
      <c r="P991" s="8"/>
      <c r="Q991" s="8"/>
      <c r="R991" s="8"/>
      <c r="S991" s="8"/>
      <c r="T991" s="8"/>
      <c r="U991" s="8"/>
      <c r="V991" s="8"/>
      <c r="W991" s="8"/>
      <c r="X991" s="8"/>
      <c r="Y991" s="8"/>
      <c r="Z991" s="8"/>
    </row>
    <row r="992" ht="14.25" customHeight="1">
      <c r="A992" s="8">
        <v>24274.0</v>
      </c>
      <c r="B992" s="8" t="s">
        <v>24</v>
      </c>
      <c r="C992" s="8" t="s">
        <v>2921</v>
      </c>
      <c r="D992" s="8">
        <v>2015.0</v>
      </c>
      <c r="E992" s="8" t="s">
        <v>2922</v>
      </c>
      <c r="F992" s="8" t="s">
        <v>678</v>
      </c>
      <c r="G992" s="8">
        <v>41.0</v>
      </c>
      <c r="H992" s="8" t="s">
        <v>33</v>
      </c>
      <c r="I992" s="11">
        <v>44896.0</v>
      </c>
      <c r="J992" s="8" t="s">
        <v>29</v>
      </c>
      <c r="K992" s="8"/>
      <c r="L992" s="8"/>
      <c r="M992" s="8"/>
      <c r="N992" s="8"/>
      <c r="O992" s="8"/>
      <c r="P992" s="8"/>
      <c r="Q992" s="8"/>
      <c r="R992" s="8"/>
      <c r="S992" s="8"/>
      <c r="T992" s="8"/>
      <c r="U992" s="8"/>
      <c r="V992" s="8"/>
      <c r="W992" s="8"/>
      <c r="X992" s="8"/>
      <c r="Y992" s="8"/>
      <c r="Z992" s="8"/>
    </row>
    <row r="993" ht="14.25" customHeight="1">
      <c r="A993" s="8">
        <v>23337.0</v>
      </c>
      <c r="B993" s="8" t="s">
        <v>24</v>
      </c>
      <c r="C993" s="8" t="s">
        <v>2923</v>
      </c>
      <c r="D993" s="8">
        <v>2007.0</v>
      </c>
      <c r="E993" s="8" t="s">
        <v>2924</v>
      </c>
      <c r="F993" s="8" t="s">
        <v>64</v>
      </c>
      <c r="G993" s="8">
        <v>136.0</v>
      </c>
      <c r="H993" s="8">
        <v>4.0</v>
      </c>
      <c r="I993" s="8" t="s">
        <v>2925</v>
      </c>
      <c r="J993" s="8" t="s">
        <v>29</v>
      </c>
      <c r="K993" s="8"/>
      <c r="L993" s="8"/>
      <c r="M993" s="8"/>
      <c r="N993" s="8"/>
      <c r="O993" s="8"/>
      <c r="P993" s="8"/>
      <c r="Q993" s="8"/>
      <c r="R993" s="8"/>
      <c r="S993" s="8"/>
      <c r="T993" s="8"/>
      <c r="U993" s="8"/>
      <c r="V993" s="8"/>
      <c r="W993" s="8"/>
      <c r="X993" s="8"/>
      <c r="Y993" s="8"/>
      <c r="Z993" s="8"/>
    </row>
    <row r="994" ht="14.25" customHeight="1">
      <c r="A994" s="8">
        <v>24730.0</v>
      </c>
      <c r="B994" s="8" t="s">
        <v>24</v>
      </c>
      <c r="C994" s="8" t="s">
        <v>2926</v>
      </c>
      <c r="D994" s="8">
        <v>2017.0</v>
      </c>
      <c r="E994" s="8" t="s">
        <v>2927</v>
      </c>
      <c r="F994" s="8" t="s">
        <v>97</v>
      </c>
      <c r="G994" s="8">
        <v>23.0</v>
      </c>
      <c r="H994" s="8">
        <v>11.0</v>
      </c>
      <c r="I994" s="8" t="s">
        <v>2928</v>
      </c>
      <c r="J994" s="8" t="s">
        <v>29</v>
      </c>
      <c r="K994" s="8"/>
      <c r="L994" s="8"/>
      <c r="M994" s="8"/>
      <c r="N994" s="8"/>
      <c r="O994" s="8"/>
      <c r="P994" s="8"/>
      <c r="Q994" s="8"/>
      <c r="R994" s="8"/>
      <c r="S994" s="8"/>
      <c r="T994" s="8"/>
      <c r="U994" s="8"/>
      <c r="V994" s="8"/>
      <c r="W994" s="8"/>
      <c r="X994" s="8"/>
      <c r="Y994" s="8"/>
      <c r="Z994" s="8"/>
    </row>
    <row r="995" ht="14.25" customHeight="1">
      <c r="A995" s="8">
        <v>24465.0</v>
      </c>
      <c r="B995" s="8" t="s">
        <v>24</v>
      </c>
      <c r="C995" s="8" t="s">
        <v>2929</v>
      </c>
      <c r="D995" s="8">
        <v>2010.0</v>
      </c>
      <c r="E995" s="8" t="s">
        <v>2930</v>
      </c>
      <c r="F995" s="8" t="s">
        <v>2159</v>
      </c>
      <c r="G995" s="8">
        <v>420.0</v>
      </c>
      <c r="H995" s="8" t="s">
        <v>33</v>
      </c>
      <c r="I995" s="8" t="s">
        <v>2931</v>
      </c>
      <c r="J995" s="8" t="s">
        <v>29</v>
      </c>
      <c r="K995" s="8"/>
      <c r="L995" s="8"/>
      <c r="M995" s="8"/>
      <c r="N995" s="8"/>
      <c r="O995" s="8"/>
      <c r="P995" s="8"/>
      <c r="Q995" s="8"/>
      <c r="R995" s="8"/>
      <c r="S995" s="8"/>
      <c r="T995" s="8"/>
      <c r="U995" s="8"/>
      <c r="V995" s="8"/>
      <c r="W995" s="8"/>
      <c r="X995" s="8"/>
      <c r="Y995" s="8"/>
      <c r="Z995" s="8"/>
    </row>
    <row r="996" ht="14.25" customHeight="1">
      <c r="A996" s="8">
        <v>25874.0</v>
      </c>
      <c r="B996" s="8" t="s">
        <v>24</v>
      </c>
      <c r="C996" s="8" t="s">
        <v>1087</v>
      </c>
      <c r="D996" s="8">
        <v>2018.0</v>
      </c>
      <c r="E996" s="8" t="s">
        <v>2932</v>
      </c>
      <c r="F996" s="8" t="s">
        <v>97</v>
      </c>
      <c r="G996" s="8">
        <v>24.0</v>
      </c>
      <c r="H996" s="8">
        <v>6.0</v>
      </c>
      <c r="I996" s="8" t="s">
        <v>2933</v>
      </c>
      <c r="J996" s="8" t="s">
        <v>29</v>
      </c>
      <c r="K996" s="8"/>
      <c r="L996" s="8"/>
      <c r="M996" s="8"/>
      <c r="N996" s="8"/>
      <c r="O996" s="8"/>
      <c r="P996" s="8"/>
      <c r="Q996" s="8"/>
      <c r="R996" s="8"/>
      <c r="S996" s="8"/>
      <c r="T996" s="8"/>
      <c r="U996" s="8"/>
      <c r="V996" s="8"/>
      <c r="W996" s="8"/>
      <c r="X996" s="8"/>
      <c r="Y996" s="8"/>
      <c r="Z996" s="8"/>
    </row>
    <row r="997" ht="14.25" customHeight="1">
      <c r="A997" s="8">
        <v>23236.0</v>
      </c>
      <c r="B997" s="8" t="s">
        <v>24</v>
      </c>
      <c r="C997" s="8" t="s">
        <v>2934</v>
      </c>
      <c r="D997" s="8">
        <v>2015.0</v>
      </c>
      <c r="E997" s="8" t="s">
        <v>2935</v>
      </c>
      <c r="F997" s="8" t="s">
        <v>36</v>
      </c>
      <c r="G997" s="8">
        <v>10.0</v>
      </c>
      <c r="H997" s="8">
        <v>4.0</v>
      </c>
      <c r="I997" s="8" t="s">
        <v>33</v>
      </c>
      <c r="J997" s="8" t="s">
        <v>29</v>
      </c>
      <c r="K997" s="8"/>
      <c r="L997" s="8"/>
      <c r="M997" s="8"/>
      <c r="N997" s="8"/>
      <c r="O997" s="8"/>
      <c r="P997" s="8"/>
      <c r="Q997" s="8"/>
      <c r="R997" s="8"/>
      <c r="S997" s="8"/>
      <c r="T997" s="8"/>
      <c r="U997" s="8"/>
      <c r="V997" s="8"/>
      <c r="W997" s="8"/>
      <c r="X997" s="8"/>
      <c r="Y997" s="8"/>
      <c r="Z997" s="8"/>
    </row>
    <row r="998" ht="14.25" customHeight="1">
      <c r="A998" s="8">
        <v>23261.0</v>
      </c>
      <c r="B998" s="8" t="s">
        <v>24</v>
      </c>
      <c r="C998" s="8" t="s">
        <v>2936</v>
      </c>
      <c r="D998" s="8">
        <v>2011.0</v>
      </c>
      <c r="E998" s="8" t="s">
        <v>2937</v>
      </c>
      <c r="F998" s="8" t="s">
        <v>336</v>
      </c>
      <c r="G998" s="8">
        <v>108.0</v>
      </c>
      <c r="H998" s="8">
        <v>24.0</v>
      </c>
      <c r="I998" s="8" t="s">
        <v>2938</v>
      </c>
      <c r="J998" s="8" t="s">
        <v>29</v>
      </c>
      <c r="K998" s="8"/>
      <c r="L998" s="8"/>
      <c r="M998" s="8"/>
      <c r="N998" s="8"/>
      <c r="O998" s="8"/>
      <c r="P998" s="8"/>
      <c r="Q998" s="8"/>
      <c r="R998" s="8"/>
      <c r="S998" s="8"/>
      <c r="T998" s="8"/>
      <c r="U998" s="8"/>
      <c r="V998" s="8"/>
      <c r="W998" s="8"/>
      <c r="X998" s="8"/>
      <c r="Y998" s="8"/>
      <c r="Z998" s="8"/>
    </row>
    <row r="999" ht="14.25" customHeight="1">
      <c r="A999" s="8">
        <v>24268.0</v>
      </c>
      <c r="B999" s="8" t="s">
        <v>24</v>
      </c>
      <c r="C999" s="8" t="s">
        <v>2939</v>
      </c>
      <c r="D999" s="8">
        <v>2019.0</v>
      </c>
      <c r="E999" s="8" t="s">
        <v>2940</v>
      </c>
      <c r="F999" s="8" t="s">
        <v>615</v>
      </c>
      <c r="G999" s="8">
        <v>28.0</v>
      </c>
      <c r="H999" s="8">
        <v>1.0</v>
      </c>
      <c r="I999" s="8" t="s">
        <v>2941</v>
      </c>
      <c r="J999" s="8" t="s">
        <v>29</v>
      </c>
      <c r="K999" s="8"/>
      <c r="L999" s="8"/>
      <c r="M999" s="8"/>
      <c r="N999" s="8"/>
      <c r="O999" s="8"/>
      <c r="P999" s="8"/>
      <c r="Q999" s="8"/>
      <c r="R999" s="8"/>
      <c r="S999" s="8"/>
      <c r="T999" s="8"/>
      <c r="U999" s="8"/>
      <c r="V999" s="8"/>
      <c r="W999" s="8"/>
      <c r="X999" s="8"/>
      <c r="Y999" s="8"/>
      <c r="Z999" s="8"/>
    </row>
    <row r="1000" ht="14.25" customHeight="1">
      <c r="A1000" s="8">
        <v>25686.0</v>
      </c>
      <c r="B1000" s="8" t="s">
        <v>24</v>
      </c>
      <c r="C1000" s="8" t="s">
        <v>1866</v>
      </c>
      <c r="D1000" s="8">
        <v>2018.0</v>
      </c>
      <c r="E1000" s="8" t="s">
        <v>2942</v>
      </c>
      <c r="F1000" s="8" t="s">
        <v>60</v>
      </c>
      <c r="G1000" s="8">
        <v>32.0</v>
      </c>
      <c r="H1000" s="8">
        <v>6.0</v>
      </c>
      <c r="I1000" s="8" t="s">
        <v>2943</v>
      </c>
      <c r="J1000" s="8" t="s">
        <v>29</v>
      </c>
      <c r="K1000" s="8"/>
      <c r="L1000" s="8"/>
      <c r="M1000" s="8"/>
      <c r="N1000" s="8"/>
      <c r="O1000" s="8"/>
      <c r="P1000" s="8"/>
      <c r="Q1000" s="8"/>
      <c r="R1000" s="8"/>
      <c r="S1000" s="8"/>
      <c r="T1000" s="8"/>
      <c r="U1000" s="8"/>
      <c r="V1000" s="8"/>
      <c r="W1000" s="8"/>
      <c r="X1000" s="8"/>
      <c r="Y1000" s="8"/>
      <c r="Z1000" s="8"/>
    </row>
    <row r="1001" ht="14.25" customHeight="1">
      <c r="A1001" s="8">
        <v>23350.0</v>
      </c>
      <c r="B1001" s="8" t="s">
        <v>24</v>
      </c>
      <c r="C1001" s="8" t="s">
        <v>2944</v>
      </c>
      <c r="D1001" s="8">
        <v>2015.0</v>
      </c>
      <c r="E1001" s="8" t="s">
        <v>2945</v>
      </c>
      <c r="F1001" s="8" t="s">
        <v>2946</v>
      </c>
      <c r="G1001" s="8">
        <v>57.0</v>
      </c>
      <c r="H1001" s="8">
        <v>1.0</v>
      </c>
      <c r="I1001" s="8">
        <v>9.0</v>
      </c>
      <c r="J1001" s="8" t="s">
        <v>29</v>
      </c>
      <c r="K1001" s="8"/>
      <c r="L1001" s="8"/>
      <c r="M1001" s="8"/>
      <c r="N1001" s="8"/>
      <c r="O1001" s="8"/>
      <c r="P1001" s="8"/>
      <c r="Q1001" s="8"/>
      <c r="R1001" s="8"/>
      <c r="S1001" s="8"/>
      <c r="T1001" s="8"/>
      <c r="U1001" s="8"/>
      <c r="V1001" s="8"/>
      <c r="W1001" s="8"/>
      <c r="X1001" s="8"/>
      <c r="Y1001" s="8"/>
      <c r="Z1001" s="8"/>
    </row>
    <row r="1002" ht="14.25" customHeight="1">
      <c r="A1002" s="8">
        <v>24253.0</v>
      </c>
      <c r="B1002" s="8" t="s">
        <v>24</v>
      </c>
      <c r="C1002" s="8" t="s">
        <v>2947</v>
      </c>
      <c r="D1002" s="8">
        <v>2019.0</v>
      </c>
      <c r="E1002" s="8" t="s">
        <v>2948</v>
      </c>
      <c r="F1002" s="8" t="s">
        <v>60</v>
      </c>
      <c r="G1002" s="8">
        <v>33.0</v>
      </c>
      <c r="H1002" s="8">
        <v>4.0</v>
      </c>
      <c r="I1002" s="8" t="s">
        <v>2949</v>
      </c>
      <c r="J1002" s="8" t="s">
        <v>29</v>
      </c>
      <c r="K1002" s="8"/>
      <c r="L1002" s="8"/>
      <c r="M1002" s="8"/>
      <c r="N1002" s="8"/>
      <c r="O1002" s="8"/>
      <c r="P1002" s="8"/>
      <c r="Q1002" s="8"/>
      <c r="R1002" s="8"/>
      <c r="S1002" s="8"/>
      <c r="T1002" s="8"/>
      <c r="U1002" s="8"/>
      <c r="V1002" s="8"/>
      <c r="W1002" s="8"/>
      <c r="X1002" s="8"/>
      <c r="Y1002" s="8"/>
      <c r="Z1002" s="8"/>
    </row>
    <row r="1003" ht="14.25" customHeight="1">
      <c r="A1003" s="8">
        <v>25067.0</v>
      </c>
      <c r="B1003" s="8" t="s">
        <v>24</v>
      </c>
      <c r="C1003" s="8" t="s">
        <v>2950</v>
      </c>
      <c r="D1003" s="8">
        <v>2012.0</v>
      </c>
      <c r="E1003" s="8" t="s">
        <v>2951</v>
      </c>
      <c r="F1003" s="8" t="s">
        <v>145</v>
      </c>
      <c r="G1003" s="8">
        <v>19.0</v>
      </c>
      <c r="H1003" s="8" t="s">
        <v>33</v>
      </c>
      <c r="I1003" s="8" t="s">
        <v>2952</v>
      </c>
      <c r="J1003" s="8" t="s">
        <v>29</v>
      </c>
      <c r="K1003" s="8"/>
      <c r="L1003" s="8"/>
      <c r="M1003" s="8"/>
      <c r="N1003" s="8"/>
      <c r="O1003" s="8"/>
      <c r="P1003" s="8"/>
      <c r="Q1003" s="8"/>
      <c r="R1003" s="8"/>
      <c r="S1003" s="8"/>
      <c r="T1003" s="8"/>
      <c r="U1003" s="8"/>
      <c r="V1003" s="8"/>
      <c r="W1003" s="8"/>
      <c r="X1003" s="8"/>
      <c r="Y1003" s="8"/>
      <c r="Z1003" s="8"/>
    </row>
    <row r="1004" ht="14.25" customHeight="1">
      <c r="A1004" s="8">
        <v>24788.0</v>
      </c>
      <c r="B1004" s="8" t="s">
        <v>24</v>
      </c>
      <c r="C1004" s="8" t="s">
        <v>2953</v>
      </c>
      <c r="D1004" s="8">
        <v>2016.0</v>
      </c>
      <c r="E1004" s="8" t="s">
        <v>2954</v>
      </c>
      <c r="F1004" s="8" t="s">
        <v>33</v>
      </c>
      <c r="G1004" s="8">
        <v>1.0</v>
      </c>
      <c r="H1004" s="8">
        <v>75.0</v>
      </c>
      <c r="I1004" s="8" t="s">
        <v>2955</v>
      </c>
      <c r="J1004" s="8" t="s">
        <v>29</v>
      </c>
      <c r="K1004" s="8"/>
      <c r="L1004" s="8"/>
      <c r="M1004" s="8"/>
      <c r="N1004" s="8"/>
      <c r="O1004" s="8"/>
      <c r="P1004" s="8"/>
      <c r="Q1004" s="8"/>
      <c r="R1004" s="8"/>
      <c r="S1004" s="8"/>
      <c r="T1004" s="8"/>
      <c r="U1004" s="8"/>
      <c r="V1004" s="8"/>
      <c r="W1004" s="8"/>
      <c r="X1004" s="8"/>
      <c r="Y1004" s="8"/>
      <c r="Z1004" s="8"/>
    </row>
    <row r="1005" ht="14.25" customHeight="1">
      <c r="A1005" s="8">
        <v>24295.0</v>
      </c>
      <c r="B1005" s="8" t="s">
        <v>24</v>
      </c>
      <c r="C1005" s="8" t="s">
        <v>2956</v>
      </c>
      <c r="D1005" s="8">
        <v>2020.0</v>
      </c>
      <c r="E1005" s="8" t="s">
        <v>2957</v>
      </c>
      <c r="F1005" s="8" t="s">
        <v>2654</v>
      </c>
      <c r="G1005" s="8">
        <v>2.0</v>
      </c>
      <c r="H1005" s="8">
        <v>5.0</v>
      </c>
      <c r="I1005" s="8" t="s">
        <v>33</v>
      </c>
      <c r="J1005" s="8" t="s">
        <v>29</v>
      </c>
      <c r="K1005" s="8"/>
      <c r="L1005" s="8"/>
      <c r="M1005" s="8"/>
      <c r="N1005" s="8"/>
      <c r="O1005" s="8"/>
      <c r="P1005" s="8"/>
      <c r="Q1005" s="8"/>
      <c r="R1005" s="8"/>
      <c r="S1005" s="8"/>
      <c r="T1005" s="8"/>
      <c r="U1005" s="8"/>
      <c r="V1005" s="8"/>
      <c r="W1005" s="8"/>
      <c r="X1005" s="8"/>
      <c r="Y1005" s="8"/>
      <c r="Z1005" s="8"/>
    </row>
    <row r="1006" ht="14.25" customHeight="1">
      <c r="A1006" s="8">
        <v>24314.0</v>
      </c>
      <c r="B1006" s="8" t="s">
        <v>576</v>
      </c>
      <c r="C1006" s="8" t="s">
        <v>2958</v>
      </c>
      <c r="D1006" s="8">
        <v>2016.0</v>
      </c>
      <c r="E1006" s="8" t="s">
        <v>2959</v>
      </c>
      <c r="F1006" s="8" t="s">
        <v>462</v>
      </c>
      <c r="G1006" s="8" t="s">
        <v>33</v>
      </c>
      <c r="H1006" s="8" t="s">
        <v>33</v>
      </c>
      <c r="I1006" s="8">
        <v>175.0</v>
      </c>
      <c r="J1006" s="8" t="s">
        <v>29</v>
      </c>
      <c r="K1006" s="8"/>
      <c r="L1006" s="8"/>
      <c r="M1006" s="8"/>
      <c r="N1006" s="8"/>
      <c r="O1006" s="8"/>
      <c r="P1006" s="8"/>
      <c r="Q1006" s="8"/>
      <c r="R1006" s="8"/>
      <c r="S1006" s="8"/>
      <c r="T1006" s="8"/>
      <c r="U1006" s="8"/>
      <c r="V1006" s="8"/>
      <c r="W1006" s="8"/>
      <c r="X1006" s="8"/>
      <c r="Y1006" s="8"/>
      <c r="Z1006" s="8"/>
    </row>
    <row r="1007" ht="14.25" customHeight="1">
      <c r="A1007" s="8">
        <v>25507.0</v>
      </c>
      <c r="B1007" s="8" t="s">
        <v>24</v>
      </c>
      <c r="C1007" s="8" t="s">
        <v>2960</v>
      </c>
      <c r="D1007" s="8">
        <v>2016.0</v>
      </c>
      <c r="E1007" s="8" t="s">
        <v>2961</v>
      </c>
      <c r="F1007" s="8" t="s">
        <v>56</v>
      </c>
      <c r="G1007" s="8">
        <v>53.0</v>
      </c>
      <c r="H1007" s="8">
        <v>4.0</v>
      </c>
      <c r="I1007" s="8" t="s">
        <v>2962</v>
      </c>
      <c r="J1007" s="8" t="s">
        <v>29</v>
      </c>
      <c r="K1007" s="8"/>
      <c r="L1007" s="8"/>
      <c r="M1007" s="8"/>
      <c r="N1007" s="8"/>
      <c r="O1007" s="8"/>
      <c r="P1007" s="8"/>
      <c r="Q1007" s="8"/>
      <c r="R1007" s="8"/>
      <c r="S1007" s="8"/>
      <c r="T1007" s="8"/>
      <c r="U1007" s="8"/>
      <c r="V1007" s="8"/>
      <c r="W1007" s="8"/>
      <c r="X1007" s="8"/>
      <c r="Y1007" s="8"/>
      <c r="Z1007" s="8"/>
    </row>
    <row r="1008" ht="14.25" customHeight="1">
      <c r="A1008" s="8">
        <v>24628.0</v>
      </c>
      <c r="B1008" s="8" t="s">
        <v>24</v>
      </c>
      <c r="C1008" s="8" t="s">
        <v>2963</v>
      </c>
      <c r="D1008" s="8">
        <v>2004.0</v>
      </c>
      <c r="E1008" s="8" t="s">
        <v>2964</v>
      </c>
      <c r="F1008" s="8" t="s">
        <v>138</v>
      </c>
      <c r="G1008" s="8">
        <v>23.0</v>
      </c>
      <c r="H1008" s="8">
        <v>3.0</v>
      </c>
      <c r="I1008" s="8" t="s">
        <v>2965</v>
      </c>
      <c r="J1008" s="8" t="s">
        <v>29</v>
      </c>
      <c r="K1008" s="8"/>
      <c r="L1008" s="8"/>
      <c r="M1008" s="8"/>
      <c r="N1008" s="8"/>
      <c r="O1008" s="8"/>
      <c r="P1008" s="8"/>
      <c r="Q1008" s="8"/>
      <c r="R1008" s="8"/>
      <c r="S1008" s="8"/>
      <c r="T1008" s="8"/>
      <c r="U1008" s="8"/>
      <c r="V1008" s="8"/>
      <c r="W1008" s="8"/>
      <c r="X1008" s="8"/>
      <c r="Y1008" s="8"/>
      <c r="Z1008" s="8"/>
    </row>
    <row r="1009" ht="14.25" customHeight="1">
      <c r="A1009" s="8">
        <v>25230.0</v>
      </c>
      <c r="B1009" s="8" t="s">
        <v>24</v>
      </c>
      <c r="C1009" s="8" t="s">
        <v>513</v>
      </c>
      <c r="D1009" s="8">
        <v>2020.0</v>
      </c>
      <c r="E1009" s="8" t="s">
        <v>2966</v>
      </c>
      <c r="F1009" s="8" t="s">
        <v>2967</v>
      </c>
      <c r="G1009" s="8">
        <v>22.0</v>
      </c>
      <c r="H1009" s="8">
        <v>2.0</v>
      </c>
      <c r="I1009" s="8" t="s">
        <v>2968</v>
      </c>
      <c r="J1009" s="8" t="s">
        <v>29</v>
      </c>
      <c r="K1009" s="8"/>
      <c r="L1009" s="8"/>
      <c r="M1009" s="8"/>
      <c r="N1009" s="8"/>
      <c r="O1009" s="8"/>
      <c r="P1009" s="8"/>
      <c r="Q1009" s="8"/>
      <c r="R1009" s="8"/>
      <c r="S1009" s="8"/>
      <c r="T1009" s="8"/>
      <c r="U1009" s="8"/>
      <c r="V1009" s="8"/>
      <c r="W1009" s="8"/>
      <c r="X1009" s="8"/>
      <c r="Y1009" s="8"/>
      <c r="Z1009" s="8"/>
    </row>
    <row r="1010" ht="14.25" customHeight="1">
      <c r="A1010" s="8">
        <v>24935.0</v>
      </c>
      <c r="B1010" s="8" t="s">
        <v>24</v>
      </c>
      <c r="C1010" s="8" t="s">
        <v>2969</v>
      </c>
      <c r="D1010" s="8">
        <v>2020.0</v>
      </c>
      <c r="E1010" s="8" t="s">
        <v>2970</v>
      </c>
      <c r="F1010" s="8" t="s">
        <v>602</v>
      </c>
      <c r="G1010" s="8">
        <v>47.0</v>
      </c>
      <c r="H1010" s="8">
        <v>7.0</v>
      </c>
      <c r="I1010" s="8" t="s">
        <v>2971</v>
      </c>
      <c r="J1010" s="8" t="s">
        <v>29</v>
      </c>
      <c r="K1010" s="8"/>
      <c r="L1010" s="8"/>
      <c r="M1010" s="8"/>
      <c r="N1010" s="8"/>
      <c r="O1010" s="8"/>
      <c r="P1010" s="8"/>
      <c r="Q1010" s="8"/>
      <c r="R1010" s="8"/>
      <c r="S1010" s="8"/>
      <c r="T1010" s="8"/>
      <c r="U1010" s="8"/>
      <c r="V1010" s="8"/>
      <c r="W1010" s="8"/>
      <c r="X1010" s="8"/>
      <c r="Y1010" s="8"/>
      <c r="Z1010" s="8"/>
    </row>
    <row r="1011" ht="14.25" customHeight="1">
      <c r="A1011" s="8">
        <v>23906.0</v>
      </c>
      <c r="B1011" s="8" t="s">
        <v>24</v>
      </c>
      <c r="C1011" s="8" t="s">
        <v>2972</v>
      </c>
      <c r="D1011" s="8">
        <v>2017.0</v>
      </c>
      <c r="E1011" s="8" t="s">
        <v>2973</v>
      </c>
      <c r="F1011" s="8" t="s">
        <v>256</v>
      </c>
      <c r="G1011" s="8">
        <v>143.0</v>
      </c>
      <c r="H1011" s="8" t="s">
        <v>33</v>
      </c>
      <c r="I1011" s="8" t="s">
        <v>2974</v>
      </c>
      <c r="J1011" s="8" t="s">
        <v>29</v>
      </c>
      <c r="K1011" s="8"/>
      <c r="L1011" s="8"/>
      <c r="M1011" s="8"/>
      <c r="N1011" s="8"/>
      <c r="O1011" s="8"/>
      <c r="P1011" s="8"/>
      <c r="Q1011" s="8"/>
      <c r="R1011" s="8"/>
      <c r="S1011" s="8"/>
      <c r="T1011" s="8"/>
      <c r="U1011" s="8"/>
      <c r="V1011" s="8"/>
      <c r="W1011" s="8"/>
      <c r="X1011" s="8"/>
      <c r="Y1011" s="8"/>
      <c r="Z1011" s="8"/>
    </row>
    <row r="1012" ht="14.25" customHeight="1">
      <c r="A1012" s="8">
        <v>24841.0</v>
      </c>
      <c r="B1012" s="8" t="s">
        <v>24</v>
      </c>
      <c r="C1012" s="8" t="s">
        <v>2975</v>
      </c>
      <c r="D1012" s="8">
        <v>2017.0</v>
      </c>
      <c r="E1012" s="8" t="s">
        <v>2976</v>
      </c>
      <c r="F1012" s="8" t="s">
        <v>145</v>
      </c>
      <c r="G1012" s="8">
        <v>83.0</v>
      </c>
      <c r="H1012" s="8" t="s">
        <v>33</v>
      </c>
      <c r="I1012" s="8" t="s">
        <v>2977</v>
      </c>
      <c r="J1012" s="8" t="s">
        <v>29</v>
      </c>
      <c r="K1012" s="8"/>
      <c r="L1012" s="8"/>
      <c r="M1012" s="8"/>
      <c r="N1012" s="8"/>
      <c r="O1012" s="8"/>
      <c r="P1012" s="8"/>
      <c r="Q1012" s="8"/>
      <c r="R1012" s="8"/>
      <c r="S1012" s="8"/>
      <c r="T1012" s="8"/>
      <c r="U1012" s="8"/>
      <c r="V1012" s="8"/>
      <c r="W1012" s="8"/>
      <c r="X1012" s="8"/>
      <c r="Y1012" s="8"/>
      <c r="Z1012" s="8"/>
    </row>
    <row r="1013" ht="14.25" customHeight="1">
      <c r="A1013" s="8">
        <v>24101.0</v>
      </c>
      <c r="B1013" s="8" t="s">
        <v>24</v>
      </c>
      <c r="C1013" s="8" t="s">
        <v>2978</v>
      </c>
      <c r="D1013" s="8">
        <v>2017.0</v>
      </c>
      <c r="E1013" s="8" t="s">
        <v>2979</v>
      </c>
      <c r="F1013" s="8" t="s">
        <v>2980</v>
      </c>
      <c r="G1013" s="8">
        <v>20.0</v>
      </c>
      <c r="H1013" s="8">
        <v>4.0</v>
      </c>
      <c r="I1013" s="8" t="s">
        <v>2981</v>
      </c>
      <c r="J1013" s="8" t="s">
        <v>29</v>
      </c>
      <c r="K1013" s="8"/>
      <c r="L1013" s="8"/>
      <c r="M1013" s="8"/>
      <c r="N1013" s="8"/>
      <c r="O1013" s="8"/>
      <c r="P1013" s="8"/>
      <c r="Q1013" s="8"/>
      <c r="R1013" s="8"/>
      <c r="S1013" s="8"/>
      <c r="T1013" s="8"/>
      <c r="U1013" s="8"/>
      <c r="V1013" s="8"/>
      <c r="W1013" s="8"/>
      <c r="X1013" s="8"/>
      <c r="Y1013" s="8"/>
      <c r="Z1013" s="8"/>
    </row>
    <row r="1014" ht="14.25" customHeight="1">
      <c r="A1014" s="8">
        <v>25986.0</v>
      </c>
      <c r="B1014" s="8" t="s">
        <v>24</v>
      </c>
      <c r="C1014" s="8" t="s">
        <v>2982</v>
      </c>
      <c r="D1014" s="8">
        <v>2018.0</v>
      </c>
      <c r="E1014" s="8" t="s">
        <v>2983</v>
      </c>
      <c r="F1014" s="8" t="s">
        <v>60</v>
      </c>
      <c r="G1014" s="8">
        <v>32.0</v>
      </c>
      <c r="H1014" s="8">
        <v>1.0</v>
      </c>
      <c r="I1014" s="8" t="s">
        <v>2984</v>
      </c>
      <c r="J1014" s="8" t="s">
        <v>29</v>
      </c>
      <c r="K1014" s="8"/>
      <c r="L1014" s="8"/>
      <c r="M1014" s="8"/>
      <c r="N1014" s="8"/>
      <c r="O1014" s="8"/>
      <c r="P1014" s="8"/>
      <c r="Q1014" s="8"/>
      <c r="R1014" s="8"/>
      <c r="S1014" s="8"/>
      <c r="T1014" s="8"/>
      <c r="U1014" s="8"/>
      <c r="V1014" s="8"/>
      <c r="W1014" s="8"/>
      <c r="X1014" s="8"/>
      <c r="Y1014" s="8"/>
      <c r="Z1014" s="8"/>
    </row>
    <row r="1015" ht="14.25" customHeight="1">
      <c r="A1015" s="8">
        <v>24122.0</v>
      </c>
      <c r="B1015" s="8" t="s">
        <v>24</v>
      </c>
      <c r="C1015" s="8" t="s">
        <v>2985</v>
      </c>
      <c r="D1015" s="8">
        <v>2010.0</v>
      </c>
      <c r="E1015" s="8" t="s">
        <v>2986</v>
      </c>
      <c r="F1015" s="8" t="s">
        <v>2987</v>
      </c>
      <c r="G1015" s="8">
        <v>84.0</v>
      </c>
      <c r="H1015" s="8">
        <v>2.0</v>
      </c>
      <c r="I1015" s="8" t="s">
        <v>2988</v>
      </c>
      <c r="J1015" s="8" t="s">
        <v>29</v>
      </c>
      <c r="K1015" s="8"/>
      <c r="L1015" s="8"/>
      <c r="M1015" s="8"/>
      <c r="N1015" s="8"/>
      <c r="O1015" s="8"/>
      <c r="P1015" s="8"/>
      <c r="Q1015" s="8"/>
      <c r="R1015" s="8"/>
      <c r="S1015" s="8"/>
      <c r="T1015" s="8"/>
      <c r="U1015" s="8"/>
      <c r="V1015" s="8"/>
      <c r="W1015" s="8"/>
      <c r="X1015" s="8"/>
      <c r="Y1015" s="8"/>
      <c r="Z1015" s="8"/>
    </row>
    <row r="1016" ht="14.25" customHeight="1">
      <c r="A1016" s="8">
        <v>24597.0</v>
      </c>
      <c r="B1016" s="8" t="s">
        <v>24</v>
      </c>
      <c r="C1016" s="8" t="s">
        <v>2989</v>
      </c>
      <c r="D1016" s="8">
        <v>2017.0</v>
      </c>
      <c r="E1016" s="8" t="s">
        <v>2990</v>
      </c>
      <c r="F1016" s="8" t="s">
        <v>242</v>
      </c>
      <c r="G1016" s="8">
        <v>19.0</v>
      </c>
      <c r="H1016" s="8">
        <v>5.0</v>
      </c>
      <c r="I1016" s="8" t="s">
        <v>2991</v>
      </c>
      <c r="J1016" s="8" t="s">
        <v>29</v>
      </c>
      <c r="K1016" s="8"/>
      <c r="L1016" s="8"/>
      <c r="M1016" s="8"/>
      <c r="N1016" s="8"/>
      <c r="O1016" s="8"/>
      <c r="P1016" s="8"/>
      <c r="Q1016" s="8"/>
      <c r="R1016" s="8"/>
      <c r="S1016" s="8"/>
      <c r="T1016" s="8"/>
      <c r="U1016" s="8"/>
      <c r="V1016" s="8"/>
      <c r="W1016" s="8"/>
      <c r="X1016" s="8"/>
      <c r="Y1016" s="8"/>
      <c r="Z1016" s="8"/>
    </row>
    <row r="1017" ht="14.25" customHeight="1">
      <c r="A1017" s="8">
        <v>23773.0</v>
      </c>
      <c r="B1017" s="8" t="s">
        <v>24</v>
      </c>
      <c r="C1017" s="8" t="s">
        <v>2992</v>
      </c>
      <c r="D1017" s="8">
        <v>2020.0</v>
      </c>
      <c r="E1017" s="8" t="s">
        <v>2993</v>
      </c>
      <c r="F1017" s="8" t="s">
        <v>1419</v>
      </c>
      <c r="G1017" s="8">
        <v>10.0</v>
      </c>
      <c r="H1017" s="8">
        <v>14.0</v>
      </c>
      <c r="I1017" s="8" t="s">
        <v>2994</v>
      </c>
      <c r="J1017" s="8" t="s">
        <v>29</v>
      </c>
      <c r="K1017" s="8"/>
      <c r="L1017" s="8"/>
      <c r="M1017" s="8"/>
      <c r="N1017" s="8"/>
      <c r="O1017" s="8"/>
      <c r="P1017" s="8"/>
      <c r="Q1017" s="8"/>
      <c r="R1017" s="8"/>
      <c r="S1017" s="8"/>
      <c r="T1017" s="8"/>
      <c r="U1017" s="8"/>
      <c r="V1017" s="8"/>
      <c r="W1017" s="8"/>
      <c r="X1017" s="8"/>
      <c r="Y1017" s="8"/>
      <c r="Z1017" s="8"/>
    </row>
    <row r="1018" ht="14.25" customHeight="1">
      <c r="A1018" s="8">
        <v>26127.0</v>
      </c>
      <c r="B1018" s="8" t="s">
        <v>24</v>
      </c>
      <c r="C1018" s="8" t="s">
        <v>2995</v>
      </c>
      <c r="D1018" s="8">
        <v>2019.0</v>
      </c>
      <c r="E1018" s="8" t="s">
        <v>2996</v>
      </c>
      <c r="F1018" s="8" t="s">
        <v>60</v>
      </c>
      <c r="G1018" s="8">
        <v>33.0</v>
      </c>
      <c r="H1018" s="8">
        <v>6.0</v>
      </c>
      <c r="I1018" s="8" t="s">
        <v>2997</v>
      </c>
      <c r="J1018" s="8" t="s">
        <v>29</v>
      </c>
      <c r="K1018" s="8"/>
      <c r="L1018" s="8"/>
      <c r="M1018" s="8"/>
      <c r="N1018" s="8"/>
      <c r="O1018" s="8"/>
      <c r="P1018" s="8"/>
      <c r="Q1018" s="8"/>
      <c r="R1018" s="8"/>
      <c r="S1018" s="8"/>
      <c r="T1018" s="8"/>
      <c r="U1018" s="8"/>
      <c r="V1018" s="8"/>
      <c r="W1018" s="8"/>
      <c r="X1018" s="8"/>
      <c r="Y1018" s="8"/>
      <c r="Z1018" s="8"/>
    </row>
    <row r="1019" ht="14.25" customHeight="1">
      <c r="A1019" s="8">
        <v>25813.0</v>
      </c>
      <c r="B1019" s="8" t="s">
        <v>24</v>
      </c>
      <c r="C1019" s="8" t="s">
        <v>2998</v>
      </c>
      <c r="D1019" s="8">
        <v>2019.0</v>
      </c>
      <c r="E1019" s="8" t="s">
        <v>2999</v>
      </c>
      <c r="F1019" s="8" t="s">
        <v>1410</v>
      </c>
      <c r="G1019" s="8">
        <v>6.0</v>
      </c>
      <c r="H1019" s="8" t="s">
        <v>33</v>
      </c>
      <c r="I1019" s="8" t="s">
        <v>33</v>
      </c>
      <c r="J1019" s="8" t="s">
        <v>29</v>
      </c>
      <c r="K1019" s="8"/>
      <c r="L1019" s="8"/>
      <c r="M1019" s="8"/>
      <c r="N1019" s="8"/>
      <c r="O1019" s="8"/>
      <c r="P1019" s="8"/>
      <c r="Q1019" s="8"/>
      <c r="R1019" s="8"/>
      <c r="S1019" s="8"/>
      <c r="T1019" s="8"/>
      <c r="U1019" s="8"/>
      <c r="V1019" s="8"/>
      <c r="W1019" s="8"/>
      <c r="X1019" s="8"/>
      <c r="Y1019" s="8"/>
      <c r="Z1019" s="8"/>
    </row>
    <row r="1020" ht="14.25" customHeight="1">
      <c r="A1020" s="8">
        <v>23117.0</v>
      </c>
      <c r="B1020" s="8" t="s">
        <v>24</v>
      </c>
      <c r="C1020" s="8" t="s">
        <v>3000</v>
      </c>
      <c r="D1020" s="8">
        <v>2019.0</v>
      </c>
      <c r="E1020" s="8" t="s">
        <v>3001</v>
      </c>
      <c r="F1020" s="8" t="s">
        <v>3002</v>
      </c>
      <c r="G1020" s="8">
        <v>7.0</v>
      </c>
      <c r="H1020" s="8">
        <v>4.0</v>
      </c>
      <c r="I1020" s="8" t="s">
        <v>3003</v>
      </c>
      <c r="J1020" s="8" t="s">
        <v>29</v>
      </c>
      <c r="K1020" s="8"/>
      <c r="L1020" s="8"/>
      <c r="M1020" s="8"/>
      <c r="N1020" s="8"/>
      <c r="O1020" s="8"/>
      <c r="P1020" s="8"/>
      <c r="Q1020" s="8"/>
      <c r="R1020" s="8"/>
      <c r="S1020" s="8"/>
      <c r="T1020" s="8"/>
      <c r="U1020" s="8"/>
      <c r="V1020" s="8"/>
      <c r="W1020" s="8"/>
      <c r="X1020" s="8"/>
      <c r="Y1020" s="8"/>
      <c r="Z1020" s="8"/>
    </row>
    <row r="1021" ht="14.25" customHeight="1">
      <c r="A1021" s="8">
        <v>24902.0</v>
      </c>
      <c r="B1021" s="8" t="s">
        <v>321</v>
      </c>
      <c r="C1021" s="8" t="s">
        <v>3004</v>
      </c>
      <c r="D1021" s="8">
        <v>2007.0</v>
      </c>
      <c r="E1021" s="8" t="s">
        <v>3005</v>
      </c>
      <c r="F1021" s="8" t="s">
        <v>33</v>
      </c>
      <c r="G1021" s="8" t="s">
        <v>33</v>
      </c>
      <c r="H1021" s="8">
        <v>1.0</v>
      </c>
      <c r="I1021" s="8" t="s">
        <v>3006</v>
      </c>
      <c r="J1021" s="8" t="s">
        <v>29</v>
      </c>
      <c r="K1021" s="8"/>
      <c r="L1021" s="8"/>
      <c r="M1021" s="8"/>
      <c r="N1021" s="8"/>
      <c r="O1021" s="8"/>
      <c r="P1021" s="8"/>
      <c r="Q1021" s="8"/>
      <c r="R1021" s="8"/>
      <c r="S1021" s="8"/>
      <c r="T1021" s="8"/>
      <c r="U1021" s="8"/>
      <c r="V1021" s="8"/>
      <c r="W1021" s="8"/>
      <c r="X1021" s="8"/>
      <c r="Y1021" s="8"/>
      <c r="Z1021" s="8"/>
    </row>
    <row r="1022" ht="14.25" customHeight="1">
      <c r="A1022" s="8">
        <v>25913.0</v>
      </c>
      <c r="B1022" s="8" t="s">
        <v>24</v>
      </c>
      <c r="C1022" s="8" t="s">
        <v>3007</v>
      </c>
      <c r="D1022" s="8">
        <v>2020.0</v>
      </c>
      <c r="E1022" s="8" t="s">
        <v>3008</v>
      </c>
      <c r="F1022" s="8" t="s">
        <v>36</v>
      </c>
      <c r="G1022" s="8">
        <v>15.0</v>
      </c>
      <c r="H1022" s="11">
        <v>44781.0</v>
      </c>
      <c r="I1022" s="8" t="s">
        <v>33</v>
      </c>
      <c r="J1022" s="8" t="s">
        <v>29</v>
      </c>
      <c r="K1022" s="8"/>
      <c r="L1022" s="8"/>
      <c r="M1022" s="8"/>
      <c r="N1022" s="8"/>
      <c r="O1022" s="8"/>
      <c r="P1022" s="8"/>
      <c r="Q1022" s="8"/>
      <c r="R1022" s="8"/>
      <c r="S1022" s="8"/>
      <c r="T1022" s="8"/>
      <c r="U1022" s="8"/>
      <c r="V1022" s="8"/>
      <c r="W1022" s="8"/>
      <c r="X1022" s="8"/>
      <c r="Y1022" s="8"/>
      <c r="Z1022" s="8"/>
    </row>
    <row r="1023" ht="14.25" customHeight="1">
      <c r="A1023" s="8">
        <v>23613.0</v>
      </c>
      <c r="B1023" s="8" t="s">
        <v>24</v>
      </c>
      <c r="C1023" s="8" t="s">
        <v>3009</v>
      </c>
      <c r="D1023" s="8">
        <v>2012.0</v>
      </c>
      <c r="E1023" s="8" t="s">
        <v>3010</v>
      </c>
      <c r="F1023" s="8" t="s">
        <v>105</v>
      </c>
      <c r="G1023" s="8">
        <v>1111.0</v>
      </c>
      <c r="H1023" s="8" t="s">
        <v>33</v>
      </c>
      <c r="I1023" s="8" t="s">
        <v>3011</v>
      </c>
      <c r="J1023" s="8" t="s">
        <v>29</v>
      </c>
      <c r="K1023" s="8"/>
      <c r="L1023" s="8"/>
      <c r="M1023" s="8"/>
      <c r="N1023" s="8"/>
      <c r="O1023" s="8"/>
      <c r="P1023" s="8"/>
      <c r="Q1023" s="8"/>
      <c r="R1023" s="8"/>
      <c r="S1023" s="8"/>
      <c r="T1023" s="8"/>
      <c r="U1023" s="8"/>
      <c r="V1023" s="8"/>
      <c r="W1023" s="8"/>
      <c r="X1023" s="8"/>
      <c r="Y1023" s="8"/>
      <c r="Z1023" s="8"/>
    </row>
    <row r="1024" ht="14.25" customHeight="1">
      <c r="A1024" s="8">
        <v>24203.0</v>
      </c>
      <c r="B1024" s="8" t="s">
        <v>24</v>
      </c>
      <c r="C1024" s="8" t="s">
        <v>3012</v>
      </c>
      <c r="D1024" s="8">
        <v>2020.0</v>
      </c>
      <c r="E1024" s="8" t="s">
        <v>3013</v>
      </c>
      <c r="F1024" s="8" t="s">
        <v>455</v>
      </c>
      <c r="G1024" s="8">
        <v>23.0</v>
      </c>
      <c r="H1024" s="8" t="s">
        <v>33</v>
      </c>
      <c r="I1024" s="8" t="s">
        <v>33</v>
      </c>
      <c r="J1024" s="8" t="s">
        <v>29</v>
      </c>
      <c r="K1024" s="8"/>
      <c r="L1024" s="8"/>
      <c r="M1024" s="8"/>
      <c r="N1024" s="8"/>
      <c r="O1024" s="8"/>
      <c r="P1024" s="8"/>
      <c r="Q1024" s="8"/>
      <c r="R1024" s="8"/>
      <c r="S1024" s="8"/>
      <c r="T1024" s="8"/>
      <c r="U1024" s="8"/>
      <c r="V1024" s="8"/>
      <c r="W1024" s="8"/>
      <c r="X1024" s="8"/>
      <c r="Y1024" s="8"/>
      <c r="Z1024" s="8"/>
    </row>
    <row r="1025" ht="14.25" customHeight="1">
      <c r="A1025" s="8">
        <v>25535.0</v>
      </c>
      <c r="B1025" s="8" t="s">
        <v>24</v>
      </c>
      <c r="C1025" s="8" t="s">
        <v>3014</v>
      </c>
      <c r="D1025" s="8">
        <v>2020.0</v>
      </c>
      <c r="E1025" s="9" t="s">
        <v>3015</v>
      </c>
      <c r="F1025" s="8" t="s">
        <v>615</v>
      </c>
      <c r="G1025" s="8" t="s">
        <v>33</v>
      </c>
      <c r="H1025" s="8" t="s">
        <v>33</v>
      </c>
      <c r="I1025" s="8" t="s">
        <v>33</v>
      </c>
      <c r="J1025" s="8" t="s">
        <v>29</v>
      </c>
      <c r="K1025" s="8"/>
      <c r="L1025" s="8"/>
      <c r="M1025" s="8"/>
      <c r="N1025" s="8"/>
      <c r="O1025" s="8"/>
      <c r="P1025" s="8"/>
      <c r="Q1025" s="8"/>
      <c r="R1025" s="8"/>
      <c r="S1025" s="8"/>
      <c r="T1025" s="8"/>
      <c r="U1025" s="8"/>
      <c r="V1025" s="8"/>
      <c r="W1025" s="8"/>
      <c r="X1025" s="8"/>
      <c r="Y1025" s="8"/>
      <c r="Z1025" s="8"/>
    </row>
    <row r="1026" ht="14.25" customHeight="1">
      <c r="A1026" s="8" t="s">
        <v>3016</v>
      </c>
      <c r="B1026" s="8" t="s">
        <v>41</v>
      </c>
      <c r="C1026" s="8" t="s">
        <v>1238</v>
      </c>
      <c r="D1026" s="8">
        <v>2017.0</v>
      </c>
      <c r="E1026" s="8" t="s">
        <v>3017</v>
      </c>
      <c r="F1026" s="8" t="s">
        <v>33</v>
      </c>
      <c r="G1026" s="8" t="s">
        <v>33</v>
      </c>
      <c r="H1026" s="8" t="s">
        <v>33</v>
      </c>
      <c r="I1026" s="8" t="s">
        <v>33</v>
      </c>
      <c r="J1026" s="8" t="s">
        <v>320</v>
      </c>
      <c r="K1026" s="8"/>
      <c r="L1026" s="8"/>
      <c r="M1026" s="8"/>
      <c r="N1026" s="8"/>
      <c r="O1026" s="8"/>
      <c r="P1026" s="8"/>
      <c r="Q1026" s="8"/>
      <c r="R1026" s="8"/>
      <c r="S1026" s="8"/>
      <c r="T1026" s="8"/>
      <c r="U1026" s="8"/>
      <c r="V1026" s="8"/>
      <c r="W1026" s="8"/>
      <c r="X1026" s="8"/>
      <c r="Y1026" s="8"/>
      <c r="Z1026" s="8"/>
    </row>
    <row r="1027" ht="14.25" customHeight="1">
      <c r="A1027" s="8">
        <v>25122.0</v>
      </c>
      <c r="B1027" s="8" t="s">
        <v>24</v>
      </c>
      <c r="C1027" s="8" t="s">
        <v>3018</v>
      </c>
      <c r="D1027" s="8">
        <v>2017.0</v>
      </c>
      <c r="E1027" s="8" t="s">
        <v>3019</v>
      </c>
      <c r="F1027" s="8" t="s">
        <v>64</v>
      </c>
      <c r="G1027" s="8">
        <v>210.0</v>
      </c>
      <c r="H1027" s="8" t="s">
        <v>33</v>
      </c>
      <c r="I1027" s="8" t="s">
        <v>3020</v>
      </c>
      <c r="J1027" s="8" t="s">
        <v>29</v>
      </c>
      <c r="K1027" s="8"/>
      <c r="L1027" s="8"/>
      <c r="M1027" s="8"/>
      <c r="N1027" s="8"/>
      <c r="O1027" s="8"/>
      <c r="P1027" s="8"/>
      <c r="Q1027" s="8"/>
      <c r="R1027" s="8"/>
      <c r="S1027" s="8"/>
      <c r="T1027" s="8"/>
      <c r="U1027" s="8"/>
      <c r="V1027" s="8"/>
      <c r="W1027" s="8"/>
      <c r="X1027" s="8"/>
      <c r="Y1027" s="8"/>
      <c r="Z1027" s="8"/>
    </row>
    <row r="1028" ht="14.25" customHeight="1">
      <c r="A1028" s="8">
        <v>24752.0</v>
      </c>
      <c r="B1028" s="8" t="s">
        <v>24</v>
      </c>
      <c r="C1028" s="8" t="s">
        <v>3021</v>
      </c>
      <c r="D1028" s="8">
        <v>2013.0</v>
      </c>
      <c r="E1028" s="8" t="s">
        <v>3022</v>
      </c>
      <c r="F1028" s="8" t="s">
        <v>36</v>
      </c>
      <c r="G1028" s="8">
        <v>8.0</v>
      </c>
      <c r="H1028" s="8">
        <v>8.0</v>
      </c>
      <c r="I1028" s="8" t="s">
        <v>33</v>
      </c>
      <c r="J1028" s="8" t="s">
        <v>29</v>
      </c>
      <c r="K1028" s="8"/>
      <c r="L1028" s="8"/>
      <c r="M1028" s="8"/>
      <c r="N1028" s="8"/>
      <c r="O1028" s="8"/>
      <c r="P1028" s="8"/>
      <c r="Q1028" s="8"/>
      <c r="R1028" s="8"/>
      <c r="S1028" s="8"/>
      <c r="T1028" s="8"/>
      <c r="U1028" s="8"/>
      <c r="V1028" s="8"/>
      <c r="W1028" s="8"/>
      <c r="X1028" s="8"/>
      <c r="Y1028" s="8"/>
      <c r="Z1028" s="8"/>
    </row>
    <row r="1029" ht="14.25" customHeight="1">
      <c r="A1029" s="8">
        <v>25474.0</v>
      </c>
      <c r="B1029" s="8" t="s">
        <v>24</v>
      </c>
      <c r="C1029" s="8" t="s">
        <v>2381</v>
      </c>
      <c r="D1029" s="8">
        <v>2013.0</v>
      </c>
      <c r="E1029" s="8" t="s">
        <v>3023</v>
      </c>
      <c r="F1029" s="8" t="s">
        <v>64</v>
      </c>
      <c r="G1029" s="8">
        <v>157.0</v>
      </c>
      <c r="H1029" s="8" t="s">
        <v>33</v>
      </c>
      <c r="I1029" s="8" t="s">
        <v>3024</v>
      </c>
      <c r="J1029" s="8" t="s">
        <v>29</v>
      </c>
      <c r="K1029" s="8"/>
      <c r="L1029" s="8"/>
      <c r="M1029" s="8"/>
      <c r="N1029" s="8"/>
      <c r="O1029" s="8"/>
      <c r="P1029" s="8"/>
      <c r="Q1029" s="8"/>
      <c r="R1029" s="8"/>
      <c r="S1029" s="8"/>
      <c r="T1029" s="8"/>
      <c r="U1029" s="8"/>
      <c r="V1029" s="8"/>
      <c r="W1029" s="8"/>
      <c r="X1029" s="8"/>
      <c r="Y1029" s="8"/>
      <c r="Z1029" s="8"/>
    </row>
    <row r="1030" ht="14.25" customHeight="1">
      <c r="A1030" s="8">
        <v>24396.0</v>
      </c>
      <c r="B1030" s="8" t="s">
        <v>24</v>
      </c>
      <c r="C1030" s="8" t="s">
        <v>3025</v>
      </c>
      <c r="D1030" s="8">
        <v>2019.0</v>
      </c>
      <c r="E1030" s="8" t="s">
        <v>3026</v>
      </c>
      <c r="F1030" s="8" t="s">
        <v>256</v>
      </c>
      <c r="G1030" s="8">
        <v>168.0</v>
      </c>
      <c r="H1030" s="8" t="s">
        <v>33</v>
      </c>
      <c r="I1030" s="8" t="s">
        <v>2723</v>
      </c>
      <c r="J1030" s="8" t="s">
        <v>29</v>
      </c>
      <c r="K1030" s="8"/>
      <c r="L1030" s="8"/>
      <c r="M1030" s="8"/>
      <c r="N1030" s="8"/>
      <c r="O1030" s="8"/>
      <c r="P1030" s="8"/>
      <c r="Q1030" s="8"/>
      <c r="R1030" s="8"/>
      <c r="S1030" s="8"/>
      <c r="T1030" s="8"/>
      <c r="U1030" s="8"/>
      <c r="V1030" s="8"/>
      <c r="W1030" s="8"/>
      <c r="X1030" s="8"/>
      <c r="Y1030" s="8"/>
      <c r="Z1030" s="8"/>
    </row>
    <row r="1031" ht="14.25" customHeight="1">
      <c r="A1031" s="8">
        <v>24741.0</v>
      </c>
      <c r="B1031" s="8" t="s">
        <v>24</v>
      </c>
      <c r="C1031" s="8" t="s">
        <v>3027</v>
      </c>
      <c r="D1031" s="8">
        <v>2009.0</v>
      </c>
      <c r="E1031" s="8" t="s">
        <v>3028</v>
      </c>
      <c r="F1031" s="8" t="s">
        <v>769</v>
      </c>
      <c r="G1031" s="8">
        <v>19.0</v>
      </c>
      <c r="H1031" s="8">
        <v>6.0</v>
      </c>
      <c r="I1031" s="8" t="s">
        <v>3029</v>
      </c>
      <c r="J1031" s="8" t="s">
        <v>29</v>
      </c>
      <c r="K1031" s="8"/>
      <c r="L1031" s="8"/>
      <c r="M1031" s="8"/>
      <c r="N1031" s="8"/>
      <c r="O1031" s="8"/>
      <c r="P1031" s="8"/>
      <c r="Q1031" s="8"/>
      <c r="R1031" s="8"/>
      <c r="S1031" s="8"/>
      <c r="T1031" s="8"/>
      <c r="U1031" s="8"/>
      <c r="V1031" s="8"/>
      <c r="W1031" s="8"/>
      <c r="X1031" s="8"/>
      <c r="Y1031" s="8"/>
      <c r="Z1031" s="8"/>
    </row>
    <row r="1032" ht="14.25" customHeight="1">
      <c r="A1032" s="8">
        <v>24411.0</v>
      </c>
      <c r="B1032" s="8" t="s">
        <v>24</v>
      </c>
      <c r="C1032" s="8" t="s">
        <v>3030</v>
      </c>
      <c r="D1032" s="8">
        <v>2015.0</v>
      </c>
      <c r="E1032" s="8" t="s">
        <v>3031</v>
      </c>
      <c r="F1032" s="8" t="s">
        <v>3032</v>
      </c>
      <c r="G1032" s="8">
        <v>8.0</v>
      </c>
      <c r="H1032" s="8">
        <v>2.0</v>
      </c>
      <c r="I1032" s="8" t="s">
        <v>2260</v>
      </c>
      <c r="J1032" s="8" t="s">
        <v>29</v>
      </c>
      <c r="K1032" s="8"/>
      <c r="L1032" s="8"/>
      <c r="M1032" s="8"/>
      <c r="N1032" s="8"/>
      <c r="O1032" s="8"/>
      <c r="P1032" s="8"/>
      <c r="Q1032" s="8"/>
      <c r="R1032" s="8"/>
      <c r="S1032" s="8"/>
      <c r="T1032" s="8"/>
      <c r="U1032" s="8"/>
      <c r="V1032" s="8"/>
      <c r="W1032" s="8"/>
      <c r="X1032" s="8"/>
      <c r="Y1032" s="8"/>
      <c r="Z1032" s="8"/>
    </row>
    <row r="1033" ht="14.25" customHeight="1">
      <c r="A1033" s="8">
        <v>24829.0</v>
      </c>
      <c r="B1033" s="8" t="s">
        <v>24</v>
      </c>
      <c r="C1033" s="8" t="s">
        <v>3033</v>
      </c>
      <c r="D1033" s="8">
        <v>2016.0</v>
      </c>
      <c r="E1033" s="8" t="s">
        <v>3034</v>
      </c>
      <c r="F1033" s="8" t="s">
        <v>36</v>
      </c>
      <c r="G1033" s="8">
        <v>11.0</v>
      </c>
      <c r="H1033" s="8">
        <v>6.0</v>
      </c>
      <c r="I1033" s="8" t="s">
        <v>33</v>
      </c>
      <c r="J1033" s="8" t="s">
        <v>29</v>
      </c>
      <c r="K1033" s="8"/>
      <c r="L1033" s="8"/>
      <c r="M1033" s="8"/>
      <c r="N1033" s="8"/>
      <c r="O1033" s="8"/>
      <c r="P1033" s="8"/>
      <c r="Q1033" s="8"/>
      <c r="R1033" s="8"/>
      <c r="S1033" s="8"/>
      <c r="T1033" s="8"/>
      <c r="U1033" s="8"/>
      <c r="V1033" s="8"/>
      <c r="W1033" s="8"/>
      <c r="X1033" s="8"/>
      <c r="Y1033" s="8"/>
      <c r="Z1033" s="8"/>
    </row>
    <row r="1034" ht="14.25" customHeight="1">
      <c r="A1034" s="8">
        <v>24518.0</v>
      </c>
      <c r="B1034" s="8" t="s">
        <v>24</v>
      </c>
      <c r="C1034" s="8" t="s">
        <v>3035</v>
      </c>
      <c r="D1034" s="8">
        <v>2019.0</v>
      </c>
      <c r="E1034" s="8" t="s">
        <v>3036</v>
      </c>
      <c r="F1034" s="8" t="s">
        <v>174</v>
      </c>
      <c r="G1034" s="8">
        <v>2019.0</v>
      </c>
      <c r="H1034" s="8">
        <v>11.0</v>
      </c>
      <c r="I1034" s="8" t="s">
        <v>33</v>
      </c>
      <c r="J1034" s="8" t="s">
        <v>29</v>
      </c>
      <c r="K1034" s="8"/>
      <c r="L1034" s="8"/>
      <c r="M1034" s="8"/>
      <c r="N1034" s="8"/>
      <c r="O1034" s="8"/>
      <c r="P1034" s="8"/>
      <c r="Q1034" s="8"/>
      <c r="R1034" s="8"/>
      <c r="S1034" s="8"/>
      <c r="T1034" s="8"/>
      <c r="U1034" s="8"/>
      <c r="V1034" s="8"/>
      <c r="W1034" s="8"/>
      <c r="X1034" s="8"/>
      <c r="Y1034" s="8"/>
      <c r="Z1034" s="8"/>
    </row>
    <row r="1035" ht="14.25" customHeight="1">
      <c r="A1035" s="8">
        <v>25628.0</v>
      </c>
      <c r="B1035" s="8" t="s">
        <v>24</v>
      </c>
      <c r="C1035" s="8" t="s">
        <v>3037</v>
      </c>
      <c r="D1035" s="8">
        <v>2020.0</v>
      </c>
      <c r="E1035" s="8" t="s">
        <v>3038</v>
      </c>
      <c r="F1035" s="8" t="s">
        <v>3039</v>
      </c>
      <c r="G1035" s="8" t="s">
        <v>33</v>
      </c>
      <c r="H1035" s="8" t="s">
        <v>33</v>
      </c>
      <c r="I1035" s="8">
        <v>1.0</v>
      </c>
      <c r="J1035" s="8" t="s">
        <v>29</v>
      </c>
      <c r="K1035" s="8"/>
      <c r="L1035" s="8"/>
      <c r="M1035" s="8"/>
      <c r="N1035" s="8"/>
      <c r="O1035" s="8"/>
      <c r="P1035" s="8"/>
      <c r="Q1035" s="8"/>
      <c r="R1035" s="8"/>
      <c r="S1035" s="8"/>
      <c r="T1035" s="8"/>
      <c r="U1035" s="8"/>
      <c r="V1035" s="8"/>
      <c r="W1035" s="8"/>
      <c r="X1035" s="8"/>
      <c r="Y1035" s="8"/>
      <c r="Z1035" s="8"/>
    </row>
    <row r="1036" ht="14.25" customHeight="1">
      <c r="A1036" s="8">
        <v>24256.0</v>
      </c>
      <c r="B1036" s="8" t="s">
        <v>24</v>
      </c>
      <c r="C1036" s="8" t="s">
        <v>3040</v>
      </c>
      <c r="D1036" s="8">
        <v>2020.0</v>
      </c>
      <c r="E1036" s="8" t="s">
        <v>3041</v>
      </c>
      <c r="F1036" s="8" t="s">
        <v>3042</v>
      </c>
      <c r="G1036" s="8">
        <v>12.0</v>
      </c>
      <c r="H1036" s="8">
        <v>1.0</v>
      </c>
      <c r="I1036" s="8" t="s">
        <v>3043</v>
      </c>
      <c r="J1036" s="8" t="s">
        <v>29</v>
      </c>
      <c r="K1036" s="8"/>
      <c r="L1036" s="8"/>
      <c r="M1036" s="8"/>
      <c r="N1036" s="8"/>
      <c r="O1036" s="8"/>
      <c r="P1036" s="8"/>
      <c r="Q1036" s="8"/>
      <c r="R1036" s="8"/>
      <c r="S1036" s="8"/>
      <c r="T1036" s="8"/>
      <c r="U1036" s="8"/>
      <c r="V1036" s="8"/>
      <c r="W1036" s="8"/>
      <c r="X1036" s="8"/>
      <c r="Y1036" s="8"/>
      <c r="Z1036" s="8"/>
    </row>
    <row r="1037" ht="14.25" customHeight="1">
      <c r="A1037" s="8">
        <v>24389.0</v>
      </c>
      <c r="B1037" s="8" t="s">
        <v>24</v>
      </c>
      <c r="C1037" s="8" t="s">
        <v>3044</v>
      </c>
      <c r="D1037" s="8">
        <v>2012.0</v>
      </c>
      <c r="E1037" s="8" t="s">
        <v>3045</v>
      </c>
      <c r="F1037" s="8" t="s">
        <v>286</v>
      </c>
      <c r="G1037" s="8">
        <v>184.0</v>
      </c>
      <c r="H1037" s="8">
        <v>12.0</v>
      </c>
      <c r="I1037" s="8" t="s">
        <v>3046</v>
      </c>
      <c r="J1037" s="8" t="s">
        <v>29</v>
      </c>
      <c r="K1037" s="8"/>
      <c r="L1037" s="8"/>
      <c r="M1037" s="8"/>
      <c r="N1037" s="8"/>
      <c r="O1037" s="8"/>
      <c r="P1037" s="8"/>
      <c r="Q1037" s="8"/>
      <c r="R1037" s="8"/>
      <c r="S1037" s="8"/>
      <c r="T1037" s="8"/>
      <c r="U1037" s="8"/>
      <c r="V1037" s="8"/>
      <c r="W1037" s="8"/>
      <c r="X1037" s="8"/>
      <c r="Y1037" s="8"/>
      <c r="Z1037" s="8"/>
    </row>
    <row r="1038" ht="14.25" customHeight="1">
      <c r="A1038" s="8">
        <v>24416.0</v>
      </c>
      <c r="B1038" s="8" t="s">
        <v>24</v>
      </c>
      <c r="C1038" s="8" t="s">
        <v>3047</v>
      </c>
      <c r="D1038" s="8">
        <v>2017.0</v>
      </c>
      <c r="E1038" s="8" t="s">
        <v>3048</v>
      </c>
      <c r="F1038" s="8" t="s">
        <v>56</v>
      </c>
      <c r="G1038" s="8">
        <v>54.0</v>
      </c>
      <c r="H1038" s="8">
        <v>3.0</v>
      </c>
      <c r="I1038" s="8" t="s">
        <v>3049</v>
      </c>
      <c r="J1038" s="8" t="s">
        <v>29</v>
      </c>
      <c r="K1038" s="8"/>
      <c r="L1038" s="8"/>
      <c r="M1038" s="8"/>
      <c r="N1038" s="8"/>
      <c r="O1038" s="8"/>
      <c r="P1038" s="8"/>
      <c r="Q1038" s="8"/>
      <c r="R1038" s="8"/>
      <c r="S1038" s="8"/>
      <c r="T1038" s="8"/>
      <c r="U1038" s="8"/>
      <c r="V1038" s="8"/>
      <c r="W1038" s="8"/>
      <c r="X1038" s="8"/>
      <c r="Y1038" s="8"/>
      <c r="Z1038" s="8"/>
    </row>
    <row r="1039" ht="14.25" customHeight="1">
      <c r="A1039" s="8">
        <v>23647.0</v>
      </c>
      <c r="B1039" s="8" t="s">
        <v>24</v>
      </c>
      <c r="C1039" s="8" t="s">
        <v>3050</v>
      </c>
      <c r="D1039" s="8">
        <v>2015.0</v>
      </c>
      <c r="E1039" s="8" t="s">
        <v>3051</v>
      </c>
      <c r="F1039" s="8" t="s">
        <v>64</v>
      </c>
      <c r="G1039" s="8">
        <v>191.0</v>
      </c>
      <c r="H1039" s="8" t="s">
        <v>33</v>
      </c>
      <c r="I1039" s="8" t="s">
        <v>3052</v>
      </c>
      <c r="J1039" s="8" t="s">
        <v>29</v>
      </c>
      <c r="K1039" s="8"/>
      <c r="L1039" s="8"/>
      <c r="M1039" s="8"/>
      <c r="N1039" s="8"/>
      <c r="O1039" s="8"/>
      <c r="P1039" s="8"/>
      <c r="Q1039" s="8"/>
      <c r="R1039" s="8"/>
      <c r="S1039" s="8"/>
      <c r="T1039" s="8"/>
      <c r="U1039" s="8"/>
      <c r="V1039" s="8"/>
      <c r="W1039" s="8"/>
      <c r="X1039" s="8"/>
      <c r="Y1039" s="8"/>
      <c r="Z1039" s="8"/>
    </row>
    <row r="1040" ht="14.25" customHeight="1">
      <c r="A1040" s="8">
        <v>25901.0</v>
      </c>
      <c r="B1040" s="8" t="s">
        <v>24</v>
      </c>
      <c r="C1040" s="8" t="s">
        <v>3053</v>
      </c>
      <c r="D1040" s="8">
        <v>2013.0</v>
      </c>
      <c r="E1040" s="8" t="s">
        <v>3054</v>
      </c>
      <c r="F1040" s="8" t="s">
        <v>3055</v>
      </c>
      <c r="G1040" s="8">
        <v>9.0</v>
      </c>
      <c r="H1040" s="8">
        <v>1.0</v>
      </c>
      <c r="I1040" s="11">
        <v>44743.0</v>
      </c>
      <c r="J1040" s="8" t="s">
        <v>29</v>
      </c>
      <c r="K1040" s="8"/>
      <c r="L1040" s="8"/>
      <c r="M1040" s="8"/>
      <c r="N1040" s="8"/>
      <c r="O1040" s="8"/>
      <c r="P1040" s="8"/>
      <c r="Q1040" s="8"/>
      <c r="R1040" s="8"/>
      <c r="S1040" s="8"/>
      <c r="T1040" s="8"/>
      <c r="U1040" s="8"/>
      <c r="V1040" s="8"/>
      <c r="W1040" s="8"/>
      <c r="X1040" s="8"/>
      <c r="Y1040" s="8"/>
      <c r="Z1040" s="8"/>
    </row>
    <row r="1041" ht="14.25" customHeight="1">
      <c r="A1041" s="8">
        <v>24162.0</v>
      </c>
      <c r="B1041" s="8" t="s">
        <v>24</v>
      </c>
      <c r="C1041" s="8" t="s">
        <v>3056</v>
      </c>
      <c r="D1041" s="8">
        <v>2018.0</v>
      </c>
      <c r="E1041" s="8" t="s">
        <v>3057</v>
      </c>
      <c r="F1041" s="8" t="s">
        <v>336</v>
      </c>
      <c r="G1041" s="8">
        <v>115.0</v>
      </c>
      <c r="H1041" s="8">
        <v>29.0</v>
      </c>
      <c r="I1041" s="8" t="s">
        <v>3058</v>
      </c>
      <c r="J1041" s="8" t="s">
        <v>29</v>
      </c>
      <c r="K1041" s="8"/>
      <c r="L1041" s="8"/>
      <c r="M1041" s="8"/>
      <c r="N1041" s="8"/>
      <c r="O1041" s="8"/>
      <c r="P1041" s="8"/>
      <c r="Q1041" s="8"/>
      <c r="R1041" s="8"/>
      <c r="S1041" s="8"/>
      <c r="T1041" s="8"/>
      <c r="U1041" s="8"/>
      <c r="V1041" s="8"/>
      <c r="W1041" s="8"/>
      <c r="X1041" s="8"/>
      <c r="Y1041" s="8"/>
      <c r="Z1041" s="8"/>
    </row>
    <row r="1042" ht="14.25" customHeight="1">
      <c r="A1042" s="8">
        <v>23429.0</v>
      </c>
      <c r="B1042" s="8" t="s">
        <v>24</v>
      </c>
      <c r="C1042" s="8" t="s">
        <v>3059</v>
      </c>
      <c r="D1042" s="8">
        <v>2018.0</v>
      </c>
      <c r="E1042" s="8" t="s">
        <v>3060</v>
      </c>
      <c r="F1042" s="8" t="s">
        <v>2183</v>
      </c>
      <c r="G1042" s="8">
        <v>29.0</v>
      </c>
      <c r="H1042" s="8" t="s">
        <v>33</v>
      </c>
      <c r="I1042" s="8" t="s">
        <v>1465</v>
      </c>
      <c r="J1042" s="8" t="s">
        <v>29</v>
      </c>
      <c r="K1042" s="8"/>
      <c r="L1042" s="8"/>
      <c r="M1042" s="8"/>
      <c r="N1042" s="8"/>
      <c r="O1042" s="8"/>
      <c r="P1042" s="8"/>
      <c r="Q1042" s="8"/>
      <c r="R1042" s="8"/>
      <c r="S1042" s="8"/>
      <c r="T1042" s="8"/>
      <c r="U1042" s="8"/>
      <c r="V1042" s="8"/>
      <c r="W1042" s="8"/>
      <c r="X1042" s="8"/>
      <c r="Y1042" s="8"/>
      <c r="Z1042" s="8"/>
    </row>
    <row r="1043" ht="14.25" customHeight="1">
      <c r="A1043" s="8">
        <v>24474.0</v>
      </c>
      <c r="B1043" s="8" t="s">
        <v>24</v>
      </c>
      <c r="C1043" s="8" t="s">
        <v>3061</v>
      </c>
      <c r="D1043" s="8">
        <v>2020.0</v>
      </c>
      <c r="E1043" s="8" t="s">
        <v>3062</v>
      </c>
      <c r="F1043" s="8" t="s">
        <v>132</v>
      </c>
      <c r="G1043" s="8" t="s">
        <v>33</v>
      </c>
      <c r="H1043" s="8" t="s">
        <v>33</v>
      </c>
      <c r="I1043" s="8" t="s">
        <v>33</v>
      </c>
      <c r="J1043" s="8" t="s">
        <v>29</v>
      </c>
      <c r="K1043" s="8"/>
      <c r="L1043" s="8"/>
      <c r="M1043" s="8"/>
      <c r="N1043" s="8"/>
      <c r="O1043" s="8"/>
      <c r="P1043" s="8"/>
      <c r="Q1043" s="8"/>
      <c r="R1043" s="8"/>
      <c r="S1043" s="8"/>
      <c r="T1043" s="8"/>
      <c r="U1043" s="8"/>
      <c r="V1043" s="8"/>
      <c r="W1043" s="8"/>
      <c r="X1043" s="8"/>
      <c r="Y1043" s="8"/>
      <c r="Z1043" s="8"/>
    </row>
    <row r="1044" ht="14.25" customHeight="1">
      <c r="A1044" s="8">
        <v>25796.0</v>
      </c>
      <c r="B1044" s="8" t="s">
        <v>24</v>
      </c>
      <c r="C1044" s="8" t="s">
        <v>3063</v>
      </c>
      <c r="D1044" s="8">
        <v>2015.0</v>
      </c>
      <c r="E1044" s="8" t="s">
        <v>3064</v>
      </c>
      <c r="F1044" s="8" t="s">
        <v>36</v>
      </c>
      <c r="G1044" s="8">
        <v>10.0</v>
      </c>
      <c r="H1044" s="8">
        <v>10.0</v>
      </c>
      <c r="I1044" s="8" t="s">
        <v>33</v>
      </c>
      <c r="J1044" s="8" t="s">
        <v>29</v>
      </c>
      <c r="K1044" s="8"/>
      <c r="L1044" s="8"/>
      <c r="M1044" s="8"/>
      <c r="N1044" s="8"/>
      <c r="O1044" s="8"/>
      <c r="P1044" s="8"/>
      <c r="Q1044" s="8"/>
      <c r="R1044" s="8"/>
      <c r="S1044" s="8"/>
      <c r="T1044" s="8"/>
      <c r="U1044" s="8"/>
      <c r="V1044" s="8"/>
      <c r="W1044" s="8"/>
      <c r="X1044" s="8"/>
      <c r="Y1044" s="8"/>
      <c r="Z1044" s="8"/>
    </row>
    <row r="1045" ht="14.25" customHeight="1">
      <c r="A1045" s="8">
        <v>25991.0</v>
      </c>
      <c r="B1045" s="8" t="s">
        <v>24</v>
      </c>
      <c r="C1045" s="8" t="s">
        <v>3065</v>
      </c>
      <c r="D1045" s="8">
        <v>2011.0</v>
      </c>
      <c r="E1045" s="8" t="s">
        <v>3066</v>
      </c>
      <c r="F1045" s="8" t="s">
        <v>568</v>
      </c>
      <c r="G1045" s="8">
        <v>46.0</v>
      </c>
      <c r="H1045" s="8">
        <v>1.0</v>
      </c>
      <c r="I1045" s="10">
        <v>42736.0</v>
      </c>
      <c r="J1045" s="8" t="s">
        <v>29</v>
      </c>
      <c r="K1045" s="8"/>
      <c r="L1045" s="8"/>
      <c r="M1045" s="8"/>
      <c r="N1045" s="8"/>
      <c r="O1045" s="8"/>
      <c r="P1045" s="8"/>
      <c r="Q1045" s="8"/>
      <c r="R1045" s="8"/>
      <c r="S1045" s="8"/>
      <c r="T1045" s="8"/>
      <c r="U1045" s="8"/>
      <c r="V1045" s="8"/>
      <c r="W1045" s="8"/>
      <c r="X1045" s="8"/>
      <c r="Y1045" s="8"/>
      <c r="Z1045" s="8"/>
    </row>
    <row r="1046" ht="14.25" customHeight="1">
      <c r="A1046" s="8">
        <v>26547.0</v>
      </c>
      <c r="B1046" s="8" t="s">
        <v>321</v>
      </c>
      <c r="C1046" s="8" t="s">
        <v>398</v>
      </c>
      <c r="D1046" s="8">
        <v>2010.0</v>
      </c>
      <c r="E1046" s="8" t="s">
        <v>3067</v>
      </c>
      <c r="F1046" s="8" t="s">
        <v>33</v>
      </c>
      <c r="G1046" s="8" t="s">
        <v>33</v>
      </c>
      <c r="H1046" s="8" t="s">
        <v>33</v>
      </c>
      <c r="I1046" s="8" t="s">
        <v>33</v>
      </c>
      <c r="J1046" s="8" t="s">
        <v>29</v>
      </c>
      <c r="K1046" s="8"/>
      <c r="L1046" s="8"/>
      <c r="M1046" s="8"/>
      <c r="N1046" s="8"/>
      <c r="O1046" s="8"/>
      <c r="P1046" s="8"/>
      <c r="Q1046" s="8"/>
      <c r="R1046" s="8"/>
      <c r="S1046" s="8"/>
      <c r="T1046" s="8"/>
      <c r="U1046" s="8"/>
      <c r="V1046" s="8"/>
      <c r="W1046" s="8"/>
      <c r="X1046" s="8"/>
      <c r="Y1046" s="8"/>
      <c r="Z1046" s="8"/>
    </row>
    <row r="1047" ht="14.25" customHeight="1">
      <c r="A1047" s="8">
        <v>25241.0</v>
      </c>
      <c r="B1047" s="8" t="s">
        <v>24</v>
      </c>
      <c r="C1047" s="8" t="s">
        <v>3068</v>
      </c>
      <c r="D1047" s="8">
        <v>2018.0</v>
      </c>
      <c r="E1047" s="8" t="s">
        <v>3069</v>
      </c>
      <c r="F1047" s="8" t="s">
        <v>145</v>
      </c>
      <c r="G1047" s="8">
        <v>90.0</v>
      </c>
      <c r="H1047" s="8" t="s">
        <v>33</v>
      </c>
      <c r="I1047" s="8" t="s">
        <v>3070</v>
      </c>
      <c r="J1047" s="8" t="s">
        <v>29</v>
      </c>
      <c r="K1047" s="8"/>
      <c r="L1047" s="8"/>
      <c r="M1047" s="8"/>
      <c r="N1047" s="8"/>
      <c r="O1047" s="8"/>
      <c r="P1047" s="8"/>
      <c r="Q1047" s="8"/>
      <c r="R1047" s="8"/>
      <c r="S1047" s="8"/>
      <c r="T1047" s="8"/>
      <c r="U1047" s="8"/>
      <c r="V1047" s="8"/>
      <c r="W1047" s="8"/>
      <c r="X1047" s="8"/>
      <c r="Y1047" s="8"/>
      <c r="Z1047" s="8"/>
    </row>
    <row r="1048" ht="14.25" customHeight="1">
      <c r="A1048" s="8">
        <v>23847.0</v>
      </c>
      <c r="B1048" s="8" t="s">
        <v>24</v>
      </c>
      <c r="C1048" s="8" t="s">
        <v>2868</v>
      </c>
      <c r="D1048" s="8">
        <v>2011.0</v>
      </c>
      <c r="E1048" s="8" t="s">
        <v>3071</v>
      </c>
      <c r="F1048" s="8" t="s">
        <v>97</v>
      </c>
      <c r="G1048" s="8">
        <v>17.0</v>
      </c>
      <c r="H1048" s="8">
        <v>3.0</v>
      </c>
      <c r="I1048" s="8" t="s">
        <v>3072</v>
      </c>
      <c r="J1048" s="8" t="s">
        <v>29</v>
      </c>
      <c r="K1048" s="8"/>
      <c r="L1048" s="8"/>
      <c r="M1048" s="8"/>
      <c r="N1048" s="8"/>
      <c r="O1048" s="8"/>
      <c r="P1048" s="8"/>
      <c r="Q1048" s="8"/>
      <c r="R1048" s="8"/>
      <c r="S1048" s="8"/>
      <c r="T1048" s="8"/>
      <c r="U1048" s="8"/>
      <c r="V1048" s="8"/>
      <c r="W1048" s="8"/>
      <c r="X1048" s="8"/>
      <c r="Y1048" s="8"/>
      <c r="Z1048" s="8"/>
    </row>
    <row r="1049" ht="14.25" customHeight="1">
      <c r="A1049" s="8">
        <v>23698.0</v>
      </c>
      <c r="B1049" s="8" t="s">
        <v>24</v>
      </c>
      <c r="C1049" s="8" t="s">
        <v>3073</v>
      </c>
      <c r="D1049" s="8">
        <v>2019.0</v>
      </c>
      <c r="E1049" s="8" t="s">
        <v>3074</v>
      </c>
      <c r="F1049" s="8" t="s">
        <v>49</v>
      </c>
      <c r="G1049" s="8">
        <v>660.0</v>
      </c>
      <c r="H1049" s="8" t="s">
        <v>33</v>
      </c>
      <c r="I1049" s="8" t="s">
        <v>3075</v>
      </c>
      <c r="J1049" s="8" t="s">
        <v>29</v>
      </c>
      <c r="K1049" s="8"/>
      <c r="L1049" s="8"/>
      <c r="M1049" s="8"/>
      <c r="N1049" s="8"/>
      <c r="O1049" s="8"/>
      <c r="P1049" s="8"/>
      <c r="Q1049" s="8"/>
      <c r="R1049" s="8"/>
      <c r="S1049" s="8"/>
      <c r="T1049" s="8"/>
      <c r="U1049" s="8"/>
      <c r="V1049" s="8"/>
      <c r="W1049" s="8"/>
      <c r="X1049" s="8"/>
      <c r="Y1049" s="8"/>
      <c r="Z1049" s="8"/>
    </row>
    <row r="1050" ht="14.25" customHeight="1">
      <c r="A1050" s="8">
        <v>23576.0</v>
      </c>
      <c r="B1050" s="8" t="s">
        <v>24</v>
      </c>
      <c r="C1050" s="8" t="s">
        <v>3076</v>
      </c>
      <c r="D1050" s="8">
        <v>2014.0</v>
      </c>
      <c r="E1050" s="8" t="s">
        <v>3077</v>
      </c>
      <c r="F1050" s="8" t="s">
        <v>36</v>
      </c>
      <c r="G1050" s="8">
        <v>9.0</v>
      </c>
      <c r="H1050" s="8">
        <v>12.0</v>
      </c>
      <c r="I1050" s="8" t="s">
        <v>33</v>
      </c>
      <c r="J1050" s="8" t="s">
        <v>29</v>
      </c>
      <c r="K1050" s="8"/>
      <c r="L1050" s="8"/>
      <c r="M1050" s="8"/>
      <c r="N1050" s="8"/>
      <c r="O1050" s="8"/>
      <c r="P1050" s="8"/>
      <c r="Q1050" s="8"/>
      <c r="R1050" s="8"/>
      <c r="S1050" s="8"/>
      <c r="T1050" s="8"/>
      <c r="U1050" s="8"/>
      <c r="V1050" s="8"/>
      <c r="W1050" s="8"/>
      <c r="X1050" s="8"/>
      <c r="Y1050" s="8"/>
      <c r="Z1050" s="8"/>
    </row>
    <row r="1051" ht="14.25" customHeight="1">
      <c r="A1051" s="8">
        <v>24426.0</v>
      </c>
      <c r="B1051" s="8" t="s">
        <v>24</v>
      </c>
      <c r="C1051" s="8" t="s">
        <v>3078</v>
      </c>
      <c r="D1051" s="8">
        <v>2018.0</v>
      </c>
      <c r="E1051" s="8" t="s">
        <v>3079</v>
      </c>
      <c r="F1051" s="8" t="s">
        <v>36</v>
      </c>
      <c r="G1051" s="8">
        <v>13.0</v>
      </c>
      <c r="H1051" s="8">
        <v>9.0</v>
      </c>
      <c r="I1051" s="8" t="s">
        <v>33</v>
      </c>
      <c r="J1051" s="8" t="s">
        <v>29</v>
      </c>
      <c r="K1051" s="8"/>
      <c r="L1051" s="8"/>
      <c r="M1051" s="8"/>
      <c r="N1051" s="8"/>
      <c r="O1051" s="8"/>
      <c r="P1051" s="8"/>
      <c r="Q1051" s="8"/>
      <c r="R1051" s="8"/>
      <c r="S1051" s="8"/>
      <c r="T1051" s="8"/>
      <c r="U1051" s="8"/>
      <c r="V1051" s="8"/>
      <c r="W1051" s="8"/>
      <c r="X1051" s="8"/>
      <c r="Y1051" s="8"/>
      <c r="Z1051" s="8"/>
    </row>
    <row r="1052" ht="14.25" customHeight="1">
      <c r="A1052" s="8">
        <v>23365.0</v>
      </c>
      <c r="B1052" s="8" t="s">
        <v>24</v>
      </c>
      <c r="C1052" s="8" t="s">
        <v>3080</v>
      </c>
      <c r="D1052" s="8">
        <v>2017.0</v>
      </c>
      <c r="E1052" s="8" t="s">
        <v>3081</v>
      </c>
      <c r="F1052" s="8" t="s">
        <v>256</v>
      </c>
      <c r="G1052" s="8">
        <v>136.0</v>
      </c>
      <c r="H1052" s="8" t="s">
        <v>33</v>
      </c>
      <c r="I1052" s="8" t="s">
        <v>3082</v>
      </c>
      <c r="J1052" s="8" t="s">
        <v>29</v>
      </c>
      <c r="K1052" s="8"/>
      <c r="L1052" s="8"/>
      <c r="M1052" s="8"/>
      <c r="N1052" s="8"/>
      <c r="O1052" s="8"/>
      <c r="P1052" s="8"/>
      <c r="Q1052" s="8"/>
      <c r="R1052" s="8"/>
      <c r="S1052" s="8"/>
      <c r="T1052" s="8"/>
      <c r="U1052" s="8"/>
      <c r="V1052" s="8"/>
      <c r="W1052" s="8"/>
      <c r="X1052" s="8"/>
      <c r="Y1052" s="8"/>
      <c r="Z1052" s="8"/>
    </row>
    <row r="1053" ht="14.25" customHeight="1">
      <c r="A1053" s="8">
        <v>23771.0</v>
      </c>
      <c r="B1053" s="8" t="s">
        <v>24</v>
      </c>
      <c r="C1053" s="8" t="s">
        <v>3083</v>
      </c>
      <c r="D1053" s="8">
        <v>2014.0</v>
      </c>
      <c r="E1053" s="8" t="s">
        <v>3084</v>
      </c>
      <c r="F1053" s="8" t="s">
        <v>538</v>
      </c>
      <c r="G1053" s="8">
        <v>26.0</v>
      </c>
      <c r="H1053" s="8">
        <v>1.0</v>
      </c>
      <c r="I1053" s="8" t="s">
        <v>3085</v>
      </c>
      <c r="J1053" s="8" t="s">
        <v>29</v>
      </c>
      <c r="K1053" s="8"/>
      <c r="L1053" s="8"/>
      <c r="M1053" s="8"/>
      <c r="N1053" s="8"/>
      <c r="O1053" s="8"/>
      <c r="P1053" s="8"/>
      <c r="Q1053" s="8"/>
      <c r="R1053" s="8"/>
      <c r="S1053" s="8"/>
      <c r="T1053" s="8"/>
      <c r="U1053" s="8"/>
      <c r="V1053" s="8"/>
      <c r="W1053" s="8"/>
      <c r="X1053" s="8"/>
      <c r="Y1053" s="8"/>
      <c r="Z1053" s="8"/>
    </row>
    <row r="1054" ht="14.25" customHeight="1">
      <c r="A1054" s="8">
        <v>25350.0</v>
      </c>
      <c r="B1054" s="8" t="s">
        <v>24</v>
      </c>
      <c r="C1054" s="8" t="s">
        <v>3086</v>
      </c>
      <c r="D1054" s="8">
        <v>2018.0</v>
      </c>
      <c r="E1054" s="8" t="s">
        <v>3087</v>
      </c>
      <c r="F1054" s="8" t="s">
        <v>2288</v>
      </c>
      <c r="G1054" s="8">
        <v>32.0</v>
      </c>
      <c r="H1054" s="8" t="s">
        <v>33</v>
      </c>
      <c r="I1054" s="8" t="s">
        <v>3088</v>
      </c>
      <c r="J1054" s="8" t="s">
        <v>29</v>
      </c>
      <c r="K1054" s="8"/>
      <c r="L1054" s="8"/>
      <c r="M1054" s="8"/>
      <c r="N1054" s="8"/>
      <c r="O1054" s="8"/>
      <c r="P1054" s="8"/>
      <c r="Q1054" s="8"/>
      <c r="R1054" s="8"/>
      <c r="S1054" s="8"/>
      <c r="T1054" s="8"/>
      <c r="U1054" s="8"/>
      <c r="V1054" s="8"/>
      <c r="W1054" s="8"/>
      <c r="X1054" s="8"/>
      <c r="Y1054" s="8"/>
      <c r="Z1054" s="8"/>
    </row>
    <row r="1055" ht="14.25" customHeight="1">
      <c r="A1055" s="8">
        <v>24202.0</v>
      </c>
      <c r="B1055" s="8" t="s">
        <v>24</v>
      </c>
      <c r="C1055" s="8" t="s">
        <v>3089</v>
      </c>
      <c r="D1055" s="8">
        <v>2018.0</v>
      </c>
      <c r="E1055" s="8" t="s">
        <v>3090</v>
      </c>
      <c r="F1055" s="8" t="s">
        <v>56</v>
      </c>
      <c r="G1055" s="8">
        <v>55.0</v>
      </c>
      <c r="H1055" s="8">
        <v>6.0</v>
      </c>
      <c r="I1055" s="8" t="s">
        <v>3091</v>
      </c>
      <c r="J1055" s="8" t="s">
        <v>29</v>
      </c>
      <c r="K1055" s="8"/>
      <c r="L1055" s="8"/>
      <c r="M1055" s="8"/>
      <c r="N1055" s="8"/>
      <c r="O1055" s="8"/>
      <c r="P1055" s="8"/>
      <c r="Q1055" s="8"/>
      <c r="R1055" s="8"/>
      <c r="S1055" s="8"/>
      <c r="T1055" s="8"/>
      <c r="U1055" s="8"/>
      <c r="V1055" s="8"/>
      <c r="W1055" s="8"/>
      <c r="X1055" s="8"/>
      <c r="Y1055" s="8"/>
      <c r="Z1055" s="8"/>
    </row>
    <row r="1056" ht="14.25" customHeight="1">
      <c r="A1056" s="8">
        <v>23855.0</v>
      </c>
      <c r="B1056" s="8" t="s">
        <v>24</v>
      </c>
      <c r="C1056" s="8" t="s">
        <v>1406</v>
      </c>
      <c r="D1056" s="8">
        <v>2019.0</v>
      </c>
      <c r="E1056" s="8" t="s">
        <v>3092</v>
      </c>
      <c r="F1056" s="8" t="s">
        <v>153</v>
      </c>
      <c r="G1056" s="8">
        <v>251.0</v>
      </c>
      <c r="H1056" s="8" t="s">
        <v>33</v>
      </c>
      <c r="I1056" s="8" t="s">
        <v>33</v>
      </c>
      <c r="J1056" s="8" t="s">
        <v>29</v>
      </c>
      <c r="K1056" s="8"/>
      <c r="L1056" s="8"/>
      <c r="M1056" s="8"/>
      <c r="N1056" s="8"/>
      <c r="O1056" s="8"/>
      <c r="P1056" s="8"/>
      <c r="Q1056" s="8"/>
      <c r="R1056" s="8"/>
      <c r="S1056" s="8"/>
      <c r="T1056" s="8"/>
      <c r="U1056" s="8"/>
      <c r="V1056" s="8"/>
      <c r="W1056" s="8"/>
      <c r="X1056" s="8"/>
      <c r="Y1056" s="8"/>
      <c r="Z1056" s="8"/>
    </row>
    <row r="1057" ht="14.25" customHeight="1">
      <c r="A1057" s="8">
        <v>24064.0</v>
      </c>
      <c r="B1057" s="8" t="s">
        <v>24</v>
      </c>
      <c r="C1057" s="8" t="s">
        <v>3093</v>
      </c>
      <c r="D1057" s="8">
        <v>2013.0</v>
      </c>
      <c r="E1057" s="8" t="s">
        <v>3094</v>
      </c>
      <c r="F1057" s="8" t="s">
        <v>53</v>
      </c>
      <c r="G1057" s="8">
        <v>4.0</v>
      </c>
      <c r="H1057" s="8">
        <v>6.0</v>
      </c>
      <c r="I1057" s="8" t="s">
        <v>33</v>
      </c>
      <c r="J1057" s="8" t="s">
        <v>29</v>
      </c>
      <c r="K1057" s="8"/>
      <c r="L1057" s="8"/>
      <c r="M1057" s="8"/>
      <c r="N1057" s="8"/>
      <c r="O1057" s="8"/>
      <c r="P1057" s="8"/>
      <c r="Q1057" s="8"/>
      <c r="R1057" s="8"/>
      <c r="S1057" s="8"/>
      <c r="T1057" s="8"/>
      <c r="U1057" s="8"/>
      <c r="V1057" s="8"/>
      <c r="W1057" s="8"/>
      <c r="X1057" s="8"/>
      <c r="Y1057" s="8"/>
      <c r="Z1057" s="8"/>
    </row>
    <row r="1058" ht="14.25" customHeight="1">
      <c r="A1058" s="8">
        <v>25589.0</v>
      </c>
      <c r="B1058" s="8" t="s">
        <v>24</v>
      </c>
      <c r="C1058" s="8" t="s">
        <v>197</v>
      </c>
      <c r="D1058" s="8">
        <v>2018.0</v>
      </c>
      <c r="E1058" s="8" t="s">
        <v>3095</v>
      </c>
      <c r="F1058" s="8" t="s">
        <v>1599</v>
      </c>
      <c r="G1058" s="8">
        <v>16.0</v>
      </c>
      <c r="H1058" s="8">
        <v>4.0</v>
      </c>
      <c r="I1058" s="8" t="s">
        <v>3096</v>
      </c>
      <c r="J1058" s="8" t="s">
        <v>29</v>
      </c>
      <c r="K1058" s="8"/>
      <c r="L1058" s="8"/>
      <c r="M1058" s="8"/>
      <c r="N1058" s="8"/>
      <c r="O1058" s="8"/>
      <c r="P1058" s="8"/>
      <c r="Q1058" s="8"/>
      <c r="R1058" s="8"/>
      <c r="S1058" s="8"/>
      <c r="T1058" s="8"/>
      <c r="U1058" s="8"/>
      <c r="V1058" s="8"/>
      <c r="W1058" s="8"/>
      <c r="X1058" s="8"/>
      <c r="Y1058" s="8"/>
      <c r="Z1058" s="8"/>
    </row>
    <row r="1059" ht="14.25" customHeight="1">
      <c r="A1059" s="8">
        <v>25542.0</v>
      </c>
      <c r="B1059" s="8" t="s">
        <v>24</v>
      </c>
      <c r="C1059" s="8" t="s">
        <v>3097</v>
      </c>
      <c r="D1059" s="8">
        <v>2019.0</v>
      </c>
      <c r="E1059" s="8" t="s">
        <v>3098</v>
      </c>
      <c r="F1059" s="8" t="s">
        <v>49</v>
      </c>
      <c r="G1059" s="8">
        <v>666.0</v>
      </c>
      <c r="H1059" s="8" t="s">
        <v>33</v>
      </c>
      <c r="I1059" s="8" t="s">
        <v>3099</v>
      </c>
      <c r="J1059" s="8" t="s">
        <v>29</v>
      </c>
      <c r="K1059" s="8"/>
      <c r="L1059" s="8"/>
      <c r="M1059" s="8"/>
      <c r="N1059" s="8"/>
      <c r="O1059" s="8"/>
      <c r="P1059" s="8"/>
      <c r="Q1059" s="8"/>
      <c r="R1059" s="8"/>
      <c r="S1059" s="8"/>
      <c r="T1059" s="8"/>
      <c r="U1059" s="8"/>
      <c r="V1059" s="8"/>
      <c r="W1059" s="8"/>
      <c r="X1059" s="8"/>
      <c r="Y1059" s="8"/>
      <c r="Z1059" s="8"/>
    </row>
    <row r="1060" ht="14.25" customHeight="1">
      <c r="A1060" s="8">
        <v>23609.0</v>
      </c>
      <c r="B1060" s="8" t="s">
        <v>24</v>
      </c>
      <c r="C1060" s="8" t="s">
        <v>3100</v>
      </c>
      <c r="D1060" s="8">
        <v>2015.0</v>
      </c>
      <c r="E1060" s="8" t="s">
        <v>3101</v>
      </c>
      <c r="F1060" s="8" t="s">
        <v>36</v>
      </c>
      <c r="G1060" s="8">
        <v>10.0</v>
      </c>
      <c r="H1060" s="8">
        <v>4.0</v>
      </c>
      <c r="I1060" s="8" t="s">
        <v>33</v>
      </c>
      <c r="J1060" s="8" t="s">
        <v>29</v>
      </c>
      <c r="K1060" s="8"/>
      <c r="L1060" s="8"/>
      <c r="M1060" s="8"/>
      <c r="N1060" s="8"/>
      <c r="O1060" s="8"/>
      <c r="P1060" s="8"/>
      <c r="Q1060" s="8"/>
      <c r="R1060" s="8"/>
      <c r="S1060" s="8"/>
      <c r="T1060" s="8"/>
      <c r="U1060" s="8"/>
      <c r="V1060" s="8"/>
      <c r="W1060" s="8"/>
      <c r="X1060" s="8"/>
      <c r="Y1060" s="8"/>
      <c r="Z1060" s="8"/>
    </row>
    <row r="1061" ht="14.25" customHeight="1">
      <c r="A1061" s="8">
        <v>25159.0</v>
      </c>
      <c r="B1061" s="8" t="s">
        <v>24</v>
      </c>
      <c r="C1061" s="8" t="s">
        <v>3102</v>
      </c>
      <c r="D1061" s="8">
        <v>2018.0</v>
      </c>
      <c r="E1061" s="8" t="s">
        <v>3103</v>
      </c>
      <c r="F1061" s="8" t="s">
        <v>3104</v>
      </c>
      <c r="G1061" s="8">
        <v>11.0</v>
      </c>
      <c r="H1061" s="8">
        <v>5.0</v>
      </c>
      <c r="I1061" s="8" t="s">
        <v>3105</v>
      </c>
      <c r="J1061" s="8" t="s">
        <v>29</v>
      </c>
      <c r="K1061" s="8"/>
      <c r="L1061" s="8"/>
      <c r="M1061" s="8"/>
      <c r="N1061" s="8"/>
      <c r="O1061" s="8"/>
      <c r="P1061" s="8"/>
      <c r="Q1061" s="8"/>
      <c r="R1061" s="8"/>
      <c r="S1061" s="8"/>
      <c r="T1061" s="8"/>
      <c r="U1061" s="8"/>
      <c r="V1061" s="8"/>
      <c r="W1061" s="8"/>
      <c r="X1061" s="8"/>
      <c r="Y1061" s="8"/>
      <c r="Z1061" s="8"/>
    </row>
    <row r="1062" ht="14.25" customHeight="1">
      <c r="A1062" s="8">
        <v>24024.0</v>
      </c>
      <c r="B1062" s="8" t="s">
        <v>24</v>
      </c>
      <c r="C1062" s="8" t="s">
        <v>3106</v>
      </c>
      <c r="D1062" s="8">
        <v>2014.0</v>
      </c>
      <c r="E1062" s="8" t="s">
        <v>3107</v>
      </c>
      <c r="F1062" s="8" t="s">
        <v>615</v>
      </c>
      <c r="G1062" s="8">
        <v>23.0</v>
      </c>
      <c r="H1062" s="8">
        <v>11.0</v>
      </c>
      <c r="I1062" s="8" t="s">
        <v>3108</v>
      </c>
      <c r="J1062" s="8" t="s">
        <v>29</v>
      </c>
      <c r="K1062" s="8"/>
      <c r="L1062" s="8"/>
      <c r="M1062" s="8"/>
      <c r="N1062" s="8"/>
      <c r="O1062" s="8"/>
      <c r="P1062" s="8"/>
      <c r="Q1062" s="8"/>
      <c r="R1062" s="8"/>
      <c r="S1062" s="8"/>
      <c r="T1062" s="8"/>
      <c r="U1062" s="8"/>
      <c r="V1062" s="8"/>
      <c r="W1062" s="8"/>
      <c r="X1062" s="8"/>
      <c r="Y1062" s="8"/>
      <c r="Z1062" s="8"/>
    </row>
    <row r="1063" ht="14.25" customHeight="1">
      <c r="A1063" s="8">
        <v>23903.0</v>
      </c>
      <c r="B1063" s="8" t="s">
        <v>24</v>
      </c>
      <c r="C1063" s="8" t="s">
        <v>3109</v>
      </c>
      <c r="D1063" s="8">
        <v>2020.0</v>
      </c>
      <c r="E1063" s="8" t="s">
        <v>3110</v>
      </c>
      <c r="F1063" s="8" t="s">
        <v>1419</v>
      </c>
      <c r="G1063" s="8">
        <v>10.0</v>
      </c>
      <c r="H1063" s="8">
        <v>13.0</v>
      </c>
      <c r="I1063" s="8" t="s">
        <v>3111</v>
      </c>
      <c r="J1063" s="8" t="s">
        <v>29</v>
      </c>
      <c r="K1063" s="8"/>
      <c r="L1063" s="8"/>
      <c r="M1063" s="8"/>
      <c r="N1063" s="8"/>
      <c r="O1063" s="8"/>
      <c r="P1063" s="8"/>
      <c r="Q1063" s="8"/>
      <c r="R1063" s="8"/>
      <c r="S1063" s="8"/>
      <c r="T1063" s="8"/>
      <c r="U1063" s="8"/>
      <c r="V1063" s="8"/>
      <c r="W1063" s="8"/>
      <c r="X1063" s="8"/>
      <c r="Y1063" s="8"/>
      <c r="Z1063" s="8"/>
    </row>
    <row r="1064" ht="14.25" customHeight="1">
      <c r="A1064" s="8">
        <v>25567.0</v>
      </c>
      <c r="B1064" s="8" t="s">
        <v>24</v>
      </c>
      <c r="C1064" s="8" t="s">
        <v>3112</v>
      </c>
      <c r="D1064" s="8">
        <v>2015.0</v>
      </c>
      <c r="E1064" s="8" t="s">
        <v>3113</v>
      </c>
      <c r="F1064" s="8" t="s">
        <v>3114</v>
      </c>
      <c r="G1064" s="8" t="s">
        <v>33</v>
      </c>
      <c r="H1064" s="8">
        <v>11.0</v>
      </c>
      <c r="I1064" s="8" t="s">
        <v>3115</v>
      </c>
      <c r="J1064" s="8" t="s">
        <v>29</v>
      </c>
      <c r="K1064" s="8"/>
      <c r="L1064" s="8"/>
      <c r="M1064" s="8"/>
      <c r="N1064" s="8"/>
      <c r="O1064" s="8"/>
      <c r="P1064" s="8"/>
      <c r="Q1064" s="8"/>
      <c r="R1064" s="8"/>
      <c r="S1064" s="8"/>
      <c r="T1064" s="8"/>
      <c r="U1064" s="8"/>
      <c r="V1064" s="8"/>
      <c r="W1064" s="8"/>
      <c r="X1064" s="8"/>
      <c r="Y1064" s="8"/>
      <c r="Z1064" s="8"/>
    </row>
    <row r="1065" ht="14.25" customHeight="1">
      <c r="A1065" s="8">
        <v>25150.0</v>
      </c>
      <c r="B1065" s="8" t="s">
        <v>24</v>
      </c>
      <c r="C1065" s="8" t="s">
        <v>3116</v>
      </c>
      <c r="D1065" s="8">
        <v>2015.0</v>
      </c>
      <c r="E1065" s="8" t="s">
        <v>3117</v>
      </c>
      <c r="F1065" s="8" t="s">
        <v>3118</v>
      </c>
      <c r="G1065" s="8">
        <v>117.0</v>
      </c>
      <c r="H1065" s="8">
        <v>4.0</v>
      </c>
      <c r="I1065" s="8" t="s">
        <v>3119</v>
      </c>
      <c r="J1065" s="8" t="s">
        <v>29</v>
      </c>
      <c r="K1065" s="8"/>
      <c r="L1065" s="8"/>
      <c r="M1065" s="8"/>
      <c r="N1065" s="8"/>
      <c r="O1065" s="8"/>
      <c r="P1065" s="8"/>
      <c r="Q1065" s="8"/>
      <c r="R1065" s="8"/>
      <c r="S1065" s="8"/>
      <c r="T1065" s="8"/>
      <c r="U1065" s="8"/>
      <c r="V1065" s="8"/>
      <c r="W1065" s="8"/>
      <c r="X1065" s="8"/>
      <c r="Y1065" s="8"/>
      <c r="Z1065" s="8"/>
    </row>
    <row r="1066" ht="14.25" customHeight="1">
      <c r="A1066" s="8">
        <v>23866.0</v>
      </c>
      <c r="B1066" s="8" t="s">
        <v>24</v>
      </c>
      <c r="C1066" s="8" t="s">
        <v>3120</v>
      </c>
      <c r="D1066" s="8">
        <v>2012.0</v>
      </c>
      <c r="E1066" s="8" t="s">
        <v>3121</v>
      </c>
      <c r="F1066" s="8" t="s">
        <v>36</v>
      </c>
      <c r="G1066" s="8">
        <v>7.0</v>
      </c>
      <c r="H1066" s="8">
        <v>7.0</v>
      </c>
      <c r="I1066" s="8" t="s">
        <v>33</v>
      </c>
      <c r="J1066" s="8" t="s">
        <v>29</v>
      </c>
      <c r="K1066" s="8"/>
      <c r="L1066" s="8"/>
      <c r="M1066" s="8"/>
      <c r="N1066" s="8"/>
      <c r="O1066" s="8"/>
      <c r="P1066" s="8"/>
      <c r="Q1066" s="8"/>
      <c r="R1066" s="8"/>
      <c r="S1066" s="8"/>
      <c r="T1066" s="8"/>
      <c r="U1066" s="8"/>
      <c r="V1066" s="8"/>
      <c r="W1066" s="8"/>
      <c r="X1066" s="8"/>
      <c r="Y1066" s="8"/>
      <c r="Z1066" s="8"/>
    </row>
    <row r="1067" ht="14.25" customHeight="1">
      <c r="A1067" s="8">
        <v>24511.0</v>
      </c>
      <c r="B1067" s="8" t="s">
        <v>24</v>
      </c>
      <c r="C1067" s="8" t="s">
        <v>3122</v>
      </c>
      <c r="D1067" s="8">
        <v>2014.0</v>
      </c>
      <c r="E1067" s="8" t="s">
        <v>3123</v>
      </c>
      <c r="F1067" s="8" t="s">
        <v>36</v>
      </c>
      <c r="G1067" s="8">
        <v>9.0</v>
      </c>
      <c r="H1067" s="8">
        <v>8.0</v>
      </c>
      <c r="I1067" s="8" t="s">
        <v>33</v>
      </c>
      <c r="J1067" s="8" t="s">
        <v>29</v>
      </c>
      <c r="K1067" s="8"/>
      <c r="L1067" s="8"/>
      <c r="M1067" s="8"/>
      <c r="N1067" s="8"/>
      <c r="O1067" s="8"/>
      <c r="P1067" s="8"/>
      <c r="Q1067" s="8"/>
      <c r="R1067" s="8"/>
      <c r="S1067" s="8"/>
      <c r="T1067" s="8"/>
      <c r="U1067" s="8"/>
      <c r="V1067" s="8"/>
      <c r="W1067" s="8"/>
      <c r="X1067" s="8"/>
      <c r="Y1067" s="8"/>
      <c r="Z1067" s="8"/>
    </row>
    <row r="1068" ht="14.25" customHeight="1">
      <c r="A1068" s="8">
        <v>24698.0</v>
      </c>
      <c r="B1068" s="8" t="s">
        <v>24</v>
      </c>
      <c r="C1068" s="8" t="s">
        <v>3124</v>
      </c>
      <c r="D1068" s="8">
        <v>2019.0</v>
      </c>
      <c r="E1068" s="8" t="s">
        <v>3125</v>
      </c>
      <c r="F1068" s="8" t="s">
        <v>2225</v>
      </c>
      <c r="G1068" s="8">
        <v>89.0</v>
      </c>
      <c r="H1068" s="8">
        <v>1.0</v>
      </c>
      <c r="I1068" s="8" t="s">
        <v>3126</v>
      </c>
      <c r="J1068" s="8" t="s">
        <v>29</v>
      </c>
      <c r="K1068" s="8"/>
      <c r="L1068" s="8"/>
      <c r="M1068" s="8"/>
      <c r="N1068" s="8"/>
      <c r="O1068" s="8"/>
      <c r="P1068" s="8"/>
      <c r="Q1068" s="8"/>
      <c r="R1068" s="8"/>
      <c r="S1068" s="8"/>
      <c r="T1068" s="8"/>
      <c r="U1068" s="8"/>
      <c r="V1068" s="8"/>
      <c r="W1068" s="8"/>
      <c r="X1068" s="8"/>
      <c r="Y1068" s="8"/>
      <c r="Z1068" s="8"/>
    </row>
    <row r="1069" ht="14.25" customHeight="1">
      <c r="A1069" s="8">
        <v>24120.0</v>
      </c>
      <c r="B1069" s="8" t="s">
        <v>24</v>
      </c>
      <c r="C1069" s="8" t="s">
        <v>3127</v>
      </c>
      <c r="D1069" s="8">
        <v>2013.0</v>
      </c>
      <c r="E1069" s="8" t="s">
        <v>3128</v>
      </c>
      <c r="F1069" s="8" t="s">
        <v>36</v>
      </c>
      <c r="G1069" s="8">
        <v>8.0</v>
      </c>
      <c r="H1069" s="8">
        <v>1.0</v>
      </c>
      <c r="I1069" s="8" t="s">
        <v>33</v>
      </c>
      <c r="J1069" s="8" t="s">
        <v>29</v>
      </c>
      <c r="K1069" s="8"/>
      <c r="L1069" s="8"/>
      <c r="M1069" s="8"/>
      <c r="N1069" s="8"/>
      <c r="O1069" s="8"/>
      <c r="P1069" s="8"/>
      <c r="Q1069" s="8"/>
      <c r="R1069" s="8"/>
      <c r="S1069" s="8"/>
      <c r="T1069" s="8"/>
      <c r="U1069" s="8"/>
      <c r="V1069" s="8"/>
      <c r="W1069" s="8"/>
      <c r="X1069" s="8"/>
      <c r="Y1069" s="8"/>
      <c r="Z1069" s="8"/>
    </row>
    <row r="1070" ht="14.25" customHeight="1">
      <c r="A1070" s="8">
        <v>24186.0</v>
      </c>
      <c r="B1070" s="8" t="s">
        <v>24</v>
      </c>
      <c r="C1070" s="8" t="s">
        <v>3129</v>
      </c>
      <c r="D1070" s="8">
        <v>2019.0</v>
      </c>
      <c r="E1070" s="8" t="s">
        <v>3130</v>
      </c>
      <c r="F1070" s="8" t="s">
        <v>53</v>
      </c>
      <c r="G1070" s="8">
        <v>10.0</v>
      </c>
      <c r="H1070" s="8">
        <v>2.0</v>
      </c>
      <c r="I1070" s="8">
        <v>23.0</v>
      </c>
      <c r="J1070" s="8" t="s">
        <v>29</v>
      </c>
      <c r="K1070" s="8"/>
      <c r="L1070" s="8"/>
      <c r="M1070" s="8"/>
      <c r="N1070" s="8"/>
      <c r="O1070" s="8"/>
      <c r="P1070" s="8"/>
      <c r="Q1070" s="8"/>
      <c r="R1070" s="8"/>
      <c r="S1070" s="8"/>
      <c r="T1070" s="8"/>
      <c r="U1070" s="8"/>
      <c r="V1070" s="8"/>
      <c r="W1070" s="8"/>
      <c r="X1070" s="8"/>
      <c r="Y1070" s="8"/>
      <c r="Z1070" s="8"/>
    </row>
  </sheetData>
  <autoFilter ref="$A$1:$J$1070"/>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63"/>
  </cols>
  <sheetData>
    <row r="1" ht="14.25" customHeight="1">
      <c r="A1" s="13" t="s">
        <v>13</v>
      </c>
      <c r="B1" s="13" t="s">
        <v>15</v>
      </c>
      <c r="C1" s="13" t="s">
        <v>3131</v>
      </c>
      <c r="D1" s="13" t="s">
        <v>3132</v>
      </c>
      <c r="E1" s="13" t="s">
        <v>3133</v>
      </c>
      <c r="F1" s="13" t="s">
        <v>3134</v>
      </c>
      <c r="G1" s="13" t="s">
        <v>3135</v>
      </c>
      <c r="H1" s="13" t="s">
        <v>3136</v>
      </c>
      <c r="I1" s="13" t="s">
        <v>3137</v>
      </c>
      <c r="J1" s="13" t="s">
        <v>3138</v>
      </c>
      <c r="K1" s="13" t="s">
        <v>3139</v>
      </c>
      <c r="L1" s="13" t="s">
        <v>3140</v>
      </c>
      <c r="M1" s="13" t="s">
        <v>3141</v>
      </c>
      <c r="N1" s="13" t="s">
        <v>3142</v>
      </c>
      <c r="O1" s="13" t="s">
        <v>3143</v>
      </c>
      <c r="P1" s="13" t="s">
        <v>3144</v>
      </c>
      <c r="Q1" s="13" t="s">
        <v>3145</v>
      </c>
      <c r="R1" s="13" t="s">
        <v>3146</v>
      </c>
      <c r="S1" s="13" t="s">
        <v>3147</v>
      </c>
      <c r="T1" s="13" t="s">
        <v>3148</v>
      </c>
      <c r="U1" s="13" t="s">
        <v>3149</v>
      </c>
      <c r="V1" s="13" t="s">
        <v>3150</v>
      </c>
      <c r="W1" s="13" t="s">
        <v>3151</v>
      </c>
      <c r="X1" s="13" t="s">
        <v>3152</v>
      </c>
    </row>
    <row r="2" ht="14.25" customHeight="1">
      <c r="A2" s="13">
        <v>25370.0</v>
      </c>
      <c r="B2" s="13" t="s">
        <v>2670</v>
      </c>
      <c r="C2" s="13">
        <v>2014.0</v>
      </c>
      <c r="D2" s="13" t="s">
        <v>3153</v>
      </c>
      <c r="E2" s="13" t="s">
        <v>3154</v>
      </c>
      <c r="F2" s="13" t="s">
        <v>3155</v>
      </c>
      <c r="G2" s="13" t="s">
        <v>3156</v>
      </c>
      <c r="H2" s="13" t="s">
        <v>33</v>
      </c>
      <c r="I2" s="13" t="s">
        <v>3157</v>
      </c>
      <c r="J2" s="13" t="s">
        <v>3158</v>
      </c>
      <c r="K2" s="13" t="s">
        <v>3159</v>
      </c>
      <c r="L2" s="13" t="s">
        <v>3160</v>
      </c>
      <c r="M2" s="13" t="s">
        <v>3161</v>
      </c>
      <c r="N2" s="13">
        <v>1.0</v>
      </c>
      <c r="O2" s="13" t="s">
        <v>3162</v>
      </c>
      <c r="P2" s="13" t="s">
        <v>33</v>
      </c>
      <c r="Q2" s="13" t="s">
        <v>3159</v>
      </c>
      <c r="R2" s="13" t="s">
        <v>3163</v>
      </c>
      <c r="S2" s="13" t="s">
        <v>33</v>
      </c>
      <c r="T2" s="13" t="s">
        <v>3164</v>
      </c>
      <c r="U2" s="13" t="s">
        <v>3165</v>
      </c>
      <c r="V2" s="13" t="s">
        <v>3166</v>
      </c>
      <c r="W2" s="13" t="s">
        <v>3167</v>
      </c>
      <c r="X2" s="13" t="s">
        <v>3168</v>
      </c>
    </row>
    <row r="3" ht="14.25" customHeight="1">
      <c r="A3" s="13">
        <v>23013.0</v>
      </c>
      <c r="B3" s="13" t="s">
        <v>2614</v>
      </c>
      <c r="C3" s="13">
        <v>2018.0</v>
      </c>
      <c r="D3" s="13" t="s">
        <v>3153</v>
      </c>
      <c r="E3" s="13" t="s">
        <v>3169</v>
      </c>
      <c r="F3" s="13" t="s">
        <v>3170</v>
      </c>
      <c r="G3" s="13" t="s">
        <v>3156</v>
      </c>
      <c r="H3" s="13" t="s">
        <v>3167</v>
      </c>
      <c r="I3" s="13" t="s">
        <v>3171</v>
      </c>
      <c r="J3" s="13" t="s">
        <v>3172</v>
      </c>
      <c r="K3" s="13" t="s">
        <v>3173</v>
      </c>
      <c r="L3" s="13" t="s">
        <v>3160</v>
      </c>
      <c r="M3" s="13" t="s">
        <v>3174</v>
      </c>
      <c r="N3" s="13">
        <v>4.0</v>
      </c>
      <c r="O3" s="13" t="s">
        <v>3175</v>
      </c>
      <c r="P3" s="13" t="s">
        <v>3176</v>
      </c>
      <c r="Q3" s="13" t="s">
        <v>3159</v>
      </c>
      <c r="R3" s="13" t="s">
        <v>3177</v>
      </c>
      <c r="S3" s="13" t="s">
        <v>3167</v>
      </c>
      <c r="T3" s="13" t="s">
        <v>3164</v>
      </c>
      <c r="U3" s="13" t="s">
        <v>3164</v>
      </c>
      <c r="V3" s="13" t="s">
        <v>3166</v>
      </c>
      <c r="W3" s="13" t="s">
        <v>3167</v>
      </c>
      <c r="X3" s="13" t="s">
        <v>3178</v>
      </c>
    </row>
    <row r="4" ht="14.25" customHeight="1">
      <c r="A4" s="13">
        <v>23018.0</v>
      </c>
      <c r="B4" s="13" t="s">
        <v>954</v>
      </c>
      <c r="C4" s="13">
        <v>2019.0</v>
      </c>
      <c r="D4" s="13" t="s">
        <v>3153</v>
      </c>
      <c r="E4" s="13" t="s">
        <v>3179</v>
      </c>
      <c r="F4" s="13" t="s">
        <v>3170</v>
      </c>
      <c r="G4" s="13" t="s">
        <v>3180</v>
      </c>
      <c r="H4" s="13">
        <v>0.1</v>
      </c>
      <c r="I4" s="13" t="s">
        <v>3181</v>
      </c>
      <c r="J4" s="13" t="s">
        <v>3182</v>
      </c>
      <c r="K4" s="13" t="s">
        <v>3183</v>
      </c>
      <c r="L4" s="13" t="s">
        <v>3160</v>
      </c>
      <c r="M4" s="13" t="s">
        <v>3184</v>
      </c>
      <c r="N4" s="13">
        <v>1.0</v>
      </c>
      <c r="O4" s="13" t="s">
        <v>3162</v>
      </c>
      <c r="P4" s="13" t="s">
        <v>3185</v>
      </c>
      <c r="Q4" s="13" t="s">
        <v>3186</v>
      </c>
      <c r="R4" s="13" t="s">
        <v>3177</v>
      </c>
      <c r="S4" s="13" t="s">
        <v>33</v>
      </c>
      <c r="T4" s="13" t="s">
        <v>3164</v>
      </c>
      <c r="U4" s="13" t="s">
        <v>3164</v>
      </c>
      <c r="V4" s="13" t="s">
        <v>3166</v>
      </c>
      <c r="W4" s="13" t="s">
        <v>3167</v>
      </c>
      <c r="X4" s="13" t="s">
        <v>3178</v>
      </c>
    </row>
    <row r="5" ht="14.25" customHeight="1">
      <c r="A5" s="13">
        <v>23019.0</v>
      </c>
      <c r="B5" s="13" t="s">
        <v>1882</v>
      </c>
      <c r="C5" s="13">
        <v>2015.0</v>
      </c>
      <c r="D5" s="13" t="s">
        <v>3153</v>
      </c>
      <c r="E5" s="13" t="s">
        <v>3169</v>
      </c>
      <c r="F5" s="13" t="s">
        <v>3170</v>
      </c>
      <c r="G5" s="13" t="s">
        <v>3187</v>
      </c>
      <c r="H5" s="13">
        <v>1.0</v>
      </c>
      <c r="I5" s="13" t="s">
        <v>3188</v>
      </c>
      <c r="J5" s="13" t="s">
        <v>3189</v>
      </c>
      <c r="K5" s="13" t="s">
        <v>3190</v>
      </c>
      <c r="L5" s="13" t="s">
        <v>3177</v>
      </c>
      <c r="M5" s="13" t="s">
        <v>3191</v>
      </c>
      <c r="N5" s="13">
        <v>1.0</v>
      </c>
      <c r="O5" s="13" t="s">
        <v>3162</v>
      </c>
      <c r="P5" s="13" t="s">
        <v>3167</v>
      </c>
      <c r="Q5" s="13" t="s">
        <v>3190</v>
      </c>
      <c r="R5" s="13" t="s">
        <v>3177</v>
      </c>
      <c r="S5" s="13" t="s">
        <v>33</v>
      </c>
      <c r="T5" s="13" t="s">
        <v>3164</v>
      </c>
      <c r="U5" s="13" t="s">
        <v>3164</v>
      </c>
      <c r="V5" s="13" t="s">
        <v>3166</v>
      </c>
      <c r="W5" s="13" t="s">
        <v>3167</v>
      </c>
      <c r="X5" s="13" t="s">
        <v>3178</v>
      </c>
    </row>
    <row r="6" ht="14.25" customHeight="1">
      <c r="A6" s="13">
        <v>23020.0</v>
      </c>
      <c r="B6" s="13" t="s">
        <v>2522</v>
      </c>
      <c r="C6" s="13">
        <v>2019.0</v>
      </c>
      <c r="D6" s="13" t="s">
        <v>3153</v>
      </c>
      <c r="E6" s="13" t="s">
        <v>3179</v>
      </c>
      <c r="F6" s="13" t="s">
        <v>3192</v>
      </c>
      <c r="G6" s="13" t="s">
        <v>3156</v>
      </c>
      <c r="H6" s="13" t="s">
        <v>3167</v>
      </c>
      <c r="I6" s="13" t="s">
        <v>3193</v>
      </c>
      <c r="J6" s="13" t="s">
        <v>3194</v>
      </c>
      <c r="K6" s="13" t="s">
        <v>3195</v>
      </c>
      <c r="L6" s="13" t="s">
        <v>3177</v>
      </c>
      <c r="M6" s="13" t="s">
        <v>3196</v>
      </c>
      <c r="N6" s="13">
        <v>1.0</v>
      </c>
      <c r="O6" s="13" t="s">
        <v>3162</v>
      </c>
      <c r="P6" s="13" t="s">
        <v>3167</v>
      </c>
      <c r="Q6" s="13" t="s">
        <v>3195</v>
      </c>
      <c r="R6" s="13" t="s">
        <v>3163</v>
      </c>
      <c r="S6" s="13" t="s">
        <v>33</v>
      </c>
      <c r="T6" s="13" t="s">
        <v>3164</v>
      </c>
      <c r="U6" s="13" t="s">
        <v>3197</v>
      </c>
      <c r="V6" s="13" t="s">
        <v>3166</v>
      </c>
      <c r="W6" s="13" t="s">
        <v>3167</v>
      </c>
      <c r="X6" s="13" t="s">
        <v>3198</v>
      </c>
    </row>
    <row r="7" ht="14.25" customHeight="1">
      <c r="A7" s="13">
        <v>23022.0</v>
      </c>
      <c r="B7" s="13" t="s">
        <v>2799</v>
      </c>
      <c r="C7" s="13">
        <v>2007.0</v>
      </c>
      <c r="D7" s="13" t="s">
        <v>3153</v>
      </c>
      <c r="E7" s="13" t="s">
        <v>3169</v>
      </c>
      <c r="F7" s="13" t="s">
        <v>3192</v>
      </c>
      <c r="G7" s="13" t="s">
        <v>3187</v>
      </c>
      <c r="H7" s="13">
        <v>1.0</v>
      </c>
      <c r="I7" s="13" t="s">
        <v>3157</v>
      </c>
      <c r="J7" s="13" t="s">
        <v>3199</v>
      </c>
      <c r="K7" s="13" t="s">
        <v>3159</v>
      </c>
      <c r="L7" s="13" t="s">
        <v>3160</v>
      </c>
      <c r="M7" s="13" t="s">
        <v>3200</v>
      </c>
      <c r="N7" s="13">
        <v>1.0</v>
      </c>
      <c r="O7" s="13" t="s">
        <v>3162</v>
      </c>
      <c r="P7" s="13" t="s">
        <v>3167</v>
      </c>
      <c r="Q7" s="13" t="s">
        <v>3201</v>
      </c>
      <c r="R7" s="13" t="s">
        <v>3177</v>
      </c>
      <c r="S7" s="13" t="s">
        <v>33</v>
      </c>
      <c r="T7" s="13" t="s">
        <v>3164</v>
      </c>
      <c r="U7" s="13" t="s">
        <v>3164</v>
      </c>
      <c r="V7" s="13" t="s">
        <v>3166</v>
      </c>
      <c r="W7" s="13" t="s">
        <v>3167</v>
      </c>
      <c r="X7" s="13" t="s">
        <v>3178</v>
      </c>
    </row>
    <row r="8" ht="14.25" customHeight="1">
      <c r="A8" s="13">
        <v>23030.0</v>
      </c>
      <c r="B8" s="13" t="s">
        <v>2085</v>
      </c>
      <c r="C8" s="13">
        <v>2015.0</v>
      </c>
      <c r="D8" s="13" t="s">
        <v>3153</v>
      </c>
      <c r="E8" s="13" t="s">
        <v>3169</v>
      </c>
      <c r="F8" s="13" t="s">
        <v>3192</v>
      </c>
      <c r="G8" s="13" t="s">
        <v>3202</v>
      </c>
      <c r="H8" s="13">
        <v>250.0</v>
      </c>
      <c r="I8" s="13" t="s">
        <v>3203</v>
      </c>
      <c r="J8" s="13" t="s">
        <v>3204</v>
      </c>
      <c r="K8" s="13" t="s">
        <v>3173</v>
      </c>
      <c r="L8" s="13" t="s">
        <v>3160</v>
      </c>
      <c r="M8" s="13" t="s">
        <v>3161</v>
      </c>
      <c r="N8" s="13">
        <v>1.0</v>
      </c>
      <c r="O8" s="13" t="s">
        <v>3162</v>
      </c>
      <c r="P8" s="13" t="s">
        <v>3167</v>
      </c>
      <c r="Q8" s="13" t="s">
        <v>3205</v>
      </c>
      <c r="R8" s="13" t="s">
        <v>3163</v>
      </c>
      <c r="S8" s="13" t="s">
        <v>3206</v>
      </c>
      <c r="T8" s="13" t="s">
        <v>3195</v>
      </c>
      <c r="U8" s="13" t="s">
        <v>3195</v>
      </c>
      <c r="V8" s="13" t="s">
        <v>3195</v>
      </c>
      <c r="W8" s="13" t="s">
        <v>3167</v>
      </c>
      <c r="X8" s="13" t="s">
        <v>3167</v>
      </c>
    </row>
    <row r="9" ht="14.25" customHeight="1">
      <c r="A9" s="13">
        <v>23046.0</v>
      </c>
      <c r="B9" s="13" t="s">
        <v>516</v>
      </c>
      <c r="C9" s="13">
        <v>2015.0</v>
      </c>
      <c r="D9" s="13" t="s">
        <v>3153</v>
      </c>
      <c r="E9" s="13" t="s">
        <v>3169</v>
      </c>
      <c r="F9" s="13" t="s">
        <v>3170</v>
      </c>
      <c r="G9" s="13" t="s">
        <v>3156</v>
      </c>
      <c r="H9" s="13" t="s">
        <v>33</v>
      </c>
      <c r="I9" s="13" t="s">
        <v>3188</v>
      </c>
      <c r="J9" s="13" t="s">
        <v>3207</v>
      </c>
      <c r="K9" s="13" t="s">
        <v>3208</v>
      </c>
      <c r="L9" s="13" t="s">
        <v>3160</v>
      </c>
      <c r="M9" s="13" t="s">
        <v>3209</v>
      </c>
      <c r="N9" s="13">
        <v>3.0</v>
      </c>
      <c r="O9" s="13" t="s">
        <v>3162</v>
      </c>
      <c r="P9" s="13" t="s">
        <v>33</v>
      </c>
      <c r="Q9" s="13" t="s">
        <v>3210</v>
      </c>
      <c r="R9" s="13" t="s">
        <v>3163</v>
      </c>
      <c r="S9" s="13" t="s">
        <v>33</v>
      </c>
      <c r="T9" s="13" t="s">
        <v>3195</v>
      </c>
      <c r="U9" s="13" t="s">
        <v>3195</v>
      </c>
      <c r="V9" s="13" t="s">
        <v>3195</v>
      </c>
      <c r="W9" s="13" t="s">
        <v>3167</v>
      </c>
      <c r="X9" s="13" t="s">
        <v>3167</v>
      </c>
    </row>
    <row r="10" ht="14.25" customHeight="1">
      <c r="A10" s="13">
        <v>23047.0</v>
      </c>
      <c r="B10" s="13" t="s">
        <v>1192</v>
      </c>
      <c r="C10" s="13">
        <v>2019.0</v>
      </c>
      <c r="D10" s="13" t="s">
        <v>3153</v>
      </c>
      <c r="E10" s="13" t="s">
        <v>3169</v>
      </c>
      <c r="F10" s="13" t="s">
        <v>3211</v>
      </c>
      <c r="G10" s="13" t="s">
        <v>3187</v>
      </c>
      <c r="H10" s="13">
        <v>1.0</v>
      </c>
      <c r="I10" s="13" t="s">
        <v>3188</v>
      </c>
      <c r="J10" s="13" t="s">
        <v>3212</v>
      </c>
      <c r="K10" s="13" t="s">
        <v>3186</v>
      </c>
      <c r="L10" s="13" t="s">
        <v>3177</v>
      </c>
      <c r="M10" s="13" t="s">
        <v>3213</v>
      </c>
      <c r="N10" s="13">
        <v>2.0</v>
      </c>
      <c r="O10" s="13" t="s">
        <v>3162</v>
      </c>
      <c r="P10" s="13" t="s">
        <v>33</v>
      </c>
      <c r="Q10" s="13" t="s">
        <v>3214</v>
      </c>
      <c r="R10" s="13" t="s">
        <v>3163</v>
      </c>
      <c r="S10" s="13" t="s">
        <v>33</v>
      </c>
      <c r="T10" s="13" t="s">
        <v>3215</v>
      </c>
      <c r="U10" s="13" t="s">
        <v>3215</v>
      </c>
      <c r="V10" s="13" t="s">
        <v>3166</v>
      </c>
      <c r="W10" s="13" t="s">
        <v>3167</v>
      </c>
      <c r="X10" s="13" t="s">
        <v>3216</v>
      </c>
    </row>
    <row r="11" ht="14.25" customHeight="1">
      <c r="A11" s="13">
        <v>23061.0</v>
      </c>
      <c r="B11" s="13" t="s">
        <v>2022</v>
      </c>
      <c r="C11" s="13">
        <v>2017.0</v>
      </c>
      <c r="D11" s="13" t="s">
        <v>3153</v>
      </c>
      <c r="E11" s="13" t="s">
        <v>3179</v>
      </c>
      <c r="F11" s="13" t="s">
        <v>3217</v>
      </c>
      <c r="G11" s="13" t="s">
        <v>3180</v>
      </c>
      <c r="H11" s="13">
        <v>1.0</v>
      </c>
      <c r="I11" s="13" t="s">
        <v>3167</v>
      </c>
      <c r="J11" s="13" t="s">
        <v>3167</v>
      </c>
      <c r="K11" s="13" t="s">
        <v>3218</v>
      </c>
      <c r="L11" s="13" t="s">
        <v>3160</v>
      </c>
      <c r="M11" s="13" t="s">
        <v>3219</v>
      </c>
      <c r="N11" s="13">
        <v>10.0</v>
      </c>
      <c r="O11" s="13" t="s">
        <v>3175</v>
      </c>
      <c r="P11" s="13" t="s">
        <v>3220</v>
      </c>
      <c r="Q11" s="13" t="s">
        <v>3183</v>
      </c>
      <c r="R11" s="13" t="s">
        <v>3177</v>
      </c>
      <c r="S11" s="13" t="s">
        <v>3221</v>
      </c>
      <c r="T11" s="13" t="s">
        <v>3165</v>
      </c>
      <c r="U11" s="13" t="s">
        <v>3165</v>
      </c>
      <c r="V11" s="13" t="s">
        <v>3166</v>
      </c>
      <c r="W11" s="13" t="s">
        <v>3167</v>
      </c>
      <c r="X11" s="13" t="s">
        <v>3178</v>
      </c>
    </row>
    <row r="12" ht="14.25" customHeight="1">
      <c r="A12" s="13">
        <v>23062.0</v>
      </c>
      <c r="B12" s="13" t="s">
        <v>1870</v>
      </c>
      <c r="C12" s="13">
        <v>2017.0</v>
      </c>
      <c r="D12" s="13" t="s">
        <v>3153</v>
      </c>
      <c r="E12" s="13" t="s">
        <v>3169</v>
      </c>
      <c r="F12" s="13" t="s">
        <v>3192</v>
      </c>
      <c r="G12" s="13" t="s">
        <v>3180</v>
      </c>
      <c r="H12" s="13">
        <v>0.125</v>
      </c>
      <c r="I12" s="13" t="s">
        <v>3222</v>
      </c>
      <c r="J12" s="13" t="s">
        <v>3182</v>
      </c>
      <c r="K12" s="13" t="s">
        <v>3186</v>
      </c>
      <c r="L12" s="13" t="s">
        <v>3177</v>
      </c>
      <c r="M12" s="13" t="s">
        <v>3223</v>
      </c>
      <c r="N12" s="13">
        <v>1.0</v>
      </c>
      <c r="O12" s="13" t="s">
        <v>3162</v>
      </c>
      <c r="P12" s="13" t="s">
        <v>33</v>
      </c>
      <c r="Q12" s="13" t="s">
        <v>3159</v>
      </c>
      <c r="R12" s="13" t="s">
        <v>3163</v>
      </c>
      <c r="S12" s="13" t="s">
        <v>33</v>
      </c>
      <c r="T12" s="13" t="s">
        <v>3164</v>
      </c>
      <c r="U12" s="13" t="s">
        <v>3165</v>
      </c>
      <c r="V12" s="13" t="s">
        <v>3166</v>
      </c>
      <c r="W12" s="13" t="s">
        <v>3167</v>
      </c>
      <c r="X12" s="13" t="s">
        <v>3224</v>
      </c>
    </row>
    <row r="13" ht="14.25" customHeight="1">
      <c r="A13" s="13">
        <v>23063.0</v>
      </c>
      <c r="B13" s="13" t="s">
        <v>424</v>
      </c>
      <c r="C13" s="13">
        <v>2015.0</v>
      </c>
      <c r="D13" s="13" t="s">
        <v>3153</v>
      </c>
      <c r="E13" s="13" t="s">
        <v>3154</v>
      </c>
      <c r="F13" s="13" t="s">
        <v>3192</v>
      </c>
      <c r="G13" s="13" t="s">
        <v>3187</v>
      </c>
      <c r="H13" s="13">
        <v>10.0</v>
      </c>
      <c r="I13" s="13" t="s">
        <v>3157</v>
      </c>
      <c r="J13" s="13" t="s">
        <v>3199</v>
      </c>
      <c r="K13" s="13" t="s">
        <v>3159</v>
      </c>
      <c r="L13" s="13" t="s">
        <v>3160</v>
      </c>
      <c r="M13" s="13" t="s">
        <v>3161</v>
      </c>
      <c r="N13" s="13">
        <v>1.0</v>
      </c>
      <c r="O13" s="13" t="s">
        <v>3162</v>
      </c>
      <c r="P13" s="13" t="s">
        <v>33</v>
      </c>
      <c r="Q13" s="13" t="s">
        <v>3159</v>
      </c>
      <c r="R13" s="13" t="s">
        <v>3163</v>
      </c>
      <c r="S13" s="13" t="s">
        <v>33</v>
      </c>
      <c r="T13" s="13" t="s">
        <v>3164</v>
      </c>
      <c r="U13" s="13" t="s">
        <v>3164</v>
      </c>
      <c r="V13" s="13" t="s">
        <v>3166</v>
      </c>
      <c r="W13" s="13" t="s">
        <v>3167</v>
      </c>
      <c r="X13" s="13" t="s">
        <v>3225</v>
      </c>
    </row>
    <row r="14" ht="14.25" customHeight="1">
      <c r="A14" s="13">
        <v>23051.0</v>
      </c>
      <c r="B14" s="13" t="s">
        <v>2296</v>
      </c>
      <c r="C14" s="13">
        <v>2014.0</v>
      </c>
      <c r="D14" s="13" t="s">
        <v>3153</v>
      </c>
      <c r="E14" s="13" t="s">
        <v>3154</v>
      </c>
      <c r="F14" s="13" t="s">
        <v>3170</v>
      </c>
      <c r="G14" s="13" t="s">
        <v>3156</v>
      </c>
      <c r="H14" s="13" t="s">
        <v>33</v>
      </c>
      <c r="I14" s="13" t="s">
        <v>3222</v>
      </c>
      <c r="J14" s="13" t="s">
        <v>3226</v>
      </c>
      <c r="K14" s="13" t="s">
        <v>3159</v>
      </c>
      <c r="L14" s="13" t="s">
        <v>3177</v>
      </c>
      <c r="M14" s="13" t="s">
        <v>3227</v>
      </c>
      <c r="N14" s="13">
        <v>1.0</v>
      </c>
      <c r="O14" s="13" t="s">
        <v>3162</v>
      </c>
      <c r="P14" s="13" t="s">
        <v>33</v>
      </c>
      <c r="Q14" s="13" t="s">
        <v>3159</v>
      </c>
      <c r="R14" s="13" t="s">
        <v>3163</v>
      </c>
      <c r="S14" s="13" t="s">
        <v>33</v>
      </c>
      <c r="T14" s="13" t="s">
        <v>3164</v>
      </c>
      <c r="U14" s="13" t="s">
        <v>3228</v>
      </c>
      <c r="V14" s="13" t="s">
        <v>3166</v>
      </c>
      <c r="W14" s="13" t="s">
        <v>3167</v>
      </c>
      <c r="X14" s="13" t="s">
        <v>3225</v>
      </c>
    </row>
    <row r="15" ht="14.25" customHeight="1">
      <c r="A15" s="13">
        <v>23064.0</v>
      </c>
      <c r="B15" s="13" t="s">
        <v>2782</v>
      </c>
      <c r="C15" s="13">
        <v>2000.0</v>
      </c>
      <c r="D15" s="13" t="s">
        <v>3153</v>
      </c>
      <c r="E15" s="13" t="s">
        <v>3169</v>
      </c>
      <c r="F15" s="13" t="s">
        <v>3170</v>
      </c>
      <c r="G15" s="13" t="s">
        <v>3156</v>
      </c>
      <c r="H15" s="13" t="s">
        <v>33</v>
      </c>
      <c r="I15" s="13" t="s">
        <v>3222</v>
      </c>
      <c r="J15" s="13" t="s">
        <v>3229</v>
      </c>
      <c r="K15" s="13" t="s">
        <v>3159</v>
      </c>
      <c r="L15" s="13" t="s">
        <v>3160</v>
      </c>
      <c r="M15" s="13" t="s">
        <v>3230</v>
      </c>
      <c r="N15" s="13">
        <v>1.0</v>
      </c>
      <c r="O15" s="13" t="s">
        <v>3162</v>
      </c>
      <c r="P15" s="13" t="s">
        <v>3167</v>
      </c>
      <c r="Q15" s="13" t="s">
        <v>3159</v>
      </c>
      <c r="R15" s="13" t="s">
        <v>3231</v>
      </c>
      <c r="S15" s="13" t="s">
        <v>33</v>
      </c>
      <c r="T15" s="13" t="s">
        <v>3164</v>
      </c>
      <c r="U15" s="13" t="s">
        <v>3232</v>
      </c>
      <c r="V15" s="13" t="s">
        <v>3166</v>
      </c>
      <c r="W15" s="13" t="s">
        <v>3167</v>
      </c>
      <c r="X15" s="13" t="s">
        <v>3178</v>
      </c>
    </row>
    <row r="16" ht="14.25" customHeight="1">
      <c r="A16" s="13">
        <v>23068.0</v>
      </c>
      <c r="B16" s="13" t="s">
        <v>2698</v>
      </c>
      <c r="C16" s="13">
        <v>2010.0</v>
      </c>
      <c r="D16" s="13" t="s">
        <v>3153</v>
      </c>
      <c r="E16" s="13" t="s">
        <v>3169</v>
      </c>
      <c r="F16" s="13" t="s">
        <v>3192</v>
      </c>
      <c r="G16" s="13" t="s">
        <v>3202</v>
      </c>
      <c r="H16" s="13">
        <v>2.5</v>
      </c>
      <c r="I16" s="13" t="s">
        <v>3188</v>
      </c>
      <c r="J16" s="13" t="s">
        <v>3233</v>
      </c>
      <c r="K16" s="13" t="s">
        <v>3208</v>
      </c>
      <c r="L16" s="13" t="s">
        <v>3160</v>
      </c>
      <c r="M16" s="13" t="s">
        <v>3234</v>
      </c>
      <c r="N16" s="13">
        <v>3.0</v>
      </c>
      <c r="O16" s="13" t="s">
        <v>3162</v>
      </c>
      <c r="P16" s="13" t="s">
        <v>33</v>
      </c>
      <c r="Q16" s="13" t="s">
        <v>3159</v>
      </c>
      <c r="R16" s="13" t="s">
        <v>3177</v>
      </c>
      <c r="S16" s="13" t="s">
        <v>33</v>
      </c>
      <c r="T16" s="13" t="s">
        <v>3164</v>
      </c>
      <c r="U16" s="13" t="s">
        <v>3164</v>
      </c>
      <c r="V16" s="13" t="s">
        <v>3166</v>
      </c>
      <c r="W16" s="13" t="s">
        <v>3167</v>
      </c>
      <c r="X16" s="13" t="s">
        <v>3178</v>
      </c>
    </row>
    <row r="17" ht="14.25" customHeight="1">
      <c r="A17" s="13">
        <v>23071.0</v>
      </c>
      <c r="B17" s="13" t="s">
        <v>1438</v>
      </c>
      <c r="C17" s="13">
        <v>2017.0</v>
      </c>
      <c r="D17" s="13" t="s">
        <v>3153</v>
      </c>
      <c r="E17" s="13" t="s">
        <v>3169</v>
      </c>
      <c r="F17" s="13" t="s">
        <v>3217</v>
      </c>
      <c r="G17" s="13" t="s">
        <v>3156</v>
      </c>
      <c r="H17" s="13" t="s">
        <v>33</v>
      </c>
      <c r="I17" s="13" t="s">
        <v>3167</v>
      </c>
      <c r="J17" s="13" t="s">
        <v>3167</v>
      </c>
      <c r="K17" s="13" t="s">
        <v>3218</v>
      </c>
      <c r="L17" s="13" t="s">
        <v>3177</v>
      </c>
      <c r="M17" s="13" t="s">
        <v>3235</v>
      </c>
      <c r="N17" s="13">
        <v>7.0</v>
      </c>
      <c r="O17" s="13" t="s">
        <v>3175</v>
      </c>
      <c r="P17" s="13" t="s">
        <v>3236</v>
      </c>
      <c r="Q17" s="13" t="s">
        <v>3210</v>
      </c>
      <c r="R17" s="13" t="s">
        <v>3163</v>
      </c>
      <c r="S17" s="13" t="s">
        <v>3237</v>
      </c>
      <c r="T17" s="13" t="s">
        <v>3195</v>
      </c>
      <c r="U17" s="13" t="s">
        <v>3195</v>
      </c>
      <c r="V17" s="13" t="s">
        <v>3195</v>
      </c>
      <c r="W17" s="13" t="s">
        <v>3167</v>
      </c>
      <c r="X17" s="13" t="s">
        <v>3167</v>
      </c>
    </row>
    <row r="18" ht="14.25" customHeight="1">
      <c r="A18" s="13">
        <v>23072.0</v>
      </c>
      <c r="B18" s="13" t="s">
        <v>1438</v>
      </c>
      <c r="C18" s="13">
        <v>2019.0</v>
      </c>
      <c r="D18" s="13" t="s">
        <v>3153</v>
      </c>
      <c r="E18" s="13" t="s">
        <v>3169</v>
      </c>
      <c r="F18" s="13" t="s">
        <v>3217</v>
      </c>
      <c r="G18" s="13" t="s">
        <v>3187</v>
      </c>
      <c r="H18" s="13">
        <v>30.0</v>
      </c>
      <c r="I18" s="13" t="s">
        <v>3167</v>
      </c>
      <c r="J18" s="13" t="s">
        <v>3167</v>
      </c>
      <c r="K18" s="13" t="s">
        <v>3218</v>
      </c>
      <c r="L18" s="13" t="s">
        <v>3177</v>
      </c>
      <c r="M18" s="13" t="s">
        <v>3238</v>
      </c>
      <c r="N18" s="13">
        <v>15.0</v>
      </c>
      <c r="O18" s="13" t="s">
        <v>3175</v>
      </c>
      <c r="P18" s="13" t="s">
        <v>3236</v>
      </c>
      <c r="Q18" s="13" t="s">
        <v>3183</v>
      </c>
      <c r="R18" s="13" t="s">
        <v>3177</v>
      </c>
      <c r="S18" s="13" t="s">
        <v>3221</v>
      </c>
      <c r="T18" s="13" t="s">
        <v>3197</v>
      </c>
      <c r="U18" s="13" t="s">
        <v>3197</v>
      </c>
      <c r="V18" s="13" t="s">
        <v>3166</v>
      </c>
      <c r="W18" s="13" t="s">
        <v>3167</v>
      </c>
      <c r="X18" s="13" t="s">
        <v>3239</v>
      </c>
    </row>
    <row r="19" ht="14.25" customHeight="1">
      <c r="A19" s="13">
        <v>23073.0</v>
      </c>
      <c r="B19" s="13" t="s">
        <v>2895</v>
      </c>
      <c r="C19" s="13">
        <v>2014.0</v>
      </c>
      <c r="D19" s="13" t="s">
        <v>3153</v>
      </c>
      <c r="E19" s="13" t="s">
        <v>3154</v>
      </c>
      <c r="F19" s="13" t="s">
        <v>3192</v>
      </c>
      <c r="G19" s="13" t="s">
        <v>3187</v>
      </c>
      <c r="H19" s="13">
        <v>10.0</v>
      </c>
      <c r="I19" s="13" t="s">
        <v>3157</v>
      </c>
      <c r="J19" s="13" t="s">
        <v>3240</v>
      </c>
      <c r="K19" s="13" t="s">
        <v>3159</v>
      </c>
      <c r="L19" s="13" t="s">
        <v>3160</v>
      </c>
      <c r="M19" s="13" t="s">
        <v>3161</v>
      </c>
      <c r="N19" s="13">
        <v>1.0</v>
      </c>
      <c r="O19" s="13" t="s">
        <v>3162</v>
      </c>
      <c r="P19" s="13" t="s">
        <v>33</v>
      </c>
      <c r="Q19" s="13" t="s">
        <v>3159</v>
      </c>
      <c r="R19" s="13" t="s">
        <v>3163</v>
      </c>
      <c r="S19" s="13" t="s">
        <v>33</v>
      </c>
      <c r="T19" s="13" t="s">
        <v>3164</v>
      </c>
      <c r="U19" s="13" t="s">
        <v>3164</v>
      </c>
      <c r="V19" s="13" t="s">
        <v>3166</v>
      </c>
      <c r="W19" s="13" t="s">
        <v>3167</v>
      </c>
      <c r="X19" s="13" t="s">
        <v>3168</v>
      </c>
    </row>
    <row r="20" ht="14.25" customHeight="1">
      <c r="A20" s="13">
        <v>23074.0</v>
      </c>
      <c r="B20" s="13" t="s">
        <v>1375</v>
      </c>
      <c r="C20" s="13">
        <v>2012.0</v>
      </c>
      <c r="D20" s="13" t="s">
        <v>3153</v>
      </c>
      <c r="E20" s="13" t="s">
        <v>3154</v>
      </c>
      <c r="F20" s="13" t="s">
        <v>3170</v>
      </c>
      <c r="G20" s="13" t="s">
        <v>3156</v>
      </c>
      <c r="H20" s="13" t="s">
        <v>33</v>
      </c>
      <c r="I20" s="13" t="s">
        <v>3157</v>
      </c>
      <c r="J20" s="13" t="s">
        <v>3199</v>
      </c>
      <c r="K20" s="13" t="s">
        <v>3159</v>
      </c>
      <c r="L20" s="13" t="s">
        <v>3160</v>
      </c>
      <c r="M20" s="13" t="s">
        <v>3241</v>
      </c>
      <c r="N20" s="13">
        <v>1.0</v>
      </c>
      <c r="O20" s="13" t="s">
        <v>3162</v>
      </c>
      <c r="P20" s="13" t="s">
        <v>33</v>
      </c>
      <c r="Q20" s="13" t="s">
        <v>3159</v>
      </c>
      <c r="R20" s="13" t="s">
        <v>3163</v>
      </c>
      <c r="S20" s="13" t="s">
        <v>33</v>
      </c>
      <c r="T20" s="13" t="s">
        <v>3164</v>
      </c>
      <c r="U20" s="13" t="s">
        <v>3164</v>
      </c>
      <c r="V20" s="13" t="s">
        <v>3166</v>
      </c>
      <c r="W20" s="13" t="s">
        <v>3167</v>
      </c>
      <c r="X20" s="13" t="s">
        <v>3225</v>
      </c>
    </row>
    <row r="21" ht="14.25" customHeight="1">
      <c r="A21" s="13">
        <v>23052.0</v>
      </c>
      <c r="B21" s="13" t="s">
        <v>1305</v>
      </c>
      <c r="C21" s="13">
        <v>2018.0</v>
      </c>
      <c r="D21" s="13" t="s">
        <v>3153</v>
      </c>
      <c r="E21" s="13" t="s">
        <v>3169</v>
      </c>
      <c r="F21" s="13" t="s">
        <v>3170</v>
      </c>
      <c r="G21" s="13" t="s">
        <v>3202</v>
      </c>
      <c r="H21" s="13">
        <v>0.8</v>
      </c>
      <c r="I21" s="13" t="s">
        <v>3203</v>
      </c>
      <c r="J21" s="13" t="s">
        <v>3204</v>
      </c>
      <c r="K21" s="13" t="s">
        <v>3208</v>
      </c>
      <c r="L21" s="13" t="s">
        <v>3160</v>
      </c>
      <c r="M21" s="13" t="s">
        <v>3213</v>
      </c>
      <c r="N21" s="13">
        <v>1.0</v>
      </c>
      <c r="O21" s="13" t="s">
        <v>3162</v>
      </c>
      <c r="P21" s="13" t="s">
        <v>33</v>
      </c>
      <c r="Q21" s="13" t="s">
        <v>3208</v>
      </c>
      <c r="R21" s="13" t="s">
        <v>3163</v>
      </c>
      <c r="S21" s="13" t="s">
        <v>33</v>
      </c>
      <c r="T21" s="13" t="s">
        <v>3197</v>
      </c>
      <c r="U21" s="13" t="s">
        <v>3197</v>
      </c>
      <c r="V21" s="13" t="s">
        <v>3242</v>
      </c>
      <c r="W21" s="13" t="s">
        <v>3243</v>
      </c>
      <c r="X21" s="13" t="s">
        <v>3167</v>
      </c>
    </row>
    <row r="22" ht="14.25" customHeight="1">
      <c r="A22" s="13">
        <v>23080.0</v>
      </c>
      <c r="B22" s="13" t="s">
        <v>1248</v>
      </c>
      <c r="C22" s="13">
        <v>2003.0</v>
      </c>
      <c r="D22" s="13" t="s">
        <v>3153</v>
      </c>
      <c r="E22" s="13" t="s">
        <v>3169</v>
      </c>
      <c r="F22" s="13" t="s">
        <v>3155</v>
      </c>
      <c r="G22" s="13" t="s">
        <v>3156</v>
      </c>
      <c r="H22" s="13" t="s">
        <v>33</v>
      </c>
      <c r="I22" s="13" t="s">
        <v>3244</v>
      </c>
      <c r="J22" s="13" t="s">
        <v>3245</v>
      </c>
      <c r="K22" s="13" t="s">
        <v>3173</v>
      </c>
      <c r="L22" s="13" t="s">
        <v>3160</v>
      </c>
      <c r="M22" s="13" t="s">
        <v>3246</v>
      </c>
      <c r="N22" s="13">
        <v>1.0</v>
      </c>
      <c r="O22" s="13" t="s">
        <v>3162</v>
      </c>
      <c r="P22" s="13" t="s">
        <v>33</v>
      </c>
      <c r="Q22" s="13" t="s">
        <v>3173</v>
      </c>
      <c r="R22" s="13" t="s">
        <v>3163</v>
      </c>
      <c r="S22" s="13" t="s">
        <v>33</v>
      </c>
      <c r="T22" s="13" t="s">
        <v>3247</v>
      </c>
      <c r="U22" s="13" t="s">
        <v>3247</v>
      </c>
      <c r="V22" s="13" t="s">
        <v>3242</v>
      </c>
      <c r="W22" s="13" t="s">
        <v>3248</v>
      </c>
      <c r="X22" s="13" t="s">
        <v>3167</v>
      </c>
    </row>
    <row r="23" ht="14.25" customHeight="1">
      <c r="A23" s="13">
        <v>23082.0</v>
      </c>
      <c r="B23" s="13" t="s">
        <v>2020</v>
      </c>
      <c r="C23" s="13">
        <v>2014.0</v>
      </c>
      <c r="D23" s="13" t="s">
        <v>3153</v>
      </c>
      <c r="E23" s="13" t="s">
        <v>3179</v>
      </c>
      <c r="F23" s="13" t="s">
        <v>3192</v>
      </c>
      <c r="G23" s="13" t="s">
        <v>3202</v>
      </c>
      <c r="H23" s="13">
        <v>300.0</v>
      </c>
      <c r="I23" s="13" t="s">
        <v>3249</v>
      </c>
      <c r="J23" s="13" t="s">
        <v>3199</v>
      </c>
      <c r="K23" s="13" t="s">
        <v>3250</v>
      </c>
      <c r="L23" s="13" t="s">
        <v>3177</v>
      </c>
      <c r="M23" s="13" t="s">
        <v>3251</v>
      </c>
      <c r="N23" s="13">
        <v>4.0</v>
      </c>
      <c r="O23" s="13" t="s">
        <v>3175</v>
      </c>
      <c r="P23" s="13" t="s">
        <v>33</v>
      </c>
      <c r="Q23" s="13" t="s">
        <v>3250</v>
      </c>
      <c r="R23" s="13" t="s">
        <v>3177</v>
      </c>
      <c r="S23" s="13" t="s">
        <v>33</v>
      </c>
      <c r="T23" s="13" t="s">
        <v>3252</v>
      </c>
      <c r="U23" s="13" t="s">
        <v>3252</v>
      </c>
      <c r="V23" s="13" t="s">
        <v>3253</v>
      </c>
      <c r="W23" s="13" t="s">
        <v>3254</v>
      </c>
      <c r="X23" s="13" t="s">
        <v>3255</v>
      </c>
    </row>
    <row r="24" ht="14.25" customHeight="1">
      <c r="A24" s="13">
        <v>23083.0</v>
      </c>
      <c r="B24" s="13" t="s">
        <v>1336</v>
      </c>
      <c r="C24" s="13">
        <v>2015.0</v>
      </c>
      <c r="D24" s="13" t="s">
        <v>3153</v>
      </c>
      <c r="E24" s="13" t="s">
        <v>3169</v>
      </c>
      <c r="F24" s="13" t="s">
        <v>3211</v>
      </c>
      <c r="G24" s="13" t="s">
        <v>3202</v>
      </c>
      <c r="H24" s="13">
        <v>250.0</v>
      </c>
      <c r="I24" s="13" t="s">
        <v>3244</v>
      </c>
      <c r="J24" s="13" t="s">
        <v>3256</v>
      </c>
      <c r="K24" s="13" t="s">
        <v>3257</v>
      </c>
      <c r="L24" s="13" t="s">
        <v>3160</v>
      </c>
      <c r="M24" s="13" t="s">
        <v>3258</v>
      </c>
      <c r="N24" s="13">
        <v>1.0</v>
      </c>
      <c r="O24" s="13" t="s">
        <v>3162</v>
      </c>
      <c r="P24" s="13" t="s">
        <v>3259</v>
      </c>
      <c r="Q24" s="13" t="s">
        <v>3208</v>
      </c>
      <c r="R24" s="13" t="s">
        <v>3260</v>
      </c>
      <c r="S24" s="13" t="s">
        <v>33</v>
      </c>
      <c r="T24" s="13" t="s">
        <v>3247</v>
      </c>
      <c r="U24" s="13" t="s">
        <v>3247</v>
      </c>
      <c r="V24" s="13" t="s">
        <v>3242</v>
      </c>
      <c r="W24" s="13" t="s">
        <v>3248</v>
      </c>
      <c r="X24" s="13" t="s">
        <v>3167</v>
      </c>
    </row>
    <row r="25" ht="14.25" customHeight="1">
      <c r="A25" s="13">
        <v>23085.0</v>
      </c>
      <c r="B25" s="13" t="s">
        <v>172</v>
      </c>
      <c r="C25" s="13">
        <v>2019.0</v>
      </c>
      <c r="D25" s="13" t="s">
        <v>3153</v>
      </c>
      <c r="E25" s="13" t="s">
        <v>3179</v>
      </c>
      <c r="F25" s="13" t="s">
        <v>3192</v>
      </c>
      <c r="G25" s="13" t="s">
        <v>3156</v>
      </c>
      <c r="H25" s="13" t="s">
        <v>3167</v>
      </c>
      <c r="I25" s="13" t="s">
        <v>3261</v>
      </c>
      <c r="J25" s="13" t="s">
        <v>3262</v>
      </c>
      <c r="K25" s="13" t="s">
        <v>3159</v>
      </c>
      <c r="L25" s="13" t="s">
        <v>3177</v>
      </c>
      <c r="M25" s="13" t="s">
        <v>3263</v>
      </c>
      <c r="N25" s="13">
        <v>1.0</v>
      </c>
      <c r="O25" s="13" t="s">
        <v>3162</v>
      </c>
      <c r="P25" s="13" t="s">
        <v>3167</v>
      </c>
      <c r="Q25" s="13" t="s">
        <v>3159</v>
      </c>
      <c r="R25" s="13" t="s">
        <v>3231</v>
      </c>
      <c r="S25" s="13" t="s">
        <v>33</v>
      </c>
      <c r="T25" s="13" t="s">
        <v>3232</v>
      </c>
      <c r="U25" s="13" t="s">
        <v>3232</v>
      </c>
      <c r="V25" s="13" t="s">
        <v>3166</v>
      </c>
      <c r="W25" s="13" t="s">
        <v>3167</v>
      </c>
      <c r="X25" s="13" t="s">
        <v>3168</v>
      </c>
    </row>
    <row r="26" ht="14.25" customHeight="1">
      <c r="A26" s="13">
        <v>23086.0</v>
      </c>
      <c r="B26" s="13" t="s">
        <v>151</v>
      </c>
      <c r="C26" s="13">
        <v>2013.0</v>
      </c>
      <c r="D26" s="13" t="s">
        <v>3153</v>
      </c>
      <c r="E26" s="13" t="s">
        <v>3179</v>
      </c>
      <c r="F26" s="13" t="s">
        <v>3192</v>
      </c>
      <c r="G26" s="13" t="s">
        <v>3202</v>
      </c>
      <c r="H26" s="13">
        <v>500.0</v>
      </c>
      <c r="I26" s="13" t="s">
        <v>3264</v>
      </c>
      <c r="J26" s="13" t="s">
        <v>3204</v>
      </c>
      <c r="K26" s="13" t="s">
        <v>3265</v>
      </c>
      <c r="L26" s="13" t="s">
        <v>3177</v>
      </c>
      <c r="M26" s="13" t="s">
        <v>3266</v>
      </c>
      <c r="N26" s="13">
        <v>1.0</v>
      </c>
      <c r="O26" s="13" t="s">
        <v>3267</v>
      </c>
      <c r="P26" s="13" t="s">
        <v>33</v>
      </c>
      <c r="Q26" s="13" t="s">
        <v>3208</v>
      </c>
      <c r="R26" s="13" t="s">
        <v>3163</v>
      </c>
      <c r="S26" s="13" t="s">
        <v>33</v>
      </c>
      <c r="T26" s="13" t="s">
        <v>3228</v>
      </c>
      <c r="U26" s="13" t="s">
        <v>3252</v>
      </c>
      <c r="V26" s="13" t="s">
        <v>3253</v>
      </c>
      <c r="W26" s="13" t="s">
        <v>3254</v>
      </c>
      <c r="X26" s="13" t="s">
        <v>3168</v>
      </c>
    </row>
    <row r="27" ht="14.25" customHeight="1">
      <c r="A27" s="13">
        <v>23087.0</v>
      </c>
      <c r="B27" s="13" t="s">
        <v>2845</v>
      </c>
      <c r="C27" s="13">
        <v>2014.0</v>
      </c>
      <c r="D27" s="13" t="s">
        <v>3153</v>
      </c>
      <c r="E27" s="13" t="s">
        <v>3169</v>
      </c>
      <c r="F27" s="13" t="s">
        <v>3211</v>
      </c>
      <c r="G27" s="13" t="s">
        <v>3180</v>
      </c>
      <c r="H27" s="13">
        <v>0.16</v>
      </c>
      <c r="I27" s="13" t="s">
        <v>3222</v>
      </c>
      <c r="J27" s="13" t="s">
        <v>3226</v>
      </c>
      <c r="K27" s="13" t="s">
        <v>3173</v>
      </c>
      <c r="L27" s="13" t="s">
        <v>3160</v>
      </c>
      <c r="M27" s="13" t="s">
        <v>3161</v>
      </c>
      <c r="N27" s="13">
        <v>1.0</v>
      </c>
      <c r="O27" s="13" t="s">
        <v>3162</v>
      </c>
      <c r="P27" s="13" t="s">
        <v>33</v>
      </c>
      <c r="Q27" s="13" t="s">
        <v>3173</v>
      </c>
      <c r="R27" s="13" t="s">
        <v>3163</v>
      </c>
      <c r="S27" s="13" t="s">
        <v>33</v>
      </c>
      <c r="T27" s="13" t="s">
        <v>3228</v>
      </c>
      <c r="U27" s="13" t="s">
        <v>3228</v>
      </c>
      <c r="V27" s="13" t="s">
        <v>3166</v>
      </c>
      <c r="W27" s="13" t="s">
        <v>3167</v>
      </c>
      <c r="X27" s="13" t="s">
        <v>3178</v>
      </c>
    </row>
    <row r="28" ht="14.25" customHeight="1">
      <c r="A28" s="13">
        <v>25335.0</v>
      </c>
      <c r="B28" s="13" t="s">
        <v>2415</v>
      </c>
      <c r="C28" s="13">
        <v>2020.0</v>
      </c>
      <c r="D28" s="13" t="s">
        <v>3153</v>
      </c>
      <c r="E28" s="13" t="s">
        <v>3169</v>
      </c>
      <c r="F28" s="13" t="s">
        <v>3217</v>
      </c>
      <c r="G28" s="13" t="s">
        <v>3180</v>
      </c>
      <c r="H28" s="13">
        <v>1.0</v>
      </c>
      <c r="I28" s="13" t="s">
        <v>3167</v>
      </c>
      <c r="J28" s="13" t="s">
        <v>3167</v>
      </c>
      <c r="K28" s="13" t="s">
        <v>3183</v>
      </c>
      <c r="L28" s="13" t="s">
        <v>3177</v>
      </c>
      <c r="M28" s="13" t="s">
        <v>3268</v>
      </c>
      <c r="N28" s="13">
        <v>2.0</v>
      </c>
      <c r="O28" s="13" t="s">
        <v>3162</v>
      </c>
      <c r="P28" s="13" t="s">
        <v>3269</v>
      </c>
      <c r="Q28" s="13" t="s">
        <v>3270</v>
      </c>
      <c r="R28" s="13" t="s">
        <v>3177</v>
      </c>
      <c r="S28" s="13" t="s">
        <v>3271</v>
      </c>
      <c r="T28" s="13" t="s">
        <v>3232</v>
      </c>
      <c r="U28" s="13" t="s">
        <v>3232</v>
      </c>
      <c r="V28" s="13" t="s">
        <v>3166</v>
      </c>
      <c r="W28" s="13" t="s">
        <v>3167</v>
      </c>
      <c r="X28" s="13" t="s">
        <v>3224</v>
      </c>
    </row>
    <row r="29" ht="14.25" customHeight="1">
      <c r="A29" s="13">
        <v>23091.0</v>
      </c>
      <c r="B29" s="13" t="s">
        <v>2535</v>
      </c>
      <c r="C29" s="13">
        <v>2010.0</v>
      </c>
      <c r="D29" s="13" t="s">
        <v>3153</v>
      </c>
      <c r="E29" s="13" t="s">
        <v>3169</v>
      </c>
      <c r="F29" s="13" t="s">
        <v>3170</v>
      </c>
      <c r="G29" s="13" t="s">
        <v>3202</v>
      </c>
      <c r="H29" s="13">
        <v>250.0</v>
      </c>
      <c r="I29" s="13" t="s">
        <v>3188</v>
      </c>
      <c r="J29" s="13" t="s">
        <v>3207</v>
      </c>
      <c r="K29" s="13" t="s">
        <v>3208</v>
      </c>
      <c r="L29" s="13" t="s">
        <v>3160</v>
      </c>
      <c r="M29" s="13" t="s">
        <v>3272</v>
      </c>
      <c r="N29" s="13">
        <v>3.0</v>
      </c>
      <c r="O29" s="13" t="s">
        <v>3162</v>
      </c>
      <c r="P29" s="13" t="s">
        <v>33</v>
      </c>
      <c r="Q29" s="13" t="s">
        <v>3273</v>
      </c>
      <c r="R29" s="13" t="s">
        <v>3163</v>
      </c>
      <c r="S29" s="13" t="s">
        <v>33</v>
      </c>
      <c r="T29" s="13" t="s">
        <v>3228</v>
      </c>
      <c r="U29" s="13" t="s">
        <v>3228</v>
      </c>
      <c r="V29" s="13" t="s">
        <v>3242</v>
      </c>
      <c r="W29" s="13" t="s">
        <v>3254</v>
      </c>
      <c r="X29" s="13" t="s">
        <v>3167</v>
      </c>
    </row>
    <row r="30" ht="14.25" customHeight="1">
      <c r="A30" s="13">
        <v>23100.0</v>
      </c>
      <c r="B30" s="13" t="s">
        <v>2383</v>
      </c>
      <c r="C30" s="13">
        <v>2020.0</v>
      </c>
      <c r="D30" s="13" t="s">
        <v>3153</v>
      </c>
      <c r="E30" s="13" t="s">
        <v>3179</v>
      </c>
      <c r="F30" s="13" t="s">
        <v>3155</v>
      </c>
      <c r="G30" s="13" t="s">
        <v>3187</v>
      </c>
      <c r="H30" s="13">
        <v>2.0</v>
      </c>
      <c r="I30" s="13" t="s">
        <v>3261</v>
      </c>
      <c r="J30" s="13" t="s">
        <v>3274</v>
      </c>
      <c r="K30" s="13" t="s">
        <v>3186</v>
      </c>
      <c r="L30" s="13" t="s">
        <v>3177</v>
      </c>
      <c r="M30" s="13" t="s">
        <v>3275</v>
      </c>
      <c r="N30" s="13">
        <v>16.0</v>
      </c>
      <c r="O30" s="13" t="s">
        <v>3175</v>
      </c>
      <c r="P30" s="13" t="s">
        <v>33</v>
      </c>
      <c r="Q30" s="13" t="s">
        <v>3186</v>
      </c>
      <c r="R30" s="13" t="s">
        <v>3177</v>
      </c>
      <c r="S30" s="13" t="s">
        <v>33</v>
      </c>
      <c r="T30" s="13" t="s">
        <v>3252</v>
      </c>
      <c r="U30" s="13" t="s">
        <v>3252</v>
      </c>
      <c r="V30" s="13" t="s">
        <v>3253</v>
      </c>
      <c r="W30" s="13" t="s">
        <v>3254</v>
      </c>
      <c r="X30" s="13" t="s">
        <v>3276</v>
      </c>
    </row>
    <row r="31" ht="14.25" customHeight="1">
      <c r="A31" s="13" t="s">
        <v>2851</v>
      </c>
      <c r="B31" s="13" t="s">
        <v>2852</v>
      </c>
      <c r="C31" s="13">
        <v>2017.0</v>
      </c>
      <c r="D31" s="13" t="s">
        <v>3153</v>
      </c>
      <c r="E31" s="13" t="s">
        <v>3179</v>
      </c>
      <c r="F31" s="13" t="s">
        <v>3170</v>
      </c>
      <c r="G31" s="13" t="s">
        <v>3156</v>
      </c>
      <c r="H31" s="13" t="s">
        <v>33</v>
      </c>
      <c r="I31" s="13" t="s">
        <v>3261</v>
      </c>
      <c r="J31" s="13" t="s">
        <v>3277</v>
      </c>
      <c r="K31" s="13" t="s">
        <v>3159</v>
      </c>
      <c r="L31" s="13" t="s">
        <v>3177</v>
      </c>
      <c r="M31" s="13" t="s">
        <v>3161</v>
      </c>
      <c r="N31" s="13">
        <v>1.0</v>
      </c>
      <c r="O31" s="13" t="s">
        <v>3162</v>
      </c>
      <c r="P31" s="13" t="s">
        <v>33</v>
      </c>
      <c r="Q31" s="13" t="s">
        <v>3210</v>
      </c>
      <c r="R31" s="13" t="s">
        <v>3163</v>
      </c>
      <c r="S31" s="13" t="s">
        <v>33</v>
      </c>
      <c r="T31" s="13" t="s">
        <v>3195</v>
      </c>
      <c r="U31" s="13" t="s">
        <v>3195</v>
      </c>
      <c r="V31" s="13" t="s">
        <v>3195</v>
      </c>
      <c r="W31" s="13" t="s">
        <v>3167</v>
      </c>
      <c r="X31" s="13" t="s">
        <v>3167</v>
      </c>
    </row>
    <row r="32" ht="14.25" customHeight="1">
      <c r="A32" s="13">
        <v>23105.0</v>
      </c>
      <c r="B32" s="13" t="s">
        <v>1164</v>
      </c>
      <c r="C32" s="13">
        <v>2019.0</v>
      </c>
      <c r="D32" s="13" t="s">
        <v>3153</v>
      </c>
      <c r="E32" s="13" t="s">
        <v>3169</v>
      </c>
      <c r="F32" s="13" t="s">
        <v>3192</v>
      </c>
      <c r="G32" s="13" t="s">
        <v>33</v>
      </c>
      <c r="H32" s="13" t="s">
        <v>33</v>
      </c>
      <c r="I32" s="13" t="s">
        <v>3244</v>
      </c>
      <c r="J32" s="13" t="s">
        <v>3278</v>
      </c>
      <c r="K32" s="13" t="s">
        <v>3183</v>
      </c>
      <c r="L32" s="13" t="s">
        <v>3160</v>
      </c>
      <c r="M32" s="13" t="s">
        <v>3279</v>
      </c>
      <c r="N32" s="13">
        <v>2.0</v>
      </c>
      <c r="O32" s="13" t="s">
        <v>3175</v>
      </c>
      <c r="P32" s="13" t="s">
        <v>3280</v>
      </c>
      <c r="Q32" s="13" t="s">
        <v>3186</v>
      </c>
      <c r="R32" s="13" t="s">
        <v>3177</v>
      </c>
      <c r="S32" s="13" t="s">
        <v>33</v>
      </c>
      <c r="T32" s="13" t="s">
        <v>3165</v>
      </c>
      <c r="U32" s="13" t="s">
        <v>3165</v>
      </c>
      <c r="V32" s="13" t="s">
        <v>3166</v>
      </c>
      <c r="W32" s="13" t="s">
        <v>3167</v>
      </c>
      <c r="X32" s="13" t="s">
        <v>3216</v>
      </c>
    </row>
    <row r="33" ht="14.25" customHeight="1">
      <c r="A33" s="13">
        <v>23106.0</v>
      </c>
      <c r="B33" s="13" t="s">
        <v>1926</v>
      </c>
      <c r="C33" s="13">
        <v>2015.0</v>
      </c>
      <c r="D33" s="13" t="s">
        <v>3153</v>
      </c>
      <c r="E33" s="13" t="s">
        <v>3179</v>
      </c>
      <c r="F33" s="13" t="s">
        <v>3211</v>
      </c>
      <c r="G33" s="13" t="s">
        <v>3202</v>
      </c>
      <c r="H33" s="13">
        <v>30.0</v>
      </c>
      <c r="I33" s="13" t="s">
        <v>3264</v>
      </c>
      <c r="J33" s="13" t="s">
        <v>3281</v>
      </c>
      <c r="K33" s="13" t="s">
        <v>3282</v>
      </c>
      <c r="L33" s="13" t="s">
        <v>3177</v>
      </c>
      <c r="M33" s="13" t="s">
        <v>3241</v>
      </c>
      <c r="N33" s="13">
        <v>1.0</v>
      </c>
      <c r="O33" s="13" t="s">
        <v>3162</v>
      </c>
      <c r="P33" s="13" t="s">
        <v>3283</v>
      </c>
      <c r="Q33" s="13" t="s">
        <v>3173</v>
      </c>
      <c r="R33" s="13" t="s">
        <v>3163</v>
      </c>
      <c r="S33" s="13" t="s">
        <v>33</v>
      </c>
      <c r="T33" s="13" t="s">
        <v>3247</v>
      </c>
      <c r="U33" s="13" t="s">
        <v>3247</v>
      </c>
      <c r="V33" s="13" t="s">
        <v>3166</v>
      </c>
      <c r="W33" s="13" t="s">
        <v>3167</v>
      </c>
      <c r="X33" s="13" t="s">
        <v>3168</v>
      </c>
    </row>
    <row r="34" ht="14.25" customHeight="1">
      <c r="A34" s="13">
        <v>23114.0</v>
      </c>
      <c r="B34" s="13" t="s">
        <v>1935</v>
      </c>
      <c r="C34" s="13">
        <v>2018.0</v>
      </c>
      <c r="D34" s="13" t="s">
        <v>3153</v>
      </c>
      <c r="E34" s="13" t="s">
        <v>3169</v>
      </c>
      <c r="F34" s="13" t="s">
        <v>3284</v>
      </c>
      <c r="G34" s="13" t="s">
        <v>3187</v>
      </c>
      <c r="H34" s="13">
        <v>6.0</v>
      </c>
      <c r="I34" s="13" t="s">
        <v>3244</v>
      </c>
      <c r="J34" s="13" t="s">
        <v>3167</v>
      </c>
      <c r="K34" s="13" t="s">
        <v>3186</v>
      </c>
      <c r="L34" s="13" t="s">
        <v>3177</v>
      </c>
      <c r="M34" s="13" t="s">
        <v>3213</v>
      </c>
      <c r="N34" s="13">
        <v>1.0</v>
      </c>
      <c r="O34" s="13" t="s">
        <v>3162</v>
      </c>
      <c r="P34" s="13" t="s">
        <v>3167</v>
      </c>
      <c r="Q34" s="13" t="s">
        <v>3208</v>
      </c>
      <c r="R34" s="13" t="s">
        <v>3231</v>
      </c>
      <c r="S34" s="13" t="s">
        <v>33</v>
      </c>
      <c r="T34" s="13" t="s">
        <v>3247</v>
      </c>
      <c r="U34" s="13" t="s">
        <v>3247</v>
      </c>
      <c r="V34" s="13" t="s">
        <v>3242</v>
      </c>
      <c r="W34" s="13" t="s">
        <v>3285</v>
      </c>
      <c r="X34" s="13" t="s">
        <v>3167</v>
      </c>
    </row>
    <row r="35" ht="14.25" customHeight="1">
      <c r="A35" s="13">
        <v>23117.0</v>
      </c>
      <c r="B35" s="13" t="s">
        <v>3000</v>
      </c>
      <c r="C35" s="13">
        <v>2019.0</v>
      </c>
      <c r="D35" s="13" t="s">
        <v>3153</v>
      </c>
      <c r="E35" s="13" t="s">
        <v>3169</v>
      </c>
      <c r="F35" s="13" t="s">
        <v>3170</v>
      </c>
      <c r="G35" s="13" t="s">
        <v>3156</v>
      </c>
      <c r="H35" s="13" t="s">
        <v>33</v>
      </c>
      <c r="I35" s="13" t="s">
        <v>3188</v>
      </c>
      <c r="J35" s="13" t="s">
        <v>3286</v>
      </c>
      <c r="K35" s="13" t="s">
        <v>3287</v>
      </c>
      <c r="L35" s="13" t="s">
        <v>3160</v>
      </c>
      <c r="M35" s="13" t="s">
        <v>3288</v>
      </c>
      <c r="N35" s="13">
        <v>3.0</v>
      </c>
      <c r="O35" s="13" t="s">
        <v>3267</v>
      </c>
      <c r="P35" s="13" t="s">
        <v>33</v>
      </c>
      <c r="Q35" s="13" t="s">
        <v>3159</v>
      </c>
      <c r="R35" s="13" t="s">
        <v>3163</v>
      </c>
      <c r="S35" s="13" t="s">
        <v>33</v>
      </c>
      <c r="T35" s="13" t="s">
        <v>3164</v>
      </c>
      <c r="U35" s="13" t="s">
        <v>3164</v>
      </c>
      <c r="V35" s="13" t="s">
        <v>3166</v>
      </c>
      <c r="W35" s="13" t="s">
        <v>3167</v>
      </c>
      <c r="X35" s="13" t="s">
        <v>3178</v>
      </c>
    </row>
    <row r="36" ht="14.25" customHeight="1">
      <c r="A36" s="13">
        <v>23128.0</v>
      </c>
      <c r="B36" s="13" t="s">
        <v>2750</v>
      </c>
      <c r="C36" s="13">
        <v>2015.0</v>
      </c>
      <c r="D36" s="13" t="s">
        <v>3153</v>
      </c>
      <c r="E36" s="13" t="s">
        <v>3154</v>
      </c>
      <c r="F36" s="13" t="s">
        <v>3192</v>
      </c>
      <c r="G36" s="13" t="s">
        <v>3156</v>
      </c>
      <c r="H36" s="13" t="s">
        <v>33</v>
      </c>
      <c r="I36" s="13" t="s">
        <v>3244</v>
      </c>
      <c r="J36" s="13" t="s">
        <v>3289</v>
      </c>
      <c r="K36" s="13" t="s">
        <v>3290</v>
      </c>
      <c r="L36" s="13" t="s">
        <v>3160</v>
      </c>
      <c r="M36" s="13" t="s">
        <v>3291</v>
      </c>
      <c r="N36" s="13">
        <v>1.0</v>
      </c>
      <c r="O36" s="13" t="s">
        <v>3162</v>
      </c>
      <c r="P36" s="13" t="s">
        <v>33</v>
      </c>
      <c r="Q36" s="13" t="s">
        <v>3173</v>
      </c>
      <c r="R36" s="13" t="s">
        <v>3163</v>
      </c>
      <c r="S36" s="13" t="s">
        <v>33</v>
      </c>
      <c r="T36" s="13" t="s">
        <v>3164</v>
      </c>
      <c r="U36" s="13" t="s">
        <v>3228</v>
      </c>
      <c r="V36" s="13" t="s">
        <v>3166</v>
      </c>
      <c r="W36" s="13" t="s">
        <v>3167</v>
      </c>
      <c r="X36" s="13" t="s">
        <v>3178</v>
      </c>
    </row>
    <row r="37" ht="14.25" customHeight="1">
      <c r="A37" s="13">
        <v>23125.0</v>
      </c>
      <c r="B37" s="13" t="s">
        <v>1185</v>
      </c>
      <c r="C37" s="13">
        <v>2008.0</v>
      </c>
      <c r="D37" s="13" t="s">
        <v>3153</v>
      </c>
      <c r="E37" s="13" t="s">
        <v>3169</v>
      </c>
      <c r="F37" s="13" t="s">
        <v>3284</v>
      </c>
      <c r="G37" s="13" t="s">
        <v>3187</v>
      </c>
      <c r="H37" s="13">
        <v>50.0</v>
      </c>
      <c r="I37" s="13" t="s">
        <v>3157</v>
      </c>
      <c r="J37" s="13" t="s">
        <v>3167</v>
      </c>
      <c r="K37" s="13" t="s">
        <v>3183</v>
      </c>
      <c r="L37" s="13" t="s">
        <v>3177</v>
      </c>
      <c r="M37" s="13" t="s">
        <v>3292</v>
      </c>
      <c r="N37" s="13">
        <v>3.0</v>
      </c>
      <c r="O37" s="13" t="s">
        <v>3162</v>
      </c>
      <c r="P37" s="13" t="s">
        <v>3293</v>
      </c>
      <c r="Q37" s="13" t="s">
        <v>3186</v>
      </c>
      <c r="R37" s="13" t="s">
        <v>3163</v>
      </c>
      <c r="S37" s="13" t="s">
        <v>33</v>
      </c>
      <c r="T37" s="13" t="s">
        <v>3232</v>
      </c>
      <c r="U37" s="13" t="s">
        <v>3252</v>
      </c>
      <c r="V37" s="13" t="s">
        <v>3253</v>
      </c>
      <c r="W37" s="13" t="s">
        <v>3294</v>
      </c>
      <c r="X37" s="13" t="s">
        <v>3295</v>
      </c>
    </row>
    <row r="38" ht="14.25" customHeight="1">
      <c r="A38" s="13">
        <v>23135.0</v>
      </c>
      <c r="B38" s="13" t="s">
        <v>413</v>
      </c>
      <c r="C38" s="13">
        <v>2014.0</v>
      </c>
      <c r="D38" s="13" t="s">
        <v>3153</v>
      </c>
      <c r="E38" s="13" t="s">
        <v>3179</v>
      </c>
      <c r="F38" s="13" t="s">
        <v>3155</v>
      </c>
      <c r="G38" s="13" t="s">
        <v>3202</v>
      </c>
      <c r="H38" s="13">
        <v>500.0</v>
      </c>
      <c r="I38" s="13" t="s">
        <v>3261</v>
      </c>
      <c r="J38" s="13" t="s">
        <v>3277</v>
      </c>
      <c r="K38" s="13" t="s">
        <v>3296</v>
      </c>
      <c r="L38" s="13" t="s">
        <v>3177</v>
      </c>
      <c r="M38" s="13" t="s">
        <v>3297</v>
      </c>
      <c r="N38" s="13">
        <v>10.0</v>
      </c>
      <c r="O38" s="13" t="s">
        <v>3162</v>
      </c>
      <c r="P38" s="13" t="s">
        <v>33</v>
      </c>
      <c r="Q38" s="13" t="s">
        <v>3190</v>
      </c>
      <c r="R38" s="13" t="s">
        <v>3163</v>
      </c>
      <c r="S38" s="13" t="s">
        <v>33</v>
      </c>
      <c r="T38" s="13" t="s">
        <v>3232</v>
      </c>
      <c r="U38" s="13" t="s">
        <v>3252</v>
      </c>
      <c r="V38" s="13" t="s">
        <v>3253</v>
      </c>
      <c r="W38" s="13" t="s">
        <v>3298</v>
      </c>
      <c r="X38" s="13" t="s">
        <v>3168</v>
      </c>
    </row>
    <row r="39" ht="14.25" customHeight="1">
      <c r="A39" s="13">
        <v>23138.0</v>
      </c>
      <c r="B39" s="13" t="s">
        <v>1763</v>
      </c>
      <c r="C39" s="13">
        <v>2013.0</v>
      </c>
      <c r="D39" s="13" t="s">
        <v>3153</v>
      </c>
      <c r="E39" s="13" t="s">
        <v>3169</v>
      </c>
      <c r="F39" s="13" t="s">
        <v>3170</v>
      </c>
      <c r="G39" s="13" t="s">
        <v>3156</v>
      </c>
      <c r="H39" s="13" t="s">
        <v>33</v>
      </c>
      <c r="I39" s="13" t="s">
        <v>3244</v>
      </c>
      <c r="J39" s="13" t="s">
        <v>3245</v>
      </c>
      <c r="K39" s="13" t="s">
        <v>3208</v>
      </c>
      <c r="L39" s="13" t="s">
        <v>3160</v>
      </c>
      <c r="M39" s="13" t="s">
        <v>3299</v>
      </c>
      <c r="N39" s="13">
        <v>3.0</v>
      </c>
      <c r="O39" s="13" t="s">
        <v>3162</v>
      </c>
      <c r="P39" s="13" t="s">
        <v>33</v>
      </c>
      <c r="Q39" s="13" t="s">
        <v>3208</v>
      </c>
      <c r="R39" s="13" t="s">
        <v>3163</v>
      </c>
      <c r="S39" s="13" t="s">
        <v>33</v>
      </c>
      <c r="T39" s="13" t="s">
        <v>3247</v>
      </c>
      <c r="U39" s="13" t="s">
        <v>3247</v>
      </c>
      <c r="V39" s="13" t="s">
        <v>3242</v>
      </c>
      <c r="W39" s="13" t="s">
        <v>3248</v>
      </c>
      <c r="X39" s="13" t="s">
        <v>3167</v>
      </c>
    </row>
    <row r="40" ht="14.25" customHeight="1">
      <c r="A40" s="13">
        <v>23142.0</v>
      </c>
      <c r="B40" s="13" t="s">
        <v>2025</v>
      </c>
      <c r="C40" s="13">
        <v>2020.0</v>
      </c>
      <c r="D40" s="13" t="s">
        <v>3153</v>
      </c>
      <c r="E40" s="13" t="s">
        <v>3169</v>
      </c>
      <c r="F40" s="13" t="s">
        <v>3155</v>
      </c>
      <c r="G40" s="13" t="s">
        <v>3156</v>
      </c>
      <c r="H40" s="13" t="s">
        <v>33</v>
      </c>
      <c r="I40" s="13" t="s">
        <v>3244</v>
      </c>
      <c r="J40" s="13" t="s">
        <v>3245</v>
      </c>
      <c r="K40" s="13" t="s">
        <v>3173</v>
      </c>
      <c r="L40" s="13" t="s">
        <v>3300</v>
      </c>
      <c r="M40" s="13" t="s">
        <v>3301</v>
      </c>
      <c r="N40" s="13">
        <v>2.0</v>
      </c>
      <c r="O40" s="13" t="s">
        <v>3162</v>
      </c>
      <c r="P40" s="13" t="s">
        <v>33</v>
      </c>
      <c r="Q40" s="13" t="s">
        <v>3173</v>
      </c>
      <c r="R40" s="13" t="s">
        <v>3163</v>
      </c>
      <c r="S40" s="13" t="s">
        <v>33</v>
      </c>
      <c r="T40" s="13" t="s">
        <v>3232</v>
      </c>
      <c r="U40" s="13" t="s">
        <v>3232</v>
      </c>
      <c r="V40" s="13" t="s">
        <v>3166</v>
      </c>
      <c r="W40" s="13" t="s">
        <v>3167</v>
      </c>
      <c r="X40" s="13" t="s">
        <v>3216</v>
      </c>
    </row>
    <row r="41" ht="14.25" customHeight="1">
      <c r="A41" s="13">
        <v>23146.0</v>
      </c>
      <c r="B41" s="13" t="s">
        <v>2306</v>
      </c>
      <c r="C41" s="13">
        <v>2020.0</v>
      </c>
      <c r="D41" s="13" t="s">
        <v>3153</v>
      </c>
      <c r="E41" s="13" t="s">
        <v>3169</v>
      </c>
      <c r="F41" s="13" t="s">
        <v>3170</v>
      </c>
      <c r="G41" s="13" t="s">
        <v>3202</v>
      </c>
      <c r="H41" s="13">
        <v>20.0</v>
      </c>
      <c r="I41" s="13" t="s">
        <v>3188</v>
      </c>
      <c r="J41" s="13" t="s">
        <v>3286</v>
      </c>
      <c r="K41" s="13" t="s">
        <v>3287</v>
      </c>
      <c r="L41" s="13" t="s">
        <v>3177</v>
      </c>
      <c r="M41" s="13" t="s">
        <v>3302</v>
      </c>
      <c r="N41" s="13">
        <v>2.0</v>
      </c>
      <c r="O41" s="13" t="s">
        <v>3162</v>
      </c>
      <c r="P41" s="13" t="s">
        <v>33</v>
      </c>
      <c r="Q41" s="13" t="s">
        <v>3287</v>
      </c>
      <c r="R41" s="13" t="s">
        <v>3163</v>
      </c>
      <c r="S41" s="13" t="s">
        <v>33</v>
      </c>
      <c r="T41" s="13" t="s">
        <v>3164</v>
      </c>
      <c r="U41" s="13" t="s">
        <v>3247</v>
      </c>
      <c r="V41" s="13" t="s">
        <v>3242</v>
      </c>
      <c r="W41" s="13" t="s">
        <v>3303</v>
      </c>
      <c r="X41" s="13" t="s">
        <v>3167</v>
      </c>
    </row>
    <row r="42" ht="14.25" customHeight="1">
      <c r="A42" s="13">
        <v>23147.0</v>
      </c>
      <c r="B42" s="13" t="s">
        <v>691</v>
      </c>
      <c r="C42" s="13">
        <v>2009.0</v>
      </c>
      <c r="D42" s="13" t="s">
        <v>3153</v>
      </c>
      <c r="E42" s="13" t="s">
        <v>3169</v>
      </c>
      <c r="F42" s="13" t="s">
        <v>3170</v>
      </c>
      <c r="G42" s="13" t="s">
        <v>3156</v>
      </c>
      <c r="H42" s="13" t="s">
        <v>3304</v>
      </c>
      <c r="I42" s="13" t="s">
        <v>3203</v>
      </c>
      <c r="J42" s="13" t="s">
        <v>3204</v>
      </c>
      <c r="K42" s="13" t="s">
        <v>3159</v>
      </c>
      <c r="L42" s="13" t="s">
        <v>3177</v>
      </c>
      <c r="M42" s="13" t="s">
        <v>3213</v>
      </c>
      <c r="N42" s="13">
        <v>1.0</v>
      </c>
      <c r="O42" s="13" t="s">
        <v>3162</v>
      </c>
      <c r="P42" s="13" t="s">
        <v>3167</v>
      </c>
      <c r="Q42" s="13" t="s">
        <v>3159</v>
      </c>
      <c r="R42" s="13" t="s">
        <v>3231</v>
      </c>
      <c r="S42" s="13" t="s">
        <v>33</v>
      </c>
      <c r="T42" s="13" t="s">
        <v>3247</v>
      </c>
      <c r="U42" s="13" t="s">
        <v>3247</v>
      </c>
      <c r="V42" s="13" t="s">
        <v>3242</v>
      </c>
      <c r="W42" s="13" t="s">
        <v>3248</v>
      </c>
      <c r="X42" s="13" t="s">
        <v>3167</v>
      </c>
    </row>
    <row r="43" ht="14.25" customHeight="1">
      <c r="A43" s="13">
        <v>23150.0</v>
      </c>
      <c r="B43" s="13" t="s">
        <v>58</v>
      </c>
      <c r="C43" s="13">
        <v>2008.0</v>
      </c>
      <c r="D43" s="13" t="s">
        <v>3153</v>
      </c>
      <c r="E43" s="13" t="s">
        <v>3169</v>
      </c>
      <c r="F43" s="13" t="s">
        <v>3170</v>
      </c>
      <c r="G43" s="13" t="s">
        <v>3202</v>
      </c>
      <c r="H43" s="13">
        <v>3.0</v>
      </c>
      <c r="I43" s="13" t="s">
        <v>3222</v>
      </c>
      <c r="J43" s="13" t="s">
        <v>3182</v>
      </c>
      <c r="K43" s="13" t="s">
        <v>3208</v>
      </c>
      <c r="L43" s="13" t="s">
        <v>3160</v>
      </c>
      <c r="M43" s="13" t="s">
        <v>3161</v>
      </c>
      <c r="N43" s="13">
        <v>1.0</v>
      </c>
      <c r="O43" s="13" t="s">
        <v>3162</v>
      </c>
      <c r="P43" s="13" t="s">
        <v>33</v>
      </c>
      <c r="Q43" s="13" t="s">
        <v>3208</v>
      </c>
      <c r="R43" s="13" t="s">
        <v>3163</v>
      </c>
      <c r="S43" s="13" t="s">
        <v>33</v>
      </c>
      <c r="T43" s="13" t="s">
        <v>3247</v>
      </c>
      <c r="U43" s="13" t="s">
        <v>3247</v>
      </c>
      <c r="V43" s="13" t="s">
        <v>3242</v>
      </c>
      <c r="W43" s="13" t="s">
        <v>3248</v>
      </c>
      <c r="X43" s="13" t="s">
        <v>3167</v>
      </c>
    </row>
    <row r="44" ht="14.25" customHeight="1">
      <c r="A44" s="13">
        <v>23151.0</v>
      </c>
      <c r="B44" s="13" t="s">
        <v>58</v>
      </c>
      <c r="C44" s="13">
        <v>2009.0</v>
      </c>
      <c r="D44" s="13" t="s">
        <v>3153</v>
      </c>
      <c r="E44" s="13" t="s">
        <v>3169</v>
      </c>
      <c r="F44" s="13" t="s">
        <v>3217</v>
      </c>
      <c r="G44" s="13" t="s">
        <v>3202</v>
      </c>
      <c r="H44" s="13">
        <v>500.0</v>
      </c>
      <c r="I44" s="13" t="s">
        <v>3167</v>
      </c>
      <c r="J44" s="13" t="s">
        <v>3167</v>
      </c>
      <c r="K44" s="13" t="s">
        <v>3290</v>
      </c>
      <c r="L44" s="13" t="s">
        <v>3160</v>
      </c>
      <c r="M44" s="13" t="s">
        <v>3305</v>
      </c>
      <c r="N44" s="13">
        <v>2.0</v>
      </c>
      <c r="O44" s="13" t="s">
        <v>3162</v>
      </c>
      <c r="P44" s="13" t="s">
        <v>3167</v>
      </c>
      <c r="Q44" s="13" t="s">
        <v>3290</v>
      </c>
      <c r="R44" s="13" t="s">
        <v>3231</v>
      </c>
      <c r="S44" s="13" t="s">
        <v>33</v>
      </c>
      <c r="T44" s="13" t="s">
        <v>3247</v>
      </c>
      <c r="U44" s="13" t="s">
        <v>3247</v>
      </c>
      <c r="V44" s="13" t="s">
        <v>3242</v>
      </c>
      <c r="W44" s="13" t="s">
        <v>3248</v>
      </c>
      <c r="X44" s="13" t="s">
        <v>3167</v>
      </c>
    </row>
    <row r="45" ht="14.25" customHeight="1">
      <c r="A45" s="13">
        <v>23154.0</v>
      </c>
      <c r="B45" s="13" t="s">
        <v>2828</v>
      </c>
      <c r="C45" s="13">
        <v>2019.0</v>
      </c>
      <c r="D45" s="13" t="s">
        <v>3153</v>
      </c>
      <c r="E45" s="13" t="s">
        <v>3169</v>
      </c>
      <c r="F45" s="13" t="s">
        <v>3192</v>
      </c>
      <c r="G45" s="13" t="s">
        <v>3180</v>
      </c>
      <c r="H45" s="13">
        <v>0.5</v>
      </c>
      <c r="I45" s="13" t="s">
        <v>3244</v>
      </c>
      <c r="J45" s="13" t="s">
        <v>3289</v>
      </c>
      <c r="K45" s="13" t="s">
        <v>3218</v>
      </c>
      <c r="L45" s="13" t="s">
        <v>3177</v>
      </c>
      <c r="M45" s="13" t="s">
        <v>3161</v>
      </c>
      <c r="N45" s="13">
        <v>1.0</v>
      </c>
      <c r="O45" s="13" t="s">
        <v>3162</v>
      </c>
      <c r="P45" s="13" t="s">
        <v>3306</v>
      </c>
      <c r="Q45" s="13" t="s">
        <v>3210</v>
      </c>
      <c r="R45" s="13" t="s">
        <v>3177</v>
      </c>
      <c r="S45" s="13" t="s">
        <v>33</v>
      </c>
      <c r="T45" s="13" t="s">
        <v>3195</v>
      </c>
      <c r="U45" s="13" t="s">
        <v>3195</v>
      </c>
      <c r="V45" s="13" t="s">
        <v>3195</v>
      </c>
      <c r="W45" s="13" t="s">
        <v>3167</v>
      </c>
      <c r="X45" s="13" t="s">
        <v>3167</v>
      </c>
    </row>
    <row r="46" ht="14.25" customHeight="1">
      <c r="A46" s="13">
        <v>23155.0</v>
      </c>
      <c r="B46" s="13" t="s">
        <v>296</v>
      </c>
      <c r="C46" s="13">
        <v>2013.0</v>
      </c>
      <c r="D46" s="13" t="s">
        <v>3153</v>
      </c>
      <c r="E46" s="13" t="s">
        <v>3169</v>
      </c>
      <c r="F46" s="13" t="s">
        <v>3155</v>
      </c>
      <c r="G46" s="13" t="s">
        <v>3156</v>
      </c>
      <c r="H46" s="13" t="s">
        <v>3167</v>
      </c>
      <c r="I46" s="13" t="s">
        <v>3157</v>
      </c>
      <c r="J46" s="13" t="s">
        <v>3307</v>
      </c>
      <c r="K46" s="13" t="s">
        <v>3186</v>
      </c>
      <c r="L46" s="13" t="s">
        <v>3177</v>
      </c>
      <c r="M46" s="13" t="s">
        <v>3308</v>
      </c>
      <c r="N46" s="13">
        <v>2.0</v>
      </c>
      <c r="O46" s="13" t="s">
        <v>3267</v>
      </c>
      <c r="P46" s="13" t="s">
        <v>33</v>
      </c>
      <c r="Q46" s="13" t="s">
        <v>3210</v>
      </c>
      <c r="R46" s="13" t="s">
        <v>3163</v>
      </c>
      <c r="S46" s="13" t="s">
        <v>33</v>
      </c>
      <c r="T46" s="13" t="s">
        <v>3195</v>
      </c>
      <c r="U46" s="13" t="s">
        <v>3195</v>
      </c>
      <c r="V46" s="13" t="s">
        <v>3195</v>
      </c>
      <c r="W46" s="13" t="s">
        <v>3167</v>
      </c>
      <c r="X46" s="13" t="s">
        <v>3167</v>
      </c>
    </row>
    <row r="47" ht="14.25" customHeight="1">
      <c r="A47" s="13">
        <v>23160.0</v>
      </c>
      <c r="B47" s="13" t="s">
        <v>2028</v>
      </c>
      <c r="C47" s="13">
        <v>2020.0</v>
      </c>
      <c r="D47" s="13" t="s">
        <v>3153</v>
      </c>
      <c r="E47" s="13" t="s">
        <v>3154</v>
      </c>
      <c r="F47" s="13" t="s">
        <v>3192</v>
      </c>
      <c r="G47" s="13" t="s">
        <v>33</v>
      </c>
      <c r="H47" s="13" t="s">
        <v>33</v>
      </c>
      <c r="I47" s="13" t="s">
        <v>3188</v>
      </c>
      <c r="J47" s="13" t="s">
        <v>3207</v>
      </c>
      <c r="K47" s="13" t="s">
        <v>3270</v>
      </c>
      <c r="L47" s="13" t="s">
        <v>3177</v>
      </c>
      <c r="M47" s="13" t="s">
        <v>3309</v>
      </c>
      <c r="N47" s="13">
        <v>4.0</v>
      </c>
      <c r="O47" s="13" t="s">
        <v>3162</v>
      </c>
      <c r="P47" s="13" t="s">
        <v>3310</v>
      </c>
      <c r="Q47" s="13" t="s">
        <v>3159</v>
      </c>
      <c r="R47" s="13" t="s">
        <v>3260</v>
      </c>
      <c r="S47" s="13" t="s">
        <v>33</v>
      </c>
      <c r="T47" s="13" t="s">
        <v>3232</v>
      </c>
      <c r="U47" s="13" t="s">
        <v>3197</v>
      </c>
      <c r="V47" s="13" t="s">
        <v>3166</v>
      </c>
      <c r="W47" s="13" t="s">
        <v>3167</v>
      </c>
      <c r="X47" s="13" t="s">
        <v>3255</v>
      </c>
    </row>
    <row r="48" ht="14.25" customHeight="1">
      <c r="A48" s="13">
        <v>23163.0</v>
      </c>
      <c r="B48" s="13" t="s">
        <v>111</v>
      </c>
      <c r="C48" s="13">
        <v>2008.0</v>
      </c>
      <c r="D48" s="13" t="s">
        <v>3153</v>
      </c>
      <c r="E48" s="13" t="s">
        <v>3179</v>
      </c>
      <c r="F48" s="13" t="s">
        <v>3217</v>
      </c>
      <c r="G48" s="13" t="s">
        <v>3311</v>
      </c>
      <c r="H48" s="13" t="s">
        <v>3311</v>
      </c>
      <c r="I48" s="13" t="s">
        <v>3167</v>
      </c>
      <c r="J48" s="13" t="s">
        <v>3167</v>
      </c>
      <c r="K48" s="13" t="s">
        <v>3208</v>
      </c>
      <c r="L48" s="13" t="s">
        <v>3177</v>
      </c>
      <c r="M48" s="13" t="s">
        <v>3312</v>
      </c>
      <c r="N48" s="13">
        <v>3.0</v>
      </c>
      <c r="O48" s="13" t="s">
        <v>3175</v>
      </c>
      <c r="P48" s="13" t="s">
        <v>3313</v>
      </c>
      <c r="Q48" s="13" t="s">
        <v>3208</v>
      </c>
      <c r="R48" s="13" t="s">
        <v>3231</v>
      </c>
      <c r="S48" s="13" t="s">
        <v>33</v>
      </c>
      <c r="T48" s="13" t="s">
        <v>3165</v>
      </c>
      <c r="U48" s="13" t="s">
        <v>3165</v>
      </c>
      <c r="V48" s="13" t="s">
        <v>3166</v>
      </c>
      <c r="W48" s="13" t="s">
        <v>3167</v>
      </c>
      <c r="X48" s="13" t="s">
        <v>3168</v>
      </c>
    </row>
    <row r="49" ht="14.25" customHeight="1">
      <c r="A49" s="13">
        <v>23164.0</v>
      </c>
      <c r="B49" s="13" t="s">
        <v>1637</v>
      </c>
      <c r="C49" s="13">
        <v>2014.0</v>
      </c>
      <c r="D49" s="13" t="s">
        <v>3153</v>
      </c>
      <c r="E49" s="13" t="s">
        <v>3169</v>
      </c>
      <c r="F49" s="13" t="s">
        <v>3192</v>
      </c>
      <c r="G49" s="13" t="s">
        <v>3304</v>
      </c>
      <c r="H49" s="13">
        <v>25.0</v>
      </c>
      <c r="I49" s="13" t="s">
        <v>3203</v>
      </c>
      <c r="J49" s="13" t="s">
        <v>3204</v>
      </c>
      <c r="K49" s="13" t="s">
        <v>3186</v>
      </c>
      <c r="L49" s="13" t="s">
        <v>3177</v>
      </c>
      <c r="M49" s="13" t="s">
        <v>3314</v>
      </c>
      <c r="N49" s="13">
        <v>2.0</v>
      </c>
      <c r="O49" s="13" t="s">
        <v>3162</v>
      </c>
      <c r="P49" s="13" t="s">
        <v>33</v>
      </c>
      <c r="Q49" s="13" t="s">
        <v>3173</v>
      </c>
      <c r="R49" s="13" t="s">
        <v>3163</v>
      </c>
      <c r="S49" s="13" t="s">
        <v>33</v>
      </c>
      <c r="T49" s="13" t="s">
        <v>3252</v>
      </c>
      <c r="U49" s="13" t="s">
        <v>3252</v>
      </c>
      <c r="V49" s="13" t="s">
        <v>3253</v>
      </c>
      <c r="W49" s="13" t="s">
        <v>3294</v>
      </c>
      <c r="X49" s="13" t="s">
        <v>3276</v>
      </c>
    </row>
    <row r="50" ht="14.25" customHeight="1">
      <c r="A50" s="13">
        <v>23169.0</v>
      </c>
      <c r="B50" s="13" t="s">
        <v>834</v>
      </c>
      <c r="C50" s="13">
        <v>2018.0</v>
      </c>
      <c r="D50" s="13" t="s">
        <v>3315</v>
      </c>
      <c r="E50" s="13" t="s">
        <v>3179</v>
      </c>
      <c r="F50" s="13" t="s">
        <v>3217</v>
      </c>
      <c r="G50" s="13" t="s">
        <v>3180</v>
      </c>
      <c r="H50" s="13">
        <v>0.5</v>
      </c>
      <c r="I50" s="13" t="s">
        <v>3167</v>
      </c>
      <c r="J50" s="13" t="s">
        <v>3167</v>
      </c>
      <c r="K50" s="13" t="s">
        <v>3173</v>
      </c>
      <c r="L50" s="13" t="s">
        <v>3160</v>
      </c>
      <c r="M50" s="13" t="s">
        <v>3316</v>
      </c>
      <c r="N50" s="13">
        <v>13.0</v>
      </c>
      <c r="O50" s="13" t="s">
        <v>3175</v>
      </c>
      <c r="P50" s="13" t="s">
        <v>33</v>
      </c>
      <c r="Q50" s="13" t="s">
        <v>3173</v>
      </c>
      <c r="R50" s="13" t="s">
        <v>3177</v>
      </c>
      <c r="S50" s="13" t="s">
        <v>33</v>
      </c>
      <c r="T50" s="13" t="s">
        <v>3232</v>
      </c>
      <c r="U50" s="13" t="s">
        <v>3232</v>
      </c>
      <c r="V50" s="13" t="s">
        <v>3166</v>
      </c>
      <c r="W50" s="13" t="s">
        <v>3167</v>
      </c>
      <c r="X50" s="13" t="s">
        <v>3178</v>
      </c>
    </row>
    <row r="51" ht="14.25" customHeight="1">
      <c r="A51" s="13">
        <v>23170.0</v>
      </c>
      <c r="B51" s="13" t="s">
        <v>2619</v>
      </c>
      <c r="C51" s="13">
        <v>2016.0</v>
      </c>
      <c r="D51" s="13" t="s">
        <v>3153</v>
      </c>
      <c r="E51" s="13" t="s">
        <v>3179</v>
      </c>
      <c r="F51" s="13" t="s">
        <v>3170</v>
      </c>
      <c r="G51" s="13" t="s">
        <v>3202</v>
      </c>
      <c r="H51" s="13">
        <v>90.0</v>
      </c>
      <c r="I51" s="13" t="s">
        <v>3261</v>
      </c>
      <c r="J51" s="13" t="s">
        <v>3182</v>
      </c>
      <c r="K51" s="13" t="s">
        <v>3186</v>
      </c>
      <c r="L51" s="13" t="s">
        <v>3177</v>
      </c>
      <c r="M51" s="13" t="s">
        <v>3317</v>
      </c>
      <c r="N51" s="13">
        <v>1.0</v>
      </c>
      <c r="O51" s="13" t="s">
        <v>3162</v>
      </c>
      <c r="P51" s="13" t="s">
        <v>33</v>
      </c>
      <c r="Q51" s="13" t="s">
        <v>3186</v>
      </c>
      <c r="R51" s="13" t="s">
        <v>3177</v>
      </c>
      <c r="S51" s="13" t="s">
        <v>33</v>
      </c>
      <c r="T51" s="13" t="s">
        <v>3164</v>
      </c>
      <c r="U51" s="13" t="s">
        <v>3164</v>
      </c>
      <c r="V51" s="13" t="s">
        <v>3166</v>
      </c>
      <c r="W51" s="13" t="s">
        <v>3167</v>
      </c>
      <c r="X51" s="13" t="s">
        <v>3225</v>
      </c>
    </row>
    <row r="52" ht="14.25" customHeight="1">
      <c r="A52" s="13">
        <v>23171.0</v>
      </c>
      <c r="B52" s="13" t="s">
        <v>2031</v>
      </c>
      <c r="C52" s="13">
        <v>2016.0</v>
      </c>
      <c r="D52" s="13" t="s">
        <v>3153</v>
      </c>
      <c r="E52" s="13" t="s">
        <v>3169</v>
      </c>
      <c r="F52" s="13" t="s">
        <v>3170</v>
      </c>
      <c r="G52" s="13" t="s">
        <v>3202</v>
      </c>
      <c r="H52" s="13">
        <v>30.0</v>
      </c>
      <c r="I52" s="13" t="s">
        <v>3171</v>
      </c>
      <c r="J52" s="13" t="s">
        <v>3318</v>
      </c>
      <c r="K52" s="13" t="s">
        <v>3208</v>
      </c>
      <c r="L52" s="13" t="s">
        <v>3160</v>
      </c>
      <c r="M52" s="13" t="s">
        <v>3319</v>
      </c>
      <c r="N52" s="13">
        <v>2.0</v>
      </c>
      <c r="O52" s="13" t="s">
        <v>3162</v>
      </c>
      <c r="P52" s="13" t="s">
        <v>3167</v>
      </c>
      <c r="Q52" s="13" t="s">
        <v>3208</v>
      </c>
      <c r="R52" s="13" t="s">
        <v>3231</v>
      </c>
      <c r="S52" s="13" t="s">
        <v>33</v>
      </c>
      <c r="T52" s="13" t="s">
        <v>3247</v>
      </c>
      <c r="U52" s="13" t="s">
        <v>3247</v>
      </c>
      <c r="V52" s="13" t="s">
        <v>3242</v>
      </c>
      <c r="W52" s="13" t="s">
        <v>3320</v>
      </c>
      <c r="X52" s="13" t="s">
        <v>3167</v>
      </c>
    </row>
    <row r="53" ht="14.25" customHeight="1">
      <c r="A53" s="13">
        <v>23177.0</v>
      </c>
      <c r="B53" s="13" t="s">
        <v>2739</v>
      </c>
      <c r="C53" s="13">
        <v>2019.0</v>
      </c>
      <c r="D53" s="13" t="s">
        <v>3153</v>
      </c>
      <c r="E53" s="13" t="s">
        <v>3169</v>
      </c>
      <c r="F53" s="13" t="s">
        <v>3155</v>
      </c>
      <c r="G53" s="13" t="s">
        <v>3187</v>
      </c>
      <c r="H53" s="13">
        <v>1.0</v>
      </c>
      <c r="I53" s="13" t="s">
        <v>3244</v>
      </c>
      <c r="J53" s="13" t="s">
        <v>3321</v>
      </c>
      <c r="K53" s="13" t="s">
        <v>3214</v>
      </c>
      <c r="L53" s="13" t="s">
        <v>3160</v>
      </c>
      <c r="M53" s="13" t="s">
        <v>3161</v>
      </c>
      <c r="N53" s="13">
        <v>1.0</v>
      </c>
      <c r="O53" s="13" t="s">
        <v>3162</v>
      </c>
      <c r="P53" s="13" t="s">
        <v>33</v>
      </c>
      <c r="Q53" s="13" t="s">
        <v>3322</v>
      </c>
      <c r="R53" s="13" t="s">
        <v>3177</v>
      </c>
      <c r="S53" s="13" t="s">
        <v>3323</v>
      </c>
      <c r="T53" s="13" t="s">
        <v>3232</v>
      </c>
      <c r="U53" s="13" t="s">
        <v>3232</v>
      </c>
      <c r="V53" s="13" t="s">
        <v>3166</v>
      </c>
      <c r="W53" s="13" t="s">
        <v>3167</v>
      </c>
      <c r="X53" s="13" t="s">
        <v>3324</v>
      </c>
    </row>
    <row r="54" ht="14.25" customHeight="1">
      <c r="A54" s="13">
        <v>23185.0</v>
      </c>
      <c r="B54" s="13" t="s">
        <v>1003</v>
      </c>
      <c r="C54" s="13">
        <v>2016.0</v>
      </c>
      <c r="D54" s="13" t="s">
        <v>3153</v>
      </c>
      <c r="E54" s="13" t="s">
        <v>3169</v>
      </c>
      <c r="F54" s="13" t="s">
        <v>3170</v>
      </c>
      <c r="G54" s="13" t="s">
        <v>3156</v>
      </c>
      <c r="H54" s="13" t="s">
        <v>3167</v>
      </c>
      <c r="I54" s="13" t="s">
        <v>3171</v>
      </c>
      <c r="J54" s="13" t="s">
        <v>3325</v>
      </c>
      <c r="K54" s="13" t="s">
        <v>3159</v>
      </c>
      <c r="L54" s="13" t="s">
        <v>3160</v>
      </c>
      <c r="M54" s="13" t="s">
        <v>3326</v>
      </c>
      <c r="N54" s="13">
        <v>4.0</v>
      </c>
      <c r="O54" s="13" t="s">
        <v>3175</v>
      </c>
      <c r="P54" s="13" t="s">
        <v>33</v>
      </c>
      <c r="Q54" s="13" t="s">
        <v>3159</v>
      </c>
      <c r="R54" s="13" t="s">
        <v>3163</v>
      </c>
      <c r="S54" s="13" t="s">
        <v>33</v>
      </c>
      <c r="T54" s="13" t="s">
        <v>3164</v>
      </c>
      <c r="U54" s="13" t="s">
        <v>3164</v>
      </c>
      <c r="V54" s="13" t="s">
        <v>3166</v>
      </c>
      <c r="W54" s="13" t="s">
        <v>3167</v>
      </c>
      <c r="X54" s="13" t="s">
        <v>3178</v>
      </c>
    </row>
    <row r="55" ht="14.25" customHeight="1">
      <c r="A55" s="13">
        <v>23188.0</v>
      </c>
      <c r="B55" s="13" t="s">
        <v>312</v>
      </c>
      <c r="C55" s="13">
        <v>2012.0</v>
      </c>
      <c r="D55" s="13" t="s">
        <v>3153</v>
      </c>
      <c r="E55" s="13" t="s">
        <v>3169</v>
      </c>
      <c r="F55" s="13" t="s">
        <v>3170</v>
      </c>
      <c r="G55" s="13" t="s">
        <v>33</v>
      </c>
      <c r="H55" s="13" t="s">
        <v>33</v>
      </c>
      <c r="I55" s="13" t="s">
        <v>3188</v>
      </c>
      <c r="J55" s="13" t="s">
        <v>3327</v>
      </c>
      <c r="K55" s="13" t="s">
        <v>3208</v>
      </c>
      <c r="L55" s="13" t="s">
        <v>3160</v>
      </c>
      <c r="M55" s="13" t="s">
        <v>3328</v>
      </c>
      <c r="N55" s="13">
        <v>1.0</v>
      </c>
      <c r="O55" s="13" t="s">
        <v>3267</v>
      </c>
      <c r="P55" s="13" t="s">
        <v>33</v>
      </c>
      <c r="Q55" s="13" t="s">
        <v>3210</v>
      </c>
      <c r="R55" s="13" t="s">
        <v>3163</v>
      </c>
      <c r="S55" s="13" t="s">
        <v>3329</v>
      </c>
      <c r="T55" s="13" t="s">
        <v>3195</v>
      </c>
      <c r="U55" s="13" t="s">
        <v>3195</v>
      </c>
      <c r="V55" s="13" t="s">
        <v>3195</v>
      </c>
      <c r="W55" s="13" t="s">
        <v>3167</v>
      </c>
      <c r="X55" s="13" t="s">
        <v>3167</v>
      </c>
    </row>
    <row r="56" ht="14.25" customHeight="1">
      <c r="A56" s="13">
        <v>23190.0</v>
      </c>
      <c r="B56" s="13" t="s">
        <v>1562</v>
      </c>
      <c r="C56" s="13">
        <v>2017.0</v>
      </c>
      <c r="D56" s="13" t="s">
        <v>3153</v>
      </c>
      <c r="E56" s="13" t="s">
        <v>3169</v>
      </c>
      <c r="F56" s="13" t="s">
        <v>3192</v>
      </c>
      <c r="G56" s="13" t="s">
        <v>3187</v>
      </c>
      <c r="H56" s="13">
        <v>25.0</v>
      </c>
      <c r="I56" s="13" t="s">
        <v>3222</v>
      </c>
      <c r="J56" s="13" t="s">
        <v>3182</v>
      </c>
      <c r="K56" s="13" t="s">
        <v>3208</v>
      </c>
      <c r="L56" s="13" t="s">
        <v>3160</v>
      </c>
      <c r="M56" s="13" t="s">
        <v>3288</v>
      </c>
      <c r="N56" s="13">
        <v>2.0</v>
      </c>
      <c r="O56" s="13" t="s">
        <v>3267</v>
      </c>
      <c r="P56" s="13" t="s">
        <v>3167</v>
      </c>
      <c r="Q56" s="13" t="s">
        <v>3159</v>
      </c>
      <c r="R56" s="13" t="s">
        <v>3231</v>
      </c>
      <c r="S56" s="13" t="s">
        <v>33</v>
      </c>
      <c r="T56" s="13" t="s">
        <v>3164</v>
      </c>
      <c r="U56" s="13" t="s">
        <v>3164</v>
      </c>
      <c r="V56" s="13" t="s">
        <v>3166</v>
      </c>
      <c r="W56" s="13" t="s">
        <v>3167</v>
      </c>
      <c r="X56" s="13" t="s">
        <v>3178</v>
      </c>
    </row>
    <row r="57" ht="14.25" customHeight="1">
      <c r="A57" s="13">
        <v>23196.0</v>
      </c>
      <c r="B57" s="13" t="s">
        <v>1084</v>
      </c>
      <c r="C57" s="13">
        <v>2018.0</v>
      </c>
      <c r="D57" s="13" t="s">
        <v>3153</v>
      </c>
      <c r="E57" s="13" t="s">
        <v>3154</v>
      </c>
      <c r="F57" s="13" t="s">
        <v>3170</v>
      </c>
      <c r="G57" s="13" t="s">
        <v>3156</v>
      </c>
      <c r="H57" s="13" t="s">
        <v>3167</v>
      </c>
      <c r="I57" s="13" t="s">
        <v>3222</v>
      </c>
      <c r="J57" s="13" t="s">
        <v>3229</v>
      </c>
      <c r="K57" s="13" t="s">
        <v>3159</v>
      </c>
      <c r="L57" s="13" t="s">
        <v>3160</v>
      </c>
      <c r="M57" s="13" t="s">
        <v>3161</v>
      </c>
      <c r="N57" s="13">
        <v>1.0</v>
      </c>
      <c r="O57" s="13" t="s">
        <v>3162</v>
      </c>
      <c r="P57" s="13" t="s">
        <v>3167</v>
      </c>
      <c r="Q57" s="13" t="s">
        <v>3159</v>
      </c>
      <c r="R57" s="13" t="s">
        <v>3231</v>
      </c>
      <c r="S57" s="13" t="s">
        <v>33</v>
      </c>
      <c r="T57" s="13" t="s">
        <v>3164</v>
      </c>
      <c r="U57" s="13" t="s">
        <v>3232</v>
      </c>
      <c r="V57" s="13" t="s">
        <v>3166</v>
      </c>
      <c r="W57" s="13" t="s">
        <v>3167</v>
      </c>
      <c r="X57" s="13" t="s">
        <v>3225</v>
      </c>
    </row>
    <row r="58" ht="14.25" customHeight="1">
      <c r="A58" s="13">
        <v>23197.0</v>
      </c>
      <c r="B58" s="13" t="s">
        <v>433</v>
      </c>
      <c r="C58" s="13">
        <v>2014.0</v>
      </c>
      <c r="D58" s="13" t="s">
        <v>3153</v>
      </c>
      <c r="E58" s="13" t="s">
        <v>3154</v>
      </c>
      <c r="F58" s="13" t="s">
        <v>3284</v>
      </c>
      <c r="G58" s="13" t="s">
        <v>3156</v>
      </c>
      <c r="H58" s="13" t="s">
        <v>3167</v>
      </c>
      <c r="I58" s="13" t="s">
        <v>3157</v>
      </c>
      <c r="J58" s="13" t="s">
        <v>3167</v>
      </c>
      <c r="K58" s="13" t="s">
        <v>3159</v>
      </c>
      <c r="L58" s="13" t="s">
        <v>3160</v>
      </c>
      <c r="M58" s="13" t="s">
        <v>3161</v>
      </c>
      <c r="N58" s="13">
        <v>1.0</v>
      </c>
      <c r="O58" s="13" t="s">
        <v>3162</v>
      </c>
      <c r="P58" s="13" t="s">
        <v>33</v>
      </c>
      <c r="Q58" s="13" t="s">
        <v>3159</v>
      </c>
      <c r="R58" s="13" t="s">
        <v>3163</v>
      </c>
      <c r="S58" s="13" t="s">
        <v>33</v>
      </c>
      <c r="T58" s="13" t="s">
        <v>3232</v>
      </c>
      <c r="U58" s="13" t="s">
        <v>3232</v>
      </c>
      <c r="V58" s="13" t="s">
        <v>3166</v>
      </c>
      <c r="W58" s="13" t="s">
        <v>3167</v>
      </c>
      <c r="X58" s="13" t="s">
        <v>3324</v>
      </c>
    </row>
    <row r="59" ht="14.25" customHeight="1">
      <c r="A59" s="13">
        <v>23200.0</v>
      </c>
      <c r="B59" s="13" t="s">
        <v>436</v>
      </c>
      <c r="C59" s="13">
        <v>2018.0</v>
      </c>
      <c r="D59" s="13" t="s">
        <v>3153</v>
      </c>
      <c r="E59" s="13" t="s">
        <v>3169</v>
      </c>
      <c r="F59" s="13" t="s">
        <v>3155</v>
      </c>
      <c r="G59" s="13" t="s">
        <v>3187</v>
      </c>
      <c r="H59" s="13">
        <v>25.0</v>
      </c>
      <c r="I59" s="13" t="s">
        <v>3157</v>
      </c>
      <c r="J59" s="13" t="s">
        <v>3330</v>
      </c>
      <c r="K59" s="13" t="s">
        <v>3183</v>
      </c>
      <c r="L59" s="13" t="s">
        <v>3160</v>
      </c>
      <c r="M59" s="13" t="s">
        <v>3331</v>
      </c>
      <c r="N59" s="13">
        <v>1.0</v>
      </c>
      <c r="O59" s="13" t="s">
        <v>3162</v>
      </c>
      <c r="P59" s="13" t="s">
        <v>3332</v>
      </c>
      <c r="Q59" s="13" t="s">
        <v>3208</v>
      </c>
      <c r="R59" s="13" t="s">
        <v>3163</v>
      </c>
      <c r="S59" s="13" t="s">
        <v>33</v>
      </c>
      <c r="T59" s="13" t="s">
        <v>3164</v>
      </c>
      <c r="U59" s="13" t="s">
        <v>3164</v>
      </c>
      <c r="V59" s="13" t="s">
        <v>3166</v>
      </c>
      <c r="W59" s="13" t="s">
        <v>3167</v>
      </c>
      <c r="X59" s="13" t="s">
        <v>3224</v>
      </c>
    </row>
    <row r="60" ht="14.25" customHeight="1">
      <c r="A60" s="13">
        <v>23202.0</v>
      </c>
      <c r="B60" s="13" t="s">
        <v>583</v>
      </c>
      <c r="C60" s="13">
        <v>2016.0</v>
      </c>
      <c r="D60" s="13" t="s">
        <v>3153</v>
      </c>
      <c r="E60" s="13" t="s">
        <v>3169</v>
      </c>
      <c r="F60" s="13" t="s">
        <v>3192</v>
      </c>
      <c r="G60" s="13" t="s">
        <v>3156</v>
      </c>
      <c r="H60" s="13" t="s">
        <v>3167</v>
      </c>
      <c r="I60" s="13" t="s">
        <v>3222</v>
      </c>
      <c r="J60" s="13" t="s">
        <v>3182</v>
      </c>
      <c r="K60" s="13" t="s">
        <v>3333</v>
      </c>
      <c r="L60" s="13" t="s">
        <v>3177</v>
      </c>
      <c r="M60" s="13" t="s">
        <v>3334</v>
      </c>
      <c r="N60" s="13">
        <v>3.0</v>
      </c>
      <c r="O60" s="13" t="s">
        <v>3175</v>
      </c>
      <c r="P60" s="13" t="s">
        <v>33</v>
      </c>
      <c r="Q60" s="13" t="s">
        <v>3335</v>
      </c>
      <c r="R60" s="13" t="s">
        <v>3163</v>
      </c>
      <c r="S60" s="13" t="s">
        <v>3336</v>
      </c>
      <c r="T60" s="13" t="s">
        <v>3195</v>
      </c>
      <c r="U60" s="13" t="s">
        <v>3195</v>
      </c>
      <c r="V60" s="13" t="s">
        <v>3195</v>
      </c>
      <c r="W60" s="13" t="s">
        <v>3167</v>
      </c>
      <c r="X60" s="13" t="s">
        <v>3167</v>
      </c>
    </row>
    <row r="61" ht="14.25" customHeight="1">
      <c r="A61" s="13">
        <v>23207.0</v>
      </c>
      <c r="B61" s="13" t="s">
        <v>1687</v>
      </c>
      <c r="C61" s="13">
        <v>2018.0</v>
      </c>
      <c r="D61" s="13" t="s">
        <v>3153</v>
      </c>
      <c r="E61" s="13" t="s">
        <v>3154</v>
      </c>
      <c r="F61" s="13" t="s">
        <v>3170</v>
      </c>
      <c r="G61" s="13" t="s">
        <v>3156</v>
      </c>
      <c r="H61" s="13" t="s">
        <v>3167</v>
      </c>
      <c r="I61" s="13" t="s">
        <v>3222</v>
      </c>
      <c r="J61" s="13" t="s">
        <v>3182</v>
      </c>
      <c r="K61" s="13" t="s">
        <v>3159</v>
      </c>
      <c r="L61" s="13" t="s">
        <v>3160</v>
      </c>
      <c r="M61" s="13" t="s">
        <v>3161</v>
      </c>
      <c r="N61" s="13">
        <v>1.0</v>
      </c>
      <c r="O61" s="13" t="s">
        <v>3162</v>
      </c>
      <c r="P61" s="13" t="s">
        <v>3167</v>
      </c>
      <c r="Q61" s="13" t="s">
        <v>3159</v>
      </c>
      <c r="R61" s="13" t="s">
        <v>3231</v>
      </c>
      <c r="S61" s="13" t="s">
        <v>33</v>
      </c>
      <c r="T61" s="13" t="s">
        <v>3164</v>
      </c>
      <c r="U61" s="13" t="s">
        <v>3215</v>
      </c>
      <c r="V61" s="13" t="s">
        <v>3166</v>
      </c>
      <c r="W61" s="13" t="s">
        <v>3167</v>
      </c>
      <c r="X61" s="13" t="s">
        <v>3225</v>
      </c>
    </row>
    <row r="62" ht="14.25" customHeight="1">
      <c r="A62" s="13">
        <v>23211.0</v>
      </c>
      <c r="B62" s="13" t="s">
        <v>1584</v>
      </c>
      <c r="C62" s="13">
        <v>2020.0</v>
      </c>
      <c r="D62" s="13" t="s">
        <v>3153</v>
      </c>
      <c r="E62" s="13" t="s">
        <v>3154</v>
      </c>
      <c r="F62" s="13" t="s">
        <v>3217</v>
      </c>
      <c r="G62" s="13" t="s">
        <v>3156</v>
      </c>
      <c r="H62" s="13" t="s">
        <v>3167</v>
      </c>
      <c r="I62" s="13" t="s">
        <v>3167</v>
      </c>
      <c r="J62" s="13" t="s">
        <v>3167</v>
      </c>
      <c r="K62" s="13" t="s">
        <v>3183</v>
      </c>
      <c r="L62" s="13" t="s">
        <v>3177</v>
      </c>
      <c r="M62" s="13" t="s">
        <v>3291</v>
      </c>
      <c r="N62" s="13">
        <v>1.0</v>
      </c>
      <c r="O62" s="13" t="s">
        <v>3162</v>
      </c>
      <c r="P62" s="13" t="s">
        <v>3337</v>
      </c>
      <c r="Q62" s="13" t="s">
        <v>3338</v>
      </c>
      <c r="R62" s="13" t="s">
        <v>3231</v>
      </c>
      <c r="S62" s="13" t="s">
        <v>3221</v>
      </c>
      <c r="T62" s="13" t="s">
        <v>3197</v>
      </c>
      <c r="U62" s="13" t="s">
        <v>3197</v>
      </c>
      <c r="V62" s="13" t="s">
        <v>3166</v>
      </c>
      <c r="W62" s="13" t="s">
        <v>3167</v>
      </c>
      <c r="X62" s="13" t="s">
        <v>3255</v>
      </c>
    </row>
    <row r="63" ht="14.25" customHeight="1">
      <c r="A63" s="13">
        <v>23222.0</v>
      </c>
      <c r="B63" s="13" t="s">
        <v>831</v>
      </c>
      <c r="C63" s="13">
        <v>2006.0</v>
      </c>
      <c r="D63" s="13" t="s">
        <v>3153</v>
      </c>
      <c r="E63" s="13" t="s">
        <v>3169</v>
      </c>
      <c r="F63" s="13" t="s">
        <v>3170</v>
      </c>
      <c r="G63" s="13" t="s">
        <v>3202</v>
      </c>
      <c r="H63" s="13">
        <v>500.0</v>
      </c>
      <c r="I63" s="13" t="s">
        <v>3171</v>
      </c>
      <c r="J63" s="13" t="s">
        <v>3339</v>
      </c>
      <c r="K63" s="13" t="s">
        <v>3159</v>
      </c>
      <c r="L63" s="13" t="s">
        <v>3177</v>
      </c>
      <c r="M63" s="13" t="s">
        <v>3161</v>
      </c>
      <c r="N63" s="13">
        <v>1.0</v>
      </c>
      <c r="O63" s="13" t="s">
        <v>3162</v>
      </c>
      <c r="P63" s="13" t="s">
        <v>33</v>
      </c>
      <c r="Q63" s="13" t="s">
        <v>3335</v>
      </c>
      <c r="R63" s="13" t="s">
        <v>3163</v>
      </c>
      <c r="S63" s="13" t="s">
        <v>3323</v>
      </c>
      <c r="T63" s="13" t="s">
        <v>3195</v>
      </c>
      <c r="U63" s="13" t="s">
        <v>3195</v>
      </c>
      <c r="V63" s="13" t="s">
        <v>3195</v>
      </c>
      <c r="W63" s="13" t="s">
        <v>3167</v>
      </c>
      <c r="X63" s="13" t="s">
        <v>3167</v>
      </c>
    </row>
    <row r="64" ht="14.25" customHeight="1">
      <c r="A64" s="13">
        <v>23223.0</v>
      </c>
      <c r="B64" s="13" t="s">
        <v>1485</v>
      </c>
      <c r="C64" s="13">
        <v>2007.0</v>
      </c>
      <c r="D64" s="13" t="s">
        <v>3153</v>
      </c>
      <c r="E64" s="13" t="s">
        <v>3169</v>
      </c>
      <c r="F64" s="13" t="s">
        <v>3211</v>
      </c>
      <c r="G64" s="13" t="s">
        <v>33</v>
      </c>
      <c r="H64" s="13" t="s">
        <v>33</v>
      </c>
      <c r="I64" s="13" t="s">
        <v>3157</v>
      </c>
      <c r="J64" s="13" t="s">
        <v>3340</v>
      </c>
      <c r="K64" s="13" t="s">
        <v>3159</v>
      </c>
      <c r="L64" s="13" t="s">
        <v>3160</v>
      </c>
      <c r="M64" s="13" t="s">
        <v>3161</v>
      </c>
      <c r="N64" s="13">
        <v>1.0</v>
      </c>
      <c r="O64" s="13" t="s">
        <v>3162</v>
      </c>
      <c r="P64" s="13" t="s">
        <v>33</v>
      </c>
      <c r="Q64" s="13" t="s">
        <v>3159</v>
      </c>
      <c r="R64" s="13" t="s">
        <v>3163</v>
      </c>
      <c r="S64" s="13" t="s">
        <v>33</v>
      </c>
      <c r="T64" s="13" t="s">
        <v>3164</v>
      </c>
      <c r="U64" s="13" t="s">
        <v>3215</v>
      </c>
      <c r="V64" s="13" t="s">
        <v>3166</v>
      </c>
      <c r="W64" s="13" t="s">
        <v>3167</v>
      </c>
      <c r="X64" s="13" t="s">
        <v>3224</v>
      </c>
    </row>
    <row r="65" ht="14.25" customHeight="1">
      <c r="A65" s="13">
        <v>23232.0</v>
      </c>
      <c r="B65" s="13" t="s">
        <v>2572</v>
      </c>
      <c r="C65" s="13">
        <v>2014.0</v>
      </c>
      <c r="D65" s="13" t="s">
        <v>3153</v>
      </c>
      <c r="E65" s="13" t="s">
        <v>3169</v>
      </c>
      <c r="F65" s="13" t="s">
        <v>3170</v>
      </c>
      <c r="G65" s="13" t="s">
        <v>3202</v>
      </c>
      <c r="H65" s="13">
        <v>30.0</v>
      </c>
      <c r="I65" s="13" t="s">
        <v>3222</v>
      </c>
      <c r="J65" s="13" t="s">
        <v>3182</v>
      </c>
      <c r="K65" s="13" t="s">
        <v>3159</v>
      </c>
      <c r="L65" s="13" t="s">
        <v>3160</v>
      </c>
      <c r="M65" s="13" t="s">
        <v>3230</v>
      </c>
      <c r="N65" s="13">
        <v>1.0</v>
      </c>
      <c r="O65" s="13" t="s">
        <v>3162</v>
      </c>
      <c r="P65" s="13" t="s">
        <v>33</v>
      </c>
      <c r="Q65" s="13" t="s">
        <v>3159</v>
      </c>
      <c r="R65" s="13" t="s">
        <v>3163</v>
      </c>
      <c r="S65" s="13" t="s">
        <v>33</v>
      </c>
      <c r="T65" s="13" t="s">
        <v>3232</v>
      </c>
      <c r="U65" s="13" t="s">
        <v>3232</v>
      </c>
      <c r="V65" s="13" t="s">
        <v>3166</v>
      </c>
      <c r="W65" s="13" t="s">
        <v>3167</v>
      </c>
      <c r="X65" s="13" t="s">
        <v>3178</v>
      </c>
    </row>
    <row r="66" ht="14.25" customHeight="1">
      <c r="A66" s="13">
        <v>23234.0</v>
      </c>
      <c r="B66" s="13" t="s">
        <v>2454</v>
      </c>
      <c r="C66" s="13">
        <v>2012.0</v>
      </c>
      <c r="D66" s="13" t="s">
        <v>3153</v>
      </c>
      <c r="E66" s="13" t="s">
        <v>3179</v>
      </c>
      <c r="F66" s="13" t="s">
        <v>3192</v>
      </c>
      <c r="G66" s="13" t="s">
        <v>3187</v>
      </c>
      <c r="H66" s="13">
        <v>1369.0</v>
      </c>
      <c r="I66" s="13" t="s">
        <v>3181</v>
      </c>
      <c r="J66" s="13" t="s">
        <v>3341</v>
      </c>
      <c r="K66" s="13" t="s">
        <v>3159</v>
      </c>
      <c r="L66" s="13" t="s">
        <v>3177</v>
      </c>
      <c r="M66" s="13" t="s">
        <v>3342</v>
      </c>
      <c r="N66" s="13">
        <v>1.0</v>
      </c>
      <c r="O66" s="13" t="s">
        <v>3162</v>
      </c>
      <c r="P66" s="13" t="s">
        <v>33</v>
      </c>
      <c r="Q66" s="13" t="s">
        <v>3159</v>
      </c>
      <c r="R66" s="13" t="s">
        <v>3177</v>
      </c>
      <c r="S66" s="13" t="s">
        <v>33</v>
      </c>
      <c r="T66" s="13" t="s">
        <v>3164</v>
      </c>
      <c r="U66" s="13" t="s">
        <v>3164</v>
      </c>
      <c r="V66" s="13" t="s">
        <v>3166</v>
      </c>
      <c r="W66" s="13" t="s">
        <v>3167</v>
      </c>
      <c r="X66" s="13" t="s">
        <v>3255</v>
      </c>
    </row>
    <row r="67" ht="14.25" customHeight="1">
      <c r="A67" s="13">
        <v>23236.0</v>
      </c>
      <c r="B67" s="13" t="s">
        <v>2934</v>
      </c>
      <c r="C67" s="13">
        <v>2015.0</v>
      </c>
      <c r="D67" s="13" t="s">
        <v>3153</v>
      </c>
      <c r="E67" s="13" t="s">
        <v>3154</v>
      </c>
      <c r="F67" s="13" t="s">
        <v>3170</v>
      </c>
      <c r="G67" s="13" t="s">
        <v>3202</v>
      </c>
      <c r="H67" s="13">
        <v>30.0</v>
      </c>
      <c r="I67" s="13" t="s">
        <v>3222</v>
      </c>
      <c r="J67" s="13" t="s">
        <v>3182</v>
      </c>
      <c r="K67" s="13" t="s">
        <v>3208</v>
      </c>
      <c r="L67" s="13" t="s">
        <v>3160</v>
      </c>
      <c r="M67" s="13" t="s">
        <v>3328</v>
      </c>
      <c r="N67" s="13">
        <v>1.0</v>
      </c>
      <c r="O67" s="13" t="s">
        <v>3267</v>
      </c>
      <c r="P67" s="13" t="s">
        <v>33</v>
      </c>
      <c r="Q67" s="13" t="s">
        <v>3173</v>
      </c>
      <c r="R67" s="13" t="s">
        <v>3163</v>
      </c>
      <c r="S67" s="13" t="s">
        <v>3343</v>
      </c>
      <c r="T67" s="13" t="s">
        <v>3164</v>
      </c>
      <c r="U67" s="13" t="s">
        <v>3164</v>
      </c>
      <c r="V67" s="13" t="s">
        <v>3166</v>
      </c>
      <c r="W67" s="13" t="s">
        <v>3167</v>
      </c>
      <c r="X67" s="13" t="s">
        <v>3255</v>
      </c>
    </row>
    <row r="68" ht="14.25" customHeight="1">
      <c r="A68" s="13">
        <v>23237.0</v>
      </c>
      <c r="B68" s="13" t="s">
        <v>1932</v>
      </c>
      <c r="C68" s="13">
        <v>2005.0</v>
      </c>
      <c r="D68" s="13" t="s">
        <v>3153</v>
      </c>
      <c r="E68" s="13" t="s">
        <v>3169</v>
      </c>
      <c r="F68" s="13" t="s">
        <v>3170</v>
      </c>
      <c r="G68" s="13" t="s">
        <v>3304</v>
      </c>
      <c r="H68" s="13">
        <v>30.0</v>
      </c>
      <c r="I68" s="13" t="s">
        <v>3188</v>
      </c>
      <c r="J68" s="13" t="s">
        <v>3207</v>
      </c>
      <c r="K68" s="13" t="s">
        <v>3214</v>
      </c>
      <c r="L68" s="13" t="s">
        <v>3177</v>
      </c>
      <c r="M68" s="13" t="s">
        <v>3344</v>
      </c>
      <c r="N68" s="13">
        <v>8.0</v>
      </c>
      <c r="O68" s="13" t="s">
        <v>3267</v>
      </c>
      <c r="P68" s="13" t="s">
        <v>33</v>
      </c>
      <c r="Q68" s="13" t="s">
        <v>3210</v>
      </c>
      <c r="R68" s="13" t="s">
        <v>3163</v>
      </c>
      <c r="S68" s="13" t="s">
        <v>33</v>
      </c>
      <c r="T68" s="13" t="s">
        <v>3195</v>
      </c>
      <c r="U68" s="13" t="s">
        <v>3195</v>
      </c>
      <c r="V68" s="13" t="s">
        <v>3195</v>
      </c>
      <c r="W68" s="13" t="s">
        <v>3167</v>
      </c>
      <c r="X68" s="13" t="s">
        <v>3167</v>
      </c>
    </row>
    <row r="69" ht="14.25" customHeight="1">
      <c r="A69" s="13">
        <v>23242.0</v>
      </c>
      <c r="B69" s="13" t="s">
        <v>1332</v>
      </c>
      <c r="C69" s="13">
        <v>2010.0</v>
      </c>
      <c r="D69" s="13" t="s">
        <v>3153</v>
      </c>
      <c r="E69" s="13" t="s">
        <v>3169</v>
      </c>
      <c r="F69" s="13" t="s">
        <v>3192</v>
      </c>
      <c r="G69" s="13" t="s">
        <v>3187</v>
      </c>
      <c r="H69" s="13">
        <v>100.0</v>
      </c>
      <c r="I69" s="13" t="s">
        <v>3244</v>
      </c>
      <c r="J69" s="13" t="s">
        <v>3345</v>
      </c>
      <c r="K69" s="13" t="s">
        <v>3173</v>
      </c>
      <c r="L69" s="13" t="s">
        <v>3160</v>
      </c>
      <c r="M69" s="13" t="s">
        <v>3317</v>
      </c>
      <c r="N69" s="13">
        <v>1.0</v>
      </c>
      <c r="O69" s="13" t="s">
        <v>3162</v>
      </c>
      <c r="P69" s="13" t="s">
        <v>33</v>
      </c>
      <c r="Q69" s="13" t="s">
        <v>3346</v>
      </c>
      <c r="R69" s="13" t="s">
        <v>3163</v>
      </c>
      <c r="S69" s="13" t="s">
        <v>33</v>
      </c>
      <c r="T69" s="13" t="s">
        <v>3232</v>
      </c>
      <c r="U69" s="13" t="s">
        <v>3252</v>
      </c>
      <c r="V69" s="13" t="s">
        <v>3253</v>
      </c>
      <c r="W69" s="13" t="s">
        <v>3294</v>
      </c>
      <c r="X69" s="13" t="s">
        <v>3347</v>
      </c>
    </row>
    <row r="70" ht="14.25" customHeight="1">
      <c r="A70" s="13">
        <v>23247.0</v>
      </c>
      <c r="B70" s="13" t="s">
        <v>2143</v>
      </c>
      <c r="C70" s="13">
        <v>2012.0</v>
      </c>
      <c r="D70" s="13" t="s">
        <v>3153</v>
      </c>
      <c r="E70" s="13" t="s">
        <v>3169</v>
      </c>
      <c r="F70" s="13" t="s">
        <v>3170</v>
      </c>
      <c r="G70" s="13" t="s">
        <v>3202</v>
      </c>
      <c r="H70" s="13">
        <v>0.5</v>
      </c>
      <c r="I70" s="13" t="s">
        <v>3157</v>
      </c>
      <c r="J70" s="13" t="s">
        <v>3348</v>
      </c>
      <c r="K70" s="13" t="s">
        <v>3208</v>
      </c>
      <c r="L70" s="13" t="s">
        <v>3160</v>
      </c>
      <c r="M70" s="13" t="s">
        <v>3349</v>
      </c>
      <c r="N70" s="13">
        <v>2.0</v>
      </c>
      <c r="O70" s="13" t="s">
        <v>3162</v>
      </c>
      <c r="P70" s="13" t="s">
        <v>33</v>
      </c>
      <c r="Q70" s="13" t="s">
        <v>3159</v>
      </c>
      <c r="R70" s="13" t="s">
        <v>3163</v>
      </c>
      <c r="S70" s="13" t="s">
        <v>33</v>
      </c>
      <c r="T70" s="13" t="s">
        <v>3164</v>
      </c>
      <c r="U70" s="13" t="s">
        <v>3164</v>
      </c>
      <c r="V70" s="13" t="s">
        <v>3166</v>
      </c>
      <c r="W70" s="13" t="s">
        <v>3167</v>
      </c>
      <c r="X70" s="13" t="s">
        <v>3178</v>
      </c>
    </row>
    <row r="71" ht="14.25" customHeight="1">
      <c r="A71" s="13">
        <v>23249.0</v>
      </c>
      <c r="B71" s="13" t="s">
        <v>1753</v>
      </c>
      <c r="C71" s="13">
        <v>2019.0</v>
      </c>
      <c r="D71" s="13" t="s">
        <v>3153</v>
      </c>
      <c r="E71" s="13" t="s">
        <v>3169</v>
      </c>
      <c r="F71" s="13" t="s">
        <v>3192</v>
      </c>
      <c r="G71" s="13" t="s">
        <v>33</v>
      </c>
      <c r="H71" s="13" t="s">
        <v>33</v>
      </c>
      <c r="I71" s="13" t="s">
        <v>3244</v>
      </c>
      <c r="J71" s="13" t="s">
        <v>3350</v>
      </c>
      <c r="K71" s="13" t="s">
        <v>3183</v>
      </c>
      <c r="L71" s="13" t="s">
        <v>3160</v>
      </c>
      <c r="M71" s="13" t="s">
        <v>3351</v>
      </c>
      <c r="N71" s="13">
        <v>3.0</v>
      </c>
      <c r="O71" s="13" t="s">
        <v>3162</v>
      </c>
      <c r="P71" s="13" t="s">
        <v>3352</v>
      </c>
      <c r="Q71" s="13" t="s">
        <v>3353</v>
      </c>
      <c r="R71" s="13" t="s">
        <v>3177</v>
      </c>
      <c r="S71" s="13" t="s">
        <v>3354</v>
      </c>
      <c r="T71" s="13" t="s">
        <v>3195</v>
      </c>
      <c r="U71" s="13" t="s">
        <v>3195</v>
      </c>
      <c r="V71" s="13" t="s">
        <v>3195</v>
      </c>
      <c r="W71" s="13" t="s">
        <v>3167</v>
      </c>
      <c r="X71" s="13" t="s">
        <v>3167</v>
      </c>
    </row>
    <row r="72" ht="14.25" customHeight="1">
      <c r="A72" s="13">
        <v>23252.0</v>
      </c>
      <c r="B72" s="13" t="s">
        <v>1075</v>
      </c>
      <c r="C72" s="13">
        <v>2017.0</v>
      </c>
      <c r="D72" s="13" t="s">
        <v>3153</v>
      </c>
      <c r="E72" s="13" t="s">
        <v>3169</v>
      </c>
      <c r="F72" s="13" t="s">
        <v>3192</v>
      </c>
      <c r="G72" s="13" t="s">
        <v>3202</v>
      </c>
      <c r="H72" s="13">
        <v>1.0</v>
      </c>
      <c r="I72" s="13" t="s">
        <v>3222</v>
      </c>
      <c r="J72" s="13" t="s">
        <v>3182</v>
      </c>
      <c r="K72" s="13" t="s">
        <v>3208</v>
      </c>
      <c r="L72" s="13" t="s">
        <v>3160</v>
      </c>
      <c r="M72" s="13" t="s">
        <v>3355</v>
      </c>
      <c r="N72" s="13">
        <v>1.0</v>
      </c>
      <c r="O72" s="13" t="s">
        <v>3162</v>
      </c>
      <c r="P72" s="13" t="s">
        <v>33</v>
      </c>
      <c r="Q72" s="13" t="s">
        <v>3273</v>
      </c>
      <c r="R72" s="13" t="s">
        <v>3163</v>
      </c>
      <c r="S72" s="13" t="s">
        <v>33</v>
      </c>
      <c r="T72" s="13" t="s">
        <v>3247</v>
      </c>
      <c r="U72" s="13" t="s">
        <v>3247</v>
      </c>
      <c r="V72" s="13" t="s">
        <v>3242</v>
      </c>
      <c r="W72" s="13" t="s">
        <v>3356</v>
      </c>
      <c r="X72" s="13" t="s">
        <v>3167</v>
      </c>
    </row>
    <row r="73" ht="14.25" customHeight="1">
      <c r="A73" s="13">
        <v>23256.0</v>
      </c>
      <c r="B73" s="13" t="s">
        <v>1533</v>
      </c>
      <c r="C73" s="13">
        <v>2008.0</v>
      </c>
      <c r="D73" s="13" t="s">
        <v>3153</v>
      </c>
      <c r="E73" s="13" t="s">
        <v>3169</v>
      </c>
      <c r="F73" s="13" t="s">
        <v>3170</v>
      </c>
      <c r="G73" s="13" t="s">
        <v>3156</v>
      </c>
      <c r="H73" s="13" t="s">
        <v>3167</v>
      </c>
      <c r="I73" s="13" t="s">
        <v>3222</v>
      </c>
      <c r="J73" s="13" t="s">
        <v>3182</v>
      </c>
      <c r="K73" s="13" t="s">
        <v>3201</v>
      </c>
      <c r="L73" s="13" t="s">
        <v>3177</v>
      </c>
      <c r="M73" s="13" t="s">
        <v>3230</v>
      </c>
      <c r="N73" s="13">
        <v>1.0</v>
      </c>
      <c r="O73" s="13" t="s">
        <v>3162</v>
      </c>
      <c r="P73" s="13" t="s">
        <v>33</v>
      </c>
      <c r="Q73" s="13" t="s">
        <v>3159</v>
      </c>
      <c r="R73" s="13" t="s">
        <v>3163</v>
      </c>
      <c r="S73" s="13" t="s">
        <v>33</v>
      </c>
      <c r="T73" s="13" t="s">
        <v>3164</v>
      </c>
      <c r="U73" s="13" t="s">
        <v>3165</v>
      </c>
      <c r="V73" s="13" t="s">
        <v>3166</v>
      </c>
      <c r="W73" s="13" t="s">
        <v>3167</v>
      </c>
      <c r="X73" s="13" t="s">
        <v>3216</v>
      </c>
    </row>
    <row r="74" ht="14.25" customHeight="1">
      <c r="A74" s="13">
        <v>23258.0</v>
      </c>
      <c r="B74" s="13" t="s">
        <v>2397</v>
      </c>
      <c r="C74" s="13">
        <v>2018.0</v>
      </c>
      <c r="D74" s="13" t="s">
        <v>3153</v>
      </c>
      <c r="E74" s="13" t="s">
        <v>3169</v>
      </c>
      <c r="F74" s="13" t="s">
        <v>3211</v>
      </c>
      <c r="G74" s="13" t="s">
        <v>3156</v>
      </c>
      <c r="H74" s="13" t="s">
        <v>3167</v>
      </c>
      <c r="I74" s="13" t="s">
        <v>3357</v>
      </c>
      <c r="J74" s="13" t="s">
        <v>3358</v>
      </c>
      <c r="K74" s="13" t="s">
        <v>3359</v>
      </c>
      <c r="L74" s="13" t="s">
        <v>3177</v>
      </c>
      <c r="M74" s="13" t="s">
        <v>3360</v>
      </c>
      <c r="N74" s="13">
        <v>6.0</v>
      </c>
      <c r="O74" s="13" t="s">
        <v>3162</v>
      </c>
      <c r="P74" s="13" t="s">
        <v>33</v>
      </c>
      <c r="Q74" s="13" t="s">
        <v>3361</v>
      </c>
      <c r="R74" s="13" t="s">
        <v>3163</v>
      </c>
      <c r="S74" s="13" t="s">
        <v>33</v>
      </c>
      <c r="T74" s="13" t="s">
        <v>3247</v>
      </c>
      <c r="U74" s="13" t="s">
        <v>3247</v>
      </c>
      <c r="V74" s="13" t="s">
        <v>3242</v>
      </c>
      <c r="W74" s="13" t="s">
        <v>3248</v>
      </c>
      <c r="X74" s="13" t="s">
        <v>3167</v>
      </c>
    </row>
    <row r="75" ht="14.25" customHeight="1">
      <c r="A75" s="13">
        <v>23261.0</v>
      </c>
      <c r="B75" s="13" t="s">
        <v>2936</v>
      </c>
      <c r="C75" s="13">
        <v>2011.0</v>
      </c>
      <c r="D75" s="13" t="s">
        <v>3153</v>
      </c>
      <c r="E75" s="13" t="s">
        <v>3169</v>
      </c>
      <c r="F75" s="13" t="s">
        <v>3155</v>
      </c>
      <c r="G75" s="13" t="s">
        <v>3187</v>
      </c>
      <c r="H75" s="13">
        <v>1.0</v>
      </c>
      <c r="I75" s="13" t="s">
        <v>3222</v>
      </c>
      <c r="J75" s="13" t="s">
        <v>3362</v>
      </c>
      <c r="K75" s="13" t="s">
        <v>3183</v>
      </c>
      <c r="L75" s="13" t="s">
        <v>3160</v>
      </c>
      <c r="M75" s="13" t="s">
        <v>3161</v>
      </c>
      <c r="N75" s="13">
        <v>1.0</v>
      </c>
      <c r="O75" s="13" t="s">
        <v>3162</v>
      </c>
      <c r="P75" s="13" t="s">
        <v>33</v>
      </c>
      <c r="Q75" s="13" t="s">
        <v>3183</v>
      </c>
      <c r="R75" s="13" t="s">
        <v>3163</v>
      </c>
      <c r="S75" s="13" t="s">
        <v>33</v>
      </c>
      <c r="T75" s="13" t="s">
        <v>3165</v>
      </c>
      <c r="U75" s="13" t="s">
        <v>3165</v>
      </c>
      <c r="V75" s="13" t="s">
        <v>3166</v>
      </c>
      <c r="W75" s="13" t="s">
        <v>3167</v>
      </c>
      <c r="X75" s="13" t="s">
        <v>3324</v>
      </c>
    </row>
    <row r="76" ht="14.25" customHeight="1">
      <c r="A76" s="13">
        <v>23262.0</v>
      </c>
      <c r="B76" s="13" t="s">
        <v>204</v>
      </c>
      <c r="C76" s="13">
        <v>2020.0</v>
      </c>
      <c r="D76" s="13" t="s">
        <v>3153</v>
      </c>
      <c r="E76" s="13" t="s">
        <v>3169</v>
      </c>
      <c r="F76" s="13" t="s">
        <v>3192</v>
      </c>
      <c r="G76" s="13" t="s">
        <v>3187</v>
      </c>
      <c r="H76" s="13">
        <v>1.0</v>
      </c>
      <c r="I76" s="13" t="s">
        <v>3222</v>
      </c>
      <c r="J76" s="13" t="s">
        <v>3182</v>
      </c>
      <c r="K76" s="13" t="s">
        <v>3186</v>
      </c>
      <c r="L76" s="13" t="s">
        <v>3177</v>
      </c>
      <c r="M76" s="13" t="s">
        <v>3363</v>
      </c>
      <c r="N76" s="13">
        <v>1.0</v>
      </c>
      <c r="O76" s="13" t="s">
        <v>3162</v>
      </c>
      <c r="P76" s="13" t="s">
        <v>33</v>
      </c>
      <c r="Q76" s="13" t="s">
        <v>3173</v>
      </c>
      <c r="R76" s="13" t="s">
        <v>3177</v>
      </c>
      <c r="S76" s="13" t="s">
        <v>33</v>
      </c>
      <c r="T76" s="13" t="s">
        <v>3164</v>
      </c>
      <c r="U76" s="13" t="s">
        <v>3164</v>
      </c>
      <c r="V76" s="13" t="s">
        <v>3166</v>
      </c>
      <c r="W76" s="13" t="s">
        <v>3167</v>
      </c>
      <c r="X76" s="13" t="s">
        <v>3224</v>
      </c>
    </row>
    <row r="77" ht="14.25" customHeight="1">
      <c r="A77" s="13">
        <v>23266.0</v>
      </c>
      <c r="B77" s="13" t="s">
        <v>1948</v>
      </c>
      <c r="C77" s="13">
        <v>2020.0</v>
      </c>
      <c r="D77" s="13" t="s">
        <v>3153</v>
      </c>
      <c r="E77" s="13" t="s">
        <v>3154</v>
      </c>
      <c r="F77" s="13" t="s">
        <v>3170</v>
      </c>
      <c r="G77" s="13" t="s">
        <v>3156</v>
      </c>
      <c r="H77" s="13" t="s">
        <v>3167</v>
      </c>
      <c r="I77" s="13" t="s">
        <v>3171</v>
      </c>
      <c r="J77" s="13" t="s">
        <v>3364</v>
      </c>
      <c r="K77" s="13" t="s">
        <v>3173</v>
      </c>
      <c r="L77" s="13" t="s">
        <v>3160</v>
      </c>
      <c r="M77" s="13" t="s">
        <v>3365</v>
      </c>
      <c r="N77" s="13">
        <v>5.0</v>
      </c>
      <c r="O77" s="13" t="s">
        <v>3267</v>
      </c>
      <c r="P77" s="13" t="s">
        <v>33</v>
      </c>
      <c r="Q77" s="13" t="s">
        <v>3159</v>
      </c>
      <c r="R77" s="13" t="s">
        <v>3163</v>
      </c>
      <c r="S77" s="13" t="s">
        <v>33</v>
      </c>
      <c r="T77" s="13" t="s">
        <v>3164</v>
      </c>
      <c r="U77" s="13" t="s">
        <v>3164</v>
      </c>
      <c r="V77" s="13" t="s">
        <v>3166</v>
      </c>
      <c r="W77" s="13" t="s">
        <v>3167</v>
      </c>
      <c r="X77" s="13" t="s">
        <v>3168</v>
      </c>
    </row>
    <row r="78" ht="14.25" customHeight="1">
      <c r="A78" s="13">
        <v>23276.0</v>
      </c>
      <c r="B78" s="13" t="s">
        <v>1346</v>
      </c>
      <c r="C78" s="13">
        <v>2016.0</v>
      </c>
      <c r="D78" s="13" t="s">
        <v>3153</v>
      </c>
      <c r="E78" s="13" t="s">
        <v>3169</v>
      </c>
      <c r="F78" s="13" t="s">
        <v>3217</v>
      </c>
      <c r="G78" s="13" t="s">
        <v>3366</v>
      </c>
      <c r="H78" s="13">
        <v>10.0</v>
      </c>
      <c r="I78" s="13" t="s">
        <v>3167</v>
      </c>
      <c r="J78" s="13" t="s">
        <v>3167</v>
      </c>
      <c r="K78" s="13" t="s">
        <v>3183</v>
      </c>
      <c r="L78" s="13" t="s">
        <v>3177</v>
      </c>
      <c r="M78" s="13" t="s">
        <v>3161</v>
      </c>
      <c r="N78" s="13">
        <v>1.0</v>
      </c>
      <c r="O78" s="13" t="s">
        <v>3162</v>
      </c>
      <c r="P78" s="13" t="s">
        <v>3221</v>
      </c>
      <c r="Q78" s="13" t="s">
        <v>3183</v>
      </c>
      <c r="R78" s="13" t="s">
        <v>3177</v>
      </c>
      <c r="S78" s="13" t="s">
        <v>3221</v>
      </c>
      <c r="T78" s="13" t="s">
        <v>3232</v>
      </c>
      <c r="U78" s="13" t="s">
        <v>3197</v>
      </c>
      <c r="V78" s="13" t="s">
        <v>3166</v>
      </c>
      <c r="W78" s="13" t="s">
        <v>3167</v>
      </c>
      <c r="X78" s="13" t="s">
        <v>3367</v>
      </c>
    </row>
    <row r="79" ht="14.25" customHeight="1">
      <c r="A79" s="13">
        <v>23278.0</v>
      </c>
      <c r="B79" s="13" t="s">
        <v>2907</v>
      </c>
      <c r="C79" s="13">
        <v>2015.0</v>
      </c>
      <c r="D79" s="13" t="s">
        <v>3153</v>
      </c>
      <c r="E79" s="13" t="s">
        <v>3154</v>
      </c>
      <c r="F79" s="13" t="s">
        <v>3192</v>
      </c>
      <c r="G79" s="13" t="s">
        <v>3156</v>
      </c>
      <c r="H79" s="13" t="s">
        <v>3167</v>
      </c>
      <c r="I79" s="13" t="s">
        <v>3157</v>
      </c>
      <c r="J79" s="13" t="s">
        <v>3368</v>
      </c>
      <c r="K79" s="13" t="s">
        <v>3159</v>
      </c>
      <c r="L79" s="13" t="s">
        <v>3177</v>
      </c>
      <c r="M79" s="13" t="s">
        <v>3369</v>
      </c>
      <c r="N79" s="13">
        <v>1.0</v>
      </c>
      <c r="O79" s="13" t="s">
        <v>3162</v>
      </c>
      <c r="P79" s="13" t="s">
        <v>3167</v>
      </c>
      <c r="Q79" s="13" t="s">
        <v>3159</v>
      </c>
      <c r="R79" s="13" t="s">
        <v>3231</v>
      </c>
      <c r="S79" s="13" t="s">
        <v>33</v>
      </c>
      <c r="T79" s="13" t="s">
        <v>3164</v>
      </c>
      <c r="U79" s="13" t="s">
        <v>3164</v>
      </c>
      <c r="V79" s="13" t="s">
        <v>3166</v>
      </c>
      <c r="W79" s="13" t="s">
        <v>3167</v>
      </c>
      <c r="X79" s="13" t="s">
        <v>3225</v>
      </c>
    </row>
    <row r="80" ht="14.25" customHeight="1">
      <c r="A80" s="13">
        <v>23280.0</v>
      </c>
      <c r="B80" s="13" t="s">
        <v>818</v>
      </c>
      <c r="C80" s="13">
        <v>2016.0</v>
      </c>
      <c r="D80" s="13" t="s">
        <v>3153</v>
      </c>
      <c r="E80" s="13" t="s">
        <v>3179</v>
      </c>
      <c r="F80" s="13" t="s">
        <v>3192</v>
      </c>
      <c r="G80" s="13" t="s">
        <v>3180</v>
      </c>
      <c r="H80" s="13">
        <v>0.1</v>
      </c>
      <c r="I80" s="13" t="s">
        <v>3249</v>
      </c>
      <c r="J80" s="13" t="s">
        <v>3364</v>
      </c>
      <c r="K80" s="13" t="s">
        <v>3370</v>
      </c>
      <c r="L80" s="13" t="s">
        <v>3177</v>
      </c>
      <c r="M80" s="13" t="s">
        <v>3371</v>
      </c>
      <c r="N80" s="13">
        <v>9.0</v>
      </c>
      <c r="O80" s="13" t="s">
        <v>3162</v>
      </c>
      <c r="P80" s="13" t="s">
        <v>33</v>
      </c>
      <c r="Q80" s="13" t="s">
        <v>3183</v>
      </c>
      <c r="R80" s="13" t="s">
        <v>3163</v>
      </c>
      <c r="S80" s="13" t="s">
        <v>3372</v>
      </c>
      <c r="T80" s="13" t="s">
        <v>3197</v>
      </c>
      <c r="U80" s="13" t="s">
        <v>3197</v>
      </c>
      <c r="V80" s="13" t="s">
        <v>3166</v>
      </c>
      <c r="W80" s="13" t="s">
        <v>3167</v>
      </c>
      <c r="X80" s="13" t="s">
        <v>3255</v>
      </c>
    </row>
    <row r="81" ht="14.25" customHeight="1">
      <c r="A81" s="13">
        <v>23282.0</v>
      </c>
      <c r="B81" s="13" t="s">
        <v>353</v>
      </c>
      <c r="C81" s="13">
        <v>2011.0</v>
      </c>
      <c r="D81" s="13" t="s">
        <v>3153</v>
      </c>
      <c r="E81" s="13" t="s">
        <v>3179</v>
      </c>
      <c r="F81" s="13" t="s">
        <v>3170</v>
      </c>
      <c r="G81" s="13" t="s">
        <v>3156</v>
      </c>
      <c r="H81" s="13" t="s">
        <v>33</v>
      </c>
      <c r="I81" s="13" t="s">
        <v>3181</v>
      </c>
      <c r="J81" s="13" t="s">
        <v>3229</v>
      </c>
      <c r="K81" s="13" t="s">
        <v>3287</v>
      </c>
      <c r="L81" s="13" t="s">
        <v>3160</v>
      </c>
      <c r="M81" s="13" t="s">
        <v>3373</v>
      </c>
      <c r="N81" s="13">
        <v>1.0</v>
      </c>
      <c r="O81" s="13" t="s">
        <v>3162</v>
      </c>
      <c r="P81" s="13" t="s">
        <v>33</v>
      </c>
      <c r="Q81" s="13" t="s">
        <v>3186</v>
      </c>
      <c r="R81" s="13" t="s">
        <v>3177</v>
      </c>
      <c r="S81" s="13" t="s">
        <v>33</v>
      </c>
      <c r="T81" s="13" t="s">
        <v>3232</v>
      </c>
      <c r="U81" s="13" t="s">
        <v>3232</v>
      </c>
      <c r="V81" s="13" t="s">
        <v>3166</v>
      </c>
      <c r="W81" s="13" t="s">
        <v>3167</v>
      </c>
      <c r="X81" s="13" t="s">
        <v>3224</v>
      </c>
    </row>
    <row r="82" ht="14.25" customHeight="1">
      <c r="A82" s="13">
        <v>23285.0</v>
      </c>
      <c r="B82" s="13" t="s">
        <v>2265</v>
      </c>
      <c r="C82" s="13">
        <v>2010.0</v>
      </c>
      <c r="D82" s="13" t="s">
        <v>3153</v>
      </c>
      <c r="E82" s="13" t="s">
        <v>3154</v>
      </c>
      <c r="F82" s="13" t="s">
        <v>3192</v>
      </c>
      <c r="G82" s="13" t="s">
        <v>3156</v>
      </c>
      <c r="H82" s="13" t="s">
        <v>33</v>
      </c>
      <c r="I82" s="13" t="s">
        <v>3222</v>
      </c>
      <c r="J82" s="13" t="s">
        <v>3229</v>
      </c>
      <c r="K82" s="13" t="s">
        <v>3159</v>
      </c>
      <c r="L82" s="13" t="s">
        <v>3160</v>
      </c>
      <c r="M82" s="13" t="s">
        <v>3161</v>
      </c>
      <c r="N82" s="13">
        <v>1.0</v>
      </c>
      <c r="O82" s="13" t="s">
        <v>3162</v>
      </c>
      <c r="P82" s="13" t="s">
        <v>33</v>
      </c>
      <c r="Q82" s="13" t="s">
        <v>3159</v>
      </c>
      <c r="R82" s="13" t="s">
        <v>3163</v>
      </c>
      <c r="S82" s="13" t="s">
        <v>33</v>
      </c>
      <c r="T82" s="13" t="s">
        <v>3164</v>
      </c>
      <c r="U82" s="13" t="s">
        <v>3164</v>
      </c>
      <c r="V82" s="13" t="s">
        <v>3166</v>
      </c>
      <c r="W82" s="13" t="s">
        <v>3167</v>
      </c>
      <c r="X82" s="13" t="s">
        <v>3225</v>
      </c>
    </row>
    <row r="83" ht="14.25" customHeight="1">
      <c r="A83" s="13">
        <v>23290.0</v>
      </c>
      <c r="B83" s="13" t="s">
        <v>344</v>
      </c>
      <c r="C83" s="13">
        <v>2019.0</v>
      </c>
      <c r="D83" s="13" t="s">
        <v>3153</v>
      </c>
      <c r="E83" s="13" t="s">
        <v>3154</v>
      </c>
      <c r="F83" s="13" t="s">
        <v>3170</v>
      </c>
      <c r="G83" s="13" t="s">
        <v>3156</v>
      </c>
      <c r="H83" s="13" t="s">
        <v>3167</v>
      </c>
      <c r="I83" s="13" t="s">
        <v>3171</v>
      </c>
      <c r="J83" s="13" t="s">
        <v>3374</v>
      </c>
      <c r="K83" s="13" t="s">
        <v>3208</v>
      </c>
      <c r="L83" s="13" t="s">
        <v>3160</v>
      </c>
      <c r="M83" s="13" t="s">
        <v>3375</v>
      </c>
      <c r="N83" s="13">
        <v>4.0</v>
      </c>
      <c r="O83" s="13" t="s">
        <v>3267</v>
      </c>
      <c r="P83" s="13" t="s">
        <v>33</v>
      </c>
      <c r="Q83" s="13" t="s">
        <v>3210</v>
      </c>
      <c r="R83" s="13" t="s">
        <v>3163</v>
      </c>
      <c r="S83" s="13" t="s">
        <v>33</v>
      </c>
      <c r="T83" s="13" t="s">
        <v>3195</v>
      </c>
      <c r="U83" s="13" t="s">
        <v>3195</v>
      </c>
      <c r="V83" s="13" t="s">
        <v>3195</v>
      </c>
      <c r="W83" s="13" t="s">
        <v>3167</v>
      </c>
      <c r="X83" s="13" t="s">
        <v>3167</v>
      </c>
    </row>
    <row r="84" ht="14.25" customHeight="1">
      <c r="A84" s="13">
        <v>23293.0</v>
      </c>
      <c r="B84" s="13" t="s">
        <v>504</v>
      </c>
      <c r="C84" s="13">
        <v>2018.0</v>
      </c>
      <c r="D84" s="13" t="s">
        <v>3153</v>
      </c>
      <c r="E84" s="13" t="s">
        <v>3169</v>
      </c>
      <c r="F84" s="13" t="s">
        <v>3155</v>
      </c>
      <c r="G84" s="13" t="s">
        <v>3187</v>
      </c>
      <c r="H84" s="13">
        <v>1.0</v>
      </c>
      <c r="I84" s="13" t="s">
        <v>3203</v>
      </c>
      <c r="J84" s="13" t="s">
        <v>3204</v>
      </c>
      <c r="K84" s="13" t="s">
        <v>3338</v>
      </c>
      <c r="L84" s="13" t="s">
        <v>3160</v>
      </c>
      <c r="M84" s="13" t="s">
        <v>3161</v>
      </c>
      <c r="N84" s="13">
        <v>1.0</v>
      </c>
      <c r="O84" s="13" t="s">
        <v>3162</v>
      </c>
      <c r="P84" s="13" t="s">
        <v>3376</v>
      </c>
      <c r="Q84" s="13" t="s">
        <v>3338</v>
      </c>
      <c r="R84" s="13" t="s">
        <v>3163</v>
      </c>
      <c r="S84" s="13" t="s">
        <v>3376</v>
      </c>
      <c r="T84" s="13" t="s">
        <v>3228</v>
      </c>
      <c r="U84" s="13" t="s">
        <v>3228</v>
      </c>
      <c r="V84" s="13" t="s">
        <v>3242</v>
      </c>
      <c r="W84" s="13" t="s">
        <v>3377</v>
      </c>
      <c r="X84" s="13" t="s">
        <v>3167</v>
      </c>
    </row>
    <row r="85" ht="14.25" customHeight="1">
      <c r="A85" s="13">
        <v>23301.0</v>
      </c>
      <c r="B85" s="13" t="s">
        <v>1166</v>
      </c>
      <c r="C85" s="13">
        <v>2020.0</v>
      </c>
      <c r="D85" s="13" t="s">
        <v>3153</v>
      </c>
      <c r="E85" s="13" t="s">
        <v>3169</v>
      </c>
      <c r="F85" s="13" t="s">
        <v>3155</v>
      </c>
      <c r="G85" s="13" t="s">
        <v>3187</v>
      </c>
      <c r="H85" s="13">
        <v>1.0</v>
      </c>
      <c r="I85" s="13" t="s">
        <v>3171</v>
      </c>
      <c r="J85" s="13" t="s">
        <v>3378</v>
      </c>
      <c r="K85" s="13" t="s">
        <v>3173</v>
      </c>
      <c r="L85" s="13" t="s">
        <v>3177</v>
      </c>
      <c r="M85" s="13" t="s">
        <v>3161</v>
      </c>
      <c r="N85" s="13">
        <v>1.0</v>
      </c>
      <c r="O85" s="13" t="s">
        <v>3162</v>
      </c>
      <c r="P85" s="13" t="s">
        <v>33</v>
      </c>
      <c r="Q85" s="13" t="s">
        <v>3379</v>
      </c>
      <c r="R85" s="13" t="s">
        <v>3163</v>
      </c>
      <c r="S85" s="13" t="s">
        <v>3380</v>
      </c>
      <c r="T85" s="13" t="s">
        <v>3195</v>
      </c>
      <c r="U85" s="13" t="s">
        <v>3195</v>
      </c>
      <c r="V85" s="13" t="s">
        <v>3195</v>
      </c>
      <c r="W85" s="13" t="s">
        <v>3167</v>
      </c>
      <c r="X85" s="13" t="s">
        <v>3167</v>
      </c>
    </row>
    <row r="86" ht="14.25" customHeight="1">
      <c r="A86" s="13">
        <v>23303.0</v>
      </c>
      <c r="B86" s="13" t="s">
        <v>430</v>
      </c>
      <c r="C86" s="13">
        <v>2016.0</v>
      </c>
      <c r="D86" s="13" t="s">
        <v>3153</v>
      </c>
      <c r="E86" s="13" t="s">
        <v>3154</v>
      </c>
      <c r="F86" s="13" t="s">
        <v>3155</v>
      </c>
      <c r="G86" s="13" t="s">
        <v>33</v>
      </c>
      <c r="H86" s="13" t="s">
        <v>33</v>
      </c>
      <c r="I86" s="13" t="s">
        <v>3188</v>
      </c>
      <c r="J86" s="13" t="s">
        <v>3207</v>
      </c>
      <c r="K86" s="13" t="s">
        <v>3381</v>
      </c>
      <c r="L86" s="13" t="s">
        <v>3177</v>
      </c>
      <c r="M86" s="13" t="s">
        <v>3382</v>
      </c>
      <c r="N86" s="13">
        <v>3.0</v>
      </c>
      <c r="O86" s="13" t="s">
        <v>3175</v>
      </c>
      <c r="P86" s="13" t="s">
        <v>3383</v>
      </c>
      <c r="Q86" s="13" t="s">
        <v>3186</v>
      </c>
      <c r="R86" s="13" t="s">
        <v>3177</v>
      </c>
      <c r="S86" s="13" t="s">
        <v>3384</v>
      </c>
      <c r="T86" s="13" t="s">
        <v>3197</v>
      </c>
      <c r="U86" s="13" t="s">
        <v>3197</v>
      </c>
      <c r="V86" s="13" t="s">
        <v>3166</v>
      </c>
      <c r="W86" s="13" t="s">
        <v>3167</v>
      </c>
      <c r="X86" s="13" t="s">
        <v>3255</v>
      </c>
    </row>
    <row r="87" ht="14.25" customHeight="1">
      <c r="A87" s="13">
        <v>23304.0</v>
      </c>
      <c r="B87" s="13" t="s">
        <v>2758</v>
      </c>
      <c r="C87" s="13">
        <v>2012.0</v>
      </c>
      <c r="D87" s="13" t="s">
        <v>3153</v>
      </c>
      <c r="E87" s="13" t="s">
        <v>3169</v>
      </c>
      <c r="F87" s="13" t="s">
        <v>3170</v>
      </c>
      <c r="G87" s="13" t="s">
        <v>3187</v>
      </c>
      <c r="H87" s="13">
        <v>25.0</v>
      </c>
      <c r="I87" s="13" t="s">
        <v>3171</v>
      </c>
      <c r="J87" s="13" t="s">
        <v>3385</v>
      </c>
      <c r="K87" s="13" t="s">
        <v>3214</v>
      </c>
      <c r="L87" s="13" t="s">
        <v>3177</v>
      </c>
      <c r="M87" s="13" t="s">
        <v>3386</v>
      </c>
      <c r="N87" s="13">
        <v>3.0</v>
      </c>
      <c r="O87" s="13" t="s">
        <v>3162</v>
      </c>
      <c r="P87" s="13" t="s">
        <v>33</v>
      </c>
      <c r="Q87" s="13" t="s">
        <v>3159</v>
      </c>
      <c r="R87" s="13" t="s">
        <v>3177</v>
      </c>
      <c r="S87" s="13" t="s">
        <v>33</v>
      </c>
      <c r="T87" s="13" t="s">
        <v>3164</v>
      </c>
      <c r="U87" s="13" t="s">
        <v>3232</v>
      </c>
      <c r="V87" s="13" t="s">
        <v>3166</v>
      </c>
      <c r="W87" s="13" t="s">
        <v>3167</v>
      </c>
      <c r="X87" s="13" t="s">
        <v>3178</v>
      </c>
    </row>
    <row r="88" ht="14.25" customHeight="1">
      <c r="A88" s="13">
        <v>23306.0</v>
      </c>
      <c r="B88" s="13" t="s">
        <v>1808</v>
      </c>
      <c r="C88" s="13">
        <v>2020.0</v>
      </c>
      <c r="D88" s="13" t="s">
        <v>3153</v>
      </c>
      <c r="E88" s="13" t="s">
        <v>3179</v>
      </c>
      <c r="F88" s="13" t="s">
        <v>3211</v>
      </c>
      <c r="G88" s="13" t="s">
        <v>33</v>
      </c>
      <c r="H88" s="13" t="s">
        <v>33</v>
      </c>
      <c r="I88" s="13" t="s">
        <v>3261</v>
      </c>
      <c r="J88" s="13" t="s">
        <v>3387</v>
      </c>
      <c r="K88" s="13" t="s">
        <v>3183</v>
      </c>
      <c r="L88" s="13" t="s">
        <v>3160</v>
      </c>
      <c r="M88" s="13" t="s">
        <v>3342</v>
      </c>
      <c r="N88" s="13">
        <v>1.0</v>
      </c>
      <c r="O88" s="13" t="s">
        <v>3162</v>
      </c>
      <c r="P88" s="13" t="s">
        <v>3388</v>
      </c>
      <c r="Q88" s="13" t="s">
        <v>3183</v>
      </c>
      <c r="R88" s="13" t="s">
        <v>3163</v>
      </c>
      <c r="S88" s="13" t="s">
        <v>3389</v>
      </c>
      <c r="T88" s="13" t="s">
        <v>3232</v>
      </c>
      <c r="U88" s="13" t="s">
        <v>3232</v>
      </c>
      <c r="V88" s="13" t="s">
        <v>3166</v>
      </c>
      <c r="W88" s="13" t="s">
        <v>3167</v>
      </c>
      <c r="X88" s="13" t="s">
        <v>3224</v>
      </c>
    </row>
    <row r="89" ht="14.25" customHeight="1">
      <c r="A89" s="13">
        <v>23313.0</v>
      </c>
      <c r="B89" s="13" t="s">
        <v>838</v>
      </c>
      <c r="C89" s="13">
        <v>2016.0</v>
      </c>
      <c r="D89" s="13" t="s">
        <v>3153</v>
      </c>
      <c r="E89" s="13" t="s">
        <v>3169</v>
      </c>
      <c r="F89" s="13" t="s">
        <v>3192</v>
      </c>
      <c r="G89" s="13" t="s">
        <v>3156</v>
      </c>
      <c r="H89" s="13" t="s">
        <v>3167</v>
      </c>
      <c r="I89" s="13" t="s">
        <v>3188</v>
      </c>
      <c r="J89" s="13" t="s">
        <v>3390</v>
      </c>
      <c r="K89" s="13" t="s">
        <v>3159</v>
      </c>
      <c r="L89" s="13" t="s">
        <v>3160</v>
      </c>
      <c r="M89" s="13" t="s">
        <v>3391</v>
      </c>
      <c r="N89" s="13">
        <v>1.0</v>
      </c>
      <c r="O89" s="13" t="s">
        <v>3162</v>
      </c>
      <c r="P89" s="13" t="s">
        <v>33</v>
      </c>
      <c r="Q89" s="13" t="s">
        <v>3159</v>
      </c>
      <c r="R89" s="13" t="s">
        <v>3177</v>
      </c>
      <c r="S89" s="13" t="s">
        <v>33</v>
      </c>
      <c r="T89" s="13" t="s">
        <v>3164</v>
      </c>
      <c r="U89" s="13" t="s">
        <v>3215</v>
      </c>
      <c r="V89" s="13" t="s">
        <v>3166</v>
      </c>
      <c r="W89" s="13" t="s">
        <v>3167</v>
      </c>
      <c r="X89" s="13" t="s">
        <v>3224</v>
      </c>
    </row>
    <row r="90" ht="14.25" customHeight="1">
      <c r="A90" s="13">
        <v>23315.0</v>
      </c>
      <c r="B90" s="13" t="s">
        <v>2501</v>
      </c>
      <c r="C90" s="13">
        <v>2020.0</v>
      </c>
      <c r="D90" s="13" t="s">
        <v>3153</v>
      </c>
      <c r="E90" s="13" t="s">
        <v>3179</v>
      </c>
      <c r="F90" s="13" t="s">
        <v>3155</v>
      </c>
      <c r="G90" s="13" t="s">
        <v>3187</v>
      </c>
      <c r="H90" s="13">
        <v>81.0</v>
      </c>
      <c r="I90" s="13" t="s">
        <v>3392</v>
      </c>
      <c r="J90" s="13" t="s">
        <v>3204</v>
      </c>
      <c r="K90" s="13" t="s">
        <v>3183</v>
      </c>
      <c r="L90" s="13" t="s">
        <v>3177</v>
      </c>
      <c r="M90" s="13" t="s">
        <v>3391</v>
      </c>
      <c r="N90" s="13">
        <v>1.0</v>
      </c>
      <c r="O90" s="13" t="s">
        <v>3162</v>
      </c>
      <c r="P90" s="13" t="s">
        <v>3393</v>
      </c>
      <c r="Q90" s="13" t="s">
        <v>3183</v>
      </c>
      <c r="R90" s="13" t="s">
        <v>3177</v>
      </c>
      <c r="S90" s="13" t="s">
        <v>33</v>
      </c>
      <c r="T90" s="13" t="s">
        <v>3215</v>
      </c>
      <c r="U90" s="13" t="s">
        <v>3232</v>
      </c>
      <c r="V90" s="13" t="s">
        <v>3166</v>
      </c>
      <c r="W90" s="13" t="s">
        <v>3167</v>
      </c>
      <c r="X90" s="13" t="s">
        <v>3225</v>
      </c>
    </row>
    <row r="91" ht="14.25" customHeight="1">
      <c r="A91" s="13">
        <v>23318.0</v>
      </c>
      <c r="B91" s="13" t="s">
        <v>911</v>
      </c>
      <c r="C91" s="13">
        <v>2019.0</v>
      </c>
      <c r="D91" s="13" t="s">
        <v>3153</v>
      </c>
      <c r="E91" s="13" t="s">
        <v>3169</v>
      </c>
      <c r="F91" s="13" t="s">
        <v>3170</v>
      </c>
      <c r="G91" s="13" t="s">
        <v>3156</v>
      </c>
      <c r="H91" s="13" t="s">
        <v>3202</v>
      </c>
      <c r="I91" s="13" t="s">
        <v>3188</v>
      </c>
      <c r="J91" s="13" t="s">
        <v>3394</v>
      </c>
      <c r="K91" s="13" t="s">
        <v>3159</v>
      </c>
      <c r="L91" s="13" t="s">
        <v>3160</v>
      </c>
      <c r="M91" s="13" t="s">
        <v>3391</v>
      </c>
      <c r="N91" s="13">
        <v>1.0</v>
      </c>
      <c r="O91" s="13" t="s">
        <v>3162</v>
      </c>
      <c r="P91" s="13" t="s">
        <v>3167</v>
      </c>
      <c r="Q91" s="13" t="s">
        <v>3159</v>
      </c>
      <c r="R91" s="13" t="s">
        <v>3231</v>
      </c>
      <c r="S91" s="13" t="s">
        <v>33</v>
      </c>
      <c r="T91" s="13" t="s">
        <v>3164</v>
      </c>
      <c r="U91" s="13" t="s">
        <v>3232</v>
      </c>
      <c r="V91" s="13" t="s">
        <v>3166</v>
      </c>
      <c r="W91" s="13" t="s">
        <v>3167</v>
      </c>
      <c r="X91" s="13" t="s">
        <v>3178</v>
      </c>
    </row>
    <row r="92" ht="14.25" customHeight="1">
      <c r="A92" s="13">
        <v>23330.0</v>
      </c>
      <c r="B92" s="13" t="s">
        <v>1435</v>
      </c>
      <c r="C92" s="13">
        <v>2013.0</v>
      </c>
      <c r="D92" s="13" t="s">
        <v>3153</v>
      </c>
      <c r="E92" s="13" t="s">
        <v>3395</v>
      </c>
      <c r="F92" s="13" t="s">
        <v>3217</v>
      </c>
      <c r="G92" s="13" t="s">
        <v>3187</v>
      </c>
      <c r="H92" s="13">
        <v>7770.0</v>
      </c>
      <c r="I92" s="13" t="s">
        <v>3167</v>
      </c>
      <c r="J92" s="13" t="s">
        <v>3167</v>
      </c>
      <c r="K92" s="13" t="s">
        <v>3183</v>
      </c>
      <c r="L92" s="13" t="s">
        <v>3177</v>
      </c>
      <c r="M92" s="13" t="s">
        <v>3396</v>
      </c>
      <c r="N92" s="13">
        <v>3.0</v>
      </c>
      <c r="O92" s="13" t="s">
        <v>3162</v>
      </c>
      <c r="P92" s="13" t="s">
        <v>3397</v>
      </c>
      <c r="Q92" s="13" t="s">
        <v>3183</v>
      </c>
      <c r="R92" s="13" t="s">
        <v>3177</v>
      </c>
      <c r="S92" s="13" t="s">
        <v>3397</v>
      </c>
      <c r="T92" s="13" t="s">
        <v>3232</v>
      </c>
      <c r="U92" s="13" t="s">
        <v>3232</v>
      </c>
      <c r="V92" s="13" t="s">
        <v>3166</v>
      </c>
      <c r="W92" s="13" t="s">
        <v>3167</v>
      </c>
      <c r="X92" s="13" t="s">
        <v>3216</v>
      </c>
    </row>
    <row r="93" ht="14.25" customHeight="1">
      <c r="A93" s="13">
        <v>23331.0</v>
      </c>
      <c r="B93" s="13" t="s">
        <v>1435</v>
      </c>
      <c r="C93" s="13">
        <v>2016.0</v>
      </c>
      <c r="D93" s="13" t="s">
        <v>3153</v>
      </c>
      <c r="E93" s="13" t="s">
        <v>3395</v>
      </c>
      <c r="F93" s="13" t="s">
        <v>3217</v>
      </c>
      <c r="G93" s="13" t="s">
        <v>3187</v>
      </c>
      <c r="H93" s="13">
        <v>7770.0</v>
      </c>
      <c r="I93" s="13" t="s">
        <v>3167</v>
      </c>
      <c r="J93" s="13" t="s">
        <v>3167</v>
      </c>
      <c r="K93" s="13" t="s">
        <v>3183</v>
      </c>
      <c r="L93" s="13" t="s">
        <v>3177</v>
      </c>
      <c r="M93" s="13" t="s">
        <v>3398</v>
      </c>
      <c r="N93" s="13">
        <v>3.0</v>
      </c>
      <c r="O93" s="13" t="s">
        <v>3267</v>
      </c>
      <c r="P93" s="13" t="s">
        <v>3397</v>
      </c>
      <c r="Q93" s="13" t="s">
        <v>3183</v>
      </c>
      <c r="R93" s="13" t="s">
        <v>3177</v>
      </c>
      <c r="S93" s="13" t="s">
        <v>3397</v>
      </c>
      <c r="T93" s="13" t="s">
        <v>3232</v>
      </c>
      <c r="U93" s="13" t="s">
        <v>3232</v>
      </c>
      <c r="V93" s="13" t="s">
        <v>3166</v>
      </c>
      <c r="W93" s="13" t="s">
        <v>3167</v>
      </c>
      <c r="X93" s="13" t="s">
        <v>3216</v>
      </c>
    </row>
    <row r="94" ht="14.25" customHeight="1">
      <c r="A94" s="13">
        <v>23337.0</v>
      </c>
      <c r="B94" s="13" t="s">
        <v>2923</v>
      </c>
      <c r="C94" s="13">
        <v>2007.0</v>
      </c>
      <c r="D94" s="13" t="s">
        <v>3153</v>
      </c>
      <c r="E94" s="13" t="s">
        <v>3154</v>
      </c>
      <c r="F94" s="13" t="s">
        <v>3170</v>
      </c>
      <c r="G94" s="13" t="s">
        <v>3187</v>
      </c>
      <c r="H94" s="13">
        <v>25.0</v>
      </c>
      <c r="I94" s="13" t="s">
        <v>3157</v>
      </c>
      <c r="J94" s="13" t="s">
        <v>3240</v>
      </c>
      <c r="K94" s="13" t="s">
        <v>3173</v>
      </c>
      <c r="L94" s="13" t="s">
        <v>3160</v>
      </c>
      <c r="M94" s="13" t="s">
        <v>3161</v>
      </c>
      <c r="N94" s="13">
        <v>1.0</v>
      </c>
      <c r="O94" s="13" t="s">
        <v>3162</v>
      </c>
      <c r="P94" s="13" t="s">
        <v>33</v>
      </c>
      <c r="Q94" s="13" t="s">
        <v>3173</v>
      </c>
      <c r="R94" s="13" t="s">
        <v>3163</v>
      </c>
      <c r="S94" s="13" t="s">
        <v>33</v>
      </c>
      <c r="T94" s="13" t="s">
        <v>3164</v>
      </c>
      <c r="U94" s="13" t="s">
        <v>3164</v>
      </c>
      <c r="V94" s="13" t="s">
        <v>3166</v>
      </c>
      <c r="W94" s="13" t="s">
        <v>3167</v>
      </c>
      <c r="X94" s="13" t="s">
        <v>3178</v>
      </c>
    </row>
    <row r="95" ht="14.25" customHeight="1">
      <c r="A95" s="13">
        <v>23340.0</v>
      </c>
      <c r="B95" s="13" t="s">
        <v>646</v>
      </c>
      <c r="C95" s="13">
        <v>2016.0</v>
      </c>
      <c r="D95" s="13" t="s">
        <v>3153</v>
      </c>
      <c r="E95" s="13" t="s">
        <v>3169</v>
      </c>
      <c r="F95" s="13" t="s">
        <v>3192</v>
      </c>
      <c r="G95" s="13" t="s">
        <v>3187</v>
      </c>
      <c r="H95" s="13">
        <v>100.0</v>
      </c>
      <c r="I95" s="13" t="s">
        <v>3188</v>
      </c>
      <c r="J95" s="13" t="s">
        <v>3207</v>
      </c>
      <c r="K95" s="13" t="s">
        <v>3159</v>
      </c>
      <c r="L95" s="13" t="s">
        <v>3160</v>
      </c>
      <c r="M95" s="13" t="s">
        <v>3230</v>
      </c>
      <c r="N95" s="13">
        <v>1.0</v>
      </c>
      <c r="O95" s="13" t="s">
        <v>3162</v>
      </c>
      <c r="P95" s="13" t="s">
        <v>3167</v>
      </c>
      <c r="Q95" s="13" t="s">
        <v>3159</v>
      </c>
      <c r="R95" s="13" t="s">
        <v>3260</v>
      </c>
      <c r="S95" s="13" t="s">
        <v>33</v>
      </c>
      <c r="T95" s="13" t="s">
        <v>3164</v>
      </c>
      <c r="U95" s="13" t="s">
        <v>3164</v>
      </c>
      <c r="V95" s="13" t="s">
        <v>3166</v>
      </c>
      <c r="W95" s="13" t="s">
        <v>3167</v>
      </c>
      <c r="X95" s="13" t="s">
        <v>3178</v>
      </c>
    </row>
    <row r="96" ht="14.25" customHeight="1">
      <c r="A96" s="13">
        <v>23343.0</v>
      </c>
      <c r="B96" s="13" t="s">
        <v>2822</v>
      </c>
      <c r="C96" s="13">
        <v>2015.0</v>
      </c>
      <c r="D96" s="13" t="s">
        <v>3153</v>
      </c>
      <c r="E96" s="13" t="s">
        <v>3169</v>
      </c>
      <c r="F96" s="13" t="s">
        <v>3170</v>
      </c>
      <c r="G96" s="13" t="s">
        <v>3202</v>
      </c>
      <c r="H96" s="13">
        <v>500.0</v>
      </c>
      <c r="I96" s="13" t="s">
        <v>3244</v>
      </c>
      <c r="J96" s="13" t="s">
        <v>3245</v>
      </c>
      <c r="K96" s="13" t="s">
        <v>3208</v>
      </c>
      <c r="L96" s="13" t="s">
        <v>3177</v>
      </c>
      <c r="M96" s="13" t="s">
        <v>3399</v>
      </c>
      <c r="N96" s="13">
        <v>1.0</v>
      </c>
      <c r="O96" s="13" t="s">
        <v>3162</v>
      </c>
      <c r="P96" s="13" t="s">
        <v>33</v>
      </c>
      <c r="Q96" s="13" t="s">
        <v>3210</v>
      </c>
      <c r="R96" s="13" t="s">
        <v>3163</v>
      </c>
      <c r="S96" s="13" t="s">
        <v>33</v>
      </c>
      <c r="T96" s="13" t="s">
        <v>3195</v>
      </c>
      <c r="U96" s="13" t="s">
        <v>3195</v>
      </c>
      <c r="V96" s="13" t="s">
        <v>3195</v>
      </c>
      <c r="W96" s="13" t="s">
        <v>3167</v>
      </c>
      <c r="X96" s="13" t="s">
        <v>3167</v>
      </c>
    </row>
    <row r="97" ht="14.25" customHeight="1">
      <c r="A97" s="13">
        <v>23345.0</v>
      </c>
      <c r="B97" s="13" t="s">
        <v>2207</v>
      </c>
      <c r="C97" s="13">
        <v>2020.0</v>
      </c>
      <c r="D97" s="13" t="s">
        <v>3153</v>
      </c>
      <c r="E97" s="13" t="s">
        <v>3169</v>
      </c>
      <c r="F97" s="13" t="s">
        <v>3192</v>
      </c>
      <c r="G97" s="13" t="s">
        <v>3202</v>
      </c>
      <c r="H97" s="13">
        <v>100.0</v>
      </c>
      <c r="I97" s="13" t="s">
        <v>3157</v>
      </c>
      <c r="J97" s="13" t="s">
        <v>3400</v>
      </c>
      <c r="K97" s="13" t="s">
        <v>3186</v>
      </c>
      <c r="L97" s="13" t="s">
        <v>3177</v>
      </c>
      <c r="M97" s="13" t="s">
        <v>3331</v>
      </c>
      <c r="N97" s="13">
        <v>1.0</v>
      </c>
      <c r="O97" s="13" t="s">
        <v>3162</v>
      </c>
      <c r="P97" s="13" t="s">
        <v>33</v>
      </c>
      <c r="Q97" s="13" t="s">
        <v>3159</v>
      </c>
      <c r="R97" s="13" t="s">
        <v>3177</v>
      </c>
      <c r="S97" s="13" t="s">
        <v>33</v>
      </c>
      <c r="T97" s="13" t="s">
        <v>3164</v>
      </c>
      <c r="U97" s="13" t="s">
        <v>3164</v>
      </c>
      <c r="V97" s="13" t="s">
        <v>3166</v>
      </c>
      <c r="W97" s="13" t="s">
        <v>3167</v>
      </c>
      <c r="X97" s="13" t="s">
        <v>3224</v>
      </c>
    </row>
    <row r="98" ht="14.25" customHeight="1">
      <c r="A98" s="13">
        <v>23350.0</v>
      </c>
      <c r="B98" s="13" t="s">
        <v>2944</v>
      </c>
      <c r="C98" s="13">
        <v>2015.0</v>
      </c>
      <c r="D98" s="13" t="s">
        <v>3153</v>
      </c>
      <c r="E98" s="13" t="s">
        <v>3169</v>
      </c>
      <c r="F98" s="13" t="s">
        <v>3170</v>
      </c>
      <c r="G98" s="13" t="s">
        <v>3156</v>
      </c>
      <c r="H98" s="13" t="s">
        <v>33</v>
      </c>
      <c r="I98" s="13" t="s">
        <v>3171</v>
      </c>
      <c r="J98" s="13" t="s">
        <v>3378</v>
      </c>
      <c r="K98" s="13" t="s">
        <v>3159</v>
      </c>
      <c r="L98" s="13" t="s">
        <v>3160</v>
      </c>
      <c r="M98" s="13" t="s">
        <v>3401</v>
      </c>
      <c r="N98" s="13">
        <v>2.0</v>
      </c>
      <c r="O98" s="13" t="s">
        <v>3162</v>
      </c>
      <c r="P98" s="13" t="s">
        <v>33</v>
      </c>
      <c r="Q98" s="13" t="s">
        <v>3210</v>
      </c>
      <c r="R98" s="13" t="s">
        <v>3163</v>
      </c>
      <c r="S98" s="13" t="s">
        <v>33</v>
      </c>
      <c r="T98" s="13" t="s">
        <v>3195</v>
      </c>
      <c r="U98" s="13" t="s">
        <v>3195</v>
      </c>
      <c r="V98" s="13" t="s">
        <v>3195</v>
      </c>
      <c r="W98" s="13" t="s">
        <v>3167</v>
      </c>
      <c r="X98" s="13" t="s">
        <v>3167</v>
      </c>
    </row>
    <row r="99" ht="14.25" customHeight="1">
      <c r="A99" s="13">
        <v>23353.0</v>
      </c>
      <c r="B99" s="13" t="s">
        <v>2815</v>
      </c>
      <c r="C99" s="13">
        <v>2014.0</v>
      </c>
      <c r="D99" s="13" t="s">
        <v>3153</v>
      </c>
      <c r="E99" s="13" t="s">
        <v>3169</v>
      </c>
      <c r="F99" s="13" t="s">
        <v>3192</v>
      </c>
      <c r="G99" s="13" t="s">
        <v>3156</v>
      </c>
      <c r="H99" s="13" t="s">
        <v>33</v>
      </c>
      <c r="I99" s="13" t="s">
        <v>3222</v>
      </c>
      <c r="J99" s="13" t="s">
        <v>3229</v>
      </c>
      <c r="K99" s="13" t="s">
        <v>3173</v>
      </c>
      <c r="L99" s="13" t="s">
        <v>3160</v>
      </c>
      <c r="M99" s="13" t="s">
        <v>3230</v>
      </c>
      <c r="N99" s="13">
        <v>1.0</v>
      </c>
      <c r="O99" s="13" t="s">
        <v>3162</v>
      </c>
      <c r="P99" s="13" t="s">
        <v>33</v>
      </c>
      <c r="Q99" s="13" t="s">
        <v>3208</v>
      </c>
      <c r="R99" s="13" t="s">
        <v>3163</v>
      </c>
      <c r="S99" s="13" t="s">
        <v>33</v>
      </c>
      <c r="T99" s="13" t="s">
        <v>3164</v>
      </c>
      <c r="U99" s="13" t="s">
        <v>3164</v>
      </c>
      <c r="V99" s="13" t="s">
        <v>3166</v>
      </c>
      <c r="W99" s="13" t="s">
        <v>3167</v>
      </c>
      <c r="X99" s="13" t="s">
        <v>3178</v>
      </c>
    </row>
    <row r="100" ht="14.25" customHeight="1">
      <c r="A100" s="13">
        <v>23355.0</v>
      </c>
      <c r="B100" s="13" t="s">
        <v>447</v>
      </c>
      <c r="C100" s="13">
        <v>2020.0</v>
      </c>
      <c r="D100" s="13" t="s">
        <v>3153</v>
      </c>
      <c r="E100" s="13" t="s">
        <v>3169</v>
      </c>
      <c r="F100" s="13" t="s">
        <v>3192</v>
      </c>
      <c r="G100" s="13" t="s">
        <v>3202</v>
      </c>
      <c r="H100" s="13">
        <v>10.0</v>
      </c>
      <c r="I100" s="13" t="s">
        <v>3188</v>
      </c>
      <c r="J100" s="13" t="s">
        <v>3402</v>
      </c>
      <c r="K100" s="13" t="s">
        <v>3208</v>
      </c>
      <c r="L100" s="13" t="s">
        <v>3160</v>
      </c>
      <c r="M100" s="13" t="s">
        <v>3403</v>
      </c>
      <c r="N100" s="13">
        <v>1.0</v>
      </c>
      <c r="O100" s="13" t="s">
        <v>3267</v>
      </c>
      <c r="P100" s="13" t="s">
        <v>33</v>
      </c>
      <c r="Q100" s="13" t="s">
        <v>3208</v>
      </c>
      <c r="R100" s="13" t="s">
        <v>3163</v>
      </c>
      <c r="S100" s="13" t="s">
        <v>33</v>
      </c>
      <c r="T100" s="13" t="s">
        <v>3247</v>
      </c>
      <c r="U100" s="13" t="s">
        <v>3247</v>
      </c>
      <c r="V100" s="13" t="s">
        <v>3242</v>
      </c>
      <c r="W100" s="13" t="s">
        <v>3248</v>
      </c>
      <c r="X100" s="13" t="s">
        <v>3167</v>
      </c>
    </row>
    <row r="101" ht="14.25" customHeight="1">
      <c r="A101" s="13">
        <v>23357.0</v>
      </c>
      <c r="B101" s="13" t="s">
        <v>1231</v>
      </c>
      <c r="C101" s="13">
        <v>2015.0</v>
      </c>
      <c r="D101" s="13" t="s">
        <v>3153</v>
      </c>
      <c r="E101" s="13" t="s">
        <v>3169</v>
      </c>
      <c r="F101" s="13" t="s">
        <v>3170</v>
      </c>
      <c r="G101" s="13" t="s">
        <v>3202</v>
      </c>
      <c r="H101" s="13">
        <v>30.0</v>
      </c>
      <c r="I101" s="13" t="s">
        <v>3188</v>
      </c>
      <c r="J101" s="13" t="s">
        <v>3404</v>
      </c>
      <c r="K101" s="13" t="s">
        <v>3208</v>
      </c>
      <c r="L101" s="13" t="s">
        <v>3160</v>
      </c>
      <c r="M101" s="13" t="s">
        <v>3405</v>
      </c>
      <c r="N101" s="13">
        <v>3.0</v>
      </c>
      <c r="O101" s="13" t="s">
        <v>3162</v>
      </c>
      <c r="P101" s="13" t="s">
        <v>33</v>
      </c>
      <c r="Q101" s="13" t="s">
        <v>3208</v>
      </c>
      <c r="R101" s="13" t="s">
        <v>3163</v>
      </c>
      <c r="S101" s="13" t="s">
        <v>33</v>
      </c>
      <c r="T101" s="13" t="s">
        <v>3247</v>
      </c>
      <c r="U101" s="13" t="s">
        <v>3247</v>
      </c>
      <c r="V101" s="13" t="s">
        <v>3242</v>
      </c>
      <c r="W101" s="13" t="s">
        <v>3248</v>
      </c>
      <c r="X101" s="13" t="s">
        <v>3167</v>
      </c>
    </row>
    <row r="102" ht="14.25" customHeight="1">
      <c r="A102" s="13">
        <v>23361.0</v>
      </c>
      <c r="B102" s="13" t="s">
        <v>402</v>
      </c>
      <c r="C102" s="13">
        <v>2010.0</v>
      </c>
      <c r="D102" s="13" t="s">
        <v>3153</v>
      </c>
      <c r="E102" s="13" t="s">
        <v>3169</v>
      </c>
      <c r="F102" s="13" t="s">
        <v>3192</v>
      </c>
      <c r="G102" s="13" t="s">
        <v>3202</v>
      </c>
      <c r="H102" s="13">
        <v>30.0</v>
      </c>
      <c r="I102" s="13" t="s">
        <v>3222</v>
      </c>
      <c r="J102" s="13" t="s">
        <v>3182</v>
      </c>
      <c r="K102" s="13" t="s">
        <v>3282</v>
      </c>
      <c r="L102" s="13" t="s">
        <v>3160</v>
      </c>
      <c r="M102" s="13" t="s">
        <v>3406</v>
      </c>
      <c r="N102" s="13">
        <v>4.0</v>
      </c>
      <c r="O102" s="13" t="s">
        <v>3162</v>
      </c>
      <c r="P102" s="13" t="s">
        <v>3407</v>
      </c>
      <c r="Q102" s="13" t="s">
        <v>3183</v>
      </c>
      <c r="R102" s="13" t="s">
        <v>3231</v>
      </c>
      <c r="S102" s="13" t="s">
        <v>3408</v>
      </c>
      <c r="T102" s="13" t="s">
        <v>3215</v>
      </c>
      <c r="U102" s="13" t="s">
        <v>3215</v>
      </c>
      <c r="V102" s="13" t="s">
        <v>3242</v>
      </c>
      <c r="W102" s="13" t="s">
        <v>3377</v>
      </c>
      <c r="X102" s="13" t="s">
        <v>3167</v>
      </c>
    </row>
    <row r="103" ht="14.25" customHeight="1">
      <c r="A103" s="13">
        <v>23362.0</v>
      </c>
      <c r="B103" s="13" t="s">
        <v>1183</v>
      </c>
      <c r="C103" s="13">
        <v>2020.0</v>
      </c>
      <c r="D103" s="13" t="s">
        <v>3153</v>
      </c>
      <c r="E103" s="13" t="s">
        <v>3154</v>
      </c>
      <c r="F103" s="13" t="s">
        <v>3192</v>
      </c>
      <c r="G103" s="13" t="s">
        <v>3156</v>
      </c>
      <c r="H103" s="13" t="s">
        <v>33</v>
      </c>
      <c r="I103" s="13" t="s">
        <v>3222</v>
      </c>
      <c r="J103" s="13" t="s">
        <v>3182</v>
      </c>
      <c r="K103" s="13" t="s">
        <v>3159</v>
      </c>
      <c r="L103" s="13" t="s">
        <v>3177</v>
      </c>
      <c r="M103" s="13" t="s">
        <v>3409</v>
      </c>
      <c r="N103" s="13">
        <v>2.0</v>
      </c>
      <c r="O103" s="13" t="s">
        <v>3267</v>
      </c>
      <c r="P103" s="13" t="s">
        <v>33</v>
      </c>
      <c r="Q103" s="13" t="s">
        <v>3210</v>
      </c>
      <c r="R103" s="13" t="s">
        <v>3163</v>
      </c>
      <c r="S103" s="13" t="s">
        <v>33</v>
      </c>
      <c r="T103" s="13" t="s">
        <v>3195</v>
      </c>
      <c r="U103" s="13" t="s">
        <v>3195</v>
      </c>
      <c r="V103" s="13" t="s">
        <v>3195</v>
      </c>
      <c r="W103" s="13" t="s">
        <v>3167</v>
      </c>
      <c r="X103" s="13" t="s">
        <v>3167</v>
      </c>
    </row>
    <row r="104" ht="14.25" customHeight="1">
      <c r="A104" s="13">
        <v>23364.0</v>
      </c>
      <c r="B104" s="13" t="s">
        <v>2625</v>
      </c>
      <c r="C104" s="13">
        <v>2011.0</v>
      </c>
      <c r="D104" s="13" t="s">
        <v>3153</v>
      </c>
      <c r="E104" s="13" t="s">
        <v>3169</v>
      </c>
      <c r="F104" s="13" t="s">
        <v>3170</v>
      </c>
      <c r="G104" s="13" t="s">
        <v>3202</v>
      </c>
      <c r="H104" s="13">
        <v>25.0</v>
      </c>
      <c r="I104" s="13" t="s">
        <v>3157</v>
      </c>
      <c r="J104" s="13" t="s">
        <v>3410</v>
      </c>
      <c r="K104" s="13" t="s">
        <v>3208</v>
      </c>
      <c r="L104" s="13" t="s">
        <v>3160</v>
      </c>
      <c r="M104" s="13" t="s">
        <v>3411</v>
      </c>
      <c r="N104" s="13">
        <v>2.0</v>
      </c>
      <c r="O104" s="13" t="s">
        <v>3162</v>
      </c>
      <c r="P104" s="13" t="s">
        <v>33</v>
      </c>
      <c r="Q104" s="13" t="s">
        <v>3265</v>
      </c>
      <c r="R104" s="13" t="s">
        <v>3177</v>
      </c>
      <c r="S104" s="13" t="s">
        <v>33</v>
      </c>
      <c r="T104" s="13" t="s">
        <v>3164</v>
      </c>
      <c r="U104" s="13" t="s">
        <v>3164</v>
      </c>
      <c r="V104" s="13" t="s">
        <v>3166</v>
      </c>
      <c r="W104" s="13" t="s">
        <v>3167</v>
      </c>
      <c r="X104" s="13" t="s">
        <v>3224</v>
      </c>
    </row>
    <row r="105" ht="14.25" customHeight="1">
      <c r="A105" s="13">
        <v>23365.0</v>
      </c>
      <c r="B105" s="13" t="s">
        <v>3080</v>
      </c>
      <c r="C105" s="13">
        <v>2017.0</v>
      </c>
      <c r="D105" s="13" t="s">
        <v>3153</v>
      </c>
      <c r="E105" s="13" t="s">
        <v>3179</v>
      </c>
      <c r="F105" s="13" t="s">
        <v>3192</v>
      </c>
      <c r="G105" s="13" t="s">
        <v>3187</v>
      </c>
      <c r="H105" s="13">
        <v>48.0</v>
      </c>
      <c r="I105" s="13" t="s">
        <v>3261</v>
      </c>
      <c r="J105" s="13" t="s">
        <v>3412</v>
      </c>
      <c r="K105" s="13" t="s">
        <v>3183</v>
      </c>
      <c r="L105" s="13" t="s">
        <v>3177</v>
      </c>
      <c r="M105" s="13" t="s">
        <v>3342</v>
      </c>
      <c r="N105" s="13">
        <v>1.0</v>
      </c>
      <c r="O105" s="13" t="s">
        <v>3162</v>
      </c>
      <c r="P105" s="13" t="s">
        <v>3413</v>
      </c>
      <c r="Q105" s="13" t="s">
        <v>3183</v>
      </c>
      <c r="R105" s="13" t="s">
        <v>3177</v>
      </c>
      <c r="S105" s="13" t="s">
        <v>3414</v>
      </c>
      <c r="T105" s="13" t="s">
        <v>3164</v>
      </c>
      <c r="U105" s="13" t="s">
        <v>3165</v>
      </c>
      <c r="V105" s="13" t="s">
        <v>3166</v>
      </c>
      <c r="W105" s="13" t="s">
        <v>3167</v>
      </c>
      <c r="X105" s="13" t="s">
        <v>3178</v>
      </c>
    </row>
    <row r="106" ht="14.25" customHeight="1">
      <c r="A106" s="13">
        <v>23368.0</v>
      </c>
      <c r="B106" s="13" t="s">
        <v>1845</v>
      </c>
      <c r="C106" s="13">
        <v>2008.0</v>
      </c>
      <c r="D106" s="13" t="s">
        <v>3153</v>
      </c>
      <c r="E106" s="13" t="s">
        <v>3169</v>
      </c>
      <c r="F106" s="13" t="s">
        <v>3155</v>
      </c>
      <c r="G106" s="13" t="s">
        <v>3187</v>
      </c>
      <c r="H106" s="13">
        <v>1.0</v>
      </c>
      <c r="I106" s="13" t="s">
        <v>3157</v>
      </c>
      <c r="J106" s="13" t="s">
        <v>3240</v>
      </c>
      <c r="K106" s="13" t="s">
        <v>3183</v>
      </c>
      <c r="L106" s="13" t="s">
        <v>3177</v>
      </c>
      <c r="M106" s="13" t="s">
        <v>3331</v>
      </c>
      <c r="N106" s="13">
        <v>2.0</v>
      </c>
      <c r="O106" s="13" t="s">
        <v>3162</v>
      </c>
      <c r="P106" s="13" t="s">
        <v>3415</v>
      </c>
      <c r="Q106" s="13" t="s">
        <v>3270</v>
      </c>
      <c r="R106" s="13" t="s">
        <v>3177</v>
      </c>
      <c r="S106" s="13" t="s">
        <v>3416</v>
      </c>
      <c r="T106" s="13" t="s">
        <v>3232</v>
      </c>
      <c r="U106" s="13" t="s">
        <v>3232</v>
      </c>
      <c r="V106" s="13" t="s">
        <v>3166</v>
      </c>
      <c r="W106" s="13" t="s">
        <v>3167</v>
      </c>
      <c r="X106" s="13" t="s">
        <v>3224</v>
      </c>
    </row>
    <row r="107" ht="14.25" customHeight="1">
      <c r="A107" s="13">
        <v>23371.0</v>
      </c>
      <c r="B107" s="13" t="s">
        <v>1965</v>
      </c>
      <c r="C107" s="13">
        <v>2014.0</v>
      </c>
      <c r="D107" s="13" t="s">
        <v>3153</v>
      </c>
      <c r="E107" s="13" t="s">
        <v>3169</v>
      </c>
      <c r="F107" s="13" t="s">
        <v>3192</v>
      </c>
      <c r="G107" s="13" t="s">
        <v>3187</v>
      </c>
      <c r="H107" s="13">
        <v>1.44</v>
      </c>
      <c r="I107" s="13" t="s">
        <v>3188</v>
      </c>
      <c r="J107" s="13" t="s">
        <v>3233</v>
      </c>
      <c r="K107" s="13" t="s">
        <v>3173</v>
      </c>
      <c r="L107" s="13" t="s">
        <v>3177</v>
      </c>
      <c r="M107" s="13" t="s">
        <v>3342</v>
      </c>
      <c r="N107" s="13">
        <v>2.0</v>
      </c>
      <c r="O107" s="13" t="s">
        <v>3162</v>
      </c>
      <c r="P107" s="13" t="s">
        <v>33</v>
      </c>
      <c r="Q107" s="13" t="s">
        <v>3417</v>
      </c>
      <c r="R107" s="13" t="s">
        <v>3177</v>
      </c>
      <c r="S107" s="13" t="s">
        <v>3418</v>
      </c>
      <c r="T107" s="13" t="s">
        <v>3164</v>
      </c>
      <c r="U107" s="13" t="s">
        <v>3164</v>
      </c>
      <c r="V107" s="13" t="s">
        <v>3166</v>
      </c>
      <c r="W107" s="13" t="s">
        <v>3167</v>
      </c>
      <c r="X107" s="13" t="s">
        <v>3178</v>
      </c>
    </row>
    <row r="108" ht="14.25" customHeight="1">
      <c r="A108" s="13">
        <v>23374.0</v>
      </c>
      <c r="B108" s="13" t="s">
        <v>384</v>
      </c>
      <c r="C108" s="13">
        <v>2018.0</v>
      </c>
      <c r="D108" s="13" t="s">
        <v>3153</v>
      </c>
      <c r="E108" s="13" t="s">
        <v>3169</v>
      </c>
      <c r="F108" s="13" t="s">
        <v>3211</v>
      </c>
      <c r="G108" s="13" t="s">
        <v>3156</v>
      </c>
      <c r="H108" s="13" t="s">
        <v>3167</v>
      </c>
      <c r="I108" s="13" t="s">
        <v>3171</v>
      </c>
      <c r="J108" s="13" t="s">
        <v>3419</v>
      </c>
      <c r="K108" s="13" t="s">
        <v>3420</v>
      </c>
      <c r="L108" s="13" t="s">
        <v>3177</v>
      </c>
      <c r="M108" s="13" t="s">
        <v>3421</v>
      </c>
      <c r="N108" s="13">
        <v>6.0</v>
      </c>
      <c r="O108" s="13" t="s">
        <v>3162</v>
      </c>
      <c r="P108" s="13" t="s">
        <v>3422</v>
      </c>
      <c r="Q108" s="13" t="s">
        <v>3250</v>
      </c>
      <c r="R108" s="13" t="s">
        <v>3231</v>
      </c>
      <c r="S108" s="13" t="s">
        <v>3221</v>
      </c>
      <c r="T108" s="13" t="s">
        <v>3164</v>
      </c>
      <c r="U108" s="13" t="s">
        <v>3197</v>
      </c>
      <c r="V108" s="13" t="s">
        <v>3166</v>
      </c>
      <c r="W108" s="13" t="s">
        <v>3167</v>
      </c>
      <c r="X108" s="13" t="s">
        <v>3178</v>
      </c>
    </row>
    <row r="109" ht="14.25" customHeight="1">
      <c r="A109" s="13">
        <v>23378.0</v>
      </c>
      <c r="B109" s="13" t="s">
        <v>1997</v>
      </c>
      <c r="C109" s="13">
        <v>2015.0</v>
      </c>
      <c r="D109" s="13" t="s">
        <v>3153</v>
      </c>
      <c r="E109" s="13" t="s">
        <v>3179</v>
      </c>
      <c r="F109" s="13" t="s">
        <v>3192</v>
      </c>
      <c r="G109" s="13" t="s">
        <v>3187</v>
      </c>
      <c r="H109" s="13">
        <v>1.0</v>
      </c>
      <c r="I109" s="13" t="s">
        <v>3181</v>
      </c>
      <c r="J109" s="13" t="s">
        <v>3423</v>
      </c>
      <c r="K109" s="13" t="s">
        <v>3159</v>
      </c>
      <c r="L109" s="13" t="s">
        <v>3160</v>
      </c>
      <c r="M109" s="13" t="s">
        <v>3424</v>
      </c>
      <c r="N109" s="13">
        <v>2.0</v>
      </c>
      <c r="O109" s="13" t="s">
        <v>3162</v>
      </c>
      <c r="P109" s="13" t="s">
        <v>33</v>
      </c>
      <c r="Q109" s="13" t="s">
        <v>3159</v>
      </c>
      <c r="R109" s="13" t="s">
        <v>3177</v>
      </c>
      <c r="S109" s="13" t="s">
        <v>33</v>
      </c>
      <c r="T109" s="13" t="s">
        <v>3164</v>
      </c>
      <c r="U109" s="13" t="s">
        <v>3164</v>
      </c>
      <c r="V109" s="13" t="s">
        <v>3166</v>
      </c>
      <c r="W109" s="13" t="s">
        <v>3167</v>
      </c>
      <c r="X109" s="13" t="s">
        <v>3178</v>
      </c>
    </row>
    <row r="110" ht="14.25" customHeight="1">
      <c r="A110" s="13">
        <v>23384.0</v>
      </c>
      <c r="B110" s="13" t="s">
        <v>1113</v>
      </c>
      <c r="C110" s="13">
        <v>2018.0</v>
      </c>
      <c r="D110" s="13" t="s">
        <v>3153</v>
      </c>
      <c r="E110" s="13" t="s">
        <v>3179</v>
      </c>
      <c r="F110" s="13" t="s">
        <v>3170</v>
      </c>
      <c r="G110" s="13" t="s">
        <v>3156</v>
      </c>
      <c r="H110" s="13" t="s">
        <v>33</v>
      </c>
      <c r="I110" s="13" t="s">
        <v>3264</v>
      </c>
      <c r="J110" s="13" t="s">
        <v>3425</v>
      </c>
      <c r="K110" s="13" t="s">
        <v>3201</v>
      </c>
      <c r="L110" s="13" t="s">
        <v>3177</v>
      </c>
      <c r="M110" s="13" t="s">
        <v>3426</v>
      </c>
      <c r="N110" s="13">
        <v>1.0</v>
      </c>
      <c r="O110" s="13" t="s">
        <v>3162</v>
      </c>
      <c r="P110" s="13" t="s">
        <v>33</v>
      </c>
      <c r="Q110" s="13" t="s">
        <v>3159</v>
      </c>
      <c r="R110" s="13" t="s">
        <v>3163</v>
      </c>
      <c r="S110" s="13" t="s">
        <v>33</v>
      </c>
      <c r="T110" s="13" t="s">
        <v>3232</v>
      </c>
      <c r="U110" s="13" t="s">
        <v>3232</v>
      </c>
      <c r="V110" s="13" t="s">
        <v>3166</v>
      </c>
      <c r="W110" s="13" t="s">
        <v>3167</v>
      </c>
      <c r="X110" s="13" t="s">
        <v>3168</v>
      </c>
    </row>
    <row r="111" ht="14.25" customHeight="1">
      <c r="A111" s="13">
        <v>23383.0</v>
      </c>
      <c r="B111" s="13" t="s">
        <v>1669</v>
      </c>
      <c r="C111" s="13">
        <v>2014.0</v>
      </c>
      <c r="D111" s="13" t="s">
        <v>3153</v>
      </c>
      <c r="E111" s="13" t="s">
        <v>3179</v>
      </c>
      <c r="F111" s="13" t="s">
        <v>3155</v>
      </c>
      <c r="G111" s="13" t="s">
        <v>3156</v>
      </c>
      <c r="H111" s="13" t="s">
        <v>33</v>
      </c>
      <c r="I111" s="13" t="s">
        <v>3392</v>
      </c>
      <c r="J111" s="13" t="s">
        <v>3427</v>
      </c>
      <c r="K111" s="13" t="s">
        <v>3173</v>
      </c>
      <c r="L111" s="13" t="s">
        <v>3177</v>
      </c>
      <c r="M111" s="13" t="s">
        <v>3428</v>
      </c>
      <c r="N111" s="13">
        <v>2.0</v>
      </c>
      <c r="O111" s="13" t="s">
        <v>3162</v>
      </c>
      <c r="P111" s="13" t="s">
        <v>3429</v>
      </c>
      <c r="Q111" s="13" t="s">
        <v>3183</v>
      </c>
      <c r="R111" s="13" t="s">
        <v>3163</v>
      </c>
      <c r="S111" s="13" t="s">
        <v>3430</v>
      </c>
      <c r="T111" s="13" t="s">
        <v>3165</v>
      </c>
      <c r="U111" s="13" t="s">
        <v>3165</v>
      </c>
      <c r="V111" s="13" t="s">
        <v>3242</v>
      </c>
      <c r="W111" s="13" t="s">
        <v>3254</v>
      </c>
      <c r="X111" s="13" t="s">
        <v>3167</v>
      </c>
    </row>
    <row r="112" ht="14.25" customHeight="1">
      <c r="A112" s="13">
        <v>23390.0</v>
      </c>
      <c r="B112" s="13" t="s">
        <v>676</v>
      </c>
      <c r="C112" s="13">
        <v>2015.0</v>
      </c>
      <c r="D112" s="13" t="s">
        <v>3153</v>
      </c>
      <c r="E112" s="13" t="s">
        <v>3169</v>
      </c>
      <c r="F112" s="13" t="s">
        <v>3155</v>
      </c>
      <c r="G112" s="13" t="s">
        <v>3202</v>
      </c>
      <c r="H112" s="13">
        <v>250.0</v>
      </c>
      <c r="I112" s="13" t="s">
        <v>3157</v>
      </c>
      <c r="J112" s="13" t="s">
        <v>3307</v>
      </c>
      <c r="K112" s="13" t="s">
        <v>3183</v>
      </c>
      <c r="L112" s="13" t="s">
        <v>3160</v>
      </c>
      <c r="M112" s="13" t="s">
        <v>3230</v>
      </c>
      <c r="N112" s="13">
        <v>1.0</v>
      </c>
      <c r="O112" s="13" t="s">
        <v>3162</v>
      </c>
      <c r="P112" s="13" t="s">
        <v>3431</v>
      </c>
      <c r="Q112" s="13" t="s">
        <v>3210</v>
      </c>
      <c r="R112" s="13" t="s">
        <v>3163</v>
      </c>
      <c r="S112" s="13" t="s">
        <v>33</v>
      </c>
      <c r="T112" s="13" t="s">
        <v>3195</v>
      </c>
      <c r="U112" s="13" t="s">
        <v>3195</v>
      </c>
      <c r="V112" s="13" t="s">
        <v>3195</v>
      </c>
      <c r="W112" s="13" t="s">
        <v>3167</v>
      </c>
      <c r="X112" s="13" t="s">
        <v>3167</v>
      </c>
    </row>
    <row r="113" ht="14.25" customHeight="1">
      <c r="A113" s="13">
        <v>23391.0</v>
      </c>
      <c r="B113" s="13" t="s">
        <v>631</v>
      </c>
      <c r="C113" s="13">
        <v>2002.0</v>
      </c>
      <c r="D113" s="13" t="s">
        <v>3153</v>
      </c>
      <c r="E113" s="13" t="s">
        <v>3169</v>
      </c>
      <c r="F113" s="13" t="s">
        <v>3170</v>
      </c>
      <c r="G113" s="13" t="s">
        <v>3156</v>
      </c>
      <c r="H113" s="13" t="s">
        <v>33</v>
      </c>
      <c r="I113" s="13" t="s">
        <v>3157</v>
      </c>
      <c r="J113" s="13" t="s">
        <v>3240</v>
      </c>
      <c r="K113" s="13" t="s">
        <v>3208</v>
      </c>
      <c r="L113" s="13" t="s">
        <v>3160</v>
      </c>
      <c r="M113" s="13" t="s">
        <v>3161</v>
      </c>
      <c r="N113" s="13">
        <v>1.0</v>
      </c>
      <c r="O113" s="13" t="s">
        <v>3162</v>
      </c>
      <c r="P113" s="13" t="s">
        <v>33</v>
      </c>
      <c r="Q113" s="13" t="s">
        <v>3208</v>
      </c>
      <c r="R113" s="13" t="s">
        <v>3163</v>
      </c>
      <c r="S113" s="13" t="s">
        <v>33</v>
      </c>
      <c r="T113" s="13" t="s">
        <v>3164</v>
      </c>
      <c r="U113" s="13" t="s">
        <v>3164</v>
      </c>
      <c r="V113" s="13" t="s">
        <v>3166</v>
      </c>
      <c r="W113" s="13" t="s">
        <v>3167</v>
      </c>
      <c r="X113" s="13" t="s">
        <v>3178</v>
      </c>
    </row>
    <row r="114" ht="14.25" customHeight="1">
      <c r="A114" s="13">
        <v>23398.0</v>
      </c>
      <c r="B114" s="13" t="s">
        <v>963</v>
      </c>
      <c r="C114" s="13">
        <v>2014.0</v>
      </c>
      <c r="D114" s="13" t="s">
        <v>3153</v>
      </c>
      <c r="E114" s="13" t="s">
        <v>3169</v>
      </c>
      <c r="F114" s="13" t="s">
        <v>3155</v>
      </c>
      <c r="G114" s="13" t="s">
        <v>3202</v>
      </c>
      <c r="H114" s="13">
        <v>30.0</v>
      </c>
      <c r="I114" s="13" t="s">
        <v>3171</v>
      </c>
      <c r="J114" s="13" t="s">
        <v>3339</v>
      </c>
      <c r="K114" s="13" t="s">
        <v>3186</v>
      </c>
      <c r="L114" s="13" t="s">
        <v>3160</v>
      </c>
      <c r="M114" s="13" t="s">
        <v>3161</v>
      </c>
      <c r="N114" s="13">
        <v>1.0</v>
      </c>
      <c r="O114" s="13" t="s">
        <v>3162</v>
      </c>
      <c r="P114" s="13" t="s">
        <v>33</v>
      </c>
      <c r="Q114" s="13" t="s">
        <v>3186</v>
      </c>
      <c r="R114" s="13" t="s">
        <v>3163</v>
      </c>
      <c r="S114" s="13" t="s">
        <v>33</v>
      </c>
      <c r="T114" s="13" t="s">
        <v>3215</v>
      </c>
      <c r="U114" s="13" t="s">
        <v>3215</v>
      </c>
      <c r="V114" s="13" t="s">
        <v>3166</v>
      </c>
      <c r="W114" s="13" t="s">
        <v>3167</v>
      </c>
      <c r="X114" s="13" t="s">
        <v>3216</v>
      </c>
    </row>
    <row r="115" ht="14.25" customHeight="1">
      <c r="A115" s="13">
        <v>23399.0</v>
      </c>
      <c r="B115" s="13" t="s">
        <v>1451</v>
      </c>
      <c r="C115" s="13">
        <v>2016.0</v>
      </c>
      <c r="D115" s="13" t="s">
        <v>3153</v>
      </c>
      <c r="E115" s="13" t="s">
        <v>3169</v>
      </c>
      <c r="F115" s="13" t="s">
        <v>3155</v>
      </c>
      <c r="G115" s="13" t="s">
        <v>3187</v>
      </c>
      <c r="H115" s="13">
        <v>1.0</v>
      </c>
      <c r="I115" s="13" t="s">
        <v>3188</v>
      </c>
      <c r="J115" s="13" t="s">
        <v>3432</v>
      </c>
      <c r="K115" s="13" t="s">
        <v>3183</v>
      </c>
      <c r="L115" s="13" t="s">
        <v>3177</v>
      </c>
      <c r="M115" s="13" t="s">
        <v>3235</v>
      </c>
      <c r="N115" s="13">
        <v>7.0</v>
      </c>
      <c r="O115" s="13" t="s">
        <v>3175</v>
      </c>
      <c r="P115" s="13" t="s">
        <v>33</v>
      </c>
      <c r="Q115" s="13" t="s">
        <v>3210</v>
      </c>
      <c r="R115" s="13" t="s">
        <v>3163</v>
      </c>
      <c r="S115" s="13" t="s">
        <v>33</v>
      </c>
      <c r="T115" s="13" t="s">
        <v>3195</v>
      </c>
      <c r="U115" s="13" t="s">
        <v>3195</v>
      </c>
      <c r="V115" s="13" t="s">
        <v>3195</v>
      </c>
      <c r="W115" s="13" t="s">
        <v>3167</v>
      </c>
      <c r="X115" s="13" t="s">
        <v>3167</v>
      </c>
    </row>
    <row r="116" ht="14.25" customHeight="1">
      <c r="A116" s="13">
        <v>23402.0</v>
      </c>
      <c r="B116" s="13" t="s">
        <v>1053</v>
      </c>
      <c r="C116" s="13">
        <v>2017.0</v>
      </c>
      <c r="D116" s="13" t="s">
        <v>3153</v>
      </c>
      <c r="E116" s="13" t="s">
        <v>3169</v>
      </c>
      <c r="F116" s="13" t="s">
        <v>3192</v>
      </c>
      <c r="G116" s="13" t="s">
        <v>33</v>
      </c>
      <c r="H116" s="13" t="s">
        <v>33</v>
      </c>
      <c r="I116" s="13" t="s">
        <v>3222</v>
      </c>
      <c r="J116" s="13" t="s">
        <v>3182</v>
      </c>
      <c r="K116" s="13" t="s">
        <v>3333</v>
      </c>
      <c r="L116" s="13" t="s">
        <v>3160</v>
      </c>
      <c r="M116" s="13" t="s">
        <v>3241</v>
      </c>
      <c r="N116" s="13">
        <v>1.0</v>
      </c>
      <c r="O116" s="13" t="s">
        <v>3162</v>
      </c>
      <c r="P116" s="13" t="s">
        <v>33</v>
      </c>
      <c r="Q116" s="13" t="s">
        <v>3173</v>
      </c>
      <c r="R116" s="13" t="s">
        <v>3163</v>
      </c>
      <c r="S116" s="13" t="s">
        <v>33</v>
      </c>
      <c r="T116" s="13" t="s">
        <v>3164</v>
      </c>
      <c r="U116" s="13" t="s">
        <v>3164</v>
      </c>
      <c r="V116" s="13" t="s">
        <v>3242</v>
      </c>
      <c r="W116" s="13" t="s">
        <v>3433</v>
      </c>
      <c r="X116" s="13" t="s">
        <v>3167</v>
      </c>
    </row>
    <row r="117" ht="14.25" customHeight="1">
      <c r="A117" s="13">
        <v>23404.0</v>
      </c>
      <c r="B117" s="13" t="s">
        <v>2103</v>
      </c>
      <c r="C117" s="13">
        <v>2020.0</v>
      </c>
      <c r="D117" s="13" t="s">
        <v>3153</v>
      </c>
      <c r="E117" s="13" t="s">
        <v>3169</v>
      </c>
      <c r="F117" s="13" t="s">
        <v>3170</v>
      </c>
      <c r="G117" s="13" t="s">
        <v>3202</v>
      </c>
      <c r="H117" s="13">
        <v>60.0</v>
      </c>
      <c r="I117" s="13" t="s">
        <v>3188</v>
      </c>
      <c r="J117" s="13" t="s">
        <v>3207</v>
      </c>
      <c r="K117" s="13" t="s">
        <v>3208</v>
      </c>
      <c r="L117" s="13" t="s">
        <v>3160</v>
      </c>
      <c r="M117" s="13" t="s">
        <v>3328</v>
      </c>
      <c r="N117" s="13">
        <v>1.0</v>
      </c>
      <c r="O117" s="13" t="s">
        <v>3267</v>
      </c>
      <c r="P117" s="13" t="s">
        <v>3167</v>
      </c>
      <c r="Q117" s="13" t="s">
        <v>3273</v>
      </c>
      <c r="R117" s="13" t="s">
        <v>3231</v>
      </c>
      <c r="S117" s="13" t="s">
        <v>33</v>
      </c>
      <c r="T117" s="13" t="s">
        <v>3247</v>
      </c>
      <c r="U117" s="13" t="s">
        <v>3247</v>
      </c>
      <c r="V117" s="13" t="s">
        <v>3242</v>
      </c>
      <c r="W117" s="13" t="s">
        <v>3248</v>
      </c>
      <c r="X117" s="13" t="s">
        <v>3167</v>
      </c>
    </row>
    <row r="118" ht="14.25" customHeight="1">
      <c r="A118" s="13">
        <v>23405.0</v>
      </c>
      <c r="B118" s="13" t="s">
        <v>1675</v>
      </c>
      <c r="C118" s="13">
        <v>2010.0</v>
      </c>
      <c r="D118" s="13" t="s">
        <v>3153</v>
      </c>
      <c r="E118" s="13" t="s">
        <v>3169</v>
      </c>
      <c r="F118" s="13" t="s">
        <v>3192</v>
      </c>
      <c r="G118" s="13" t="s">
        <v>3202</v>
      </c>
      <c r="H118" s="13">
        <v>100.0</v>
      </c>
      <c r="I118" s="13" t="s">
        <v>3222</v>
      </c>
      <c r="J118" s="13" t="s">
        <v>3182</v>
      </c>
      <c r="K118" s="13" t="s">
        <v>3186</v>
      </c>
      <c r="L118" s="13" t="s">
        <v>3177</v>
      </c>
      <c r="M118" s="13" t="s">
        <v>3434</v>
      </c>
      <c r="N118" s="13">
        <v>2.0</v>
      </c>
      <c r="O118" s="13" t="s">
        <v>3162</v>
      </c>
      <c r="P118" s="13" t="s">
        <v>3167</v>
      </c>
      <c r="Q118" s="13" t="s">
        <v>3159</v>
      </c>
      <c r="R118" s="13" t="s">
        <v>3231</v>
      </c>
      <c r="S118" s="13" t="s">
        <v>33</v>
      </c>
      <c r="T118" s="13" t="s">
        <v>3164</v>
      </c>
      <c r="U118" s="13" t="s">
        <v>3164</v>
      </c>
      <c r="V118" s="13" t="s">
        <v>3166</v>
      </c>
      <c r="W118" s="13" t="s">
        <v>3167</v>
      </c>
      <c r="X118" s="13" t="s">
        <v>3178</v>
      </c>
    </row>
    <row r="119" ht="14.25" customHeight="1">
      <c r="A119" s="13">
        <v>23407.0</v>
      </c>
      <c r="B119" s="13" t="s">
        <v>2912</v>
      </c>
      <c r="C119" s="13">
        <v>2016.0</v>
      </c>
      <c r="D119" s="13" t="s">
        <v>3153</v>
      </c>
      <c r="E119" s="13" t="s">
        <v>3179</v>
      </c>
      <c r="F119" s="13" t="s">
        <v>3192</v>
      </c>
      <c r="G119" s="13" t="s">
        <v>3202</v>
      </c>
      <c r="H119" s="13">
        <v>90.0</v>
      </c>
      <c r="I119" s="13" t="s">
        <v>3181</v>
      </c>
      <c r="J119" s="13" t="s">
        <v>3182</v>
      </c>
      <c r="K119" s="13" t="s">
        <v>3186</v>
      </c>
      <c r="L119" s="13" t="s">
        <v>3160</v>
      </c>
      <c r="M119" s="13" t="s">
        <v>3161</v>
      </c>
      <c r="N119" s="13">
        <v>1.0</v>
      </c>
      <c r="O119" s="13" t="s">
        <v>3162</v>
      </c>
      <c r="P119" s="13" t="s">
        <v>3167</v>
      </c>
      <c r="Q119" s="13" t="s">
        <v>3159</v>
      </c>
      <c r="R119" s="13" t="s">
        <v>3231</v>
      </c>
      <c r="S119" s="13" t="s">
        <v>33</v>
      </c>
      <c r="T119" s="13" t="s">
        <v>3164</v>
      </c>
      <c r="U119" s="13" t="s">
        <v>3164</v>
      </c>
      <c r="V119" s="13" t="s">
        <v>3166</v>
      </c>
      <c r="W119" s="13" t="s">
        <v>3167</v>
      </c>
      <c r="X119" s="13" t="s">
        <v>3178</v>
      </c>
    </row>
    <row r="120" ht="14.25" customHeight="1">
      <c r="A120" s="13">
        <v>23409.0</v>
      </c>
      <c r="B120" s="13" t="s">
        <v>938</v>
      </c>
      <c r="C120" s="13">
        <v>2020.0</v>
      </c>
      <c r="D120" s="13" t="s">
        <v>3153</v>
      </c>
      <c r="E120" s="13" t="s">
        <v>3169</v>
      </c>
      <c r="F120" s="13" t="s">
        <v>3192</v>
      </c>
      <c r="G120" s="13" t="s">
        <v>3202</v>
      </c>
      <c r="H120" s="13">
        <v>30.0</v>
      </c>
      <c r="I120" s="13" t="s">
        <v>3188</v>
      </c>
      <c r="J120" s="13" t="s">
        <v>3189</v>
      </c>
      <c r="K120" s="13" t="s">
        <v>3208</v>
      </c>
      <c r="L120" s="13" t="s">
        <v>3160</v>
      </c>
      <c r="M120" s="13" t="s">
        <v>3435</v>
      </c>
      <c r="N120" s="13">
        <v>2.0</v>
      </c>
      <c r="O120" s="13" t="s">
        <v>3162</v>
      </c>
      <c r="P120" s="13" t="s">
        <v>33</v>
      </c>
      <c r="Q120" s="13" t="s">
        <v>3173</v>
      </c>
      <c r="R120" s="13" t="s">
        <v>3163</v>
      </c>
      <c r="S120" s="13" t="s">
        <v>33</v>
      </c>
      <c r="T120" s="13" t="s">
        <v>3164</v>
      </c>
      <c r="U120" s="13" t="s">
        <v>3232</v>
      </c>
      <c r="V120" s="13" t="s">
        <v>3166</v>
      </c>
      <c r="W120" s="13" t="s">
        <v>3167</v>
      </c>
      <c r="X120" s="13" t="s">
        <v>3178</v>
      </c>
    </row>
    <row r="121" ht="14.25" customHeight="1">
      <c r="A121" s="13">
        <v>23412.0</v>
      </c>
      <c r="B121" s="13" t="s">
        <v>1421</v>
      </c>
      <c r="C121" s="13">
        <v>2012.0</v>
      </c>
      <c r="D121" s="13" t="s">
        <v>3153</v>
      </c>
      <c r="E121" s="13" t="s">
        <v>3169</v>
      </c>
      <c r="F121" s="13" t="s">
        <v>3170</v>
      </c>
      <c r="G121" s="13" t="s">
        <v>3202</v>
      </c>
      <c r="H121" s="13">
        <v>500.0</v>
      </c>
      <c r="I121" s="13" t="s">
        <v>3171</v>
      </c>
      <c r="J121" s="13" t="s">
        <v>3436</v>
      </c>
      <c r="K121" s="13" t="s">
        <v>3159</v>
      </c>
      <c r="L121" s="13" t="s">
        <v>3177</v>
      </c>
      <c r="M121" s="13" t="s">
        <v>3391</v>
      </c>
      <c r="N121" s="13">
        <v>1.0</v>
      </c>
      <c r="O121" s="13" t="s">
        <v>3162</v>
      </c>
      <c r="P121" s="13" t="s">
        <v>33</v>
      </c>
      <c r="Q121" s="13" t="s">
        <v>3437</v>
      </c>
      <c r="R121" s="13" t="s">
        <v>3177</v>
      </c>
      <c r="S121" s="13" t="s">
        <v>33</v>
      </c>
      <c r="T121" s="13" t="s">
        <v>3232</v>
      </c>
      <c r="U121" s="13" t="s">
        <v>3232</v>
      </c>
      <c r="V121" s="13" t="s">
        <v>3166</v>
      </c>
      <c r="W121" s="13" t="s">
        <v>3167</v>
      </c>
      <c r="X121" s="13" t="s">
        <v>3178</v>
      </c>
    </row>
    <row r="122" ht="14.25" customHeight="1">
      <c r="A122" s="13">
        <v>23418.0</v>
      </c>
      <c r="B122" s="13" t="s">
        <v>758</v>
      </c>
      <c r="C122" s="13">
        <v>2015.0</v>
      </c>
      <c r="D122" s="13" t="s">
        <v>3153</v>
      </c>
      <c r="E122" s="13" t="s">
        <v>3169</v>
      </c>
      <c r="F122" s="13" t="s">
        <v>3155</v>
      </c>
      <c r="G122" s="13" t="s">
        <v>3156</v>
      </c>
      <c r="H122" s="13" t="s">
        <v>33</v>
      </c>
      <c r="I122" s="13" t="s">
        <v>3171</v>
      </c>
      <c r="J122" s="13" t="s">
        <v>3438</v>
      </c>
      <c r="K122" s="13" t="s">
        <v>3183</v>
      </c>
      <c r="L122" s="13" t="s">
        <v>3177</v>
      </c>
      <c r="M122" s="13" t="s">
        <v>3439</v>
      </c>
      <c r="N122" s="13">
        <v>2.0</v>
      </c>
      <c r="O122" s="13" t="s">
        <v>3162</v>
      </c>
      <c r="P122" s="13" t="s">
        <v>3440</v>
      </c>
      <c r="Q122" s="13" t="s">
        <v>3379</v>
      </c>
      <c r="R122" s="13" t="s">
        <v>3177</v>
      </c>
      <c r="S122" s="13" t="s">
        <v>3441</v>
      </c>
      <c r="T122" s="13" t="s">
        <v>3247</v>
      </c>
      <c r="U122" s="13" t="s">
        <v>3247</v>
      </c>
      <c r="V122" s="13" t="s">
        <v>3242</v>
      </c>
      <c r="W122" s="13" t="s">
        <v>3248</v>
      </c>
      <c r="X122" s="13" t="s">
        <v>3167</v>
      </c>
    </row>
    <row r="123" ht="14.25" customHeight="1">
      <c r="A123" s="13">
        <v>23424.0</v>
      </c>
      <c r="B123" s="13" t="s">
        <v>1072</v>
      </c>
      <c r="C123" s="13">
        <v>2014.0</v>
      </c>
      <c r="D123" s="13" t="s">
        <v>3153</v>
      </c>
      <c r="E123" s="13" t="s">
        <v>3169</v>
      </c>
      <c r="F123" s="13" t="s">
        <v>3155</v>
      </c>
      <c r="G123" s="13" t="s">
        <v>3366</v>
      </c>
      <c r="H123" s="13">
        <v>5.0</v>
      </c>
      <c r="I123" s="13" t="s">
        <v>3244</v>
      </c>
      <c r="J123" s="13" t="s">
        <v>3442</v>
      </c>
      <c r="K123" s="13" t="s">
        <v>3338</v>
      </c>
      <c r="L123" s="13" t="s">
        <v>3177</v>
      </c>
      <c r="M123" s="13" t="s">
        <v>3443</v>
      </c>
      <c r="N123" s="13">
        <v>4.0</v>
      </c>
      <c r="O123" s="13" t="s">
        <v>3175</v>
      </c>
      <c r="P123" s="13" t="s">
        <v>3444</v>
      </c>
      <c r="Q123" s="13" t="s">
        <v>3186</v>
      </c>
      <c r="R123" s="13" t="s">
        <v>3177</v>
      </c>
      <c r="S123" s="13" t="s">
        <v>33</v>
      </c>
      <c r="T123" s="13" t="s">
        <v>3215</v>
      </c>
      <c r="U123" s="13" t="s">
        <v>3215</v>
      </c>
      <c r="V123" s="13" t="s">
        <v>3242</v>
      </c>
      <c r="W123" s="13" t="s">
        <v>3377</v>
      </c>
      <c r="X123" s="13" t="s">
        <v>3167</v>
      </c>
    </row>
    <row r="124" ht="14.25" customHeight="1">
      <c r="A124" s="13">
        <v>23428.0</v>
      </c>
      <c r="B124" s="13" t="s">
        <v>1254</v>
      </c>
      <c r="C124" s="13">
        <v>2020.0</v>
      </c>
      <c r="D124" s="13" t="s">
        <v>3153</v>
      </c>
      <c r="E124" s="13" t="s">
        <v>3169</v>
      </c>
      <c r="F124" s="13" t="s">
        <v>3170</v>
      </c>
      <c r="G124" s="13" t="s">
        <v>3202</v>
      </c>
      <c r="H124" s="13">
        <v>2.5</v>
      </c>
      <c r="I124" s="13" t="s">
        <v>3188</v>
      </c>
      <c r="J124" s="13" t="s">
        <v>3432</v>
      </c>
      <c r="K124" s="13" t="s">
        <v>3287</v>
      </c>
      <c r="L124" s="13" t="s">
        <v>3177</v>
      </c>
      <c r="M124" s="13" t="s">
        <v>3161</v>
      </c>
      <c r="N124" s="13">
        <v>1.0</v>
      </c>
      <c r="O124" s="13" t="s">
        <v>3162</v>
      </c>
      <c r="P124" s="13" t="s">
        <v>33</v>
      </c>
      <c r="Q124" s="13" t="s">
        <v>3183</v>
      </c>
      <c r="R124" s="13" t="s">
        <v>3163</v>
      </c>
      <c r="S124" s="13" t="s">
        <v>3397</v>
      </c>
      <c r="T124" s="13" t="s">
        <v>3164</v>
      </c>
      <c r="U124" s="13" t="s">
        <v>3164</v>
      </c>
      <c r="V124" s="13" t="s">
        <v>3166</v>
      </c>
      <c r="W124" s="13" t="s">
        <v>3167</v>
      </c>
      <c r="X124" s="13" t="s">
        <v>3178</v>
      </c>
    </row>
    <row r="125" ht="14.25" customHeight="1">
      <c r="A125" s="13">
        <v>23429.0</v>
      </c>
      <c r="B125" s="13" t="s">
        <v>3059</v>
      </c>
      <c r="C125" s="13">
        <v>2018.0</v>
      </c>
      <c r="D125" s="13" t="s">
        <v>3153</v>
      </c>
      <c r="E125" s="13" t="s">
        <v>3169</v>
      </c>
      <c r="F125" s="13" t="s">
        <v>3155</v>
      </c>
      <c r="G125" s="13" t="s">
        <v>3180</v>
      </c>
      <c r="H125" s="13">
        <v>0.1</v>
      </c>
      <c r="I125" s="13" t="s">
        <v>3244</v>
      </c>
      <c r="J125" s="13" t="s">
        <v>3245</v>
      </c>
      <c r="K125" s="13" t="s">
        <v>3183</v>
      </c>
      <c r="L125" s="13" t="s">
        <v>3160</v>
      </c>
      <c r="M125" s="13" t="s">
        <v>3246</v>
      </c>
      <c r="N125" s="13">
        <v>1.0</v>
      </c>
      <c r="O125" s="13" t="s">
        <v>3162</v>
      </c>
      <c r="P125" s="13" t="s">
        <v>3445</v>
      </c>
      <c r="Q125" s="13" t="s">
        <v>3183</v>
      </c>
      <c r="R125" s="13" t="s">
        <v>3163</v>
      </c>
      <c r="S125" s="13" t="s">
        <v>3397</v>
      </c>
      <c r="T125" s="13" t="s">
        <v>3232</v>
      </c>
      <c r="U125" s="13" t="s">
        <v>3232</v>
      </c>
      <c r="V125" s="13" t="s">
        <v>3166</v>
      </c>
      <c r="W125" s="13" t="s">
        <v>3167</v>
      </c>
      <c r="X125" s="13" t="s">
        <v>3178</v>
      </c>
    </row>
    <row r="126" ht="14.25" customHeight="1">
      <c r="A126" s="13">
        <v>23430.0</v>
      </c>
      <c r="B126" s="13" t="s">
        <v>2658</v>
      </c>
      <c r="C126" s="13">
        <v>2005.0</v>
      </c>
      <c r="D126" s="13" t="s">
        <v>3153</v>
      </c>
      <c r="E126" s="13" t="s">
        <v>3169</v>
      </c>
      <c r="F126" s="13" t="s">
        <v>3192</v>
      </c>
      <c r="G126" s="13" t="s">
        <v>3156</v>
      </c>
      <c r="H126" s="13" t="s">
        <v>33</v>
      </c>
      <c r="I126" s="13" t="s">
        <v>3222</v>
      </c>
      <c r="J126" s="13" t="s">
        <v>3229</v>
      </c>
      <c r="K126" s="13" t="s">
        <v>3183</v>
      </c>
      <c r="L126" s="13" t="s">
        <v>3177</v>
      </c>
      <c r="M126" s="13" t="s">
        <v>3391</v>
      </c>
      <c r="N126" s="13">
        <v>1.0</v>
      </c>
      <c r="O126" s="13" t="s">
        <v>3162</v>
      </c>
      <c r="P126" s="13" t="s">
        <v>3446</v>
      </c>
      <c r="Q126" s="13" t="s">
        <v>3183</v>
      </c>
      <c r="R126" s="13" t="s">
        <v>3177</v>
      </c>
      <c r="S126" s="13" t="s">
        <v>3446</v>
      </c>
      <c r="T126" s="13" t="s">
        <v>3164</v>
      </c>
      <c r="U126" s="13" t="s">
        <v>3164</v>
      </c>
      <c r="V126" s="13" t="s">
        <v>3166</v>
      </c>
      <c r="W126" s="13" t="s">
        <v>3167</v>
      </c>
      <c r="X126" s="13" t="s">
        <v>3224</v>
      </c>
    </row>
    <row r="127" ht="14.25" customHeight="1">
      <c r="A127" s="13">
        <v>23438.0</v>
      </c>
      <c r="B127" s="13" t="s">
        <v>2476</v>
      </c>
      <c r="C127" s="13">
        <v>2018.0</v>
      </c>
      <c r="D127" s="13" t="s">
        <v>3153</v>
      </c>
      <c r="E127" s="13" t="s">
        <v>3179</v>
      </c>
      <c r="F127" s="13" t="s">
        <v>3211</v>
      </c>
      <c r="G127" s="13" t="s">
        <v>3187</v>
      </c>
      <c r="H127" s="13">
        <v>25.0</v>
      </c>
      <c r="I127" s="13" t="s">
        <v>3249</v>
      </c>
      <c r="J127" s="13" t="s">
        <v>3447</v>
      </c>
      <c r="K127" s="13" t="s">
        <v>3159</v>
      </c>
      <c r="L127" s="13" t="s">
        <v>3177</v>
      </c>
      <c r="M127" s="13" t="s">
        <v>3196</v>
      </c>
      <c r="N127" s="13">
        <v>1.0</v>
      </c>
      <c r="O127" s="13" t="s">
        <v>3162</v>
      </c>
      <c r="P127" s="13" t="s">
        <v>33</v>
      </c>
      <c r="Q127" s="13" t="s">
        <v>3159</v>
      </c>
      <c r="R127" s="13" t="s">
        <v>3163</v>
      </c>
      <c r="S127" s="13" t="s">
        <v>33</v>
      </c>
      <c r="T127" s="13" t="s">
        <v>3165</v>
      </c>
      <c r="U127" s="13" t="s">
        <v>3165</v>
      </c>
      <c r="V127" s="13" t="s">
        <v>3166</v>
      </c>
      <c r="W127" s="13" t="s">
        <v>3167</v>
      </c>
      <c r="X127" s="13" t="s">
        <v>3178</v>
      </c>
    </row>
    <row r="128" ht="14.25" customHeight="1">
      <c r="A128" s="13">
        <v>23448.0</v>
      </c>
      <c r="B128" s="13" t="s">
        <v>2095</v>
      </c>
      <c r="C128" s="13">
        <v>2020.0</v>
      </c>
      <c r="D128" s="13" t="s">
        <v>3153</v>
      </c>
      <c r="E128" s="13" t="s">
        <v>3169</v>
      </c>
      <c r="F128" s="13" t="s">
        <v>3192</v>
      </c>
      <c r="G128" s="13" t="s">
        <v>3180</v>
      </c>
      <c r="H128" s="13">
        <v>0.25</v>
      </c>
      <c r="I128" s="13" t="s">
        <v>3188</v>
      </c>
      <c r="J128" s="13" t="s">
        <v>3432</v>
      </c>
      <c r="K128" s="13" t="s">
        <v>3159</v>
      </c>
      <c r="L128" s="13" t="s">
        <v>3177</v>
      </c>
      <c r="M128" s="13" t="s">
        <v>3448</v>
      </c>
      <c r="N128" s="13">
        <v>1.0</v>
      </c>
      <c r="O128" s="13" t="s">
        <v>3162</v>
      </c>
      <c r="P128" s="13" t="s">
        <v>33</v>
      </c>
      <c r="Q128" s="13" t="s">
        <v>3335</v>
      </c>
      <c r="R128" s="13" t="s">
        <v>3163</v>
      </c>
      <c r="S128" s="13" t="s">
        <v>3449</v>
      </c>
      <c r="T128" s="13" t="s">
        <v>3195</v>
      </c>
      <c r="U128" s="13" t="s">
        <v>3195</v>
      </c>
      <c r="V128" s="13" t="s">
        <v>3195</v>
      </c>
      <c r="W128" s="13" t="s">
        <v>3167</v>
      </c>
      <c r="X128" s="13" t="s">
        <v>3167</v>
      </c>
    </row>
    <row r="129" ht="14.25" customHeight="1">
      <c r="A129" s="13">
        <v>23449.0</v>
      </c>
      <c r="B129" s="13" t="s">
        <v>2043</v>
      </c>
      <c r="C129" s="13">
        <v>2014.0</v>
      </c>
      <c r="D129" s="13" t="s">
        <v>3153</v>
      </c>
      <c r="E129" s="13" t="s">
        <v>3154</v>
      </c>
      <c r="F129" s="13" t="s">
        <v>3170</v>
      </c>
      <c r="G129" s="13" t="s">
        <v>3156</v>
      </c>
      <c r="H129" s="13" t="s">
        <v>33</v>
      </c>
      <c r="I129" s="13" t="s">
        <v>3244</v>
      </c>
      <c r="J129" s="13" t="s">
        <v>3289</v>
      </c>
      <c r="K129" s="13" t="s">
        <v>3159</v>
      </c>
      <c r="L129" s="13" t="s">
        <v>3160</v>
      </c>
      <c r="M129" s="13" t="s">
        <v>3319</v>
      </c>
      <c r="N129" s="13">
        <v>2.0</v>
      </c>
      <c r="O129" s="13" t="s">
        <v>3162</v>
      </c>
      <c r="P129" s="13" t="s">
        <v>33</v>
      </c>
      <c r="Q129" s="13" t="s">
        <v>3159</v>
      </c>
      <c r="R129" s="13" t="s">
        <v>3163</v>
      </c>
      <c r="S129" s="13" t="s">
        <v>33</v>
      </c>
      <c r="T129" s="13" t="s">
        <v>3164</v>
      </c>
      <c r="U129" s="13" t="s">
        <v>3164</v>
      </c>
      <c r="V129" s="13" t="s">
        <v>3166</v>
      </c>
      <c r="W129" s="13" t="s">
        <v>3167</v>
      </c>
      <c r="X129" s="13" t="s">
        <v>3324</v>
      </c>
    </row>
    <row r="130" ht="14.25" customHeight="1">
      <c r="A130" s="13">
        <v>23452.0</v>
      </c>
      <c r="B130" s="13" t="s">
        <v>940</v>
      </c>
      <c r="C130" s="13">
        <v>2013.0</v>
      </c>
      <c r="D130" s="13" t="s">
        <v>3153</v>
      </c>
      <c r="E130" s="13" t="s">
        <v>3179</v>
      </c>
      <c r="F130" s="13" t="s">
        <v>3155</v>
      </c>
      <c r="G130" s="13" t="s">
        <v>3156</v>
      </c>
      <c r="H130" s="13" t="s">
        <v>33</v>
      </c>
      <c r="I130" s="13" t="s">
        <v>3264</v>
      </c>
      <c r="J130" s="13" t="s">
        <v>3450</v>
      </c>
      <c r="K130" s="13" t="s">
        <v>3173</v>
      </c>
      <c r="L130" s="13" t="s">
        <v>3160</v>
      </c>
      <c r="M130" s="13" t="s">
        <v>3342</v>
      </c>
      <c r="N130" s="13">
        <v>1.0</v>
      </c>
      <c r="O130" s="13" t="s">
        <v>3162</v>
      </c>
      <c r="P130" s="13" t="s">
        <v>33</v>
      </c>
      <c r="Q130" s="13" t="s">
        <v>3210</v>
      </c>
      <c r="R130" s="13" t="s">
        <v>3163</v>
      </c>
      <c r="S130" s="13" t="s">
        <v>3451</v>
      </c>
      <c r="T130" s="13" t="s">
        <v>3232</v>
      </c>
      <c r="U130" s="13" t="s">
        <v>3232</v>
      </c>
      <c r="V130" s="13" t="s">
        <v>3166</v>
      </c>
      <c r="W130" s="13" t="s">
        <v>3167</v>
      </c>
      <c r="X130" s="13" t="s">
        <v>3168</v>
      </c>
    </row>
    <row r="131" ht="14.25" customHeight="1">
      <c r="A131" s="13">
        <v>23454.0</v>
      </c>
      <c r="B131" s="13" t="s">
        <v>330</v>
      </c>
      <c r="C131" s="13">
        <v>2018.0</v>
      </c>
      <c r="D131" s="13" t="s">
        <v>3153</v>
      </c>
      <c r="E131" s="13" t="s">
        <v>3169</v>
      </c>
      <c r="F131" s="13" t="s">
        <v>3192</v>
      </c>
      <c r="G131" s="13" t="s">
        <v>3180</v>
      </c>
      <c r="H131" s="13">
        <v>0.2</v>
      </c>
      <c r="I131" s="13" t="s">
        <v>3244</v>
      </c>
      <c r="J131" s="13" t="s">
        <v>3289</v>
      </c>
      <c r="K131" s="13" t="s">
        <v>3159</v>
      </c>
      <c r="L131" s="13" t="s">
        <v>3160</v>
      </c>
      <c r="M131" s="13" t="s">
        <v>3452</v>
      </c>
      <c r="N131" s="13">
        <v>3.0</v>
      </c>
      <c r="O131" s="13" t="s">
        <v>3162</v>
      </c>
      <c r="P131" s="13" t="s">
        <v>33</v>
      </c>
      <c r="Q131" s="13" t="s">
        <v>3159</v>
      </c>
      <c r="R131" s="13" t="s">
        <v>3177</v>
      </c>
      <c r="S131" s="13" t="s">
        <v>33</v>
      </c>
      <c r="T131" s="13" t="s">
        <v>3228</v>
      </c>
      <c r="U131" s="13" t="s">
        <v>3228</v>
      </c>
      <c r="V131" s="13" t="s">
        <v>3242</v>
      </c>
      <c r="W131" s="13" t="s">
        <v>3377</v>
      </c>
      <c r="X131" s="13" t="s">
        <v>3167</v>
      </c>
    </row>
    <row r="132" ht="14.25" customHeight="1">
      <c r="A132" s="13">
        <v>23456.0</v>
      </c>
      <c r="B132" s="13" t="s">
        <v>2092</v>
      </c>
      <c r="C132" s="13">
        <v>2019.0</v>
      </c>
      <c r="D132" s="13" t="s">
        <v>3153</v>
      </c>
      <c r="E132" s="13" t="s">
        <v>3179</v>
      </c>
      <c r="F132" s="13" t="s">
        <v>3192</v>
      </c>
      <c r="G132" s="13" t="s">
        <v>33</v>
      </c>
      <c r="H132" s="13" t="s">
        <v>33</v>
      </c>
      <c r="I132" s="13" t="s">
        <v>3264</v>
      </c>
      <c r="J132" s="13" t="s">
        <v>3321</v>
      </c>
      <c r="K132" s="13" t="s">
        <v>3183</v>
      </c>
      <c r="L132" s="13" t="s">
        <v>3177</v>
      </c>
      <c r="M132" s="13" t="s">
        <v>3342</v>
      </c>
      <c r="N132" s="13">
        <v>1.0</v>
      </c>
      <c r="O132" s="13" t="s">
        <v>3162</v>
      </c>
      <c r="P132" s="13" t="s">
        <v>3453</v>
      </c>
      <c r="Q132" s="13" t="s">
        <v>3287</v>
      </c>
      <c r="R132" s="13" t="s">
        <v>3177</v>
      </c>
      <c r="S132" s="13" t="s">
        <v>33</v>
      </c>
      <c r="T132" s="13" t="s">
        <v>3164</v>
      </c>
      <c r="U132" s="13" t="s">
        <v>3164</v>
      </c>
      <c r="V132" s="13" t="s">
        <v>3166</v>
      </c>
      <c r="W132" s="13" t="s">
        <v>3167</v>
      </c>
      <c r="X132" s="13" t="s">
        <v>3224</v>
      </c>
    </row>
    <row r="133" ht="14.25" customHeight="1">
      <c r="A133" s="13">
        <v>23461.0</v>
      </c>
      <c r="B133" s="13" t="s">
        <v>44</v>
      </c>
      <c r="C133" s="13">
        <v>2020.0</v>
      </c>
      <c r="D133" s="13" t="s">
        <v>3153</v>
      </c>
      <c r="E133" s="13" t="s">
        <v>3169</v>
      </c>
      <c r="F133" s="13" t="s">
        <v>3192</v>
      </c>
      <c r="G133" s="13" t="s">
        <v>3156</v>
      </c>
      <c r="H133" s="13" t="s">
        <v>33</v>
      </c>
      <c r="I133" s="13" t="s">
        <v>3171</v>
      </c>
      <c r="J133" s="13" t="s">
        <v>3172</v>
      </c>
      <c r="K133" s="13" t="s">
        <v>3190</v>
      </c>
      <c r="L133" s="13" t="s">
        <v>3177</v>
      </c>
      <c r="M133" s="13" t="s">
        <v>3342</v>
      </c>
      <c r="N133" s="13">
        <v>1.0</v>
      </c>
      <c r="O133" s="13" t="s">
        <v>3162</v>
      </c>
      <c r="P133" s="13" t="s">
        <v>33</v>
      </c>
      <c r="Q133" s="13" t="s">
        <v>3190</v>
      </c>
      <c r="R133" s="13" t="s">
        <v>3177</v>
      </c>
      <c r="S133" s="13" t="s">
        <v>33</v>
      </c>
      <c r="T133" s="13" t="s">
        <v>3164</v>
      </c>
      <c r="U133" s="13" t="s">
        <v>3164</v>
      </c>
      <c r="V133" s="13" t="s">
        <v>3166</v>
      </c>
      <c r="W133" s="13" t="s">
        <v>3167</v>
      </c>
      <c r="X133" s="13" t="s">
        <v>3168</v>
      </c>
    </row>
    <row r="134" ht="14.25" customHeight="1">
      <c r="A134" s="13">
        <v>23464.0</v>
      </c>
      <c r="B134" s="13" t="s">
        <v>2488</v>
      </c>
      <c r="C134" s="13">
        <v>2020.0</v>
      </c>
      <c r="D134" s="13" t="s">
        <v>3153</v>
      </c>
      <c r="E134" s="13" t="s">
        <v>3169</v>
      </c>
      <c r="F134" s="13" t="s">
        <v>3155</v>
      </c>
      <c r="G134" s="13" t="s">
        <v>3187</v>
      </c>
      <c r="H134" s="13">
        <v>25.0</v>
      </c>
      <c r="I134" s="13" t="s">
        <v>3171</v>
      </c>
      <c r="J134" s="13" t="s">
        <v>3454</v>
      </c>
      <c r="K134" s="13" t="s">
        <v>3173</v>
      </c>
      <c r="L134" s="13" t="s">
        <v>3177</v>
      </c>
      <c r="M134" s="13" t="s">
        <v>3455</v>
      </c>
      <c r="N134" s="13">
        <v>3.0</v>
      </c>
      <c r="O134" s="13" t="s">
        <v>3267</v>
      </c>
      <c r="P134" s="13" t="s">
        <v>33</v>
      </c>
      <c r="Q134" s="13" t="s">
        <v>3381</v>
      </c>
      <c r="R134" s="13" t="s">
        <v>3177</v>
      </c>
      <c r="S134" s="13" t="s">
        <v>3456</v>
      </c>
      <c r="T134" s="13" t="s">
        <v>3197</v>
      </c>
      <c r="U134" s="13" t="s">
        <v>3247</v>
      </c>
      <c r="V134" s="13" t="s">
        <v>3242</v>
      </c>
      <c r="W134" s="13" t="s">
        <v>3248</v>
      </c>
      <c r="X134" s="13" t="s">
        <v>3167</v>
      </c>
    </row>
    <row r="135" ht="14.25" customHeight="1">
      <c r="A135" s="13">
        <v>23466.0</v>
      </c>
      <c r="B135" s="13" t="s">
        <v>2000</v>
      </c>
      <c r="C135" s="13">
        <v>2012.0</v>
      </c>
      <c r="D135" s="13" t="s">
        <v>3457</v>
      </c>
      <c r="E135" s="13" t="s">
        <v>3169</v>
      </c>
      <c r="F135" s="13" t="s">
        <v>3192</v>
      </c>
      <c r="G135" s="13" t="s">
        <v>3156</v>
      </c>
      <c r="H135" s="13" t="s">
        <v>33</v>
      </c>
      <c r="I135" s="13" t="s">
        <v>3157</v>
      </c>
      <c r="J135" s="13" t="s">
        <v>3199</v>
      </c>
      <c r="K135" s="13" t="s">
        <v>3183</v>
      </c>
      <c r="L135" s="13" t="s">
        <v>3177</v>
      </c>
      <c r="M135" s="13" t="s">
        <v>3331</v>
      </c>
      <c r="N135" s="13">
        <v>1.0</v>
      </c>
      <c r="O135" s="13" t="s">
        <v>3162</v>
      </c>
      <c r="P135" s="13" t="s">
        <v>3453</v>
      </c>
      <c r="Q135" s="13" t="s">
        <v>3183</v>
      </c>
      <c r="R135" s="13" t="s">
        <v>3177</v>
      </c>
      <c r="S135" s="13" t="s">
        <v>3453</v>
      </c>
      <c r="T135" s="13" t="s">
        <v>3164</v>
      </c>
      <c r="U135" s="13" t="s">
        <v>3164</v>
      </c>
      <c r="V135" s="13" t="s">
        <v>3166</v>
      </c>
      <c r="W135" s="13" t="s">
        <v>3167</v>
      </c>
      <c r="X135" s="13" t="s">
        <v>3224</v>
      </c>
    </row>
    <row r="136" ht="14.25" customHeight="1">
      <c r="A136" s="13" t="s">
        <v>2279</v>
      </c>
      <c r="B136" s="13" t="s">
        <v>2280</v>
      </c>
      <c r="C136" s="13">
        <v>2018.0</v>
      </c>
      <c r="D136" s="13" t="s">
        <v>3153</v>
      </c>
      <c r="E136" s="13" t="s">
        <v>3169</v>
      </c>
      <c r="F136" s="13" t="s">
        <v>3211</v>
      </c>
      <c r="G136" s="13" t="s">
        <v>33</v>
      </c>
      <c r="H136" s="13" t="s">
        <v>33</v>
      </c>
      <c r="I136" s="13" t="s">
        <v>3188</v>
      </c>
      <c r="J136" s="13" t="s">
        <v>3458</v>
      </c>
      <c r="K136" s="13" t="s">
        <v>3208</v>
      </c>
      <c r="L136" s="13" t="s">
        <v>3160</v>
      </c>
      <c r="M136" s="13" t="s">
        <v>3459</v>
      </c>
      <c r="N136" s="13">
        <v>2.0</v>
      </c>
      <c r="O136" s="13" t="s">
        <v>3162</v>
      </c>
      <c r="P136" s="13" t="s">
        <v>33</v>
      </c>
      <c r="Q136" s="13" t="s">
        <v>3290</v>
      </c>
      <c r="R136" s="13" t="s">
        <v>3163</v>
      </c>
      <c r="S136" s="13" t="s">
        <v>33</v>
      </c>
      <c r="T136" s="13" t="s">
        <v>3197</v>
      </c>
      <c r="U136" s="13" t="s">
        <v>3197</v>
      </c>
      <c r="V136" s="13" t="s">
        <v>3242</v>
      </c>
      <c r="W136" s="13" t="s">
        <v>3248</v>
      </c>
      <c r="X136" s="13" t="s">
        <v>3167</v>
      </c>
    </row>
    <row r="137" ht="14.25" customHeight="1">
      <c r="A137" s="13">
        <v>23473.0</v>
      </c>
      <c r="B137" s="13" t="s">
        <v>840</v>
      </c>
      <c r="C137" s="13">
        <v>2017.0</v>
      </c>
      <c r="D137" s="13" t="s">
        <v>3153</v>
      </c>
      <c r="E137" s="13" t="s">
        <v>3154</v>
      </c>
      <c r="F137" s="13" t="s">
        <v>3170</v>
      </c>
      <c r="G137" s="13" t="s">
        <v>3156</v>
      </c>
      <c r="H137" s="13" t="s">
        <v>33</v>
      </c>
      <c r="I137" s="13" t="s">
        <v>3244</v>
      </c>
      <c r="J137" s="13" t="s">
        <v>3245</v>
      </c>
      <c r="K137" s="13" t="s">
        <v>3173</v>
      </c>
      <c r="L137" s="13" t="s">
        <v>3160</v>
      </c>
      <c r="M137" s="13" t="s">
        <v>3291</v>
      </c>
      <c r="N137" s="13">
        <v>1.0</v>
      </c>
      <c r="O137" s="13" t="s">
        <v>3162</v>
      </c>
      <c r="P137" s="13" t="s">
        <v>33</v>
      </c>
      <c r="Q137" s="13" t="s">
        <v>3183</v>
      </c>
      <c r="R137" s="13" t="s">
        <v>3177</v>
      </c>
      <c r="S137" s="13" t="s">
        <v>3397</v>
      </c>
      <c r="T137" s="13" t="s">
        <v>3197</v>
      </c>
      <c r="U137" s="13" t="s">
        <v>3197</v>
      </c>
      <c r="V137" s="13" t="s">
        <v>3166</v>
      </c>
      <c r="W137" s="13" t="s">
        <v>3167</v>
      </c>
      <c r="X137" s="13" t="s">
        <v>3255</v>
      </c>
    </row>
    <row r="138" ht="14.25" customHeight="1">
      <c r="A138" s="13">
        <v>23477.0</v>
      </c>
      <c r="B138" s="13" t="s">
        <v>662</v>
      </c>
      <c r="C138" s="13">
        <v>2019.0</v>
      </c>
      <c r="D138" s="13" t="s">
        <v>3153</v>
      </c>
      <c r="E138" s="13" t="s">
        <v>3169</v>
      </c>
      <c r="F138" s="13" t="s">
        <v>3192</v>
      </c>
      <c r="G138" s="13" t="s">
        <v>3187</v>
      </c>
      <c r="H138" s="13">
        <v>100.0</v>
      </c>
      <c r="I138" s="13" t="s">
        <v>3244</v>
      </c>
      <c r="J138" s="13" t="s">
        <v>3289</v>
      </c>
      <c r="K138" s="13" t="s">
        <v>3208</v>
      </c>
      <c r="L138" s="13" t="s">
        <v>3160</v>
      </c>
      <c r="M138" s="13" t="s">
        <v>3460</v>
      </c>
      <c r="N138" s="13">
        <v>5.0</v>
      </c>
      <c r="O138" s="13" t="s">
        <v>3162</v>
      </c>
      <c r="P138" s="13" t="s">
        <v>3461</v>
      </c>
      <c r="Q138" s="13" t="s">
        <v>3208</v>
      </c>
      <c r="R138" s="13" t="s">
        <v>3231</v>
      </c>
      <c r="S138" s="13" t="s">
        <v>33</v>
      </c>
      <c r="T138" s="13" t="s">
        <v>3247</v>
      </c>
      <c r="U138" s="13" t="s">
        <v>3247</v>
      </c>
      <c r="V138" s="13" t="s">
        <v>3242</v>
      </c>
      <c r="W138" s="13" t="s">
        <v>3248</v>
      </c>
      <c r="X138" s="13" t="s">
        <v>3167</v>
      </c>
    </row>
    <row r="139" ht="14.25" customHeight="1">
      <c r="A139" s="13">
        <v>23487.0</v>
      </c>
      <c r="B139" s="13" t="s">
        <v>2696</v>
      </c>
      <c r="C139" s="13">
        <v>2012.0</v>
      </c>
      <c r="D139" s="13" t="s">
        <v>3153</v>
      </c>
      <c r="E139" s="13" t="s">
        <v>3179</v>
      </c>
      <c r="F139" s="13" t="s">
        <v>3170</v>
      </c>
      <c r="G139" s="13" t="s">
        <v>33</v>
      </c>
      <c r="H139" s="13" t="s">
        <v>33</v>
      </c>
      <c r="I139" s="13" t="s">
        <v>3261</v>
      </c>
      <c r="J139" s="13" t="s">
        <v>3229</v>
      </c>
      <c r="K139" s="13" t="s">
        <v>3159</v>
      </c>
      <c r="L139" s="13" t="s">
        <v>3160</v>
      </c>
      <c r="M139" s="13" t="s">
        <v>3462</v>
      </c>
      <c r="N139" s="13">
        <v>2.0</v>
      </c>
      <c r="O139" s="13" t="s">
        <v>3162</v>
      </c>
      <c r="P139" s="13" t="s">
        <v>33</v>
      </c>
      <c r="Q139" s="13" t="s">
        <v>3159</v>
      </c>
      <c r="R139" s="13" t="s">
        <v>3163</v>
      </c>
      <c r="S139" s="13" t="s">
        <v>33</v>
      </c>
      <c r="T139" s="13" t="s">
        <v>3164</v>
      </c>
      <c r="U139" s="13" t="s">
        <v>3165</v>
      </c>
      <c r="V139" s="13" t="s">
        <v>3166</v>
      </c>
      <c r="W139" s="13" t="s">
        <v>3167</v>
      </c>
      <c r="X139" s="13" t="s">
        <v>3178</v>
      </c>
    </row>
    <row r="140" ht="14.25" customHeight="1">
      <c r="A140" s="13">
        <v>23489.0</v>
      </c>
      <c r="B140" s="13" t="s">
        <v>1573</v>
      </c>
      <c r="C140" s="13">
        <v>2010.0</v>
      </c>
      <c r="D140" s="13" t="s">
        <v>3153</v>
      </c>
      <c r="E140" s="13" t="s">
        <v>3169</v>
      </c>
      <c r="F140" s="13" t="s">
        <v>3155</v>
      </c>
      <c r="G140" s="13" t="s">
        <v>3156</v>
      </c>
      <c r="H140" s="13" t="s">
        <v>33</v>
      </c>
      <c r="I140" s="13" t="s">
        <v>3244</v>
      </c>
      <c r="J140" s="13" t="s">
        <v>3463</v>
      </c>
      <c r="K140" s="13" t="s">
        <v>3159</v>
      </c>
      <c r="L140" s="13" t="s">
        <v>3177</v>
      </c>
      <c r="M140" s="13" t="s">
        <v>3391</v>
      </c>
      <c r="N140" s="13">
        <v>1.0</v>
      </c>
      <c r="O140" s="13" t="s">
        <v>3162</v>
      </c>
      <c r="P140" s="13" t="s">
        <v>33</v>
      </c>
      <c r="Q140" s="13" t="s">
        <v>3159</v>
      </c>
      <c r="R140" s="13" t="s">
        <v>3177</v>
      </c>
      <c r="S140" s="13" t="s">
        <v>33</v>
      </c>
      <c r="T140" s="13" t="s">
        <v>3165</v>
      </c>
      <c r="U140" s="13" t="s">
        <v>3165</v>
      </c>
      <c r="V140" s="13" t="s">
        <v>3166</v>
      </c>
      <c r="W140" s="13" t="s">
        <v>3167</v>
      </c>
      <c r="X140" s="13" t="s">
        <v>3178</v>
      </c>
    </row>
    <row r="141" ht="14.25" customHeight="1">
      <c r="A141" s="13">
        <v>23490.0</v>
      </c>
      <c r="B141" s="13" t="s">
        <v>1341</v>
      </c>
      <c r="C141" s="13">
        <v>2017.0</v>
      </c>
      <c r="D141" s="13" t="s">
        <v>3153</v>
      </c>
      <c r="E141" s="13" t="s">
        <v>3169</v>
      </c>
      <c r="F141" s="13" t="s">
        <v>3217</v>
      </c>
      <c r="G141" s="13" t="s">
        <v>3187</v>
      </c>
      <c r="H141" s="13">
        <v>10000.0</v>
      </c>
      <c r="I141" s="13" t="s">
        <v>3167</v>
      </c>
      <c r="J141" s="13" t="s">
        <v>3167</v>
      </c>
      <c r="K141" s="13" t="s">
        <v>3173</v>
      </c>
      <c r="L141" s="13" t="s">
        <v>3177</v>
      </c>
      <c r="M141" s="13" t="s">
        <v>3230</v>
      </c>
      <c r="N141" s="13">
        <v>1.0</v>
      </c>
      <c r="O141" s="13" t="s">
        <v>3162</v>
      </c>
      <c r="P141" s="13" t="s">
        <v>3167</v>
      </c>
      <c r="Q141" s="13" t="s">
        <v>3183</v>
      </c>
      <c r="R141" s="13" t="s">
        <v>3260</v>
      </c>
      <c r="S141" s="13" t="s">
        <v>3397</v>
      </c>
      <c r="T141" s="13" t="s">
        <v>3164</v>
      </c>
      <c r="U141" s="13" t="s">
        <v>3165</v>
      </c>
      <c r="V141" s="13" t="s">
        <v>3166</v>
      </c>
      <c r="W141" s="13" t="s">
        <v>3167</v>
      </c>
      <c r="X141" s="13" t="s">
        <v>3178</v>
      </c>
    </row>
    <row r="142" ht="14.25" customHeight="1">
      <c r="A142" s="13" t="s">
        <v>2888</v>
      </c>
      <c r="B142" s="13" t="s">
        <v>2889</v>
      </c>
      <c r="C142" s="13">
        <v>2014.0</v>
      </c>
      <c r="D142" s="13" t="s">
        <v>3153</v>
      </c>
      <c r="E142" s="13" t="s">
        <v>3169</v>
      </c>
      <c r="F142" s="13" t="s">
        <v>3211</v>
      </c>
      <c r="G142" s="13" t="s">
        <v>3187</v>
      </c>
      <c r="H142" s="13">
        <v>15.0</v>
      </c>
      <c r="I142" s="13" t="s">
        <v>3188</v>
      </c>
      <c r="J142" s="13" t="s">
        <v>3464</v>
      </c>
      <c r="K142" s="13" t="s">
        <v>3159</v>
      </c>
      <c r="L142" s="13" t="s">
        <v>3160</v>
      </c>
      <c r="M142" s="13" t="s">
        <v>3349</v>
      </c>
      <c r="N142" s="13">
        <v>2.0</v>
      </c>
      <c r="O142" s="13" t="s">
        <v>3162</v>
      </c>
      <c r="P142" s="13" t="s">
        <v>33</v>
      </c>
      <c r="Q142" s="13" t="s">
        <v>3159</v>
      </c>
      <c r="R142" s="13" t="s">
        <v>3177</v>
      </c>
      <c r="S142" s="13" t="s">
        <v>33</v>
      </c>
      <c r="T142" s="13" t="s">
        <v>3164</v>
      </c>
      <c r="U142" s="13" t="s">
        <v>3164</v>
      </c>
      <c r="V142" s="13" t="s">
        <v>3166</v>
      </c>
      <c r="W142" s="13" t="s">
        <v>3167</v>
      </c>
      <c r="X142" s="13" t="s">
        <v>3178</v>
      </c>
    </row>
    <row r="143" ht="14.25" customHeight="1">
      <c r="A143" s="13" t="s">
        <v>1801</v>
      </c>
      <c r="B143" s="13" t="s">
        <v>1802</v>
      </c>
      <c r="C143" s="13">
        <v>2016.0</v>
      </c>
      <c r="D143" s="13" t="s">
        <v>3153</v>
      </c>
      <c r="E143" s="13" t="s">
        <v>3465</v>
      </c>
      <c r="F143" s="13" t="s">
        <v>3211</v>
      </c>
      <c r="G143" s="13" t="s">
        <v>33</v>
      </c>
      <c r="H143" s="13" t="s">
        <v>33</v>
      </c>
      <c r="I143" s="13" t="s">
        <v>3244</v>
      </c>
      <c r="J143" s="13" t="s">
        <v>3466</v>
      </c>
      <c r="K143" s="13" t="s">
        <v>3290</v>
      </c>
      <c r="L143" s="13" t="s">
        <v>3160</v>
      </c>
      <c r="M143" s="13" t="s">
        <v>3467</v>
      </c>
      <c r="N143" s="13">
        <v>4.0</v>
      </c>
      <c r="O143" s="13" t="s">
        <v>3162</v>
      </c>
      <c r="P143" s="13" t="s">
        <v>33</v>
      </c>
      <c r="Q143" s="13" t="s">
        <v>3468</v>
      </c>
      <c r="R143" s="13" t="s">
        <v>3163</v>
      </c>
      <c r="S143" s="13" t="s">
        <v>3469</v>
      </c>
      <c r="T143" s="13" t="s">
        <v>3232</v>
      </c>
      <c r="U143" s="13" t="s">
        <v>3252</v>
      </c>
      <c r="V143" s="13" t="s">
        <v>3253</v>
      </c>
      <c r="W143" s="13" t="s">
        <v>3470</v>
      </c>
      <c r="X143" s="13" t="s">
        <v>3471</v>
      </c>
    </row>
    <row r="144" ht="14.25" customHeight="1">
      <c r="A144" s="13">
        <v>23509.0</v>
      </c>
      <c r="B144" s="13" t="s">
        <v>2035</v>
      </c>
      <c r="C144" s="13">
        <v>2019.0</v>
      </c>
      <c r="D144" s="13" t="s">
        <v>3153</v>
      </c>
      <c r="E144" s="13" t="s">
        <v>3169</v>
      </c>
      <c r="F144" s="13" t="s">
        <v>3217</v>
      </c>
      <c r="G144" s="13" t="s">
        <v>3156</v>
      </c>
      <c r="H144" s="13" t="s">
        <v>33</v>
      </c>
      <c r="I144" s="13" t="s">
        <v>3167</v>
      </c>
      <c r="J144" s="13" t="s">
        <v>3167</v>
      </c>
      <c r="K144" s="13" t="s">
        <v>3183</v>
      </c>
      <c r="L144" s="13" t="s">
        <v>3160</v>
      </c>
      <c r="M144" s="13" t="s">
        <v>3472</v>
      </c>
      <c r="N144" s="13">
        <v>4.0</v>
      </c>
      <c r="O144" s="13" t="s">
        <v>3175</v>
      </c>
      <c r="P144" s="13" t="s">
        <v>3397</v>
      </c>
      <c r="Q144" s="13" t="s">
        <v>3183</v>
      </c>
      <c r="R144" s="13" t="s">
        <v>3177</v>
      </c>
      <c r="S144" s="13" t="s">
        <v>3397</v>
      </c>
      <c r="T144" s="13" t="s">
        <v>3197</v>
      </c>
      <c r="U144" s="13" t="s">
        <v>3197</v>
      </c>
      <c r="V144" s="13" t="s">
        <v>3166</v>
      </c>
      <c r="W144" s="13" t="s">
        <v>3167</v>
      </c>
      <c r="X144" s="13" t="s">
        <v>3473</v>
      </c>
    </row>
    <row r="145" ht="14.25" customHeight="1">
      <c r="A145" s="13">
        <v>23507.0</v>
      </c>
      <c r="B145" s="13" t="s">
        <v>1730</v>
      </c>
      <c r="C145" s="13">
        <v>2016.0</v>
      </c>
      <c r="D145" s="13" t="s">
        <v>3153</v>
      </c>
      <c r="E145" s="13" t="s">
        <v>3169</v>
      </c>
      <c r="F145" s="13" t="s">
        <v>3217</v>
      </c>
      <c r="G145" s="13" t="s">
        <v>3156</v>
      </c>
      <c r="H145" s="13" t="s">
        <v>33</v>
      </c>
      <c r="I145" s="13" t="s">
        <v>3167</v>
      </c>
      <c r="J145" s="13" t="s">
        <v>3167</v>
      </c>
      <c r="K145" s="13" t="s">
        <v>3183</v>
      </c>
      <c r="L145" s="13" t="s">
        <v>3177</v>
      </c>
      <c r="M145" s="13" t="s">
        <v>3474</v>
      </c>
      <c r="N145" s="13">
        <v>1.0</v>
      </c>
      <c r="O145" s="13" t="s">
        <v>3175</v>
      </c>
      <c r="P145" s="13" t="s">
        <v>3475</v>
      </c>
      <c r="Q145" s="13" t="s">
        <v>3186</v>
      </c>
      <c r="R145" s="13" t="s">
        <v>3177</v>
      </c>
      <c r="S145" s="13" t="s">
        <v>3397</v>
      </c>
      <c r="T145" s="13" t="s">
        <v>3197</v>
      </c>
      <c r="U145" s="13" t="s">
        <v>3197</v>
      </c>
      <c r="V145" s="13" t="s">
        <v>3166</v>
      </c>
      <c r="W145" s="13" t="s">
        <v>3167</v>
      </c>
      <c r="X145" s="13" t="s">
        <v>3476</v>
      </c>
    </row>
    <row r="146" ht="14.25" customHeight="1">
      <c r="A146" s="13">
        <v>23508.0</v>
      </c>
      <c r="B146" s="13" t="s">
        <v>1789</v>
      </c>
      <c r="C146" s="13">
        <v>2017.0</v>
      </c>
      <c r="D146" s="13" t="s">
        <v>3153</v>
      </c>
      <c r="E146" s="13" t="s">
        <v>3169</v>
      </c>
      <c r="F146" s="13" t="s">
        <v>3217</v>
      </c>
      <c r="G146" s="13" t="s">
        <v>3156</v>
      </c>
      <c r="H146" s="13" t="s">
        <v>33</v>
      </c>
      <c r="I146" s="13" t="s">
        <v>3167</v>
      </c>
      <c r="J146" s="13" t="s">
        <v>3167</v>
      </c>
      <c r="K146" s="13" t="s">
        <v>3183</v>
      </c>
      <c r="L146" s="13" t="s">
        <v>3177</v>
      </c>
      <c r="M146" s="13" t="s">
        <v>3477</v>
      </c>
      <c r="N146" s="13">
        <v>1.0</v>
      </c>
      <c r="O146" s="13" t="s">
        <v>3162</v>
      </c>
      <c r="P146" s="13" t="s">
        <v>3478</v>
      </c>
      <c r="Q146" s="13" t="s">
        <v>3186</v>
      </c>
      <c r="R146" s="13" t="s">
        <v>3177</v>
      </c>
      <c r="S146" s="13" t="s">
        <v>3397</v>
      </c>
      <c r="T146" s="13" t="s">
        <v>3197</v>
      </c>
      <c r="U146" s="13" t="s">
        <v>3197</v>
      </c>
      <c r="V146" s="13" t="s">
        <v>3166</v>
      </c>
      <c r="W146" s="13" t="s">
        <v>3167</v>
      </c>
      <c r="X146" s="13" t="s">
        <v>3476</v>
      </c>
    </row>
    <row r="147" ht="14.25" customHeight="1">
      <c r="A147" s="13">
        <v>23513.0</v>
      </c>
      <c r="B147" s="13" t="s">
        <v>2131</v>
      </c>
      <c r="C147" s="13">
        <v>2020.0</v>
      </c>
      <c r="D147" s="13" t="s">
        <v>3153</v>
      </c>
      <c r="E147" s="13" t="s">
        <v>3154</v>
      </c>
      <c r="F147" s="13" t="s">
        <v>3170</v>
      </c>
      <c r="G147" s="13" t="s">
        <v>3156</v>
      </c>
      <c r="H147" s="13" t="s">
        <v>33</v>
      </c>
      <c r="I147" s="13" t="s">
        <v>3244</v>
      </c>
      <c r="J147" s="13" t="s">
        <v>3289</v>
      </c>
      <c r="K147" s="13" t="s">
        <v>3159</v>
      </c>
      <c r="L147" s="13" t="s">
        <v>3177</v>
      </c>
      <c r="M147" s="13" t="s">
        <v>3479</v>
      </c>
      <c r="N147" s="13">
        <v>1.0</v>
      </c>
      <c r="O147" s="13" t="s">
        <v>3162</v>
      </c>
      <c r="P147" s="13" t="s">
        <v>33</v>
      </c>
      <c r="Q147" s="13" t="s">
        <v>3210</v>
      </c>
      <c r="R147" s="13" t="s">
        <v>3163</v>
      </c>
      <c r="S147" s="13" t="s">
        <v>3329</v>
      </c>
      <c r="T147" s="13" t="s">
        <v>3195</v>
      </c>
      <c r="U147" s="13" t="s">
        <v>3195</v>
      </c>
      <c r="V147" s="13" t="s">
        <v>3195</v>
      </c>
      <c r="W147" s="13" t="s">
        <v>3167</v>
      </c>
      <c r="X147" s="13" t="s">
        <v>3167</v>
      </c>
    </row>
    <row r="148" ht="14.25" customHeight="1">
      <c r="A148" s="13">
        <v>23515.0</v>
      </c>
      <c r="B148" s="13" t="s">
        <v>1710</v>
      </c>
      <c r="C148" s="13">
        <v>2017.0</v>
      </c>
      <c r="D148" s="13" t="s">
        <v>3153</v>
      </c>
      <c r="E148" s="13" t="s">
        <v>3395</v>
      </c>
      <c r="F148" s="13" t="s">
        <v>3170</v>
      </c>
      <c r="G148" s="13" t="s">
        <v>3156</v>
      </c>
      <c r="H148" s="13" t="s">
        <v>3167</v>
      </c>
      <c r="I148" s="13" t="s">
        <v>3392</v>
      </c>
      <c r="J148" s="13" t="s">
        <v>3233</v>
      </c>
      <c r="K148" s="13" t="s">
        <v>3290</v>
      </c>
      <c r="L148" s="13" t="s">
        <v>3160</v>
      </c>
      <c r="M148" s="13" t="s">
        <v>3480</v>
      </c>
      <c r="N148" s="13">
        <v>1.0</v>
      </c>
      <c r="O148" s="13" t="s">
        <v>3162</v>
      </c>
      <c r="P148" s="13" t="s">
        <v>3167</v>
      </c>
      <c r="Q148" s="13" t="s">
        <v>3290</v>
      </c>
      <c r="R148" s="13" t="s">
        <v>3231</v>
      </c>
      <c r="S148" s="13" t="s">
        <v>33</v>
      </c>
      <c r="T148" s="13" t="s">
        <v>3197</v>
      </c>
      <c r="U148" s="13" t="s">
        <v>3197</v>
      </c>
      <c r="V148" s="13" t="s">
        <v>3242</v>
      </c>
      <c r="W148" s="13" t="s">
        <v>3481</v>
      </c>
      <c r="X148" s="13" t="s">
        <v>3167</v>
      </c>
    </row>
    <row r="149" ht="14.25" customHeight="1">
      <c r="A149" s="13">
        <v>23517.0</v>
      </c>
      <c r="B149" s="13" t="s">
        <v>2598</v>
      </c>
      <c r="C149" s="13">
        <v>2014.0</v>
      </c>
      <c r="D149" s="13" t="s">
        <v>3153</v>
      </c>
      <c r="E149" s="13" t="s">
        <v>3169</v>
      </c>
      <c r="F149" s="13" t="s">
        <v>3170</v>
      </c>
      <c r="G149" s="13" t="s">
        <v>3156</v>
      </c>
      <c r="H149" s="13" t="s">
        <v>33</v>
      </c>
      <c r="I149" s="13" t="s">
        <v>3188</v>
      </c>
      <c r="J149" s="13" t="s">
        <v>3432</v>
      </c>
      <c r="K149" s="13" t="s">
        <v>3173</v>
      </c>
      <c r="L149" s="13" t="s">
        <v>3177</v>
      </c>
      <c r="M149" s="13" t="s">
        <v>3161</v>
      </c>
      <c r="N149" s="13">
        <v>1.0</v>
      </c>
      <c r="O149" s="13" t="s">
        <v>3162</v>
      </c>
      <c r="P149" s="13" t="s">
        <v>33</v>
      </c>
      <c r="Q149" s="13" t="s">
        <v>3335</v>
      </c>
      <c r="R149" s="13" t="s">
        <v>3163</v>
      </c>
      <c r="S149" s="13" t="s">
        <v>3323</v>
      </c>
      <c r="T149" s="13" t="s">
        <v>3195</v>
      </c>
      <c r="U149" s="13" t="s">
        <v>3195</v>
      </c>
      <c r="V149" s="13" t="s">
        <v>3195</v>
      </c>
      <c r="W149" s="13" t="s">
        <v>3167</v>
      </c>
      <c r="X149" s="13" t="s">
        <v>3167</v>
      </c>
    </row>
    <row r="150" ht="14.25" customHeight="1">
      <c r="A150" s="13">
        <v>23518.0</v>
      </c>
      <c r="B150" s="13" t="s">
        <v>327</v>
      </c>
      <c r="C150" s="13">
        <v>2015.0</v>
      </c>
      <c r="D150" s="13" t="s">
        <v>3153</v>
      </c>
      <c r="E150" s="13" t="s">
        <v>3169</v>
      </c>
      <c r="F150" s="13" t="s">
        <v>3170</v>
      </c>
      <c r="G150" s="13" t="s">
        <v>3202</v>
      </c>
      <c r="H150" s="13">
        <v>50.0</v>
      </c>
      <c r="I150" s="13" t="s">
        <v>3222</v>
      </c>
      <c r="J150" s="13" t="s">
        <v>3182</v>
      </c>
      <c r="K150" s="13" t="s">
        <v>3159</v>
      </c>
      <c r="L150" s="13" t="s">
        <v>3177</v>
      </c>
      <c r="M150" s="13" t="s">
        <v>3482</v>
      </c>
      <c r="N150" s="13">
        <v>2.0</v>
      </c>
      <c r="O150" s="13" t="s">
        <v>3162</v>
      </c>
      <c r="P150" s="13" t="s">
        <v>3167</v>
      </c>
      <c r="Q150" s="13" t="s">
        <v>3159</v>
      </c>
      <c r="R150" s="13" t="s">
        <v>3231</v>
      </c>
      <c r="S150" s="13" t="s">
        <v>33</v>
      </c>
      <c r="T150" s="13" t="s">
        <v>3164</v>
      </c>
      <c r="U150" s="13" t="s">
        <v>3164</v>
      </c>
      <c r="V150" s="13" t="s">
        <v>3166</v>
      </c>
      <c r="W150" s="13" t="s">
        <v>3167</v>
      </c>
      <c r="X150" s="13" t="s">
        <v>3178</v>
      </c>
    </row>
    <row r="151" ht="14.25" customHeight="1">
      <c r="A151" s="13">
        <v>23523.0</v>
      </c>
      <c r="B151" s="13" t="s">
        <v>1812</v>
      </c>
      <c r="C151" s="13">
        <v>2017.0</v>
      </c>
      <c r="D151" s="13" t="s">
        <v>3153</v>
      </c>
      <c r="E151" s="13" t="s">
        <v>3169</v>
      </c>
      <c r="F151" s="13" t="s">
        <v>3192</v>
      </c>
      <c r="G151" s="13" t="s">
        <v>3156</v>
      </c>
      <c r="H151" s="13" t="s">
        <v>33</v>
      </c>
      <c r="I151" s="13" t="s">
        <v>3222</v>
      </c>
      <c r="J151" s="13" t="s">
        <v>3182</v>
      </c>
      <c r="K151" s="13" t="s">
        <v>3159</v>
      </c>
      <c r="L151" s="13" t="s">
        <v>3177</v>
      </c>
      <c r="M151" s="13" t="s">
        <v>3161</v>
      </c>
      <c r="N151" s="13">
        <v>1.0</v>
      </c>
      <c r="O151" s="13" t="s">
        <v>3162</v>
      </c>
      <c r="P151" s="13" t="s">
        <v>33</v>
      </c>
      <c r="Q151" s="13" t="s">
        <v>3159</v>
      </c>
      <c r="R151" s="13" t="s">
        <v>3177</v>
      </c>
      <c r="S151" s="13" t="s">
        <v>33</v>
      </c>
      <c r="T151" s="13" t="s">
        <v>3165</v>
      </c>
      <c r="U151" s="13" t="s">
        <v>3165</v>
      </c>
      <c r="V151" s="13" t="s">
        <v>3166</v>
      </c>
      <c r="W151" s="13" t="s">
        <v>3167</v>
      </c>
      <c r="X151" s="13" t="s">
        <v>3178</v>
      </c>
    </row>
    <row r="152" ht="14.25" customHeight="1">
      <c r="A152" s="13">
        <v>23527.0</v>
      </c>
      <c r="B152" s="13" t="s">
        <v>1792</v>
      </c>
      <c r="C152" s="13">
        <v>2013.0</v>
      </c>
      <c r="D152" s="13" t="s">
        <v>3153</v>
      </c>
      <c r="E152" s="13" t="s">
        <v>3169</v>
      </c>
      <c r="F152" s="13" t="s">
        <v>3170</v>
      </c>
      <c r="G152" s="13" t="s">
        <v>33</v>
      </c>
      <c r="H152" s="13" t="s">
        <v>33</v>
      </c>
      <c r="I152" s="13" t="s">
        <v>3188</v>
      </c>
      <c r="J152" s="13" t="s">
        <v>3483</v>
      </c>
      <c r="K152" s="13" t="s">
        <v>3208</v>
      </c>
      <c r="L152" s="13" t="s">
        <v>3160</v>
      </c>
      <c r="M152" s="13" t="s">
        <v>3484</v>
      </c>
      <c r="N152" s="13">
        <v>1.0</v>
      </c>
      <c r="O152" s="13" t="s">
        <v>3267</v>
      </c>
      <c r="P152" s="13" t="s">
        <v>33</v>
      </c>
      <c r="Q152" s="13" t="s">
        <v>3210</v>
      </c>
      <c r="R152" s="13" t="s">
        <v>3163</v>
      </c>
      <c r="S152" s="13" t="s">
        <v>33</v>
      </c>
      <c r="T152" s="13" t="s">
        <v>3195</v>
      </c>
      <c r="U152" s="13" t="s">
        <v>3195</v>
      </c>
      <c r="V152" s="13" t="s">
        <v>3195</v>
      </c>
      <c r="W152" s="13" t="s">
        <v>3167</v>
      </c>
      <c r="X152" s="13" t="s">
        <v>3167</v>
      </c>
    </row>
    <row r="153" ht="14.25" customHeight="1">
      <c r="A153" s="13">
        <v>23528.0</v>
      </c>
      <c r="B153" s="13" t="s">
        <v>2362</v>
      </c>
      <c r="C153" s="13">
        <v>2003.0</v>
      </c>
      <c r="D153" s="13" t="s">
        <v>3153</v>
      </c>
      <c r="E153" s="13" t="s">
        <v>3179</v>
      </c>
      <c r="F153" s="13" t="s">
        <v>3170</v>
      </c>
      <c r="G153" s="13" t="s">
        <v>3156</v>
      </c>
      <c r="H153" s="13" t="s">
        <v>3167</v>
      </c>
      <c r="I153" s="13" t="s">
        <v>3249</v>
      </c>
      <c r="J153" s="13" t="s">
        <v>3348</v>
      </c>
      <c r="K153" s="13" t="s">
        <v>3159</v>
      </c>
      <c r="L153" s="13" t="s">
        <v>3160</v>
      </c>
      <c r="M153" s="13" t="s">
        <v>3485</v>
      </c>
      <c r="N153" s="13">
        <v>2.0</v>
      </c>
      <c r="O153" s="13" t="s">
        <v>3175</v>
      </c>
      <c r="P153" s="13" t="s">
        <v>3167</v>
      </c>
      <c r="Q153" s="13" t="s">
        <v>3214</v>
      </c>
      <c r="R153" s="13" t="s">
        <v>3231</v>
      </c>
      <c r="S153" s="13" t="s">
        <v>33</v>
      </c>
      <c r="T153" s="13" t="s">
        <v>3164</v>
      </c>
      <c r="U153" s="13" t="s">
        <v>3215</v>
      </c>
      <c r="V153" s="13" t="s">
        <v>3166</v>
      </c>
      <c r="W153" s="13" t="s">
        <v>3167</v>
      </c>
      <c r="X153" s="13" t="s">
        <v>3168</v>
      </c>
    </row>
    <row r="154" ht="14.25" customHeight="1">
      <c r="A154" s="13">
        <v>23530.0</v>
      </c>
      <c r="B154" s="13" t="s">
        <v>1011</v>
      </c>
      <c r="C154" s="13">
        <v>2013.0</v>
      </c>
      <c r="D154" s="13" t="s">
        <v>3153</v>
      </c>
      <c r="E154" s="13" t="s">
        <v>3169</v>
      </c>
      <c r="F154" s="13" t="s">
        <v>3170</v>
      </c>
      <c r="G154" s="13" t="s">
        <v>3156</v>
      </c>
      <c r="H154" s="13" t="s">
        <v>33</v>
      </c>
      <c r="I154" s="13" t="s">
        <v>3157</v>
      </c>
      <c r="J154" s="13" t="s">
        <v>3307</v>
      </c>
      <c r="K154" s="13" t="s">
        <v>3159</v>
      </c>
      <c r="L154" s="13" t="s">
        <v>3160</v>
      </c>
      <c r="M154" s="13" t="s">
        <v>3486</v>
      </c>
      <c r="N154" s="13">
        <v>2.0</v>
      </c>
      <c r="O154" s="13" t="s">
        <v>3162</v>
      </c>
      <c r="P154" s="13" t="s">
        <v>33</v>
      </c>
      <c r="Q154" s="13" t="s">
        <v>3159</v>
      </c>
      <c r="R154" s="13" t="s">
        <v>3163</v>
      </c>
      <c r="S154" s="13" t="s">
        <v>33</v>
      </c>
      <c r="T154" s="13" t="s">
        <v>3164</v>
      </c>
      <c r="U154" s="13" t="s">
        <v>3164</v>
      </c>
      <c r="V154" s="13" t="s">
        <v>3166</v>
      </c>
      <c r="W154" s="13" t="s">
        <v>3167</v>
      </c>
      <c r="X154" s="13" t="s">
        <v>3178</v>
      </c>
    </row>
    <row r="155" ht="14.25" customHeight="1">
      <c r="A155" s="13">
        <v>23531.0</v>
      </c>
      <c r="B155" s="13" t="s">
        <v>699</v>
      </c>
      <c r="C155" s="13">
        <v>2019.0</v>
      </c>
      <c r="D155" s="13" t="s">
        <v>3153</v>
      </c>
      <c r="E155" s="13" t="s">
        <v>3169</v>
      </c>
      <c r="F155" s="13" t="s">
        <v>3211</v>
      </c>
      <c r="G155" s="13" t="s">
        <v>33</v>
      </c>
      <c r="H155" s="13" t="s">
        <v>33</v>
      </c>
      <c r="I155" s="13" t="s">
        <v>3188</v>
      </c>
      <c r="J155" s="13" t="s">
        <v>3487</v>
      </c>
      <c r="K155" s="13" t="s">
        <v>3381</v>
      </c>
      <c r="L155" s="13" t="s">
        <v>3177</v>
      </c>
      <c r="M155" s="13" t="s">
        <v>3241</v>
      </c>
      <c r="N155" s="13">
        <v>1.0</v>
      </c>
      <c r="O155" s="13" t="s">
        <v>3162</v>
      </c>
      <c r="P155" s="13" t="s">
        <v>3488</v>
      </c>
      <c r="Q155" s="13" t="s">
        <v>3282</v>
      </c>
      <c r="R155" s="13" t="s">
        <v>3163</v>
      </c>
      <c r="S155" s="13" t="s">
        <v>855</v>
      </c>
      <c r="T155" s="13" t="s">
        <v>3247</v>
      </c>
      <c r="U155" s="13" t="s">
        <v>3247</v>
      </c>
      <c r="V155" s="13" t="s">
        <v>3242</v>
      </c>
      <c r="W155" s="13" t="s">
        <v>3248</v>
      </c>
      <c r="X155" s="13" t="s">
        <v>3167</v>
      </c>
    </row>
    <row r="156" ht="14.25" customHeight="1">
      <c r="A156" s="13">
        <v>23534.0</v>
      </c>
      <c r="B156" s="13" t="s">
        <v>1526</v>
      </c>
      <c r="C156" s="13">
        <v>2020.0</v>
      </c>
      <c r="D156" s="13" t="s">
        <v>3153</v>
      </c>
      <c r="E156" s="13" t="s">
        <v>3169</v>
      </c>
      <c r="F156" s="13" t="s">
        <v>3170</v>
      </c>
      <c r="G156" s="13" t="s">
        <v>3202</v>
      </c>
      <c r="H156" s="13">
        <v>0.3</v>
      </c>
      <c r="I156" s="13" t="s">
        <v>3222</v>
      </c>
      <c r="J156" s="13" t="s">
        <v>3229</v>
      </c>
      <c r="K156" s="13" t="s">
        <v>3290</v>
      </c>
      <c r="L156" s="13" t="s">
        <v>3177</v>
      </c>
      <c r="M156" s="13" t="s">
        <v>3230</v>
      </c>
      <c r="N156" s="13">
        <v>1.0</v>
      </c>
      <c r="O156" s="13" t="s">
        <v>3162</v>
      </c>
      <c r="P156" s="13" t="s">
        <v>3167</v>
      </c>
      <c r="Q156" s="13" t="s">
        <v>3173</v>
      </c>
      <c r="R156" s="13" t="s">
        <v>3231</v>
      </c>
      <c r="S156" s="13" t="s">
        <v>33</v>
      </c>
      <c r="T156" s="13" t="s">
        <v>3164</v>
      </c>
      <c r="U156" s="13" t="s">
        <v>3164</v>
      </c>
      <c r="V156" s="13" t="s">
        <v>3166</v>
      </c>
      <c r="W156" s="13" t="s">
        <v>3167</v>
      </c>
      <c r="X156" s="13" t="s">
        <v>3216</v>
      </c>
    </row>
    <row r="157" ht="14.25" customHeight="1">
      <c r="A157" s="13">
        <v>23537.0</v>
      </c>
      <c r="B157" s="13" t="s">
        <v>443</v>
      </c>
      <c r="C157" s="13">
        <v>2016.0</v>
      </c>
      <c r="D157" s="13" t="s">
        <v>3153</v>
      </c>
      <c r="E157" s="13" t="s">
        <v>3154</v>
      </c>
      <c r="F157" s="13" t="s">
        <v>3170</v>
      </c>
      <c r="G157" s="13" t="s">
        <v>3156</v>
      </c>
      <c r="H157" s="13" t="s">
        <v>33</v>
      </c>
      <c r="I157" s="13" t="s">
        <v>3188</v>
      </c>
      <c r="J157" s="13" t="s">
        <v>3207</v>
      </c>
      <c r="K157" s="13" t="s">
        <v>3159</v>
      </c>
      <c r="L157" s="13" t="s">
        <v>3177</v>
      </c>
      <c r="M157" s="13" t="s">
        <v>3489</v>
      </c>
      <c r="N157" s="13">
        <v>2.0</v>
      </c>
      <c r="O157" s="13" t="s">
        <v>3162</v>
      </c>
      <c r="P157" s="13" t="s">
        <v>33</v>
      </c>
      <c r="Q157" s="13" t="s">
        <v>3335</v>
      </c>
      <c r="R157" s="13" t="s">
        <v>3163</v>
      </c>
      <c r="S157" s="13" t="s">
        <v>33</v>
      </c>
      <c r="T157" s="13" t="s">
        <v>3195</v>
      </c>
      <c r="U157" s="13" t="s">
        <v>3195</v>
      </c>
      <c r="V157" s="13" t="s">
        <v>3195</v>
      </c>
      <c r="W157" s="13" t="s">
        <v>3167</v>
      </c>
      <c r="X157" s="13" t="s">
        <v>3167</v>
      </c>
    </row>
    <row r="158" ht="14.25" customHeight="1">
      <c r="A158" s="13">
        <v>23543.0</v>
      </c>
      <c r="B158" s="13" t="s">
        <v>738</v>
      </c>
      <c r="C158" s="13">
        <v>2003.0</v>
      </c>
      <c r="D158" s="13" t="s">
        <v>3153</v>
      </c>
      <c r="E158" s="13" t="s">
        <v>3154</v>
      </c>
      <c r="F158" s="13" t="s">
        <v>3155</v>
      </c>
      <c r="G158" s="13" t="s">
        <v>3156</v>
      </c>
      <c r="H158" s="13" t="s">
        <v>33</v>
      </c>
      <c r="I158" s="13" t="s">
        <v>3222</v>
      </c>
      <c r="J158" s="13" t="s">
        <v>3229</v>
      </c>
      <c r="K158" s="13" t="s">
        <v>3183</v>
      </c>
      <c r="L158" s="13" t="s">
        <v>3177</v>
      </c>
      <c r="M158" s="13" t="s">
        <v>3490</v>
      </c>
      <c r="N158" s="13">
        <v>6.0</v>
      </c>
      <c r="O158" s="13" t="s">
        <v>3175</v>
      </c>
      <c r="P158" s="13" t="s">
        <v>3491</v>
      </c>
      <c r="Q158" s="13" t="s">
        <v>3183</v>
      </c>
      <c r="R158" s="13" t="s">
        <v>3177</v>
      </c>
      <c r="S158" s="13" t="s">
        <v>3492</v>
      </c>
      <c r="T158" s="13" t="s">
        <v>3197</v>
      </c>
      <c r="U158" s="13" t="s">
        <v>3197</v>
      </c>
      <c r="V158" s="13" t="s">
        <v>3166</v>
      </c>
      <c r="W158" s="13" t="s">
        <v>3167</v>
      </c>
      <c r="X158" s="13" t="s">
        <v>3255</v>
      </c>
    </row>
    <row r="159" ht="14.25" customHeight="1">
      <c r="A159" s="13">
        <v>23547.0</v>
      </c>
      <c r="B159" s="13" t="s">
        <v>2519</v>
      </c>
      <c r="C159" s="13">
        <v>2020.0</v>
      </c>
      <c r="D159" s="13" t="s">
        <v>3153</v>
      </c>
      <c r="E159" s="13" t="s">
        <v>3169</v>
      </c>
      <c r="F159" s="13" t="s">
        <v>3155</v>
      </c>
      <c r="G159" s="13" t="s">
        <v>3187</v>
      </c>
      <c r="H159" s="13">
        <v>1.0</v>
      </c>
      <c r="I159" s="13" t="s">
        <v>3188</v>
      </c>
      <c r="J159" s="13" t="s">
        <v>3493</v>
      </c>
      <c r="K159" s="13" t="s">
        <v>3183</v>
      </c>
      <c r="L159" s="13" t="s">
        <v>3177</v>
      </c>
      <c r="M159" s="13" t="s">
        <v>3494</v>
      </c>
      <c r="N159" s="13">
        <v>1.0</v>
      </c>
      <c r="O159" s="13" t="s">
        <v>3162</v>
      </c>
      <c r="P159" s="13" t="s">
        <v>3495</v>
      </c>
      <c r="Q159" s="13" t="s">
        <v>3346</v>
      </c>
      <c r="R159" s="13" t="s">
        <v>3163</v>
      </c>
      <c r="S159" s="13" t="s">
        <v>33</v>
      </c>
      <c r="T159" s="13" t="s">
        <v>3164</v>
      </c>
      <c r="U159" s="13" t="s">
        <v>3165</v>
      </c>
      <c r="V159" s="13" t="s">
        <v>3166</v>
      </c>
      <c r="W159" s="13" t="s">
        <v>3167</v>
      </c>
      <c r="X159" s="13" t="s">
        <v>3178</v>
      </c>
    </row>
    <row r="160" ht="14.25" customHeight="1">
      <c r="A160" s="13">
        <v>23552.0</v>
      </c>
      <c r="B160" s="13" t="s">
        <v>1116</v>
      </c>
      <c r="C160" s="13">
        <v>2009.0</v>
      </c>
      <c r="D160" s="13" t="s">
        <v>3153</v>
      </c>
      <c r="E160" s="13" t="s">
        <v>3169</v>
      </c>
      <c r="F160" s="13" t="s">
        <v>3284</v>
      </c>
      <c r="G160" s="13" t="s">
        <v>3202</v>
      </c>
      <c r="H160" s="13">
        <v>250.0</v>
      </c>
      <c r="I160" s="13" t="s">
        <v>3157</v>
      </c>
      <c r="J160" s="13" t="s">
        <v>3167</v>
      </c>
      <c r="K160" s="13" t="s">
        <v>3173</v>
      </c>
      <c r="L160" s="13" t="s">
        <v>3177</v>
      </c>
      <c r="M160" s="13" t="s">
        <v>3161</v>
      </c>
      <c r="N160" s="13">
        <v>1.0</v>
      </c>
      <c r="O160" s="13" t="s">
        <v>3162</v>
      </c>
      <c r="P160" s="13" t="s">
        <v>33</v>
      </c>
      <c r="Q160" s="13" t="s">
        <v>3173</v>
      </c>
      <c r="R160" s="13" t="s">
        <v>3177</v>
      </c>
      <c r="S160" s="13" t="s">
        <v>33</v>
      </c>
      <c r="T160" s="13" t="s">
        <v>3247</v>
      </c>
      <c r="U160" s="13" t="s">
        <v>3247</v>
      </c>
      <c r="V160" s="13" t="s">
        <v>3242</v>
      </c>
      <c r="W160" s="13" t="s">
        <v>3496</v>
      </c>
      <c r="X160" s="13" t="s">
        <v>3167</v>
      </c>
    </row>
    <row r="161" ht="14.25" customHeight="1">
      <c r="A161" s="13" t="s">
        <v>1381</v>
      </c>
      <c r="B161" s="13" t="s">
        <v>1382</v>
      </c>
      <c r="C161" s="13">
        <v>2018.0</v>
      </c>
      <c r="D161" s="13" t="s">
        <v>3153</v>
      </c>
      <c r="E161" s="13" t="s">
        <v>3179</v>
      </c>
      <c r="F161" s="13" t="s">
        <v>3217</v>
      </c>
      <c r="G161" s="13" t="s">
        <v>3156</v>
      </c>
      <c r="H161" s="13" t="s">
        <v>33</v>
      </c>
      <c r="I161" s="13" t="s">
        <v>3167</v>
      </c>
      <c r="J161" s="13" t="s">
        <v>3167</v>
      </c>
      <c r="K161" s="13" t="s">
        <v>3186</v>
      </c>
      <c r="L161" s="13" t="s">
        <v>3177</v>
      </c>
      <c r="M161" s="13" t="s">
        <v>3342</v>
      </c>
      <c r="N161" s="13">
        <v>1.0</v>
      </c>
      <c r="O161" s="13" t="s">
        <v>3162</v>
      </c>
      <c r="P161" s="13" t="s">
        <v>33</v>
      </c>
      <c r="Q161" s="13" t="s">
        <v>3159</v>
      </c>
      <c r="R161" s="13" t="s">
        <v>3177</v>
      </c>
      <c r="S161" s="13" t="s">
        <v>33</v>
      </c>
      <c r="T161" s="13" t="s">
        <v>3197</v>
      </c>
      <c r="U161" s="13" t="s">
        <v>3197</v>
      </c>
      <c r="V161" s="13" t="s">
        <v>3166</v>
      </c>
      <c r="W161" s="13" t="s">
        <v>3167</v>
      </c>
      <c r="X161" s="13" t="s">
        <v>3255</v>
      </c>
    </row>
    <row r="162" ht="14.25" customHeight="1">
      <c r="A162" s="13">
        <v>23559.0</v>
      </c>
      <c r="B162" s="13" t="s">
        <v>2451</v>
      </c>
      <c r="C162" s="13">
        <v>2019.0</v>
      </c>
      <c r="D162" s="13" t="s">
        <v>3153</v>
      </c>
      <c r="E162" s="13" t="s">
        <v>3169</v>
      </c>
      <c r="F162" s="13" t="s">
        <v>3170</v>
      </c>
      <c r="G162" s="13" t="s">
        <v>3202</v>
      </c>
      <c r="H162" s="13">
        <v>250.0</v>
      </c>
      <c r="I162" s="13" t="s">
        <v>3222</v>
      </c>
      <c r="J162" s="13" t="s">
        <v>3182</v>
      </c>
      <c r="K162" s="13" t="s">
        <v>3208</v>
      </c>
      <c r="L162" s="13" t="s">
        <v>3160</v>
      </c>
      <c r="M162" s="13" t="s">
        <v>3497</v>
      </c>
      <c r="N162" s="13">
        <v>1.0</v>
      </c>
      <c r="O162" s="13" t="s">
        <v>3162</v>
      </c>
      <c r="P162" s="13" t="s">
        <v>33</v>
      </c>
      <c r="Q162" s="13" t="s">
        <v>3159</v>
      </c>
      <c r="R162" s="13" t="s">
        <v>3177</v>
      </c>
      <c r="S162" s="13" t="s">
        <v>33</v>
      </c>
      <c r="T162" s="13" t="s">
        <v>3164</v>
      </c>
      <c r="U162" s="13" t="s">
        <v>3164</v>
      </c>
      <c r="V162" s="13" t="s">
        <v>3166</v>
      </c>
      <c r="W162" s="13" t="s">
        <v>3167</v>
      </c>
      <c r="X162" s="13" t="s">
        <v>3178</v>
      </c>
    </row>
    <row r="163" ht="14.25" customHeight="1">
      <c r="A163" s="13">
        <v>23560.0</v>
      </c>
      <c r="B163" s="13" t="s">
        <v>300</v>
      </c>
      <c r="C163" s="13">
        <v>2010.0</v>
      </c>
      <c r="D163" s="13" t="s">
        <v>3153</v>
      </c>
      <c r="E163" s="13" t="s">
        <v>3179</v>
      </c>
      <c r="F163" s="13" t="s">
        <v>3217</v>
      </c>
      <c r="G163" s="13" t="s">
        <v>3180</v>
      </c>
      <c r="H163" s="13">
        <v>1.0</v>
      </c>
      <c r="I163" s="13" t="s">
        <v>3167</v>
      </c>
      <c r="J163" s="13" t="s">
        <v>3167</v>
      </c>
      <c r="K163" s="13" t="s">
        <v>3173</v>
      </c>
      <c r="L163" s="13" t="s">
        <v>3177</v>
      </c>
      <c r="M163" s="13" t="s">
        <v>3342</v>
      </c>
      <c r="N163" s="13">
        <v>1.0</v>
      </c>
      <c r="O163" s="13" t="s">
        <v>3162</v>
      </c>
      <c r="P163" s="13" t="s">
        <v>33</v>
      </c>
      <c r="Q163" s="13" t="s">
        <v>3173</v>
      </c>
      <c r="R163" s="13" t="s">
        <v>3177</v>
      </c>
      <c r="S163" s="13" t="s">
        <v>33</v>
      </c>
      <c r="T163" s="13" t="s">
        <v>3232</v>
      </c>
      <c r="U163" s="13" t="s">
        <v>3232</v>
      </c>
      <c r="V163" s="13" t="s">
        <v>3166</v>
      </c>
      <c r="W163" s="13" t="s">
        <v>3167</v>
      </c>
      <c r="X163" s="13" t="s">
        <v>3168</v>
      </c>
    </row>
    <row r="164" ht="14.25" customHeight="1">
      <c r="A164" s="13">
        <v>23565.0</v>
      </c>
      <c r="B164" s="13" t="s">
        <v>489</v>
      </c>
      <c r="C164" s="13">
        <v>2015.0</v>
      </c>
      <c r="D164" s="13" t="s">
        <v>3153</v>
      </c>
      <c r="E164" s="13" t="s">
        <v>3179</v>
      </c>
      <c r="F164" s="13" t="s">
        <v>3192</v>
      </c>
      <c r="G164" s="13" t="s">
        <v>33</v>
      </c>
      <c r="H164" s="13" t="s">
        <v>33</v>
      </c>
      <c r="I164" s="13" t="s">
        <v>3181</v>
      </c>
      <c r="J164" s="13" t="s">
        <v>3229</v>
      </c>
      <c r="K164" s="13" t="s">
        <v>3333</v>
      </c>
      <c r="L164" s="13" t="s">
        <v>3177</v>
      </c>
      <c r="M164" s="13" t="s">
        <v>3498</v>
      </c>
      <c r="N164" s="13">
        <v>10.0</v>
      </c>
      <c r="O164" s="13" t="s">
        <v>3175</v>
      </c>
      <c r="P164" s="13" t="s">
        <v>33</v>
      </c>
      <c r="Q164" s="13" t="s">
        <v>3499</v>
      </c>
      <c r="R164" s="13" t="s">
        <v>3163</v>
      </c>
      <c r="S164" s="13" t="s">
        <v>33</v>
      </c>
      <c r="T164" s="13" t="s">
        <v>3195</v>
      </c>
      <c r="U164" s="13" t="s">
        <v>3195</v>
      </c>
      <c r="V164" s="13" t="s">
        <v>3195</v>
      </c>
      <c r="W164" s="13" t="s">
        <v>3167</v>
      </c>
      <c r="X164" s="13" t="s">
        <v>3167</v>
      </c>
    </row>
    <row r="165" ht="14.25" customHeight="1">
      <c r="A165" s="13">
        <v>23566.0</v>
      </c>
      <c r="B165" s="13" t="s">
        <v>489</v>
      </c>
      <c r="C165" s="13">
        <v>2018.0</v>
      </c>
      <c r="D165" s="13" t="s">
        <v>3153</v>
      </c>
      <c r="E165" s="13" t="s">
        <v>3179</v>
      </c>
      <c r="F165" s="13" t="s">
        <v>3155</v>
      </c>
      <c r="G165" s="13" t="s">
        <v>3156</v>
      </c>
      <c r="H165" s="13" t="s">
        <v>3167</v>
      </c>
      <c r="I165" s="13" t="s">
        <v>3181</v>
      </c>
      <c r="J165" s="13" t="s">
        <v>3362</v>
      </c>
      <c r="K165" s="13" t="s">
        <v>3201</v>
      </c>
      <c r="L165" s="13" t="s">
        <v>3177</v>
      </c>
      <c r="M165" s="13" t="s">
        <v>3342</v>
      </c>
      <c r="N165" s="13">
        <v>1.0</v>
      </c>
      <c r="O165" s="13" t="s">
        <v>3162</v>
      </c>
      <c r="P165" s="13" t="s">
        <v>3167</v>
      </c>
      <c r="Q165" s="13" t="s">
        <v>3214</v>
      </c>
      <c r="R165" s="13" t="s">
        <v>3260</v>
      </c>
      <c r="S165" s="13" t="s">
        <v>33</v>
      </c>
      <c r="T165" s="13" t="s">
        <v>3232</v>
      </c>
      <c r="U165" s="13" t="s">
        <v>3232</v>
      </c>
      <c r="V165" s="13" t="s">
        <v>3166</v>
      </c>
      <c r="W165" s="13" t="s">
        <v>3167</v>
      </c>
      <c r="X165" s="13" t="s">
        <v>3225</v>
      </c>
    </row>
    <row r="166" ht="14.25" customHeight="1">
      <c r="A166" s="13">
        <v>23571.0</v>
      </c>
      <c r="B166" s="13" t="s">
        <v>1432</v>
      </c>
      <c r="C166" s="13">
        <v>2006.0</v>
      </c>
      <c r="D166" s="13" t="s">
        <v>3153</v>
      </c>
      <c r="E166" s="13" t="s">
        <v>3154</v>
      </c>
      <c r="F166" s="13" t="s">
        <v>3211</v>
      </c>
      <c r="G166" s="13" t="s">
        <v>3156</v>
      </c>
      <c r="H166" s="13" t="s">
        <v>33</v>
      </c>
      <c r="I166" s="13" t="s">
        <v>3157</v>
      </c>
      <c r="J166" s="13" t="s">
        <v>3500</v>
      </c>
      <c r="K166" s="13" t="s">
        <v>3173</v>
      </c>
      <c r="L166" s="13" t="s">
        <v>3177</v>
      </c>
      <c r="M166" s="13" t="s">
        <v>3161</v>
      </c>
      <c r="N166" s="13">
        <v>1.0</v>
      </c>
      <c r="O166" s="13" t="s">
        <v>3162</v>
      </c>
      <c r="P166" s="13" t="s">
        <v>33</v>
      </c>
      <c r="Q166" s="13" t="s">
        <v>3173</v>
      </c>
      <c r="R166" s="13" t="s">
        <v>3177</v>
      </c>
      <c r="S166" s="13" t="s">
        <v>33</v>
      </c>
      <c r="T166" s="13" t="s">
        <v>3197</v>
      </c>
      <c r="U166" s="13" t="s">
        <v>3197</v>
      </c>
      <c r="V166" s="13" t="s">
        <v>3166</v>
      </c>
      <c r="W166" s="13" t="s">
        <v>3167</v>
      </c>
      <c r="X166" s="13" t="s">
        <v>3255</v>
      </c>
    </row>
    <row r="167" ht="14.25" customHeight="1">
      <c r="A167" s="13">
        <v>23572.0</v>
      </c>
      <c r="B167" s="13" t="s">
        <v>1298</v>
      </c>
      <c r="C167" s="13">
        <v>2010.0</v>
      </c>
      <c r="D167" s="13" t="s">
        <v>3153</v>
      </c>
      <c r="E167" s="13" t="s">
        <v>3154</v>
      </c>
      <c r="F167" s="13" t="s">
        <v>3211</v>
      </c>
      <c r="G167" s="13" t="s">
        <v>3187</v>
      </c>
      <c r="H167" s="13">
        <v>100.0</v>
      </c>
      <c r="I167" s="13" t="s">
        <v>3157</v>
      </c>
      <c r="J167" s="13" t="s">
        <v>3501</v>
      </c>
      <c r="K167" s="13" t="s">
        <v>3183</v>
      </c>
      <c r="L167" s="13" t="s">
        <v>3160</v>
      </c>
      <c r="M167" s="13" t="s">
        <v>3502</v>
      </c>
      <c r="N167" s="13">
        <v>6.0</v>
      </c>
      <c r="O167" s="13" t="s">
        <v>3175</v>
      </c>
      <c r="P167" s="13" t="s">
        <v>3397</v>
      </c>
      <c r="Q167" s="13" t="s">
        <v>3183</v>
      </c>
      <c r="R167" s="13" t="s">
        <v>3177</v>
      </c>
      <c r="S167" s="13" t="s">
        <v>3397</v>
      </c>
      <c r="T167" s="13" t="s">
        <v>3197</v>
      </c>
      <c r="U167" s="13" t="s">
        <v>3197</v>
      </c>
      <c r="V167" s="13" t="s">
        <v>3166</v>
      </c>
      <c r="W167" s="13" t="s">
        <v>3167</v>
      </c>
      <c r="X167" s="13" t="s">
        <v>3255</v>
      </c>
    </row>
    <row r="168" ht="14.25" customHeight="1">
      <c r="A168" s="13">
        <v>23573.0</v>
      </c>
      <c r="B168" s="13" t="s">
        <v>54</v>
      </c>
      <c r="C168" s="13">
        <v>2019.0</v>
      </c>
      <c r="D168" s="13" t="s">
        <v>3153</v>
      </c>
      <c r="E168" s="13" t="s">
        <v>3179</v>
      </c>
      <c r="F168" s="13" t="s">
        <v>3217</v>
      </c>
      <c r="G168" s="13" t="s">
        <v>3180</v>
      </c>
      <c r="H168" s="13">
        <v>5.0</v>
      </c>
      <c r="I168" s="13" t="s">
        <v>3167</v>
      </c>
      <c r="J168" s="13" t="s">
        <v>3167</v>
      </c>
      <c r="K168" s="13" t="s">
        <v>3183</v>
      </c>
      <c r="L168" s="13" t="s">
        <v>3177</v>
      </c>
      <c r="M168" s="13" t="s">
        <v>3342</v>
      </c>
      <c r="N168" s="13">
        <v>1.0</v>
      </c>
      <c r="O168" s="13" t="s">
        <v>3162</v>
      </c>
      <c r="P168" s="13" t="s">
        <v>3503</v>
      </c>
      <c r="Q168" s="13" t="s">
        <v>3265</v>
      </c>
      <c r="R168" s="13" t="s">
        <v>3177</v>
      </c>
      <c r="S168" s="13" t="s">
        <v>33</v>
      </c>
      <c r="T168" s="13" t="s">
        <v>3164</v>
      </c>
      <c r="U168" s="13" t="s">
        <v>3165</v>
      </c>
      <c r="V168" s="13" t="s">
        <v>3166</v>
      </c>
      <c r="W168" s="13" t="s">
        <v>3167</v>
      </c>
      <c r="X168" s="13" t="s">
        <v>3224</v>
      </c>
    </row>
    <row r="169" ht="14.25" customHeight="1">
      <c r="A169" s="13">
        <v>23576.0</v>
      </c>
      <c r="B169" s="13" t="s">
        <v>3076</v>
      </c>
      <c r="C169" s="13">
        <v>2014.0</v>
      </c>
      <c r="D169" s="13" t="s">
        <v>3153</v>
      </c>
      <c r="E169" s="13" t="s">
        <v>3169</v>
      </c>
      <c r="F169" s="13" t="s">
        <v>3170</v>
      </c>
      <c r="G169" s="13" t="s">
        <v>3187</v>
      </c>
      <c r="H169" s="13">
        <v>1.0</v>
      </c>
      <c r="I169" s="13" t="s">
        <v>3188</v>
      </c>
      <c r="J169" s="13" t="s">
        <v>3233</v>
      </c>
      <c r="K169" s="13" t="s">
        <v>3190</v>
      </c>
      <c r="L169" s="13" t="s">
        <v>3160</v>
      </c>
      <c r="M169" s="13" t="s">
        <v>3504</v>
      </c>
      <c r="N169" s="13">
        <v>1.0</v>
      </c>
      <c r="O169" s="13" t="s">
        <v>3162</v>
      </c>
      <c r="P169" s="13" t="s">
        <v>33</v>
      </c>
      <c r="Q169" s="13" t="s">
        <v>3190</v>
      </c>
      <c r="R169" s="13" t="s">
        <v>3163</v>
      </c>
      <c r="S169" s="13" t="s">
        <v>33</v>
      </c>
      <c r="T169" s="13" t="s">
        <v>3232</v>
      </c>
      <c r="U169" s="13" t="s">
        <v>3232</v>
      </c>
      <c r="V169" s="13" t="s">
        <v>3166</v>
      </c>
      <c r="W169" s="13" t="s">
        <v>3167</v>
      </c>
      <c r="X169" s="13" t="s">
        <v>3178</v>
      </c>
    </row>
    <row r="170" ht="14.25" customHeight="1">
      <c r="A170" s="13">
        <v>23581.0</v>
      </c>
      <c r="B170" s="13" t="s">
        <v>2069</v>
      </c>
      <c r="C170" s="13">
        <v>2019.0</v>
      </c>
      <c r="D170" s="13" t="s">
        <v>3153</v>
      </c>
      <c r="E170" s="13" t="s">
        <v>3169</v>
      </c>
      <c r="F170" s="13" t="s">
        <v>3211</v>
      </c>
      <c r="G170" s="13" t="s">
        <v>33</v>
      </c>
      <c r="H170" s="13" t="s">
        <v>33</v>
      </c>
      <c r="I170" s="13" t="s">
        <v>3244</v>
      </c>
      <c r="J170" s="13" t="s">
        <v>3505</v>
      </c>
      <c r="K170" s="13" t="s">
        <v>3183</v>
      </c>
      <c r="L170" s="13" t="s">
        <v>3160</v>
      </c>
      <c r="M170" s="13" t="s">
        <v>3317</v>
      </c>
      <c r="N170" s="13">
        <v>1.0</v>
      </c>
      <c r="O170" s="13" t="s">
        <v>3162</v>
      </c>
      <c r="P170" s="13" t="s">
        <v>3506</v>
      </c>
      <c r="Q170" s="13" t="s">
        <v>3210</v>
      </c>
      <c r="R170" s="13" t="s">
        <v>3163</v>
      </c>
      <c r="S170" s="13" t="s">
        <v>3507</v>
      </c>
      <c r="T170" s="13" t="s">
        <v>3195</v>
      </c>
      <c r="U170" s="13" t="s">
        <v>3195</v>
      </c>
      <c r="V170" s="13" t="s">
        <v>3195</v>
      </c>
      <c r="W170" s="13" t="s">
        <v>3167</v>
      </c>
      <c r="X170" s="13" t="s">
        <v>3167</v>
      </c>
    </row>
    <row r="171" ht="14.25" customHeight="1">
      <c r="A171" s="13">
        <v>23582.0</v>
      </c>
      <c r="B171" s="13" t="s">
        <v>25</v>
      </c>
      <c r="C171" s="13">
        <v>2012.0</v>
      </c>
      <c r="D171" s="13" t="s">
        <v>3153</v>
      </c>
      <c r="E171" s="13" t="s">
        <v>3179</v>
      </c>
      <c r="F171" s="13" t="s">
        <v>3211</v>
      </c>
      <c r="G171" s="13" t="s">
        <v>3180</v>
      </c>
      <c r="H171" s="13">
        <v>0.1</v>
      </c>
      <c r="I171" s="13" t="s">
        <v>3249</v>
      </c>
      <c r="J171" s="13" t="s">
        <v>3508</v>
      </c>
      <c r="K171" s="13" t="s">
        <v>3173</v>
      </c>
      <c r="L171" s="13" t="s">
        <v>3177</v>
      </c>
      <c r="M171" s="13" t="s">
        <v>3509</v>
      </c>
      <c r="N171" s="13">
        <v>10.0</v>
      </c>
      <c r="O171" s="13" t="s">
        <v>3175</v>
      </c>
      <c r="P171" s="13" t="s">
        <v>33</v>
      </c>
      <c r="Q171" s="13" t="s">
        <v>3346</v>
      </c>
      <c r="R171" s="13" t="s">
        <v>3177</v>
      </c>
      <c r="S171" s="13" t="s">
        <v>33</v>
      </c>
      <c r="T171" s="13" t="s">
        <v>3232</v>
      </c>
      <c r="U171" s="13" t="s">
        <v>3247</v>
      </c>
      <c r="V171" s="13" t="s">
        <v>3166</v>
      </c>
      <c r="W171" s="13" t="s">
        <v>3167</v>
      </c>
      <c r="X171" s="13" t="s">
        <v>3510</v>
      </c>
    </row>
    <row r="172" ht="14.25" customHeight="1">
      <c r="A172" s="13">
        <v>23583.0</v>
      </c>
      <c r="B172" s="13" t="s">
        <v>25</v>
      </c>
      <c r="C172" s="13">
        <v>2015.0</v>
      </c>
      <c r="D172" s="13" t="s">
        <v>3153</v>
      </c>
      <c r="E172" s="13" t="s">
        <v>3179</v>
      </c>
      <c r="F172" s="13" t="s">
        <v>3211</v>
      </c>
      <c r="G172" s="13" t="s">
        <v>3180</v>
      </c>
      <c r="H172" s="13">
        <v>0.1</v>
      </c>
      <c r="I172" s="13" t="s">
        <v>3249</v>
      </c>
      <c r="J172" s="13" t="s">
        <v>3508</v>
      </c>
      <c r="K172" s="13" t="s">
        <v>3173</v>
      </c>
      <c r="L172" s="13" t="s">
        <v>3160</v>
      </c>
      <c r="M172" s="13" t="s">
        <v>3511</v>
      </c>
      <c r="N172" s="13">
        <v>10.0</v>
      </c>
      <c r="O172" s="13" t="s">
        <v>3175</v>
      </c>
      <c r="P172" s="13" t="s">
        <v>3512</v>
      </c>
      <c r="Q172" s="13" t="s">
        <v>3183</v>
      </c>
      <c r="R172" s="13" t="s">
        <v>3260</v>
      </c>
      <c r="S172" s="13" t="s">
        <v>3397</v>
      </c>
      <c r="T172" s="13" t="s">
        <v>3232</v>
      </c>
      <c r="U172" s="13" t="s">
        <v>3197</v>
      </c>
      <c r="V172" s="13" t="s">
        <v>3166</v>
      </c>
      <c r="W172" s="13" t="s">
        <v>3167</v>
      </c>
      <c r="X172" s="13" t="s">
        <v>3513</v>
      </c>
    </row>
    <row r="173" ht="14.25" customHeight="1">
      <c r="A173" s="13">
        <v>23588.0</v>
      </c>
      <c r="B173" s="13" t="s">
        <v>2419</v>
      </c>
      <c r="C173" s="13">
        <v>2019.0</v>
      </c>
      <c r="D173" s="13" t="s">
        <v>3153</v>
      </c>
      <c r="E173" s="13" t="s">
        <v>3179</v>
      </c>
      <c r="F173" s="13" t="s">
        <v>3211</v>
      </c>
      <c r="G173" s="13" t="s">
        <v>3180</v>
      </c>
      <c r="H173" s="13">
        <v>0.2</v>
      </c>
      <c r="I173" s="13" t="s">
        <v>3249</v>
      </c>
      <c r="J173" s="13" t="s">
        <v>3514</v>
      </c>
      <c r="K173" s="13" t="s">
        <v>3173</v>
      </c>
      <c r="L173" s="13" t="s">
        <v>3177</v>
      </c>
      <c r="M173" s="13" t="s">
        <v>3196</v>
      </c>
      <c r="N173" s="13">
        <v>1.0</v>
      </c>
      <c r="O173" s="13" t="s">
        <v>3162</v>
      </c>
      <c r="P173" s="13" t="s">
        <v>33</v>
      </c>
      <c r="Q173" s="13" t="s">
        <v>3338</v>
      </c>
      <c r="R173" s="13" t="s">
        <v>3177</v>
      </c>
      <c r="S173" s="13" t="s">
        <v>3515</v>
      </c>
      <c r="T173" s="13" t="s">
        <v>3232</v>
      </c>
      <c r="U173" s="13" t="s">
        <v>3247</v>
      </c>
      <c r="V173" s="13" t="s">
        <v>3166</v>
      </c>
      <c r="W173" s="13" t="s">
        <v>3167</v>
      </c>
      <c r="X173" s="13" t="s">
        <v>3516</v>
      </c>
    </row>
    <row r="174" ht="14.25" customHeight="1">
      <c r="A174" s="13">
        <v>23591.0</v>
      </c>
      <c r="B174" s="13" t="s">
        <v>713</v>
      </c>
      <c r="C174" s="13">
        <v>2017.0</v>
      </c>
      <c r="D174" s="13" t="s">
        <v>3153</v>
      </c>
      <c r="E174" s="13" t="s">
        <v>3517</v>
      </c>
      <c r="F174" s="13" t="s">
        <v>3217</v>
      </c>
      <c r="G174" s="13" t="s">
        <v>3180</v>
      </c>
      <c r="H174" s="13">
        <v>0.1</v>
      </c>
      <c r="I174" s="13" t="s">
        <v>3167</v>
      </c>
      <c r="J174" s="13" t="s">
        <v>3167</v>
      </c>
      <c r="K174" s="13" t="s">
        <v>3173</v>
      </c>
      <c r="L174" s="13" t="s">
        <v>3177</v>
      </c>
      <c r="M174" s="13" t="s">
        <v>3241</v>
      </c>
      <c r="N174" s="13">
        <v>1.0</v>
      </c>
      <c r="O174" s="13" t="s">
        <v>3162</v>
      </c>
      <c r="P174" s="13" t="s">
        <v>33</v>
      </c>
      <c r="Q174" s="13" t="s">
        <v>3183</v>
      </c>
      <c r="R174" s="13" t="s">
        <v>3177</v>
      </c>
      <c r="S174" s="13" t="s">
        <v>3397</v>
      </c>
      <c r="T174" s="13" t="s">
        <v>3197</v>
      </c>
      <c r="U174" s="13" t="s">
        <v>3197</v>
      </c>
      <c r="V174" s="13" t="s">
        <v>3166</v>
      </c>
      <c r="W174" s="13" t="s">
        <v>3167</v>
      </c>
      <c r="X174" s="13" t="s">
        <v>3255</v>
      </c>
    </row>
    <row r="175" ht="14.25" customHeight="1">
      <c r="A175" s="13">
        <v>23594.0</v>
      </c>
      <c r="B175" s="13" t="s">
        <v>1839</v>
      </c>
      <c r="C175" s="13">
        <v>2013.0</v>
      </c>
      <c r="D175" s="13" t="s">
        <v>3153</v>
      </c>
      <c r="E175" s="13" t="s">
        <v>3169</v>
      </c>
      <c r="F175" s="13" t="s">
        <v>3170</v>
      </c>
      <c r="G175" s="13" t="s">
        <v>3202</v>
      </c>
      <c r="H175" s="13">
        <v>10.0</v>
      </c>
      <c r="I175" s="13" t="s">
        <v>3157</v>
      </c>
      <c r="J175" s="13" t="s">
        <v>3400</v>
      </c>
      <c r="K175" s="13" t="s">
        <v>3159</v>
      </c>
      <c r="L175" s="13" t="s">
        <v>3160</v>
      </c>
      <c r="M175" s="13" t="s">
        <v>3494</v>
      </c>
      <c r="N175" s="13">
        <v>1.0</v>
      </c>
      <c r="O175" s="13" t="s">
        <v>3162</v>
      </c>
      <c r="P175" s="13" t="s">
        <v>33</v>
      </c>
      <c r="Q175" s="13" t="s">
        <v>3173</v>
      </c>
      <c r="R175" s="13" t="s">
        <v>3163</v>
      </c>
      <c r="S175" s="13" t="s">
        <v>33</v>
      </c>
      <c r="T175" s="13" t="s">
        <v>3164</v>
      </c>
      <c r="U175" s="13" t="s">
        <v>3197</v>
      </c>
      <c r="V175" s="13" t="s">
        <v>3166</v>
      </c>
      <c r="W175" s="13" t="s">
        <v>3167</v>
      </c>
      <c r="X175" s="13" t="s">
        <v>3518</v>
      </c>
    </row>
    <row r="176" ht="14.25" customHeight="1">
      <c r="A176" s="13">
        <v>23595.0</v>
      </c>
      <c r="B176" s="13" t="s">
        <v>2088</v>
      </c>
      <c r="C176" s="13">
        <v>2017.0</v>
      </c>
      <c r="D176" s="13" t="s">
        <v>3153</v>
      </c>
      <c r="E176" s="13" t="s">
        <v>3169</v>
      </c>
      <c r="F176" s="13" t="s">
        <v>3170</v>
      </c>
      <c r="G176" s="13" t="s">
        <v>3202</v>
      </c>
      <c r="H176" s="13">
        <v>10.0</v>
      </c>
      <c r="I176" s="13" t="s">
        <v>3157</v>
      </c>
      <c r="J176" s="13" t="s">
        <v>3400</v>
      </c>
      <c r="K176" s="13" t="s">
        <v>3183</v>
      </c>
      <c r="L176" s="13" t="s">
        <v>3160</v>
      </c>
      <c r="M176" s="13" t="s">
        <v>3494</v>
      </c>
      <c r="N176" s="13">
        <v>1.0</v>
      </c>
      <c r="O176" s="13" t="s">
        <v>3162</v>
      </c>
      <c r="P176" s="14" t="s">
        <v>3519</v>
      </c>
      <c r="Q176" s="13" t="s">
        <v>3208</v>
      </c>
      <c r="R176" s="13" t="s">
        <v>3177</v>
      </c>
      <c r="S176" s="13" t="s">
        <v>33</v>
      </c>
      <c r="T176" s="13" t="s">
        <v>3164</v>
      </c>
      <c r="U176" s="13" t="s">
        <v>3164</v>
      </c>
      <c r="V176" s="13" t="s">
        <v>3166</v>
      </c>
      <c r="W176" s="13" t="s">
        <v>3167</v>
      </c>
      <c r="X176" s="13" t="s">
        <v>3224</v>
      </c>
    </row>
    <row r="177" ht="14.25" customHeight="1">
      <c r="A177" s="13">
        <v>23598.0</v>
      </c>
      <c r="B177" s="13" t="s">
        <v>2724</v>
      </c>
      <c r="C177" s="13">
        <v>2015.0</v>
      </c>
      <c r="D177" s="13" t="s">
        <v>3153</v>
      </c>
      <c r="E177" s="13" t="s">
        <v>3169</v>
      </c>
      <c r="F177" s="13" t="s">
        <v>3211</v>
      </c>
      <c r="G177" s="13" t="s">
        <v>3520</v>
      </c>
      <c r="H177" s="13">
        <v>5.0</v>
      </c>
      <c r="I177" s="13" t="s">
        <v>3222</v>
      </c>
      <c r="J177" s="13" t="s">
        <v>3521</v>
      </c>
      <c r="K177" s="13" t="s">
        <v>3186</v>
      </c>
      <c r="L177" s="13" t="s">
        <v>3177</v>
      </c>
      <c r="M177" s="13" t="s">
        <v>3241</v>
      </c>
      <c r="N177" s="13">
        <v>1.0</v>
      </c>
      <c r="O177" s="13" t="s">
        <v>3162</v>
      </c>
      <c r="P177" s="13" t="s">
        <v>3522</v>
      </c>
      <c r="Q177" s="13" t="s">
        <v>3183</v>
      </c>
      <c r="R177" s="13" t="s">
        <v>3163</v>
      </c>
      <c r="S177" s="13" t="s">
        <v>3523</v>
      </c>
      <c r="T177" s="13" t="s">
        <v>3165</v>
      </c>
      <c r="U177" s="13" t="s">
        <v>3165</v>
      </c>
      <c r="V177" s="13" t="s">
        <v>3166</v>
      </c>
      <c r="W177" s="13" t="s">
        <v>3167</v>
      </c>
      <c r="X177" s="13" t="s">
        <v>3224</v>
      </c>
    </row>
    <row r="178" ht="14.25" customHeight="1">
      <c r="A178" s="13">
        <v>23599.0</v>
      </c>
      <c r="B178" s="13" t="s">
        <v>899</v>
      </c>
      <c r="C178" s="13">
        <v>2016.0</v>
      </c>
      <c r="D178" s="13" t="s">
        <v>3153</v>
      </c>
      <c r="E178" s="13" t="s">
        <v>3169</v>
      </c>
      <c r="F178" s="13" t="s">
        <v>3211</v>
      </c>
      <c r="G178" s="13" t="s">
        <v>3520</v>
      </c>
      <c r="H178" s="13">
        <v>5.0</v>
      </c>
      <c r="I178" s="13" t="s">
        <v>3222</v>
      </c>
      <c r="J178" s="13" t="s">
        <v>3226</v>
      </c>
      <c r="K178" s="13" t="s">
        <v>3524</v>
      </c>
      <c r="L178" s="13" t="s">
        <v>3160</v>
      </c>
      <c r="M178" s="13" t="s">
        <v>3525</v>
      </c>
      <c r="N178" s="13">
        <v>3.0</v>
      </c>
      <c r="O178" s="13" t="s">
        <v>3175</v>
      </c>
      <c r="P178" s="13" t="s">
        <v>3526</v>
      </c>
      <c r="Q178" s="13" t="s">
        <v>3173</v>
      </c>
      <c r="R178" s="13" t="s">
        <v>3231</v>
      </c>
      <c r="S178" s="13" t="s">
        <v>33</v>
      </c>
      <c r="T178" s="13" t="s">
        <v>3164</v>
      </c>
      <c r="U178" s="13" t="s">
        <v>3165</v>
      </c>
      <c r="V178" s="13" t="s">
        <v>3166</v>
      </c>
      <c r="W178" s="13" t="s">
        <v>3167</v>
      </c>
      <c r="X178" s="13" t="s">
        <v>3168</v>
      </c>
    </row>
    <row r="179" ht="14.25" customHeight="1">
      <c r="A179" s="13">
        <v>23602.0</v>
      </c>
      <c r="B179" s="13" t="s">
        <v>2656</v>
      </c>
      <c r="C179" s="13">
        <v>2020.0</v>
      </c>
      <c r="D179" s="13" t="s">
        <v>3153</v>
      </c>
      <c r="E179" s="13" t="s">
        <v>3169</v>
      </c>
      <c r="F179" s="13" t="s">
        <v>3155</v>
      </c>
      <c r="G179" s="13" t="s">
        <v>3202</v>
      </c>
      <c r="H179" s="13">
        <v>300.0</v>
      </c>
      <c r="I179" s="13" t="s">
        <v>3244</v>
      </c>
      <c r="J179" s="13" t="s">
        <v>3245</v>
      </c>
      <c r="K179" s="13" t="s">
        <v>3186</v>
      </c>
      <c r="L179" s="13" t="s">
        <v>3177</v>
      </c>
      <c r="M179" s="13" t="s">
        <v>3349</v>
      </c>
      <c r="N179" s="13">
        <v>2.0</v>
      </c>
      <c r="O179" s="13" t="s">
        <v>3175</v>
      </c>
      <c r="P179" s="13" t="s">
        <v>33</v>
      </c>
      <c r="Q179" s="13" t="s">
        <v>3335</v>
      </c>
      <c r="R179" s="13" t="s">
        <v>3163</v>
      </c>
      <c r="S179" s="13" t="s">
        <v>3323</v>
      </c>
      <c r="T179" s="13" t="s">
        <v>3195</v>
      </c>
      <c r="U179" s="13" t="s">
        <v>3195</v>
      </c>
      <c r="V179" s="13" t="s">
        <v>3195</v>
      </c>
      <c r="W179" s="13" t="s">
        <v>3167</v>
      </c>
      <c r="X179" s="13" t="s">
        <v>3167</v>
      </c>
    </row>
    <row r="180" ht="14.25" customHeight="1">
      <c r="A180" s="13">
        <v>23603.0</v>
      </c>
      <c r="B180" s="13" t="s">
        <v>370</v>
      </c>
      <c r="C180" s="13">
        <v>2014.0</v>
      </c>
      <c r="D180" s="13" t="s">
        <v>3153</v>
      </c>
      <c r="E180" s="13" t="s">
        <v>3179</v>
      </c>
      <c r="F180" s="13" t="s">
        <v>3192</v>
      </c>
      <c r="G180" s="13" t="s">
        <v>3187</v>
      </c>
      <c r="H180" s="13">
        <v>1.0</v>
      </c>
      <c r="I180" s="13" t="s">
        <v>3527</v>
      </c>
      <c r="J180" s="13" t="s">
        <v>3528</v>
      </c>
      <c r="K180" s="13" t="s">
        <v>3183</v>
      </c>
      <c r="L180" s="13" t="s">
        <v>3177</v>
      </c>
      <c r="M180" s="13" t="s">
        <v>3342</v>
      </c>
      <c r="N180" s="13">
        <v>1.0</v>
      </c>
      <c r="O180" s="13" t="s">
        <v>3162</v>
      </c>
      <c r="P180" s="13" t="s">
        <v>3529</v>
      </c>
      <c r="Q180" s="13" t="s">
        <v>3183</v>
      </c>
      <c r="R180" s="13" t="s">
        <v>3530</v>
      </c>
      <c r="S180" s="13" t="s">
        <v>3529</v>
      </c>
      <c r="T180" s="13" t="s">
        <v>3164</v>
      </c>
      <c r="U180" s="13" t="s">
        <v>3164</v>
      </c>
      <c r="V180" s="13" t="s">
        <v>3166</v>
      </c>
      <c r="W180" s="13" t="s">
        <v>3167</v>
      </c>
      <c r="X180" s="13" t="s">
        <v>3225</v>
      </c>
    </row>
    <row r="181" ht="14.25" customHeight="1">
      <c r="A181" s="13">
        <v>23609.0</v>
      </c>
      <c r="B181" s="13" t="s">
        <v>3100</v>
      </c>
      <c r="C181" s="13">
        <v>2015.0</v>
      </c>
      <c r="D181" s="13" t="s">
        <v>3153</v>
      </c>
      <c r="E181" s="13" t="s">
        <v>3169</v>
      </c>
      <c r="F181" s="13" t="s">
        <v>3155</v>
      </c>
      <c r="G181" s="13" t="s">
        <v>3156</v>
      </c>
      <c r="H181" s="13" t="s">
        <v>3167</v>
      </c>
      <c r="I181" s="13" t="s">
        <v>3244</v>
      </c>
      <c r="J181" s="13" t="s">
        <v>3531</v>
      </c>
      <c r="K181" s="13" t="s">
        <v>3159</v>
      </c>
      <c r="L181" s="13" t="s">
        <v>3177</v>
      </c>
      <c r="M181" s="13" t="s">
        <v>3161</v>
      </c>
      <c r="N181" s="13">
        <v>1.0</v>
      </c>
      <c r="O181" s="13" t="s">
        <v>3162</v>
      </c>
      <c r="P181" s="13" t="s">
        <v>3532</v>
      </c>
      <c r="Q181" s="13" t="s">
        <v>3159</v>
      </c>
      <c r="R181" s="13" t="s">
        <v>3231</v>
      </c>
      <c r="S181" s="13" t="s">
        <v>33</v>
      </c>
      <c r="T181" s="13" t="s">
        <v>3165</v>
      </c>
      <c r="U181" s="13" t="s">
        <v>3165</v>
      </c>
      <c r="V181" s="13" t="s">
        <v>3166</v>
      </c>
      <c r="W181" s="13" t="s">
        <v>3167</v>
      </c>
      <c r="X181" s="13" t="s">
        <v>3324</v>
      </c>
    </row>
    <row r="182" ht="14.25" customHeight="1">
      <c r="A182" s="13">
        <v>23612.0</v>
      </c>
      <c r="B182" s="13" t="s">
        <v>2747</v>
      </c>
      <c r="C182" s="13">
        <v>2018.0</v>
      </c>
      <c r="D182" s="13" t="s">
        <v>3153</v>
      </c>
      <c r="E182" s="13" t="s">
        <v>3179</v>
      </c>
      <c r="F182" s="13" t="s">
        <v>3155</v>
      </c>
      <c r="G182" s="13" t="s">
        <v>3156</v>
      </c>
      <c r="H182" s="13" t="s">
        <v>33</v>
      </c>
      <c r="I182" s="13" t="s">
        <v>3533</v>
      </c>
      <c r="J182" s="13" t="s">
        <v>3534</v>
      </c>
      <c r="K182" s="13" t="s">
        <v>3159</v>
      </c>
      <c r="L182" s="13" t="s">
        <v>3177</v>
      </c>
      <c r="M182" s="13" t="s">
        <v>3535</v>
      </c>
      <c r="N182" s="13">
        <v>3.0</v>
      </c>
      <c r="O182" s="13" t="s">
        <v>3267</v>
      </c>
      <c r="P182" s="13" t="s">
        <v>33</v>
      </c>
      <c r="Q182" s="13" t="s">
        <v>3159</v>
      </c>
      <c r="R182" s="13" t="s">
        <v>3163</v>
      </c>
      <c r="S182" s="13" t="s">
        <v>33</v>
      </c>
      <c r="T182" s="13" t="s">
        <v>3232</v>
      </c>
      <c r="U182" s="13" t="s">
        <v>3232</v>
      </c>
      <c r="V182" s="13" t="s">
        <v>3166</v>
      </c>
      <c r="W182" s="13" t="s">
        <v>3167</v>
      </c>
      <c r="X182" s="13" t="s">
        <v>3168</v>
      </c>
    </row>
    <row r="183" ht="14.25" customHeight="1">
      <c r="A183" s="13">
        <v>23613.0</v>
      </c>
      <c r="B183" s="13" t="s">
        <v>3009</v>
      </c>
      <c r="C183" s="13">
        <v>2012.0</v>
      </c>
      <c r="D183" s="13" t="s">
        <v>3153</v>
      </c>
      <c r="E183" s="13" t="s">
        <v>3154</v>
      </c>
      <c r="F183" s="13" t="s">
        <v>3192</v>
      </c>
      <c r="G183" s="13" t="s">
        <v>33</v>
      </c>
      <c r="H183" s="13" t="s">
        <v>33</v>
      </c>
      <c r="I183" s="13" t="s">
        <v>3222</v>
      </c>
      <c r="J183" s="13" t="s">
        <v>3182</v>
      </c>
      <c r="K183" s="13" t="s">
        <v>3159</v>
      </c>
      <c r="L183" s="13" t="s">
        <v>3177</v>
      </c>
      <c r="M183" s="13" t="s">
        <v>3536</v>
      </c>
      <c r="N183" s="13">
        <v>1.0</v>
      </c>
      <c r="O183" s="13" t="s">
        <v>3162</v>
      </c>
      <c r="P183" s="13" t="s">
        <v>33</v>
      </c>
      <c r="Q183" s="13" t="s">
        <v>3173</v>
      </c>
      <c r="R183" s="13" t="s">
        <v>3163</v>
      </c>
      <c r="S183" s="13" t="s">
        <v>33</v>
      </c>
      <c r="T183" s="13" t="s">
        <v>3228</v>
      </c>
      <c r="U183" s="13" t="s">
        <v>3228</v>
      </c>
      <c r="V183" s="13" t="s">
        <v>3166</v>
      </c>
      <c r="W183" s="13" t="s">
        <v>3167</v>
      </c>
      <c r="X183" s="13" t="s">
        <v>3225</v>
      </c>
    </row>
    <row r="184" ht="14.25" customHeight="1">
      <c r="A184" s="13">
        <v>23614.0</v>
      </c>
      <c r="B184" s="13" t="s">
        <v>2770</v>
      </c>
      <c r="C184" s="13">
        <v>2019.0</v>
      </c>
      <c r="D184" s="13" t="s">
        <v>3153</v>
      </c>
      <c r="E184" s="13" t="s">
        <v>3169</v>
      </c>
      <c r="F184" s="13" t="s">
        <v>3155</v>
      </c>
      <c r="G184" s="13" t="s">
        <v>33</v>
      </c>
      <c r="H184" s="13" t="s">
        <v>33</v>
      </c>
      <c r="I184" s="13" t="s">
        <v>3171</v>
      </c>
      <c r="J184" s="13" t="s">
        <v>3537</v>
      </c>
      <c r="K184" s="13" t="s">
        <v>3190</v>
      </c>
      <c r="L184" s="13" t="s">
        <v>3177</v>
      </c>
      <c r="M184" s="13" t="s">
        <v>3391</v>
      </c>
      <c r="N184" s="13">
        <v>1.0</v>
      </c>
      <c r="O184" s="13" t="s">
        <v>3162</v>
      </c>
      <c r="P184" s="13" t="s">
        <v>33</v>
      </c>
      <c r="Q184" s="13" t="s">
        <v>3173</v>
      </c>
      <c r="R184" s="13" t="s">
        <v>3163</v>
      </c>
      <c r="S184" s="13" t="s">
        <v>33</v>
      </c>
      <c r="T184" s="13" t="s">
        <v>3165</v>
      </c>
      <c r="U184" s="13" t="s">
        <v>3165</v>
      </c>
      <c r="V184" s="13" t="s">
        <v>3166</v>
      </c>
      <c r="W184" s="13" t="s">
        <v>3167</v>
      </c>
      <c r="X184" s="13" t="s">
        <v>3224</v>
      </c>
    </row>
    <row r="185" ht="14.25" customHeight="1">
      <c r="A185" s="13">
        <v>23616.0</v>
      </c>
      <c r="B185" s="13" t="s">
        <v>2557</v>
      </c>
      <c r="C185" s="13">
        <v>2016.0</v>
      </c>
      <c r="D185" s="13" t="s">
        <v>3153</v>
      </c>
      <c r="E185" s="13" t="s">
        <v>3169</v>
      </c>
      <c r="F185" s="13" t="s">
        <v>3170</v>
      </c>
      <c r="G185" s="13" t="s">
        <v>3538</v>
      </c>
      <c r="H185" s="13">
        <v>10.0</v>
      </c>
      <c r="I185" s="13" t="s">
        <v>3222</v>
      </c>
      <c r="J185" s="13" t="s">
        <v>3182</v>
      </c>
      <c r="K185" s="13" t="s">
        <v>3183</v>
      </c>
      <c r="L185" s="13" t="s">
        <v>3160</v>
      </c>
      <c r="M185" s="13" t="s">
        <v>3494</v>
      </c>
      <c r="N185" s="13">
        <v>1.0</v>
      </c>
      <c r="O185" s="13" t="s">
        <v>3162</v>
      </c>
      <c r="P185" s="13" t="s">
        <v>3539</v>
      </c>
      <c r="Q185" s="13" t="s">
        <v>3210</v>
      </c>
      <c r="R185" s="13" t="s">
        <v>3231</v>
      </c>
      <c r="S185" s="13" t="s">
        <v>3539</v>
      </c>
      <c r="T185" s="13" t="s">
        <v>3195</v>
      </c>
      <c r="U185" s="13" t="s">
        <v>3195</v>
      </c>
      <c r="V185" s="13" t="s">
        <v>3195</v>
      </c>
      <c r="W185" s="13" t="s">
        <v>3167</v>
      </c>
      <c r="X185" s="13" t="s">
        <v>3167</v>
      </c>
    </row>
    <row r="186" ht="14.25" customHeight="1">
      <c r="A186" s="13">
        <v>23620.0</v>
      </c>
      <c r="B186" s="13" t="s">
        <v>2209</v>
      </c>
      <c r="C186" s="13">
        <v>2019.0</v>
      </c>
      <c r="D186" s="13" t="s">
        <v>3153</v>
      </c>
      <c r="E186" s="13" t="s">
        <v>3179</v>
      </c>
      <c r="F186" s="13" t="s">
        <v>3170</v>
      </c>
      <c r="G186" s="13" t="s">
        <v>33</v>
      </c>
      <c r="H186" s="13" t="s">
        <v>33</v>
      </c>
      <c r="I186" s="13" t="s">
        <v>3264</v>
      </c>
      <c r="J186" s="13" t="s">
        <v>3204</v>
      </c>
      <c r="K186" s="13" t="s">
        <v>3333</v>
      </c>
      <c r="L186" s="13" t="s">
        <v>3160</v>
      </c>
      <c r="M186" s="13" t="s">
        <v>3196</v>
      </c>
      <c r="N186" s="13">
        <v>1.0</v>
      </c>
      <c r="O186" s="13" t="s">
        <v>3162</v>
      </c>
      <c r="P186" s="13" t="s">
        <v>33</v>
      </c>
      <c r="Q186" s="13" t="s">
        <v>3183</v>
      </c>
      <c r="R186" s="13" t="s">
        <v>3163</v>
      </c>
      <c r="S186" s="13" t="s">
        <v>3540</v>
      </c>
      <c r="T186" s="13" t="s">
        <v>3228</v>
      </c>
      <c r="U186" s="13" t="s">
        <v>3252</v>
      </c>
      <c r="V186" s="13" t="s">
        <v>3253</v>
      </c>
      <c r="W186" s="13" t="s">
        <v>3481</v>
      </c>
      <c r="X186" s="13" t="s">
        <v>3541</v>
      </c>
    </row>
    <row r="187" ht="14.25" customHeight="1">
      <c r="A187" s="13">
        <v>23623.0</v>
      </c>
      <c r="B187" s="13" t="s">
        <v>1697</v>
      </c>
      <c r="C187" s="13">
        <v>2016.0</v>
      </c>
      <c r="D187" s="13" t="s">
        <v>3153</v>
      </c>
      <c r="E187" s="13" t="s">
        <v>3179</v>
      </c>
      <c r="F187" s="13" t="s">
        <v>3170</v>
      </c>
      <c r="G187" s="13" t="s">
        <v>3156</v>
      </c>
      <c r="H187" s="13" t="s">
        <v>33</v>
      </c>
      <c r="I187" s="13" t="s">
        <v>3261</v>
      </c>
      <c r="J187" s="13" t="s">
        <v>3463</v>
      </c>
      <c r="K187" s="13" t="s">
        <v>3159</v>
      </c>
      <c r="L187" s="13" t="s">
        <v>3160</v>
      </c>
      <c r="M187" s="13" t="s">
        <v>3542</v>
      </c>
      <c r="N187" s="13">
        <v>3.0</v>
      </c>
      <c r="O187" s="13" t="s">
        <v>3162</v>
      </c>
      <c r="P187" s="13" t="s">
        <v>33</v>
      </c>
      <c r="Q187" s="13" t="s">
        <v>3159</v>
      </c>
      <c r="R187" s="13" t="s">
        <v>3163</v>
      </c>
      <c r="S187" s="13" t="s">
        <v>33</v>
      </c>
      <c r="T187" s="13" t="s">
        <v>3164</v>
      </c>
      <c r="U187" s="13" t="s">
        <v>3164</v>
      </c>
      <c r="V187" s="13" t="s">
        <v>3166</v>
      </c>
      <c r="W187" s="13" t="s">
        <v>3167</v>
      </c>
      <c r="X187" s="13" t="s">
        <v>3168</v>
      </c>
    </row>
    <row r="188" ht="14.25" customHeight="1">
      <c r="A188" s="13">
        <v>23626.0</v>
      </c>
      <c r="B188" s="13" t="s">
        <v>469</v>
      </c>
      <c r="C188" s="13">
        <v>2017.0</v>
      </c>
      <c r="D188" s="13" t="s">
        <v>3153</v>
      </c>
      <c r="E188" s="13" t="s">
        <v>3179</v>
      </c>
      <c r="F188" s="13" t="s">
        <v>3170</v>
      </c>
      <c r="G188" s="13" t="s">
        <v>3156</v>
      </c>
      <c r="H188" s="13" t="s">
        <v>33</v>
      </c>
      <c r="I188" s="13" t="s">
        <v>3249</v>
      </c>
      <c r="J188" s="13" t="s">
        <v>3307</v>
      </c>
      <c r="K188" s="13" t="s">
        <v>3183</v>
      </c>
      <c r="L188" s="13" t="s">
        <v>3177</v>
      </c>
      <c r="M188" s="13" t="s">
        <v>3342</v>
      </c>
      <c r="N188" s="13">
        <v>1.0</v>
      </c>
      <c r="O188" s="13" t="s">
        <v>3162</v>
      </c>
      <c r="P188" s="13" t="s">
        <v>3543</v>
      </c>
      <c r="Q188" s="13" t="s">
        <v>3159</v>
      </c>
      <c r="R188" s="13" t="s">
        <v>3177</v>
      </c>
      <c r="S188" s="13" t="s">
        <v>33</v>
      </c>
      <c r="T188" s="13" t="s">
        <v>3164</v>
      </c>
      <c r="U188" s="13" t="s">
        <v>3228</v>
      </c>
      <c r="V188" s="13" t="s">
        <v>3166</v>
      </c>
      <c r="W188" s="13" t="s">
        <v>3167</v>
      </c>
      <c r="X188" s="13" t="s">
        <v>3178</v>
      </c>
    </row>
    <row r="189" ht="14.25" customHeight="1">
      <c r="A189" s="13">
        <v>23631.0</v>
      </c>
      <c r="B189" s="13" t="s">
        <v>165</v>
      </c>
      <c r="C189" s="13">
        <v>2011.0</v>
      </c>
      <c r="D189" s="13" t="s">
        <v>3153</v>
      </c>
      <c r="E189" s="13" t="s">
        <v>3179</v>
      </c>
      <c r="F189" s="13" t="s">
        <v>3192</v>
      </c>
      <c r="G189" s="13" t="s">
        <v>3311</v>
      </c>
      <c r="H189" s="13">
        <v>22.2</v>
      </c>
      <c r="I189" s="13" t="s">
        <v>3181</v>
      </c>
      <c r="J189" s="13" t="s">
        <v>3262</v>
      </c>
      <c r="K189" s="13" t="s">
        <v>3183</v>
      </c>
      <c r="L189" s="13" t="s">
        <v>3160</v>
      </c>
      <c r="M189" s="13" t="s">
        <v>3544</v>
      </c>
      <c r="N189" s="13">
        <v>4.0</v>
      </c>
      <c r="O189" s="13" t="s">
        <v>3162</v>
      </c>
      <c r="P189" s="13" t="s">
        <v>3503</v>
      </c>
      <c r="Q189" s="13" t="s">
        <v>3183</v>
      </c>
      <c r="R189" s="13" t="s">
        <v>3231</v>
      </c>
      <c r="S189" s="13" t="s">
        <v>33</v>
      </c>
      <c r="T189" s="13" t="s">
        <v>3165</v>
      </c>
      <c r="U189" s="13" t="s">
        <v>3165</v>
      </c>
      <c r="V189" s="13" t="s">
        <v>3166</v>
      </c>
      <c r="W189" s="13" t="s">
        <v>3167</v>
      </c>
      <c r="X189" s="13" t="s">
        <v>3178</v>
      </c>
    </row>
    <row r="190" ht="14.25" customHeight="1">
      <c r="A190" s="13">
        <v>23633.0</v>
      </c>
      <c r="B190" s="13" t="s">
        <v>978</v>
      </c>
      <c r="C190" s="13">
        <v>2019.0</v>
      </c>
      <c r="D190" s="13" t="s">
        <v>3153</v>
      </c>
      <c r="E190" s="13" t="s">
        <v>3179</v>
      </c>
      <c r="F190" s="13" t="s">
        <v>3192</v>
      </c>
      <c r="G190" s="13" t="s">
        <v>3187</v>
      </c>
      <c r="H190" s="13">
        <v>1.0</v>
      </c>
      <c r="I190" s="13" t="s">
        <v>3261</v>
      </c>
      <c r="J190" s="13" t="s">
        <v>3262</v>
      </c>
      <c r="K190" s="13" t="s">
        <v>3545</v>
      </c>
      <c r="L190" s="13" t="s">
        <v>3177</v>
      </c>
      <c r="M190" s="13" t="s">
        <v>3546</v>
      </c>
      <c r="N190" s="13">
        <v>4.0</v>
      </c>
      <c r="O190" s="13" t="s">
        <v>3162</v>
      </c>
      <c r="P190" s="13" t="s">
        <v>3547</v>
      </c>
      <c r="Q190" s="13" t="s">
        <v>3208</v>
      </c>
      <c r="R190" s="13" t="s">
        <v>3231</v>
      </c>
      <c r="S190" s="13" t="s">
        <v>33</v>
      </c>
      <c r="T190" s="13" t="s">
        <v>3164</v>
      </c>
      <c r="U190" s="13" t="s">
        <v>3228</v>
      </c>
      <c r="V190" s="13" t="s">
        <v>3166</v>
      </c>
      <c r="W190" s="13" t="s">
        <v>3167</v>
      </c>
      <c r="X190" s="13" t="s">
        <v>3216</v>
      </c>
    </row>
    <row r="191" ht="14.25" customHeight="1">
      <c r="A191" s="13">
        <v>23639.0</v>
      </c>
      <c r="B191" s="13" t="s">
        <v>1511</v>
      </c>
      <c r="C191" s="13">
        <v>2013.0</v>
      </c>
      <c r="D191" s="13" t="s">
        <v>3153</v>
      </c>
      <c r="E191" s="13" t="s">
        <v>3169</v>
      </c>
      <c r="F191" s="13" t="s">
        <v>3155</v>
      </c>
      <c r="G191" s="13" t="s">
        <v>3156</v>
      </c>
      <c r="H191" s="13" t="s">
        <v>3167</v>
      </c>
      <c r="I191" s="13" t="s">
        <v>3171</v>
      </c>
      <c r="J191" s="13" t="s">
        <v>3378</v>
      </c>
      <c r="K191" s="13" t="s">
        <v>3183</v>
      </c>
      <c r="L191" s="13" t="s">
        <v>3177</v>
      </c>
      <c r="M191" s="13" t="s">
        <v>3241</v>
      </c>
      <c r="N191" s="13">
        <v>1.0</v>
      </c>
      <c r="O191" s="13" t="s">
        <v>3162</v>
      </c>
      <c r="P191" s="13" t="s">
        <v>3548</v>
      </c>
      <c r="Q191" s="13" t="s">
        <v>3183</v>
      </c>
      <c r="R191" s="13" t="s">
        <v>3231</v>
      </c>
      <c r="S191" s="13" t="s">
        <v>3549</v>
      </c>
      <c r="T191" s="13" t="s">
        <v>3164</v>
      </c>
      <c r="U191" s="13" t="s">
        <v>3165</v>
      </c>
      <c r="V191" s="13" t="s">
        <v>3166</v>
      </c>
      <c r="W191" s="13" t="s">
        <v>3167</v>
      </c>
      <c r="X191" s="13" t="s">
        <v>3224</v>
      </c>
    </row>
    <row r="192" ht="14.25" customHeight="1">
      <c r="A192" s="13">
        <v>23641.0</v>
      </c>
      <c r="B192" s="13" t="s">
        <v>1707</v>
      </c>
      <c r="C192" s="13">
        <v>2015.0</v>
      </c>
      <c r="D192" s="13" t="s">
        <v>3153</v>
      </c>
      <c r="E192" s="13" t="s">
        <v>3169</v>
      </c>
      <c r="F192" s="13" t="s">
        <v>3170</v>
      </c>
      <c r="G192" s="13" t="s">
        <v>33</v>
      </c>
      <c r="H192" s="13" t="s">
        <v>33</v>
      </c>
      <c r="I192" s="13" t="s">
        <v>3244</v>
      </c>
      <c r="J192" s="13" t="s">
        <v>3345</v>
      </c>
      <c r="K192" s="13" t="s">
        <v>3208</v>
      </c>
      <c r="L192" s="13" t="s">
        <v>3160</v>
      </c>
      <c r="M192" s="13" t="s">
        <v>3550</v>
      </c>
      <c r="N192" s="13">
        <v>2.0</v>
      </c>
      <c r="O192" s="13" t="s">
        <v>3162</v>
      </c>
      <c r="P192" s="13" t="s">
        <v>33</v>
      </c>
      <c r="Q192" s="13" t="s">
        <v>3205</v>
      </c>
      <c r="R192" s="13" t="s">
        <v>3163</v>
      </c>
      <c r="S192" s="13" t="s">
        <v>33</v>
      </c>
      <c r="T192" s="13" t="s">
        <v>3195</v>
      </c>
      <c r="U192" s="13" t="s">
        <v>3195</v>
      </c>
      <c r="V192" s="13" t="s">
        <v>3195</v>
      </c>
      <c r="W192" s="13" t="s">
        <v>3167</v>
      </c>
      <c r="X192" s="13" t="s">
        <v>3167</v>
      </c>
    </row>
    <row r="193" ht="14.25" customHeight="1">
      <c r="A193" s="13">
        <v>23649.0</v>
      </c>
      <c r="B193" s="13" t="s">
        <v>610</v>
      </c>
      <c r="C193" s="13">
        <v>2019.0</v>
      </c>
      <c r="D193" s="13" t="s">
        <v>3153</v>
      </c>
      <c r="E193" s="13" t="s">
        <v>3169</v>
      </c>
      <c r="F193" s="13" t="s">
        <v>3211</v>
      </c>
      <c r="G193" s="13" t="s">
        <v>3311</v>
      </c>
      <c r="H193" s="13">
        <v>10.0</v>
      </c>
      <c r="I193" s="13" t="s">
        <v>3157</v>
      </c>
      <c r="J193" s="13" t="s">
        <v>3551</v>
      </c>
      <c r="K193" s="13" t="s">
        <v>3183</v>
      </c>
      <c r="L193" s="13" t="s">
        <v>3160</v>
      </c>
      <c r="M193" s="13" t="s">
        <v>3363</v>
      </c>
      <c r="N193" s="13">
        <v>1.0</v>
      </c>
      <c r="O193" s="13" t="s">
        <v>3162</v>
      </c>
      <c r="P193" s="13" t="s">
        <v>3552</v>
      </c>
      <c r="Q193" s="13" t="s">
        <v>3173</v>
      </c>
      <c r="R193" s="13" t="s">
        <v>3260</v>
      </c>
      <c r="S193" s="13" t="s">
        <v>3553</v>
      </c>
      <c r="T193" s="13" t="s">
        <v>3232</v>
      </c>
      <c r="U193" s="13" t="s">
        <v>3232</v>
      </c>
      <c r="V193" s="13" t="s">
        <v>3166</v>
      </c>
      <c r="W193" s="13" t="s">
        <v>3167</v>
      </c>
      <c r="X193" s="13" t="s">
        <v>3224</v>
      </c>
    </row>
    <row r="194" ht="14.25" customHeight="1">
      <c r="A194" s="13">
        <v>23651.0</v>
      </c>
      <c r="B194" s="13" t="s">
        <v>2332</v>
      </c>
      <c r="C194" s="13">
        <v>2002.0</v>
      </c>
      <c r="D194" s="13" t="s">
        <v>3153</v>
      </c>
      <c r="E194" s="13" t="s">
        <v>3395</v>
      </c>
      <c r="F194" s="13" t="s">
        <v>3170</v>
      </c>
      <c r="G194" s="13" t="s">
        <v>3156</v>
      </c>
      <c r="H194" s="13" t="s">
        <v>3167</v>
      </c>
      <c r="I194" s="13" t="s">
        <v>3392</v>
      </c>
      <c r="J194" s="13" t="s">
        <v>3554</v>
      </c>
      <c r="K194" s="13" t="s">
        <v>3208</v>
      </c>
      <c r="L194" s="13" t="s">
        <v>3160</v>
      </c>
      <c r="M194" s="13" t="s">
        <v>3373</v>
      </c>
      <c r="N194" s="13">
        <v>1.0</v>
      </c>
      <c r="O194" s="13" t="s">
        <v>3162</v>
      </c>
      <c r="P194" s="13" t="s">
        <v>3167</v>
      </c>
      <c r="Q194" s="13" t="s">
        <v>3208</v>
      </c>
      <c r="R194" s="13" t="s">
        <v>3231</v>
      </c>
      <c r="S194" s="13" t="s">
        <v>33</v>
      </c>
      <c r="T194" s="13" t="s">
        <v>3197</v>
      </c>
      <c r="U194" s="13" t="s">
        <v>3197</v>
      </c>
      <c r="V194" s="13" t="s">
        <v>3242</v>
      </c>
      <c r="W194" s="13" t="s">
        <v>3481</v>
      </c>
      <c r="X194" s="13" t="s">
        <v>3167</v>
      </c>
    </row>
    <row r="195" ht="14.25" customHeight="1">
      <c r="A195" s="13">
        <v>23652.0</v>
      </c>
      <c r="B195" s="13" t="s">
        <v>593</v>
      </c>
      <c r="C195" s="13">
        <v>2019.0</v>
      </c>
      <c r="D195" s="13" t="s">
        <v>3153</v>
      </c>
      <c r="E195" s="13" t="s">
        <v>3169</v>
      </c>
      <c r="F195" s="13" t="s">
        <v>3170</v>
      </c>
      <c r="G195" s="13" t="s">
        <v>3156</v>
      </c>
      <c r="H195" s="13" t="s">
        <v>33</v>
      </c>
      <c r="I195" s="13" t="s">
        <v>3244</v>
      </c>
      <c r="J195" s="13" t="s">
        <v>3289</v>
      </c>
      <c r="K195" s="13" t="s">
        <v>3159</v>
      </c>
      <c r="L195" s="13" t="s">
        <v>3160</v>
      </c>
      <c r="M195" s="13" t="s">
        <v>3403</v>
      </c>
      <c r="N195" s="13">
        <v>3.0</v>
      </c>
      <c r="O195" s="13" t="s">
        <v>3162</v>
      </c>
      <c r="P195" s="13" t="s">
        <v>33</v>
      </c>
      <c r="Q195" s="13" t="s">
        <v>3159</v>
      </c>
      <c r="R195" s="13" t="s">
        <v>3177</v>
      </c>
      <c r="S195" s="13" t="s">
        <v>33</v>
      </c>
      <c r="T195" s="13" t="s">
        <v>3228</v>
      </c>
      <c r="U195" s="13" t="s">
        <v>3228</v>
      </c>
      <c r="V195" s="13" t="s">
        <v>3166</v>
      </c>
      <c r="W195" s="13" t="s">
        <v>3167</v>
      </c>
      <c r="X195" s="13" t="s">
        <v>3168</v>
      </c>
    </row>
    <row r="196" ht="14.25" customHeight="1">
      <c r="A196" s="13">
        <v>23653.0</v>
      </c>
      <c r="B196" s="13" t="s">
        <v>634</v>
      </c>
      <c r="C196" s="13">
        <v>2017.0</v>
      </c>
      <c r="D196" s="13" t="s">
        <v>3153</v>
      </c>
      <c r="E196" s="13" t="s">
        <v>3154</v>
      </c>
      <c r="F196" s="13" t="s">
        <v>3170</v>
      </c>
      <c r="G196" s="13" t="s">
        <v>3156</v>
      </c>
      <c r="H196" s="13" t="s">
        <v>3167</v>
      </c>
      <c r="I196" s="13" t="s">
        <v>3171</v>
      </c>
      <c r="J196" s="13" t="s">
        <v>3555</v>
      </c>
      <c r="K196" s="13" t="s">
        <v>3190</v>
      </c>
      <c r="L196" s="13" t="s">
        <v>3177</v>
      </c>
      <c r="M196" s="13" t="s">
        <v>3391</v>
      </c>
      <c r="N196" s="13">
        <v>1.0</v>
      </c>
      <c r="O196" s="13" t="s">
        <v>3162</v>
      </c>
      <c r="P196" s="13" t="s">
        <v>3167</v>
      </c>
      <c r="Q196" s="13" t="s">
        <v>3159</v>
      </c>
      <c r="R196" s="13" t="s">
        <v>3260</v>
      </c>
      <c r="S196" s="13" t="s">
        <v>33</v>
      </c>
      <c r="T196" s="13" t="s">
        <v>3165</v>
      </c>
      <c r="U196" s="13" t="s">
        <v>3165</v>
      </c>
      <c r="V196" s="13" t="s">
        <v>3166</v>
      </c>
      <c r="W196" s="13" t="s">
        <v>3167</v>
      </c>
      <c r="X196" s="13" t="s">
        <v>3168</v>
      </c>
    </row>
    <row r="197" ht="14.25" customHeight="1">
      <c r="A197" s="13">
        <v>23654.0</v>
      </c>
      <c r="B197" s="13" t="s">
        <v>2352</v>
      </c>
      <c r="C197" s="13">
        <v>2018.0</v>
      </c>
      <c r="D197" s="13" t="s">
        <v>3153</v>
      </c>
      <c r="E197" s="13" t="s">
        <v>3179</v>
      </c>
      <c r="F197" s="13" t="s">
        <v>3211</v>
      </c>
      <c r="G197" s="13" t="s">
        <v>3180</v>
      </c>
      <c r="H197" s="13">
        <v>5.0</v>
      </c>
      <c r="I197" s="13" t="s">
        <v>3392</v>
      </c>
      <c r="J197" s="13" t="s">
        <v>3556</v>
      </c>
      <c r="K197" s="13" t="s">
        <v>3183</v>
      </c>
      <c r="L197" s="13" t="s">
        <v>3177</v>
      </c>
      <c r="M197" s="13" t="s">
        <v>3342</v>
      </c>
      <c r="N197" s="13">
        <v>1.0</v>
      </c>
      <c r="O197" s="13" t="s">
        <v>3162</v>
      </c>
      <c r="P197" s="13" t="s">
        <v>3557</v>
      </c>
      <c r="Q197" s="13" t="s">
        <v>3287</v>
      </c>
      <c r="R197" s="13" t="s">
        <v>3260</v>
      </c>
      <c r="S197" s="13" t="s">
        <v>33</v>
      </c>
      <c r="T197" s="13" t="s">
        <v>3164</v>
      </c>
      <c r="U197" s="13" t="s">
        <v>3164</v>
      </c>
      <c r="V197" s="13" t="s">
        <v>3166</v>
      </c>
      <c r="W197" s="13" t="s">
        <v>3167</v>
      </c>
      <c r="X197" s="13" t="s">
        <v>3225</v>
      </c>
    </row>
    <row r="198" ht="14.25" customHeight="1">
      <c r="A198" s="13">
        <v>23647.0</v>
      </c>
      <c r="B198" s="13" t="s">
        <v>3050</v>
      </c>
      <c r="C198" s="13">
        <v>2015.0</v>
      </c>
      <c r="D198" s="13" t="s">
        <v>3153</v>
      </c>
      <c r="E198" s="13" t="s">
        <v>3169</v>
      </c>
      <c r="F198" s="13" t="s">
        <v>3170</v>
      </c>
      <c r="G198" s="13" t="s">
        <v>3156</v>
      </c>
      <c r="H198" s="13" t="s">
        <v>33</v>
      </c>
      <c r="I198" s="13" t="s">
        <v>3157</v>
      </c>
      <c r="J198" s="13" t="s">
        <v>3199</v>
      </c>
      <c r="K198" s="13" t="s">
        <v>3159</v>
      </c>
      <c r="L198" s="13" t="s">
        <v>3177</v>
      </c>
      <c r="M198" s="13" t="s">
        <v>3230</v>
      </c>
      <c r="N198" s="13">
        <v>1.0</v>
      </c>
      <c r="O198" s="13" t="s">
        <v>3162</v>
      </c>
      <c r="P198" s="13" t="s">
        <v>33</v>
      </c>
      <c r="Q198" s="13" t="s">
        <v>3159</v>
      </c>
      <c r="R198" s="13" t="s">
        <v>3177</v>
      </c>
      <c r="S198" s="13" t="s">
        <v>33</v>
      </c>
      <c r="T198" s="13" t="s">
        <v>3228</v>
      </c>
      <c r="U198" s="13" t="s">
        <v>3197</v>
      </c>
      <c r="V198" s="13" t="s">
        <v>3166</v>
      </c>
      <c r="W198" s="13" t="s">
        <v>3167</v>
      </c>
      <c r="X198" s="13" t="s">
        <v>3558</v>
      </c>
    </row>
    <row r="199" ht="14.25" customHeight="1">
      <c r="A199" s="13">
        <v>23656.0</v>
      </c>
      <c r="B199" s="13" t="s">
        <v>291</v>
      </c>
      <c r="C199" s="13">
        <v>2019.0</v>
      </c>
      <c r="D199" s="13" t="s">
        <v>3153</v>
      </c>
      <c r="E199" s="13" t="s">
        <v>3169</v>
      </c>
      <c r="F199" s="13" t="s">
        <v>3217</v>
      </c>
      <c r="G199" s="13" t="s">
        <v>3559</v>
      </c>
      <c r="H199" s="13">
        <v>30.0</v>
      </c>
      <c r="I199" s="13" t="s">
        <v>3167</v>
      </c>
      <c r="J199" s="13" t="s">
        <v>3167</v>
      </c>
      <c r="K199" s="13" t="s">
        <v>3208</v>
      </c>
      <c r="L199" s="13" t="s">
        <v>3160</v>
      </c>
      <c r="M199" s="13" t="s">
        <v>3484</v>
      </c>
      <c r="N199" s="13">
        <v>1.0</v>
      </c>
      <c r="O199" s="13" t="s">
        <v>3267</v>
      </c>
      <c r="P199" s="13" t="s">
        <v>33</v>
      </c>
      <c r="Q199" s="13" t="s">
        <v>3208</v>
      </c>
      <c r="R199" s="13" t="s">
        <v>3160</v>
      </c>
      <c r="S199" s="13" t="s">
        <v>33</v>
      </c>
      <c r="T199" s="13" t="s">
        <v>3247</v>
      </c>
      <c r="U199" s="13" t="s">
        <v>3247</v>
      </c>
      <c r="V199" s="13" t="s">
        <v>3242</v>
      </c>
      <c r="W199" s="13" t="s">
        <v>3248</v>
      </c>
      <c r="X199" s="13" t="s">
        <v>3167</v>
      </c>
    </row>
    <row r="200" ht="14.25" customHeight="1">
      <c r="A200" s="13">
        <v>23657.0</v>
      </c>
      <c r="B200" s="13" t="s">
        <v>291</v>
      </c>
      <c r="C200" s="13">
        <v>2020.0</v>
      </c>
      <c r="D200" s="13" t="s">
        <v>3153</v>
      </c>
      <c r="E200" s="13" t="s">
        <v>3169</v>
      </c>
      <c r="F200" s="13" t="s">
        <v>3192</v>
      </c>
      <c r="G200" s="13" t="s">
        <v>3187</v>
      </c>
      <c r="H200" s="13">
        <v>1.0</v>
      </c>
      <c r="I200" s="13" t="s">
        <v>3188</v>
      </c>
      <c r="J200" s="13" t="s">
        <v>3432</v>
      </c>
      <c r="K200" s="13" t="s">
        <v>3186</v>
      </c>
      <c r="L200" s="13" t="s">
        <v>3177</v>
      </c>
      <c r="M200" s="13" t="s">
        <v>3235</v>
      </c>
      <c r="N200" s="13">
        <v>7.0</v>
      </c>
      <c r="O200" s="13" t="s">
        <v>3175</v>
      </c>
      <c r="P200" s="13" t="s">
        <v>3560</v>
      </c>
      <c r="Q200" s="13" t="s">
        <v>3208</v>
      </c>
      <c r="R200" s="13" t="s">
        <v>3163</v>
      </c>
      <c r="S200" s="13" t="s">
        <v>33</v>
      </c>
      <c r="T200" s="13" t="s">
        <v>3247</v>
      </c>
      <c r="U200" s="13" t="s">
        <v>3247</v>
      </c>
      <c r="V200" s="13" t="s">
        <v>3242</v>
      </c>
      <c r="W200" s="13" t="s">
        <v>3356</v>
      </c>
      <c r="X200" s="13" t="s">
        <v>3167</v>
      </c>
    </row>
    <row r="201" ht="14.25" customHeight="1">
      <c r="A201" s="13">
        <v>23660.0</v>
      </c>
      <c r="B201" s="13" t="s">
        <v>2767</v>
      </c>
      <c r="C201" s="13">
        <v>2011.0</v>
      </c>
      <c r="D201" s="13" t="s">
        <v>3153</v>
      </c>
      <c r="E201" s="13" t="s">
        <v>3154</v>
      </c>
      <c r="F201" s="13" t="s">
        <v>3284</v>
      </c>
      <c r="G201" s="13" t="s">
        <v>33</v>
      </c>
      <c r="H201" s="13" t="s">
        <v>33</v>
      </c>
      <c r="I201" s="13" t="s">
        <v>3171</v>
      </c>
      <c r="J201" s="13" t="s">
        <v>3167</v>
      </c>
      <c r="K201" s="13" t="s">
        <v>3183</v>
      </c>
      <c r="L201" s="13" t="s">
        <v>3160</v>
      </c>
      <c r="M201" s="13" t="s">
        <v>3561</v>
      </c>
      <c r="N201" s="13">
        <v>5.0</v>
      </c>
      <c r="O201" s="13" t="s">
        <v>3162</v>
      </c>
      <c r="P201" s="13" t="s">
        <v>3475</v>
      </c>
      <c r="Q201" s="13" t="s">
        <v>3338</v>
      </c>
      <c r="R201" s="13" t="s">
        <v>3177</v>
      </c>
      <c r="S201" s="13" t="s">
        <v>3221</v>
      </c>
      <c r="T201" s="13" t="s">
        <v>3164</v>
      </c>
      <c r="U201" s="13" t="s">
        <v>3247</v>
      </c>
      <c r="V201" s="13" t="s">
        <v>3166</v>
      </c>
      <c r="W201" s="13" t="s">
        <v>3167</v>
      </c>
      <c r="X201" s="13" t="s">
        <v>3255</v>
      </c>
    </row>
    <row r="202" ht="14.25" customHeight="1">
      <c r="A202" s="13">
        <v>23663.0</v>
      </c>
      <c r="B202" s="13" t="s">
        <v>543</v>
      </c>
      <c r="C202" s="13">
        <v>2020.0</v>
      </c>
      <c r="D202" s="13" t="s">
        <v>3153</v>
      </c>
      <c r="E202" s="13" t="s">
        <v>3154</v>
      </c>
      <c r="F202" s="13" t="s">
        <v>3170</v>
      </c>
      <c r="G202" s="13" t="s">
        <v>33</v>
      </c>
      <c r="H202" s="13" t="s">
        <v>33</v>
      </c>
      <c r="I202" s="13" t="s">
        <v>3188</v>
      </c>
      <c r="J202" s="13" t="s">
        <v>3207</v>
      </c>
      <c r="K202" s="13" t="s">
        <v>3183</v>
      </c>
      <c r="L202" s="13" t="s">
        <v>3177</v>
      </c>
      <c r="M202" s="13" t="s">
        <v>3349</v>
      </c>
      <c r="N202" s="13">
        <v>2.0</v>
      </c>
      <c r="O202" s="13" t="s">
        <v>3162</v>
      </c>
      <c r="P202" s="13" t="s">
        <v>3562</v>
      </c>
      <c r="Q202" s="13" t="s">
        <v>3208</v>
      </c>
      <c r="R202" s="13" t="s">
        <v>3163</v>
      </c>
      <c r="S202" s="13" t="s">
        <v>33</v>
      </c>
      <c r="T202" s="13" t="s">
        <v>3247</v>
      </c>
      <c r="U202" s="13" t="s">
        <v>3247</v>
      </c>
      <c r="V202" s="13" t="s">
        <v>3242</v>
      </c>
      <c r="W202" s="13" t="s">
        <v>3356</v>
      </c>
      <c r="X202" s="13" t="s">
        <v>3167</v>
      </c>
    </row>
    <row r="203" ht="14.25" customHeight="1">
      <c r="A203" s="13">
        <v>23664.0</v>
      </c>
      <c r="B203" s="13" t="s">
        <v>1046</v>
      </c>
      <c r="C203" s="13">
        <v>2015.0</v>
      </c>
      <c r="D203" s="13" t="s">
        <v>3153</v>
      </c>
      <c r="E203" s="13" t="s">
        <v>3169</v>
      </c>
      <c r="F203" s="13" t="s">
        <v>3170</v>
      </c>
      <c r="G203" s="13" t="s">
        <v>3156</v>
      </c>
      <c r="H203" s="13" t="s">
        <v>33</v>
      </c>
      <c r="I203" s="13" t="s">
        <v>3188</v>
      </c>
      <c r="J203" s="13" t="s">
        <v>3207</v>
      </c>
      <c r="K203" s="13" t="s">
        <v>3183</v>
      </c>
      <c r="L203" s="13" t="s">
        <v>3177</v>
      </c>
      <c r="M203" s="13" t="s">
        <v>3230</v>
      </c>
      <c r="N203" s="13">
        <v>1.0</v>
      </c>
      <c r="O203" s="13" t="s">
        <v>3162</v>
      </c>
      <c r="P203" s="13" t="s">
        <v>3563</v>
      </c>
      <c r="Q203" s="13" t="s">
        <v>3183</v>
      </c>
      <c r="R203" s="13" t="s">
        <v>3177</v>
      </c>
      <c r="S203" s="13" t="s">
        <v>33</v>
      </c>
      <c r="T203" s="13" t="s">
        <v>3164</v>
      </c>
      <c r="U203" s="13" t="s">
        <v>3164</v>
      </c>
      <c r="V203" s="13" t="s">
        <v>3166</v>
      </c>
      <c r="W203" s="13" t="s">
        <v>3167</v>
      </c>
      <c r="X203" s="13" t="s">
        <v>3178</v>
      </c>
    </row>
    <row r="204" ht="14.25" customHeight="1">
      <c r="A204" s="13">
        <v>23666.0</v>
      </c>
      <c r="B204" s="13" t="s">
        <v>1244</v>
      </c>
      <c r="C204" s="13">
        <v>2011.0</v>
      </c>
      <c r="D204" s="13" t="s">
        <v>3153</v>
      </c>
      <c r="E204" s="13" t="s">
        <v>3169</v>
      </c>
      <c r="F204" s="13" t="s">
        <v>3155</v>
      </c>
      <c r="G204" s="13" t="s">
        <v>3187</v>
      </c>
      <c r="H204" s="13">
        <v>1.0</v>
      </c>
      <c r="I204" s="13" t="s">
        <v>3244</v>
      </c>
      <c r="J204" s="13" t="s">
        <v>3245</v>
      </c>
      <c r="K204" s="13" t="s">
        <v>3208</v>
      </c>
      <c r="L204" s="13" t="s">
        <v>3160</v>
      </c>
      <c r="M204" s="13" t="s">
        <v>3564</v>
      </c>
      <c r="N204" s="13">
        <v>2.0</v>
      </c>
      <c r="O204" s="13" t="s">
        <v>3162</v>
      </c>
      <c r="P204" s="13" t="s">
        <v>33</v>
      </c>
      <c r="Q204" s="13" t="s">
        <v>3208</v>
      </c>
      <c r="R204" s="13" t="s">
        <v>3177</v>
      </c>
      <c r="S204" s="13" t="s">
        <v>33</v>
      </c>
      <c r="T204" s="13" t="s">
        <v>3247</v>
      </c>
      <c r="U204" s="13" t="s">
        <v>3247</v>
      </c>
      <c r="V204" s="13" t="s">
        <v>3242</v>
      </c>
      <c r="W204" s="13" t="s">
        <v>3248</v>
      </c>
      <c r="X204" s="13" t="s">
        <v>3167</v>
      </c>
    </row>
    <row r="205" ht="14.25" customHeight="1">
      <c r="A205" s="13">
        <v>23669.0</v>
      </c>
      <c r="B205" s="13" t="s">
        <v>665</v>
      </c>
      <c r="C205" s="13">
        <v>2011.0</v>
      </c>
      <c r="D205" s="13" t="s">
        <v>3153</v>
      </c>
      <c r="E205" s="13" t="s">
        <v>3169</v>
      </c>
      <c r="F205" s="13" t="s">
        <v>3170</v>
      </c>
      <c r="G205" s="13" t="s">
        <v>3156</v>
      </c>
      <c r="H205" s="13" t="s">
        <v>33</v>
      </c>
      <c r="I205" s="13" t="s">
        <v>3244</v>
      </c>
      <c r="J205" s="13" t="s">
        <v>3289</v>
      </c>
      <c r="K205" s="13" t="s">
        <v>3159</v>
      </c>
      <c r="L205" s="13" t="s">
        <v>3160</v>
      </c>
      <c r="M205" s="13" t="s">
        <v>3161</v>
      </c>
      <c r="N205" s="13">
        <v>1.0</v>
      </c>
      <c r="O205" s="13" t="s">
        <v>3162</v>
      </c>
      <c r="P205" s="13" t="s">
        <v>33</v>
      </c>
      <c r="Q205" s="13" t="s">
        <v>3159</v>
      </c>
      <c r="R205" s="13" t="s">
        <v>3163</v>
      </c>
      <c r="S205" s="13" t="s">
        <v>33</v>
      </c>
      <c r="T205" s="13" t="s">
        <v>3247</v>
      </c>
      <c r="U205" s="13" t="s">
        <v>3247</v>
      </c>
      <c r="V205" s="13" t="s">
        <v>3242</v>
      </c>
      <c r="W205" s="13" t="s">
        <v>3496</v>
      </c>
      <c r="X205" s="13" t="s">
        <v>3167</v>
      </c>
    </row>
    <row r="206" ht="14.25" customHeight="1">
      <c r="A206" s="13">
        <v>23670.0</v>
      </c>
      <c r="B206" s="13" t="s">
        <v>1612</v>
      </c>
      <c r="C206" s="13">
        <v>2020.0</v>
      </c>
      <c r="D206" s="13" t="s">
        <v>3153</v>
      </c>
      <c r="E206" s="13" t="s">
        <v>3395</v>
      </c>
      <c r="F206" s="13" t="s">
        <v>3170</v>
      </c>
      <c r="G206" s="13" t="s">
        <v>3202</v>
      </c>
      <c r="H206" s="13">
        <v>30.0</v>
      </c>
      <c r="I206" s="13" t="s">
        <v>3188</v>
      </c>
      <c r="J206" s="13" t="s">
        <v>3394</v>
      </c>
      <c r="K206" s="13" t="s">
        <v>3208</v>
      </c>
      <c r="L206" s="13" t="s">
        <v>3160</v>
      </c>
      <c r="M206" s="13" t="s">
        <v>3565</v>
      </c>
      <c r="N206" s="13">
        <v>2.0</v>
      </c>
      <c r="O206" s="13" t="s">
        <v>3162</v>
      </c>
      <c r="P206" s="13" t="s">
        <v>33</v>
      </c>
      <c r="Q206" s="13" t="s">
        <v>3208</v>
      </c>
      <c r="R206" s="13" t="s">
        <v>3163</v>
      </c>
      <c r="S206" s="13" t="s">
        <v>33</v>
      </c>
      <c r="T206" s="13" t="s">
        <v>3197</v>
      </c>
      <c r="U206" s="13" t="s">
        <v>3197</v>
      </c>
      <c r="V206" s="13" t="s">
        <v>3242</v>
      </c>
      <c r="W206" s="13" t="s">
        <v>3481</v>
      </c>
      <c r="X206" s="13" t="s">
        <v>3167</v>
      </c>
    </row>
    <row r="207" ht="14.25" customHeight="1">
      <c r="A207" s="13">
        <v>23674.0</v>
      </c>
      <c r="B207" s="13" t="s">
        <v>1597</v>
      </c>
      <c r="C207" s="13">
        <v>2017.0</v>
      </c>
      <c r="D207" s="13" t="s">
        <v>3153</v>
      </c>
      <c r="E207" s="13" t="s">
        <v>3169</v>
      </c>
      <c r="F207" s="13" t="s">
        <v>3192</v>
      </c>
      <c r="G207" s="13" t="s">
        <v>3156</v>
      </c>
      <c r="H207" s="13" t="s">
        <v>3187</v>
      </c>
      <c r="I207" s="13" t="s">
        <v>3244</v>
      </c>
      <c r="J207" s="13" t="s">
        <v>3289</v>
      </c>
      <c r="K207" s="13" t="s">
        <v>3183</v>
      </c>
      <c r="L207" s="13" t="s">
        <v>3160</v>
      </c>
      <c r="M207" s="13" t="s">
        <v>3258</v>
      </c>
      <c r="N207" s="13">
        <v>1.0</v>
      </c>
      <c r="O207" s="13" t="s">
        <v>3162</v>
      </c>
      <c r="P207" s="13" t="s">
        <v>3566</v>
      </c>
      <c r="Q207" s="13" t="s">
        <v>3567</v>
      </c>
      <c r="R207" s="13" t="s">
        <v>3260</v>
      </c>
      <c r="S207" s="13" t="s">
        <v>33</v>
      </c>
      <c r="T207" s="13" t="s">
        <v>3164</v>
      </c>
      <c r="U207" s="13" t="s">
        <v>3197</v>
      </c>
      <c r="V207" s="13" t="s">
        <v>3166</v>
      </c>
      <c r="W207" s="13" t="s">
        <v>3167</v>
      </c>
      <c r="X207" s="13" t="s">
        <v>3568</v>
      </c>
    </row>
    <row r="208" ht="14.25" customHeight="1">
      <c r="A208" s="13">
        <v>23682.0</v>
      </c>
      <c r="B208" s="13" t="s">
        <v>915</v>
      </c>
      <c r="C208" s="13">
        <v>2018.0</v>
      </c>
      <c r="D208" s="13" t="s">
        <v>3153</v>
      </c>
      <c r="E208" s="13" t="s">
        <v>3169</v>
      </c>
      <c r="F208" s="13" t="s">
        <v>3170</v>
      </c>
      <c r="G208" s="13" t="s">
        <v>3156</v>
      </c>
      <c r="H208" s="13" t="s">
        <v>33</v>
      </c>
      <c r="I208" s="13" t="s">
        <v>3244</v>
      </c>
      <c r="J208" s="13" t="s">
        <v>3245</v>
      </c>
      <c r="K208" s="13" t="s">
        <v>3173</v>
      </c>
      <c r="L208" s="13" t="s">
        <v>3160</v>
      </c>
      <c r="M208" s="13" t="s">
        <v>3569</v>
      </c>
      <c r="N208" s="13">
        <v>5.0</v>
      </c>
      <c r="O208" s="13" t="s">
        <v>3162</v>
      </c>
      <c r="P208" s="13" t="s">
        <v>33</v>
      </c>
      <c r="Q208" s="13" t="s">
        <v>3159</v>
      </c>
      <c r="R208" s="13" t="s">
        <v>3163</v>
      </c>
      <c r="S208" s="13" t="s">
        <v>33</v>
      </c>
      <c r="T208" s="13" t="s">
        <v>3164</v>
      </c>
      <c r="U208" s="13" t="s">
        <v>3165</v>
      </c>
      <c r="V208" s="13" t="s">
        <v>3166</v>
      </c>
      <c r="W208" s="13" t="s">
        <v>3167</v>
      </c>
      <c r="X208" s="13" t="s">
        <v>3178</v>
      </c>
    </row>
    <row r="209" ht="14.25" customHeight="1">
      <c r="A209" s="13">
        <v>23684.0</v>
      </c>
      <c r="B209" s="13" t="s">
        <v>2359</v>
      </c>
      <c r="C209" s="13">
        <v>2013.0</v>
      </c>
      <c r="D209" s="13" t="s">
        <v>3153</v>
      </c>
      <c r="E209" s="13" t="s">
        <v>3169</v>
      </c>
      <c r="F209" s="13" t="s">
        <v>3170</v>
      </c>
      <c r="G209" s="13" t="s">
        <v>3156</v>
      </c>
      <c r="H209" s="13" t="s">
        <v>33</v>
      </c>
      <c r="I209" s="13" t="s">
        <v>3157</v>
      </c>
      <c r="J209" s="13" t="s">
        <v>3570</v>
      </c>
      <c r="K209" s="13" t="s">
        <v>3208</v>
      </c>
      <c r="L209" s="13" t="s">
        <v>3160</v>
      </c>
      <c r="M209" s="13" t="s">
        <v>3571</v>
      </c>
      <c r="N209" s="13">
        <v>2.0</v>
      </c>
      <c r="O209" s="13" t="s">
        <v>3267</v>
      </c>
      <c r="P209" s="13" t="s">
        <v>33</v>
      </c>
      <c r="Q209" s="13" t="s">
        <v>3208</v>
      </c>
      <c r="R209" s="13" t="s">
        <v>3163</v>
      </c>
      <c r="S209" s="13" t="s">
        <v>33</v>
      </c>
      <c r="T209" s="13" t="s">
        <v>3247</v>
      </c>
      <c r="U209" s="13" t="s">
        <v>3247</v>
      </c>
      <c r="V209" s="13" t="s">
        <v>3242</v>
      </c>
      <c r="W209" s="13" t="s">
        <v>3572</v>
      </c>
      <c r="X209" s="13" t="s">
        <v>3167</v>
      </c>
    </row>
    <row r="210" ht="14.25" customHeight="1">
      <c r="A210" s="13">
        <v>23685.0</v>
      </c>
      <c r="B210" s="13" t="s">
        <v>3573</v>
      </c>
      <c r="C210" s="13">
        <v>2020.0</v>
      </c>
      <c r="D210" s="13" t="s">
        <v>3153</v>
      </c>
      <c r="E210" s="13" t="s">
        <v>3465</v>
      </c>
      <c r="F210" s="13" t="s">
        <v>3192</v>
      </c>
      <c r="G210" s="13" t="s">
        <v>3304</v>
      </c>
      <c r="H210" s="13">
        <v>25.0</v>
      </c>
      <c r="I210" s="13" t="s">
        <v>3244</v>
      </c>
      <c r="J210" s="13" t="s">
        <v>3289</v>
      </c>
      <c r="K210" s="13" t="s">
        <v>3208</v>
      </c>
      <c r="L210" s="13" t="s">
        <v>3160</v>
      </c>
      <c r="M210" s="13" t="s">
        <v>3574</v>
      </c>
      <c r="N210" s="13">
        <v>4.0</v>
      </c>
      <c r="O210" s="13" t="s">
        <v>3162</v>
      </c>
      <c r="P210" s="13" t="s">
        <v>33</v>
      </c>
      <c r="Q210" s="13" t="s">
        <v>3335</v>
      </c>
      <c r="R210" s="13" t="s">
        <v>3163</v>
      </c>
      <c r="S210" s="13" t="s">
        <v>33</v>
      </c>
      <c r="T210" s="13" t="s">
        <v>3195</v>
      </c>
      <c r="U210" s="13" t="s">
        <v>3195</v>
      </c>
      <c r="V210" s="13" t="s">
        <v>3195</v>
      </c>
      <c r="W210" s="13" t="s">
        <v>3167</v>
      </c>
      <c r="X210" s="13" t="s">
        <v>3167</v>
      </c>
    </row>
    <row r="211" ht="14.25" customHeight="1">
      <c r="A211" s="13">
        <v>23689.0</v>
      </c>
      <c r="B211" s="13" t="s">
        <v>2082</v>
      </c>
      <c r="C211" s="13">
        <v>2019.0</v>
      </c>
      <c r="D211" s="13" t="s">
        <v>3153</v>
      </c>
      <c r="E211" s="13" t="s">
        <v>3169</v>
      </c>
      <c r="F211" s="13" t="s">
        <v>3192</v>
      </c>
      <c r="G211" s="13" t="s">
        <v>3187</v>
      </c>
      <c r="H211" s="13">
        <v>1.0</v>
      </c>
      <c r="I211" s="13" t="s">
        <v>3157</v>
      </c>
      <c r="J211" s="13" t="s">
        <v>3348</v>
      </c>
      <c r="K211" s="13" t="s">
        <v>3183</v>
      </c>
      <c r="L211" s="13" t="s">
        <v>3160</v>
      </c>
      <c r="M211" s="13" t="s">
        <v>3230</v>
      </c>
      <c r="N211" s="13">
        <v>1.0</v>
      </c>
      <c r="O211" s="13" t="s">
        <v>3162</v>
      </c>
      <c r="P211" s="13" t="s">
        <v>3575</v>
      </c>
      <c r="Q211" s="13" t="s">
        <v>3183</v>
      </c>
      <c r="R211" s="13" t="s">
        <v>3231</v>
      </c>
      <c r="S211" s="13" t="s">
        <v>3576</v>
      </c>
      <c r="T211" s="13" t="s">
        <v>3232</v>
      </c>
      <c r="U211" s="13" t="s">
        <v>3232</v>
      </c>
      <c r="V211" s="13" t="s">
        <v>3166</v>
      </c>
      <c r="W211" s="13" t="s">
        <v>3167</v>
      </c>
      <c r="X211" s="13" t="s">
        <v>3216</v>
      </c>
    </row>
    <row r="212" ht="14.25" customHeight="1">
      <c r="A212" s="13">
        <v>23691.0</v>
      </c>
      <c r="B212" s="13" t="s">
        <v>1945</v>
      </c>
      <c r="C212" s="13">
        <v>2011.0</v>
      </c>
      <c r="D212" s="13" t="s">
        <v>3153</v>
      </c>
      <c r="E212" s="13" t="s">
        <v>3154</v>
      </c>
      <c r="F212" s="13" t="s">
        <v>3170</v>
      </c>
      <c r="G212" s="13" t="s">
        <v>3156</v>
      </c>
      <c r="H212" s="13" t="s">
        <v>33</v>
      </c>
      <c r="I212" s="13" t="s">
        <v>3244</v>
      </c>
      <c r="J212" s="13" t="s">
        <v>3289</v>
      </c>
      <c r="K212" s="13" t="s">
        <v>3159</v>
      </c>
      <c r="L212" s="13" t="s">
        <v>3160</v>
      </c>
      <c r="M212" s="13" t="s">
        <v>3161</v>
      </c>
      <c r="N212" s="13">
        <v>1.0</v>
      </c>
      <c r="O212" s="13" t="s">
        <v>3162</v>
      </c>
      <c r="P212" s="13" t="s">
        <v>33</v>
      </c>
      <c r="Q212" s="13" t="s">
        <v>3210</v>
      </c>
      <c r="R212" s="13" t="s">
        <v>3163</v>
      </c>
      <c r="S212" s="13" t="s">
        <v>33</v>
      </c>
      <c r="T212" s="13" t="s">
        <v>3195</v>
      </c>
      <c r="U212" s="13" t="s">
        <v>3195</v>
      </c>
      <c r="V212" s="13" t="s">
        <v>3195</v>
      </c>
      <c r="W212" s="13" t="s">
        <v>3167</v>
      </c>
      <c r="X212" s="13" t="s">
        <v>3167</v>
      </c>
    </row>
    <row r="213" ht="14.25" customHeight="1">
      <c r="A213" s="13">
        <v>23694.0</v>
      </c>
      <c r="B213" s="13" t="s">
        <v>2326</v>
      </c>
      <c r="C213" s="13">
        <v>2010.0</v>
      </c>
      <c r="D213" s="13" t="s">
        <v>3153</v>
      </c>
      <c r="E213" s="13" t="s">
        <v>3169</v>
      </c>
      <c r="F213" s="13" t="s">
        <v>3155</v>
      </c>
      <c r="G213" s="13" t="s">
        <v>3187</v>
      </c>
      <c r="H213" s="13">
        <v>1.0</v>
      </c>
      <c r="I213" s="13" t="s">
        <v>3244</v>
      </c>
      <c r="J213" s="13" t="s">
        <v>3531</v>
      </c>
      <c r="K213" s="13" t="s">
        <v>3159</v>
      </c>
      <c r="L213" s="13" t="s">
        <v>3177</v>
      </c>
      <c r="M213" s="13" t="s">
        <v>3577</v>
      </c>
      <c r="N213" s="13">
        <v>3.0</v>
      </c>
      <c r="O213" s="13" t="s">
        <v>3175</v>
      </c>
      <c r="P213" s="13" t="s">
        <v>33</v>
      </c>
      <c r="Q213" s="13" t="s">
        <v>3159</v>
      </c>
      <c r="R213" s="13" t="s">
        <v>3163</v>
      </c>
      <c r="S213" s="13" t="s">
        <v>33</v>
      </c>
      <c r="T213" s="13" t="s">
        <v>3197</v>
      </c>
      <c r="U213" s="13" t="s">
        <v>3197</v>
      </c>
      <c r="V213" s="13" t="s">
        <v>3166</v>
      </c>
      <c r="W213" s="13" t="s">
        <v>3167</v>
      </c>
      <c r="X213" s="13" t="s">
        <v>3276</v>
      </c>
    </row>
    <row r="214" ht="14.25" customHeight="1">
      <c r="A214" s="13">
        <v>23698.0</v>
      </c>
      <c r="B214" s="13" t="s">
        <v>3073</v>
      </c>
      <c r="C214" s="13">
        <v>2019.0</v>
      </c>
      <c r="D214" s="13" t="s">
        <v>3153</v>
      </c>
      <c r="E214" s="13" t="s">
        <v>3169</v>
      </c>
      <c r="F214" s="13" t="s">
        <v>3170</v>
      </c>
      <c r="G214" s="13" t="s">
        <v>3156</v>
      </c>
      <c r="H214" s="13" t="s">
        <v>33</v>
      </c>
      <c r="I214" s="13" t="s">
        <v>3203</v>
      </c>
      <c r="J214" s="13" t="s">
        <v>3204</v>
      </c>
      <c r="K214" s="13" t="s">
        <v>3159</v>
      </c>
      <c r="L214" s="13" t="s">
        <v>3177</v>
      </c>
      <c r="M214" s="13" t="s">
        <v>3369</v>
      </c>
      <c r="N214" s="13">
        <v>1.0</v>
      </c>
      <c r="O214" s="13" t="s">
        <v>3162</v>
      </c>
      <c r="P214" s="13" t="s">
        <v>33</v>
      </c>
      <c r="Q214" s="13" t="s">
        <v>3287</v>
      </c>
      <c r="R214" s="13" t="s">
        <v>3163</v>
      </c>
      <c r="S214" s="13" t="s">
        <v>33</v>
      </c>
      <c r="T214" s="13" t="s">
        <v>3164</v>
      </c>
      <c r="U214" s="13" t="s">
        <v>3164</v>
      </c>
      <c r="V214" s="13" t="s">
        <v>3166</v>
      </c>
      <c r="W214" s="13" t="s">
        <v>3167</v>
      </c>
      <c r="X214" s="13" t="s">
        <v>3178</v>
      </c>
    </row>
    <row r="215" ht="14.25" customHeight="1">
      <c r="A215" s="13">
        <v>23699.0</v>
      </c>
      <c r="B215" s="13" t="s">
        <v>248</v>
      </c>
      <c r="C215" s="13">
        <v>2014.0</v>
      </c>
      <c r="D215" s="13" t="s">
        <v>3153</v>
      </c>
      <c r="E215" s="13" t="s">
        <v>3169</v>
      </c>
      <c r="F215" s="13" t="s">
        <v>3170</v>
      </c>
      <c r="G215" s="13" t="s">
        <v>33</v>
      </c>
      <c r="H215" s="13" t="s">
        <v>33</v>
      </c>
      <c r="I215" s="13" t="s">
        <v>3188</v>
      </c>
      <c r="J215" s="13" t="s">
        <v>3207</v>
      </c>
      <c r="K215" s="13" t="s">
        <v>3208</v>
      </c>
      <c r="L215" s="13" t="s">
        <v>3160</v>
      </c>
      <c r="M215" s="13" t="s">
        <v>3328</v>
      </c>
      <c r="N215" s="13">
        <v>1.0</v>
      </c>
      <c r="O215" s="13" t="s">
        <v>3267</v>
      </c>
      <c r="P215" s="13" t="s">
        <v>33</v>
      </c>
      <c r="Q215" s="13" t="s">
        <v>3346</v>
      </c>
      <c r="R215" s="13" t="s">
        <v>3163</v>
      </c>
      <c r="S215" s="13" t="s">
        <v>33</v>
      </c>
      <c r="T215" s="13" t="s">
        <v>3195</v>
      </c>
      <c r="U215" s="13" t="s">
        <v>3195</v>
      </c>
      <c r="V215" s="13" t="s">
        <v>3195</v>
      </c>
      <c r="W215" s="13" t="s">
        <v>3248</v>
      </c>
      <c r="X215" s="13" t="s">
        <v>3167</v>
      </c>
    </row>
    <row r="216" ht="14.25" customHeight="1">
      <c r="A216" s="13">
        <v>23700.0</v>
      </c>
      <c r="B216" s="13" t="s">
        <v>248</v>
      </c>
      <c r="C216" s="13">
        <v>2019.0</v>
      </c>
      <c r="D216" s="13" t="s">
        <v>3153</v>
      </c>
      <c r="E216" s="13" t="s">
        <v>3169</v>
      </c>
      <c r="F216" s="13" t="s">
        <v>3284</v>
      </c>
      <c r="G216" s="13" t="s">
        <v>3187</v>
      </c>
      <c r="H216" s="13">
        <v>1.0</v>
      </c>
      <c r="I216" s="13" t="s">
        <v>3188</v>
      </c>
      <c r="J216" s="13" t="s">
        <v>3167</v>
      </c>
      <c r="K216" s="13" t="s">
        <v>3183</v>
      </c>
      <c r="L216" s="13" t="s">
        <v>3177</v>
      </c>
      <c r="M216" s="13" t="s">
        <v>3578</v>
      </c>
      <c r="N216" s="13">
        <v>2.0</v>
      </c>
      <c r="O216" s="13" t="s">
        <v>3267</v>
      </c>
      <c r="P216" s="13" t="s">
        <v>3579</v>
      </c>
      <c r="Q216" s="13" t="s">
        <v>3183</v>
      </c>
      <c r="R216" s="13" t="s">
        <v>3163</v>
      </c>
      <c r="S216" s="13" t="s">
        <v>3397</v>
      </c>
      <c r="T216" s="13" t="s">
        <v>3164</v>
      </c>
      <c r="U216" s="13" t="s">
        <v>3232</v>
      </c>
      <c r="V216" s="13" t="s">
        <v>3166</v>
      </c>
      <c r="W216" s="13" t="s">
        <v>3167</v>
      </c>
      <c r="X216" s="13" t="s">
        <v>3178</v>
      </c>
    </row>
    <row r="217" ht="14.25" customHeight="1">
      <c r="A217" s="13">
        <v>23701.0</v>
      </c>
      <c r="B217" s="13" t="s">
        <v>248</v>
      </c>
      <c r="C217" s="13">
        <v>2020.0</v>
      </c>
      <c r="D217" s="13" t="s">
        <v>3153</v>
      </c>
      <c r="E217" s="13" t="s">
        <v>3169</v>
      </c>
      <c r="F217" s="13" t="s">
        <v>3192</v>
      </c>
      <c r="G217" s="13" t="s">
        <v>3156</v>
      </c>
      <c r="H217" s="13" t="s">
        <v>3167</v>
      </c>
      <c r="I217" s="13" t="s">
        <v>3188</v>
      </c>
      <c r="J217" s="13" t="s">
        <v>3207</v>
      </c>
      <c r="K217" s="13" t="s">
        <v>3208</v>
      </c>
      <c r="L217" s="13" t="s">
        <v>3160</v>
      </c>
      <c r="M217" s="13" t="s">
        <v>3331</v>
      </c>
      <c r="N217" s="13">
        <v>1.0</v>
      </c>
      <c r="O217" s="13" t="s">
        <v>3162</v>
      </c>
      <c r="P217" s="13" t="s">
        <v>3167</v>
      </c>
      <c r="Q217" s="13" t="s">
        <v>3580</v>
      </c>
      <c r="R217" s="13" t="s">
        <v>3231</v>
      </c>
      <c r="S217" s="13" t="s">
        <v>33</v>
      </c>
      <c r="T217" s="13" t="s">
        <v>3164</v>
      </c>
      <c r="U217" s="13" t="s">
        <v>3232</v>
      </c>
      <c r="V217" s="13" t="s">
        <v>3166</v>
      </c>
      <c r="W217" s="13" t="s">
        <v>3167</v>
      </c>
      <c r="X217" s="13" t="s">
        <v>3224</v>
      </c>
    </row>
    <row r="218" ht="14.25" customHeight="1">
      <c r="A218" s="13">
        <v>23704.0</v>
      </c>
      <c r="B218" s="13" t="s">
        <v>2196</v>
      </c>
      <c r="C218" s="13">
        <v>2020.0</v>
      </c>
      <c r="D218" s="13" t="s">
        <v>3153</v>
      </c>
      <c r="E218" s="13" t="s">
        <v>3169</v>
      </c>
      <c r="F218" s="13" t="s">
        <v>3192</v>
      </c>
      <c r="G218" s="13" t="s">
        <v>33</v>
      </c>
      <c r="H218" s="13" t="s">
        <v>33</v>
      </c>
      <c r="I218" s="13" t="s">
        <v>3188</v>
      </c>
      <c r="J218" s="13" t="s">
        <v>3233</v>
      </c>
      <c r="K218" s="13" t="s">
        <v>3201</v>
      </c>
      <c r="L218" s="13" t="s">
        <v>3177</v>
      </c>
      <c r="M218" s="13" t="s">
        <v>3391</v>
      </c>
      <c r="N218" s="13">
        <v>1.0</v>
      </c>
      <c r="O218" s="13" t="s">
        <v>3162</v>
      </c>
      <c r="P218" s="13" t="s">
        <v>33</v>
      </c>
      <c r="Q218" s="13" t="s">
        <v>3159</v>
      </c>
      <c r="R218" s="13" t="s">
        <v>3163</v>
      </c>
      <c r="S218" s="13" t="s">
        <v>33</v>
      </c>
      <c r="T218" s="13" t="s">
        <v>3232</v>
      </c>
      <c r="U218" s="13" t="s">
        <v>3232</v>
      </c>
      <c r="V218" s="13" t="s">
        <v>3166</v>
      </c>
      <c r="W218" s="13" t="s">
        <v>3167</v>
      </c>
      <c r="X218" s="13" t="s">
        <v>3178</v>
      </c>
    </row>
    <row r="219" ht="14.25" customHeight="1">
      <c r="A219" s="13">
        <v>23706.0</v>
      </c>
      <c r="B219" s="13" t="s">
        <v>1913</v>
      </c>
      <c r="C219" s="13">
        <v>2018.0</v>
      </c>
      <c r="D219" s="13" t="s">
        <v>3153</v>
      </c>
      <c r="E219" s="13" t="s">
        <v>3179</v>
      </c>
      <c r="F219" s="13" t="s">
        <v>3192</v>
      </c>
      <c r="G219" s="13" t="s">
        <v>3156</v>
      </c>
      <c r="H219" s="13" t="s">
        <v>3167</v>
      </c>
      <c r="I219" s="13" t="s">
        <v>3261</v>
      </c>
      <c r="J219" s="13" t="s">
        <v>3274</v>
      </c>
      <c r="K219" s="13" t="s">
        <v>3159</v>
      </c>
      <c r="L219" s="13" t="s">
        <v>3160</v>
      </c>
      <c r="M219" s="13" t="s">
        <v>3317</v>
      </c>
      <c r="N219" s="13">
        <v>1.0</v>
      </c>
      <c r="O219" s="13" t="s">
        <v>3162</v>
      </c>
      <c r="P219" s="13" t="s">
        <v>3167</v>
      </c>
      <c r="Q219" s="13" t="s">
        <v>3159</v>
      </c>
      <c r="R219" s="13" t="s">
        <v>3231</v>
      </c>
      <c r="S219" s="13" t="s">
        <v>33</v>
      </c>
      <c r="T219" s="13" t="s">
        <v>3165</v>
      </c>
      <c r="U219" s="13" t="s">
        <v>3165</v>
      </c>
      <c r="V219" s="13" t="s">
        <v>3166</v>
      </c>
      <c r="W219" s="13" t="s">
        <v>3167</v>
      </c>
      <c r="X219" s="13" t="s">
        <v>3178</v>
      </c>
    </row>
    <row r="220" ht="14.25" customHeight="1">
      <c r="A220" s="13">
        <v>23710.0</v>
      </c>
      <c r="B220" s="13" t="s">
        <v>2884</v>
      </c>
      <c r="C220" s="13">
        <v>2020.0</v>
      </c>
      <c r="D220" s="13" t="s">
        <v>3153</v>
      </c>
      <c r="E220" s="13" t="s">
        <v>3169</v>
      </c>
      <c r="F220" s="13" t="s">
        <v>3284</v>
      </c>
      <c r="G220" s="13" t="s">
        <v>3187</v>
      </c>
      <c r="H220" s="13">
        <v>9.0</v>
      </c>
      <c r="I220" s="13" t="s">
        <v>3157</v>
      </c>
      <c r="J220" s="13" t="s">
        <v>3167</v>
      </c>
      <c r="K220" s="13" t="s">
        <v>3183</v>
      </c>
      <c r="L220" s="13" t="s">
        <v>3160</v>
      </c>
      <c r="M220" s="13" t="s">
        <v>3581</v>
      </c>
      <c r="N220" s="13">
        <v>20.0</v>
      </c>
      <c r="O220" s="13" t="s">
        <v>3175</v>
      </c>
      <c r="P220" s="13" t="s">
        <v>3582</v>
      </c>
      <c r="Q220" s="13" t="s">
        <v>3379</v>
      </c>
      <c r="R220" s="13" t="s">
        <v>3163</v>
      </c>
      <c r="S220" s="13" t="s">
        <v>3397</v>
      </c>
      <c r="T220" s="13" t="s">
        <v>3197</v>
      </c>
      <c r="U220" s="13" t="s">
        <v>3197</v>
      </c>
      <c r="V220" s="13" t="s">
        <v>3166</v>
      </c>
      <c r="W220" s="13" t="s">
        <v>3167</v>
      </c>
      <c r="X220" s="13" t="s">
        <v>3276</v>
      </c>
    </row>
    <row r="221" ht="14.25" customHeight="1">
      <c r="A221" s="13">
        <v>23713.0</v>
      </c>
      <c r="B221" s="13" t="s">
        <v>2631</v>
      </c>
      <c r="C221" s="13">
        <v>2019.0</v>
      </c>
      <c r="D221" s="13" t="s">
        <v>3153</v>
      </c>
      <c r="E221" s="13" t="s">
        <v>3169</v>
      </c>
      <c r="F221" s="13" t="s">
        <v>3170</v>
      </c>
      <c r="G221" s="13" t="s">
        <v>3202</v>
      </c>
      <c r="H221" s="13">
        <v>10.0</v>
      </c>
      <c r="I221" s="13" t="s">
        <v>3171</v>
      </c>
      <c r="J221" s="13" t="s">
        <v>3318</v>
      </c>
      <c r="K221" s="13" t="s">
        <v>3208</v>
      </c>
      <c r="L221" s="13" t="s">
        <v>3160</v>
      </c>
      <c r="M221" s="13" t="s">
        <v>3200</v>
      </c>
      <c r="N221" s="13">
        <v>1.0</v>
      </c>
      <c r="O221" s="13" t="s">
        <v>3267</v>
      </c>
      <c r="P221" s="13" t="s">
        <v>33</v>
      </c>
      <c r="Q221" s="13" t="s">
        <v>3210</v>
      </c>
      <c r="R221" s="13" t="s">
        <v>3163</v>
      </c>
      <c r="S221" s="13" t="s">
        <v>33</v>
      </c>
      <c r="T221" s="13" t="s">
        <v>3195</v>
      </c>
      <c r="U221" s="13" t="s">
        <v>3195</v>
      </c>
      <c r="V221" s="13" t="s">
        <v>3195</v>
      </c>
      <c r="W221" s="13" t="s">
        <v>3167</v>
      </c>
      <c r="X221" s="13" t="s">
        <v>3167</v>
      </c>
    </row>
    <row r="222" ht="14.25" customHeight="1">
      <c r="A222" s="13">
        <v>23714.0</v>
      </c>
      <c r="B222" s="13" t="s">
        <v>1749</v>
      </c>
      <c r="C222" s="13">
        <v>2020.0</v>
      </c>
      <c r="D222" s="13" t="s">
        <v>3153</v>
      </c>
      <c r="E222" s="13" t="s">
        <v>3465</v>
      </c>
      <c r="F222" s="13" t="s">
        <v>3170</v>
      </c>
      <c r="G222" s="13" t="s">
        <v>3202</v>
      </c>
      <c r="H222" s="13">
        <v>57.0</v>
      </c>
      <c r="I222" s="13" t="s">
        <v>3171</v>
      </c>
      <c r="J222" s="13" t="s">
        <v>3318</v>
      </c>
      <c r="K222" s="13" t="s">
        <v>3208</v>
      </c>
      <c r="L222" s="13" t="s">
        <v>3160</v>
      </c>
      <c r="M222" s="13" t="s">
        <v>3583</v>
      </c>
      <c r="N222" s="13">
        <v>4.0</v>
      </c>
      <c r="O222" s="13" t="s">
        <v>3162</v>
      </c>
      <c r="P222" s="13" t="s">
        <v>3167</v>
      </c>
      <c r="Q222" s="13" t="s">
        <v>3208</v>
      </c>
      <c r="R222" s="13" t="s">
        <v>3231</v>
      </c>
      <c r="S222" s="13" t="s">
        <v>33</v>
      </c>
      <c r="T222" s="13" t="s">
        <v>3247</v>
      </c>
      <c r="U222" s="13" t="s">
        <v>3247</v>
      </c>
      <c r="V222" s="13" t="s">
        <v>3242</v>
      </c>
      <c r="W222" s="13" t="s">
        <v>3248</v>
      </c>
      <c r="X222" s="13" t="s">
        <v>3167</v>
      </c>
    </row>
    <row r="223" ht="14.25" customHeight="1">
      <c r="A223" s="13">
        <v>23718.0</v>
      </c>
      <c r="B223" s="13" t="s">
        <v>1937</v>
      </c>
      <c r="C223" s="13">
        <v>2015.0</v>
      </c>
      <c r="D223" s="13" t="s">
        <v>3315</v>
      </c>
      <c r="E223" s="13" t="s">
        <v>3179</v>
      </c>
      <c r="F223" s="13" t="s">
        <v>3211</v>
      </c>
      <c r="G223" s="13" t="s">
        <v>3156</v>
      </c>
      <c r="H223" s="13" t="s">
        <v>33</v>
      </c>
      <c r="I223" s="13" t="s">
        <v>3249</v>
      </c>
      <c r="J223" s="13" t="s">
        <v>3584</v>
      </c>
      <c r="K223" s="13" t="s">
        <v>3173</v>
      </c>
      <c r="L223" s="13" t="s">
        <v>3160</v>
      </c>
      <c r="M223" s="13" t="s">
        <v>3196</v>
      </c>
      <c r="N223" s="13">
        <v>1.0</v>
      </c>
      <c r="O223" s="13" t="s">
        <v>3162</v>
      </c>
      <c r="P223" s="13" t="s">
        <v>33</v>
      </c>
      <c r="Q223" s="13" t="s">
        <v>3173</v>
      </c>
      <c r="R223" s="13" t="s">
        <v>3163</v>
      </c>
      <c r="S223" s="13" t="s">
        <v>33</v>
      </c>
      <c r="T223" s="13" t="s">
        <v>3252</v>
      </c>
      <c r="U223" s="13" t="s">
        <v>3252</v>
      </c>
      <c r="V223" s="13" t="s">
        <v>3253</v>
      </c>
      <c r="W223" s="13" t="s">
        <v>3254</v>
      </c>
      <c r="X223" s="13" t="s">
        <v>3585</v>
      </c>
    </row>
    <row r="224" ht="14.25" customHeight="1">
      <c r="A224" s="13">
        <v>23722.0</v>
      </c>
      <c r="B224" s="13" t="s">
        <v>3586</v>
      </c>
      <c r="C224" s="13">
        <v>2019.0</v>
      </c>
      <c r="D224" s="13" t="s">
        <v>3153</v>
      </c>
      <c r="E224" s="13" t="s">
        <v>3169</v>
      </c>
      <c r="F224" s="13" t="s">
        <v>3284</v>
      </c>
      <c r="G224" s="13" t="s">
        <v>3156</v>
      </c>
      <c r="H224" s="13" t="s">
        <v>33</v>
      </c>
      <c r="I224" s="13" t="s">
        <v>3157</v>
      </c>
      <c r="J224" s="13" t="s">
        <v>3167</v>
      </c>
      <c r="K224" s="13" t="s">
        <v>3186</v>
      </c>
      <c r="L224" s="13" t="s">
        <v>3177</v>
      </c>
      <c r="M224" s="13" t="s">
        <v>3587</v>
      </c>
      <c r="N224" s="13">
        <v>1.0</v>
      </c>
      <c r="O224" s="13" t="s">
        <v>3162</v>
      </c>
      <c r="P224" s="13" t="s">
        <v>33</v>
      </c>
      <c r="Q224" s="13" t="s">
        <v>3186</v>
      </c>
      <c r="R224" s="13" t="s">
        <v>3177</v>
      </c>
      <c r="S224" s="13" t="s">
        <v>33</v>
      </c>
      <c r="T224" s="13" t="s">
        <v>3252</v>
      </c>
      <c r="U224" s="13" t="s">
        <v>3252</v>
      </c>
      <c r="V224" s="13" t="s">
        <v>3166</v>
      </c>
      <c r="W224" s="13" t="s">
        <v>3294</v>
      </c>
      <c r="X224" s="13" t="s">
        <v>3476</v>
      </c>
    </row>
    <row r="225" ht="14.25" customHeight="1">
      <c r="A225" s="13">
        <v>23726.0</v>
      </c>
      <c r="B225" s="13" t="s">
        <v>3586</v>
      </c>
      <c r="C225" s="13">
        <v>2018.0</v>
      </c>
      <c r="D225" s="13" t="s">
        <v>3153</v>
      </c>
      <c r="E225" s="13" t="s">
        <v>3169</v>
      </c>
      <c r="F225" s="13" t="s">
        <v>3217</v>
      </c>
      <c r="G225" s="13" t="s">
        <v>3187</v>
      </c>
      <c r="H225" s="13">
        <v>1.0</v>
      </c>
      <c r="I225" s="13" t="s">
        <v>3167</v>
      </c>
      <c r="J225" s="13" t="s">
        <v>3167</v>
      </c>
      <c r="K225" s="13" t="s">
        <v>3218</v>
      </c>
      <c r="L225" s="13" t="s">
        <v>3177</v>
      </c>
      <c r="M225" s="13" t="s">
        <v>3235</v>
      </c>
      <c r="N225" s="13">
        <v>7.0</v>
      </c>
      <c r="O225" s="13" t="s">
        <v>3175</v>
      </c>
      <c r="P225" s="13" t="s">
        <v>3236</v>
      </c>
      <c r="Q225" s="13" t="s">
        <v>3183</v>
      </c>
      <c r="R225" s="13" t="s">
        <v>3163</v>
      </c>
      <c r="S225" s="13" t="s">
        <v>3397</v>
      </c>
      <c r="T225" s="13" t="s">
        <v>3232</v>
      </c>
      <c r="U225" s="13" t="s">
        <v>3232</v>
      </c>
      <c r="V225" s="13" t="s">
        <v>3166</v>
      </c>
      <c r="W225" s="13" t="s">
        <v>3167</v>
      </c>
      <c r="X225" s="13" t="s">
        <v>3178</v>
      </c>
    </row>
    <row r="226" ht="14.25" customHeight="1">
      <c r="A226" s="13">
        <v>23727.0</v>
      </c>
      <c r="B226" s="13" t="s">
        <v>3586</v>
      </c>
      <c r="C226" s="13">
        <v>2019.0</v>
      </c>
      <c r="D226" s="13" t="s">
        <v>3153</v>
      </c>
      <c r="E226" s="13" t="s">
        <v>3169</v>
      </c>
      <c r="F226" s="13" t="s">
        <v>3217</v>
      </c>
      <c r="G226" s="13" t="s">
        <v>3588</v>
      </c>
      <c r="H226" s="13">
        <v>30.0</v>
      </c>
      <c r="I226" s="13" t="s">
        <v>3167</v>
      </c>
      <c r="J226" s="13" t="s">
        <v>3167</v>
      </c>
      <c r="K226" s="13" t="s">
        <v>3589</v>
      </c>
      <c r="L226" s="13" t="s">
        <v>3160</v>
      </c>
      <c r="M226" s="13" t="s">
        <v>3590</v>
      </c>
      <c r="N226" s="13">
        <v>4.0</v>
      </c>
      <c r="O226" s="13" t="s">
        <v>3175</v>
      </c>
      <c r="P226" s="13" t="s">
        <v>3591</v>
      </c>
      <c r="Q226" s="13" t="s">
        <v>3183</v>
      </c>
      <c r="R226" s="13" t="s">
        <v>3260</v>
      </c>
      <c r="S226" s="13" t="s">
        <v>33</v>
      </c>
      <c r="T226" s="13" t="s">
        <v>3197</v>
      </c>
      <c r="U226" s="13" t="s">
        <v>3197</v>
      </c>
      <c r="V226" s="13" t="s">
        <v>3242</v>
      </c>
      <c r="W226" s="13" t="s">
        <v>3294</v>
      </c>
      <c r="X226" s="13" t="s">
        <v>3167</v>
      </c>
    </row>
    <row r="227" ht="14.25" customHeight="1">
      <c r="A227" s="13">
        <v>23728.0</v>
      </c>
      <c r="B227" s="13" t="s">
        <v>3586</v>
      </c>
      <c r="C227" s="13">
        <v>2013.0</v>
      </c>
      <c r="D227" s="13" t="s">
        <v>3153</v>
      </c>
      <c r="E227" s="13" t="s">
        <v>3169</v>
      </c>
      <c r="F227" s="13" t="s">
        <v>3192</v>
      </c>
      <c r="G227" s="13" t="s">
        <v>3202</v>
      </c>
      <c r="H227" s="13">
        <v>200.0</v>
      </c>
      <c r="I227" s="13" t="s">
        <v>3171</v>
      </c>
      <c r="J227" s="13" t="s">
        <v>3378</v>
      </c>
      <c r="K227" s="13" t="s">
        <v>3296</v>
      </c>
      <c r="L227" s="13" t="s">
        <v>3177</v>
      </c>
      <c r="M227" s="13" t="s">
        <v>3592</v>
      </c>
      <c r="N227" s="13">
        <v>3.0</v>
      </c>
      <c r="O227" s="13" t="s">
        <v>3162</v>
      </c>
      <c r="P227" s="13" t="s">
        <v>33</v>
      </c>
      <c r="Q227" s="13" t="s">
        <v>3381</v>
      </c>
      <c r="R227" s="13" t="s">
        <v>3177</v>
      </c>
      <c r="S227" s="13" t="s">
        <v>3593</v>
      </c>
      <c r="T227" s="13" t="s">
        <v>3252</v>
      </c>
      <c r="U227" s="13" t="s">
        <v>3252</v>
      </c>
      <c r="V227" s="13" t="s">
        <v>3253</v>
      </c>
      <c r="W227" s="13" t="s">
        <v>3594</v>
      </c>
      <c r="X227" s="13" t="s">
        <v>3595</v>
      </c>
    </row>
    <row r="228" ht="14.25" customHeight="1">
      <c r="A228" s="13">
        <v>23730.0</v>
      </c>
      <c r="B228" s="13" t="s">
        <v>3586</v>
      </c>
      <c r="C228" s="13">
        <v>2016.0</v>
      </c>
      <c r="D228" s="13" t="s">
        <v>3153</v>
      </c>
      <c r="E228" s="13" t="s">
        <v>3179</v>
      </c>
      <c r="F228" s="13" t="s">
        <v>3170</v>
      </c>
      <c r="G228" s="13" t="s">
        <v>3187</v>
      </c>
      <c r="H228" s="13">
        <v>1.0</v>
      </c>
      <c r="I228" s="13" t="s">
        <v>3533</v>
      </c>
      <c r="J228" s="13" t="s">
        <v>3289</v>
      </c>
      <c r="K228" s="13" t="s">
        <v>3159</v>
      </c>
      <c r="L228" s="13" t="s">
        <v>3160</v>
      </c>
      <c r="M228" s="13" t="s">
        <v>3342</v>
      </c>
      <c r="N228" s="13">
        <v>1.0</v>
      </c>
      <c r="O228" s="13" t="s">
        <v>3162</v>
      </c>
      <c r="P228" s="13" t="s">
        <v>33</v>
      </c>
      <c r="Q228" s="13" t="s">
        <v>3159</v>
      </c>
      <c r="R228" s="13" t="s">
        <v>3163</v>
      </c>
      <c r="S228" s="13" t="s">
        <v>33</v>
      </c>
      <c r="T228" s="13" t="s">
        <v>3164</v>
      </c>
      <c r="U228" s="13" t="s">
        <v>3164</v>
      </c>
      <c r="V228" s="13" t="s">
        <v>3166</v>
      </c>
      <c r="W228" s="13" t="s">
        <v>3167</v>
      </c>
      <c r="X228" s="13" t="s">
        <v>3178</v>
      </c>
    </row>
    <row r="229" ht="14.25" customHeight="1">
      <c r="A229" s="13">
        <v>23737.0</v>
      </c>
      <c r="B229" s="13" t="s">
        <v>3596</v>
      </c>
      <c r="C229" s="13">
        <v>2014.0</v>
      </c>
      <c r="D229" s="13" t="s">
        <v>3153</v>
      </c>
      <c r="E229" s="13" t="s">
        <v>3179</v>
      </c>
      <c r="F229" s="13" t="s">
        <v>3170</v>
      </c>
      <c r="G229" s="13" t="s">
        <v>3187</v>
      </c>
      <c r="H229" s="13">
        <v>1.0</v>
      </c>
      <c r="I229" s="13" t="s">
        <v>3261</v>
      </c>
      <c r="J229" s="13" t="s">
        <v>3240</v>
      </c>
      <c r="K229" s="13" t="s">
        <v>3290</v>
      </c>
      <c r="L229" s="13" t="s">
        <v>3177</v>
      </c>
      <c r="M229" s="13" t="s">
        <v>3342</v>
      </c>
      <c r="N229" s="13">
        <v>1.0</v>
      </c>
      <c r="O229" s="13" t="s">
        <v>3162</v>
      </c>
      <c r="P229" s="13" t="s">
        <v>33</v>
      </c>
      <c r="Q229" s="13" t="s">
        <v>3437</v>
      </c>
      <c r="R229" s="13" t="s">
        <v>3177</v>
      </c>
      <c r="S229" s="13" t="s">
        <v>33</v>
      </c>
      <c r="T229" s="13" t="s">
        <v>3164</v>
      </c>
      <c r="U229" s="13" t="s">
        <v>3247</v>
      </c>
      <c r="V229" s="13" t="s">
        <v>3166</v>
      </c>
      <c r="W229" s="13" t="s">
        <v>3167</v>
      </c>
      <c r="X229" s="13" t="s">
        <v>3597</v>
      </c>
    </row>
    <row r="230" ht="14.25" customHeight="1">
      <c r="A230" s="13">
        <v>23738.0</v>
      </c>
      <c r="B230" s="13" t="s">
        <v>2317</v>
      </c>
      <c r="C230" s="13">
        <v>2013.0</v>
      </c>
      <c r="D230" s="13" t="s">
        <v>3153</v>
      </c>
      <c r="E230" s="13" t="s">
        <v>3169</v>
      </c>
      <c r="F230" s="13" t="s">
        <v>3192</v>
      </c>
      <c r="G230" s="13" t="s">
        <v>3187</v>
      </c>
      <c r="H230" s="13">
        <v>1.0</v>
      </c>
      <c r="I230" s="13" t="s">
        <v>3222</v>
      </c>
      <c r="J230" s="13" t="s">
        <v>3182</v>
      </c>
      <c r="K230" s="13" t="s">
        <v>3417</v>
      </c>
      <c r="L230" s="13" t="s">
        <v>3160</v>
      </c>
      <c r="M230" s="13" t="s">
        <v>3598</v>
      </c>
      <c r="N230" s="13">
        <v>3.0</v>
      </c>
      <c r="O230" s="13" t="s">
        <v>3162</v>
      </c>
      <c r="P230" s="13" t="s">
        <v>3599</v>
      </c>
      <c r="Q230" s="13" t="s">
        <v>3173</v>
      </c>
      <c r="R230" s="13" t="s">
        <v>3231</v>
      </c>
      <c r="S230" s="13" t="s">
        <v>33</v>
      </c>
      <c r="T230" s="13" t="s">
        <v>3164</v>
      </c>
      <c r="U230" s="13" t="s">
        <v>3164</v>
      </c>
      <c r="V230" s="13" t="s">
        <v>3242</v>
      </c>
      <c r="W230" s="13" t="s">
        <v>3377</v>
      </c>
      <c r="X230" s="13" t="s">
        <v>3167</v>
      </c>
    </row>
    <row r="231" ht="14.25" customHeight="1">
      <c r="A231" s="13">
        <v>23739.0</v>
      </c>
      <c r="B231" s="13" t="s">
        <v>1201</v>
      </c>
      <c r="C231" s="13">
        <v>2017.0</v>
      </c>
      <c r="D231" s="13" t="s">
        <v>3153</v>
      </c>
      <c r="E231" s="13" t="s">
        <v>3169</v>
      </c>
      <c r="F231" s="13" t="s">
        <v>3155</v>
      </c>
      <c r="G231" s="13" t="s">
        <v>3156</v>
      </c>
      <c r="H231" s="13" t="s">
        <v>3167</v>
      </c>
      <c r="I231" s="13" t="s">
        <v>3157</v>
      </c>
      <c r="J231" s="13" t="s">
        <v>3600</v>
      </c>
      <c r="K231" s="13" t="s">
        <v>3201</v>
      </c>
      <c r="L231" s="13" t="s">
        <v>3177</v>
      </c>
      <c r="M231" s="13" t="s">
        <v>3161</v>
      </c>
      <c r="N231" s="13">
        <v>1.0</v>
      </c>
      <c r="O231" s="13" t="s">
        <v>3162</v>
      </c>
      <c r="P231" s="13" t="s">
        <v>3167</v>
      </c>
      <c r="Q231" s="13" t="s">
        <v>3210</v>
      </c>
      <c r="R231" s="13" t="s">
        <v>3260</v>
      </c>
      <c r="S231" s="13" t="s">
        <v>3601</v>
      </c>
      <c r="T231" s="13" t="s">
        <v>3195</v>
      </c>
      <c r="U231" s="13" t="s">
        <v>3195</v>
      </c>
      <c r="V231" s="13" t="s">
        <v>3195</v>
      </c>
      <c r="W231" s="13" t="s">
        <v>3167</v>
      </c>
      <c r="X231" s="13" t="s">
        <v>3167</v>
      </c>
    </row>
    <row r="232" ht="14.25" customHeight="1">
      <c r="A232" s="13">
        <v>23740.0</v>
      </c>
      <c r="B232" s="13" t="s">
        <v>1493</v>
      </c>
      <c r="C232" s="13">
        <v>2015.0</v>
      </c>
      <c r="D232" s="13" t="s">
        <v>3153</v>
      </c>
      <c r="E232" s="13" t="s">
        <v>3169</v>
      </c>
      <c r="F232" s="13" t="s">
        <v>3192</v>
      </c>
      <c r="G232" s="13" t="s">
        <v>3202</v>
      </c>
      <c r="H232" s="13">
        <v>30.0</v>
      </c>
      <c r="I232" s="13" t="s">
        <v>3171</v>
      </c>
      <c r="J232" s="13" t="s">
        <v>3602</v>
      </c>
      <c r="K232" s="13" t="s">
        <v>3208</v>
      </c>
      <c r="L232" s="13" t="s">
        <v>3160</v>
      </c>
      <c r="M232" s="13" t="s">
        <v>3484</v>
      </c>
      <c r="N232" s="13">
        <v>1.0</v>
      </c>
      <c r="O232" s="13" t="s">
        <v>3162</v>
      </c>
      <c r="P232" s="13" t="s">
        <v>33</v>
      </c>
      <c r="Q232" s="13" t="s">
        <v>3210</v>
      </c>
      <c r="R232" s="13" t="s">
        <v>3160</v>
      </c>
      <c r="S232" s="13" t="s">
        <v>33</v>
      </c>
      <c r="T232" s="13" t="s">
        <v>3195</v>
      </c>
      <c r="U232" s="13" t="s">
        <v>3195</v>
      </c>
      <c r="V232" s="13" t="s">
        <v>3195</v>
      </c>
      <c r="W232" s="13" t="s">
        <v>3167</v>
      </c>
      <c r="X232" s="13" t="s">
        <v>3167</v>
      </c>
    </row>
    <row r="233" ht="14.25" customHeight="1">
      <c r="A233" s="13">
        <v>23743.0</v>
      </c>
      <c r="B233" s="13" t="s">
        <v>520</v>
      </c>
      <c r="C233" s="13">
        <v>2015.0</v>
      </c>
      <c r="D233" s="13" t="s">
        <v>3153</v>
      </c>
      <c r="E233" s="13" t="s">
        <v>3169</v>
      </c>
      <c r="F233" s="13" t="s">
        <v>3170</v>
      </c>
      <c r="G233" s="13" t="s">
        <v>33</v>
      </c>
      <c r="H233" s="13" t="s">
        <v>33</v>
      </c>
      <c r="I233" s="13" t="s">
        <v>3171</v>
      </c>
      <c r="J233" s="13" t="s">
        <v>3603</v>
      </c>
      <c r="K233" s="13" t="s">
        <v>3208</v>
      </c>
      <c r="L233" s="13" t="s">
        <v>3160</v>
      </c>
      <c r="M233" s="13" t="s">
        <v>3565</v>
      </c>
      <c r="N233" s="13">
        <v>2.0</v>
      </c>
      <c r="O233" s="13" t="s">
        <v>3267</v>
      </c>
      <c r="P233" s="13" t="s">
        <v>33</v>
      </c>
      <c r="Q233" s="13" t="s">
        <v>3210</v>
      </c>
      <c r="R233" s="13" t="s">
        <v>3163</v>
      </c>
      <c r="S233" s="13" t="s">
        <v>33</v>
      </c>
      <c r="T233" s="13" t="s">
        <v>3195</v>
      </c>
      <c r="U233" s="13" t="s">
        <v>3195</v>
      </c>
      <c r="V233" s="13" t="s">
        <v>3195</v>
      </c>
      <c r="W233" s="13" t="s">
        <v>3167</v>
      </c>
      <c r="X233" s="13" t="s">
        <v>3167</v>
      </c>
    </row>
    <row r="234" ht="14.25" customHeight="1">
      <c r="A234" s="13">
        <v>23744.0</v>
      </c>
      <c r="B234" s="13" t="s">
        <v>520</v>
      </c>
      <c r="C234" s="13">
        <v>2017.0</v>
      </c>
      <c r="D234" s="13" t="s">
        <v>3153</v>
      </c>
      <c r="E234" s="13" t="s">
        <v>3169</v>
      </c>
      <c r="F234" s="13" t="s">
        <v>3211</v>
      </c>
      <c r="G234" s="13" t="s">
        <v>3156</v>
      </c>
      <c r="H234" s="13" t="s">
        <v>3167</v>
      </c>
      <c r="I234" s="13" t="s">
        <v>3171</v>
      </c>
      <c r="J234" s="13" t="s">
        <v>3604</v>
      </c>
      <c r="K234" s="13" t="s">
        <v>3208</v>
      </c>
      <c r="L234" s="13" t="s">
        <v>3160</v>
      </c>
      <c r="M234" s="13" t="s">
        <v>3605</v>
      </c>
      <c r="N234" s="13">
        <v>2.0</v>
      </c>
      <c r="O234" s="13" t="s">
        <v>3267</v>
      </c>
      <c r="P234" s="13" t="s">
        <v>3167</v>
      </c>
      <c r="Q234" s="13" t="s">
        <v>3208</v>
      </c>
      <c r="R234" s="13" t="s">
        <v>3231</v>
      </c>
      <c r="S234" s="13" t="s">
        <v>33</v>
      </c>
      <c r="T234" s="13" t="s">
        <v>3247</v>
      </c>
      <c r="U234" s="13" t="s">
        <v>3247</v>
      </c>
      <c r="V234" s="13" t="s">
        <v>3242</v>
      </c>
      <c r="W234" s="13" t="s">
        <v>3496</v>
      </c>
      <c r="X234" s="13" t="s">
        <v>3167</v>
      </c>
    </row>
    <row r="235" ht="14.25" customHeight="1">
      <c r="A235" s="13">
        <v>23753.0</v>
      </c>
      <c r="B235" s="13" t="s">
        <v>3606</v>
      </c>
      <c r="C235" s="13">
        <v>2008.0</v>
      </c>
      <c r="D235" s="13" t="s">
        <v>3153</v>
      </c>
      <c r="E235" s="13" t="s">
        <v>3169</v>
      </c>
      <c r="F235" s="13" t="s">
        <v>3192</v>
      </c>
      <c r="G235" s="13" t="s">
        <v>3156</v>
      </c>
      <c r="H235" s="13" t="s">
        <v>33</v>
      </c>
      <c r="I235" s="13" t="s">
        <v>3222</v>
      </c>
      <c r="J235" s="13" t="s">
        <v>3182</v>
      </c>
      <c r="K235" s="13" t="s">
        <v>3381</v>
      </c>
      <c r="L235" s="13" t="s">
        <v>3160</v>
      </c>
      <c r="M235" s="13" t="s">
        <v>3317</v>
      </c>
      <c r="N235" s="13">
        <v>1.0</v>
      </c>
      <c r="O235" s="13" t="s">
        <v>3162</v>
      </c>
      <c r="P235" s="13" t="s">
        <v>3607</v>
      </c>
      <c r="Q235" s="13" t="s">
        <v>3287</v>
      </c>
      <c r="R235" s="13" t="s">
        <v>3177</v>
      </c>
      <c r="S235" s="13" t="s">
        <v>33</v>
      </c>
      <c r="T235" s="13" t="s">
        <v>3164</v>
      </c>
      <c r="U235" s="13" t="s">
        <v>3164</v>
      </c>
      <c r="V235" s="13" t="s">
        <v>3166</v>
      </c>
      <c r="W235" s="13" t="s">
        <v>3167</v>
      </c>
      <c r="X235" s="13" t="s">
        <v>3224</v>
      </c>
    </row>
    <row r="236" ht="14.25" customHeight="1">
      <c r="A236" s="13">
        <v>23754.0</v>
      </c>
      <c r="B236" s="13" t="s">
        <v>2796</v>
      </c>
      <c r="C236" s="13">
        <v>2017.0</v>
      </c>
      <c r="D236" s="13" t="s">
        <v>3153</v>
      </c>
      <c r="E236" s="13" t="s">
        <v>3169</v>
      </c>
      <c r="F236" s="13" t="s">
        <v>3217</v>
      </c>
      <c r="G236" s="13" t="s">
        <v>3156</v>
      </c>
      <c r="H236" s="13" t="s">
        <v>33</v>
      </c>
      <c r="I236" s="13" t="s">
        <v>3167</v>
      </c>
      <c r="J236" s="13" t="s">
        <v>3167</v>
      </c>
      <c r="K236" s="13" t="s">
        <v>3183</v>
      </c>
      <c r="L236" s="13" t="s">
        <v>3160</v>
      </c>
      <c r="M236" s="13" t="s">
        <v>3161</v>
      </c>
      <c r="N236" s="13">
        <v>1.0</v>
      </c>
      <c r="O236" s="13" t="s">
        <v>3162</v>
      </c>
      <c r="P236" s="13" t="s">
        <v>3397</v>
      </c>
      <c r="Q236" s="13" t="s">
        <v>3183</v>
      </c>
      <c r="R236" s="13" t="s">
        <v>3177</v>
      </c>
      <c r="S236" s="13" t="s">
        <v>3397</v>
      </c>
      <c r="T236" s="13" t="s">
        <v>3197</v>
      </c>
      <c r="U236" s="13" t="s">
        <v>3197</v>
      </c>
      <c r="V236" s="13" t="s">
        <v>3166</v>
      </c>
      <c r="W236" s="13" t="s">
        <v>3167</v>
      </c>
      <c r="X236" s="13" t="s">
        <v>3295</v>
      </c>
    </row>
    <row r="237" ht="14.25" customHeight="1">
      <c r="A237" s="13">
        <v>23759.0</v>
      </c>
      <c r="B237" s="13" t="s">
        <v>1319</v>
      </c>
      <c r="C237" s="13">
        <v>2018.0</v>
      </c>
      <c r="D237" s="13" t="s">
        <v>3153</v>
      </c>
      <c r="E237" s="13" t="s">
        <v>3169</v>
      </c>
      <c r="F237" s="13" t="s">
        <v>3155</v>
      </c>
      <c r="G237" s="13" t="s">
        <v>3156</v>
      </c>
      <c r="H237" s="13" t="s">
        <v>33</v>
      </c>
      <c r="I237" s="13" t="s">
        <v>3188</v>
      </c>
      <c r="J237" s="13" t="s">
        <v>3432</v>
      </c>
      <c r="K237" s="13" t="s">
        <v>3381</v>
      </c>
      <c r="L237" s="13" t="s">
        <v>3177</v>
      </c>
      <c r="M237" s="13" t="s">
        <v>3477</v>
      </c>
      <c r="N237" s="13">
        <v>1.0</v>
      </c>
      <c r="O237" s="13" t="s">
        <v>3162</v>
      </c>
      <c r="P237" s="13" t="s">
        <v>3608</v>
      </c>
      <c r="Q237" s="13" t="s">
        <v>3420</v>
      </c>
      <c r="R237" s="13" t="s">
        <v>3177</v>
      </c>
      <c r="S237" s="13" t="s">
        <v>33</v>
      </c>
      <c r="T237" s="13" t="s">
        <v>3164</v>
      </c>
      <c r="U237" s="13" t="s">
        <v>3215</v>
      </c>
      <c r="V237" s="13" t="s">
        <v>3242</v>
      </c>
      <c r="W237" s="13" t="s">
        <v>3377</v>
      </c>
      <c r="X237" s="13" t="s">
        <v>3167</v>
      </c>
    </row>
    <row r="238" ht="14.25" customHeight="1">
      <c r="A238" s="13">
        <v>23760.0</v>
      </c>
      <c r="B238" s="13" t="s">
        <v>2494</v>
      </c>
      <c r="C238" s="13">
        <v>2012.0</v>
      </c>
      <c r="D238" s="13" t="s">
        <v>3153</v>
      </c>
      <c r="E238" s="13" t="s">
        <v>3169</v>
      </c>
      <c r="F238" s="13" t="s">
        <v>3170</v>
      </c>
      <c r="G238" s="13" t="s">
        <v>3156</v>
      </c>
      <c r="H238" s="13" t="s">
        <v>33</v>
      </c>
      <c r="I238" s="13" t="s">
        <v>3222</v>
      </c>
      <c r="J238" s="13" t="s">
        <v>3182</v>
      </c>
      <c r="K238" s="13" t="s">
        <v>3159</v>
      </c>
      <c r="L238" s="13" t="s">
        <v>3160</v>
      </c>
      <c r="M238" s="13" t="s">
        <v>3161</v>
      </c>
      <c r="N238" s="13">
        <v>1.0</v>
      </c>
      <c r="O238" s="13" t="s">
        <v>3162</v>
      </c>
      <c r="P238" s="13" t="s">
        <v>33</v>
      </c>
      <c r="Q238" s="13" t="s">
        <v>3437</v>
      </c>
      <c r="R238" s="13" t="s">
        <v>3163</v>
      </c>
      <c r="S238" s="13" t="s">
        <v>33</v>
      </c>
      <c r="T238" s="13" t="s">
        <v>3232</v>
      </c>
      <c r="U238" s="13" t="s">
        <v>3232</v>
      </c>
      <c r="V238" s="13" t="s">
        <v>3166</v>
      </c>
      <c r="W238" s="13" t="s">
        <v>3167</v>
      </c>
      <c r="X238" s="13" t="s">
        <v>3178</v>
      </c>
    </row>
    <row r="239" ht="14.25" customHeight="1">
      <c r="A239" s="13">
        <v>23771.0</v>
      </c>
      <c r="B239" s="13" t="s">
        <v>3083</v>
      </c>
      <c r="C239" s="13">
        <v>2014.0</v>
      </c>
      <c r="D239" s="13" t="s">
        <v>3153</v>
      </c>
      <c r="E239" s="13" t="s">
        <v>3179</v>
      </c>
      <c r="F239" s="13" t="s">
        <v>3170</v>
      </c>
      <c r="G239" s="13" t="s">
        <v>3187</v>
      </c>
      <c r="H239" s="13">
        <v>1.0</v>
      </c>
      <c r="I239" s="13" t="s">
        <v>3181</v>
      </c>
      <c r="J239" s="13" t="s">
        <v>3182</v>
      </c>
      <c r="K239" s="13" t="s">
        <v>3381</v>
      </c>
      <c r="L239" s="13" t="s">
        <v>3177</v>
      </c>
      <c r="M239" s="13" t="s">
        <v>3184</v>
      </c>
      <c r="N239" s="13">
        <v>1.0</v>
      </c>
      <c r="O239" s="13" t="s">
        <v>3162</v>
      </c>
      <c r="P239" s="13" t="s">
        <v>3609</v>
      </c>
      <c r="Q239" s="13" t="s">
        <v>3201</v>
      </c>
      <c r="R239" s="13" t="s">
        <v>3177</v>
      </c>
      <c r="S239" s="13" t="s">
        <v>33</v>
      </c>
      <c r="T239" s="13" t="s">
        <v>3164</v>
      </c>
      <c r="U239" s="13" t="s">
        <v>3164</v>
      </c>
      <c r="V239" s="13" t="s">
        <v>3166</v>
      </c>
      <c r="W239" s="13" t="s">
        <v>3167</v>
      </c>
      <c r="X239" s="13" t="s">
        <v>3178</v>
      </c>
    </row>
    <row r="240" ht="14.25" customHeight="1">
      <c r="A240" s="13">
        <v>23773.0</v>
      </c>
      <c r="B240" s="13" t="s">
        <v>2992</v>
      </c>
      <c r="C240" s="13">
        <v>2020.0</v>
      </c>
      <c r="D240" s="13" t="s">
        <v>3153</v>
      </c>
      <c r="E240" s="13" t="s">
        <v>3465</v>
      </c>
      <c r="F240" s="13" t="s">
        <v>3155</v>
      </c>
      <c r="G240" s="13" t="s">
        <v>3202</v>
      </c>
      <c r="H240" s="13">
        <v>30.0</v>
      </c>
      <c r="I240" s="13" t="s">
        <v>3188</v>
      </c>
      <c r="J240" s="13" t="s">
        <v>3432</v>
      </c>
      <c r="K240" s="13" t="s">
        <v>3381</v>
      </c>
      <c r="L240" s="13" t="s">
        <v>3160</v>
      </c>
      <c r="M240" s="13" t="s">
        <v>3610</v>
      </c>
      <c r="N240" s="13">
        <v>3.0</v>
      </c>
      <c r="O240" s="13" t="s">
        <v>3175</v>
      </c>
      <c r="P240" s="13" t="s">
        <v>3611</v>
      </c>
      <c r="Q240" s="13" t="s">
        <v>3183</v>
      </c>
      <c r="R240" s="13" t="s">
        <v>3163</v>
      </c>
      <c r="S240" s="13" t="s">
        <v>3612</v>
      </c>
      <c r="T240" s="13" t="s">
        <v>3232</v>
      </c>
      <c r="U240" s="13" t="s">
        <v>3232</v>
      </c>
      <c r="V240" s="13" t="s">
        <v>3166</v>
      </c>
      <c r="W240" s="13" t="s">
        <v>3167</v>
      </c>
      <c r="X240" s="13" t="s">
        <v>3224</v>
      </c>
    </row>
    <row r="241" ht="14.25" customHeight="1">
      <c r="A241" s="13">
        <v>23779.0</v>
      </c>
      <c r="B241" s="13" t="s">
        <v>1189</v>
      </c>
      <c r="C241" s="13">
        <v>2014.0</v>
      </c>
      <c r="D241" s="13" t="s">
        <v>3153</v>
      </c>
      <c r="E241" s="13" t="s">
        <v>3179</v>
      </c>
      <c r="F241" s="13" t="s">
        <v>3217</v>
      </c>
      <c r="G241" s="13" t="s">
        <v>33</v>
      </c>
      <c r="H241" s="13" t="s">
        <v>33</v>
      </c>
      <c r="I241" s="13" t="s">
        <v>3167</v>
      </c>
      <c r="J241" s="13" t="s">
        <v>3167</v>
      </c>
      <c r="K241" s="13" t="s">
        <v>3183</v>
      </c>
      <c r="L241" s="13" t="s">
        <v>3177</v>
      </c>
      <c r="M241" s="13" t="s">
        <v>3342</v>
      </c>
      <c r="N241" s="13">
        <v>1.0</v>
      </c>
      <c r="O241" s="13" t="s">
        <v>3162</v>
      </c>
      <c r="P241" s="13" t="s">
        <v>3613</v>
      </c>
      <c r="Q241" s="13" t="s">
        <v>3183</v>
      </c>
      <c r="R241" s="13" t="s">
        <v>3177</v>
      </c>
      <c r="S241" s="13" t="s">
        <v>3397</v>
      </c>
      <c r="T241" s="13" t="s">
        <v>3232</v>
      </c>
      <c r="U241" s="13" t="s">
        <v>3232</v>
      </c>
      <c r="V241" s="13" t="s">
        <v>3166</v>
      </c>
      <c r="W241" s="13" t="s">
        <v>3167</v>
      </c>
      <c r="X241" s="13" t="s">
        <v>3225</v>
      </c>
    </row>
    <row r="242" ht="14.25" customHeight="1">
      <c r="A242" s="13">
        <v>23780.0</v>
      </c>
      <c r="B242" s="13" t="s">
        <v>2066</v>
      </c>
      <c r="C242" s="13">
        <v>2014.0</v>
      </c>
      <c r="D242" s="13" t="s">
        <v>3153</v>
      </c>
      <c r="E242" s="13" t="s">
        <v>3169</v>
      </c>
      <c r="F242" s="13" t="s">
        <v>3211</v>
      </c>
      <c r="G242" s="13" t="s">
        <v>3156</v>
      </c>
      <c r="H242" s="13" t="s">
        <v>33</v>
      </c>
      <c r="I242" s="13" t="s">
        <v>3171</v>
      </c>
      <c r="J242" s="13" t="s">
        <v>3614</v>
      </c>
      <c r="K242" s="13" t="s">
        <v>3208</v>
      </c>
      <c r="L242" s="13" t="s">
        <v>3160</v>
      </c>
      <c r="M242" s="13" t="s">
        <v>3317</v>
      </c>
      <c r="N242" s="13">
        <v>1.0</v>
      </c>
      <c r="O242" s="13" t="s">
        <v>3162</v>
      </c>
      <c r="P242" s="13" t="s">
        <v>33</v>
      </c>
      <c r="Q242" s="13" t="s">
        <v>3210</v>
      </c>
      <c r="R242" s="13" t="s">
        <v>3163</v>
      </c>
      <c r="S242" s="13" t="s">
        <v>33</v>
      </c>
      <c r="T242" s="13" t="s">
        <v>3195</v>
      </c>
      <c r="U242" s="13" t="s">
        <v>3195</v>
      </c>
      <c r="V242" s="13" t="s">
        <v>3195</v>
      </c>
      <c r="W242" s="13" t="s">
        <v>3167</v>
      </c>
      <c r="X242" s="13" t="s">
        <v>3167</v>
      </c>
    </row>
    <row r="243" ht="14.25" customHeight="1">
      <c r="A243" s="13">
        <v>23782.0</v>
      </c>
      <c r="B243" s="13" t="s">
        <v>2066</v>
      </c>
      <c r="C243" s="13">
        <v>2018.0</v>
      </c>
      <c r="D243" s="13" t="s">
        <v>3153</v>
      </c>
      <c r="E243" s="13" t="s">
        <v>3395</v>
      </c>
      <c r="F243" s="13" t="s">
        <v>3211</v>
      </c>
      <c r="G243" s="13" t="s">
        <v>3202</v>
      </c>
      <c r="H243" s="13">
        <v>62.5</v>
      </c>
      <c r="I243" s="13" t="s">
        <v>3615</v>
      </c>
      <c r="J243" s="13" t="s">
        <v>3616</v>
      </c>
      <c r="K243" s="13" t="s">
        <v>3208</v>
      </c>
      <c r="L243" s="13" t="s">
        <v>3160</v>
      </c>
      <c r="M243" s="13" t="s">
        <v>3617</v>
      </c>
      <c r="N243" s="13">
        <v>2.0</v>
      </c>
      <c r="O243" s="13" t="s">
        <v>3175</v>
      </c>
      <c r="P243" s="13" t="s">
        <v>3167</v>
      </c>
      <c r="Q243" s="13" t="s">
        <v>3208</v>
      </c>
      <c r="R243" s="13" t="s">
        <v>3231</v>
      </c>
      <c r="S243" s="13" t="s">
        <v>33</v>
      </c>
      <c r="T243" s="13" t="s">
        <v>3197</v>
      </c>
      <c r="U243" s="13" t="s">
        <v>3197</v>
      </c>
      <c r="V243" s="13" t="s">
        <v>3242</v>
      </c>
      <c r="W243" s="13" t="s">
        <v>3481</v>
      </c>
      <c r="X243" s="13" t="s">
        <v>3167</v>
      </c>
    </row>
    <row r="244" ht="14.25" customHeight="1">
      <c r="A244" s="13">
        <v>23785.0</v>
      </c>
      <c r="B244" s="13" t="s">
        <v>3618</v>
      </c>
      <c r="C244" s="13">
        <v>2008.0</v>
      </c>
      <c r="D244" s="13" t="s">
        <v>3153</v>
      </c>
      <c r="E244" s="13" t="s">
        <v>3179</v>
      </c>
      <c r="F244" s="13" t="s">
        <v>3170</v>
      </c>
      <c r="G244" s="13" t="s">
        <v>33</v>
      </c>
      <c r="H244" s="13" t="s">
        <v>33</v>
      </c>
      <c r="I244" s="13" t="s">
        <v>3261</v>
      </c>
      <c r="J244" s="13" t="s">
        <v>3199</v>
      </c>
      <c r="K244" s="13" t="s">
        <v>3159</v>
      </c>
      <c r="L244" s="13" t="s">
        <v>3160</v>
      </c>
      <c r="M244" s="13" t="s">
        <v>3342</v>
      </c>
      <c r="N244" s="13">
        <v>1.0</v>
      </c>
      <c r="O244" s="13" t="s">
        <v>3162</v>
      </c>
      <c r="P244" s="13" t="s">
        <v>33</v>
      </c>
      <c r="Q244" s="13" t="s">
        <v>3159</v>
      </c>
      <c r="R244" s="13" t="s">
        <v>3163</v>
      </c>
      <c r="S244" s="13" t="s">
        <v>33</v>
      </c>
      <c r="T244" s="13" t="s">
        <v>3232</v>
      </c>
      <c r="U244" s="13" t="s">
        <v>3232</v>
      </c>
      <c r="V244" s="13" t="s">
        <v>3166</v>
      </c>
      <c r="W244" s="13" t="s">
        <v>3167</v>
      </c>
      <c r="X244" s="13" t="s">
        <v>3168</v>
      </c>
    </row>
    <row r="245" ht="14.25" customHeight="1">
      <c r="A245" s="13">
        <v>23787.0</v>
      </c>
      <c r="B245" s="13" t="s">
        <v>2533</v>
      </c>
      <c r="C245" s="13">
        <v>2018.0</v>
      </c>
      <c r="D245" s="13" t="s">
        <v>3153</v>
      </c>
      <c r="E245" s="13" t="s">
        <v>3465</v>
      </c>
      <c r="F245" s="13" t="s">
        <v>3192</v>
      </c>
      <c r="G245" s="13" t="s">
        <v>3187</v>
      </c>
      <c r="H245" s="13">
        <v>25.0</v>
      </c>
      <c r="I245" s="13" t="s">
        <v>3244</v>
      </c>
      <c r="J245" s="13" t="s">
        <v>3345</v>
      </c>
      <c r="K245" s="13" t="s">
        <v>3381</v>
      </c>
      <c r="L245" s="13" t="s">
        <v>3177</v>
      </c>
      <c r="M245" s="13" t="s">
        <v>3317</v>
      </c>
      <c r="N245" s="13">
        <v>1.0</v>
      </c>
      <c r="O245" s="13" t="s">
        <v>3162</v>
      </c>
      <c r="P245" s="13" t="s">
        <v>3619</v>
      </c>
      <c r="Q245" s="13" t="s">
        <v>3335</v>
      </c>
      <c r="R245" s="13" t="s">
        <v>3163</v>
      </c>
      <c r="S245" s="13" t="s">
        <v>3323</v>
      </c>
      <c r="T245" s="13" t="s">
        <v>3195</v>
      </c>
      <c r="U245" s="13" t="s">
        <v>3195</v>
      </c>
      <c r="V245" s="13" t="s">
        <v>3195</v>
      </c>
      <c r="W245" s="13" t="s">
        <v>3167</v>
      </c>
      <c r="X245" s="13" t="s">
        <v>3167</v>
      </c>
    </row>
    <row r="246" ht="14.25" customHeight="1">
      <c r="A246" s="13">
        <v>23788.0</v>
      </c>
      <c r="B246" s="13" t="s">
        <v>391</v>
      </c>
      <c r="C246" s="13">
        <v>2017.0</v>
      </c>
      <c r="D246" s="13" t="s">
        <v>3153</v>
      </c>
      <c r="E246" s="13" t="s">
        <v>3169</v>
      </c>
      <c r="F246" s="13" t="s">
        <v>3170</v>
      </c>
      <c r="G246" s="13" t="s">
        <v>3156</v>
      </c>
      <c r="H246" s="13" t="s">
        <v>3202</v>
      </c>
      <c r="I246" s="13" t="s">
        <v>3188</v>
      </c>
      <c r="J246" s="13" t="s">
        <v>3207</v>
      </c>
      <c r="K246" s="13" t="s">
        <v>3208</v>
      </c>
      <c r="L246" s="13" t="s">
        <v>3160</v>
      </c>
      <c r="M246" s="13" t="s">
        <v>3349</v>
      </c>
      <c r="N246" s="13">
        <v>2.0</v>
      </c>
      <c r="O246" s="13" t="s">
        <v>3162</v>
      </c>
      <c r="P246" s="13" t="s">
        <v>3167</v>
      </c>
      <c r="Q246" s="13" t="s">
        <v>3273</v>
      </c>
      <c r="R246" s="13" t="s">
        <v>3231</v>
      </c>
      <c r="S246" s="13" t="s">
        <v>33</v>
      </c>
      <c r="T246" s="13" t="s">
        <v>3247</v>
      </c>
      <c r="U246" s="13" t="s">
        <v>3247</v>
      </c>
      <c r="V246" s="13" t="s">
        <v>3242</v>
      </c>
      <c r="W246" s="13" t="s">
        <v>3248</v>
      </c>
      <c r="X246" s="13" t="s">
        <v>3167</v>
      </c>
    </row>
    <row r="247" ht="14.25" customHeight="1">
      <c r="A247" s="13">
        <v>23790.0</v>
      </c>
      <c r="B247" s="13" t="s">
        <v>179</v>
      </c>
      <c r="C247" s="13">
        <v>2000.0</v>
      </c>
      <c r="D247" s="13" t="s">
        <v>3457</v>
      </c>
      <c r="E247" s="13" t="s">
        <v>3465</v>
      </c>
      <c r="F247" s="13" t="s">
        <v>3170</v>
      </c>
      <c r="G247" s="13" t="s">
        <v>3156</v>
      </c>
      <c r="H247" s="13" t="s">
        <v>33</v>
      </c>
      <c r="I247" s="13" t="s">
        <v>3222</v>
      </c>
      <c r="J247" s="13" t="s">
        <v>3182</v>
      </c>
      <c r="K247" s="13" t="s">
        <v>3159</v>
      </c>
      <c r="L247" s="13" t="s">
        <v>3177</v>
      </c>
      <c r="M247" s="13" t="s">
        <v>3369</v>
      </c>
      <c r="N247" s="13">
        <v>1.0</v>
      </c>
      <c r="O247" s="13" t="s">
        <v>3162</v>
      </c>
      <c r="P247" s="13" t="s">
        <v>33</v>
      </c>
      <c r="Q247" s="13" t="s">
        <v>3159</v>
      </c>
      <c r="R247" s="13" t="s">
        <v>3163</v>
      </c>
      <c r="S247" s="13" t="s">
        <v>33</v>
      </c>
      <c r="T247" s="13" t="s">
        <v>3197</v>
      </c>
      <c r="U247" s="13" t="s">
        <v>3247</v>
      </c>
      <c r="V247" s="13" t="s">
        <v>3166</v>
      </c>
      <c r="W247" s="13" t="s">
        <v>3167</v>
      </c>
      <c r="X247" s="13" t="s">
        <v>3620</v>
      </c>
    </row>
    <row r="248" ht="14.25" customHeight="1">
      <c r="A248" s="13">
        <v>23791.0</v>
      </c>
      <c r="B248" s="13" t="s">
        <v>2170</v>
      </c>
      <c r="C248" s="13">
        <v>2016.0</v>
      </c>
      <c r="D248" s="13" t="s">
        <v>3153</v>
      </c>
      <c r="E248" s="13" t="s">
        <v>3169</v>
      </c>
      <c r="F248" s="13" t="s">
        <v>3192</v>
      </c>
      <c r="G248" s="13" t="s">
        <v>3187</v>
      </c>
      <c r="H248" s="13">
        <v>1.0</v>
      </c>
      <c r="I248" s="13" t="s">
        <v>3222</v>
      </c>
      <c r="J248" s="13" t="s">
        <v>3182</v>
      </c>
      <c r="K248" s="13" t="s">
        <v>3381</v>
      </c>
      <c r="L248" s="13" t="s">
        <v>3177</v>
      </c>
      <c r="M248" s="13" t="s">
        <v>3363</v>
      </c>
      <c r="N248" s="13">
        <v>1.0</v>
      </c>
      <c r="O248" s="13" t="s">
        <v>3162</v>
      </c>
      <c r="P248" s="13" t="s">
        <v>3621</v>
      </c>
      <c r="Q248" s="13" t="s">
        <v>3183</v>
      </c>
      <c r="R248" s="13" t="s">
        <v>3163</v>
      </c>
      <c r="S248" s="13" t="s">
        <v>3622</v>
      </c>
      <c r="T248" s="13" t="s">
        <v>3164</v>
      </c>
      <c r="U248" s="13" t="s">
        <v>3164</v>
      </c>
      <c r="V248" s="13" t="s">
        <v>3166</v>
      </c>
      <c r="W248" s="13" t="s">
        <v>3167</v>
      </c>
      <c r="X248" s="13" t="s">
        <v>3224</v>
      </c>
    </row>
    <row r="249" ht="14.25" customHeight="1">
      <c r="A249" s="13">
        <v>23793.0</v>
      </c>
      <c r="B249" s="13" t="s">
        <v>1509</v>
      </c>
      <c r="C249" s="13">
        <v>2011.0</v>
      </c>
      <c r="D249" s="13" t="s">
        <v>3153</v>
      </c>
      <c r="E249" s="13" t="s">
        <v>3169</v>
      </c>
      <c r="F249" s="13" t="s">
        <v>3170</v>
      </c>
      <c r="G249" s="13" t="s">
        <v>33</v>
      </c>
      <c r="H249" s="13" t="s">
        <v>33</v>
      </c>
      <c r="I249" s="13" t="s">
        <v>3222</v>
      </c>
      <c r="J249" s="13" t="s">
        <v>3182</v>
      </c>
      <c r="K249" s="13" t="s">
        <v>3208</v>
      </c>
      <c r="L249" s="13" t="s">
        <v>3160</v>
      </c>
      <c r="M249" s="13" t="s">
        <v>3623</v>
      </c>
      <c r="N249" s="13">
        <v>2.0</v>
      </c>
      <c r="O249" s="13" t="s">
        <v>3162</v>
      </c>
      <c r="P249" s="13" t="s">
        <v>33</v>
      </c>
      <c r="Q249" s="13" t="s">
        <v>3201</v>
      </c>
      <c r="R249" s="13" t="s">
        <v>3177</v>
      </c>
      <c r="S249" s="13" t="s">
        <v>33</v>
      </c>
      <c r="T249" s="13" t="s">
        <v>3164</v>
      </c>
      <c r="U249" s="13" t="s">
        <v>3164</v>
      </c>
      <c r="V249" s="13" t="s">
        <v>3166</v>
      </c>
      <c r="W249" s="13" t="s">
        <v>3167</v>
      </c>
      <c r="X249" s="13" t="s">
        <v>3224</v>
      </c>
    </row>
    <row r="250" ht="14.25" customHeight="1">
      <c r="A250" s="13">
        <v>23795.0</v>
      </c>
      <c r="B250" s="13" t="s">
        <v>492</v>
      </c>
      <c r="C250" s="13">
        <v>2016.0</v>
      </c>
      <c r="D250" s="13" t="s">
        <v>3153</v>
      </c>
      <c r="E250" s="13" t="s">
        <v>3169</v>
      </c>
      <c r="F250" s="13" t="s">
        <v>3192</v>
      </c>
      <c r="G250" s="13" t="s">
        <v>3187</v>
      </c>
      <c r="H250" s="13">
        <v>1.0</v>
      </c>
      <c r="I250" s="13" t="s">
        <v>3222</v>
      </c>
      <c r="J250" s="13" t="s">
        <v>3182</v>
      </c>
      <c r="K250" s="13" t="s">
        <v>3183</v>
      </c>
      <c r="L250" s="13" t="s">
        <v>3160</v>
      </c>
      <c r="M250" s="13" t="s">
        <v>3480</v>
      </c>
      <c r="N250" s="13">
        <v>1.0</v>
      </c>
      <c r="O250" s="13" t="s">
        <v>3162</v>
      </c>
      <c r="P250" s="13" t="s">
        <v>3624</v>
      </c>
      <c r="Q250" s="13" t="s">
        <v>3333</v>
      </c>
      <c r="R250" s="13" t="s">
        <v>3163</v>
      </c>
      <c r="S250" s="13" t="s">
        <v>33</v>
      </c>
      <c r="T250" s="13" t="s">
        <v>3164</v>
      </c>
      <c r="U250" s="13" t="s">
        <v>3215</v>
      </c>
      <c r="V250" s="13" t="s">
        <v>3242</v>
      </c>
      <c r="W250" s="13" t="s">
        <v>3377</v>
      </c>
      <c r="X250" s="13" t="s">
        <v>3167</v>
      </c>
    </row>
    <row r="251" ht="14.25" customHeight="1">
      <c r="A251" s="13">
        <v>23796.0</v>
      </c>
      <c r="B251" s="13" t="s">
        <v>2734</v>
      </c>
      <c r="C251" s="13">
        <v>2020.0</v>
      </c>
      <c r="D251" s="13" t="s">
        <v>3153</v>
      </c>
      <c r="E251" s="13" t="s">
        <v>3179</v>
      </c>
      <c r="F251" s="13" t="s">
        <v>3192</v>
      </c>
      <c r="G251" s="13" t="s">
        <v>3202</v>
      </c>
      <c r="H251" s="13">
        <v>250.0</v>
      </c>
      <c r="I251" s="13" t="s">
        <v>3264</v>
      </c>
      <c r="J251" s="13" t="s">
        <v>3625</v>
      </c>
      <c r="K251" s="13" t="s">
        <v>3183</v>
      </c>
      <c r="L251" s="13" t="s">
        <v>3177</v>
      </c>
      <c r="M251" s="13" t="s">
        <v>3184</v>
      </c>
      <c r="N251" s="13">
        <v>1.0</v>
      </c>
      <c r="O251" s="13" t="s">
        <v>3162</v>
      </c>
      <c r="P251" s="13" t="s">
        <v>3626</v>
      </c>
      <c r="Q251" s="13" t="s">
        <v>3159</v>
      </c>
      <c r="R251" s="13" t="s">
        <v>3177</v>
      </c>
      <c r="S251" s="13" t="s">
        <v>3167</v>
      </c>
      <c r="T251" s="13" t="s">
        <v>3164</v>
      </c>
      <c r="U251" s="13" t="s">
        <v>3164</v>
      </c>
      <c r="V251" s="13" t="s">
        <v>3166</v>
      </c>
      <c r="W251" s="13" t="s">
        <v>3167</v>
      </c>
      <c r="X251" s="13" t="s">
        <v>3178</v>
      </c>
    </row>
    <row r="252" ht="14.25" customHeight="1">
      <c r="A252" s="13">
        <v>23804.0</v>
      </c>
      <c r="B252" s="13" t="s">
        <v>2201</v>
      </c>
      <c r="C252" s="13">
        <v>2017.0</v>
      </c>
      <c r="D252" s="13" t="s">
        <v>3153</v>
      </c>
      <c r="E252" s="13" t="s">
        <v>3179</v>
      </c>
      <c r="F252" s="13" t="s">
        <v>3192</v>
      </c>
      <c r="G252" s="13" t="s">
        <v>3180</v>
      </c>
      <c r="H252" s="13">
        <v>0.5</v>
      </c>
      <c r="I252" s="13" t="s">
        <v>3181</v>
      </c>
      <c r="J252" s="13" t="s">
        <v>3182</v>
      </c>
      <c r="K252" s="13" t="s">
        <v>3381</v>
      </c>
      <c r="L252" s="13" t="s">
        <v>3177</v>
      </c>
      <c r="M252" s="13" t="s">
        <v>3342</v>
      </c>
      <c r="N252" s="13">
        <v>1.0</v>
      </c>
      <c r="O252" s="13" t="s">
        <v>3162</v>
      </c>
      <c r="P252" s="13" t="s">
        <v>3627</v>
      </c>
      <c r="Q252" s="13" t="s">
        <v>3628</v>
      </c>
      <c r="R252" s="13" t="s">
        <v>3163</v>
      </c>
      <c r="S252" s="13" t="s">
        <v>33</v>
      </c>
      <c r="T252" s="13" t="s">
        <v>3164</v>
      </c>
      <c r="U252" s="13" t="s">
        <v>3164</v>
      </c>
      <c r="V252" s="13" t="s">
        <v>3166</v>
      </c>
      <c r="W252" s="13" t="s">
        <v>3167</v>
      </c>
      <c r="X252" s="13" t="s">
        <v>3216</v>
      </c>
    </row>
    <row r="253" ht="14.25" customHeight="1">
      <c r="A253" s="13">
        <v>23816.0</v>
      </c>
      <c r="B253" s="13" t="s">
        <v>230</v>
      </c>
      <c r="C253" s="13">
        <v>2014.0</v>
      </c>
      <c r="D253" s="13" t="s">
        <v>3153</v>
      </c>
      <c r="E253" s="13" t="s">
        <v>3179</v>
      </c>
      <c r="F253" s="13" t="s">
        <v>3211</v>
      </c>
      <c r="G253" s="13" t="s">
        <v>3180</v>
      </c>
      <c r="H253" s="13">
        <v>0.1</v>
      </c>
      <c r="I253" s="13" t="s">
        <v>3249</v>
      </c>
      <c r="J253" s="13" t="s">
        <v>3584</v>
      </c>
      <c r="K253" s="13" t="s">
        <v>3183</v>
      </c>
      <c r="L253" s="13" t="s">
        <v>3177</v>
      </c>
      <c r="M253" s="13" t="s">
        <v>3161</v>
      </c>
      <c r="N253" s="13">
        <v>1.0</v>
      </c>
      <c r="O253" s="13" t="s">
        <v>3162</v>
      </c>
      <c r="P253" s="13" t="s">
        <v>3629</v>
      </c>
      <c r="Q253" s="13" t="s">
        <v>3173</v>
      </c>
      <c r="R253" s="13" t="s">
        <v>3260</v>
      </c>
      <c r="S253" s="13" t="s">
        <v>33</v>
      </c>
      <c r="T253" s="13" t="s">
        <v>3197</v>
      </c>
      <c r="U253" s="13" t="s">
        <v>3197</v>
      </c>
      <c r="V253" s="13" t="s">
        <v>3166</v>
      </c>
      <c r="W253" s="13" t="s">
        <v>3167</v>
      </c>
      <c r="X253" s="13" t="s">
        <v>3255</v>
      </c>
    </row>
    <row r="254" ht="14.25" customHeight="1">
      <c r="A254" s="13">
        <v>23823.0</v>
      </c>
      <c r="B254" s="13" t="s">
        <v>450</v>
      </c>
      <c r="C254" s="13">
        <v>2019.0</v>
      </c>
      <c r="D254" s="13" t="s">
        <v>3153</v>
      </c>
      <c r="E254" s="13" t="s">
        <v>3179</v>
      </c>
      <c r="F254" s="13" t="s">
        <v>3211</v>
      </c>
      <c r="G254" s="13" t="s">
        <v>3156</v>
      </c>
      <c r="H254" s="13" t="s">
        <v>3167</v>
      </c>
      <c r="I254" s="13" t="s">
        <v>3249</v>
      </c>
      <c r="J254" s="13" t="s">
        <v>3630</v>
      </c>
      <c r="K254" s="13" t="s">
        <v>3201</v>
      </c>
      <c r="L254" s="13" t="s">
        <v>3177</v>
      </c>
      <c r="M254" s="13" t="s">
        <v>3631</v>
      </c>
      <c r="N254" s="13">
        <v>3.0</v>
      </c>
      <c r="O254" s="13" t="s">
        <v>3175</v>
      </c>
      <c r="P254" s="13" t="s">
        <v>3167</v>
      </c>
      <c r="Q254" s="13" t="s">
        <v>3201</v>
      </c>
      <c r="R254" s="13" t="s">
        <v>3260</v>
      </c>
      <c r="S254" s="13" t="s">
        <v>33</v>
      </c>
      <c r="T254" s="13" t="s">
        <v>3247</v>
      </c>
      <c r="U254" s="13" t="s">
        <v>3247</v>
      </c>
      <c r="V254" s="13" t="s">
        <v>3166</v>
      </c>
      <c r="W254" s="13" t="s">
        <v>3167</v>
      </c>
      <c r="X254" s="13" t="s">
        <v>3632</v>
      </c>
    </row>
    <row r="255" ht="14.25" customHeight="1">
      <c r="A255" s="13">
        <v>23824.0</v>
      </c>
      <c r="B255" s="13" t="s">
        <v>288</v>
      </c>
      <c r="C255" s="13">
        <v>2005.0</v>
      </c>
      <c r="D255" s="13" t="s">
        <v>3153</v>
      </c>
      <c r="E255" s="13" t="s">
        <v>3179</v>
      </c>
      <c r="F255" s="13" t="s">
        <v>3192</v>
      </c>
      <c r="G255" s="13" t="s">
        <v>33</v>
      </c>
      <c r="H255" s="13" t="s">
        <v>33</v>
      </c>
      <c r="I255" s="13" t="s">
        <v>3181</v>
      </c>
      <c r="J255" s="13" t="s">
        <v>3182</v>
      </c>
      <c r="K255" s="13" t="s">
        <v>3190</v>
      </c>
      <c r="L255" s="13" t="s">
        <v>3160</v>
      </c>
      <c r="M255" s="13" t="s">
        <v>3633</v>
      </c>
      <c r="N255" s="13">
        <v>5.0</v>
      </c>
      <c r="O255" s="13" t="s">
        <v>3175</v>
      </c>
      <c r="P255" s="13" t="s">
        <v>33</v>
      </c>
      <c r="Q255" s="13" t="s">
        <v>3190</v>
      </c>
      <c r="R255" s="13" t="s">
        <v>3163</v>
      </c>
      <c r="S255" s="13" t="s">
        <v>33</v>
      </c>
      <c r="T255" s="13" t="s">
        <v>3252</v>
      </c>
      <c r="U255" s="13" t="s">
        <v>3252</v>
      </c>
      <c r="V255" s="13" t="s">
        <v>3253</v>
      </c>
      <c r="W255" s="13" t="s">
        <v>3634</v>
      </c>
      <c r="X255" s="13" t="s">
        <v>3632</v>
      </c>
    </row>
    <row r="256" ht="14.25" customHeight="1">
      <c r="A256" s="13">
        <v>23825.0</v>
      </c>
      <c r="B256" s="13" t="s">
        <v>1558</v>
      </c>
      <c r="C256" s="13">
        <v>2016.0</v>
      </c>
      <c r="D256" s="13" t="s">
        <v>3153</v>
      </c>
      <c r="E256" s="13" t="s">
        <v>3154</v>
      </c>
      <c r="F256" s="13" t="s">
        <v>3170</v>
      </c>
      <c r="G256" s="13" t="s">
        <v>3156</v>
      </c>
      <c r="H256" s="13" t="s">
        <v>3167</v>
      </c>
      <c r="I256" s="13" t="s">
        <v>3188</v>
      </c>
      <c r="J256" s="13" t="s">
        <v>3554</v>
      </c>
      <c r="K256" s="13" t="s">
        <v>3159</v>
      </c>
      <c r="L256" s="13" t="s">
        <v>3160</v>
      </c>
      <c r="M256" s="13" t="s">
        <v>3342</v>
      </c>
      <c r="N256" s="13">
        <v>1.0</v>
      </c>
      <c r="O256" s="13" t="s">
        <v>3162</v>
      </c>
      <c r="P256" s="13" t="s">
        <v>3167</v>
      </c>
      <c r="Q256" s="13" t="s">
        <v>3159</v>
      </c>
      <c r="R256" s="13" t="s">
        <v>3231</v>
      </c>
      <c r="S256" s="13" t="s">
        <v>33</v>
      </c>
      <c r="T256" s="13" t="s">
        <v>3232</v>
      </c>
      <c r="U256" s="13" t="s">
        <v>3232</v>
      </c>
      <c r="V256" s="13" t="s">
        <v>3166</v>
      </c>
      <c r="W256" s="13" t="s">
        <v>3167</v>
      </c>
      <c r="X256" s="13" t="s">
        <v>3225</v>
      </c>
    </row>
    <row r="257" ht="14.25" customHeight="1">
      <c r="A257" s="13">
        <v>23828.0</v>
      </c>
      <c r="B257" s="13" t="s">
        <v>1524</v>
      </c>
      <c r="C257" s="13">
        <v>2014.0</v>
      </c>
      <c r="D257" s="13" t="s">
        <v>3153</v>
      </c>
      <c r="E257" s="13" t="s">
        <v>3179</v>
      </c>
      <c r="F257" s="13" t="s">
        <v>3192</v>
      </c>
      <c r="G257" s="13" t="s">
        <v>3187</v>
      </c>
      <c r="H257" s="13">
        <v>25.0</v>
      </c>
      <c r="I257" s="13" t="s">
        <v>3181</v>
      </c>
      <c r="J257" s="13" t="s">
        <v>3229</v>
      </c>
      <c r="K257" s="13" t="s">
        <v>3159</v>
      </c>
      <c r="L257" s="13" t="s">
        <v>3177</v>
      </c>
      <c r="M257" s="13" t="s">
        <v>3184</v>
      </c>
      <c r="N257" s="13">
        <v>1.0</v>
      </c>
      <c r="O257" s="13" t="s">
        <v>3162</v>
      </c>
      <c r="P257" s="13" t="s">
        <v>33</v>
      </c>
      <c r="Q257" s="13" t="s">
        <v>3159</v>
      </c>
      <c r="R257" s="13" t="s">
        <v>3177</v>
      </c>
      <c r="S257" s="13" t="s">
        <v>33</v>
      </c>
      <c r="T257" s="13" t="s">
        <v>3164</v>
      </c>
      <c r="U257" s="13" t="s">
        <v>3232</v>
      </c>
      <c r="V257" s="13" t="s">
        <v>3166</v>
      </c>
      <c r="W257" s="13" t="s">
        <v>3167</v>
      </c>
      <c r="X257" s="13" t="s">
        <v>3635</v>
      </c>
    </row>
    <row r="258" ht="14.25" customHeight="1">
      <c r="A258" s="13">
        <v>23832.0</v>
      </c>
      <c r="B258" s="13" t="s">
        <v>338</v>
      </c>
      <c r="C258" s="13">
        <v>2015.0</v>
      </c>
      <c r="D258" s="13" t="s">
        <v>3153</v>
      </c>
      <c r="E258" s="13" t="s">
        <v>3169</v>
      </c>
      <c r="F258" s="13" t="s">
        <v>3284</v>
      </c>
      <c r="G258" s="13" t="s">
        <v>3187</v>
      </c>
      <c r="H258" s="13">
        <v>21.16</v>
      </c>
      <c r="I258" s="13" t="s">
        <v>3188</v>
      </c>
      <c r="J258" s="13" t="s">
        <v>3167</v>
      </c>
      <c r="K258" s="13" t="s">
        <v>3208</v>
      </c>
      <c r="L258" s="13" t="s">
        <v>3160</v>
      </c>
      <c r="M258" s="13" t="s">
        <v>3480</v>
      </c>
      <c r="N258" s="13">
        <v>1.0</v>
      </c>
      <c r="O258" s="13" t="s">
        <v>3162</v>
      </c>
      <c r="P258" s="13" t="s">
        <v>33</v>
      </c>
      <c r="Q258" s="13" t="s">
        <v>3183</v>
      </c>
      <c r="R258" s="13" t="s">
        <v>3163</v>
      </c>
      <c r="S258" s="13" t="s">
        <v>3397</v>
      </c>
      <c r="T258" s="13" t="s">
        <v>3164</v>
      </c>
      <c r="U258" s="13" t="s">
        <v>3164</v>
      </c>
      <c r="V258" s="13" t="s">
        <v>3166</v>
      </c>
      <c r="W258" s="13" t="s">
        <v>3167</v>
      </c>
      <c r="X258" s="13" t="s">
        <v>3178</v>
      </c>
    </row>
    <row r="259" ht="14.25" customHeight="1">
      <c r="A259" s="13">
        <v>23833.0</v>
      </c>
      <c r="B259" s="13" t="s">
        <v>2368</v>
      </c>
      <c r="C259" s="13">
        <v>2014.0</v>
      </c>
      <c r="D259" s="13" t="s">
        <v>3153</v>
      </c>
      <c r="E259" s="13" t="s">
        <v>3169</v>
      </c>
      <c r="F259" s="13" t="s">
        <v>3170</v>
      </c>
      <c r="G259" s="13" t="s">
        <v>3202</v>
      </c>
      <c r="H259" s="13">
        <v>15.0</v>
      </c>
      <c r="I259" s="13" t="s">
        <v>3188</v>
      </c>
      <c r="J259" s="13" t="s">
        <v>3404</v>
      </c>
      <c r="K259" s="13" t="s">
        <v>3208</v>
      </c>
      <c r="L259" s="13" t="s">
        <v>3160</v>
      </c>
      <c r="M259" s="13" t="s">
        <v>3230</v>
      </c>
      <c r="N259" s="13">
        <v>1.0</v>
      </c>
      <c r="O259" s="13" t="s">
        <v>3162</v>
      </c>
      <c r="P259" s="13" t="s">
        <v>33</v>
      </c>
      <c r="Q259" s="13" t="s">
        <v>3290</v>
      </c>
      <c r="R259" s="13" t="s">
        <v>3163</v>
      </c>
      <c r="S259" s="13" t="s">
        <v>33</v>
      </c>
      <c r="T259" s="13" t="s">
        <v>3252</v>
      </c>
      <c r="U259" s="13" t="s">
        <v>3252</v>
      </c>
      <c r="V259" s="13" t="s">
        <v>3253</v>
      </c>
      <c r="W259" s="13" t="s">
        <v>3248</v>
      </c>
      <c r="X259" s="13" t="s">
        <v>3178</v>
      </c>
    </row>
    <row r="260" ht="14.25" customHeight="1">
      <c r="A260" s="13">
        <v>23836.0</v>
      </c>
      <c r="B260" s="13" t="s">
        <v>990</v>
      </c>
      <c r="C260" s="13">
        <v>2010.0</v>
      </c>
      <c r="D260" s="13" t="s">
        <v>3153</v>
      </c>
      <c r="E260" s="13" t="s">
        <v>3179</v>
      </c>
      <c r="F260" s="13" t="s">
        <v>3170</v>
      </c>
      <c r="G260" s="13" t="s">
        <v>3156</v>
      </c>
      <c r="H260" s="13" t="s">
        <v>33</v>
      </c>
      <c r="I260" s="13" t="s">
        <v>3181</v>
      </c>
      <c r="J260" s="13" t="s">
        <v>3182</v>
      </c>
      <c r="K260" s="13" t="s">
        <v>3173</v>
      </c>
      <c r="L260" s="13" t="s">
        <v>3160</v>
      </c>
      <c r="M260" s="13" t="s">
        <v>3342</v>
      </c>
      <c r="N260" s="13">
        <v>1.0</v>
      </c>
      <c r="O260" s="13" t="s">
        <v>3162</v>
      </c>
      <c r="P260" s="13" t="s">
        <v>33</v>
      </c>
      <c r="Q260" s="13" t="s">
        <v>3173</v>
      </c>
      <c r="R260" s="13" t="s">
        <v>3163</v>
      </c>
      <c r="S260" s="13" t="s">
        <v>33</v>
      </c>
      <c r="T260" s="13" t="s">
        <v>3247</v>
      </c>
      <c r="U260" s="13" t="s">
        <v>3247</v>
      </c>
      <c r="V260" s="13" t="s">
        <v>3166</v>
      </c>
      <c r="W260" s="13" t="s">
        <v>3167</v>
      </c>
      <c r="X260" s="13" t="s">
        <v>3636</v>
      </c>
    </row>
    <row r="261" ht="14.25" customHeight="1">
      <c r="A261" s="13">
        <v>23838.0</v>
      </c>
      <c r="B261" s="13" t="s">
        <v>366</v>
      </c>
      <c r="C261" s="13">
        <v>2011.0</v>
      </c>
      <c r="D261" s="13" t="s">
        <v>3153</v>
      </c>
      <c r="E261" s="13" t="s">
        <v>3154</v>
      </c>
      <c r="F261" s="13" t="s">
        <v>3211</v>
      </c>
      <c r="G261" s="13" t="s">
        <v>3156</v>
      </c>
      <c r="H261" s="13" t="s">
        <v>33</v>
      </c>
      <c r="I261" s="13" t="s">
        <v>3222</v>
      </c>
      <c r="J261" s="13" t="s">
        <v>3637</v>
      </c>
      <c r="K261" s="13" t="s">
        <v>3173</v>
      </c>
      <c r="L261" s="13" t="s">
        <v>3177</v>
      </c>
      <c r="M261" s="13" t="s">
        <v>3638</v>
      </c>
      <c r="N261" s="13">
        <v>5.0</v>
      </c>
      <c r="O261" s="13" t="s">
        <v>3175</v>
      </c>
      <c r="P261" s="13" t="s">
        <v>33</v>
      </c>
      <c r="Q261" s="13" t="s">
        <v>3333</v>
      </c>
      <c r="R261" s="13" t="s">
        <v>3163</v>
      </c>
      <c r="S261" s="13" t="s">
        <v>33</v>
      </c>
      <c r="T261" s="13" t="s">
        <v>3197</v>
      </c>
      <c r="U261" s="13" t="s">
        <v>3197</v>
      </c>
      <c r="V261" s="13" t="s">
        <v>3166</v>
      </c>
      <c r="W261" s="13" t="s">
        <v>3167</v>
      </c>
      <c r="X261" s="13" t="s">
        <v>3255</v>
      </c>
    </row>
    <row r="262" ht="14.25" customHeight="1">
      <c r="A262" s="13">
        <v>23841.0</v>
      </c>
      <c r="B262" s="13" t="s">
        <v>1152</v>
      </c>
      <c r="C262" s="13">
        <v>2012.0</v>
      </c>
      <c r="D262" s="13" t="s">
        <v>3153</v>
      </c>
      <c r="E262" s="13" t="s">
        <v>3169</v>
      </c>
      <c r="F262" s="13" t="s">
        <v>3170</v>
      </c>
      <c r="G262" s="13" t="s">
        <v>3202</v>
      </c>
      <c r="H262" s="13">
        <v>30.0</v>
      </c>
      <c r="I262" s="13" t="s">
        <v>3188</v>
      </c>
      <c r="J262" s="13" t="s">
        <v>3194</v>
      </c>
      <c r="K262" s="13" t="s">
        <v>3208</v>
      </c>
      <c r="L262" s="13" t="s">
        <v>3160</v>
      </c>
      <c r="M262" s="13" t="s">
        <v>3639</v>
      </c>
      <c r="N262" s="13">
        <v>4.0</v>
      </c>
      <c r="O262" s="13" t="s">
        <v>3162</v>
      </c>
      <c r="P262" s="13" t="s">
        <v>33</v>
      </c>
      <c r="Q262" s="13" t="s">
        <v>3208</v>
      </c>
      <c r="R262" s="13" t="s">
        <v>3163</v>
      </c>
      <c r="S262" s="13" t="s">
        <v>33</v>
      </c>
      <c r="T262" s="13" t="s">
        <v>3247</v>
      </c>
      <c r="U262" s="13" t="s">
        <v>3247</v>
      </c>
      <c r="V262" s="13" t="s">
        <v>3242</v>
      </c>
      <c r="W262" s="13" t="s">
        <v>3248</v>
      </c>
      <c r="X262" s="13" t="s">
        <v>3167</v>
      </c>
    </row>
    <row r="263" ht="14.25" customHeight="1">
      <c r="A263" s="13">
        <v>23845.0</v>
      </c>
      <c r="B263" s="13" t="s">
        <v>1629</v>
      </c>
      <c r="C263" s="13">
        <v>2011.0</v>
      </c>
      <c r="D263" s="13" t="s">
        <v>3153</v>
      </c>
      <c r="E263" s="13" t="s">
        <v>3169</v>
      </c>
      <c r="F263" s="13" t="s">
        <v>3155</v>
      </c>
      <c r="G263" s="13" t="s">
        <v>3187</v>
      </c>
      <c r="H263" s="13">
        <v>1.0</v>
      </c>
      <c r="I263" s="13" t="s">
        <v>3244</v>
      </c>
      <c r="J263" s="13" t="s">
        <v>3245</v>
      </c>
      <c r="K263" s="13" t="s">
        <v>3417</v>
      </c>
      <c r="L263" s="13" t="s">
        <v>3177</v>
      </c>
      <c r="M263" s="13" t="s">
        <v>3640</v>
      </c>
      <c r="N263" s="13">
        <v>6.0</v>
      </c>
      <c r="O263" s="13" t="s">
        <v>3175</v>
      </c>
      <c r="P263" s="13" t="s">
        <v>3641</v>
      </c>
      <c r="Q263" s="13" t="s">
        <v>3381</v>
      </c>
      <c r="R263" s="13" t="s">
        <v>3260</v>
      </c>
      <c r="S263" s="13" t="s">
        <v>3642</v>
      </c>
      <c r="T263" s="13" t="s">
        <v>3197</v>
      </c>
      <c r="U263" s="13" t="s">
        <v>3197</v>
      </c>
      <c r="V263" s="13" t="s">
        <v>3166</v>
      </c>
      <c r="W263" s="13" t="s">
        <v>3167</v>
      </c>
      <c r="X263" s="13" t="s">
        <v>3643</v>
      </c>
    </row>
    <row r="264" ht="14.25" customHeight="1">
      <c r="A264" s="13">
        <v>23847.0</v>
      </c>
      <c r="B264" s="13" t="s">
        <v>2868</v>
      </c>
      <c r="C264" s="13">
        <v>2011.0</v>
      </c>
      <c r="D264" s="13" t="s">
        <v>3153</v>
      </c>
      <c r="E264" s="13" t="s">
        <v>3169</v>
      </c>
      <c r="F264" s="13" t="s">
        <v>3155</v>
      </c>
      <c r="G264" s="13" t="s">
        <v>3156</v>
      </c>
      <c r="H264" s="13" t="s">
        <v>3167</v>
      </c>
      <c r="I264" s="13" t="s">
        <v>3203</v>
      </c>
      <c r="J264" s="13" t="s">
        <v>3204</v>
      </c>
      <c r="K264" s="13" t="s">
        <v>3333</v>
      </c>
      <c r="L264" s="13" t="s">
        <v>3160</v>
      </c>
      <c r="M264" s="13" t="s">
        <v>3161</v>
      </c>
      <c r="N264" s="13">
        <v>1.0</v>
      </c>
      <c r="O264" s="13" t="s">
        <v>3162</v>
      </c>
      <c r="P264" s="13" t="s">
        <v>3644</v>
      </c>
      <c r="Q264" s="13" t="s">
        <v>3183</v>
      </c>
      <c r="R264" s="13" t="s">
        <v>3231</v>
      </c>
      <c r="S264" s="13" t="s">
        <v>3644</v>
      </c>
      <c r="T264" s="13" t="s">
        <v>3252</v>
      </c>
      <c r="U264" s="13" t="s">
        <v>3252</v>
      </c>
      <c r="V264" s="13" t="s">
        <v>3253</v>
      </c>
      <c r="W264" s="13" t="s">
        <v>3294</v>
      </c>
      <c r="X264" s="13" t="s">
        <v>3645</v>
      </c>
    </row>
    <row r="265" ht="14.25" customHeight="1">
      <c r="A265" s="13">
        <v>23848.0</v>
      </c>
      <c r="B265" s="13" t="s">
        <v>2868</v>
      </c>
      <c r="C265" s="13">
        <v>2011.0</v>
      </c>
      <c r="D265" s="13" t="s">
        <v>3153</v>
      </c>
      <c r="E265" s="13" t="s">
        <v>3465</v>
      </c>
      <c r="F265" s="13" t="s">
        <v>3155</v>
      </c>
      <c r="G265" s="13" t="s">
        <v>33</v>
      </c>
      <c r="H265" s="13" t="s">
        <v>33</v>
      </c>
      <c r="I265" s="13" t="s">
        <v>3203</v>
      </c>
      <c r="J265" s="13" t="s">
        <v>3204</v>
      </c>
      <c r="K265" s="13" t="s">
        <v>3183</v>
      </c>
      <c r="L265" s="13" t="s">
        <v>3177</v>
      </c>
      <c r="M265" s="13" t="s">
        <v>3646</v>
      </c>
      <c r="N265" s="13">
        <v>6.0</v>
      </c>
      <c r="O265" s="13" t="s">
        <v>3162</v>
      </c>
      <c r="P265" s="13" t="s">
        <v>3647</v>
      </c>
      <c r="Q265" s="13" t="s">
        <v>3338</v>
      </c>
      <c r="R265" s="13" t="s">
        <v>3177</v>
      </c>
      <c r="S265" s="13" t="s">
        <v>3647</v>
      </c>
      <c r="T265" s="13" t="s">
        <v>3252</v>
      </c>
      <c r="U265" s="13" t="s">
        <v>3252</v>
      </c>
      <c r="V265" s="13" t="s">
        <v>3253</v>
      </c>
      <c r="W265" s="13" t="s">
        <v>3294</v>
      </c>
      <c r="X265" s="13" t="s">
        <v>3648</v>
      </c>
    </row>
    <row r="266" ht="14.25" customHeight="1">
      <c r="A266" s="13">
        <v>23854.0</v>
      </c>
      <c r="B266" s="13" t="s">
        <v>1873</v>
      </c>
      <c r="C266" s="13">
        <v>2013.0</v>
      </c>
      <c r="D266" s="13" t="s">
        <v>3153</v>
      </c>
      <c r="E266" s="13" t="s">
        <v>3169</v>
      </c>
      <c r="F266" s="13" t="s">
        <v>3211</v>
      </c>
      <c r="G266" s="13" t="s">
        <v>3156</v>
      </c>
      <c r="H266" s="13" t="s">
        <v>33</v>
      </c>
      <c r="I266" s="13" t="s">
        <v>3171</v>
      </c>
      <c r="J266" s="13" t="s">
        <v>3649</v>
      </c>
      <c r="K266" s="13" t="s">
        <v>3159</v>
      </c>
      <c r="L266" s="13" t="s">
        <v>3177</v>
      </c>
      <c r="M266" s="13" t="s">
        <v>3391</v>
      </c>
      <c r="N266" s="13">
        <v>1.0</v>
      </c>
      <c r="O266" s="13" t="s">
        <v>3162</v>
      </c>
      <c r="P266" s="13" t="s">
        <v>33</v>
      </c>
      <c r="Q266" s="13" t="s">
        <v>3159</v>
      </c>
      <c r="R266" s="13" t="s">
        <v>3177</v>
      </c>
      <c r="S266" s="13" t="s">
        <v>33</v>
      </c>
      <c r="T266" s="13" t="s">
        <v>3232</v>
      </c>
      <c r="U266" s="13" t="s">
        <v>3232</v>
      </c>
      <c r="V266" s="13" t="s">
        <v>3166</v>
      </c>
      <c r="W266" s="13" t="s">
        <v>3167</v>
      </c>
      <c r="X266" s="13" t="s">
        <v>3178</v>
      </c>
    </row>
    <row r="267" ht="14.25" customHeight="1">
      <c r="A267" s="13" t="s">
        <v>1827</v>
      </c>
      <c r="B267" s="13" t="s">
        <v>1828</v>
      </c>
      <c r="C267" s="13">
        <v>2020.0</v>
      </c>
      <c r="D267" s="13" t="s">
        <v>3153</v>
      </c>
      <c r="E267" s="13" t="s">
        <v>3179</v>
      </c>
      <c r="F267" s="13" t="s">
        <v>3211</v>
      </c>
      <c r="G267" s="13" t="s">
        <v>3156</v>
      </c>
      <c r="H267" s="13" t="s">
        <v>33</v>
      </c>
      <c r="I267" s="13" t="s">
        <v>3261</v>
      </c>
      <c r="J267" s="13" t="s">
        <v>3650</v>
      </c>
      <c r="K267" s="13" t="s">
        <v>3159</v>
      </c>
      <c r="L267" s="13" t="s">
        <v>3160</v>
      </c>
      <c r="M267" s="13" t="s">
        <v>3161</v>
      </c>
      <c r="N267" s="13">
        <v>1.0</v>
      </c>
      <c r="O267" s="13" t="s">
        <v>3162</v>
      </c>
      <c r="P267" s="13" t="s">
        <v>33</v>
      </c>
      <c r="Q267" s="13" t="s">
        <v>3210</v>
      </c>
      <c r="R267" s="13" t="s">
        <v>3163</v>
      </c>
      <c r="S267" s="13" t="s">
        <v>33</v>
      </c>
      <c r="T267" s="13" t="s">
        <v>3195</v>
      </c>
      <c r="U267" s="13" t="s">
        <v>3195</v>
      </c>
      <c r="V267" s="13" t="s">
        <v>3195</v>
      </c>
      <c r="W267" s="13" t="s">
        <v>3167</v>
      </c>
      <c r="X267" s="13" t="s">
        <v>3167</v>
      </c>
    </row>
    <row r="268" ht="14.25" customHeight="1">
      <c r="A268" s="13">
        <v>23855.0</v>
      </c>
      <c r="B268" s="13" t="s">
        <v>1406</v>
      </c>
      <c r="C268" s="13">
        <v>2019.0</v>
      </c>
      <c r="D268" s="13" t="s">
        <v>3153</v>
      </c>
      <c r="E268" s="13" t="s">
        <v>3169</v>
      </c>
      <c r="F268" s="13" t="s">
        <v>3192</v>
      </c>
      <c r="G268" s="13" t="s">
        <v>3202</v>
      </c>
      <c r="H268" s="13">
        <v>40.0</v>
      </c>
      <c r="I268" s="13" t="s">
        <v>3157</v>
      </c>
      <c r="J268" s="13" t="s">
        <v>3307</v>
      </c>
      <c r="K268" s="13" t="s">
        <v>3651</v>
      </c>
      <c r="L268" s="13" t="s">
        <v>3160</v>
      </c>
      <c r="M268" s="13" t="s">
        <v>3230</v>
      </c>
      <c r="N268" s="13">
        <v>1.0</v>
      </c>
      <c r="O268" s="13" t="s">
        <v>3162</v>
      </c>
      <c r="P268" s="13" t="s">
        <v>3652</v>
      </c>
      <c r="Q268" s="13" t="s">
        <v>3651</v>
      </c>
      <c r="R268" s="13" t="s">
        <v>3163</v>
      </c>
      <c r="S268" s="13" t="s">
        <v>3652</v>
      </c>
      <c r="T268" s="13" t="s">
        <v>3164</v>
      </c>
      <c r="U268" s="13" t="s">
        <v>3164</v>
      </c>
      <c r="V268" s="13" t="s">
        <v>3166</v>
      </c>
      <c r="W268" s="13" t="s">
        <v>3167</v>
      </c>
      <c r="X268" s="13" t="s">
        <v>3178</v>
      </c>
    </row>
    <row r="269" ht="14.25" customHeight="1">
      <c r="A269" s="13">
        <v>23856.0</v>
      </c>
      <c r="B269" s="13" t="s">
        <v>1406</v>
      </c>
      <c r="C269" s="13">
        <v>2019.0</v>
      </c>
      <c r="D269" s="13" t="s">
        <v>3153</v>
      </c>
      <c r="E269" s="13" t="s">
        <v>3169</v>
      </c>
      <c r="F269" s="13" t="s">
        <v>3192</v>
      </c>
      <c r="G269" s="13" t="s">
        <v>3187</v>
      </c>
      <c r="H269" s="13">
        <v>1.0</v>
      </c>
      <c r="I269" s="13" t="s">
        <v>3157</v>
      </c>
      <c r="J269" s="13" t="s">
        <v>3307</v>
      </c>
      <c r="K269" s="13" t="s">
        <v>3381</v>
      </c>
      <c r="L269" s="13" t="s">
        <v>3160</v>
      </c>
      <c r="M269" s="13" t="s">
        <v>3230</v>
      </c>
      <c r="N269" s="13">
        <v>1.0</v>
      </c>
      <c r="O269" s="13" t="s">
        <v>3162</v>
      </c>
      <c r="P269" s="13" t="s">
        <v>3653</v>
      </c>
      <c r="Q269" s="13" t="s">
        <v>3183</v>
      </c>
      <c r="R269" s="13" t="s">
        <v>3163</v>
      </c>
      <c r="S269" s="13" t="s">
        <v>3653</v>
      </c>
      <c r="T269" s="13" t="s">
        <v>3164</v>
      </c>
      <c r="U269" s="13" t="s">
        <v>3164</v>
      </c>
      <c r="V269" s="13" t="s">
        <v>3166</v>
      </c>
      <c r="W269" s="13" t="s">
        <v>3167</v>
      </c>
      <c r="X269" s="13" t="s">
        <v>3178</v>
      </c>
    </row>
    <row r="270" ht="14.25" customHeight="1">
      <c r="A270" s="13">
        <v>23858.0</v>
      </c>
      <c r="B270" s="13" t="s">
        <v>2107</v>
      </c>
      <c r="C270" s="13">
        <v>2015.0</v>
      </c>
      <c r="D270" s="13" t="s">
        <v>3153</v>
      </c>
      <c r="E270" s="13" t="s">
        <v>3169</v>
      </c>
      <c r="F270" s="13" t="s">
        <v>3170</v>
      </c>
      <c r="G270" s="13" t="s">
        <v>3156</v>
      </c>
      <c r="H270" s="13" t="s">
        <v>33</v>
      </c>
      <c r="I270" s="13" t="s">
        <v>3171</v>
      </c>
      <c r="J270" s="13" t="s">
        <v>3555</v>
      </c>
      <c r="K270" s="13" t="s">
        <v>3208</v>
      </c>
      <c r="L270" s="13" t="s">
        <v>3160</v>
      </c>
      <c r="M270" s="13" t="s">
        <v>3484</v>
      </c>
      <c r="N270" s="13">
        <v>1.0</v>
      </c>
      <c r="O270" s="13" t="s">
        <v>3267</v>
      </c>
      <c r="P270" s="13" t="s">
        <v>33</v>
      </c>
      <c r="Q270" s="13" t="s">
        <v>3335</v>
      </c>
      <c r="R270" s="13" t="s">
        <v>3163</v>
      </c>
      <c r="S270" s="13" t="s">
        <v>3654</v>
      </c>
      <c r="T270" s="13" t="s">
        <v>3195</v>
      </c>
      <c r="U270" s="13" t="s">
        <v>3195</v>
      </c>
      <c r="V270" s="13" t="s">
        <v>3195</v>
      </c>
      <c r="W270" s="13" t="s">
        <v>3167</v>
      </c>
      <c r="X270" s="13" t="s">
        <v>3167</v>
      </c>
    </row>
    <row r="271" ht="14.25" customHeight="1">
      <c r="A271" s="13">
        <v>23864.0</v>
      </c>
      <c r="B271" s="13" t="s">
        <v>1620</v>
      </c>
      <c r="C271" s="13">
        <v>2020.0</v>
      </c>
      <c r="D271" s="13" t="s">
        <v>3153</v>
      </c>
      <c r="E271" s="13" t="s">
        <v>3179</v>
      </c>
      <c r="F271" s="13" t="s">
        <v>3170</v>
      </c>
      <c r="G271" s="13" t="s">
        <v>3202</v>
      </c>
      <c r="H271" s="13">
        <v>250.0</v>
      </c>
      <c r="I271" s="13" t="s">
        <v>3249</v>
      </c>
      <c r="J271" s="13" t="s">
        <v>3307</v>
      </c>
      <c r="K271" s="13" t="s">
        <v>3381</v>
      </c>
      <c r="L271" s="13" t="s">
        <v>3177</v>
      </c>
      <c r="M271" s="13" t="s">
        <v>3655</v>
      </c>
      <c r="N271" s="13">
        <v>11.0</v>
      </c>
      <c r="O271" s="13" t="s">
        <v>3175</v>
      </c>
      <c r="P271" s="13" t="s">
        <v>3656</v>
      </c>
      <c r="Q271" s="13" t="s">
        <v>3335</v>
      </c>
      <c r="R271" s="13" t="s">
        <v>3163</v>
      </c>
      <c r="S271" s="13" t="s">
        <v>3323</v>
      </c>
      <c r="T271" s="13" t="s">
        <v>3195</v>
      </c>
      <c r="U271" s="13" t="s">
        <v>3195</v>
      </c>
      <c r="V271" s="13" t="s">
        <v>3195</v>
      </c>
      <c r="W271" s="13" t="s">
        <v>3167</v>
      </c>
      <c r="X271" s="13" t="s">
        <v>3167</v>
      </c>
    </row>
    <row r="272" ht="14.25" customHeight="1">
      <c r="A272" s="13">
        <v>23865.0</v>
      </c>
      <c r="B272" s="13" t="s">
        <v>2578</v>
      </c>
      <c r="C272" s="13">
        <v>2019.0</v>
      </c>
      <c r="D272" s="13" t="s">
        <v>3153</v>
      </c>
      <c r="E272" s="13" t="s">
        <v>3169</v>
      </c>
      <c r="F272" s="13" t="s">
        <v>3170</v>
      </c>
      <c r="G272" s="13" t="s">
        <v>3187</v>
      </c>
      <c r="H272" s="13">
        <v>0.25</v>
      </c>
      <c r="I272" s="13" t="s">
        <v>3171</v>
      </c>
      <c r="J272" s="13" t="s">
        <v>3657</v>
      </c>
      <c r="K272" s="13" t="s">
        <v>3201</v>
      </c>
      <c r="L272" s="13" t="s">
        <v>3177</v>
      </c>
      <c r="M272" s="13" t="s">
        <v>3658</v>
      </c>
      <c r="N272" s="13">
        <v>2.0</v>
      </c>
      <c r="O272" s="13" t="s">
        <v>3162</v>
      </c>
      <c r="P272" s="13" t="s">
        <v>33</v>
      </c>
      <c r="Q272" s="13" t="s">
        <v>3659</v>
      </c>
      <c r="R272" s="13" t="s">
        <v>3177</v>
      </c>
      <c r="S272" s="13" t="s">
        <v>33</v>
      </c>
      <c r="T272" s="13" t="s">
        <v>3164</v>
      </c>
      <c r="U272" s="13" t="s">
        <v>3252</v>
      </c>
      <c r="V272" s="13" t="s">
        <v>3166</v>
      </c>
      <c r="W272" s="13" t="s">
        <v>3167</v>
      </c>
      <c r="X272" s="13" t="s">
        <v>3178</v>
      </c>
    </row>
    <row r="273" ht="14.25" customHeight="1">
      <c r="A273" s="13">
        <v>23866.0</v>
      </c>
      <c r="B273" s="13" t="s">
        <v>3120</v>
      </c>
      <c r="C273" s="13">
        <v>2012.0</v>
      </c>
      <c r="D273" s="13" t="s">
        <v>3153</v>
      </c>
      <c r="E273" s="13" t="s">
        <v>3169</v>
      </c>
      <c r="F273" s="13" t="s">
        <v>3192</v>
      </c>
      <c r="G273" s="13" t="s">
        <v>3202</v>
      </c>
      <c r="H273" s="13">
        <v>200.0</v>
      </c>
      <c r="I273" s="13" t="s">
        <v>3222</v>
      </c>
      <c r="J273" s="13" t="s">
        <v>3182</v>
      </c>
      <c r="K273" s="13" t="s">
        <v>3208</v>
      </c>
      <c r="L273" s="13" t="s">
        <v>3160</v>
      </c>
      <c r="M273" s="13" t="s">
        <v>3660</v>
      </c>
      <c r="N273" s="13">
        <v>4.0</v>
      </c>
      <c r="O273" s="13" t="s">
        <v>3175</v>
      </c>
      <c r="P273" s="13" t="s">
        <v>33</v>
      </c>
      <c r="Q273" s="13" t="s">
        <v>3335</v>
      </c>
      <c r="R273" s="13" t="s">
        <v>3163</v>
      </c>
      <c r="S273" s="13" t="s">
        <v>3661</v>
      </c>
      <c r="T273" s="13" t="s">
        <v>3195</v>
      </c>
      <c r="U273" s="13" t="s">
        <v>3195</v>
      </c>
      <c r="V273" s="13" t="s">
        <v>3195</v>
      </c>
      <c r="W273" s="13" t="s">
        <v>3167</v>
      </c>
      <c r="X273" s="13" t="s">
        <v>3167</v>
      </c>
    </row>
    <row r="274" ht="14.25" customHeight="1">
      <c r="A274" s="13">
        <v>23867.0</v>
      </c>
      <c r="B274" s="13" t="s">
        <v>322</v>
      </c>
      <c r="C274" s="13">
        <v>2020.0</v>
      </c>
      <c r="D274" s="13" t="s">
        <v>3153</v>
      </c>
      <c r="E274" s="13" t="s">
        <v>3169</v>
      </c>
      <c r="F274" s="13" t="s">
        <v>3170</v>
      </c>
      <c r="G274" s="13" t="s">
        <v>3156</v>
      </c>
      <c r="H274" s="13" t="s">
        <v>33</v>
      </c>
      <c r="I274" s="13" t="s">
        <v>3188</v>
      </c>
      <c r="J274" s="13" t="s">
        <v>3189</v>
      </c>
      <c r="K274" s="13" t="s">
        <v>3208</v>
      </c>
      <c r="L274" s="13" t="s">
        <v>3160</v>
      </c>
      <c r="M274" s="13" t="s">
        <v>3662</v>
      </c>
      <c r="N274" s="13">
        <v>3.0</v>
      </c>
      <c r="O274" s="13" t="s">
        <v>3162</v>
      </c>
      <c r="P274" s="13" t="s">
        <v>33</v>
      </c>
      <c r="Q274" s="13" t="s">
        <v>3210</v>
      </c>
      <c r="R274" s="13" t="s">
        <v>3163</v>
      </c>
      <c r="S274" s="13" t="s">
        <v>33</v>
      </c>
      <c r="T274" s="13" t="s">
        <v>3195</v>
      </c>
      <c r="U274" s="13" t="s">
        <v>3195</v>
      </c>
      <c r="V274" s="13" t="s">
        <v>3195</v>
      </c>
      <c r="W274" s="13" t="s">
        <v>3167</v>
      </c>
      <c r="X274" s="13" t="s">
        <v>3167</v>
      </c>
    </row>
    <row r="275" ht="14.25" customHeight="1">
      <c r="A275" s="13">
        <v>23868.0</v>
      </c>
      <c r="B275" s="13" t="s">
        <v>76</v>
      </c>
      <c r="C275" s="13">
        <v>2018.0</v>
      </c>
      <c r="D275" s="13" t="s">
        <v>3153</v>
      </c>
      <c r="E275" s="13" t="s">
        <v>3169</v>
      </c>
      <c r="F275" s="13" t="s">
        <v>3192</v>
      </c>
      <c r="G275" s="13" t="s">
        <v>3187</v>
      </c>
      <c r="H275" s="13">
        <v>2500.0</v>
      </c>
      <c r="I275" s="13" t="s">
        <v>3244</v>
      </c>
      <c r="J275" s="13" t="s">
        <v>3278</v>
      </c>
      <c r="K275" s="13" t="s">
        <v>3159</v>
      </c>
      <c r="L275" s="13" t="s">
        <v>3160</v>
      </c>
      <c r="M275" s="13" t="s">
        <v>3161</v>
      </c>
      <c r="N275" s="13">
        <v>1.0</v>
      </c>
      <c r="O275" s="13" t="s">
        <v>3162</v>
      </c>
      <c r="P275" s="13" t="s">
        <v>3167</v>
      </c>
      <c r="Q275" s="13" t="s">
        <v>3173</v>
      </c>
      <c r="R275" s="13" t="s">
        <v>3231</v>
      </c>
      <c r="S275" s="13" t="s">
        <v>33</v>
      </c>
      <c r="T275" s="13" t="s">
        <v>3164</v>
      </c>
      <c r="U275" s="13" t="s">
        <v>3232</v>
      </c>
      <c r="V275" s="13" t="s">
        <v>3166</v>
      </c>
      <c r="W275" s="13" t="s">
        <v>3167</v>
      </c>
      <c r="X275" s="13" t="s">
        <v>3224</v>
      </c>
    </row>
    <row r="276" ht="14.25" customHeight="1">
      <c r="A276" s="13">
        <v>23869.0</v>
      </c>
      <c r="B276" s="13" t="s">
        <v>1860</v>
      </c>
      <c r="C276" s="13">
        <v>2015.0</v>
      </c>
      <c r="D276" s="13" t="s">
        <v>3153</v>
      </c>
      <c r="E276" s="13" t="s">
        <v>3169</v>
      </c>
      <c r="F276" s="13" t="s">
        <v>3192</v>
      </c>
      <c r="G276" s="13" t="s">
        <v>3202</v>
      </c>
      <c r="H276" s="13">
        <v>30.0</v>
      </c>
      <c r="I276" s="13" t="s">
        <v>3188</v>
      </c>
      <c r="J276" s="13" t="s">
        <v>3432</v>
      </c>
      <c r="K276" s="13" t="s">
        <v>3208</v>
      </c>
      <c r="L276" s="13" t="s">
        <v>3160</v>
      </c>
      <c r="M276" s="13" t="s">
        <v>3480</v>
      </c>
      <c r="N276" s="13">
        <v>1.0</v>
      </c>
      <c r="O276" s="13" t="s">
        <v>3162</v>
      </c>
      <c r="P276" s="13" t="s">
        <v>33</v>
      </c>
      <c r="Q276" s="13" t="s">
        <v>3290</v>
      </c>
      <c r="R276" s="13" t="s">
        <v>3163</v>
      </c>
      <c r="S276" s="13" t="s">
        <v>33</v>
      </c>
      <c r="T276" s="13" t="s">
        <v>3247</v>
      </c>
      <c r="U276" s="13" t="s">
        <v>3247</v>
      </c>
      <c r="V276" s="13" t="s">
        <v>3242</v>
      </c>
      <c r="W276" s="13" t="s">
        <v>3356</v>
      </c>
      <c r="X276" s="13" t="s">
        <v>3167</v>
      </c>
    </row>
    <row r="277" ht="14.25" customHeight="1">
      <c r="A277" s="13">
        <v>23870.0</v>
      </c>
      <c r="B277" s="13" t="s">
        <v>806</v>
      </c>
      <c r="C277" s="13">
        <v>2019.0</v>
      </c>
      <c r="D277" s="13" t="s">
        <v>3153</v>
      </c>
      <c r="E277" s="13" t="s">
        <v>3395</v>
      </c>
      <c r="F277" s="13" t="s">
        <v>3211</v>
      </c>
      <c r="G277" s="13" t="s">
        <v>3180</v>
      </c>
      <c r="H277" s="13">
        <v>1.0</v>
      </c>
      <c r="I277" s="13" t="s">
        <v>3193</v>
      </c>
      <c r="J277" s="14" t="s">
        <v>3663</v>
      </c>
      <c r="K277" s="13" t="s">
        <v>3208</v>
      </c>
      <c r="L277" s="13" t="s">
        <v>3177</v>
      </c>
      <c r="M277" s="13" t="s">
        <v>3664</v>
      </c>
      <c r="N277" s="13">
        <v>3.0</v>
      </c>
      <c r="O277" s="13" t="s">
        <v>3162</v>
      </c>
      <c r="P277" s="13" t="s">
        <v>33</v>
      </c>
      <c r="Q277" s="13" t="s">
        <v>3208</v>
      </c>
      <c r="R277" s="13" t="s">
        <v>3163</v>
      </c>
      <c r="S277" s="13" t="s">
        <v>33</v>
      </c>
      <c r="T277" s="13" t="s">
        <v>3197</v>
      </c>
      <c r="U277" s="13" t="s">
        <v>3197</v>
      </c>
      <c r="V277" s="13" t="s">
        <v>3242</v>
      </c>
      <c r="W277" s="13" t="s">
        <v>3481</v>
      </c>
      <c r="X277" s="13" t="s">
        <v>3167</v>
      </c>
    </row>
    <row r="278" ht="14.25" customHeight="1">
      <c r="A278" s="13">
        <v>23871.0</v>
      </c>
      <c r="B278" s="13" t="s">
        <v>363</v>
      </c>
      <c r="C278" s="13">
        <v>2018.0</v>
      </c>
      <c r="D278" s="13" t="s">
        <v>3153</v>
      </c>
      <c r="E278" s="13" t="s">
        <v>3169</v>
      </c>
      <c r="F278" s="13" t="s">
        <v>3192</v>
      </c>
      <c r="G278" s="13" t="s">
        <v>3156</v>
      </c>
      <c r="H278" s="13" t="s">
        <v>33</v>
      </c>
      <c r="I278" s="13" t="s">
        <v>3157</v>
      </c>
      <c r="J278" s="13" t="s">
        <v>3307</v>
      </c>
      <c r="K278" s="13" t="s">
        <v>3183</v>
      </c>
      <c r="L278" s="13" t="s">
        <v>3160</v>
      </c>
      <c r="M278" s="13" t="s">
        <v>3230</v>
      </c>
      <c r="N278" s="13">
        <v>1.0</v>
      </c>
      <c r="O278" s="13" t="s">
        <v>3162</v>
      </c>
      <c r="P278" s="13" t="s">
        <v>33</v>
      </c>
      <c r="Q278" s="13" t="s">
        <v>3183</v>
      </c>
      <c r="R278" s="13" t="s">
        <v>3163</v>
      </c>
      <c r="S278" s="13" t="s">
        <v>33</v>
      </c>
      <c r="T278" s="13" t="s">
        <v>3232</v>
      </c>
      <c r="U278" s="13" t="s">
        <v>3232</v>
      </c>
      <c r="V278" s="13" t="s">
        <v>3166</v>
      </c>
      <c r="W278" s="13" t="s">
        <v>3167</v>
      </c>
      <c r="X278" s="13" t="s">
        <v>3178</v>
      </c>
    </row>
    <row r="279" ht="14.25" customHeight="1">
      <c r="A279" s="13">
        <v>23877.0</v>
      </c>
      <c r="B279" s="13" t="s">
        <v>1769</v>
      </c>
      <c r="C279" s="13">
        <v>2011.0</v>
      </c>
      <c r="D279" s="13" t="s">
        <v>3153</v>
      </c>
      <c r="E279" s="13" t="s">
        <v>3179</v>
      </c>
      <c r="F279" s="13" t="s">
        <v>3170</v>
      </c>
      <c r="G279" s="13" t="s">
        <v>3202</v>
      </c>
      <c r="H279" s="13">
        <v>30.0</v>
      </c>
      <c r="I279" s="13" t="s">
        <v>3181</v>
      </c>
      <c r="J279" s="13" t="s">
        <v>3182</v>
      </c>
      <c r="K279" s="13" t="s">
        <v>3183</v>
      </c>
      <c r="L279" s="13" t="s">
        <v>3160</v>
      </c>
      <c r="M279" s="13" t="s">
        <v>3489</v>
      </c>
      <c r="N279" s="13">
        <v>2.0</v>
      </c>
      <c r="O279" s="13" t="s">
        <v>3267</v>
      </c>
      <c r="P279" s="13" t="s">
        <v>3665</v>
      </c>
      <c r="Q279" s="13" t="s">
        <v>3183</v>
      </c>
      <c r="R279" s="13" t="s">
        <v>3163</v>
      </c>
      <c r="S279" s="13" t="s">
        <v>3665</v>
      </c>
      <c r="T279" s="13" t="s">
        <v>3164</v>
      </c>
      <c r="U279" s="13" t="s">
        <v>3164</v>
      </c>
      <c r="V279" s="13" t="s">
        <v>3166</v>
      </c>
      <c r="W279" s="13" t="s">
        <v>3167</v>
      </c>
      <c r="X279" s="13" t="s">
        <v>3255</v>
      </c>
    </row>
    <row r="280" ht="14.25" customHeight="1">
      <c r="A280" s="13">
        <v>23879.0</v>
      </c>
      <c r="B280" s="13" t="s">
        <v>931</v>
      </c>
      <c r="C280" s="13">
        <v>2018.0</v>
      </c>
      <c r="D280" s="13" t="s">
        <v>3153</v>
      </c>
      <c r="E280" s="13" t="s">
        <v>3179</v>
      </c>
      <c r="F280" s="13" t="s">
        <v>3192</v>
      </c>
      <c r="G280" s="13" t="s">
        <v>3156</v>
      </c>
      <c r="H280" s="13" t="s">
        <v>33</v>
      </c>
      <c r="I280" s="13" t="s">
        <v>3666</v>
      </c>
      <c r="J280" s="13" t="s">
        <v>3289</v>
      </c>
      <c r="K280" s="13" t="s">
        <v>3159</v>
      </c>
      <c r="L280" s="13" t="s">
        <v>3160</v>
      </c>
      <c r="M280" s="13" t="s">
        <v>3342</v>
      </c>
      <c r="N280" s="13">
        <v>1.0</v>
      </c>
      <c r="O280" s="13" t="s">
        <v>3162</v>
      </c>
      <c r="P280" s="13" t="s">
        <v>33</v>
      </c>
      <c r="Q280" s="13" t="s">
        <v>3159</v>
      </c>
      <c r="R280" s="13" t="s">
        <v>3163</v>
      </c>
      <c r="S280" s="13" t="s">
        <v>33</v>
      </c>
      <c r="T280" s="13" t="s">
        <v>3232</v>
      </c>
      <c r="U280" s="13" t="s">
        <v>3232</v>
      </c>
      <c r="V280" s="13" t="s">
        <v>3166</v>
      </c>
      <c r="W280" s="13" t="s">
        <v>3167</v>
      </c>
      <c r="X280" s="13" t="s">
        <v>3225</v>
      </c>
    </row>
    <row r="281" ht="14.25" customHeight="1">
      <c r="A281" s="13">
        <v>23881.0</v>
      </c>
      <c r="B281" s="13" t="s">
        <v>734</v>
      </c>
      <c r="C281" s="13">
        <v>2013.0</v>
      </c>
      <c r="D281" s="13" t="s">
        <v>3153</v>
      </c>
      <c r="E281" s="13" t="s">
        <v>3169</v>
      </c>
      <c r="F281" s="13" t="s">
        <v>3211</v>
      </c>
      <c r="G281" s="13" t="s">
        <v>3156</v>
      </c>
      <c r="H281" s="13" t="s">
        <v>3167</v>
      </c>
      <c r="I281" s="13" t="s">
        <v>3244</v>
      </c>
      <c r="J281" s="13" t="s">
        <v>3667</v>
      </c>
      <c r="K281" s="13" t="s">
        <v>3183</v>
      </c>
      <c r="L281" s="13" t="s">
        <v>3160</v>
      </c>
      <c r="M281" s="13" t="s">
        <v>3497</v>
      </c>
      <c r="N281" s="13">
        <v>1.0</v>
      </c>
      <c r="O281" s="13" t="s">
        <v>3162</v>
      </c>
      <c r="P281" s="13" t="s">
        <v>3668</v>
      </c>
      <c r="Q281" s="13" t="s">
        <v>3183</v>
      </c>
      <c r="R281" s="13" t="s">
        <v>3231</v>
      </c>
      <c r="S281" s="13" t="s">
        <v>33</v>
      </c>
      <c r="T281" s="13" t="s">
        <v>3215</v>
      </c>
      <c r="U281" s="13" t="s">
        <v>3215</v>
      </c>
      <c r="V281" s="13" t="s">
        <v>3242</v>
      </c>
      <c r="W281" s="13" t="s">
        <v>3377</v>
      </c>
      <c r="X281" s="13" t="s">
        <v>3167</v>
      </c>
    </row>
    <row r="282" ht="14.25" customHeight="1">
      <c r="A282" s="13">
        <v>23888.0</v>
      </c>
      <c r="B282" s="13" t="s">
        <v>1445</v>
      </c>
      <c r="C282" s="13">
        <v>2017.0</v>
      </c>
      <c r="D282" s="13" t="s">
        <v>3153</v>
      </c>
      <c r="E282" s="13" t="s">
        <v>3179</v>
      </c>
      <c r="F282" s="13" t="s">
        <v>3155</v>
      </c>
      <c r="G282" s="13" t="s">
        <v>3187</v>
      </c>
      <c r="H282" s="13">
        <v>25.0</v>
      </c>
      <c r="I282" s="13" t="s">
        <v>3261</v>
      </c>
      <c r="J282" s="13" t="s">
        <v>3570</v>
      </c>
      <c r="K282" s="13" t="s">
        <v>3218</v>
      </c>
      <c r="L282" s="13" t="s">
        <v>3177</v>
      </c>
      <c r="M282" s="13" t="s">
        <v>3669</v>
      </c>
      <c r="N282" s="13">
        <v>12.0</v>
      </c>
      <c r="O282" s="13" t="s">
        <v>3175</v>
      </c>
      <c r="P282" s="13" t="s">
        <v>3220</v>
      </c>
      <c r="Q282" s="13" t="s">
        <v>3205</v>
      </c>
      <c r="R282" s="13" t="s">
        <v>3163</v>
      </c>
      <c r="S282" s="13" t="s">
        <v>33</v>
      </c>
      <c r="T282" s="13" t="s">
        <v>3195</v>
      </c>
      <c r="U282" s="13" t="s">
        <v>3195</v>
      </c>
      <c r="V282" s="13" t="s">
        <v>3195</v>
      </c>
      <c r="W282" s="13" t="s">
        <v>3167</v>
      </c>
      <c r="X282" s="13" t="s">
        <v>3167</v>
      </c>
    </row>
    <row r="283" ht="14.25" customHeight="1">
      <c r="A283" s="13">
        <v>23889.0</v>
      </c>
      <c r="B283" s="13" t="s">
        <v>1445</v>
      </c>
      <c r="C283" s="13">
        <v>2020.0</v>
      </c>
      <c r="D283" s="13" t="s">
        <v>3153</v>
      </c>
      <c r="E283" s="13" t="s">
        <v>3179</v>
      </c>
      <c r="F283" s="13" t="s">
        <v>3155</v>
      </c>
      <c r="G283" s="13" t="s">
        <v>33</v>
      </c>
      <c r="H283" s="13" t="s">
        <v>33</v>
      </c>
      <c r="I283" s="13" t="s">
        <v>3261</v>
      </c>
      <c r="J283" s="13" t="s">
        <v>3570</v>
      </c>
      <c r="K283" s="13" t="s">
        <v>3183</v>
      </c>
      <c r="L283" s="13" t="s">
        <v>3160</v>
      </c>
      <c r="M283" s="13" t="s">
        <v>3670</v>
      </c>
      <c r="N283" s="13">
        <v>7.0</v>
      </c>
      <c r="O283" s="13" t="s">
        <v>3162</v>
      </c>
      <c r="P283" s="13" t="s">
        <v>3671</v>
      </c>
      <c r="Q283" s="13" t="s">
        <v>3210</v>
      </c>
      <c r="R283" s="13" t="s">
        <v>3163</v>
      </c>
      <c r="S283" s="13" t="s">
        <v>33</v>
      </c>
      <c r="T283" s="13" t="s">
        <v>3195</v>
      </c>
      <c r="U283" s="13" t="s">
        <v>3195</v>
      </c>
      <c r="V283" s="13" t="s">
        <v>3195</v>
      </c>
      <c r="W283" s="13" t="s">
        <v>3167</v>
      </c>
      <c r="X283" s="13" t="s">
        <v>3167</v>
      </c>
    </row>
    <row r="284" ht="14.25" customHeight="1">
      <c r="A284" s="13">
        <v>23891.0</v>
      </c>
      <c r="B284" s="13" t="s">
        <v>1778</v>
      </c>
      <c r="C284" s="13">
        <v>2020.0</v>
      </c>
      <c r="D284" s="13" t="s">
        <v>3315</v>
      </c>
      <c r="E284" s="13" t="s">
        <v>3169</v>
      </c>
      <c r="F284" s="13" t="s">
        <v>3217</v>
      </c>
      <c r="G284" s="13" t="s">
        <v>3156</v>
      </c>
      <c r="H284" s="13" t="s">
        <v>33</v>
      </c>
      <c r="I284" s="13" t="s">
        <v>3167</v>
      </c>
      <c r="J284" s="13" t="s">
        <v>3167</v>
      </c>
      <c r="K284" s="13" t="s">
        <v>3173</v>
      </c>
      <c r="L284" s="13" t="s">
        <v>3177</v>
      </c>
      <c r="M284" s="13" t="s">
        <v>3331</v>
      </c>
      <c r="N284" s="13">
        <v>1.0</v>
      </c>
      <c r="O284" s="13" t="s">
        <v>3162</v>
      </c>
      <c r="P284" s="13" t="s">
        <v>33</v>
      </c>
      <c r="Q284" s="13" t="s">
        <v>3173</v>
      </c>
      <c r="R284" s="13" t="s">
        <v>3163</v>
      </c>
      <c r="S284" s="13" t="s">
        <v>33</v>
      </c>
      <c r="T284" s="13" t="s">
        <v>3215</v>
      </c>
      <c r="U284" s="13" t="s">
        <v>3215</v>
      </c>
      <c r="V284" s="13" t="s">
        <v>3166</v>
      </c>
      <c r="W284" s="13" t="s">
        <v>3167</v>
      </c>
      <c r="X284" s="13" t="s">
        <v>3224</v>
      </c>
    </row>
    <row r="285" ht="14.25" customHeight="1">
      <c r="A285" s="13">
        <v>25210.0</v>
      </c>
      <c r="B285" s="13" t="s">
        <v>2232</v>
      </c>
      <c r="C285" s="13">
        <v>2021.0</v>
      </c>
      <c r="D285" s="13" t="s">
        <v>3153</v>
      </c>
      <c r="E285" s="13" t="s">
        <v>3169</v>
      </c>
      <c r="F285" s="13" t="s">
        <v>3192</v>
      </c>
      <c r="G285" s="13" t="s">
        <v>3156</v>
      </c>
      <c r="H285" s="13" t="s">
        <v>33</v>
      </c>
      <c r="I285" s="13" t="s">
        <v>3157</v>
      </c>
      <c r="J285" s="13" t="s">
        <v>3307</v>
      </c>
      <c r="K285" s="13" t="s">
        <v>3159</v>
      </c>
      <c r="L285" s="13" t="s">
        <v>3177</v>
      </c>
      <c r="M285" s="13" t="s">
        <v>3672</v>
      </c>
      <c r="N285" s="13">
        <v>3.0</v>
      </c>
      <c r="O285" s="13" t="s">
        <v>3162</v>
      </c>
      <c r="P285" s="13" t="s">
        <v>33</v>
      </c>
      <c r="Q285" s="13" t="s">
        <v>3437</v>
      </c>
      <c r="R285" s="13" t="s">
        <v>3163</v>
      </c>
      <c r="S285" s="13" t="s">
        <v>3601</v>
      </c>
      <c r="T285" s="13" t="s">
        <v>3232</v>
      </c>
      <c r="U285" s="13" t="s">
        <v>3232</v>
      </c>
      <c r="V285" s="13" t="s">
        <v>3166</v>
      </c>
      <c r="W285" s="13" t="s">
        <v>3167</v>
      </c>
      <c r="X285" s="13" t="s">
        <v>3224</v>
      </c>
    </row>
    <row r="286" ht="14.25" customHeight="1">
      <c r="A286" s="13">
        <v>23893.0</v>
      </c>
      <c r="B286" s="13" t="s">
        <v>2077</v>
      </c>
      <c r="C286" s="13">
        <v>2018.0</v>
      </c>
      <c r="D286" s="13" t="s">
        <v>3153</v>
      </c>
      <c r="E286" s="13" t="s">
        <v>3169</v>
      </c>
      <c r="F286" s="13" t="s">
        <v>3170</v>
      </c>
      <c r="G286" s="13" t="s">
        <v>3156</v>
      </c>
      <c r="H286" s="13" t="s">
        <v>33</v>
      </c>
      <c r="I286" s="13" t="s">
        <v>3244</v>
      </c>
      <c r="J286" s="13" t="s">
        <v>3289</v>
      </c>
      <c r="K286" s="13" t="s">
        <v>3159</v>
      </c>
      <c r="L286" s="13" t="s">
        <v>3177</v>
      </c>
      <c r="M286" s="13" t="s">
        <v>3391</v>
      </c>
      <c r="N286" s="13">
        <v>1.0</v>
      </c>
      <c r="O286" s="13" t="s">
        <v>3162</v>
      </c>
      <c r="P286" s="13" t="s">
        <v>33</v>
      </c>
      <c r="Q286" s="13" t="s">
        <v>3335</v>
      </c>
      <c r="R286" s="13" t="s">
        <v>3163</v>
      </c>
      <c r="S286" s="13" t="s">
        <v>3323</v>
      </c>
      <c r="T286" s="13" t="s">
        <v>3195</v>
      </c>
      <c r="U286" s="13" t="s">
        <v>3195</v>
      </c>
      <c r="V286" s="13" t="s">
        <v>3195</v>
      </c>
      <c r="W286" s="13" t="s">
        <v>3167</v>
      </c>
      <c r="X286" s="13" t="s">
        <v>3167</v>
      </c>
    </row>
    <row r="287" ht="14.25" customHeight="1">
      <c r="A287" s="13">
        <v>23903.0</v>
      </c>
      <c r="B287" s="13" t="s">
        <v>3109</v>
      </c>
      <c r="C287" s="13">
        <v>2020.0</v>
      </c>
      <c r="D287" s="13" t="s">
        <v>3153</v>
      </c>
      <c r="E287" s="13" t="s">
        <v>3169</v>
      </c>
      <c r="F287" s="13" t="s">
        <v>3170</v>
      </c>
      <c r="G287" s="13" t="s">
        <v>3156</v>
      </c>
      <c r="H287" s="13" t="s">
        <v>33</v>
      </c>
      <c r="I287" s="13" t="s">
        <v>3244</v>
      </c>
      <c r="J287" s="13" t="s">
        <v>3345</v>
      </c>
      <c r="K287" s="13" t="s">
        <v>3159</v>
      </c>
      <c r="L287" s="13" t="s">
        <v>3177</v>
      </c>
      <c r="M287" s="13" t="s">
        <v>3230</v>
      </c>
      <c r="N287" s="13">
        <v>1.0</v>
      </c>
      <c r="O287" s="13" t="s">
        <v>3162</v>
      </c>
      <c r="P287" s="13" t="s">
        <v>33</v>
      </c>
      <c r="Q287" s="13" t="s">
        <v>3159</v>
      </c>
      <c r="R287" s="13" t="s">
        <v>3177</v>
      </c>
      <c r="S287" s="13" t="s">
        <v>33</v>
      </c>
      <c r="T287" s="13" t="s">
        <v>3197</v>
      </c>
      <c r="U287" s="13" t="s">
        <v>3197</v>
      </c>
      <c r="V287" s="13" t="s">
        <v>3166</v>
      </c>
      <c r="W287" s="13" t="s">
        <v>3167</v>
      </c>
      <c r="X287" s="13" t="s">
        <v>3673</v>
      </c>
    </row>
    <row r="288" ht="14.25" customHeight="1">
      <c r="A288" s="13">
        <v>23904.0</v>
      </c>
      <c r="B288" s="13" t="s">
        <v>1904</v>
      </c>
      <c r="C288" s="13">
        <v>2018.0</v>
      </c>
      <c r="D288" s="13" t="s">
        <v>3153</v>
      </c>
      <c r="E288" s="13" t="s">
        <v>3179</v>
      </c>
      <c r="F288" s="13" t="s">
        <v>3192</v>
      </c>
      <c r="G288" s="13" t="s">
        <v>3187</v>
      </c>
      <c r="H288" s="13">
        <v>25.0</v>
      </c>
      <c r="I288" s="13" t="s">
        <v>3261</v>
      </c>
      <c r="J288" s="13" t="s">
        <v>3240</v>
      </c>
      <c r="K288" s="13" t="s">
        <v>3159</v>
      </c>
      <c r="L288" s="13" t="s">
        <v>3177</v>
      </c>
      <c r="M288" s="13" t="s">
        <v>3674</v>
      </c>
      <c r="N288" s="13">
        <v>2.0</v>
      </c>
      <c r="O288" s="13" t="s">
        <v>3162</v>
      </c>
      <c r="P288" s="13" t="s">
        <v>3675</v>
      </c>
      <c r="Q288" s="13" t="s">
        <v>3335</v>
      </c>
      <c r="R288" s="13" t="s">
        <v>3231</v>
      </c>
      <c r="S288" s="13" t="s">
        <v>33</v>
      </c>
      <c r="T288" s="13" t="s">
        <v>3164</v>
      </c>
      <c r="U288" s="13" t="s">
        <v>3164</v>
      </c>
      <c r="V288" s="13" t="s">
        <v>3166</v>
      </c>
      <c r="W288" s="13" t="s">
        <v>3167</v>
      </c>
      <c r="X288" s="13" t="s">
        <v>3178</v>
      </c>
    </row>
    <row r="289" ht="14.25" customHeight="1">
      <c r="A289" s="13">
        <v>23905.0</v>
      </c>
      <c r="B289" s="13" t="s">
        <v>2064</v>
      </c>
      <c r="C289" s="13">
        <v>2008.0</v>
      </c>
      <c r="D289" s="13" t="s">
        <v>3153</v>
      </c>
      <c r="E289" s="13" t="s">
        <v>3169</v>
      </c>
      <c r="F289" s="13" t="s">
        <v>3211</v>
      </c>
      <c r="G289" s="13" t="s">
        <v>3156</v>
      </c>
      <c r="H289" s="13" t="s">
        <v>33</v>
      </c>
      <c r="I289" s="13" t="s">
        <v>3244</v>
      </c>
      <c r="J289" s="13" t="s">
        <v>3676</v>
      </c>
      <c r="K289" s="13" t="s">
        <v>3183</v>
      </c>
      <c r="L289" s="13" t="s">
        <v>3160</v>
      </c>
      <c r="M289" s="13" t="s">
        <v>3677</v>
      </c>
      <c r="N289" s="13">
        <v>2.0</v>
      </c>
      <c r="O289" s="13" t="s">
        <v>3162</v>
      </c>
      <c r="P289" s="13" t="s">
        <v>3678</v>
      </c>
      <c r="Q289" s="13" t="s">
        <v>3210</v>
      </c>
      <c r="R289" s="13" t="s">
        <v>3163</v>
      </c>
      <c r="S289" s="13" t="s">
        <v>33</v>
      </c>
      <c r="T289" s="13" t="s">
        <v>3195</v>
      </c>
      <c r="U289" s="13" t="s">
        <v>3195</v>
      </c>
      <c r="V289" s="13" t="s">
        <v>3195</v>
      </c>
      <c r="W289" s="13" t="s">
        <v>3167</v>
      </c>
      <c r="X289" s="13" t="s">
        <v>3167</v>
      </c>
    </row>
    <row r="290" ht="14.25" customHeight="1">
      <c r="A290" s="13">
        <v>23906.0</v>
      </c>
      <c r="B290" s="13" t="s">
        <v>2972</v>
      </c>
      <c r="C290" s="13">
        <v>2017.0</v>
      </c>
      <c r="D290" s="13" t="s">
        <v>3153</v>
      </c>
      <c r="E290" s="13" t="s">
        <v>3169</v>
      </c>
      <c r="F290" s="13" t="s">
        <v>3192</v>
      </c>
      <c r="G290" s="13" t="s">
        <v>3156</v>
      </c>
      <c r="H290" s="13" t="s">
        <v>33</v>
      </c>
      <c r="I290" s="13" t="s">
        <v>3157</v>
      </c>
      <c r="J290" s="13" t="s">
        <v>3307</v>
      </c>
      <c r="K290" s="13" t="s">
        <v>3183</v>
      </c>
      <c r="L290" s="13" t="s">
        <v>3160</v>
      </c>
      <c r="M290" s="13" t="s">
        <v>3480</v>
      </c>
      <c r="N290" s="13">
        <v>1.0</v>
      </c>
      <c r="O290" s="13" t="s">
        <v>3162</v>
      </c>
      <c r="P290" s="13" t="s">
        <v>3679</v>
      </c>
      <c r="Q290" s="13" t="s">
        <v>3210</v>
      </c>
      <c r="R290" s="13" t="s">
        <v>3163</v>
      </c>
      <c r="S290" s="13" t="s">
        <v>33</v>
      </c>
      <c r="T290" s="13" t="s">
        <v>3195</v>
      </c>
      <c r="U290" s="13" t="s">
        <v>3195</v>
      </c>
      <c r="V290" s="13" t="s">
        <v>3195</v>
      </c>
      <c r="W290" s="13" t="s">
        <v>3167</v>
      </c>
      <c r="X290" s="13" t="s">
        <v>3167</v>
      </c>
    </row>
    <row r="291" ht="14.25" customHeight="1">
      <c r="A291" s="13">
        <v>23909.0</v>
      </c>
      <c r="B291" s="13" t="s">
        <v>827</v>
      </c>
      <c r="C291" s="13">
        <v>2017.0</v>
      </c>
      <c r="D291" s="13" t="s">
        <v>3153</v>
      </c>
      <c r="E291" s="13" t="s">
        <v>3169</v>
      </c>
      <c r="F291" s="13" t="s">
        <v>3192</v>
      </c>
      <c r="G291" s="13" t="s">
        <v>3156</v>
      </c>
      <c r="H291" s="13" t="s">
        <v>33</v>
      </c>
      <c r="I291" s="13" t="s">
        <v>3244</v>
      </c>
      <c r="J291" s="13" t="s">
        <v>3245</v>
      </c>
      <c r="K291" s="13" t="s">
        <v>3159</v>
      </c>
      <c r="L291" s="13" t="s">
        <v>3160</v>
      </c>
      <c r="M291" s="13" t="s">
        <v>3161</v>
      </c>
      <c r="N291" s="13">
        <v>1.0</v>
      </c>
      <c r="O291" s="13" t="s">
        <v>3162</v>
      </c>
      <c r="P291" s="13" t="s">
        <v>33</v>
      </c>
      <c r="Q291" s="13" t="s">
        <v>3680</v>
      </c>
      <c r="R291" s="13" t="s">
        <v>3163</v>
      </c>
      <c r="S291" s="13" t="s">
        <v>3323</v>
      </c>
      <c r="T291" s="13" t="s">
        <v>3232</v>
      </c>
      <c r="U291" s="13" t="s">
        <v>3232</v>
      </c>
      <c r="V291" s="13" t="s">
        <v>3166</v>
      </c>
      <c r="W291" s="13" t="s">
        <v>3167</v>
      </c>
      <c r="X291" s="13" t="s">
        <v>3324</v>
      </c>
    </row>
    <row r="292" ht="14.25" customHeight="1">
      <c r="A292" s="13">
        <v>23912.0</v>
      </c>
      <c r="B292" s="13" t="s">
        <v>1081</v>
      </c>
      <c r="C292" s="13">
        <v>2012.0</v>
      </c>
      <c r="D292" s="13" t="s">
        <v>3153</v>
      </c>
      <c r="E292" s="13" t="s">
        <v>3169</v>
      </c>
      <c r="F292" s="13" t="s">
        <v>3192</v>
      </c>
      <c r="G292" s="13" t="s">
        <v>3156</v>
      </c>
      <c r="H292" s="13" t="s">
        <v>33</v>
      </c>
      <c r="I292" s="13" t="s">
        <v>3222</v>
      </c>
      <c r="J292" s="13" t="s">
        <v>3182</v>
      </c>
      <c r="K292" s="13" t="s">
        <v>3183</v>
      </c>
      <c r="L292" s="13" t="s">
        <v>3160</v>
      </c>
      <c r="M292" s="13" t="s">
        <v>3161</v>
      </c>
      <c r="N292" s="13">
        <v>1.0</v>
      </c>
      <c r="O292" s="13" t="s">
        <v>3162</v>
      </c>
      <c r="P292" s="13" t="s">
        <v>3453</v>
      </c>
      <c r="Q292" s="13" t="s">
        <v>3183</v>
      </c>
      <c r="R292" s="13" t="s">
        <v>3163</v>
      </c>
      <c r="S292" s="13" t="s">
        <v>3681</v>
      </c>
      <c r="T292" s="13" t="s">
        <v>3165</v>
      </c>
      <c r="U292" s="13" t="s">
        <v>3165</v>
      </c>
      <c r="V292" s="13" t="s">
        <v>3166</v>
      </c>
      <c r="W292" s="13" t="s">
        <v>3167</v>
      </c>
      <c r="X292" s="13" t="s">
        <v>3178</v>
      </c>
    </row>
    <row r="293" ht="14.25" customHeight="1">
      <c r="A293" s="13">
        <v>23913.0</v>
      </c>
      <c r="B293" s="13" t="s">
        <v>2184</v>
      </c>
      <c r="C293" s="13">
        <v>2006.0</v>
      </c>
      <c r="D293" s="13" t="s">
        <v>3153</v>
      </c>
      <c r="E293" s="13" t="s">
        <v>3169</v>
      </c>
      <c r="F293" s="13" t="s">
        <v>3170</v>
      </c>
      <c r="G293" s="13" t="s">
        <v>3156</v>
      </c>
      <c r="H293" s="13" t="s">
        <v>33</v>
      </c>
      <c r="I293" s="13" t="s">
        <v>3222</v>
      </c>
      <c r="J293" s="13" t="s">
        <v>3182</v>
      </c>
      <c r="K293" s="13" t="s">
        <v>3201</v>
      </c>
      <c r="L293" s="13" t="s">
        <v>3160</v>
      </c>
      <c r="M293" s="13" t="s">
        <v>3550</v>
      </c>
      <c r="N293" s="13">
        <v>2.0</v>
      </c>
      <c r="O293" s="13" t="s">
        <v>3162</v>
      </c>
      <c r="P293" s="13" t="s">
        <v>33</v>
      </c>
      <c r="Q293" s="13" t="s">
        <v>3210</v>
      </c>
      <c r="R293" s="13" t="s">
        <v>3163</v>
      </c>
      <c r="S293" s="13" t="s">
        <v>33</v>
      </c>
      <c r="T293" s="13" t="s">
        <v>3247</v>
      </c>
      <c r="U293" s="13" t="s">
        <v>3247</v>
      </c>
      <c r="V293" s="13" t="s">
        <v>3242</v>
      </c>
      <c r="W293" s="13" t="s">
        <v>3496</v>
      </c>
      <c r="X293" s="13" t="s">
        <v>3167</v>
      </c>
    </row>
    <row r="294" ht="14.25" customHeight="1">
      <c r="A294" s="13">
        <v>23915.0</v>
      </c>
      <c r="B294" s="13" t="s">
        <v>1651</v>
      </c>
      <c r="C294" s="13">
        <v>2006.0</v>
      </c>
      <c r="D294" s="13" t="s">
        <v>3153</v>
      </c>
      <c r="E294" s="13" t="s">
        <v>3154</v>
      </c>
      <c r="F294" s="13" t="s">
        <v>3211</v>
      </c>
      <c r="G294" s="13" t="s">
        <v>3156</v>
      </c>
      <c r="H294" s="13" t="s">
        <v>3167</v>
      </c>
      <c r="I294" s="13" t="s">
        <v>3171</v>
      </c>
      <c r="J294" s="13" t="s">
        <v>3682</v>
      </c>
      <c r="K294" s="13" t="s">
        <v>3208</v>
      </c>
      <c r="L294" s="13" t="s">
        <v>3160</v>
      </c>
      <c r="M294" s="13" t="s">
        <v>3683</v>
      </c>
      <c r="N294" s="13">
        <v>2.0</v>
      </c>
      <c r="O294" s="13" t="s">
        <v>3162</v>
      </c>
      <c r="P294" s="13" t="s">
        <v>3167</v>
      </c>
      <c r="Q294" s="13" t="s">
        <v>3290</v>
      </c>
      <c r="R294" s="13" t="s">
        <v>3231</v>
      </c>
      <c r="S294" s="13" t="s">
        <v>33</v>
      </c>
      <c r="T294" s="13" t="s">
        <v>3252</v>
      </c>
      <c r="U294" s="13" t="s">
        <v>3252</v>
      </c>
      <c r="V294" s="13" t="s">
        <v>3253</v>
      </c>
      <c r="W294" s="13" t="s">
        <v>3496</v>
      </c>
      <c r="X294" s="13" t="s">
        <v>3255</v>
      </c>
    </row>
    <row r="295" ht="14.25" customHeight="1">
      <c r="A295" s="13">
        <v>23917.0</v>
      </c>
      <c r="B295" s="13" t="s">
        <v>1540</v>
      </c>
      <c r="C295" s="13">
        <v>2013.0</v>
      </c>
      <c r="D295" s="13" t="s">
        <v>3153</v>
      </c>
      <c r="E295" s="13" t="s">
        <v>3684</v>
      </c>
      <c r="F295" s="13" t="s">
        <v>3217</v>
      </c>
      <c r="G295" s="13" t="s">
        <v>3187</v>
      </c>
      <c r="H295" s="13">
        <v>1.0</v>
      </c>
      <c r="I295" s="13" t="s">
        <v>3167</v>
      </c>
      <c r="J295" s="13" t="s">
        <v>3167</v>
      </c>
      <c r="K295" s="13" t="s">
        <v>3183</v>
      </c>
      <c r="L295" s="13" t="s">
        <v>3177</v>
      </c>
      <c r="M295" s="13" t="s">
        <v>3213</v>
      </c>
      <c r="N295" s="13">
        <v>2.0</v>
      </c>
      <c r="O295" s="13" t="s">
        <v>3267</v>
      </c>
      <c r="P295" s="13" t="s">
        <v>33</v>
      </c>
      <c r="Q295" s="13" t="s">
        <v>3183</v>
      </c>
      <c r="R295" s="13" t="s">
        <v>3177</v>
      </c>
      <c r="S295" s="13" t="s">
        <v>33</v>
      </c>
      <c r="T295" s="13" t="s">
        <v>3247</v>
      </c>
      <c r="U295" s="13" t="s">
        <v>3247</v>
      </c>
      <c r="V295" s="13" t="s">
        <v>3166</v>
      </c>
      <c r="W295" s="13" t="s">
        <v>3167</v>
      </c>
      <c r="X295" s="13" t="s">
        <v>3685</v>
      </c>
    </row>
    <row r="296" ht="14.25" customHeight="1">
      <c r="A296" s="13">
        <v>23920.0</v>
      </c>
      <c r="B296" s="13" t="s">
        <v>573</v>
      </c>
      <c r="C296" s="13">
        <v>2008.0</v>
      </c>
      <c r="D296" s="13" t="s">
        <v>3153</v>
      </c>
      <c r="E296" s="13" t="s">
        <v>3179</v>
      </c>
      <c r="F296" s="13" t="s">
        <v>3170</v>
      </c>
      <c r="G296" s="13" t="s">
        <v>3187</v>
      </c>
      <c r="H296" s="13">
        <v>16.0</v>
      </c>
      <c r="I296" s="13" t="s">
        <v>3261</v>
      </c>
      <c r="J296" s="13" t="s">
        <v>3182</v>
      </c>
      <c r="K296" s="13" t="s">
        <v>3201</v>
      </c>
      <c r="L296" s="13" t="s">
        <v>3177</v>
      </c>
      <c r="M296" s="13" t="s">
        <v>3184</v>
      </c>
      <c r="N296" s="13">
        <v>1.0</v>
      </c>
      <c r="O296" s="13" t="s">
        <v>3162</v>
      </c>
      <c r="P296" s="13" t="s">
        <v>33</v>
      </c>
      <c r="Q296" s="13" t="s">
        <v>3159</v>
      </c>
      <c r="R296" s="13" t="s">
        <v>3177</v>
      </c>
      <c r="S296" s="13" t="s">
        <v>33</v>
      </c>
      <c r="T296" s="13" t="s">
        <v>3164</v>
      </c>
      <c r="U296" s="13" t="s">
        <v>3164</v>
      </c>
      <c r="V296" s="13" t="s">
        <v>3166</v>
      </c>
      <c r="W296" s="13" t="s">
        <v>3167</v>
      </c>
      <c r="X296" s="13" t="s">
        <v>3178</v>
      </c>
    </row>
    <row r="297" ht="14.25" customHeight="1">
      <c r="A297" s="13">
        <v>23922.0</v>
      </c>
      <c r="B297" s="13" t="s">
        <v>848</v>
      </c>
      <c r="C297" s="13">
        <v>2019.0</v>
      </c>
      <c r="D297" s="13" t="s">
        <v>3153</v>
      </c>
      <c r="E297" s="13" t="s">
        <v>3169</v>
      </c>
      <c r="F297" s="13" t="s">
        <v>3170</v>
      </c>
      <c r="G297" s="13" t="s">
        <v>3202</v>
      </c>
      <c r="H297" s="13">
        <v>30.0</v>
      </c>
      <c r="I297" s="13" t="s">
        <v>3188</v>
      </c>
      <c r="J297" s="13" t="s">
        <v>3233</v>
      </c>
      <c r="K297" s="13" t="s">
        <v>3208</v>
      </c>
      <c r="L297" s="13" t="s">
        <v>3160</v>
      </c>
      <c r="M297" s="13" t="s">
        <v>3605</v>
      </c>
      <c r="N297" s="13">
        <v>2.0</v>
      </c>
      <c r="O297" s="13" t="s">
        <v>3162</v>
      </c>
      <c r="P297" s="13" t="s">
        <v>3167</v>
      </c>
      <c r="Q297" s="13" t="s">
        <v>3273</v>
      </c>
      <c r="R297" s="13" t="s">
        <v>3231</v>
      </c>
      <c r="S297" s="13" t="s">
        <v>33</v>
      </c>
      <c r="T297" s="13" t="s">
        <v>3247</v>
      </c>
      <c r="U297" s="13" t="s">
        <v>3247</v>
      </c>
      <c r="V297" s="13" t="s">
        <v>3242</v>
      </c>
      <c r="W297" s="13" t="s">
        <v>3248</v>
      </c>
      <c r="X297" s="13" t="s">
        <v>3167</v>
      </c>
    </row>
    <row r="298" ht="14.25" customHeight="1">
      <c r="A298" s="13">
        <v>23927.0</v>
      </c>
      <c r="B298" s="13" t="s">
        <v>2017</v>
      </c>
      <c r="C298" s="13">
        <v>2013.0</v>
      </c>
      <c r="D298" s="13" t="s">
        <v>3153</v>
      </c>
      <c r="E298" s="13" t="s">
        <v>3179</v>
      </c>
      <c r="F298" s="13" t="s">
        <v>3211</v>
      </c>
      <c r="G298" s="13" t="s">
        <v>3156</v>
      </c>
      <c r="H298" s="13" t="s">
        <v>33</v>
      </c>
      <c r="I298" s="13" t="s">
        <v>3686</v>
      </c>
      <c r="J298" s="13" t="s">
        <v>3687</v>
      </c>
      <c r="K298" s="13" t="s">
        <v>3183</v>
      </c>
      <c r="L298" s="13" t="s">
        <v>3160</v>
      </c>
      <c r="M298" s="13" t="s">
        <v>3688</v>
      </c>
      <c r="N298" s="13">
        <v>3.0</v>
      </c>
      <c r="O298" s="13" t="s">
        <v>3162</v>
      </c>
      <c r="P298" s="13" t="s">
        <v>3689</v>
      </c>
      <c r="Q298" s="13" t="s">
        <v>3208</v>
      </c>
      <c r="R298" s="13" t="s">
        <v>3163</v>
      </c>
      <c r="S298" s="13" t="s">
        <v>33</v>
      </c>
      <c r="T298" s="13" t="s">
        <v>3164</v>
      </c>
      <c r="U298" s="13" t="s">
        <v>3164</v>
      </c>
      <c r="V298" s="13" t="s">
        <v>3166</v>
      </c>
      <c r="W298" s="13" t="s">
        <v>3167</v>
      </c>
      <c r="X298" s="13" t="s">
        <v>3224</v>
      </c>
    </row>
    <row r="299" ht="14.25" customHeight="1">
      <c r="A299" s="13">
        <v>23929.0</v>
      </c>
      <c r="B299" s="13" t="s">
        <v>2789</v>
      </c>
      <c r="C299" s="13">
        <v>2019.0</v>
      </c>
      <c r="D299" s="13" t="s">
        <v>3153</v>
      </c>
      <c r="E299" s="13" t="s">
        <v>3169</v>
      </c>
      <c r="F299" s="13" t="s">
        <v>3192</v>
      </c>
      <c r="G299" s="13" t="s">
        <v>3202</v>
      </c>
      <c r="H299" s="13">
        <v>500.0</v>
      </c>
      <c r="I299" s="13" t="s">
        <v>3222</v>
      </c>
      <c r="J299" s="13" t="s">
        <v>3182</v>
      </c>
      <c r="K299" s="13" t="s">
        <v>3159</v>
      </c>
      <c r="L299" s="13" t="s">
        <v>3177</v>
      </c>
      <c r="M299" s="13" t="s">
        <v>3690</v>
      </c>
      <c r="N299" s="13">
        <v>1.0</v>
      </c>
      <c r="O299" s="13" t="s">
        <v>3162</v>
      </c>
      <c r="P299" s="13" t="s">
        <v>33</v>
      </c>
      <c r="Q299" s="13" t="s">
        <v>3159</v>
      </c>
      <c r="R299" s="13" t="s">
        <v>3163</v>
      </c>
      <c r="S299" s="13" t="s">
        <v>33</v>
      </c>
      <c r="T299" s="13" t="s">
        <v>3164</v>
      </c>
      <c r="U299" s="13" t="s">
        <v>3164</v>
      </c>
      <c r="V299" s="13" t="s">
        <v>3242</v>
      </c>
      <c r="W299" s="13" t="s">
        <v>3377</v>
      </c>
      <c r="X299" s="13" t="s">
        <v>3167</v>
      </c>
    </row>
    <row r="300" ht="14.25" customHeight="1">
      <c r="A300" s="13">
        <v>23932.0</v>
      </c>
      <c r="B300" s="13" t="s">
        <v>2261</v>
      </c>
      <c r="C300" s="13">
        <v>2017.0</v>
      </c>
      <c r="D300" s="13" t="s">
        <v>3153</v>
      </c>
      <c r="E300" s="13" t="s">
        <v>3179</v>
      </c>
      <c r="F300" s="13" t="s">
        <v>3192</v>
      </c>
      <c r="G300" s="13" t="s">
        <v>3180</v>
      </c>
      <c r="H300" s="13">
        <v>0.03</v>
      </c>
      <c r="I300" s="13" t="s">
        <v>3261</v>
      </c>
      <c r="J300" s="13" t="s">
        <v>3240</v>
      </c>
      <c r="K300" s="13" t="s">
        <v>3282</v>
      </c>
      <c r="L300" s="13" t="s">
        <v>3177</v>
      </c>
      <c r="M300" s="13" t="s">
        <v>3342</v>
      </c>
      <c r="N300" s="13">
        <v>1.0</v>
      </c>
      <c r="O300" s="13" t="s">
        <v>3162</v>
      </c>
      <c r="P300" s="13" t="s">
        <v>3691</v>
      </c>
      <c r="Q300" s="13" t="s">
        <v>3159</v>
      </c>
      <c r="R300" s="13" t="s">
        <v>3177</v>
      </c>
      <c r="S300" s="13" t="s">
        <v>33</v>
      </c>
      <c r="T300" s="13" t="s">
        <v>3247</v>
      </c>
      <c r="U300" s="13" t="s">
        <v>3247</v>
      </c>
      <c r="V300" s="13" t="s">
        <v>3166</v>
      </c>
      <c r="W300" s="13" t="s">
        <v>3167</v>
      </c>
      <c r="X300" s="13" t="s">
        <v>3632</v>
      </c>
    </row>
    <row r="301" ht="14.25" customHeight="1">
      <c r="A301" s="13">
        <v>23936.0</v>
      </c>
      <c r="B301" s="13" t="s">
        <v>2115</v>
      </c>
      <c r="C301" s="13">
        <v>2007.0</v>
      </c>
      <c r="D301" s="13" t="s">
        <v>3153</v>
      </c>
      <c r="E301" s="13" t="s">
        <v>3154</v>
      </c>
      <c r="F301" s="13" t="s">
        <v>3192</v>
      </c>
      <c r="G301" s="13" t="s">
        <v>3156</v>
      </c>
      <c r="H301" s="13" t="s">
        <v>33</v>
      </c>
      <c r="I301" s="13" t="s">
        <v>3171</v>
      </c>
      <c r="J301" s="13" t="s">
        <v>3378</v>
      </c>
      <c r="K301" s="13" t="s">
        <v>3201</v>
      </c>
      <c r="L301" s="13" t="s">
        <v>3160</v>
      </c>
      <c r="M301" s="13" t="s">
        <v>3161</v>
      </c>
      <c r="N301" s="13">
        <v>1.0</v>
      </c>
      <c r="O301" s="13" t="s">
        <v>3162</v>
      </c>
      <c r="P301" s="13" t="s">
        <v>33</v>
      </c>
      <c r="Q301" s="13" t="s">
        <v>3210</v>
      </c>
      <c r="R301" s="13" t="s">
        <v>3163</v>
      </c>
      <c r="S301" s="13" t="s">
        <v>33</v>
      </c>
      <c r="T301" s="13" t="s">
        <v>3195</v>
      </c>
      <c r="U301" s="13" t="s">
        <v>3195</v>
      </c>
      <c r="V301" s="13" t="s">
        <v>3195</v>
      </c>
      <c r="W301" s="13" t="s">
        <v>3167</v>
      </c>
      <c r="X301" s="13" t="s">
        <v>3167</v>
      </c>
    </row>
    <row r="302" ht="14.25" customHeight="1">
      <c r="A302" s="13">
        <v>23937.0</v>
      </c>
      <c r="B302" s="13" t="s">
        <v>2115</v>
      </c>
      <c r="C302" s="13">
        <v>2009.0</v>
      </c>
      <c r="D302" s="13" t="s">
        <v>3153</v>
      </c>
      <c r="E302" s="13" t="s">
        <v>3154</v>
      </c>
      <c r="F302" s="13" t="s">
        <v>3192</v>
      </c>
      <c r="G302" s="13" t="s">
        <v>3187</v>
      </c>
      <c r="H302" s="13">
        <v>25.0</v>
      </c>
      <c r="I302" s="13" t="s">
        <v>3171</v>
      </c>
      <c r="J302" s="13" t="s">
        <v>3378</v>
      </c>
      <c r="K302" s="13" t="s">
        <v>3159</v>
      </c>
      <c r="L302" s="13" t="s">
        <v>3160</v>
      </c>
      <c r="M302" s="13" t="s">
        <v>3161</v>
      </c>
      <c r="N302" s="13">
        <v>1.0</v>
      </c>
      <c r="O302" s="13" t="s">
        <v>3162</v>
      </c>
      <c r="P302" s="13" t="s">
        <v>33</v>
      </c>
      <c r="Q302" s="13" t="s">
        <v>3210</v>
      </c>
      <c r="R302" s="13" t="s">
        <v>3163</v>
      </c>
      <c r="S302" s="13" t="s">
        <v>33</v>
      </c>
      <c r="T302" s="13" t="s">
        <v>3195</v>
      </c>
      <c r="U302" s="13" t="s">
        <v>3195</v>
      </c>
      <c r="V302" s="13" t="s">
        <v>3195</v>
      </c>
      <c r="W302" s="13" t="s">
        <v>3167</v>
      </c>
      <c r="X302" s="13" t="s">
        <v>3167</v>
      </c>
    </row>
    <row r="303" ht="14.25" customHeight="1">
      <c r="A303" s="13">
        <v>23938.0</v>
      </c>
      <c r="B303" s="13" t="s">
        <v>1301</v>
      </c>
      <c r="C303" s="13">
        <v>2019.0</v>
      </c>
      <c r="D303" s="13" t="s">
        <v>3153</v>
      </c>
      <c r="E303" s="13" t="s">
        <v>3169</v>
      </c>
      <c r="F303" s="13" t="s">
        <v>3170</v>
      </c>
      <c r="G303" s="13" t="s">
        <v>3156</v>
      </c>
      <c r="H303" s="13" t="s">
        <v>33</v>
      </c>
      <c r="I303" s="13" t="s">
        <v>3157</v>
      </c>
      <c r="J303" s="13" t="s">
        <v>3307</v>
      </c>
      <c r="K303" s="13" t="s">
        <v>3282</v>
      </c>
      <c r="L303" s="13" t="s">
        <v>3160</v>
      </c>
      <c r="M303" s="13" t="s">
        <v>3692</v>
      </c>
      <c r="N303" s="13">
        <v>7.0</v>
      </c>
      <c r="O303" s="13" t="s">
        <v>3267</v>
      </c>
      <c r="P303" s="13" t="s">
        <v>3693</v>
      </c>
      <c r="Q303" s="13" t="s">
        <v>3183</v>
      </c>
      <c r="R303" s="13" t="s">
        <v>3177</v>
      </c>
      <c r="S303" s="13" t="s">
        <v>3694</v>
      </c>
      <c r="T303" s="13" t="s">
        <v>3232</v>
      </c>
      <c r="U303" s="13" t="s">
        <v>3232</v>
      </c>
      <c r="V303" s="13" t="s">
        <v>3166</v>
      </c>
      <c r="W303" s="13" t="s">
        <v>3167</v>
      </c>
      <c r="X303" s="13" t="s">
        <v>3178</v>
      </c>
    </row>
    <row r="304" ht="14.25" customHeight="1">
      <c r="A304" s="13">
        <v>23941.0</v>
      </c>
      <c r="B304" s="13" t="s">
        <v>1567</v>
      </c>
      <c r="C304" s="13">
        <v>2016.0</v>
      </c>
      <c r="D304" s="13" t="s">
        <v>3153</v>
      </c>
      <c r="E304" s="13" t="s">
        <v>3179</v>
      </c>
      <c r="F304" s="13" t="s">
        <v>3170</v>
      </c>
      <c r="G304" s="13" t="s">
        <v>3156</v>
      </c>
      <c r="H304" s="13" t="s">
        <v>33</v>
      </c>
      <c r="I304" s="13" t="s">
        <v>3249</v>
      </c>
      <c r="J304" s="13" t="s">
        <v>3307</v>
      </c>
      <c r="K304" s="13" t="s">
        <v>3159</v>
      </c>
      <c r="L304" s="13" t="s">
        <v>3160</v>
      </c>
      <c r="M304" s="13" t="s">
        <v>3317</v>
      </c>
      <c r="N304" s="13">
        <v>1.0</v>
      </c>
      <c r="O304" s="13" t="s">
        <v>3162</v>
      </c>
      <c r="P304" s="13" t="s">
        <v>33</v>
      </c>
      <c r="Q304" s="13" t="s">
        <v>3159</v>
      </c>
      <c r="R304" s="13" t="s">
        <v>3163</v>
      </c>
      <c r="S304" s="13" t="s">
        <v>33</v>
      </c>
      <c r="T304" s="13" t="s">
        <v>3197</v>
      </c>
      <c r="U304" s="13" t="s">
        <v>3197</v>
      </c>
      <c r="V304" s="13" t="s">
        <v>3166</v>
      </c>
      <c r="W304" s="13" t="s">
        <v>3167</v>
      </c>
      <c r="X304" s="13" t="s">
        <v>3168</v>
      </c>
    </row>
    <row r="305" ht="14.25" customHeight="1">
      <c r="A305" s="13">
        <v>23946.0</v>
      </c>
      <c r="B305" s="13" t="s">
        <v>1901</v>
      </c>
      <c r="C305" s="13">
        <v>2020.0</v>
      </c>
      <c r="D305" s="13" t="s">
        <v>3153</v>
      </c>
      <c r="E305" s="13" t="s">
        <v>3169</v>
      </c>
      <c r="F305" s="13" t="s">
        <v>3211</v>
      </c>
      <c r="G305" s="13" t="s">
        <v>3588</v>
      </c>
      <c r="H305" s="13">
        <v>30.0</v>
      </c>
      <c r="I305" s="13" t="s">
        <v>3244</v>
      </c>
      <c r="J305" s="13" t="s">
        <v>3695</v>
      </c>
      <c r="K305" s="13" t="s">
        <v>3183</v>
      </c>
      <c r="L305" s="13" t="s">
        <v>3160</v>
      </c>
      <c r="M305" s="13" t="s">
        <v>3696</v>
      </c>
      <c r="N305" s="13">
        <v>4.0</v>
      </c>
      <c r="O305" s="13" t="s">
        <v>3162</v>
      </c>
      <c r="P305" s="13" t="s">
        <v>3689</v>
      </c>
      <c r="Q305" s="13" t="s">
        <v>3381</v>
      </c>
      <c r="R305" s="13" t="s">
        <v>3177</v>
      </c>
      <c r="S305" s="13" t="s">
        <v>3689</v>
      </c>
      <c r="T305" s="13" t="s">
        <v>3164</v>
      </c>
      <c r="U305" s="13" t="s">
        <v>3164</v>
      </c>
      <c r="V305" s="13" t="s">
        <v>3242</v>
      </c>
      <c r="W305" s="13" t="s">
        <v>3377</v>
      </c>
      <c r="X305" s="13" t="s">
        <v>3167</v>
      </c>
    </row>
    <row r="306" ht="14.25" customHeight="1">
      <c r="A306" s="13">
        <v>23951.0</v>
      </c>
      <c r="B306" s="13" t="s">
        <v>341</v>
      </c>
      <c r="C306" s="13">
        <v>2020.0</v>
      </c>
      <c r="D306" s="13" t="s">
        <v>3153</v>
      </c>
      <c r="E306" s="13" t="s">
        <v>3169</v>
      </c>
      <c r="F306" s="13" t="s">
        <v>3192</v>
      </c>
      <c r="G306" s="13" t="s">
        <v>33</v>
      </c>
      <c r="H306" s="13" t="s">
        <v>33</v>
      </c>
      <c r="I306" s="13" t="s">
        <v>3222</v>
      </c>
      <c r="J306" s="13" t="s">
        <v>3229</v>
      </c>
      <c r="K306" s="13" t="s">
        <v>3201</v>
      </c>
      <c r="L306" s="13" t="s">
        <v>3160</v>
      </c>
      <c r="M306" s="13" t="s">
        <v>3497</v>
      </c>
      <c r="N306" s="13">
        <v>1.0</v>
      </c>
      <c r="O306" s="13" t="s">
        <v>3162</v>
      </c>
      <c r="P306" s="13" t="s">
        <v>33</v>
      </c>
      <c r="Q306" s="13" t="s">
        <v>3201</v>
      </c>
      <c r="R306" s="13" t="s">
        <v>3177</v>
      </c>
      <c r="S306" s="13" t="s">
        <v>33</v>
      </c>
      <c r="T306" s="13" t="s">
        <v>3164</v>
      </c>
      <c r="U306" s="13" t="s">
        <v>3164</v>
      </c>
      <c r="V306" s="13" t="s">
        <v>3166</v>
      </c>
      <c r="W306" s="13" t="s">
        <v>3167</v>
      </c>
      <c r="X306" s="13" t="s">
        <v>3178</v>
      </c>
    </row>
    <row r="307" ht="14.25" customHeight="1">
      <c r="A307" s="13">
        <v>23953.0</v>
      </c>
      <c r="B307" s="13" t="s">
        <v>767</v>
      </c>
      <c r="C307" s="13">
        <v>2016.0</v>
      </c>
      <c r="D307" s="13" t="s">
        <v>3153</v>
      </c>
      <c r="E307" s="13" t="s">
        <v>3395</v>
      </c>
      <c r="F307" s="13" t="s">
        <v>3192</v>
      </c>
      <c r="G307" s="13" t="s">
        <v>3156</v>
      </c>
      <c r="H307" s="13" t="s">
        <v>3202</v>
      </c>
      <c r="I307" s="13" t="s">
        <v>3261</v>
      </c>
      <c r="J307" s="13" t="s">
        <v>3182</v>
      </c>
      <c r="K307" s="13" t="s">
        <v>3282</v>
      </c>
      <c r="L307" s="13" t="s">
        <v>3177</v>
      </c>
      <c r="M307" s="13" t="s">
        <v>3697</v>
      </c>
      <c r="N307" s="13">
        <v>2.0</v>
      </c>
      <c r="O307" s="13" t="s">
        <v>3162</v>
      </c>
      <c r="P307" s="13" t="s">
        <v>3167</v>
      </c>
      <c r="Q307" s="13" t="s">
        <v>3183</v>
      </c>
      <c r="R307" s="13" t="s">
        <v>3260</v>
      </c>
      <c r="S307" s="13" t="s">
        <v>3506</v>
      </c>
      <c r="T307" s="13" t="s">
        <v>3164</v>
      </c>
      <c r="U307" s="13" t="s">
        <v>3228</v>
      </c>
      <c r="V307" s="13" t="s">
        <v>3166</v>
      </c>
      <c r="W307" s="13" t="s">
        <v>3167</v>
      </c>
      <c r="X307" s="13" t="s">
        <v>3216</v>
      </c>
    </row>
    <row r="308" ht="14.25" customHeight="1">
      <c r="A308" s="13">
        <v>23955.0</v>
      </c>
      <c r="B308" s="13" t="s">
        <v>987</v>
      </c>
      <c r="C308" s="13">
        <v>2018.0</v>
      </c>
      <c r="D308" s="13" t="s">
        <v>3153</v>
      </c>
      <c r="E308" s="13" t="s">
        <v>3154</v>
      </c>
      <c r="F308" s="13" t="s">
        <v>3170</v>
      </c>
      <c r="G308" s="13" t="s">
        <v>3156</v>
      </c>
      <c r="H308" s="13" t="s">
        <v>3167</v>
      </c>
      <c r="I308" s="13" t="s">
        <v>3171</v>
      </c>
      <c r="J308" s="13" t="s">
        <v>3698</v>
      </c>
      <c r="K308" s="13" t="s">
        <v>3159</v>
      </c>
      <c r="L308" s="13" t="s">
        <v>3160</v>
      </c>
      <c r="M308" s="13" t="s">
        <v>3477</v>
      </c>
      <c r="N308" s="13">
        <v>1.0</v>
      </c>
      <c r="O308" s="13" t="s">
        <v>3162</v>
      </c>
      <c r="P308" s="13" t="s">
        <v>3167</v>
      </c>
      <c r="Q308" s="13" t="s">
        <v>3210</v>
      </c>
      <c r="R308" s="13" t="s">
        <v>3231</v>
      </c>
      <c r="S308" s="13" t="s">
        <v>33</v>
      </c>
      <c r="T308" s="13" t="s">
        <v>3195</v>
      </c>
      <c r="U308" s="13" t="s">
        <v>3195</v>
      </c>
      <c r="V308" s="13" t="s">
        <v>3195</v>
      </c>
      <c r="W308" s="13" t="s">
        <v>3167</v>
      </c>
      <c r="X308" s="13" t="s">
        <v>3167</v>
      </c>
    </row>
    <row r="309" ht="14.25" customHeight="1">
      <c r="A309" s="13">
        <v>23957.0</v>
      </c>
      <c r="B309" s="13" t="s">
        <v>824</v>
      </c>
      <c r="C309" s="13">
        <v>2018.0</v>
      </c>
      <c r="D309" s="13" t="s">
        <v>3153</v>
      </c>
      <c r="E309" s="13" t="s">
        <v>3179</v>
      </c>
      <c r="F309" s="13" t="s">
        <v>3211</v>
      </c>
      <c r="G309" s="13" t="s">
        <v>3187</v>
      </c>
      <c r="H309" s="13">
        <v>100.0</v>
      </c>
      <c r="I309" s="13" t="s">
        <v>3249</v>
      </c>
      <c r="J309" s="13" t="s">
        <v>3699</v>
      </c>
      <c r="K309" s="13" t="s">
        <v>3381</v>
      </c>
      <c r="L309" s="13" t="s">
        <v>3177</v>
      </c>
      <c r="M309" s="13" t="s">
        <v>3700</v>
      </c>
      <c r="N309" s="13">
        <v>11.0</v>
      </c>
      <c r="O309" s="13" t="s">
        <v>3175</v>
      </c>
      <c r="P309" s="13" t="s">
        <v>3689</v>
      </c>
      <c r="Q309" s="13" t="s">
        <v>3381</v>
      </c>
      <c r="R309" s="13" t="s">
        <v>3177</v>
      </c>
      <c r="S309" s="13" t="s">
        <v>3689</v>
      </c>
      <c r="T309" s="13" t="s">
        <v>3165</v>
      </c>
      <c r="U309" s="13" t="s">
        <v>3252</v>
      </c>
      <c r="V309" s="13" t="s">
        <v>3253</v>
      </c>
      <c r="W309" s="13" t="s">
        <v>3254</v>
      </c>
      <c r="X309" s="13" t="s">
        <v>3168</v>
      </c>
    </row>
    <row r="310" ht="14.25" customHeight="1">
      <c r="A310" s="13">
        <v>23958.0</v>
      </c>
      <c r="B310" s="13" t="s">
        <v>824</v>
      </c>
      <c r="C310" s="13">
        <v>2019.0</v>
      </c>
      <c r="D310" s="13" t="s">
        <v>3153</v>
      </c>
      <c r="E310" s="13" t="s">
        <v>3179</v>
      </c>
      <c r="F310" s="13" t="s">
        <v>3211</v>
      </c>
      <c r="G310" s="13" t="s">
        <v>3156</v>
      </c>
      <c r="H310" s="13" t="s">
        <v>33</v>
      </c>
      <c r="I310" s="13" t="s">
        <v>3249</v>
      </c>
      <c r="J310" s="13" t="s">
        <v>3699</v>
      </c>
      <c r="K310" s="13" t="s">
        <v>3381</v>
      </c>
      <c r="L310" s="13" t="s">
        <v>3177</v>
      </c>
      <c r="M310" s="13" t="s">
        <v>3701</v>
      </c>
      <c r="N310" s="13">
        <v>8.0</v>
      </c>
      <c r="O310" s="13" t="s">
        <v>3175</v>
      </c>
      <c r="P310" s="13" t="s">
        <v>3689</v>
      </c>
      <c r="Q310" s="13" t="s">
        <v>3379</v>
      </c>
      <c r="R310" s="13" t="s">
        <v>3163</v>
      </c>
      <c r="S310" s="13" t="s">
        <v>33</v>
      </c>
      <c r="T310" s="13" t="s">
        <v>3165</v>
      </c>
      <c r="U310" s="13" t="s">
        <v>3252</v>
      </c>
      <c r="V310" s="13" t="s">
        <v>3253</v>
      </c>
      <c r="W310" s="13" t="s">
        <v>3254</v>
      </c>
      <c r="X310" s="13" t="s">
        <v>3168</v>
      </c>
    </row>
    <row r="311" ht="14.25" customHeight="1">
      <c r="A311" s="13">
        <v>23960.0</v>
      </c>
      <c r="B311" s="13" t="s">
        <v>348</v>
      </c>
      <c r="C311" s="13">
        <v>2012.0</v>
      </c>
      <c r="D311" s="13" t="s">
        <v>3153</v>
      </c>
      <c r="E311" s="13" t="s">
        <v>3169</v>
      </c>
      <c r="F311" s="13" t="s">
        <v>3192</v>
      </c>
      <c r="G311" s="13" t="s">
        <v>3156</v>
      </c>
      <c r="H311" s="13" t="s">
        <v>3167</v>
      </c>
      <c r="I311" s="13" t="s">
        <v>3222</v>
      </c>
      <c r="J311" s="13" t="s">
        <v>3182</v>
      </c>
      <c r="K311" s="13" t="s">
        <v>3159</v>
      </c>
      <c r="L311" s="13" t="s">
        <v>3177</v>
      </c>
      <c r="M311" s="13" t="s">
        <v>3391</v>
      </c>
      <c r="N311" s="13">
        <v>1.0</v>
      </c>
      <c r="O311" s="13" t="s">
        <v>3162</v>
      </c>
      <c r="P311" s="13" t="s">
        <v>3167</v>
      </c>
      <c r="Q311" s="13" t="s">
        <v>3159</v>
      </c>
      <c r="R311" s="13" t="s">
        <v>3231</v>
      </c>
      <c r="S311" s="13" t="s">
        <v>33</v>
      </c>
      <c r="T311" s="13" t="s">
        <v>3164</v>
      </c>
      <c r="U311" s="13" t="s">
        <v>3164</v>
      </c>
      <c r="V311" s="13" t="s">
        <v>3166</v>
      </c>
      <c r="W311" s="13" t="s">
        <v>3167</v>
      </c>
      <c r="X311" s="13" t="s">
        <v>3178</v>
      </c>
    </row>
    <row r="312" ht="14.25" customHeight="1">
      <c r="A312" s="13">
        <v>23964.0</v>
      </c>
      <c r="B312" s="13" t="s">
        <v>2755</v>
      </c>
      <c r="C312" s="13">
        <v>2005.0</v>
      </c>
      <c r="D312" s="13" t="s">
        <v>3153</v>
      </c>
      <c r="E312" s="13" t="s">
        <v>3465</v>
      </c>
      <c r="F312" s="13" t="s">
        <v>3170</v>
      </c>
      <c r="G312" s="13" t="s">
        <v>3304</v>
      </c>
      <c r="H312" s="13">
        <v>10.0</v>
      </c>
      <c r="I312" s="13" t="s">
        <v>3222</v>
      </c>
      <c r="J312" s="13" t="s">
        <v>3182</v>
      </c>
      <c r="K312" s="13" t="s">
        <v>3201</v>
      </c>
      <c r="L312" s="13" t="s">
        <v>3177</v>
      </c>
      <c r="M312" s="13" t="s">
        <v>3369</v>
      </c>
      <c r="N312" s="13">
        <v>1.0</v>
      </c>
      <c r="O312" s="13" t="s">
        <v>3162</v>
      </c>
      <c r="P312" s="13" t="s">
        <v>3167</v>
      </c>
      <c r="Q312" s="13" t="s">
        <v>3702</v>
      </c>
      <c r="R312" s="13" t="s">
        <v>3260</v>
      </c>
      <c r="S312" s="13" t="s">
        <v>33</v>
      </c>
      <c r="T312" s="13" t="s">
        <v>3164</v>
      </c>
      <c r="U312" s="13" t="s">
        <v>3164</v>
      </c>
      <c r="V312" s="13" t="s">
        <v>3166</v>
      </c>
      <c r="W312" s="13" t="s">
        <v>3167</v>
      </c>
      <c r="X312" s="13" t="s">
        <v>3178</v>
      </c>
    </row>
    <row r="313" ht="14.25" customHeight="1">
      <c r="A313" s="13">
        <v>23967.0</v>
      </c>
      <c r="B313" s="13" t="s">
        <v>2388</v>
      </c>
      <c r="C313" s="13">
        <v>2016.0</v>
      </c>
      <c r="D313" s="13" t="s">
        <v>3153</v>
      </c>
      <c r="E313" s="13" t="s">
        <v>3169</v>
      </c>
      <c r="F313" s="13" t="s">
        <v>3170</v>
      </c>
      <c r="G313" s="13" t="s">
        <v>3202</v>
      </c>
      <c r="H313" s="13">
        <v>0.5</v>
      </c>
      <c r="I313" s="13" t="s">
        <v>3171</v>
      </c>
      <c r="J313" s="13" t="s">
        <v>3378</v>
      </c>
      <c r="K313" s="13" t="s">
        <v>3208</v>
      </c>
      <c r="L313" s="13" t="s">
        <v>3160</v>
      </c>
      <c r="M313" s="13" t="s">
        <v>3161</v>
      </c>
      <c r="N313" s="13">
        <v>1.0</v>
      </c>
      <c r="O313" s="13" t="s">
        <v>3162</v>
      </c>
      <c r="P313" s="13" t="s">
        <v>3167</v>
      </c>
      <c r="Q313" s="13" t="s">
        <v>3208</v>
      </c>
      <c r="R313" s="13" t="s">
        <v>3231</v>
      </c>
      <c r="S313" s="13" t="s">
        <v>33</v>
      </c>
      <c r="T313" s="13" t="s">
        <v>3164</v>
      </c>
      <c r="U313" s="13" t="s">
        <v>3247</v>
      </c>
      <c r="V313" s="13" t="s">
        <v>3242</v>
      </c>
      <c r="W313" s="13" t="s">
        <v>3703</v>
      </c>
      <c r="X313" s="13" t="s">
        <v>3167</v>
      </c>
    </row>
    <row r="314" ht="14.25" customHeight="1">
      <c r="A314" s="13">
        <v>23968.0</v>
      </c>
      <c r="B314" s="13" t="s">
        <v>928</v>
      </c>
      <c r="C314" s="13">
        <v>2017.0</v>
      </c>
      <c r="D314" s="13" t="s">
        <v>3153</v>
      </c>
      <c r="E314" s="13" t="s">
        <v>3169</v>
      </c>
      <c r="F314" s="13" t="s">
        <v>3192</v>
      </c>
      <c r="G314" s="13" t="s">
        <v>3588</v>
      </c>
      <c r="H314" s="13">
        <v>2.5</v>
      </c>
      <c r="I314" s="13" t="s">
        <v>3171</v>
      </c>
      <c r="J314" s="13" t="s">
        <v>3704</v>
      </c>
      <c r="K314" s="13" t="s">
        <v>3545</v>
      </c>
      <c r="L314" s="13" t="s">
        <v>3177</v>
      </c>
      <c r="M314" s="13" t="s">
        <v>3705</v>
      </c>
      <c r="N314" s="13">
        <v>6.0</v>
      </c>
      <c r="O314" s="13" t="s">
        <v>3162</v>
      </c>
      <c r="P314" s="13" t="s">
        <v>3689</v>
      </c>
      <c r="Q314" s="13" t="s">
        <v>3190</v>
      </c>
      <c r="R314" s="13" t="s">
        <v>3163</v>
      </c>
      <c r="S314" s="13" t="s">
        <v>33</v>
      </c>
      <c r="T314" s="13" t="s">
        <v>3164</v>
      </c>
      <c r="U314" s="13" t="s">
        <v>3197</v>
      </c>
      <c r="V314" s="13" t="s">
        <v>3242</v>
      </c>
      <c r="W314" s="13" t="s">
        <v>3377</v>
      </c>
      <c r="X314" s="13" t="s">
        <v>3167</v>
      </c>
    </row>
    <row r="315" ht="14.25" customHeight="1">
      <c r="A315" s="13">
        <v>23969.0</v>
      </c>
      <c r="B315" s="13" t="s">
        <v>928</v>
      </c>
      <c r="C315" s="13">
        <v>2020.0</v>
      </c>
      <c r="D315" s="13" t="s">
        <v>3153</v>
      </c>
      <c r="E315" s="13" t="s">
        <v>3169</v>
      </c>
      <c r="F315" s="13" t="s">
        <v>3211</v>
      </c>
      <c r="G315" s="13" t="s">
        <v>3588</v>
      </c>
      <c r="H315" s="13">
        <v>30.0</v>
      </c>
      <c r="I315" s="13" t="s">
        <v>3188</v>
      </c>
      <c r="J315" s="13" t="s">
        <v>3706</v>
      </c>
      <c r="K315" s="13" t="s">
        <v>3707</v>
      </c>
      <c r="L315" s="13" t="s">
        <v>3160</v>
      </c>
      <c r="M315" s="13" t="s">
        <v>3708</v>
      </c>
      <c r="N315" s="13">
        <v>3.0</v>
      </c>
      <c r="O315" s="13" t="s">
        <v>3162</v>
      </c>
      <c r="P315" s="13" t="s">
        <v>3167</v>
      </c>
      <c r="Q315" s="13" t="s">
        <v>3159</v>
      </c>
      <c r="R315" s="13" t="s">
        <v>3231</v>
      </c>
      <c r="S315" s="13" t="s">
        <v>33</v>
      </c>
      <c r="T315" s="13" t="s">
        <v>3164</v>
      </c>
      <c r="U315" s="13" t="s">
        <v>3164</v>
      </c>
      <c r="V315" s="13" t="s">
        <v>3242</v>
      </c>
      <c r="W315" s="13" t="s">
        <v>3377</v>
      </c>
      <c r="X315" s="13" t="s">
        <v>3167</v>
      </c>
    </row>
    <row r="316" ht="14.25" customHeight="1">
      <c r="A316" s="13">
        <v>23975.0</v>
      </c>
      <c r="B316" s="13" t="s">
        <v>2444</v>
      </c>
      <c r="C316" s="13">
        <v>2008.0</v>
      </c>
      <c r="D316" s="13" t="s">
        <v>3153</v>
      </c>
      <c r="E316" s="13" t="s">
        <v>3169</v>
      </c>
      <c r="F316" s="13" t="s">
        <v>3170</v>
      </c>
      <c r="G316" s="13" t="s">
        <v>3202</v>
      </c>
      <c r="H316" s="13">
        <v>10.0</v>
      </c>
      <c r="I316" s="13" t="s">
        <v>3222</v>
      </c>
      <c r="J316" s="13" t="s">
        <v>3182</v>
      </c>
      <c r="K316" s="13" t="s">
        <v>3159</v>
      </c>
      <c r="L316" s="13" t="s">
        <v>3177</v>
      </c>
      <c r="M316" s="13" t="s">
        <v>3369</v>
      </c>
      <c r="N316" s="13">
        <v>1.0</v>
      </c>
      <c r="O316" s="13" t="s">
        <v>3162</v>
      </c>
      <c r="P316" s="13" t="s">
        <v>3167</v>
      </c>
      <c r="Q316" s="13" t="s">
        <v>3159</v>
      </c>
      <c r="R316" s="13" t="s">
        <v>3231</v>
      </c>
      <c r="S316" s="13" t="s">
        <v>33</v>
      </c>
      <c r="T316" s="13" t="s">
        <v>3247</v>
      </c>
      <c r="U316" s="13" t="s">
        <v>3247</v>
      </c>
      <c r="V316" s="13" t="s">
        <v>3242</v>
      </c>
      <c r="W316" s="13" t="s">
        <v>3496</v>
      </c>
      <c r="X316" s="13" t="s">
        <v>3167</v>
      </c>
    </row>
    <row r="317" ht="14.25" customHeight="1">
      <c r="A317" s="13">
        <v>23977.0</v>
      </c>
      <c r="B317" s="13" t="s">
        <v>2444</v>
      </c>
      <c r="C317" s="13">
        <v>2019.0</v>
      </c>
      <c r="D317" s="13" t="s">
        <v>3153</v>
      </c>
      <c r="E317" s="13" t="s">
        <v>3169</v>
      </c>
      <c r="F317" s="13" t="s">
        <v>3284</v>
      </c>
      <c r="G317" s="13" t="s">
        <v>3187</v>
      </c>
      <c r="H317" s="13">
        <v>10000.0</v>
      </c>
      <c r="I317" s="13" t="s">
        <v>3203</v>
      </c>
      <c r="J317" s="13" t="s">
        <v>3204</v>
      </c>
      <c r="K317" s="13" t="s">
        <v>3381</v>
      </c>
      <c r="L317" s="13" t="s">
        <v>3177</v>
      </c>
      <c r="M317" s="13" t="s">
        <v>3578</v>
      </c>
      <c r="N317" s="13">
        <v>2.0</v>
      </c>
      <c r="O317" s="13" t="s">
        <v>3162</v>
      </c>
      <c r="P317" s="13" t="s">
        <v>3709</v>
      </c>
      <c r="Q317" s="13" t="s">
        <v>3183</v>
      </c>
      <c r="R317" s="13" t="s">
        <v>3163</v>
      </c>
      <c r="S317" s="13" t="s">
        <v>3709</v>
      </c>
      <c r="T317" s="13" t="s">
        <v>3247</v>
      </c>
      <c r="U317" s="13" t="s">
        <v>3247</v>
      </c>
      <c r="V317" s="13" t="s">
        <v>3242</v>
      </c>
      <c r="W317" s="13" t="s">
        <v>3496</v>
      </c>
      <c r="X317" s="13" t="s">
        <v>3167</v>
      </c>
    </row>
    <row r="318" ht="14.25" customHeight="1">
      <c r="A318" s="13">
        <v>23978.0</v>
      </c>
      <c r="B318" s="13" t="s">
        <v>622</v>
      </c>
      <c r="C318" s="13">
        <v>2018.0</v>
      </c>
      <c r="D318" s="13" t="s">
        <v>3153</v>
      </c>
      <c r="E318" s="13" t="s">
        <v>3169</v>
      </c>
      <c r="F318" s="13" t="s">
        <v>3192</v>
      </c>
      <c r="G318" s="13" t="s">
        <v>3156</v>
      </c>
      <c r="H318" s="13" t="s">
        <v>33</v>
      </c>
      <c r="I318" s="13" t="s">
        <v>3244</v>
      </c>
      <c r="J318" s="13" t="s">
        <v>3289</v>
      </c>
      <c r="K318" s="13" t="s">
        <v>3183</v>
      </c>
      <c r="L318" s="13" t="s">
        <v>3160</v>
      </c>
      <c r="M318" s="13" t="s">
        <v>3710</v>
      </c>
      <c r="N318" s="13">
        <v>9.0</v>
      </c>
      <c r="O318" s="13" t="s">
        <v>3162</v>
      </c>
      <c r="P318" s="13" t="s">
        <v>33</v>
      </c>
      <c r="Q318" s="13" t="s">
        <v>3183</v>
      </c>
      <c r="R318" s="13" t="s">
        <v>3163</v>
      </c>
      <c r="S318" s="13" t="s">
        <v>3397</v>
      </c>
      <c r="T318" s="13" t="s">
        <v>3247</v>
      </c>
      <c r="U318" s="13" t="s">
        <v>3247</v>
      </c>
      <c r="V318" s="13" t="s">
        <v>3166</v>
      </c>
      <c r="W318" s="13" t="s">
        <v>3167</v>
      </c>
      <c r="X318" s="13" t="s">
        <v>3632</v>
      </c>
    </row>
    <row r="319" ht="14.25" customHeight="1">
      <c r="A319" s="13">
        <v>23979.0</v>
      </c>
      <c r="B319" s="13" t="s">
        <v>1121</v>
      </c>
      <c r="C319" s="13">
        <v>2013.0</v>
      </c>
      <c r="D319" s="13" t="s">
        <v>3153</v>
      </c>
      <c r="E319" s="13" t="s">
        <v>3154</v>
      </c>
      <c r="F319" s="13" t="s">
        <v>3284</v>
      </c>
      <c r="G319" s="13" t="s">
        <v>3187</v>
      </c>
      <c r="H319" s="13">
        <v>16.0</v>
      </c>
      <c r="I319" s="13" t="s">
        <v>3157</v>
      </c>
      <c r="J319" s="13" t="s">
        <v>3167</v>
      </c>
      <c r="K319" s="13" t="s">
        <v>3183</v>
      </c>
      <c r="L319" s="13" t="s">
        <v>3160</v>
      </c>
      <c r="M319" s="13" t="s">
        <v>3161</v>
      </c>
      <c r="N319" s="13">
        <v>1.0</v>
      </c>
      <c r="O319" s="13" t="s">
        <v>3162</v>
      </c>
      <c r="P319" s="13" t="s">
        <v>3711</v>
      </c>
      <c r="Q319" s="13" t="s">
        <v>3183</v>
      </c>
      <c r="R319" s="13" t="s">
        <v>3163</v>
      </c>
      <c r="S319" s="13" t="s">
        <v>3711</v>
      </c>
      <c r="T319" s="13" t="s">
        <v>3164</v>
      </c>
      <c r="U319" s="13" t="s">
        <v>3247</v>
      </c>
      <c r="V319" s="13" t="s">
        <v>3166</v>
      </c>
      <c r="W319" s="13" t="s">
        <v>3167</v>
      </c>
      <c r="X319" s="13" t="s">
        <v>3597</v>
      </c>
    </row>
    <row r="320" ht="14.25" customHeight="1">
      <c r="A320" s="13">
        <v>23980.0</v>
      </c>
      <c r="B320" s="13" t="s">
        <v>2273</v>
      </c>
      <c r="C320" s="13">
        <v>2017.0</v>
      </c>
      <c r="D320" s="13" t="s">
        <v>3153</v>
      </c>
      <c r="E320" s="13" t="s">
        <v>3684</v>
      </c>
      <c r="F320" s="13" t="s">
        <v>3284</v>
      </c>
      <c r="G320" s="13" t="s">
        <v>3588</v>
      </c>
      <c r="H320" s="13">
        <v>30.0</v>
      </c>
      <c r="I320" s="13" t="s">
        <v>3157</v>
      </c>
      <c r="J320" s="13" t="s">
        <v>3167</v>
      </c>
      <c r="K320" s="13" t="s">
        <v>3183</v>
      </c>
      <c r="L320" s="13" t="s">
        <v>3177</v>
      </c>
      <c r="M320" s="13" t="s">
        <v>3161</v>
      </c>
      <c r="N320" s="13">
        <v>1.0</v>
      </c>
      <c r="O320" s="13" t="s">
        <v>3162</v>
      </c>
      <c r="P320" s="13" t="s">
        <v>3689</v>
      </c>
      <c r="Q320" s="13" t="s">
        <v>3210</v>
      </c>
      <c r="R320" s="13" t="s">
        <v>3260</v>
      </c>
      <c r="S320" s="13" t="s">
        <v>33</v>
      </c>
      <c r="T320" s="13" t="s">
        <v>3195</v>
      </c>
      <c r="U320" s="13" t="s">
        <v>3195</v>
      </c>
      <c r="V320" s="13" t="s">
        <v>3195</v>
      </c>
      <c r="W320" s="13" t="s">
        <v>3167</v>
      </c>
      <c r="X320" s="13" t="s">
        <v>3167</v>
      </c>
    </row>
    <row r="321" ht="14.25" customHeight="1">
      <c r="A321" s="13">
        <v>23982.0</v>
      </c>
      <c r="B321" s="13" t="s">
        <v>723</v>
      </c>
      <c r="C321" s="13">
        <v>2020.0</v>
      </c>
      <c r="D321" s="13" t="s">
        <v>3153</v>
      </c>
      <c r="E321" s="13" t="s">
        <v>3169</v>
      </c>
      <c r="F321" s="13" t="s">
        <v>3217</v>
      </c>
      <c r="G321" s="13" t="s">
        <v>3588</v>
      </c>
      <c r="H321" s="13">
        <v>30.0</v>
      </c>
      <c r="I321" s="13" t="s">
        <v>3167</v>
      </c>
      <c r="J321" s="13" t="s">
        <v>3167</v>
      </c>
      <c r="K321" s="13" t="s">
        <v>3381</v>
      </c>
      <c r="L321" s="13" t="s">
        <v>3160</v>
      </c>
      <c r="M321" s="13" t="s">
        <v>3712</v>
      </c>
      <c r="N321" s="13">
        <v>5.0</v>
      </c>
      <c r="O321" s="13" t="s">
        <v>3162</v>
      </c>
      <c r="P321" s="13" t="s">
        <v>3713</v>
      </c>
      <c r="Q321" s="13" t="s">
        <v>3183</v>
      </c>
      <c r="R321" s="13" t="s">
        <v>3163</v>
      </c>
      <c r="S321" s="13" t="s">
        <v>3397</v>
      </c>
      <c r="T321" s="13" t="s">
        <v>3164</v>
      </c>
      <c r="U321" s="13" t="s">
        <v>3232</v>
      </c>
      <c r="V321" s="13" t="s">
        <v>3166</v>
      </c>
      <c r="W321" s="13" t="s">
        <v>3167</v>
      </c>
      <c r="X321" s="13" t="s">
        <v>3178</v>
      </c>
    </row>
    <row r="322" ht="14.25" customHeight="1">
      <c r="A322" s="13">
        <v>23985.0</v>
      </c>
      <c r="B322" s="13" t="s">
        <v>2118</v>
      </c>
      <c r="C322" s="13">
        <v>2007.0</v>
      </c>
      <c r="D322" s="13" t="s">
        <v>3153</v>
      </c>
      <c r="E322" s="13" t="s">
        <v>3169</v>
      </c>
      <c r="F322" s="13" t="s">
        <v>3155</v>
      </c>
      <c r="G322" s="13" t="s">
        <v>3156</v>
      </c>
      <c r="H322" s="13" t="s">
        <v>3167</v>
      </c>
      <c r="I322" s="13" t="s">
        <v>3171</v>
      </c>
      <c r="J322" s="13" t="s">
        <v>3714</v>
      </c>
      <c r="K322" s="13" t="s">
        <v>3159</v>
      </c>
      <c r="L322" s="13" t="s">
        <v>3160</v>
      </c>
      <c r="M322" s="13" t="s">
        <v>3715</v>
      </c>
      <c r="N322" s="13">
        <v>1.0</v>
      </c>
      <c r="O322" s="13" t="s">
        <v>3162</v>
      </c>
      <c r="P322" s="13" t="s">
        <v>3167</v>
      </c>
      <c r="Q322" s="13" t="s">
        <v>3159</v>
      </c>
      <c r="R322" s="13" t="s">
        <v>3231</v>
      </c>
      <c r="S322" s="13" t="s">
        <v>33</v>
      </c>
      <c r="T322" s="13" t="s">
        <v>3164</v>
      </c>
      <c r="U322" s="13" t="s">
        <v>3164</v>
      </c>
      <c r="V322" s="13" t="s">
        <v>3242</v>
      </c>
      <c r="W322" s="13" t="s">
        <v>3377</v>
      </c>
      <c r="X322" s="13" t="s">
        <v>3167</v>
      </c>
    </row>
    <row r="323" ht="14.25" customHeight="1">
      <c r="A323" s="13">
        <v>23988.0</v>
      </c>
      <c r="B323" s="13" t="s">
        <v>2229</v>
      </c>
      <c r="C323" s="13">
        <v>2019.0</v>
      </c>
      <c r="D323" s="13" t="s">
        <v>3153</v>
      </c>
      <c r="E323" s="13" t="s">
        <v>3169</v>
      </c>
      <c r="F323" s="13" t="s">
        <v>3192</v>
      </c>
      <c r="G323" s="13" t="s">
        <v>3156</v>
      </c>
      <c r="H323" s="13" t="s">
        <v>3167</v>
      </c>
      <c r="I323" s="13" t="s">
        <v>3157</v>
      </c>
      <c r="J323" s="13" t="s">
        <v>3570</v>
      </c>
      <c r="K323" s="13" t="s">
        <v>3183</v>
      </c>
      <c r="L323" s="13" t="s">
        <v>3177</v>
      </c>
      <c r="M323" s="13" t="s">
        <v>3716</v>
      </c>
      <c r="N323" s="13">
        <v>11.0</v>
      </c>
      <c r="O323" s="13" t="s">
        <v>3162</v>
      </c>
      <c r="P323" s="13" t="s">
        <v>3717</v>
      </c>
      <c r="Q323" s="13" t="s">
        <v>3183</v>
      </c>
      <c r="R323" s="13" t="s">
        <v>3260</v>
      </c>
      <c r="S323" s="13" t="s">
        <v>33</v>
      </c>
      <c r="T323" s="13" t="s">
        <v>3232</v>
      </c>
      <c r="U323" s="13" t="s">
        <v>3232</v>
      </c>
      <c r="V323" s="13" t="s">
        <v>3166</v>
      </c>
      <c r="W323" s="13" t="s">
        <v>3167</v>
      </c>
      <c r="X323" s="13" t="s">
        <v>3224</v>
      </c>
    </row>
    <row r="324" ht="14.25" customHeight="1">
      <c r="A324" s="13">
        <v>23989.0</v>
      </c>
      <c r="B324" s="13" t="s">
        <v>1929</v>
      </c>
      <c r="C324" s="13">
        <v>2014.0</v>
      </c>
      <c r="D324" s="13" t="s">
        <v>3153</v>
      </c>
      <c r="E324" s="13" t="s">
        <v>3465</v>
      </c>
      <c r="F324" s="13" t="s">
        <v>3211</v>
      </c>
      <c r="G324" s="13" t="s">
        <v>3180</v>
      </c>
      <c r="H324" s="13">
        <v>1.0</v>
      </c>
      <c r="I324" s="13" t="s">
        <v>3171</v>
      </c>
      <c r="J324" s="13" t="s">
        <v>3718</v>
      </c>
      <c r="K324" s="13" t="s">
        <v>3338</v>
      </c>
      <c r="L324" s="13" t="s">
        <v>3177</v>
      </c>
      <c r="M324" s="13" t="s">
        <v>3719</v>
      </c>
      <c r="N324" s="13">
        <v>2.0</v>
      </c>
      <c r="O324" s="13" t="s">
        <v>3162</v>
      </c>
      <c r="P324" s="13" t="s">
        <v>33</v>
      </c>
      <c r="Q324" s="13" t="s">
        <v>3183</v>
      </c>
      <c r="R324" s="13" t="s">
        <v>3177</v>
      </c>
      <c r="S324" s="13" t="s">
        <v>3689</v>
      </c>
      <c r="T324" s="13" t="s">
        <v>3232</v>
      </c>
      <c r="U324" s="13" t="s">
        <v>3232</v>
      </c>
      <c r="V324" s="13" t="s">
        <v>3166</v>
      </c>
      <c r="W324" s="13" t="s">
        <v>3167</v>
      </c>
      <c r="X324" s="13" t="s">
        <v>3324</v>
      </c>
    </row>
    <row r="325" ht="14.25" customHeight="1">
      <c r="A325" s="13">
        <v>23991.0</v>
      </c>
      <c r="B325" s="13" t="s">
        <v>1976</v>
      </c>
      <c r="C325" s="13">
        <v>2010.0</v>
      </c>
      <c r="D325" s="13" t="s">
        <v>3153</v>
      </c>
      <c r="E325" s="13" t="s">
        <v>3179</v>
      </c>
      <c r="F325" s="13" t="s">
        <v>3192</v>
      </c>
      <c r="G325" s="13" t="s">
        <v>3156</v>
      </c>
      <c r="H325" s="13" t="s">
        <v>33</v>
      </c>
      <c r="I325" s="13" t="s">
        <v>3249</v>
      </c>
      <c r="J325" s="13" t="s">
        <v>3199</v>
      </c>
      <c r="K325" s="13" t="s">
        <v>3159</v>
      </c>
      <c r="L325" s="13" t="s">
        <v>3177</v>
      </c>
      <c r="M325" s="13" t="s">
        <v>3342</v>
      </c>
      <c r="N325" s="13">
        <v>1.0</v>
      </c>
      <c r="O325" s="13" t="s">
        <v>3162</v>
      </c>
      <c r="P325" s="13" t="s">
        <v>33</v>
      </c>
      <c r="Q325" s="13" t="s">
        <v>3159</v>
      </c>
      <c r="R325" s="13" t="s">
        <v>3163</v>
      </c>
      <c r="S325" s="13" t="s">
        <v>33</v>
      </c>
      <c r="T325" s="13" t="s">
        <v>3232</v>
      </c>
      <c r="U325" s="13" t="s">
        <v>3232</v>
      </c>
      <c r="V325" s="13" t="s">
        <v>3166</v>
      </c>
      <c r="W325" s="13" t="s">
        <v>3167</v>
      </c>
      <c r="X325" s="13" t="s">
        <v>3224</v>
      </c>
    </row>
    <row r="326" ht="14.25" customHeight="1">
      <c r="A326" s="13">
        <v>23992.0</v>
      </c>
      <c r="B326" s="13" t="s">
        <v>2437</v>
      </c>
      <c r="C326" s="13">
        <v>2020.0</v>
      </c>
      <c r="D326" s="13" t="s">
        <v>3153</v>
      </c>
      <c r="E326" s="13" t="s">
        <v>3169</v>
      </c>
      <c r="F326" s="13" t="s">
        <v>3170</v>
      </c>
      <c r="G326" s="13" t="s">
        <v>3156</v>
      </c>
      <c r="H326" s="13" t="s">
        <v>33</v>
      </c>
      <c r="I326" s="13" t="s">
        <v>3244</v>
      </c>
      <c r="J326" s="13" t="s">
        <v>3345</v>
      </c>
      <c r="K326" s="13" t="s">
        <v>3159</v>
      </c>
      <c r="L326" s="13" t="s">
        <v>3177</v>
      </c>
      <c r="M326" s="13" t="s">
        <v>3230</v>
      </c>
      <c r="N326" s="13">
        <v>1.0</v>
      </c>
      <c r="O326" s="13" t="s">
        <v>3162</v>
      </c>
      <c r="P326" s="13" t="s">
        <v>33</v>
      </c>
      <c r="Q326" s="13" t="s">
        <v>3159</v>
      </c>
      <c r="R326" s="13" t="s">
        <v>3177</v>
      </c>
      <c r="S326" s="13" t="s">
        <v>33</v>
      </c>
      <c r="T326" s="13" t="s">
        <v>3232</v>
      </c>
      <c r="U326" s="13" t="s">
        <v>3232</v>
      </c>
      <c r="V326" s="13" t="s">
        <v>3166</v>
      </c>
      <c r="W326" s="13" t="s">
        <v>3167</v>
      </c>
      <c r="X326" s="13" t="s">
        <v>3224</v>
      </c>
    </row>
    <row r="327" ht="14.25" customHeight="1">
      <c r="A327" s="13">
        <v>23993.0</v>
      </c>
      <c r="B327" s="13" t="s">
        <v>1797</v>
      </c>
      <c r="C327" s="13">
        <v>2018.0</v>
      </c>
      <c r="D327" s="13" t="s">
        <v>3153</v>
      </c>
      <c r="E327" s="13" t="s">
        <v>3179</v>
      </c>
      <c r="F327" s="13" t="s">
        <v>3170</v>
      </c>
      <c r="G327" s="13" t="s">
        <v>3187</v>
      </c>
      <c r="H327" s="13">
        <v>1.0</v>
      </c>
      <c r="I327" s="13" t="s">
        <v>3249</v>
      </c>
      <c r="J327" s="13" t="s">
        <v>3199</v>
      </c>
      <c r="K327" s="13" t="s">
        <v>3159</v>
      </c>
      <c r="L327" s="13" t="s">
        <v>3177</v>
      </c>
      <c r="M327" s="13" t="s">
        <v>3342</v>
      </c>
      <c r="N327" s="13">
        <v>1.0</v>
      </c>
      <c r="O327" s="13" t="s">
        <v>3162</v>
      </c>
      <c r="P327" s="13" t="s">
        <v>33</v>
      </c>
      <c r="Q327" s="13" t="s">
        <v>3159</v>
      </c>
      <c r="R327" s="13" t="s">
        <v>3177</v>
      </c>
      <c r="S327" s="13" t="s">
        <v>33</v>
      </c>
      <c r="T327" s="13" t="s">
        <v>3232</v>
      </c>
      <c r="U327" s="13" t="s">
        <v>3232</v>
      </c>
      <c r="V327" s="13" t="s">
        <v>3166</v>
      </c>
      <c r="W327" s="13" t="s">
        <v>3167</v>
      </c>
      <c r="X327" s="13" t="s">
        <v>3225</v>
      </c>
    </row>
    <row r="328" ht="14.25" customHeight="1">
      <c r="A328" s="13">
        <v>23997.0</v>
      </c>
      <c r="B328" s="13" t="s">
        <v>746</v>
      </c>
      <c r="C328" s="13">
        <v>2011.0</v>
      </c>
      <c r="D328" s="13" t="s">
        <v>3153</v>
      </c>
      <c r="E328" s="13" t="s">
        <v>3154</v>
      </c>
      <c r="F328" s="13" t="s">
        <v>3170</v>
      </c>
      <c r="G328" s="13" t="s">
        <v>3156</v>
      </c>
      <c r="H328" s="13" t="s">
        <v>33</v>
      </c>
      <c r="I328" s="13" t="s">
        <v>3157</v>
      </c>
      <c r="J328" s="13" t="s">
        <v>3720</v>
      </c>
      <c r="K328" s="13" t="s">
        <v>3159</v>
      </c>
      <c r="L328" s="13" t="s">
        <v>3160</v>
      </c>
      <c r="M328" s="13" t="s">
        <v>3291</v>
      </c>
      <c r="N328" s="13">
        <v>1.0</v>
      </c>
      <c r="O328" s="13" t="s">
        <v>3162</v>
      </c>
      <c r="P328" s="13" t="s">
        <v>33</v>
      </c>
      <c r="Q328" s="13" t="s">
        <v>3159</v>
      </c>
      <c r="R328" s="13" t="s">
        <v>3163</v>
      </c>
      <c r="S328" s="13" t="s">
        <v>33</v>
      </c>
      <c r="T328" s="13" t="s">
        <v>3164</v>
      </c>
      <c r="U328" s="13" t="s">
        <v>3164</v>
      </c>
      <c r="V328" s="13" t="s">
        <v>3166</v>
      </c>
      <c r="W328" s="13" t="s">
        <v>3167</v>
      </c>
      <c r="X328" s="13" t="s">
        <v>3225</v>
      </c>
    </row>
    <row r="329" ht="14.25" customHeight="1">
      <c r="A329" s="13">
        <v>24000.0</v>
      </c>
      <c r="B329" s="13" t="s">
        <v>1716</v>
      </c>
      <c r="C329" s="13">
        <v>2016.0</v>
      </c>
      <c r="D329" s="13" t="s">
        <v>3153</v>
      </c>
      <c r="E329" s="13" t="s">
        <v>3169</v>
      </c>
      <c r="F329" s="13" t="s">
        <v>3170</v>
      </c>
      <c r="G329" s="13" t="s">
        <v>3202</v>
      </c>
      <c r="H329" s="13">
        <v>200.0</v>
      </c>
      <c r="I329" s="13" t="s">
        <v>3188</v>
      </c>
      <c r="J329" s="13" t="s">
        <v>3483</v>
      </c>
      <c r="K329" s="13" t="s">
        <v>3208</v>
      </c>
      <c r="L329" s="13" t="s">
        <v>3160</v>
      </c>
      <c r="M329" s="13" t="s">
        <v>3721</v>
      </c>
      <c r="N329" s="13">
        <v>6.0</v>
      </c>
      <c r="O329" s="13" t="s">
        <v>3162</v>
      </c>
      <c r="P329" s="13" t="s">
        <v>33</v>
      </c>
      <c r="Q329" s="13" t="s">
        <v>3210</v>
      </c>
      <c r="R329" s="13" t="s">
        <v>3163</v>
      </c>
      <c r="S329" s="13" t="s">
        <v>33</v>
      </c>
      <c r="T329" s="13" t="s">
        <v>3195</v>
      </c>
      <c r="U329" s="13" t="s">
        <v>3195</v>
      </c>
      <c r="V329" s="13" t="s">
        <v>3195</v>
      </c>
      <c r="W329" s="13" t="s">
        <v>3167</v>
      </c>
      <c r="X329" s="13" t="s">
        <v>3167</v>
      </c>
    </row>
    <row r="330" ht="14.25" customHeight="1">
      <c r="A330" s="13">
        <v>24001.0</v>
      </c>
      <c r="B330" s="13" t="s">
        <v>1892</v>
      </c>
      <c r="C330" s="13">
        <v>2019.0</v>
      </c>
      <c r="D330" s="13" t="s">
        <v>3153</v>
      </c>
      <c r="E330" s="13" t="s">
        <v>3395</v>
      </c>
      <c r="F330" s="13" t="s">
        <v>3170</v>
      </c>
      <c r="G330" s="13" t="s">
        <v>3202</v>
      </c>
      <c r="H330" s="13">
        <v>6.0</v>
      </c>
      <c r="I330" s="13" t="s">
        <v>3261</v>
      </c>
      <c r="J330" s="13" t="s">
        <v>3240</v>
      </c>
      <c r="K330" s="13" t="s">
        <v>3159</v>
      </c>
      <c r="L330" s="13" t="s">
        <v>3177</v>
      </c>
      <c r="M330" s="13" t="s">
        <v>3722</v>
      </c>
      <c r="N330" s="13">
        <v>1.0</v>
      </c>
      <c r="O330" s="13" t="s">
        <v>3162</v>
      </c>
      <c r="P330" s="13" t="s">
        <v>33</v>
      </c>
      <c r="Q330" s="13" t="s">
        <v>3159</v>
      </c>
      <c r="R330" s="13" t="s">
        <v>3177</v>
      </c>
      <c r="S330" s="13" t="s">
        <v>33</v>
      </c>
      <c r="T330" s="13" t="s">
        <v>3197</v>
      </c>
      <c r="U330" s="13" t="s">
        <v>3197</v>
      </c>
      <c r="V330" s="13" t="s">
        <v>3166</v>
      </c>
      <c r="W330" s="13" t="s">
        <v>3167</v>
      </c>
      <c r="X330" s="13" t="s">
        <v>3168</v>
      </c>
    </row>
    <row r="331" ht="14.25" customHeight="1">
      <c r="A331" s="13">
        <v>24003.0</v>
      </c>
      <c r="B331" s="13" t="s">
        <v>2219</v>
      </c>
      <c r="C331" s="13">
        <v>2018.0</v>
      </c>
      <c r="D331" s="13" t="s">
        <v>3153</v>
      </c>
      <c r="E331" s="13" t="s">
        <v>3169</v>
      </c>
      <c r="F331" s="13" t="s">
        <v>3192</v>
      </c>
      <c r="G331" s="13" t="s">
        <v>3156</v>
      </c>
      <c r="H331" s="13" t="s">
        <v>3167</v>
      </c>
      <c r="I331" s="13" t="s">
        <v>3157</v>
      </c>
      <c r="J331" s="13" t="s">
        <v>3199</v>
      </c>
      <c r="K331" s="13" t="s">
        <v>3381</v>
      </c>
      <c r="L331" s="13" t="s">
        <v>3160</v>
      </c>
      <c r="M331" s="13" t="s">
        <v>3230</v>
      </c>
      <c r="N331" s="13">
        <v>1.0</v>
      </c>
      <c r="O331" s="13" t="s">
        <v>3162</v>
      </c>
      <c r="P331" s="13" t="s">
        <v>3723</v>
      </c>
      <c r="Q331" s="13" t="s">
        <v>3183</v>
      </c>
      <c r="R331" s="13" t="s">
        <v>3231</v>
      </c>
      <c r="S331" s="13" t="s">
        <v>3724</v>
      </c>
      <c r="T331" s="13" t="s">
        <v>3164</v>
      </c>
      <c r="U331" s="13" t="s">
        <v>3164</v>
      </c>
      <c r="V331" s="13" t="s">
        <v>3166</v>
      </c>
      <c r="W331" s="13" t="s">
        <v>3167</v>
      </c>
      <c r="X331" s="13" t="s">
        <v>3178</v>
      </c>
    </row>
    <row r="332" ht="14.25" customHeight="1">
      <c r="A332" s="13">
        <v>24013.0</v>
      </c>
      <c r="B332" s="13" t="s">
        <v>885</v>
      </c>
      <c r="C332" s="13">
        <v>2017.0</v>
      </c>
      <c r="D332" s="13" t="s">
        <v>3153</v>
      </c>
      <c r="E332" s="13" t="s">
        <v>3179</v>
      </c>
      <c r="F332" s="13" t="s">
        <v>3211</v>
      </c>
      <c r="G332" s="13" t="s">
        <v>3180</v>
      </c>
      <c r="H332" s="13">
        <v>0.1</v>
      </c>
      <c r="I332" s="13" t="s">
        <v>3249</v>
      </c>
      <c r="J332" s="13" t="s">
        <v>3725</v>
      </c>
      <c r="K332" s="13" t="s">
        <v>3186</v>
      </c>
      <c r="L332" s="13" t="s">
        <v>3177</v>
      </c>
      <c r="M332" s="13" t="s">
        <v>3342</v>
      </c>
      <c r="N332" s="13">
        <v>1.0</v>
      </c>
      <c r="O332" s="13" t="s">
        <v>3162</v>
      </c>
      <c r="P332" s="13" t="s">
        <v>33</v>
      </c>
      <c r="Q332" s="13" t="s">
        <v>3159</v>
      </c>
      <c r="R332" s="13" t="s">
        <v>3177</v>
      </c>
      <c r="S332" s="13" t="s">
        <v>33</v>
      </c>
      <c r="T332" s="13" t="s">
        <v>3164</v>
      </c>
      <c r="U332" s="13" t="s">
        <v>3164</v>
      </c>
      <c r="V332" s="13" t="s">
        <v>3166</v>
      </c>
      <c r="W332" s="13" t="s">
        <v>3167</v>
      </c>
      <c r="X332" s="13" t="s">
        <v>3224</v>
      </c>
    </row>
    <row r="333" ht="14.25" customHeight="1">
      <c r="A333" s="13">
        <v>24016.0</v>
      </c>
      <c r="B333" s="13" t="s">
        <v>265</v>
      </c>
      <c r="C333" s="13">
        <v>2002.0</v>
      </c>
      <c r="D333" s="13" t="s">
        <v>3153</v>
      </c>
      <c r="E333" s="13" t="s">
        <v>3169</v>
      </c>
      <c r="F333" s="13" t="s">
        <v>3170</v>
      </c>
      <c r="G333" s="13" t="s">
        <v>3156</v>
      </c>
      <c r="H333" s="13" t="s">
        <v>33</v>
      </c>
      <c r="I333" s="13" t="s">
        <v>3222</v>
      </c>
      <c r="J333" s="13" t="s">
        <v>3182</v>
      </c>
      <c r="K333" s="13" t="s">
        <v>3159</v>
      </c>
      <c r="L333" s="13" t="s">
        <v>3160</v>
      </c>
      <c r="M333" s="13" t="s">
        <v>3161</v>
      </c>
      <c r="N333" s="13">
        <v>1.0</v>
      </c>
      <c r="O333" s="13" t="s">
        <v>3162</v>
      </c>
      <c r="P333" s="13" t="s">
        <v>33</v>
      </c>
      <c r="Q333" s="13" t="s">
        <v>3210</v>
      </c>
      <c r="R333" s="13" t="s">
        <v>3163</v>
      </c>
      <c r="S333" s="13" t="s">
        <v>33</v>
      </c>
      <c r="T333" s="13" t="s">
        <v>3195</v>
      </c>
      <c r="U333" s="13" t="s">
        <v>3195</v>
      </c>
      <c r="V333" s="13" t="s">
        <v>3195</v>
      </c>
      <c r="W333" s="13" t="s">
        <v>3167</v>
      </c>
      <c r="X333" s="13" t="s">
        <v>3167</v>
      </c>
    </row>
    <row r="334" ht="14.25" customHeight="1">
      <c r="A334" s="13">
        <v>24024.0</v>
      </c>
      <c r="B334" s="13" t="s">
        <v>3106</v>
      </c>
      <c r="C334" s="13">
        <v>2014.0</v>
      </c>
      <c r="D334" s="13" t="s">
        <v>3153</v>
      </c>
      <c r="E334" s="13" t="s">
        <v>3169</v>
      </c>
      <c r="F334" s="13" t="s">
        <v>3192</v>
      </c>
      <c r="G334" s="13" t="s">
        <v>3156</v>
      </c>
      <c r="H334" s="13" t="s">
        <v>33</v>
      </c>
      <c r="I334" s="13" t="s">
        <v>3188</v>
      </c>
      <c r="J334" s="13" t="s">
        <v>3286</v>
      </c>
      <c r="K334" s="13" t="s">
        <v>3159</v>
      </c>
      <c r="L334" s="13" t="s">
        <v>3160</v>
      </c>
      <c r="M334" s="13" t="s">
        <v>3715</v>
      </c>
      <c r="N334" s="13">
        <v>1.0</v>
      </c>
      <c r="O334" s="13" t="s">
        <v>3162</v>
      </c>
      <c r="P334" s="13" t="s">
        <v>33</v>
      </c>
      <c r="Q334" s="13" t="s">
        <v>3159</v>
      </c>
      <c r="R334" s="13" t="s">
        <v>3163</v>
      </c>
      <c r="S334" s="13" t="s">
        <v>33</v>
      </c>
      <c r="T334" s="13" t="s">
        <v>3228</v>
      </c>
      <c r="U334" s="13" t="s">
        <v>3228</v>
      </c>
      <c r="V334" s="13" t="s">
        <v>3242</v>
      </c>
      <c r="W334" s="13" t="s">
        <v>3377</v>
      </c>
      <c r="X334" s="13" t="s">
        <v>3167</v>
      </c>
    </row>
    <row r="335" ht="14.25" customHeight="1">
      <c r="A335" s="13">
        <v>24025.0</v>
      </c>
      <c r="B335" s="13" t="s">
        <v>2385</v>
      </c>
      <c r="C335" s="13">
        <v>2015.0</v>
      </c>
      <c r="D335" s="13" t="s">
        <v>3153</v>
      </c>
      <c r="E335" s="13" t="s">
        <v>3169</v>
      </c>
      <c r="F335" s="13" t="s">
        <v>3170</v>
      </c>
      <c r="G335" s="13" t="s">
        <v>3202</v>
      </c>
      <c r="H335" s="13">
        <v>30.0</v>
      </c>
      <c r="I335" s="13" t="s">
        <v>3171</v>
      </c>
      <c r="J335" s="13" t="s">
        <v>3454</v>
      </c>
      <c r="K335" s="13" t="s">
        <v>3208</v>
      </c>
      <c r="L335" s="13" t="s">
        <v>3177</v>
      </c>
      <c r="M335" s="13" t="s">
        <v>3484</v>
      </c>
      <c r="N335" s="13">
        <v>1.0</v>
      </c>
      <c r="O335" s="13" t="s">
        <v>3162</v>
      </c>
      <c r="P335" s="13" t="s">
        <v>33</v>
      </c>
      <c r="Q335" s="13" t="s">
        <v>3208</v>
      </c>
      <c r="R335" s="13" t="s">
        <v>3163</v>
      </c>
      <c r="S335" s="13" t="s">
        <v>33</v>
      </c>
      <c r="T335" s="13" t="s">
        <v>3247</v>
      </c>
      <c r="U335" s="13" t="s">
        <v>3247</v>
      </c>
      <c r="V335" s="13" t="s">
        <v>3242</v>
      </c>
      <c r="W335" s="13" t="s">
        <v>3248</v>
      </c>
      <c r="X335" s="13" t="s">
        <v>3167</v>
      </c>
    </row>
    <row r="336" ht="14.25" customHeight="1">
      <c r="A336" s="13">
        <v>24029.0</v>
      </c>
      <c r="B336" s="13" t="s">
        <v>1026</v>
      </c>
      <c r="C336" s="13">
        <v>2018.0</v>
      </c>
      <c r="D336" s="13" t="s">
        <v>3153</v>
      </c>
      <c r="E336" s="13" t="s">
        <v>3169</v>
      </c>
      <c r="F336" s="13" t="s">
        <v>3170</v>
      </c>
      <c r="G336" s="13" t="s">
        <v>3156</v>
      </c>
      <c r="H336" s="13" t="s">
        <v>3167</v>
      </c>
      <c r="I336" s="13" t="s">
        <v>3222</v>
      </c>
      <c r="J336" s="13" t="s">
        <v>3182</v>
      </c>
      <c r="K336" s="13" t="s">
        <v>3183</v>
      </c>
      <c r="L336" s="13" t="s">
        <v>3160</v>
      </c>
      <c r="M336" s="13" t="s">
        <v>3363</v>
      </c>
      <c r="N336" s="13">
        <v>1.0</v>
      </c>
      <c r="O336" s="13" t="s">
        <v>3162</v>
      </c>
      <c r="P336" s="13" t="s">
        <v>3726</v>
      </c>
      <c r="Q336" s="13" t="s">
        <v>3159</v>
      </c>
      <c r="R336" s="13" t="s">
        <v>3231</v>
      </c>
      <c r="S336" s="13" t="s">
        <v>33</v>
      </c>
      <c r="T336" s="13" t="s">
        <v>3164</v>
      </c>
      <c r="U336" s="13" t="s">
        <v>3164</v>
      </c>
      <c r="V336" s="13" t="s">
        <v>3166</v>
      </c>
      <c r="W336" s="13" t="s">
        <v>3167</v>
      </c>
      <c r="X336" s="13" t="s">
        <v>3224</v>
      </c>
    </row>
    <row r="337" ht="14.25" customHeight="1">
      <c r="A337" s="13">
        <v>24030.0</v>
      </c>
      <c r="B337" s="13" t="s">
        <v>707</v>
      </c>
      <c r="C337" s="13">
        <v>2015.0</v>
      </c>
      <c r="D337" s="13" t="s">
        <v>3153</v>
      </c>
      <c r="E337" s="13" t="s">
        <v>3169</v>
      </c>
      <c r="F337" s="13" t="s">
        <v>3170</v>
      </c>
      <c r="G337" s="13" t="s">
        <v>33</v>
      </c>
      <c r="H337" s="13" t="s">
        <v>33</v>
      </c>
      <c r="I337" s="13" t="s">
        <v>3222</v>
      </c>
      <c r="J337" s="13" t="s">
        <v>3182</v>
      </c>
      <c r="K337" s="13" t="s">
        <v>3159</v>
      </c>
      <c r="L337" s="13" t="s">
        <v>3177</v>
      </c>
      <c r="M337" s="13" t="s">
        <v>3241</v>
      </c>
      <c r="N337" s="13">
        <v>1.0</v>
      </c>
      <c r="O337" s="13" t="s">
        <v>3162</v>
      </c>
      <c r="P337" s="13" t="s">
        <v>33</v>
      </c>
      <c r="Q337" s="13" t="s">
        <v>3159</v>
      </c>
      <c r="R337" s="13" t="s">
        <v>3163</v>
      </c>
      <c r="S337" s="13" t="s">
        <v>33</v>
      </c>
      <c r="T337" s="13" t="s">
        <v>3164</v>
      </c>
      <c r="U337" s="13" t="s">
        <v>3164</v>
      </c>
      <c r="V337" s="13" t="s">
        <v>3166</v>
      </c>
      <c r="W337" s="13" t="s">
        <v>3167</v>
      </c>
      <c r="X337" s="13" t="s">
        <v>3168</v>
      </c>
    </row>
    <row r="338" ht="14.25" customHeight="1">
      <c r="A338" s="13">
        <v>24034.0</v>
      </c>
      <c r="B338" s="13" t="s">
        <v>1091</v>
      </c>
      <c r="C338" s="13">
        <v>2012.0</v>
      </c>
      <c r="D338" s="13" t="s">
        <v>3153</v>
      </c>
      <c r="E338" s="13" t="s">
        <v>3169</v>
      </c>
      <c r="F338" s="13" t="s">
        <v>3192</v>
      </c>
      <c r="G338" s="13" t="s">
        <v>3156</v>
      </c>
      <c r="H338" s="13" t="s">
        <v>33</v>
      </c>
      <c r="I338" s="13" t="s">
        <v>3222</v>
      </c>
      <c r="J338" s="13" t="s">
        <v>3182</v>
      </c>
      <c r="K338" s="13" t="s">
        <v>3173</v>
      </c>
      <c r="L338" s="13" t="s">
        <v>3160</v>
      </c>
      <c r="M338" s="13" t="s">
        <v>3317</v>
      </c>
      <c r="N338" s="13">
        <v>1.0</v>
      </c>
      <c r="O338" s="13" t="s">
        <v>3162</v>
      </c>
      <c r="P338" s="13" t="s">
        <v>33</v>
      </c>
      <c r="Q338" s="13" t="s">
        <v>3183</v>
      </c>
      <c r="R338" s="13" t="s">
        <v>3163</v>
      </c>
      <c r="S338" s="13" t="s">
        <v>3727</v>
      </c>
      <c r="T338" s="13" t="s">
        <v>3164</v>
      </c>
      <c r="U338" s="13" t="s">
        <v>3252</v>
      </c>
      <c r="V338" s="13" t="s">
        <v>3253</v>
      </c>
      <c r="W338" s="13" t="s">
        <v>3728</v>
      </c>
      <c r="X338" s="13" t="s">
        <v>3729</v>
      </c>
    </row>
    <row r="339" ht="14.25" customHeight="1">
      <c r="A339" s="13">
        <v>24036.0</v>
      </c>
      <c r="B339" s="13" t="s">
        <v>2349</v>
      </c>
      <c r="C339" s="13">
        <v>2008.0</v>
      </c>
      <c r="D339" s="13" t="s">
        <v>3457</v>
      </c>
      <c r="E339" s="13" t="s">
        <v>3179</v>
      </c>
      <c r="F339" s="13" t="s">
        <v>3170</v>
      </c>
      <c r="G339" s="13" t="s">
        <v>33</v>
      </c>
      <c r="H339" s="13" t="s">
        <v>33</v>
      </c>
      <c r="I339" s="13" t="s">
        <v>3181</v>
      </c>
      <c r="J339" s="13" t="s">
        <v>3730</v>
      </c>
      <c r="K339" s="13" t="s">
        <v>3201</v>
      </c>
      <c r="L339" s="13" t="s">
        <v>3177</v>
      </c>
      <c r="M339" s="13" t="s">
        <v>3342</v>
      </c>
      <c r="N339" s="13">
        <v>1.0</v>
      </c>
      <c r="O339" s="13" t="s">
        <v>3162</v>
      </c>
      <c r="P339" s="13" t="s">
        <v>33</v>
      </c>
      <c r="Q339" s="13" t="s">
        <v>3159</v>
      </c>
      <c r="R339" s="13" t="s">
        <v>3163</v>
      </c>
      <c r="S339" s="13" t="s">
        <v>33</v>
      </c>
      <c r="T339" s="13" t="s">
        <v>3232</v>
      </c>
      <c r="U339" s="13" t="s">
        <v>3232</v>
      </c>
      <c r="V339" s="13" t="s">
        <v>3166</v>
      </c>
      <c r="W339" s="13" t="s">
        <v>3167</v>
      </c>
      <c r="X339" s="13" t="s">
        <v>3224</v>
      </c>
    </row>
    <row r="340" ht="14.25" customHeight="1">
      <c r="A340" s="13">
        <v>24038.0</v>
      </c>
      <c r="B340" s="13" t="s">
        <v>208</v>
      </c>
      <c r="C340" s="13">
        <v>2013.0</v>
      </c>
      <c r="D340" s="13" t="s">
        <v>3153</v>
      </c>
      <c r="E340" s="13" t="s">
        <v>3179</v>
      </c>
      <c r="F340" s="13" t="s">
        <v>3170</v>
      </c>
      <c r="G340" s="13" t="s">
        <v>3187</v>
      </c>
      <c r="H340" s="13">
        <v>5.0</v>
      </c>
      <c r="I340" s="13" t="s">
        <v>3261</v>
      </c>
      <c r="J340" s="13" t="s">
        <v>3400</v>
      </c>
      <c r="K340" s="13" t="s">
        <v>3173</v>
      </c>
      <c r="L340" s="13" t="s">
        <v>3160</v>
      </c>
      <c r="M340" s="13" t="s">
        <v>3731</v>
      </c>
      <c r="N340" s="13">
        <v>3.0</v>
      </c>
      <c r="O340" s="13" t="s">
        <v>3162</v>
      </c>
      <c r="P340" s="13" t="s">
        <v>3167</v>
      </c>
      <c r="Q340" s="13" t="s">
        <v>3173</v>
      </c>
      <c r="R340" s="13" t="s">
        <v>3260</v>
      </c>
      <c r="S340" s="13" t="s">
        <v>33</v>
      </c>
      <c r="T340" s="13" t="s">
        <v>3164</v>
      </c>
      <c r="U340" s="13" t="s">
        <v>3164</v>
      </c>
      <c r="V340" s="13" t="s">
        <v>3166</v>
      </c>
      <c r="W340" s="13" t="s">
        <v>3167</v>
      </c>
      <c r="X340" s="13" t="s">
        <v>3225</v>
      </c>
    </row>
    <row r="341" ht="14.25" customHeight="1">
      <c r="A341" s="13">
        <v>24039.0</v>
      </c>
      <c r="B341" s="13" t="s">
        <v>236</v>
      </c>
      <c r="C341" s="13">
        <v>2008.0</v>
      </c>
      <c r="D341" s="13" t="s">
        <v>3153</v>
      </c>
      <c r="E341" s="13" t="s">
        <v>3169</v>
      </c>
      <c r="F341" s="13" t="s">
        <v>3170</v>
      </c>
      <c r="G341" s="13" t="s">
        <v>3156</v>
      </c>
      <c r="H341" s="13" t="s">
        <v>3167</v>
      </c>
      <c r="I341" s="13" t="s">
        <v>3244</v>
      </c>
      <c r="J341" s="13" t="s">
        <v>3278</v>
      </c>
      <c r="K341" s="13" t="s">
        <v>3173</v>
      </c>
      <c r="L341" s="13" t="s">
        <v>3160</v>
      </c>
      <c r="M341" s="13" t="s">
        <v>3319</v>
      </c>
      <c r="N341" s="13">
        <v>2.0</v>
      </c>
      <c r="O341" s="13" t="s">
        <v>3267</v>
      </c>
      <c r="P341" s="13" t="s">
        <v>3167</v>
      </c>
      <c r="Q341" s="13" t="s">
        <v>3208</v>
      </c>
      <c r="R341" s="13" t="s">
        <v>3231</v>
      </c>
      <c r="S341" s="13" t="s">
        <v>33</v>
      </c>
      <c r="T341" s="13" t="s">
        <v>3164</v>
      </c>
      <c r="U341" s="13" t="s">
        <v>3164</v>
      </c>
      <c r="V341" s="13" t="s">
        <v>3166</v>
      </c>
      <c r="W341" s="13" t="s">
        <v>3167</v>
      </c>
      <c r="X341" s="13" t="s">
        <v>3224</v>
      </c>
    </row>
    <row r="342" ht="14.25" customHeight="1">
      <c r="A342" s="13">
        <v>24042.0</v>
      </c>
      <c r="B342" s="13" t="s">
        <v>942</v>
      </c>
      <c r="C342" s="13">
        <v>2015.0</v>
      </c>
      <c r="D342" s="13" t="s">
        <v>3153</v>
      </c>
      <c r="E342" s="13" t="s">
        <v>3169</v>
      </c>
      <c r="F342" s="13" t="s">
        <v>3192</v>
      </c>
      <c r="G342" s="13" t="s">
        <v>3202</v>
      </c>
      <c r="H342" s="13">
        <v>10.0</v>
      </c>
      <c r="I342" s="13" t="s">
        <v>3157</v>
      </c>
      <c r="J342" s="13" t="s">
        <v>3348</v>
      </c>
      <c r="K342" s="13" t="s">
        <v>3159</v>
      </c>
      <c r="L342" s="13" t="s">
        <v>3177</v>
      </c>
      <c r="M342" s="13" t="s">
        <v>3230</v>
      </c>
      <c r="N342" s="13">
        <v>1.0</v>
      </c>
      <c r="O342" s="13" t="s">
        <v>3162</v>
      </c>
      <c r="P342" s="13" t="s">
        <v>33</v>
      </c>
      <c r="Q342" s="13" t="s">
        <v>3159</v>
      </c>
      <c r="R342" s="13" t="s">
        <v>3163</v>
      </c>
      <c r="S342" s="13" t="s">
        <v>33</v>
      </c>
      <c r="T342" s="13" t="s">
        <v>3164</v>
      </c>
      <c r="U342" s="13" t="s">
        <v>3164</v>
      </c>
      <c r="V342" s="13" t="s">
        <v>3166</v>
      </c>
      <c r="W342" s="13" t="s">
        <v>3167</v>
      </c>
      <c r="X342" s="13" t="s">
        <v>3178</v>
      </c>
    </row>
    <row r="343" ht="14.25" customHeight="1">
      <c r="A343" s="13">
        <v>24050.0</v>
      </c>
      <c r="B343" s="13" t="s">
        <v>1334</v>
      </c>
      <c r="C343" s="13">
        <v>2020.0</v>
      </c>
      <c r="D343" s="13" t="s">
        <v>3153</v>
      </c>
      <c r="E343" s="13" t="s">
        <v>3395</v>
      </c>
      <c r="F343" s="13" t="s">
        <v>3217</v>
      </c>
      <c r="G343" s="13" t="s">
        <v>3202</v>
      </c>
      <c r="H343" s="13">
        <v>30.0</v>
      </c>
      <c r="I343" s="13" t="s">
        <v>3167</v>
      </c>
      <c r="J343" s="13" t="s">
        <v>3167</v>
      </c>
      <c r="K343" s="13" t="s">
        <v>3208</v>
      </c>
      <c r="L343" s="13" t="s">
        <v>3160</v>
      </c>
      <c r="M343" s="13" t="s">
        <v>3732</v>
      </c>
      <c r="N343" s="13">
        <v>6.0</v>
      </c>
      <c r="O343" s="13" t="s">
        <v>3267</v>
      </c>
      <c r="P343" s="13" t="s">
        <v>3167</v>
      </c>
      <c r="Q343" s="13" t="s">
        <v>3208</v>
      </c>
      <c r="R343" s="13" t="s">
        <v>3231</v>
      </c>
      <c r="S343" s="13" t="s">
        <v>33</v>
      </c>
      <c r="T343" s="13" t="s">
        <v>3197</v>
      </c>
      <c r="U343" s="13" t="s">
        <v>3197</v>
      </c>
      <c r="V343" s="13" t="s">
        <v>3242</v>
      </c>
      <c r="W343" s="13" t="s">
        <v>3481</v>
      </c>
      <c r="X343" s="13" t="s">
        <v>3167</v>
      </c>
    </row>
    <row r="344" ht="14.25" customHeight="1">
      <c r="A344" s="13">
        <v>24053.0</v>
      </c>
      <c r="B344" s="13" t="s">
        <v>1398</v>
      </c>
      <c r="C344" s="13">
        <v>2014.0</v>
      </c>
      <c r="D344" s="13" t="s">
        <v>3153</v>
      </c>
      <c r="E344" s="13" t="s">
        <v>3154</v>
      </c>
      <c r="F344" s="13" t="s">
        <v>3170</v>
      </c>
      <c r="G344" s="13" t="s">
        <v>3180</v>
      </c>
      <c r="H344" s="13">
        <v>0.05</v>
      </c>
      <c r="I344" s="13" t="s">
        <v>3244</v>
      </c>
      <c r="J344" s="13" t="s">
        <v>3278</v>
      </c>
      <c r="K344" s="13" t="s">
        <v>3733</v>
      </c>
      <c r="L344" s="13" t="s">
        <v>3160</v>
      </c>
      <c r="M344" s="13" t="s">
        <v>3480</v>
      </c>
      <c r="N344" s="13">
        <v>1.0</v>
      </c>
      <c r="O344" s="13" t="s">
        <v>3267</v>
      </c>
      <c r="P344" s="13" t="s">
        <v>3734</v>
      </c>
      <c r="Q344" s="13" t="s">
        <v>3159</v>
      </c>
      <c r="R344" s="13" t="s">
        <v>3177</v>
      </c>
      <c r="S344" s="13" t="s">
        <v>33</v>
      </c>
      <c r="T344" s="13" t="s">
        <v>3164</v>
      </c>
      <c r="U344" s="13" t="s">
        <v>3164</v>
      </c>
      <c r="V344" s="13" t="s">
        <v>3166</v>
      </c>
      <c r="W344" s="13" t="s">
        <v>3167</v>
      </c>
      <c r="X344" s="13" t="s">
        <v>3178</v>
      </c>
    </row>
    <row r="345" ht="14.25" customHeight="1">
      <c r="A345" s="13">
        <v>24055.0</v>
      </c>
      <c r="B345" s="13" t="s">
        <v>1398</v>
      </c>
      <c r="C345" s="13">
        <v>2017.0</v>
      </c>
      <c r="D345" s="13" t="s">
        <v>3153</v>
      </c>
      <c r="E345" s="13" t="s">
        <v>3179</v>
      </c>
      <c r="F345" s="13" t="s">
        <v>3192</v>
      </c>
      <c r="G345" s="13" t="s">
        <v>3187</v>
      </c>
      <c r="H345" s="13">
        <v>1.0</v>
      </c>
      <c r="I345" s="13" t="s">
        <v>3261</v>
      </c>
      <c r="J345" s="13" t="s">
        <v>3229</v>
      </c>
      <c r="K345" s="13" t="s">
        <v>3183</v>
      </c>
      <c r="L345" s="13" t="s">
        <v>3160</v>
      </c>
      <c r="M345" s="13" t="s">
        <v>3735</v>
      </c>
      <c r="N345" s="13">
        <v>2.0</v>
      </c>
      <c r="O345" s="13" t="s">
        <v>3162</v>
      </c>
      <c r="P345" s="13" t="s">
        <v>3736</v>
      </c>
      <c r="Q345" s="13" t="s">
        <v>3183</v>
      </c>
      <c r="R345" s="13" t="s">
        <v>3163</v>
      </c>
      <c r="S345" s="13" t="s">
        <v>3737</v>
      </c>
      <c r="T345" s="13" t="s">
        <v>3164</v>
      </c>
      <c r="U345" s="13" t="s">
        <v>3165</v>
      </c>
      <c r="V345" s="13" t="s">
        <v>3166</v>
      </c>
      <c r="W345" s="13" t="s">
        <v>3167</v>
      </c>
      <c r="X345" s="13" t="s">
        <v>3178</v>
      </c>
    </row>
    <row r="346" ht="14.25" customHeight="1">
      <c r="A346" s="13">
        <v>24060.0</v>
      </c>
      <c r="B346" s="13" t="s">
        <v>1542</v>
      </c>
      <c r="C346" s="13">
        <v>2020.0</v>
      </c>
      <c r="D346" s="13" t="s">
        <v>3153</v>
      </c>
      <c r="E346" s="13" t="s">
        <v>3179</v>
      </c>
      <c r="F346" s="13" t="s">
        <v>3170</v>
      </c>
      <c r="G346" s="13" t="s">
        <v>3180</v>
      </c>
      <c r="H346" s="13">
        <v>0.03</v>
      </c>
      <c r="I346" s="13" t="s">
        <v>3181</v>
      </c>
      <c r="J346" s="13" t="s">
        <v>3362</v>
      </c>
      <c r="K346" s="13" t="s">
        <v>3159</v>
      </c>
      <c r="L346" s="13" t="s">
        <v>3177</v>
      </c>
      <c r="M346" s="13" t="s">
        <v>3342</v>
      </c>
      <c r="N346" s="13">
        <v>1.0</v>
      </c>
      <c r="O346" s="13" t="s">
        <v>3162</v>
      </c>
      <c r="P346" s="13" t="s">
        <v>33</v>
      </c>
      <c r="Q346" s="13" t="s">
        <v>3159</v>
      </c>
      <c r="R346" s="13" t="s">
        <v>3163</v>
      </c>
      <c r="S346" s="13" t="s">
        <v>33</v>
      </c>
      <c r="T346" s="13" t="s">
        <v>3164</v>
      </c>
      <c r="U346" s="13" t="s">
        <v>3197</v>
      </c>
      <c r="V346" s="13" t="s">
        <v>3166</v>
      </c>
      <c r="W346" s="13" t="s">
        <v>3167</v>
      </c>
      <c r="X346" s="13" t="s">
        <v>3738</v>
      </c>
    </row>
    <row r="347" ht="14.25" customHeight="1">
      <c r="A347" s="13">
        <v>24062.0</v>
      </c>
      <c r="B347" s="13" t="s">
        <v>2223</v>
      </c>
      <c r="C347" s="13">
        <v>2014.0</v>
      </c>
      <c r="D347" s="13" t="s">
        <v>3153</v>
      </c>
      <c r="E347" s="13" t="s">
        <v>3169</v>
      </c>
      <c r="F347" s="13" t="s">
        <v>3192</v>
      </c>
      <c r="G347" s="13" t="s">
        <v>3156</v>
      </c>
      <c r="H347" s="13" t="s">
        <v>33</v>
      </c>
      <c r="I347" s="13" t="s">
        <v>3157</v>
      </c>
      <c r="J347" s="13" t="s">
        <v>3199</v>
      </c>
      <c r="K347" s="13" t="s">
        <v>3159</v>
      </c>
      <c r="L347" s="13" t="s">
        <v>3160</v>
      </c>
      <c r="M347" s="13" t="s">
        <v>3227</v>
      </c>
      <c r="N347" s="13">
        <v>1.0</v>
      </c>
      <c r="O347" s="13" t="s">
        <v>3162</v>
      </c>
      <c r="P347" s="13" t="s">
        <v>33</v>
      </c>
      <c r="Q347" s="13" t="s">
        <v>3159</v>
      </c>
      <c r="R347" s="13" t="s">
        <v>3163</v>
      </c>
      <c r="S347" s="13" t="s">
        <v>33</v>
      </c>
      <c r="T347" s="13" t="s">
        <v>3164</v>
      </c>
      <c r="U347" s="13" t="s">
        <v>3164</v>
      </c>
      <c r="V347" s="13" t="s">
        <v>3166</v>
      </c>
      <c r="W347" s="13" t="s">
        <v>3167</v>
      </c>
      <c r="X347" s="13" t="s">
        <v>3224</v>
      </c>
    </row>
    <row r="348" ht="14.25" customHeight="1">
      <c r="A348" s="13">
        <v>24064.0</v>
      </c>
      <c r="B348" s="13" t="s">
        <v>3093</v>
      </c>
      <c r="C348" s="13">
        <v>2013.0</v>
      </c>
      <c r="D348" s="13" t="s">
        <v>3153</v>
      </c>
      <c r="E348" s="13" t="s">
        <v>3395</v>
      </c>
      <c r="F348" s="13" t="s">
        <v>3217</v>
      </c>
      <c r="G348" s="13" t="s">
        <v>3180</v>
      </c>
      <c r="H348" s="13">
        <v>2.0</v>
      </c>
      <c r="I348" s="13" t="s">
        <v>3167</v>
      </c>
      <c r="J348" s="13" t="s">
        <v>3167</v>
      </c>
      <c r="K348" s="13" t="s">
        <v>3183</v>
      </c>
      <c r="L348" s="13" t="s">
        <v>3177</v>
      </c>
      <c r="M348" s="13" t="s">
        <v>3739</v>
      </c>
      <c r="N348" s="13">
        <v>12.0</v>
      </c>
      <c r="O348" s="13" t="s">
        <v>3175</v>
      </c>
      <c r="P348" s="13" t="s">
        <v>3397</v>
      </c>
      <c r="Q348" s="13" t="s">
        <v>3183</v>
      </c>
      <c r="R348" s="13" t="s">
        <v>3231</v>
      </c>
      <c r="S348" s="13" t="s">
        <v>3397</v>
      </c>
      <c r="T348" s="13" t="s">
        <v>3232</v>
      </c>
      <c r="U348" s="13" t="s">
        <v>3232</v>
      </c>
      <c r="V348" s="13" t="s">
        <v>3166</v>
      </c>
      <c r="W348" s="13" t="s">
        <v>3167</v>
      </c>
      <c r="X348" s="13" t="s">
        <v>3178</v>
      </c>
    </row>
    <row r="349" ht="14.25" customHeight="1">
      <c r="A349" s="13">
        <v>24065.0</v>
      </c>
      <c r="B349" s="13" t="s">
        <v>2545</v>
      </c>
      <c r="C349" s="13">
        <v>2018.0</v>
      </c>
      <c r="D349" s="13" t="s">
        <v>3153</v>
      </c>
      <c r="E349" s="13" t="s">
        <v>3169</v>
      </c>
      <c r="F349" s="13" t="s">
        <v>3155</v>
      </c>
      <c r="G349" s="13" t="s">
        <v>3180</v>
      </c>
      <c r="H349" s="13">
        <v>1.0</v>
      </c>
      <c r="I349" s="13" t="s">
        <v>3244</v>
      </c>
      <c r="J349" s="13" t="s">
        <v>3289</v>
      </c>
      <c r="K349" s="13" t="s">
        <v>3338</v>
      </c>
      <c r="L349" s="13" t="s">
        <v>3177</v>
      </c>
      <c r="M349" s="13" t="s">
        <v>3230</v>
      </c>
      <c r="N349" s="13">
        <v>1.0</v>
      </c>
      <c r="O349" s="13" t="s">
        <v>3162</v>
      </c>
      <c r="P349" s="13" t="s">
        <v>3167</v>
      </c>
      <c r="Q349" s="13" t="s">
        <v>3338</v>
      </c>
      <c r="R349" s="13" t="s">
        <v>3260</v>
      </c>
      <c r="S349" s="13" t="s">
        <v>33</v>
      </c>
      <c r="T349" s="13" t="s">
        <v>3232</v>
      </c>
      <c r="U349" s="13" t="s">
        <v>3197</v>
      </c>
      <c r="V349" s="13" t="s">
        <v>3166</v>
      </c>
      <c r="W349" s="13" t="s">
        <v>3167</v>
      </c>
      <c r="X349" s="13" t="s">
        <v>3518</v>
      </c>
    </row>
    <row r="350" ht="14.25" customHeight="1">
      <c r="A350" s="13">
        <v>24067.0</v>
      </c>
      <c r="B350" s="13" t="s">
        <v>2141</v>
      </c>
      <c r="C350" s="13">
        <v>2020.0</v>
      </c>
      <c r="D350" s="13" t="s">
        <v>3153</v>
      </c>
      <c r="E350" s="13" t="s">
        <v>3179</v>
      </c>
      <c r="F350" s="13" t="s">
        <v>3192</v>
      </c>
      <c r="G350" s="13" t="s">
        <v>3520</v>
      </c>
      <c r="H350" s="13">
        <v>4.8</v>
      </c>
      <c r="I350" s="13" t="s">
        <v>3181</v>
      </c>
      <c r="J350" s="13" t="s">
        <v>3182</v>
      </c>
      <c r="K350" s="13" t="s">
        <v>3186</v>
      </c>
      <c r="L350" s="13" t="s">
        <v>3177</v>
      </c>
      <c r="M350" s="13" t="s">
        <v>3196</v>
      </c>
      <c r="N350" s="13">
        <v>1.0</v>
      </c>
      <c r="O350" s="13" t="s">
        <v>3162</v>
      </c>
      <c r="P350" s="13" t="s">
        <v>33</v>
      </c>
      <c r="Q350" s="13" t="s">
        <v>3159</v>
      </c>
      <c r="R350" s="13" t="s">
        <v>3177</v>
      </c>
      <c r="S350" s="13" t="s">
        <v>33</v>
      </c>
      <c r="T350" s="13" t="s">
        <v>3164</v>
      </c>
      <c r="U350" s="13" t="s">
        <v>3232</v>
      </c>
      <c r="V350" s="13" t="s">
        <v>3166</v>
      </c>
      <c r="W350" s="13" t="s">
        <v>3167</v>
      </c>
      <c r="X350" s="13" t="s">
        <v>3224</v>
      </c>
    </row>
    <row r="351" ht="14.25" customHeight="1">
      <c r="A351" s="13">
        <v>24078.0</v>
      </c>
      <c r="B351" s="13" t="s">
        <v>123</v>
      </c>
      <c r="C351" s="13">
        <v>2016.0</v>
      </c>
      <c r="D351" s="13" t="s">
        <v>3153</v>
      </c>
      <c r="E351" s="13" t="s">
        <v>3169</v>
      </c>
      <c r="F351" s="13" t="s">
        <v>3217</v>
      </c>
      <c r="G351" s="13" t="s">
        <v>3187</v>
      </c>
      <c r="H351" s="13">
        <v>1.0</v>
      </c>
      <c r="I351" s="13" t="s">
        <v>3167</v>
      </c>
      <c r="J351" s="13" t="s">
        <v>3167</v>
      </c>
      <c r="K351" s="13" t="s">
        <v>3183</v>
      </c>
      <c r="L351" s="13" t="s">
        <v>3177</v>
      </c>
      <c r="M351" s="13" t="s">
        <v>3578</v>
      </c>
      <c r="N351" s="13">
        <v>2.0</v>
      </c>
      <c r="O351" s="13" t="s">
        <v>3162</v>
      </c>
      <c r="P351" s="13" t="s">
        <v>3740</v>
      </c>
      <c r="Q351" s="13" t="s">
        <v>3183</v>
      </c>
      <c r="R351" s="13" t="s">
        <v>3177</v>
      </c>
      <c r="S351" s="13" t="s">
        <v>3397</v>
      </c>
      <c r="T351" s="13" t="s">
        <v>3228</v>
      </c>
      <c r="U351" s="13" t="s">
        <v>3228</v>
      </c>
      <c r="V351" s="13" t="s">
        <v>3166</v>
      </c>
      <c r="W351" s="13" t="s">
        <v>3167</v>
      </c>
      <c r="X351" s="13" t="s">
        <v>3178</v>
      </c>
    </row>
    <row r="352" ht="14.25" customHeight="1">
      <c r="A352" s="13">
        <v>24079.0</v>
      </c>
      <c r="B352" s="13" t="s">
        <v>782</v>
      </c>
      <c r="C352" s="13">
        <v>2018.0</v>
      </c>
      <c r="D352" s="13" t="s">
        <v>3153</v>
      </c>
      <c r="E352" s="13" t="s">
        <v>3169</v>
      </c>
      <c r="F352" s="13" t="s">
        <v>3211</v>
      </c>
      <c r="G352" s="13" t="s">
        <v>3187</v>
      </c>
      <c r="H352" s="13">
        <v>1.0</v>
      </c>
      <c r="I352" s="13" t="s">
        <v>3188</v>
      </c>
      <c r="J352" s="13" t="s">
        <v>3741</v>
      </c>
      <c r="K352" s="13" t="s">
        <v>3381</v>
      </c>
      <c r="L352" s="13" t="s">
        <v>3177</v>
      </c>
      <c r="M352" s="13" t="s">
        <v>3391</v>
      </c>
      <c r="N352" s="13">
        <v>1.0</v>
      </c>
      <c r="O352" s="13" t="s">
        <v>3175</v>
      </c>
      <c r="P352" s="13" t="s">
        <v>3742</v>
      </c>
      <c r="Q352" s="13" t="s">
        <v>3183</v>
      </c>
      <c r="R352" s="13" t="s">
        <v>3177</v>
      </c>
      <c r="S352" s="13" t="s">
        <v>3397</v>
      </c>
      <c r="T352" s="13" t="s">
        <v>3228</v>
      </c>
      <c r="U352" s="13" t="s">
        <v>3228</v>
      </c>
      <c r="V352" s="13" t="s">
        <v>3166</v>
      </c>
      <c r="W352" s="13" t="s">
        <v>3167</v>
      </c>
      <c r="X352" s="13" t="s">
        <v>3224</v>
      </c>
    </row>
    <row r="353" ht="14.25" customHeight="1">
      <c r="A353" s="13">
        <v>24086.0</v>
      </c>
      <c r="B353" s="13" t="s">
        <v>1723</v>
      </c>
      <c r="C353" s="13">
        <v>2014.0</v>
      </c>
      <c r="D353" s="13" t="s">
        <v>3153</v>
      </c>
      <c r="E353" s="13" t="s">
        <v>3465</v>
      </c>
      <c r="F353" s="13" t="s">
        <v>3192</v>
      </c>
      <c r="G353" s="13" t="s">
        <v>33</v>
      </c>
      <c r="H353" s="13" t="s">
        <v>33</v>
      </c>
      <c r="I353" s="13" t="s">
        <v>3244</v>
      </c>
      <c r="J353" s="13" t="s">
        <v>3289</v>
      </c>
      <c r="K353" s="13" t="s">
        <v>3208</v>
      </c>
      <c r="L353" s="13" t="s">
        <v>3160</v>
      </c>
      <c r="M353" s="13" t="s">
        <v>3743</v>
      </c>
      <c r="N353" s="13">
        <v>3.0</v>
      </c>
      <c r="O353" s="13" t="s">
        <v>3267</v>
      </c>
      <c r="P353" s="13" t="s">
        <v>33</v>
      </c>
      <c r="Q353" s="13" t="s">
        <v>3744</v>
      </c>
      <c r="R353" s="13" t="s">
        <v>3163</v>
      </c>
      <c r="S353" s="13" t="s">
        <v>3323</v>
      </c>
      <c r="T353" s="13" t="s">
        <v>3247</v>
      </c>
      <c r="U353" s="13" t="s">
        <v>3247</v>
      </c>
      <c r="V353" s="13" t="s">
        <v>3242</v>
      </c>
      <c r="W353" s="13" t="s">
        <v>3496</v>
      </c>
      <c r="X353" s="13" t="s">
        <v>3167</v>
      </c>
    </row>
    <row r="354" ht="14.25" customHeight="1">
      <c r="A354" s="13">
        <v>24088.0</v>
      </c>
      <c r="B354" s="13" t="s">
        <v>2321</v>
      </c>
      <c r="C354" s="13">
        <v>2008.0</v>
      </c>
      <c r="D354" s="13" t="s">
        <v>3153</v>
      </c>
      <c r="E354" s="13" t="s">
        <v>3179</v>
      </c>
      <c r="F354" s="13" t="s">
        <v>3192</v>
      </c>
      <c r="G354" s="13" t="s">
        <v>33</v>
      </c>
      <c r="H354" s="13" t="s">
        <v>33</v>
      </c>
      <c r="I354" s="13" t="s">
        <v>3264</v>
      </c>
      <c r="J354" s="13" t="s">
        <v>3204</v>
      </c>
      <c r="K354" s="13" t="s">
        <v>3190</v>
      </c>
      <c r="L354" s="13" t="s">
        <v>3160</v>
      </c>
      <c r="M354" s="13" t="s">
        <v>3745</v>
      </c>
      <c r="N354" s="13">
        <v>4.0</v>
      </c>
      <c r="O354" s="13" t="s">
        <v>3175</v>
      </c>
      <c r="P354" s="13" t="s">
        <v>33</v>
      </c>
      <c r="Q354" s="13" t="s">
        <v>3208</v>
      </c>
      <c r="R354" s="13" t="s">
        <v>3163</v>
      </c>
      <c r="S354" s="13" t="s">
        <v>33</v>
      </c>
      <c r="T354" s="13" t="s">
        <v>3164</v>
      </c>
      <c r="U354" s="13" t="s">
        <v>3164</v>
      </c>
      <c r="V354" s="13" t="s">
        <v>3166</v>
      </c>
      <c r="W354" s="13" t="s">
        <v>3167</v>
      </c>
      <c r="X354" s="13" t="s">
        <v>3178</v>
      </c>
    </row>
    <row r="355" ht="14.25" customHeight="1">
      <c r="A355" s="13">
        <v>24087.0</v>
      </c>
      <c r="B355" s="13" t="s">
        <v>187</v>
      </c>
      <c r="C355" s="13">
        <v>2008.0</v>
      </c>
      <c r="D355" s="13" t="s">
        <v>3153</v>
      </c>
      <c r="E355" s="13" t="s">
        <v>3179</v>
      </c>
      <c r="F355" s="13" t="s">
        <v>3192</v>
      </c>
      <c r="G355" s="13" t="s">
        <v>33</v>
      </c>
      <c r="H355" s="13" t="s">
        <v>33</v>
      </c>
      <c r="I355" s="13" t="s">
        <v>3264</v>
      </c>
      <c r="J355" s="13" t="s">
        <v>3204</v>
      </c>
      <c r="K355" s="13" t="s">
        <v>3186</v>
      </c>
      <c r="L355" s="13" t="s">
        <v>3160</v>
      </c>
      <c r="M355" s="13" t="s">
        <v>3342</v>
      </c>
      <c r="N355" s="13">
        <v>1.0</v>
      </c>
      <c r="O355" s="13" t="s">
        <v>3162</v>
      </c>
      <c r="P355" s="13" t="s">
        <v>33</v>
      </c>
      <c r="Q355" s="13" t="s">
        <v>3208</v>
      </c>
      <c r="R355" s="13" t="s">
        <v>3163</v>
      </c>
      <c r="S355" s="13" t="s">
        <v>33</v>
      </c>
      <c r="T355" s="13" t="s">
        <v>3164</v>
      </c>
      <c r="U355" s="13" t="s">
        <v>3164</v>
      </c>
      <c r="V355" s="13" t="s">
        <v>3166</v>
      </c>
      <c r="W355" s="13" t="s">
        <v>3167</v>
      </c>
      <c r="X355" s="13" t="s">
        <v>3178</v>
      </c>
    </row>
    <row r="356" ht="14.25" customHeight="1">
      <c r="A356" s="13">
        <v>24094.0</v>
      </c>
      <c r="B356" s="13" t="s">
        <v>1549</v>
      </c>
      <c r="C356" s="13">
        <v>2014.0</v>
      </c>
      <c r="D356" s="13" t="s">
        <v>3153</v>
      </c>
      <c r="E356" s="13" t="s">
        <v>3154</v>
      </c>
      <c r="F356" s="13" t="s">
        <v>3155</v>
      </c>
      <c r="G356" s="13" t="s">
        <v>3187</v>
      </c>
      <c r="H356" s="13">
        <v>64.0</v>
      </c>
      <c r="I356" s="13" t="s">
        <v>3157</v>
      </c>
      <c r="J356" s="13" t="s">
        <v>3348</v>
      </c>
      <c r="K356" s="13" t="s">
        <v>3186</v>
      </c>
      <c r="L356" s="13" t="s">
        <v>3160</v>
      </c>
      <c r="M356" s="13" t="s">
        <v>3213</v>
      </c>
      <c r="N356" s="13">
        <v>1.0</v>
      </c>
      <c r="O356" s="13" t="s">
        <v>3162</v>
      </c>
      <c r="P356" s="13" t="s">
        <v>33</v>
      </c>
      <c r="Q356" s="13" t="s">
        <v>3186</v>
      </c>
      <c r="R356" s="13" t="s">
        <v>3163</v>
      </c>
      <c r="S356" s="13" t="s">
        <v>33</v>
      </c>
      <c r="T356" s="13" t="s">
        <v>3164</v>
      </c>
      <c r="U356" s="13" t="s">
        <v>3197</v>
      </c>
      <c r="V356" s="13" t="s">
        <v>3166</v>
      </c>
      <c r="W356" s="13" t="s">
        <v>3167</v>
      </c>
      <c r="X356" s="13" t="s">
        <v>3255</v>
      </c>
    </row>
    <row r="357" ht="14.25" customHeight="1">
      <c r="A357" s="13">
        <v>24096.0</v>
      </c>
      <c r="B357" s="13" t="s">
        <v>524</v>
      </c>
      <c r="C357" s="13">
        <v>2018.0</v>
      </c>
      <c r="D357" s="13" t="s">
        <v>3153</v>
      </c>
      <c r="E357" s="13" t="s">
        <v>3169</v>
      </c>
      <c r="F357" s="13" t="s">
        <v>3170</v>
      </c>
      <c r="G357" s="13" t="s">
        <v>3156</v>
      </c>
      <c r="H357" s="13" t="s">
        <v>33</v>
      </c>
      <c r="I357" s="13" t="s">
        <v>3157</v>
      </c>
      <c r="J357" s="13" t="s">
        <v>3307</v>
      </c>
      <c r="K357" s="13" t="s">
        <v>3201</v>
      </c>
      <c r="L357" s="13" t="s">
        <v>3177</v>
      </c>
      <c r="M357" s="13" t="s">
        <v>3746</v>
      </c>
      <c r="N357" s="13">
        <v>2.0</v>
      </c>
      <c r="O357" s="13" t="s">
        <v>3175</v>
      </c>
      <c r="P357" s="13" t="s">
        <v>33</v>
      </c>
      <c r="Q357" s="13" t="s">
        <v>3210</v>
      </c>
      <c r="R357" s="13" t="s">
        <v>3163</v>
      </c>
      <c r="S357" s="13" t="s">
        <v>33</v>
      </c>
      <c r="T357" s="13" t="s">
        <v>3195</v>
      </c>
      <c r="U357" s="13" t="s">
        <v>3195</v>
      </c>
      <c r="V357" s="13" t="s">
        <v>3195</v>
      </c>
      <c r="W357" s="13" t="s">
        <v>3167</v>
      </c>
      <c r="X357" s="13" t="s">
        <v>3167</v>
      </c>
    </row>
    <row r="358" ht="14.25" customHeight="1">
      <c r="A358" s="13">
        <v>24101.0</v>
      </c>
      <c r="B358" s="13" t="s">
        <v>2978</v>
      </c>
      <c r="C358" s="13">
        <v>2017.0</v>
      </c>
      <c r="D358" s="13" t="s">
        <v>3153</v>
      </c>
      <c r="E358" s="13" t="s">
        <v>3169</v>
      </c>
      <c r="F358" s="13" t="s">
        <v>3170</v>
      </c>
      <c r="G358" s="13" t="s">
        <v>3156</v>
      </c>
      <c r="H358" s="13" t="s">
        <v>33</v>
      </c>
      <c r="I358" s="13" t="s">
        <v>3244</v>
      </c>
      <c r="J358" s="13" t="s">
        <v>3289</v>
      </c>
      <c r="K358" s="13" t="s">
        <v>3173</v>
      </c>
      <c r="L358" s="13" t="s">
        <v>3160</v>
      </c>
      <c r="M358" s="13" t="s">
        <v>3571</v>
      </c>
      <c r="N358" s="13">
        <v>2.0</v>
      </c>
      <c r="O358" s="13" t="s">
        <v>3267</v>
      </c>
      <c r="P358" s="13" t="s">
        <v>33</v>
      </c>
      <c r="Q358" s="13" t="s">
        <v>3680</v>
      </c>
      <c r="R358" s="13" t="s">
        <v>3163</v>
      </c>
      <c r="S358" s="13" t="s">
        <v>3323</v>
      </c>
      <c r="T358" s="13" t="s">
        <v>3247</v>
      </c>
      <c r="U358" s="13" t="s">
        <v>3247</v>
      </c>
      <c r="V358" s="13" t="s">
        <v>3242</v>
      </c>
      <c r="W358" s="13" t="s">
        <v>3248</v>
      </c>
      <c r="X358" s="13" t="s">
        <v>3167</v>
      </c>
    </row>
    <row r="359" ht="14.25" customHeight="1">
      <c r="A359" s="13">
        <v>24104.0</v>
      </c>
      <c r="B359" s="13" t="s">
        <v>1968</v>
      </c>
      <c r="C359" s="13">
        <v>2019.0</v>
      </c>
      <c r="D359" s="13" t="s">
        <v>3153</v>
      </c>
      <c r="E359" s="13" t="s">
        <v>3179</v>
      </c>
      <c r="F359" s="13" t="s">
        <v>3192</v>
      </c>
      <c r="G359" s="13" t="s">
        <v>33</v>
      </c>
      <c r="H359" s="13" t="s">
        <v>33</v>
      </c>
      <c r="I359" s="13" t="s">
        <v>3157</v>
      </c>
      <c r="J359" s="13" t="s">
        <v>3630</v>
      </c>
      <c r="K359" s="13" t="s">
        <v>3186</v>
      </c>
      <c r="L359" s="13" t="s">
        <v>3177</v>
      </c>
      <c r="M359" s="13" t="s">
        <v>3196</v>
      </c>
      <c r="N359" s="13">
        <v>1.0</v>
      </c>
      <c r="O359" s="13" t="s">
        <v>3162</v>
      </c>
      <c r="P359" s="13" t="s">
        <v>33</v>
      </c>
      <c r="Q359" s="13" t="s">
        <v>3186</v>
      </c>
      <c r="R359" s="13" t="s">
        <v>3163</v>
      </c>
      <c r="S359" s="13" t="s">
        <v>33</v>
      </c>
      <c r="T359" s="13" t="s">
        <v>3164</v>
      </c>
      <c r="U359" s="13" t="s">
        <v>3164</v>
      </c>
      <c r="V359" s="13" t="s">
        <v>3166</v>
      </c>
      <c r="W359" s="13" t="s">
        <v>3167</v>
      </c>
      <c r="X359" s="13" t="s">
        <v>3178</v>
      </c>
    </row>
    <row r="360" ht="14.25" customHeight="1">
      <c r="A360" s="13">
        <v>24107.0</v>
      </c>
      <c r="B360" s="13" t="s">
        <v>1590</v>
      </c>
      <c r="C360" s="13">
        <v>2018.0</v>
      </c>
      <c r="D360" s="13" t="s">
        <v>3153</v>
      </c>
      <c r="E360" s="13" t="s">
        <v>3179</v>
      </c>
      <c r="F360" s="13" t="s">
        <v>3170</v>
      </c>
      <c r="G360" s="13" t="s">
        <v>3156</v>
      </c>
      <c r="H360" s="13" t="s">
        <v>33</v>
      </c>
      <c r="I360" s="13" t="s">
        <v>3222</v>
      </c>
      <c r="J360" s="13" t="s">
        <v>3182</v>
      </c>
      <c r="K360" s="13" t="s">
        <v>3159</v>
      </c>
      <c r="L360" s="13" t="s">
        <v>3160</v>
      </c>
      <c r="M360" s="13" t="s">
        <v>3494</v>
      </c>
      <c r="N360" s="13">
        <v>1.0</v>
      </c>
      <c r="O360" s="13" t="s">
        <v>3162</v>
      </c>
      <c r="P360" s="13" t="s">
        <v>33</v>
      </c>
      <c r="Q360" s="13" t="s">
        <v>3159</v>
      </c>
      <c r="R360" s="13" t="s">
        <v>3163</v>
      </c>
      <c r="S360" s="13" t="s">
        <v>33</v>
      </c>
      <c r="T360" s="13" t="s">
        <v>3228</v>
      </c>
      <c r="U360" s="13" t="s">
        <v>3228</v>
      </c>
      <c r="V360" s="13" t="s">
        <v>3166</v>
      </c>
      <c r="W360" s="13" t="s">
        <v>3167</v>
      </c>
      <c r="X360" s="13" t="s">
        <v>3168</v>
      </c>
    </row>
    <row r="361" ht="14.25" customHeight="1">
      <c r="A361" s="13">
        <v>24108.0</v>
      </c>
      <c r="B361" s="13" t="s">
        <v>1356</v>
      </c>
      <c r="C361" s="13">
        <v>2020.0</v>
      </c>
      <c r="D361" s="13" t="s">
        <v>3153</v>
      </c>
      <c r="E361" s="13" t="s">
        <v>3169</v>
      </c>
      <c r="F361" s="13" t="s">
        <v>3217</v>
      </c>
      <c r="G361" s="13" t="s">
        <v>3180</v>
      </c>
      <c r="H361" s="13">
        <v>1.0</v>
      </c>
      <c r="I361" s="13" t="s">
        <v>3167</v>
      </c>
      <c r="J361" s="13" t="s">
        <v>3167</v>
      </c>
      <c r="K361" s="13" t="s">
        <v>3218</v>
      </c>
      <c r="L361" s="13" t="s">
        <v>3177</v>
      </c>
      <c r="M361" s="13" t="s">
        <v>3235</v>
      </c>
      <c r="N361" s="13">
        <v>7.0</v>
      </c>
      <c r="O361" s="13" t="s">
        <v>3175</v>
      </c>
      <c r="P361" s="13" t="s">
        <v>3236</v>
      </c>
      <c r="Q361" s="13" t="s">
        <v>3183</v>
      </c>
      <c r="R361" s="13" t="s">
        <v>3177</v>
      </c>
      <c r="S361" s="13" t="s">
        <v>3747</v>
      </c>
      <c r="T361" s="13" t="s">
        <v>3232</v>
      </c>
      <c r="U361" s="13" t="s">
        <v>3232</v>
      </c>
      <c r="V361" s="13" t="s">
        <v>3166</v>
      </c>
      <c r="W361" s="13" t="s">
        <v>3167</v>
      </c>
      <c r="X361" s="13" t="s">
        <v>3216</v>
      </c>
    </row>
    <row r="362" ht="14.25" customHeight="1">
      <c r="A362" s="13">
        <v>24110.0</v>
      </c>
      <c r="B362" s="13" t="s">
        <v>226</v>
      </c>
      <c r="C362" s="13">
        <v>2012.0</v>
      </c>
      <c r="D362" s="13" t="s">
        <v>3153</v>
      </c>
      <c r="E362" s="13" t="s">
        <v>3169</v>
      </c>
      <c r="F362" s="13" t="s">
        <v>3170</v>
      </c>
      <c r="G362" s="13" t="s">
        <v>3202</v>
      </c>
      <c r="H362" s="13">
        <v>15.0</v>
      </c>
      <c r="I362" s="13" t="s">
        <v>3222</v>
      </c>
      <c r="J362" s="13" t="s">
        <v>3229</v>
      </c>
      <c r="K362" s="13" t="s">
        <v>3381</v>
      </c>
      <c r="L362" s="13" t="s">
        <v>3160</v>
      </c>
      <c r="M362" s="13" t="s">
        <v>3230</v>
      </c>
      <c r="N362" s="13">
        <v>1.0</v>
      </c>
      <c r="O362" s="13" t="s">
        <v>3162</v>
      </c>
      <c r="P362" s="13" t="s">
        <v>3748</v>
      </c>
      <c r="Q362" s="13" t="s">
        <v>3183</v>
      </c>
      <c r="R362" s="13" t="s">
        <v>3231</v>
      </c>
      <c r="S362" s="13" t="s">
        <v>33</v>
      </c>
      <c r="T362" s="13" t="s">
        <v>3232</v>
      </c>
      <c r="U362" s="13" t="s">
        <v>3232</v>
      </c>
      <c r="V362" s="13" t="s">
        <v>3166</v>
      </c>
      <c r="W362" s="13" t="s">
        <v>3167</v>
      </c>
      <c r="X362" s="13" t="s">
        <v>3749</v>
      </c>
    </row>
    <row r="363" ht="14.25" customHeight="1">
      <c r="A363" s="13">
        <v>24112.0</v>
      </c>
      <c r="B363" s="13" t="s">
        <v>1751</v>
      </c>
      <c r="C363" s="13">
        <v>2005.0</v>
      </c>
      <c r="D363" s="13" t="s">
        <v>3153</v>
      </c>
      <c r="E363" s="13" t="s">
        <v>3169</v>
      </c>
      <c r="F363" s="13" t="s">
        <v>3192</v>
      </c>
      <c r="G363" s="13" t="s">
        <v>3187</v>
      </c>
      <c r="H363" s="13">
        <v>1.0</v>
      </c>
      <c r="I363" s="13" t="s">
        <v>3222</v>
      </c>
      <c r="J363" s="13" t="s">
        <v>3182</v>
      </c>
      <c r="K363" s="13" t="s">
        <v>3201</v>
      </c>
      <c r="L363" s="13" t="s">
        <v>3177</v>
      </c>
      <c r="M363" s="13" t="s">
        <v>3161</v>
      </c>
      <c r="N363" s="13">
        <v>1.0</v>
      </c>
      <c r="O363" s="13" t="s">
        <v>3162</v>
      </c>
      <c r="P363" s="13" t="s">
        <v>33</v>
      </c>
      <c r="Q363" s="13" t="s">
        <v>3159</v>
      </c>
      <c r="R363" s="13" t="s">
        <v>3163</v>
      </c>
      <c r="S363" s="13" t="s">
        <v>33</v>
      </c>
      <c r="T363" s="13" t="s">
        <v>3197</v>
      </c>
      <c r="U363" s="13" t="s">
        <v>3197</v>
      </c>
      <c r="V363" s="13" t="s">
        <v>3242</v>
      </c>
      <c r="W363" s="13" t="s">
        <v>3377</v>
      </c>
      <c r="X363" s="13" t="s">
        <v>3167</v>
      </c>
    </row>
    <row r="364" ht="14.25" customHeight="1">
      <c r="A364" s="13">
        <v>24113.0</v>
      </c>
      <c r="B364" s="13" t="s">
        <v>1751</v>
      </c>
      <c r="C364" s="13">
        <v>2018.0</v>
      </c>
      <c r="D364" s="13" t="s">
        <v>3153</v>
      </c>
      <c r="E364" s="13" t="s">
        <v>3169</v>
      </c>
      <c r="F364" s="13" t="s">
        <v>3217</v>
      </c>
      <c r="G364" s="13" t="s">
        <v>3180</v>
      </c>
      <c r="H364" s="13">
        <v>0.5</v>
      </c>
      <c r="I364" s="13" t="s">
        <v>3167</v>
      </c>
      <c r="J364" s="13" t="s">
        <v>3167</v>
      </c>
      <c r="K364" s="13" t="s">
        <v>3338</v>
      </c>
      <c r="L364" s="13" t="s">
        <v>3177</v>
      </c>
      <c r="M364" s="13" t="s">
        <v>3719</v>
      </c>
      <c r="N364" s="13">
        <v>2.0</v>
      </c>
      <c r="O364" s="13" t="s">
        <v>3267</v>
      </c>
      <c r="P364" s="13" t="s">
        <v>3750</v>
      </c>
      <c r="Q364" s="13" t="s">
        <v>3173</v>
      </c>
      <c r="R364" s="13" t="s">
        <v>3163</v>
      </c>
      <c r="S364" s="13" t="s">
        <v>33</v>
      </c>
      <c r="T364" s="13" t="s">
        <v>3252</v>
      </c>
      <c r="U364" s="13" t="s">
        <v>3252</v>
      </c>
      <c r="V364" s="13" t="s">
        <v>3253</v>
      </c>
      <c r="W364" s="13" t="s">
        <v>3634</v>
      </c>
      <c r="X364" s="13" t="s">
        <v>3632</v>
      </c>
    </row>
    <row r="365" ht="14.25" customHeight="1">
      <c r="A365" s="13">
        <v>24114.0</v>
      </c>
      <c r="B365" s="13" t="s">
        <v>1552</v>
      </c>
      <c r="C365" s="13">
        <v>2020.0</v>
      </c>
      <c r="D365" s="13" t="s">
        <v>3153</v>
      </c>
      <c r="E365" s="13" t="s">
        <v>3169</v>
      </c>
      <c r="F365" s="13" t="s">
        <v>3170</v>
      </c>
      <c r="G365" s="13" t="s">
        <v>3187</v>
      </c>
      <c r="H365" s="13">
        <v>1.0</v>
      </c>
      <c r="I365" s="13" t="s">
        <v>3157</v>
      </c>
      <c r="J365" s="13" t="s">
        <v>3199</v>
      </c>
      <c r="K365" s="13" t="s">
        <v>3159</v>
      </c>
      <c r="L365" s="13" t="s">
        <v>3177</v>
      </c>
      <c r="M365" s="13" t="s">
        <v>3328</v>
      </c>
      <c r="N365" s="13">
        <v>1.0</v>
      </c>
      <c r="O365" s="13" t="s">
        <v>3162</v>
      </c>
      <c r="P365" s="13" t="s">
        <v>33</v>
      </c>
      <c r="Q365" s="13" t="s">
        <v>3159</v>
      </c>
      <c r="R365" s="13" t="s">
        <v>3163</v>
      </c>
      <c r="S365" s="13" t="s">
        <v>33</v>
      </c>
      <c r="T365" s="13" t="s">
        <v>3164</v>
      </c>
      <c r="U365" s="13" t="s">
        <v>3164</v>
      </c>
      <c r="V365" s="13" t="s">
        <v>3166</v>
      </c>
      <c r="W365" s="13" t="s">
        <v>3167</v>
      </c>
      <c r="X365" s="13" t="s">
        <v>3224</v>
      </c>
    </row>
    <row r="366" ht="14.25" customHeight="1">
      <c r="A366" s="13">
        <v>24120.0</v>
      </c>
      <c r="B366" s="13" t="s">
        <v>3127</v>
      </c>
      <c r="C366" s="13">
        <v>2013.0</v>
      </c>
      <c r="D366" s="13" t="s">
        <v>3153</v>
      </c>
      <c r="E366" s="13" t="s">
        <v>3169</v>
      </c>
      <c r="F366" s="13" t="s">
        <v>3170</v>
      </c>
      <c r="G366" s="13" t="s">
        <v>33</v>
      </c>
      <c r="H366" s="13" t="s">
        <v>33</v>
      </c>
      <c r="I366" s="13" t="s">
        <v>3222</v>
      </c>
      <c r="J366" s="13" t="s">
        <v>3182</v>
      </c>
      <c r="K366" s="13" t="s">
        <v>3201</v>
      </c>
      <c r="L366" s="13" t="s">
        <v>3177</v>
      </c>
      <c r="M366" s="13" t="s">
        <v>3328</v>
      </c>
      <c r="N366" s="13">
        <v>1.0</v>
      </c>
      <c r="O366" s="13" t="s">
        <v>3267</v>
      </c>
      <c r="P366" s="13" t="s">
        <v>33</v>
      </c>
      <c r="Q366" s="13" t="s">
        <v>3201</v>
      </c>
      <c r="R366" s="13" t="s">
        <v>3177</v>
      </c>
      <c r="S366" s="13" t="s">
        <v>33</v>
      </c>
      <c r="T366" s="13" t="s">
        <v>3232</v>
      </c>
      <c r="U366" s="13" t="s">
        <v>3232</v>
      </c>
      <c r="V366" s="13" t="s">
        <v>3166</v>
      </c>
      <c r="W366" s="13" t="s">
        <v>3167</v>
      </c>
      <c r="X366" s="13" t="s">
        <v>3224</v>
      </c>
    </row>
    <row r="367" ht="14.25" customHeight="1">
      <c r="A367" s="13">
        <v>24122.0</v>
      </c>
      <c r="B367" s="13" t="s">
        <v>2985</v>
      </c>
      <c r="C367" s="13">
        <v>2010.0</v>
      </c>
      <c r="D367" s="13" t="s">
        <v>3153</v>
      </c>
      <c r="E367" s="13" t="s">
        <v>3169</v>
      </c>
      <c r="F367" s="13" t="s">
        <v>3192</v>
      </c>
      <c r="G367" s="13" t="s">
        <v>3202</v>
      </c>
      <c r="H367" s="13">
        <v>90.0</v>
      </c>
      <c r="I367" s="13" t="s">
        <v>3222</v>
      </c>
      <c r="J367" s="13" t="s">
        <v>3182</v>
      </c>
      <c r="K367" s="13" t="s">
        <v>3183</v>
      </c>
      <c r="L367" s="13" t="s">
        <v>3177</v>
      </c>
      <c r="M367" s="13" t="s">
        <v>3751</v>
      </c>
      <c r="N367" s="13">
        <v>6.0</v>
      </c>
      <c r="O367" s="13" t="s">
        <v>3267</v>
      </c>
      <c r="P367" s="13" t="s">
        <v>3752</v>
      </c>
      <c r="Q367" s="13" t="s">
        <v>3183</v>
      </c>
      <c r="R367" s="13" t="s">
        <v>3177</v>
      </c>
      <c r="S367" s="13" t="s">
        <v>3753</v>
      </c>
      <c r="T367" s="13" t="s">
        <v>3232</v>
      </c>
      <c r="U367" s="13" t="s">
        <v>3232</v>
      </c>
      <c r="V367" s="13" t="s">
        <v>3166</v>
      </c>
      <c r="W367" s="13" t="s">
        <v>3167</v>
      </c>
      <c r="X367" s="13" t="s">
        <v>3224</v>
      </c>
    </row>
    <row r="368" ht="14.25" customHeight="1">
      <c r="A368" s="13">
        <v>24123.0</v>
      </c>
      <c r="B368" s="13" t="s">
        <v>1270</v>
      </c>
      <c r="C368" s="13">
        <v>2018.0</v>
      </c>
      <c r="D368" s="13" t="s">
        <v>3153</v>
      </c>
      <c r="E368" s="13" t="s">
        <v>3169</v>
      </c>
      <c r="F368" s="13" t="s">
        <v>3170</v>
      </c>
      <c r="G368" s="13" t="s">
        <v>33</v>
      </c>
      <c r="H368" s="13" t="s">
        <v>33</v>
      </c>
      <c r="I368" s="13" t="s">
        <v>3188</v>
      </c>
      <c r="J368" s="13" t="s">
        <v>3189</v>
      </c>
      <c r="K368" s="13" t="s">
        <v>3186</v>
      </c>
      <c r="L368" s="13" t="s">
        <v>3160</v>
      </c>
      <c r="M368" s="13" t="s">
        <v>3484</v>
      </c>
      <c r="N368" s="13">
        <v>1.0</v>
      </c>
      <c r="O368" s="13" t="s">
        <v>3267</v>
      </c>
      <c r="P368" s="13" t="s">
        <v>33</v>
      </c>
      <c r="Q368" s="13" t="s">
        <v>3210</v>
      </c>
      <c r="R368" s="13" t="s">
        <v>3163</v>
      </c>
      <c r="S368" s="13" t="s">
        <v>33</v>
      </c>
      <c r="T368" s="13" t="s">
        <v>3195</v>
      </c>
      <c r="U368" s="13" t="s">
        <v>3195</v>
      </c>
      <c r="V368" s="13" t="s">
        <v>3195</v>
      </c>
      <c r="W368" s="13" t="s">
        <v>3167</v>
      </c>
      <c r="X368" s="13" t="s">
        <v>3167</v>
      </c>
    </row>
    <row r="369" ht="14.25" customHeight="1">
      <c r="A369" s="13">
        <v>24125.0</v>
      </c>
      <c r="B369" s="13" t="s">
        <v>115</v>
      </c>
      <c r="C369" s="13">
        <v>2008.0</v>
      </c>
      <c r="D369" s="13" t="s">
        <v>3153</v>
      </c>
      <c r="E369" s="13" t="s">
        <v>3179</v>
      </c>
      <c r="F369" s="13" t="s">
        <v>3217</v>
      </c>
      <c r="G369" s="13" t="s">
        <v>33</v>
      </c>
      <c r="H369" s="13" t="s">
        <v>33</v>
      </c>
      <c r="I369" s="13" t="s">
        <v>3167</v>
      </c>
      <c r="J369" s="13" t="s">
        <v>3167</v>
      </c>
      <c r="K369" s="13" t="s">
        <v>3186</v>
      </c>
      <c r="L369" s="13" t="s">
        <v>3160</v>
      </c>
      <c r="M369" s="13" t="s">
        <v>3754</v>
      </c>
      <c r="N369" s="13">
        <v>4.0</v>
      </c>
      <c r="O369" s="13" t="s">
        <v>3175</v>
      </c>
      <c r="P369" s="13" t="s">
        <v>33</v>
      </c>
      <c r="Q369" s="13" t="s">
        <v>3333</v>
      </c>
      <c r="R369" s="13" t="s">
        <v>3163</v>
      </c>
      <c r="S369" s="13" t="s">
        <v>33</v>
      </c>
      <c r="T369" s="13" t="s">
        <v>3252</v>
      </c>
      <c r="U369" s="13" t="s">
        <v>3252</v>
      </c>
      <c r="V369" s="13" t="s">
        <v>3253</v>
      </c>
      <c r="W369" s="13" t="s">
        <v>3755</v>
      </c>
      <c r="X369" s="13" t="s">
        <v>3755</v>
      </c>
    </row>
    <row r="370" ht="14.25" customHeight="1">
      <c r="A370" s="13">
        <v>24126.0</v>
      </c>
      <c r="B370" s="13" t="s">
        <v>115</v>
      </c>
      <c r="C370" s="13">
        <v>2009.0</v>
      </c>
      <c r="D370" s="13" t="s">
        <v>3153</v>
      </c>
      <c r="E370" s="13" t="s">
        <v>3395</v>
      </c>
      <c r="F370" s="13" t="s">
        <v>3217</v>
      </c>
      <c r="G370" s="13" t="s">
        <v>3156</v>
      </c>
      <c r="H370" s="13" t="s">
        <v>33</v>
      </c>
      <c r="I370" s="13" t="s">
        <v>3167</v>
      </c>
      <c r="J370" s="13" t="s">
        <v>3167</v>
      </c>
      <c r="K370" s="13" t="s">
        <v>3186</v>
      </c>
      <c r="L370" s="13" t="s">
        <v>3160</v>
      </c>
      <c r="M370" s="13" t="s">
        <v>3756</v>
      </c>
      <c r="N370" s="13">
        <v>4.0</v>
      </c>
      <c r="O370" s="13" t="s">
        <v>3175</v>
      </c>
      <c r="P370" s="13" t="s">
        <v>33</v>
      </c>
      <c r="Q370" s="13" t="s">
        <v>3186</v>
      </c>
      <c r="R370" s="13" t="s">
        <v>3163</v>
      </c>
      <c r="S370" s="13" t="s">
        <v>33</v>
      </c>
      <c r="T370" s="13" t="s">
        <v>3252</v>
      </c>
      <c r="U370" s="13" t="s">
        <v>3252</v>
      </c>
      <c r="V370" s="13" t="s">
        <v>3253</v>
      </c>
      <c r="W370" s="13" t="s">
        <v>3755</v>
      </c>
      <c r="X370" s="13" t="s">
        <v>3755</v>
      </c>
    </row>
    <row r="371" ht="14.25" customHeight="1">
      <c r="A371" s="13">
        <v>24127.0</v>
      </c>
      <c r="B371" s="13" t="s">
        <v>115</v>
      </c>
      <c r="C371" s="13">
        <v>2009.0</v>
      </c>
      <c r="D371" s="13" t="s">
        <v>3153</v>
      </c>
      <c r="E371" s="13" t="s">
        <v>3179</v>
      </c>
      <c r="F371" s="13" t="s">
        <v>3192</v>
      </c>
      <c r="G371" s="13" t="s">
        <v>3187</v>
      </c>
      <c r="H371" s="13">
        <v>1.0</v>
      </c>
      <c r="I371" s="13" t="s">
        <v>3181</v>
      </c>
      <c r="J371" s="13" t="s">
        <v>3182</v>
      </c>
      <c r="K371" s="13" t="s">
        <v>3183</v>
      </c>
      <c r="L371" s="13" t="s">
        <v>3177</v>
      </c>
      <c r="M371" s="13" t="s">
        <v>3757</v>
      </c>
      <c r="N371" s="13">
        <v>16.0</v>
      </c>
      <c r="O371" s="13" t="s">
        <v>3175</v>
      </c>
      <c r="P371" s="13" t="s">
        <v>3689</v>
      </c>
      <c r="Q371" s="13" t="s">
        <v>3173</v>
      </c>
      <c r="R371" s="13" t="s">
        <v>3163</v>
      </c>
      <c r="S371" s="13" t="s">
        <v>33</v>
      </c>
      <c r="T371" s="13" t="s">
        <v>3252</v>
      </c>
      <c r="U371" s="13" t="s">
        <v>3252</v>
      </c>
      <c r="V371" s="13" t="s">
        <v>3253</v>
      </c>
      <c r="W371" s="13" t="s">
        <v>3755</v>
      </c>
      <c r="X371" s="13" t="s">
        <v>3755</v>
      </c>
    </row>
    <row r="372" ht="14.25" customHeight="1">
      <c r="A372" s="13">
        <v>24128.0</v>
      </c>
      <c r="B372" s="13" t="s">
        <v>115</v>
      </c>
      <c r="C372" s="13">
        <v>2015.0</v>
      </c>
      <c r="D372" s="13" t="s">
        <v>3153</v>
      </c>
      <c r="E372" s="13" t="s">
        <v>3179</v>
      </c>
      <c r="F372" s="13" t="s">
        <v>3217</v>
      </c>
      <c r="G372" s="13" t="s">
        <v>3187</v>
      </c>
      <c r="H372" s="13">
        <v>1.0</v>
      </c>
      <c r="I372" s="13" t="s">
        <v>3167</v>
      </c>
      <c r="J372" s="13" t="s">
        <v>3167</v>
      </c>
      <c r="K372" s="13" t="s">
        <v>3186</v>
      </c>
      <c r="L372" s="13" t="s">
        <v>3177</v>
      </c>
      <c r="M372" s="13" t="s">
        <v>3758</v>
      </c>
      <c r="N372" s="13">
        <v>9.0</v>
      </c>
      <c r="O372" s="13" t="s">
        <v>3162</v>
      </c>
      <c r="P372" s="13" t="s">
        <v>33</v>
      </c>
      <c r="Q372" s="13" t="s">
        <v>3186</v>
      </c>
      <c r="R372" s="13" t="s">
        <v>3163</v>
      </c>
      <c r="S372" s="13" t="s">
        <v>33</v>
      </c>
      <c r="T372" s="13" t="s">
        <v>3252</v>
      </c>
      <c r="U372" s="13" t="s">
        <v>3252</v>
      </c>
      <c r="V372" s="13" t="s">
        <v>3253</v>
      </c>
      <c r="W372" s="13" t="s">
        <v>3755</v>
      </c>
      <c r="X372" s="13" t="s">
        <v>3755</v>
      </c>
    </row>
    <row r="373" ht="14.25" customHeight="1">
      <c r="A373" s="13">
        <v>24129.0</v>
      </c>
      <c r="B373" s="13" t="s">
        <v>1487</v>
      </c>
      <c r="C373" s="13">
        <v>2016.0</v>
      </c>
      <c r="D373" s="13" t="s">
        <v>3153</v>
      </c>
      <c r="E373" s="13" t="s">
        <v>3179</v>
      </c>
      <c r="F373" s="13" t="s">
        <v>3170</v>
      </c>
      <c r="G373" s="13" t="s">
        <v>3156</v>
      </c>
      <c r="H373" s="13" t="s">
        <v>33</v>
      </c>
      <c r="I373" s="13" t="s">
        <v>3264</v>
      </c>
      <c r="J373" s="13" t="s">
        <v>3425</v>
      </c>
      <c r="K373" s="13" t="s">
        <v>3159</v>
      </c>
      <c r="L373" s="13" t="s">
        <v>3177</v>
      </c>
      <c r="M373" s="13" t="s">
        <v>3342</v>
      </c>
      <c r="N373" s="13">
        <v>1.0</v>
      </c>
      <c r="O373" s="13" t="s">
        <v>3162</v>
      </c>
      <c r="P373" s="13" t="s">
        <v>33</v>
      </c>
      <c r="Q373" s="13" t="s">
        <v>3159</v>
      </c>
      <c r="R373" s="13" t="s">
        <v>3177</v>
      </c>
      <c r="S373" s="13" t="s">
        <v>33</v>
      </c>
      <c r="T373" s="13" t="s">
        <v>3164</v>
      </c>
      <c r="U373" s="13" t="s">
        <v>3164</v>
      </c>
      <c r="V373" s="13" t="s">
        <v>3166</v>
      </c>
      <c r="W373" s="13" t="s">
        <v>3167</v>
      </c>
      <c r="X373" s="13" t="s">
        <v>3255</v>
      </c>
    </row>
    <row r="374" ht="14.25" customHeight="1">
      <c r="A374" s="13">
        <v>24133.0</v>
      </c>
      <c r="B374" s="13" t="s">
        <v>1554</v>
      </c>
      <c r="C374" s="13">
        <v>2019.0</v>
      </c>
      <c r="D374" s="13" t="s">
        <v>3153</v>
      </c>
      <c r="E374" s="13" t="s">
        <v>3169</v>
      </c>
      <c r="F374" s="13" t="s">
        <v>3170</v>
      </c>
      <c r="G374" s="13" t="s">
        <v>3156</v>
      </c>
      <c r="H374" s="13" t="s">
        <v>3167</v>
      </c>
      <c r="I374" s="13" t="s">
        <v>3171</v>
      </c>
      <c r="J374" s="13" t="s">
        <v>3374</v>
      </c>
      <c r="K374" s="13" t="s">
        <v>3159</v>
      </c>
      <c r="L374" s="13" t="s">
        <v>3160</v>
      </c>
      <c r="M374" s="13" t="s">
        <v>3200</v>
      </c>
      <c r="N374" s="13">
        <v>1.0</v>
      </c>
      <c r="O374" s="13" t="s">
        <v>3162</v>
      </c>
      <c r="P374" s="13" t="s">
        <v>3167</v>
      </c>
      <c r="Q374" s="13" t="s">
        <v>3287</v>
      </c>
      <c r="R374" s="13" t="s">
        <v>3231</v>
      </c>
      <c r="S374" s="13" t="s">
        <v>33</v>
      </c>
      <c r="T374" s="13" t="s">
        <v>3164</v>
      </c>
      <c r="U374" s="13" t="s">
        <v>3197</v>
      </c>
      <c r="V374" s="13" t="s">
        <v>3242</v>
      </c>
      <c r="W374" s="13" t="s">
        <v>3728</v>
      </c>
      <c r="X374" s="13" t="s">
        <v>3167</v>
      </c>
    </row>
    <row r="375" ht="14.25" customHeight="1">
      <c r="A375" s="13">
        <v>24138.0</v>
      </c>
      <c r="B375" s="13" t="s">
        <v>1645</v>
      </c>
      <c r="C375" s="13">
        <v>2019.0</v>
      </c>
      <c r="D375" s="13" t="s">
        <v>3153</v>
      </c>
      <c r="E375" s="13" t="s">
        <v>3465</v>
      </c>
      <c r="F375" s="13" t="s">
        <v>3192</v>
      </c>
      <c r="G375" s="13" t="s">
        <v>3187</v>
      </c>
      <c r="H375" s="13">
        <v>16.0</v>
      </c>
      <c r="I375" s="13" t="s">
        <v>3188</v>
      </c>
      <c r="J375" s="13" t="s">
        <v>3432</v>
      </c>
      <c r="K375" s="13" t="s">
        <v>3183</v>
      </c>
      <c r="L375" s="13" t="s">
        <v>3160</v>
      </c>
      <c r="M375" s="13" t="s">
        <v>3605</v>
      </c>
      <c r="N375" s="13">
        <v>2.0</v>
      </c>
      <c r="O375" s="13" t="s">
        <v>3267</v>
      </c>
      <c r="P375" s="13" t="s">
        <v>3759</v>
      </c>
      <c r="Q375" s="13" t="s">
        <v>3183</v>
      </c>
      <c r="R375" s="13" t="s">
        <v>3163</v>
      </c>
      <c r="S375" s="13" t="s">
        <v>3759</v>
      </c>
      <c r="T375" s="13" t="s">
        <v>3247</v>
      </c>
      <c r="U375" s="13" t="s">
        <v>3247</v>
      </c>
      <c r="V375" s="13" t="s">
        <v>3242</v>
      </c>
      <c r="W375" s="13" t="s">
        <v>3572</v>
      </c>
      <c r="X375" s="13" t="s">
        <v>3167</v>
      </c>
    </row>
    <row r="376" ht="14.25" customHeight="1">
      <c r="A376" s="13">
        <v>24139.0</v>
      </c>
      <c r="B376" s="13" t="s">
        <v>1645</v>
      </c>
      <c r="C376" s="13">
        <v>2019.0</v>
      </c>
      <c r="D376" s="13" t="s">
        <v>3153</v>
      </c>
      <c r="E376" s="13" t="s">
        <v>3169</v>
      </c>
      <c r="F376" s="13" t="s">
        <v>3192</v>
      </c>
      <c r="G376" s="13" t="s">
        <v>3187</v>
      </c>
      <c r="H376" s="13" t="s">
        <v>3187</v>
      </c>
      <c r="I376" s="13" t="s">
        <v>3188</v>
      </c>
      <c r="J376" s="13" t="s">
        <v>3432</v>
      </c>
      <c r="K376" s="13" t="s">
        <v>3173</v>
      </c>
      <c r="L376" s="13" t="s">
        <v>3160</v>
      </c>
      <c r="M376" s="13" t="s">
        <v>3760</v>
      </c>
      <c r="N376" s="13">
        <v>3.0</v>
      </c>
      <c r="O376" s="13" t="s">
        <v>3175</v>
      </c>
      <c r="P376" s="13" t="s">
        <v>3761</v>
      </c>
      <c r="Q376" s="13" t="s">
        <v>3270</v>
      </c>
      <c r="R376" s="13" t="s">
        <v>3260</v>
      </c>
      <c r="S376" s="13" t="s">
        <v>3762</v>
      </c>
      <c r="T376" s="13" t="s">
        <v>3247</v>
      </c>
      <c r="U376" s="13" t="s">
        <v>3247</v>
      </c>
      <c r="V376" s="13" t="s">
        <v>3242</v>
      </c>
      <c r="W376" s="13" t="s">
        <v>3634</v>
      </c>
      <c r="X376" s="13" t="s">
        <v>3167</v>
      </c>
    </row>
    <row r="377" ht="14.25" customHeight="1">
      <c r="A377" s="13">
        <v>24140.0</v>
      </c>
      <c r="B377" s="13" t="s">
        <v>1124</v>
      </c>
      <c r="C377" s="13">
        <v>2020.0</v>
      </c>
      <c r="D377" s="13" t="s">
        <v>3153</v>
      </c>
      <c r="E377" s="13" t="s">
        <v>3179</v>
      </c>
      <c r="F377" s="13" t="s">
        <v>3192</v>
      </c>
      <c r="G377" s="13" t="s">
        <v>33</v>
      </c>
      <c r="H377" s="13" t="s">
        <v>33</v>
      </c>
      <c r="I377" s="13" t="s">
        <v>3763</v>
      </c>
      <c r="J377" s="13" t="s">
        <v>3764</v>
      </c>
      <c r="K377" s="13" t="s">
        <v>3183</v>
      </c>
      <c r="L377" s="13" t="s">
        <v>3160</v>
      </c>
      <c r="M377" s="13" t="s">
        <v>3342</v>
      </c>
      <c r="N377" s="13">
        <v>1.0</v>
      </c>
      <c r="O377" s="13" t="s">
        <v>3162</v>
      </c>
      <c r="P377" s="13" t="s">
        <v>33</v>
      </c>
      <c r="Q377" s="13" t="s">
        <v>3183</v>
      </c>
      <c r="R377" s="13" t="s">
        <v>3163</v>
      </c>
      <c r="S377" s="13" t="s">
        <v>3689</v>
      </c>
      <c r="T377" s="13" t="s">
        <v>3164</v>
      </c>
      <c r="U377" s="13" t="s">
        <v>3197</v>
      </c>
      <c r="V377" s="13" t="s">
        <v>3166</v>
      </c>
      <c r="W377" s="13" t="s">
        <v>3167</v>
      </c>
      <c r="X377" s="13" t="s">
        <v>3518</v>
      </c>
    </row>
    <row r="378" ht="14.25" customHeight="1">
      <c r="A378" s="13">
        <v>24145.0</v>
      </c>
      <c r="B378" s="13" t="s">
        <v>2300</v>
      </c>
      <c r="C378" s="13">
        <v>2018.0</v>
      </c>
      <c r="D378" s="13" t="s">
        <v>3153</v>
      </c>
      <c r="E378" s="13" t="s">
        <v>3169</v>
      </c>
      <c r="F378" s="13" t="s">
        <v>3192</v>
      </c>
      <c r="G378" s="13" t="s">
        <v>3187</v>
      </c>
      <c r="H378" s="13">
        <v>1.0</v>
      </c>
      <c r="I378" s="13" t="s">
        <v>3188</v>
      </c>
      <c r="J378" s="13" t="s">
        <v>3432</v>
      </c>
      <c r="K378" s="13" t="s">
        <v>3208</v>
      </c>
      <c r="L378" s="13" t="s">
        <v>3177</v>
      </c>
      <c r="M378" s="13" t="s">
        <v>3200</v>
      </c>
      <c r="N378" s="13">
        <v>1.0</v>
      </c>
      <c r="O378" s="13" t="s">
        <v>3162</v>
      </c>
      <c r="P378" s="13" t="s">
        <v>33</v>
      </c>
      <c r="Q378" s="13" t="s">
        <v>3208</v>
      </c>
      <c r="R378" s="13" t="s">
        <v>3163</v>
      </c>
      <c r="S378" s="13" t="s">
        <v>33</v>
      </c>
      <c r="T378" s="13" t="s">
        <v>3247</v>
      </c>
      <c r="U378" s="13" t="s">
        <v>3247</v>
      </c>
      <c r="V378" s="13" t="s">
        <v>3242</v>
      </c>
      <c r="W378" s="13" t="s">
        <v>3496</v>
      </c>
      <c r="X378" s="13" t="s">
        <v>3167</v>
      </c>
    </row>
    <row r="379" ht="14.25" customHeight="1">
      <c r="A379" s="13">
        <v>24149.0</v>
      </c>
      <c r="B379" s="13" t="s">
        <v>1771</v>
      </c>
      <c r="C379" s="13">
        <v>2014.0</v>
      </c>
      <c r="D379" s="13" t="s">
        <v>3153</v>
      </c>
      <c r="E379" s="13" t="s">
        <v>3169</v>
      </c>
      <c r="F379" s="13" t="s">
        <v>3192</v>
      </c>
      <c r="G379" s="13" t="s">
        <v>3202</v>
      </c>
      <c r="H379" s="13">
        <v>500.0</v>
      </c>
      <c r="I379" s="13" t="s">
        <v>3188</v>
      </c>
      <c r="J379" s="13" t="s">
        <v>3207</v>
      </c>
      <c r="K379" s="13" t="s">
        <v>3265</v>
      </c>
      <c r="L379" s="13" t="s">
        <v>3160</v>
      </c>
      <c r="M379" s="13" t="s">
        <v>3765</v>
      </c>
      <c r="N379" s="13">
        <v>4.0</v>
      </c>
      <c r="O379" s="13" t="s">
        <v>3162</v>
      </c>
      <c r="P379" s="13" t="s">
        <v>33</v>
      </c>
      <c r="Q379" s="13" t="s">
        <v>3208</v>
      </c>
      <c r="R379" s="13" t="s">
        <v>3163</v>
      </c>
      <c r="S379" s="13" t="s">
        <v>33</v>
      </c>
      <c r="T379" s="13" t="s">
        <v>3247</v>
      </c>
      <c r="U379" s="13" t="s">
        <v>3247</v>
      </c>
      <c r="V379" s="13" t="s">
        <v>3242</v>
      </c>
      <c r="W379" s="13" t="s">
        <v>3496</v>
      </c>
      <c r="X379" s="13" t="s">
        <v>3167</v>
      </c>
    </row>
    <row r="380" ht="14.25" customHeight="1">
      <c r="A380" s="13">
        <v>24150.0</v>
      </c>
      <c r="B380" s="13" t="s">
        <v>1604</v>
      </c>
      <c r="C380" s="13">
        <v>2017.0</v>
      </c>
      <c r="D380" s="13" t="s">
        <v>3153</v>
      </c>
      <c r="E380" s="13" t="s">
        <v>3169</v>
      </c>
      <c r="F380" s="13" t="s">
        <v>3170</v>
      </c>
      <c r="G380" s="13" t="s">
        <v>3202</v>
      </c>
      <c r="H380" s="13">
        <v>15.0</v>
      </c>
      <c r="I380" s="13" t="s">
        <v>3766</v>
      </c>
      <c r="J380" s="13" t="s">
        <v>3767</v>
      </c>
      <c r="K380" s="13" t="s">
        <v>3265</v>
      </c>
      <c r="L380" s="13" t="s">
        <v>3177</v>
      </c>
      <c r="M380" s="13" t="s">
        <v>3768</v>
      </c>
      <c r="N380" s="13">
        <v>6.0</v>
      </c>
      <c r="O380" s="13" t="s">
        <v>3175</v>
      </c>
      <c r="P380" s="13" t="s">
        <v>33</v>
      </c>
      <c r="Q380" s="13" t="s">
        <v>3183</v>
      </c>
      <c r="R380" s="13" t="s">
        <v>3177</v>
      </c>
      <c r="S380" s="13" t="s">
        <v>33</v>
      </c>
      <c r="T380" s="13" t="s">
        <v>3252</v>
      </c>
      <c r="U380" s="13" t="s">
        <v>3252</v>
      </c>
      <c r="V380" s="13" t="s">
        <v>3253</v>
      </c>
      <c r="W380" s="13" t="s">
        <v>3634</v>
      </c>
      <c r="X380" s="13" t="s">
        <v>3632</v>
      </c>
    </row>
    <row r="381" ht="14.25" customHeight="1">
      <c r="A381" s="13">
        <v>24153.0</v>
      </c>
      <c r="B381" s="13" t="s">
        <v>1824</v>
      </c>
      <c r="C381" s="13">
        <v>2014.0</v>
      </c>
      <c r="D381" s="13" t="s">
        <v>3153</v>
      </c>
      <c r="E381" s="13" t="s">
        <v>3169</v>
      </c>
      <c r="F381" s="13" t="s">
        <v>3170</v>
      </c>
      <c r="G381" s="13" t="s">
        <v>3588</v>
      </c>
      <c r="H381" s="13">
        <v>30.0</v>
      </c>
      <c r="I381" s="13" t="s">
        <v>3188</v>
      </c>
      <c r="J381" s="13" t="s">
        <v>3189</v>
      </c>
      <c r="K381" s="13" t="s">
        <v>3183</v>
      </c>
      <c r="L381" s="13" t="s">
        <v>3160</v>
      </c>
      <c r="M381" s="13" t="s">
        <v>3484</v>
      </c>
      <c r="N381" s="13">
        <v>1.0</v>
      </c>
      <c r="O381" s="13" t="s">
        <v>3162</v>
      </c>
      <c r="P381" s="13" t="s">
        <v>3769</v>
      </c>
      <c r="Q381" s="13" t="s">
        <v>3183</v>
      </c>
      <c r="R381" s="13" t="s">
        <v>3163</v>
      </c>
      <c r="S381" s="13" t="s">
        <v>3769</v>
      </c>
      <c r="T381" s="13" t="s">
        <v>3247</v>
      </c>
      <c r="U381" s="13" t="s">
        <v>3247</v>
      </c>
      <c r="V381" s="13" t="s">
        <v>3242</v>
      </c>
      <c r="W381" s="13" t="s">
        <v>3248</v>
      </c>
      <c r="X381" s="13" t="s">
        <v>3167</v>
      </c>
    </row>
    <row r="382" ht="14.25" customHeight="1">
      <c r="A382" s="13">
        <v>24154.0</v>
      </c>
      <c r="B382" s="13" t="s">
        <v>1824</v>
      </c>
      <c r="C382" s="13">
        <v>2017.0</v>
      </c>
      <c r="D382" s="13" t="s">
        <v>3153</v>
      </c>
      <c r="E382" s="13" t="s">
        <v>3179</v>
      </c>
      <c r="F382" s="13" t="s">
        <v>3211</v>
      </c>
      <c r="G382" s="13" t="s">
        <v>3180</v>
      </c>
      <c r="H382" s="13">
        <v>5.0</v>
      </c>
      <c r="I382" s="13" t="s">
        <v>3392</v>
      </c>
      <c r="J382" s="13" t="s">
        <v>3770</v>
      </c>
      <c r="K382" s="13" t="s">
        <v>3183</v>
      </c>
      <c r="L382" s="13" t="s">
        <v>3177</v>
      </c>
      <c r="M382" s="13" t="s">
        <v>3771</v>
      </c>
      <c r="N382" s="13">
        <v>2.0</v>
      </c>
      <c r="O382" s="13" t="s">
        <v>3162</v>
      </c>
      <c r="P382" s="13" t="s">
        <v>3772</v>
      </c>
      <c r="Q382" s="13" t="s">
        <v>3287</v>
      </c>
      <c r="R382" s="13" t="s">
        <v>3177</v>
      </c>
      <c r="S382" s="13" t="s">
        <v>33</v>
      </c>
      <c r="T382" s="13" t="s">
        <v>3164</v>
      </c>
      <c r="U382" s="13" t="s">
        <v>3228</v>
      </c>
      <c r="V382" s="13" t="s">
        <v>3166</v>
      </c>
      <c r="W382" s="13" t="s">
        <v>3167</v>
      </c>
      <c r="X382" s="13" t="s">
        <v>3216</v>
      </c>
    </row>
    <row r="383" ht="14.25" customHeight="1">
      <c r="A383" s="13">
        <v>24155.0</v>
      </c>
      <c r="B383" s="13" t="s">
        <v>1479</v>
      </c>
      <c r="C383" s="13">
        <v>2011.0</v>
      </c>
      <c r="D383" s="13" t="s">
        <v>3153</v>
      </c>
      <c r="E383" s="13" t="s">
        <v>3169</v>
      </c>
      <c r="F383" s="13" t="s">
        <v>3192</v>
      </c>
      <c r="G383" s="13" t="s">
        <v>3156</v>
      </c>
      <c r="H383" s="13" t="s">
        <v>33</v>
      </c>
      <c r="I383" s="13" t="s">
        <v>3188</v>
      </c>
      <c r="J383" s="13" t="s">
        <v>3189</v>
      </c>
      <c r="K383" s="13" t="s">
        <v>3190</v>
      </c>
      <c r="L383" s="13" t="s">
        <v>3177</v>
      </c>
      <c r="M383" s="13" t="s">
        <v>3391</v>
      </c>
      <c r="N383" s="13">
        <v>1.0</v>
      </c>
      <c r="O383" s="13" t="s">
        <v>3162</v>
      </c>
      <c r="P383" s="13" t="s">
        <v>33</v>
      </c>
      <c r="Q383" s="13" t="s">
        <v>3190</v>
      </c>
      <c r="R383" s="13" t="s">
        <v>3177</v>
      </c>
      <c r="S383" s="13" t="s">
        <v>33</v>
      </c>
      <c r="T383" s="13" t="s">
        <v>3228</v>
      </c>
      <c r="U383" s="13" t="s">
        <v>3228</v>
      </c>
      <c r="V383" s="13" t="s">
        <v>3166</v>
      </c>
      <c r="W383" s="13" t="s">
        <v>3167</v>
      </c>
      <c r="X383" s="13" t="s">
        <v>3178</v>
      </c>
    </row>
    <row r="384" ht="14.25" customHeight="1">
      <c r="A384" s="13">
        <v>24156.0</v>
      </c>
      <c r="B384" s="13" t="s">
        <v>705</v>
      </c>
      <c r="C384" s="13">
        <v>2016.0</v>
      </c>
      <c r="D384" s="13" t="s">
        <v>3153</v>
      </c>
      <c r="E384" s="13" t="s">
        <v>3169</v>
      </c>
      <c r="F384" s="13" t="s">
        <v>3192</v>
      </c>
      <c r="G384" s="13" t="s">
        <v>3156</v>
      </c>
      <c r="H384" s="13" t="s">
        <v>33</v>
      </c>
      <c r="I384" s="13" t="s">
        <v>3222</v>
      </c>
      <c r="J384" s="13" t="s">
        <v>3226</v>
      </c>
      <c r="K384" s="13" t="s">
        <v>3183</v>
      </c>
      <c r="L384" s="13" t="s">
        <v>3160</v>
      </c>
      <c r="M384" s="13" t="s">
        <v>3578</v>
      </c>
      <c r="N384" s="13">
        <v>2.0</v>
      </c>
      <c r="O384" s="13" t="s">
        <v>3267</v>
      </c>
      <c r="P384" s="13" t="s">
        <v>3689</v>
      </c>
      <c r="Q384" s="13" t="s">
        <v>3183</v>
      </c>
      <c r="R384" s="13" t="s">
        <v>3163</v>
      </c>
      <c r="S384" s="13" t="s">
        <v>33</v>
      </c>
      <c r="T384" s="13" t="s">
        <v>3247</v>
      </c>
      <c r="U384" s="13" t="s">
        <v>3247</v>
      </c>
      <c r="V384" s="13" t="s">
        <v>3242</v>
      </c>
      <c r="W384" s="13" t="s">
        <v>3634</v>
      </c>
      <c r="X384" s="13" t="s">
        <v>3167</v>
      </c>
    </row>
    <row r="385" ht="14.25" customHeight="1">
      <c r="A385" s="13">
        <v>24158.0</v>
      </c>
      <c r="B385" s="13" t="s">
        <v>1923</v>
      </c>
      <c r="C385" s="13">
        <v>2014.0</v>
      </c>
      <c r="D385" s="13" t="s">
        <v>3153</v>
      </c>
      <c r="E385" s="13" t="s">
        <v>3179</v>
      </c>
      <c r="F385" s="13" t="s">
        <v>3192</v>
      </c>
      <c r="G385" s="13" t="s">
        <v>3187</v>
      </c>
      <c r="H385" s="13">
        <v>100.0</v>
      </c>
      <c r="I385" s="13" t="s">
        <v>3261</v>
      </c>
      <c r="J385" s="13" t="s">
        <v>3182</v>
      </c>
      <c r="K385" s="13" t="s">
        <v>3183</v>
      </c>
      <c r="L385" s="13" t="s">
        <v>3177</v>
      </c>
      <c r="M385" s="13" t="s">
        <v>3773</v>
      </c>
      <c r="N385" s="13">
        <v>2.0</v>
      </c>
      <c r="O385" s="13" t="s">
        <v>3162</v>
      </c>
      <c r="P385" s="13" t="s">
        <v>3774</v>
      </c>
      <c r="Q385" s="13" t="s">
        <v>3287</v>
      </c>
      <c r="R385" s="13" t="s">
        <v>3177</v>
      </c>
      <c r="S385" s="13" t="s">
        <v>33</v>
      </c>
      <c r="T385" s="13" t="s">
        <v>3164</v>
      </c>
      <c r="U385" s="13" t="s">
        <v>3228</v>
      </c>
      <c r="V385" s="13" t="s">
        <v>3166</v>
      </c>
      <c r="W385" s="13" t="s">
        <v>3167</v>
      </c>
      <c r="X385" s="13" t="s">
        <v>3216</v>
      </c>
    </row>
    <row r="386" ht="14.25" customHeight="1">
      <c r="A386" s="13">
        <v>24159.0</v>
      </c>
      <c r="B386" s="13" t="s">
        <v>1923</v>
      </c>
      <c r="C386" s="13">
        <v>2018.0</v>
      </c>
      <c r="D386" s="13" t="s">
        <v>3153</v>
      </c>
      <c r="E386" s="13" t="s">
        <v>3179</v>
      </c>
      <c r="F386" s="13" t="s">
        <v>3192</v>
      </c>
      <c r="G386" s="13" t="s">
        <v>3187</v>
      </c>
      <c r="H386" s="13">
        <v>100.0</v>
      </c>
      <c r="I386" s="13" t="s">
        <v>3261</v>
      </c>
      <c r="J386" s="13" t="s">
        <v>3775</v>
      </c>
      <c r="K386" s="13" t="s">
        <v>3183</v>
      </c>
      <c r="L386" s="13" t="s">
        <v>3177</v>
      </c>
      <c r="M386" s="13" t="s">
        <v>3776</v>
      </c>
      <c r="N386" s="13">
        <v>5.0</v>
      </c>
      <c r="O386" s="13" t="s">
        <v>3175</v>
      </c>
      <c r="P386" s="13" t="s">
        <v>3689</v>
      </c>
      <c r="Q386" s="13" t="s">
        <v>3287</v>
      </c>
      <c r="R386" s="13" t="s">
        <v>3177</v>
      </c>
      <c r="S386" s="13" t="s">
        <v>33</v>
      </c>
      <c r="T386" s="13" t="s">
        <v>3164</v>
      </c>
      <c r="U386" s="13" t="s">
        <v>3228</v>
      </c>
      <c r="V386" s="13" t="s">
        <v>3166</v>
      </c>
      <c r="W386" s="13" t="s">
        <v>3167</v>
      </c>
      <c r="X386" s="13" t="s">
        <v>3216</v>
      </c>
    </row>
    <row r="387" ht="14.25" customHeight="1">
      <c r="A387" s="13">
        <v>24160.0</v>
      </c>
      <c r="B387" s="13" t="s">
        <v>2440</v>
      </c>
      <c r="C387" s="13">
        <v>2018.0</v>
      </c>
      <c r="D387" s="13" t="s">
        <v>3153</v>
      </c>
      <c r="E387" s="13" t="s">
        <v>3169</v>
      </c>
      <c r="F387" s="13" t="s">
        <v>3170</v>
      </c>
      <c r="G387" s="13" t="s">
        <v>3202</v>
      </c>
      <c r="H387" s="13">
        <v>10.0</v>
      </c>
      <c r="I387" s="13" t="s">
        <v>3188</v>
      </c>
      <c r="J387" s="13" t="s">
        <v>3777</v>
      </c>
      <c r="K387" s="13" t="s">
        <v>3208</v>
      </c>
      <c r="L387" s="13" t="s">
        <v>3160</v>
      </c>
      <c r="M387" s="13" t="s">
        <v>3246</v>
      </c>
      <c r="N387" s="13">
        <v>1.0</v>
      </c>
      <c r="O387" s="13" t="s">
        <v>3162</v>
      </c>
      <c r="P387" s="13" t="s">
        <v>33</v>
      </c>
      <c r="Q387" s="13" t="s">
        <v>3208</v>
      </c>
      <c r="R387" s="13" t="s">
        <v>3163</v>
      </c>
      <c r="S387" s="13" t="s">
        <v>33</v>
      </c>
      <c r="T387" s="13" t="s">
        <v>3247</v>
      </c>
      <c r="U387" s="13" t="s">
        <v>3247</v>
      </c>
      <c r="V387" s="13" t="s">
        <v>3242</v>
      </c>
      <c r="W387" s="13" t="s">
        <v>3248</v>
      </c>
      <c r="X387" s="13" t="s">
        <v>3167</v>
      </c>
    </row>
    <row r="388" ht="14.25" customHeight="1">
      <c r="A388" s="13">
        <v>24162.0</v>
      </c>
      <c r="B388" s="13" t="s">
        <v>3056</v>
      </c>
      <c r="C388" s="13">
        <v>2018.0</v>
      </c>
      <c r="D388" s="13" t="s">
        <v>3153</v>
      </c>
      <c r="E388" s="13" t="s">
        <v>3179</v>
      </c>
      <c r="F388" s="13" t="s">
        <v>3211</v>
      </c>
      <c r="G388" s="13" t="s">
        <v>33</v>
      </c>
      <c r="H388" s="13" t="s">
        <v>33</v>
      </c>
      <c r="I388" s="13" t="s">
        <v>3527</v>
      </c>
      <c r="J388" s="13" t="s">
        <v>3778</v>
      </c>
      <c r="K388" s="13" t="s">
        <v>3333</v>
      </c>
      <c r="L388" s="13" t="s">
        <v>3160</v>
      </c>
      <c r="M388" s="13" t="s">
        <v>3184</v>
      </c>
      <c r="N388" s="13">
        <v>1.0</v>
      </c>
      <c r="O388" s="13" t="s">
        <v>3162</v>
      </c>
      <c r="P388" s="13" t="s">
        <v>33</v>
      </c>
      <c r="Q388" s="13" t="s">
        <v>3173</v>
      </c>
      <c r="R388" s="13" t="s">
        <v>3163</v>
      </c>
      <c r="S388" s="13" t="s">
        <v>33</v>
      </c>
      <c r="T388" s="13" t="s">
        <v>3164</v>
      </c>
      <c r="U388" s="13" t="s">
        <v>3232</v>
      </c>
      <c r="V388" s="13" t="s">
        <v>3166</v>
      </c>
      <c r="W388" s="13" t="s">
        <v>3167</v>
      </c>
      <c r="X388" s="13" t="s">
        <v>3178</v>
      </c>
    </row>
    <row r="389" ht="14.25" customHeight="1">
      <c r="A389" s="13">
        <v>24163.0</v>
      </c>
      <c r="B389" s="13" t="s">
        <v>410</v>
      </c>
      <c r="C389" s="13">
        <v>2019.0</v>
      </c>
      <c r="D389" s="13" t="s">
        <v>3153</v>
      </c>
      <c r="E389" s="13" t="s">
        <v>3169</v>
      </c>
      <c r="F389" s="13" t="s">
        <v>3217</v>
      </c>
      <c r="G389" s="13" t="s">
        <v>3187</v>
      </c>
      <c r="H389" s="13">
        <v>1.0</v>
      </c>
      <c r="I389" s="13" t="s">
        <v>3167</v>
      </c>
      <c r="J389" s="13" t="s">
        <v>3167</v>
      </c>
      <c r="K389" s="13" t="s">
        <v>3195</v>
      </c>
      <c r="L389" s="13" t="s">
        <v>3177</v>
      </c>
      <c r="M389" s="13" t="s">
        <v>3494</v>
      </c>
      <c r="N389" s="13">
        <v>1.0</v>
      </c>
      <c r="O389" s="13" t="s">
        <v>3162</v>
      </c>
      <c r="P389" s="13" t="s">
        <v>3779</v>
      </c>
      <c r="Q389" s="13" t="s">
        <v>3335</v>
      </c>
      <c r="R389" s="13" t="s">
        <v>3163</v>
      </c>
      <c r="S389" s="13" t="s">
        <v>3780</v>
      </c>
      <c r="T389" s="13" t="s">
        <v>3195</v>
      </c>
      <c r="U389" s="13" t="s">
        <v>3195</v>
      </c>
      <c r="V389" s="13" t="s">
        <v>3195</v>
      </c>
      <c r="W389" s="13" t="s">
        <v>3167</v>
      </c>
      <c r="X389" s="13" t="s">
        <v>3167</v>
      </c>
    </row>
    <row r="390" ht="14.25" customHeight="1">
      <c r="A390" s="13">
        <v>24167.0</v>
      </c>
      <c r="B390" s="13" t="s">
        <v>2776</v>
      </c>
      <c r="C390" s="13">
        <v>2018.0</v>
      </c>
      <c r="D390" s="13" t="s">
        <v>3153</v>
      </c>
      <c r="E390" s="13" t="s">
        <v>3395</v>
      </c>
      <c r="F390" s="13" t="s">
        <v>3192</v>
      </c>
      <c r="G390" s="13" t="s">
        <v>3202</v>
      </c>
      <c r="H390" s="13">
        <v>5.0</v>
      </c>
      <c r="I390" s="13" t="s">
        <v>3244</v>
      </c>
      <c r="J390" s="13" t="s">
        <v>3289</v>
      </c>
      <c r="K390" s="13" t="s">
        <v>3282</v>
      </c>
      <c r="L390" s="13" t="s">
        <v>3160</v>
      </c>
      <c r="M390" s="13" t="s">
        <v>3349</v>
      </c>
      <c r="N390" s="13">
        <v>2.0</v>
      </c>
      <c r="O390" s="13" t="s">
        <v>3162</v>
      </c>
      <c r="P390" s="13" t="s">
        <v>3781</v>
      </c>
      <c r="Q390" s="13" t="s">
        <v>3208</v>
      </c>
      <c r="R390" s="13" t="s">
        <v>3163</v>
      </c>
      <c r="S390" s="13" t="s">
        <v>33</v>
      </c>
      <c r="T390" s="13" t="s">
        <v>3197</v>
      </c>
      <c r="U390" s="13" t="s">
        <v>3197</v>
      </c>
      <c r="V390" s="13" t="s">
        <v>3242</v>
      </c>
      <c r="W390" s="13" t="s">
        <v>3481</v>
      </c>
      <c r="X390" s="13" t="s">
        <v>3167</v>
      </c>
    </row>
    <row r="391" ht="14.25" customHeight="1">
      <c r="A391" s="13">
        <v>24169.0</v>
      </c>
      <c r="B391" s="13" t="s">
        <v>2483</v>
      </c>
      <c r="C391" s="13">
        <v>2015.0</v>
      </c>
      <c r="D391" s="13" t="s">
        <v>3153</v>
      </c>
      <c r="E391" s="13" t="s">
        <v>3169</v>
      </c>
      <c r="F391" s="13" t="s">
        <v>3211</v>
      </c>
      <c r="G391" s="13" t="s">
        <v>3187</v>
      </c>
      <c r="H391" s="13">
        <v>1.0</v>
      </c>
      <c r="I391" s="13" t="s">
        <v>3222</v>
      </c>
      <c r="J391" s="13" t="s">
        <v>3782</v>
      </c>
      <c r="K391" s="13" t="s">
        <v>3183</v>
      </c>
      <c r="L391" s="13" t="s">
        <v>3160</v>
      </c>
      <c r="M391" s="13" t="s">
        <v>3331</v>
      </c>
      <c r="N391" s="13">
        <v>1.0</v>
      </c>
      <c r="O391" s="13" t="s">
        <v>3162</v>
      </c>
      <c r="P391" s="13" t="s">
        <v>3167</v>
      </c>
      <c r="Q391" s="13" t="s">
        <v>3381</v>
      </c>
      <c r="R391" s="13" t="s">
        <v>3260</v>
      </c>
      <c r="S391" s="13" t="s">
        <v>3783</v>
      </c>
      <c r="T391" s="13" t="s">
        <v>3164</v>
      </c>
      <c r="U391" s="13" t="s">
        <v>3164</v>
      </c>
      <c r="V391" s="13" t="s">
        <v>3166</v>
      </c>
      <c r="W391" s="13" t="s">
        <v>3167</v>
      </c>
      <c r="X391" s="13" t="s">
        <v>3178</v>
      </c>
    </row>
    <row r="392" ht="14.25" customHeight="1">
      <c r="A392" s="13">
        <v>24170.0</v>
      </c>
      <c r="B392" s="13" t="s">
        <v>1951</v>
      </c>
      <c r="C392" s="13">
        <v>2016.0</v>
      </c>
      <c r="D392" s="13" t="s">
        <v>3153</v>
      </c>
      <c r="E392" s="13" t="s">
        <v>3179</v>
      </c>
      <c r="F392" s="13" t="s">
        <v>3170</v>
      </c>
      <c r="G392" s="13" t="s">
        <v>3156</v>
      </c>
      <c r="H392" s="13" t="s">
        <v>33</v>
      </c>
      <c r="I392" s="13" t="s">
        <v>3264</v>
      </c>
      <c r="J392" s="13" t="s">
        <v>3784</v>
      </c>
      <c r="K392" s="13" t="s">
        <v>3159</v>
      </c>
      <c r="L392" s="13" t="s">
        <v>3160</v>
      </c>
      <c r="M392" s="13" t="s">
        <v>3369</v>
      </c>
      <c r="N392" s="13">
        <v>1.0</v>
      </c>
      <c r="O392" s="13" t="s">
        <v>3162</v>
      </c>
      <c r="P392" s="13" t="s">
        <v>33</v>
      </c>
      <c r="Q392" s="13" t="s">
        <v>3159</v>
      </c>
      <c r="R392" s="13" t="s">
        <v>3163</v>
      </c>
      <c r="S392" s="13" t="s">
        <v>33</v>
      </c>
      <c r="T392" s="13" t="s">
        <v>3232</v>
      </c>
      <c r="U392" s="13" t="s">
        <v>3232</v>
      </c>
      <c r="V392" s="13" t="s">
        <v>3166</v>
      </c>
      <c r="W392" s="13" t="s">
        <v>3167</v>
      </c>
      <c r="X392" s="13" t="s">
        <v>3168</v>
      </c>
    </row>
    <row r="393" ht="14.25" customHeight="1">
      <c r="A393" s="13">
        <v>24174.0</v>
      </c>
      <c r="B393" s="13" t="s">
        <v>1259</v>
      </c>
      <c r="C393" s="13">
        <v>2018.0</v>
      </c>
      <c r="D393" s="13" t="s">
        <v>3153</v>
      </c>
      <c r="E393" s="13" t="s">
        <v>3154</v>
      </c>
      <c r="F393" s="13" t="s">
        <v>3217</v>
      </c>
      <c r="G393" s="13" t="s">
        <v>3187</v>
      </c>
      <c r="H393" s="13">
        <v>10.0</v>
      </c>
      <c r="I393" s="13" t="s">
        <v>3167</v>
      </c>
      <c r="J393" s="13" t="s">
        <v>3167</v>
      </c>
      <c r="K393" s="13" t="s">
        <v>3218</v>
      </c>
      <c r="L393" s="13" t="s">
        <v>3160</v>
      </c>
      <c r="M393" s="13" t="s">
        <v>3785</v>
      </c>
      <c r="N393" s="13">
        <v>7.0</v>
      </c>
      <c r="O393" s="13" t="s">
        <v>3175</v>
      </c>
      <c r="P393" s="13" t="s">
        <v>3786</v>
      </c>
      <c r="Q393" s="13" t="s">
        <v>3183</v>
      </c>
      <c r="R393" s="13" t="s">
        <v>3260</v>
      </c>
      <c r="S393" s="13" t="s">
        <v>3397</v>
      </c>
      <c r="T393" s="13" t="s">
        <v>3197</v>
      </c>
      <c r="U393" s="13" t="s">
        <v>3197</v>
      </c>
      <c r="V393" s="13" t="s">
        <v>3166</v>
      </c>
      <c r="W393" s="13" t="s">
        <v>3167</v>
      </c>
      <c r="X393" s="13" t="s">
        <v>3276</v>
      </c>
    </row>
    <row r="394" ht="14.25" customHeight="1">
      <c r="A394" s="13">
        <v>24175.0</v>
      </c>
      <c r="B394" s="13" t="s">
        <v>2355</v>
      </c>
      <c r="C394" s="13">
        <v>2015.0</v>
      </c>
      <c r="D394" s="13" t="s">
        <v>3153</v>
      </c>
      <c r="E394" s="13" t="s">
        <v>3154</v>
      </c>
      <c r="F394" s="13" t="s">
        <v>3170</v>
      </c>
      <c r="G394" s="13" t="s">
        <v>3156</v>
      </c>
      <c r="H394" s="13" t="s">
        <v>33</v>
      </c>
      <c r="I394" s="13" t="s">
        <v>3203</v>
      </c>
      <c r="J394" s="13" t="s">
        <v>3204</v>
      </c>
      <c r="K394" s="13" t="s">
        <v>3201</v>
      </c>
      <c r="L394" s="13" t="s">
        <v>3177</v>
      </c>
      <c r="M394" s="13" t="s">
        <v>3161</v>
      </c>
      <c r="N394" s="13">
        <v>1.0</v>
      </c>
      <c r="O394" s="13" t="s">
        <v>3162</v>
      </c>
      <c r="P394" s="13" t="s">
        <v>33</v>
      </c>
      <c r="Q394" s="13" t="s">
        <v>3159</v>
      </c>
      <c r="R394" s="13" t="s">
        <v>3177</v>
      </c>
      <c r="S394" s="13" t="s">
        <v>33</v>
      </c>
      <c r="T394" s="13" t="s">
        <v>3164</v>
      </c>
      <c r="U394" s="13" t="s">
        <v>3164</v>
      </c>
      <c r="V394" s="13" t="s">
        <v>3166</v>
      </c>
      <c r="W394" s="13" t="s">
        <v>3167</v>
      </c>
      <c r="X394" s="13" t="s">
        <v>3324</v>
      </c>
    </row>
    <row r="395" ht="14.25" customHeight="1">
      <c r="A395" s="13">
        <v>24177.0</v>
      </c>
      <c r="B395" s="13" t="s">
        <v>669</v>
      </c>
      <c r="C395" s="13">
        <v>2016.0</v>
      </c>
      <c r="D395" s="13" t="s">
        <v>3153</v>
      </c>
      <c r="E395" s="13" t="s">
        <v>3179</v>
      </c>
      <c r="F395" s="13" t="s">
        <v>3192</v>
      </c>
      <c r="G395" s="13" t="s">
        <v>3187</v>
      </c>
      <c r="H395" s="13">
        <v>10000.0</v>
      </c>
      <c r="I395" s="13" t="s">
        <v>3686</v>
      </c>
      <c r="J395" s="13" t="s">
        <v>3229</v>
      </c>
      <c r="K395" s="13" t="s">
        <v>3159</v>
      </c>
      <c r="L395" s="13" t="s">
        <v>3177</v>
      </c>
      <c r="M395" s="13" t="s">
        <v>3342</v>
      </c>
      <c r="N395" s="13">
        <v>1.0</v>
      </c>
      <c r="O395" s="13" t="s">
        <v>3162</v>
      </c>
      <c r="P395" s="13" t="s">
        <v>33</v>
      </c>
      <c r="Q395" s="13" t="s">
        <v>3159</v>
      </c>
      <c r="R395" s="13" t="s">
        <v>3177</v>
      </c>
      <c r="S395" s="13" t="s">
        <v>33</v>
      </c>
      <c r="T395" s="13" t="s">
        <v>3232</v>
      </c>
      <c r="U395" s="13" t="s">
        <v>3232</v>
      </c>
      <c r="V395" s="13" t="s">
        <v>3166</v>
      </c>
      <c r="W395" s="13" t="s">
        <v>3167</v>
      </c>
      <c r="X395" s="13" t="s">
        <v>3224</v>
      </c>
    </row>
    <row r="396" ht="14.25" customHeight="1">
      <c r="A396" s="13">
        <v>24180.0</v>
      </c>
      <c r="B396" s="13" t="s">
        <v>2457</v>
      </c>
      <c r="C396" s="13">
        <v>2018.0</v>
      </c>
      <c r="D396" s="13" t="s">
        <v>3153</v>
      </c>
      <c r="E396" s="13" t="s">
        <v>3169</v>
      </c>
      <c r="F396" s="13" t="s">
        <v>3192</v>
      </c>
      <c r="G396" s="13" t="s">
        <v>33</v>
      </c>
      <c r="H396" s="13" t="s">
        <v>33</v>
      </c>
      <c r="I396" s="13" t="s">
        <v>3157</v>
      </c>
      <c r="J396" s="13" t="s">
        <v>3787</v>
      </c>
      <c r="K396" s="13" t="s">
        <v>3183</v>
      </c>
      <c r="L396" s="13" t="s">
        <v>3160</v>
      </c>
      <c r="M396" s="13" t="s">
        <v>3230</v>
      </c>
      <c r="N396" s="13">
        <v>1.0</v>
      </c>
      <c r="O396" s="13" t="s">
        <v>3162</v>
      </c>
      <c r="P396" s="13" t="s">
        <v>3788</v>
      </c>
      <c r="Q396" s="13" t="s">
        <v>3183</v>
      </c>
      <c r="R396" s="13" t="s">
        <v>3163</v>
      </c>
      <c r="S396" s="13" t="s">
        <v>3788</v>
      </c>
      <c r="T396" s="13" t="s">
        <v>3164</v>
      </c>
      <c r="U396" s="13" t="s">
        <v>3164</v>
      </c>
      <c r="V396" s="13" t="s">
        <v>3166</v>
      </c>
      <c r="W396" s="13" t="s">
        <v>3167</v>
      </c>
      <c r="X396" s="13" t="s">
        <v>3178</v>
      </c>
    </row>
    <row r="397" ht="14.25" customHeight="1">
      <c r="A397" s="13">
        <v>24184.0</v>
      </c>
      <c r="B397" s="13" t="s">
        <v>395</v>
      </c>
      <c r="C397" s="13">
        <v>2015.0</v>
      </c>
      <c r="D397" s="13" t="s">
        <v>3153</v>
      </c>
      <c r="E397" s="13" t="s">
        <v>3179</v>
      </c>
      <c r="F397" s="13" t="s">
        <v>3170</v>
      </c>
      <c r="G397" s="13" t="s">
        <v>3156</v>
      </c>
      <c r="H397" s="13" t="s">
        <v>33</v>
      </c>
      <c r="I397" s="13" t="s">
        <v>3193</v>
      </c>
      <c r="J397" s="13" t="s">
        <v>3402</v>
      </c>
      <c r="K397" s="13" t="s">
        <v>3173</v>
      </c>
      <c r="L397" s="13" t="s">
        <v>3160</v>
      </c>
      <c r="M397" s="13" t="s">
        <v>3494</v>
      </c>
      <c r="N397" s="13">
        <v>1.0</v>
      </c>
      <c r="O397" s="13" t="s">
        <v>3162</v>
      </c>
      <c r="P397" s="13" t="s">
        <v>33</v>
      </c>
      <c r="Q397" s="13" t="s">
        <v>3159</v>
      </c>
      <c r="R397" s="13" t="s">
        <v>3163</v>
      </c>
      <c r="S397" s="13" t="s">
        <v>33</v>
      </c>
      <c r="T397" s="13" t="s">
        <v>3232</v>
      </c>
      <c r="U397" s="13" t="s">
        <v>3232</v>
      </c>
      <c r="V397" s="13" t="s">
        <v>3166</v>
      </c>
      <c r="W397" s="13" t="s">
        <v>3167</v>
      </c>
      <c r="X397" s="13" t="s">
        <v>3168</v>
      </c>
    </row>
    <row r="398" ht="14.25" customHeight="1">
      <c r="A398" s="13">
        <v>24186.0</v>
      </c>
      <c r="B398" s="13" t="s">
        <v>3129</v>
      </c>
      <c r="C398" s="13">
        <v>2019.0</v>
      </c>
      <c r="D398" s="13" t="s">
        <v>3153</v>
      </c>
      <c r="E398" s="13" t="s">
        <v>3169</v>
      </c>
      <c r="F398" s="13" t="s">
        <v>3192</v>
      </c>
      <c r="G398" s="13" t="s">
        <v>33</v>
      </c>
      <c r="H398" s="13" t="s">
        <v>33</v>
      </c>
      <c r="I398" s="13" t="s">
        <v>3222</v>
      </c>
      <c r="J398" s="13" t="s">
        <v>3182</v>
      </c>
      <c r="K398" s="13" t="s">
        <v>3287</v>
      </c>
      <c r="L398" s="13" t="s">
        <v>3177</v>
      </c>
      <c r="M398" s="13" t="s">
        <v>3789</v>
      </c>
      <c r="N398" s="13">
        <v>2.0</v>
      </c>
      <c r="O398" s="13" t="s">
        <v>3162</v>
      </c>
      <c r="P398" s="13" t="s">
        <v>33</v>
      </c>
      <c r="Q398" s="13" t="s">
        <v>3287</v>
      </c>
      <c r="R398" s="13" t="s">
        <v>3163</v>
      </c>
      <c r="S398" s="13" t="s">
        <v>33</v>
      </c>
      <c r="T398" s="13" t="s">
        <v>3164</v>
      </c>
      <c r="U398" s="13" t="s">
        <v>3164</v>
      </c>
      <c r="V398" s="13" t="s">
        <v>3166</v>
      </c>
      <c r="W398" s="13" t="s">
        <v>3167</v>
      </c>
      <c r="X398" s="13" t="s">
        <v>3178</v>
      </c>
    </row>
    <row r="399" ht="14.25" customHeight="1">
      <c r="A399" s="13">
        <v>24188.0</v>
      </c>
      <c r="B399" s="13" t="s">
        <v>1216</v>
      </c>
      <c r="C399" s="13">
        <v>2019.0</v>
      </c>
      <c r="D399" s="13" t="s">
        <v>3153</v>
      </c>
      <c r="E399" s="13" t="s">
        <v>3179</v>
      </c>
      <c r="F399" s="13" t="s">
        <v>3170</v>
      </c>
      <c r="G399" s="13" t="s">
        <v>3156</v>
      </c>
      <c r="H399" s="13" t="s">
        <v>3167</v>
      </c>
      <c r="I399" s="13" t="s">
        <v>3264</v>
      </c>
      <c r="J399" s="13" t="s">
        <v>3321</v>
      </c>
      <c r="K399" s="13" t="s">
        <v>3183</v>
      </c>
      <c r="L399" s="13" t="s">
        <v>3177</v>
      </c>
      <c r="M399" s="13" t="s">
        <v>3373</v>
      </c>
      <c r="N399" s="13">
        <v>1.0</v>
      </c>
      <c r="O399" s="13" t="s">
        <v>3162</v>
      </c>
      <c r="P399" s="13" t="s">
        <v>3790</v>
      </c>
      <c r="Q399" s="13" t="s">
        <v>3201</v>
      </c>
      <c r="R399" s="13" t="s">
        <v>3260</v>
      </c>
      <c r="S399" s="13" t="s">
        <v>33</v>
      </c>
      <c r="T399" s="13" t="s">
        <v>3164</v>
      </c>
      <c r="U399" s="13" t="s">
        <v>3228</v>
      </c>
      <c r="V399" s="13" t="s">
        <v>3166</v>
      </c>
      <c r="W399" s="13" t="s">
        <v>3167</v>
      </c>
      <c r="X399" s="13" t="s">
        <v>3178</v>
      </c>
    </row>
    <row r="400" ht="14.25" customHeight="1">
      <c r="A400" s="13">
        <v>24192.0</v>
      </c>
      <c r="B400" s="13" t="s">
        <v>2181</v>
      </c>
      <c r="C400" s="13">
        <v>2019.0</v>
      </c>
      <c r="D400" s="13" t="s">
        <v>3153</v>
      </c>
      <c r="E400" s="13" t="s">
        <v>3169</v>
      </c>
      <c r="F400" s="13" t="s">
        <v>3155</v>
      </c>
      <c r="G400" s="13" t="s">
        <v>33</v>
      </c>
      <c r="H400" s="13" t="s">
        <v>33</v>
      </c>
      <c r="I400" s="13" t="s">
        <v>3157</v>
      </c>
      <c r="J400" s="13" t="s">
        <v>3791</v>
      </c>
      <c r="K400" s="13" t="s">
        <v>3173</v>
      </c>
      <c r="L400" s="13" t="s">
        <v>3160</v>
      </c>
      <c r="M400" s="13" t="s">
        <v>3230</v>
      </c>
      <c r="N400" s="13">
        <v>1.0</v>
      </c>
      <c r="O400" s="13" t="s">
        <v>3162</v>
      </c>
      <c r="P400" s="13" t="s">
        <v>33</v>
      </c>
      <c r="Q400" s="13" t="s">
        <v>3210</v>
      </c>
      <c r="R400" s="13" t="s">
        <v>3163</v>
      </c>
      <c r="S400" s="13" t="s">
        <v>3601</v>
      </c>
      <c r="T400" s="13" t="s">
        <v>3232</v>
      </c>
      <c r="U400" s="13" t="s">
        <v>3232</v>
      </c>
      <c r="V400" s="13" t="s">
        <v>3166</v>
      </c>
      <c r="W400" s="13" t="s">
        <v>3167</v>
      </c>
      <c r="X400" s="13" t="s">
        <v>3224</v>
      </c>
    </row>
    <row r="401" ht="14.25" customHeight="1">
      <c r="A401" s="13">
        <v>24194.0</v>
      </c>
      <c r="B401" s="13" t="s">
        <v>2154</v>
      </c>
      <c r="C401" s="13">
        <v>2018.0</v>
      </c>
      <c r="D401" s="13" t="s">
        <v>3153</v>
      </c>
      <c r="E401" s="13" t="s">
        <v>3179</v>
      </c>
      <c r="F401" s="13" t="s">
        <v>3170</v>
      </c>
      <c r="G401" s="13" t="s">
        <v>3187</v>
      </c>
      <c r="H401" s="13">
        <v>4.0</v>
      </c>
      <c r="I401" s="13" t="s">
        <v>3392</v>
      </c>
      <c r="J401" s="13" t="s">
        <v>3286</v>
      </c>
      <c r="K401" s="13" t="s">
        <v>3208</v>
      </c>
      <c r="L401" s="13" t="s">
        <v>3160</v>
      </c>
      <c r="M401" s="13" t="s">
        <v>3792</v>
      </c>
      <c r="N401" s="13">
        <v>1.0</v>
      </c>
      <c r="O401" s="13" t="s">
        <v>3162</v>
      </c>
      <c r="P401" s="13" t="s">
        <v>3167</v>
      </c>
      <c r="Q401" s="13" t="s">
        <v>3159</v>
      </c>
      <c r="R401" s="13" t="s">
        <v>3231</v>
      </c>
      <c r="S401" s="13" t="s">
        <v>33</v>
      </c>
      <c r="T401" s="13" t="s">
        <v>3164</v>
      </c>
      <c r="U401" s="13" t="s">
        <v>3164</v>
      </c>
      <c r="V401" s="13" t="s">
        <v>3166</v>
      </c>
      <c r="W401" s="13" t="s">
        <v>3167</v>
      </c>
      <c r="X401" s="13" t="s">
        <v>3178</v>
      </c>
    </row>
    <row r="402" ht="14.25" customHeight="1">
      <c r="A402" s="13">
        <v>24195.0</v>
      </c>
      <c r="B402" s="13" t="s">
        <v>2691</v>
      </c>
      <c r="C402" s="13">
        <v>2014.0</v>
      </c>
      <c r="D402" s="13" t="s">
        <v>3153</v>
      </c>
      <c r="E402" s="13" t="s">
        <v>3179</v>
      </c>
      <c r="F402" s="13" t="s">
        <v>3155</v>
      </c>
      <c r="G402" s="13" t="s">
        <v>3793</v>
      </c>
      <c r="H402" s="13">
        <v>1.0</v>
      </c>
      <c r="I402" s="13" t="s">
        <v>3261</v>
      </c>
      <c r="J402" s="13" t="s">
        <v>3570</v>
      </c>
      <c r="K402" s="13" t="s">
        <v>3208</v>
      </c>
      <c r="L402" s="13" t="s">
        <v>3177</v>
      </c>
      <c r="M402" s="13" t="s">
        <v>3342</v>
      </c>
      <c r="N402" s="13">
        <v>1.0</v>
      </c>
      <c r="O402" s="13" t="s">
        <v>3162</v>
      </c>
      <c r="P402" s="13" t="s">
        <v>33</v>
      </c>
      <c r="Q402" s="13" t="s">
        <v>3183</v>
      </c>
      <c r="R402" s="13" t="s">
        <v>3163</v>
      </c>
      <c r="S402" s="13" t="s">
        <v>3794</v>
      </c>
      <c r="T402" s="13" t="s">
        <v>3197</v>
      </c>
      <c r="U402" s="13" t="s">
        <v>3197</v>
      </c>
      <c r="V402" s="13" t="s">
        <v>3166</v>
      </c>
      <c r="W402" s="13" t="s">
        <v>3167</v>
      </c>
      <c r="X402" s="13" t="s">
        <v>3255</v>
      </c>
    </row>
    <row r="403" ht="14.25" customHeight="1">
      <c r="A403" s="13">
        <v>24197.0</v>
      </c>
      <c r="B403" s="13" t="s">
        <v>261</v>
      </c>
      <c r="C403" s="13">
        <v>2012.0</v>
      </c>
      <c r="D403" s="13" t="s">
        <v>3153</v>
      </c>
      <c r="E403" s="13" t="s">
        <v>3154</v>
      </c>
      <c r="F403" s="13" t="s">
        <v>3170</v>
      </c>
      <c r="G403" s="13" t="s">
        <v>33</v>
      </c>
      <c r="H403" s="13" t="s">
        <v>33</v>
      </c>
      <c r="I403" s="13" t="s">
        <v>3188</v>
      </c>
      <c r="J403" s="13" t="s">
        <v>3189</v>
      </c>
      <c r="K403" s="13" t="s">
        <v>3159</v>
      </c>
      <c r="L403" s="13" t="s">
        <v>3160</v>
      </c>
      <c r="M403" s="13" t="s">
        <v>3161</v>
      </c>
      <c r="N403" s="13">
        <v>1.0</v>
      </c>
      <c r="O403" s="13" t="s">
        <v>3162</v>
      </c>
      <c r="P403" s="13" t="s">
        <v>33</v>
      </c>
      <c r="Q403" s="13" t="s">
        <v>3335</v>
      </c>
      <c r="R403" s="13" t="s">
        <v>3163</v>
      </c>
      <c r="S403" s="13" t="s">
        <v>33</v>
      </c>
      <c r="T403" s="13" t="s">
        <v>3195</v>
      </c>
      <c r="U403" s="13" t="s">
        <v>3195</v>
      </c>
      <c r="V403" s="13" t="s">
        <v>3195</v>
      </c>
      <c r="W403" s="13" t="s">
        <v>3167</v>
      </c>
      <c r="X403" s="13" t="s">
        <v>3167</v>
      </c>
    </row>
    <row r="404" ht="14.25" customHeight="1">
      <c r="A404" s="13">
        <v>24199.0</v>
      </c>
      <c r="B404" s="13" t="s">
        <v>650</v>
      </c>
      <c r="C404" s="13">
        <v>2015.0</v>
      </c>
      <c r="D404" s="13" t="s">
        <v>3153</v>
      </c>
      <c r="E404" s="13" t="s">
        <v>3154</v>
      </c>
      <c r="F404" s="13" t="s">
        <v>3192</v>
      </c>
      <c r="G404" s="13" t="s">
        <v>3156</v>
      </c>
      <c r="H404" s="13" t="s">
        <v>3167</v>
      </c>
      <c r="I404" s="13" t="s">
        <v>3203</v>
      </c>
      <c r="J404" s="13" t="s">
        <v>3204</v>
      </c>
      <c r="K404" s="13" t="s">
        <v>3183</v>
      </c>
      <c r="L404" s="13" t="s">
        <v>3177</v>
      </c>
      <c r="M404" s="13" t="s">
        <v>3200</v>
      </c>
      <c r="N404" s="13">
        <v>1.0</v>
      </c>
      <c r="O404" s="13" t="s">
        <v>3162</v>
      </c>
      <c r="P404" s="13" t="s">
        <v>3795</v>
      </c>
      <c r="Q404" s="13" t="s">
        <v>3173</v>
      </c>
      <c r="R404" s="13" t="s">
        <v>3231</v>
      </c>
      <c r="S404" s="13" t="s">
        <v>33</v>
      </c>
      <c r="T404" s="13" t="s">
        <v>3197</v>
      </c>
      <c r="U404" s="13" t="s">
        <v>3197</v>
      </c>
      <c r="V404" s="13" t="s">
        <v>3166</v>
      </c>
      <c r="W404" s="13" t="s">
        <v>3167</v>
      </c>
      <c r="X404" s="13" t="s">
        <v>3255</v>
      </c>
    </row>
    <row r="405" ht="14.25" customHeight="1">
      <c r="A405" s="13">
        <v>24202.0</v>
      </c>
      <c r="B405" s="13" t="s">
        <v>3089</v>
      </c>
      <c r="C405" s="13">
        <v>2018.0</v>
      </c>
      <c r="D405" s="13" t="s">
        <v>3153</v>
      </c>
      <c r="E405" s="13" t="s">
        <v>3169</v>
      </c>
      <c r="F405" s="13" t="s">
        <v>3192</v>
      </c>
      <c r="G405" s="13" t="s">
        <v>3202</v>
      </c>
      <c r="H405" s="13">
        <v>20.0</v>
      </c>
      <c r="I405" s="13" t="s">
        <v>3157</v>
      </c>
      <c r="J405" s="13" t="s">
        <v>3199</v>
      </c>
      <c r="K405" s="13" t="s">
        <v>3381</v>
      </c>
      <c r="L405" s="13" t="s">
        <v>3160</v>
      </c>
      <c r="M405" s="13" t="s">
        <v>3363</v>
      </c>
      <c r="N405" s="13">
        <v>1.0</v>
      </c>
      <c r="O405" s="13" t="s">
        <v>3162</v>
      </c>
      <c r="P405" s="13" t="s">
        <v>3796</v>
      </c>
      <c r="Q405" s="13" t="s">
        <v>3183</v>
      </c>
      <c r="R405" s="13" t="s">
        <v>3231</v>
      </c>
      <c r="S405" s="13" t="s">
        <v>3796</v>
      </c>
      <c r="T405" s="13" t="s">
        <v>3232</v>
      </c>
      <c r="U405" s="13" t="s">
        <v>3232</v>
      </c>
      <c r="V405" s="13" t="s">
        <v>3166</v>
      </c>
      <c r="W405" s="13" t="s">
        <v>3167</v>
      </c>
      <c r="X405" s="13" t="s">
        <v>3224</v>
      </c>
    </row>
    <row r="406" ht="14.25" customHeight="1">
      <c r="A406" s="13">
        <v>24203.0</v>
      </c>
      <c r="B406" s="13" t="s">
        <v>3012</v>
      </c>
      <c r="C406" s="13">
        <v>2020.0</v>
      </c>
      <c r="D406" s="13" t="s">
        <v>3153</v>
      </c>
      <c r="E406" s="13" t="s">
        <v>3169</v>
      </c>
      <c r="F406" s="13" t="s">
        <v>3192</v>
      </c>
      <c r="G406" s="13" t="s">
        <v>3187</v>
      </c>
      <c r="H406" s="13">
        <v>100.0</v>
      </c>
      <c r="I406" s="13" t="s">
        <v>3157</v>
      </c>
      <c r="J406" s="13" t="s">
        <v>3199</v>
      </c>
      <c r="K406" s="13" t="s">
        <v>3190</v>
      </c>
      <c r="L406" s="13" t="s">
        <v>3160</v>
      </c>
      <c r="M406" s="13" t="s">
        <v>3363</v>
      </c>
      <c r="N406" s="13">
        <v>1.0</v>
      </c>
      <c r="O406" s="13" t="s">
        <v>3162</v>
      </c>
      <c r="P406" s="13" t="s">
        <v>3167</v>
      </c>
      <c r="Q406" s="13" t="s">
        <v>3159</v>
      </c>
      <c r="R406" s="13" t="s">
        <v>3231</v>
      </c>
      <c r="S406" s="13" t="s">
        <v>33</v>
      </c>
      <c r="T406" s="13" t="s">
        <v>3164</v>
      </c>
      <c r="U406" s="13" t="s">
        <v>3164</v>
      </c>
      <c r="V406" s="13" t="s">
        <v>3166</v>
      </c>
      <c r="W406" s="13" t="s">
        <v>3167</v>
      </c>
      <c r="X406" s="13" t="s">
        <v>3224</v>
      </c>
    </row>
    <row r="407" ht="14.25" customHeight="1">
      <c r="A407" s="13">
        <v>24205.0</v>
      </c>
      <c r="B407" s="13" t="s">
        <v>1677</v>
      </c>
      <c r="C407" s="13">
        <v>2018.0</v>
      </c>
      <c r="D407" s="13" t="s">
        <v>3153</v>
      </c>
      <c r="E407" s="13" t="s">
        <v>3169</v>
      </c>
      <c r="F407" s="13" t="s">
        <v>3155</v>
      </c>
      <c r="G407" s="13" t="s">
        <v>3187</v>
      </c>
      <c r="H407" s="13">
        <v>100.0</v>
      </c>
      <c r="I407" s="13" t="s">
        <v>3157</v>
      </c>
      <c r="J407" s="13" t="s">
        <v>3240</v>
      </c>
      <c r="K407" s="13" t="s">
        <v>3186</v>
      </c>
      <c r="L407" s="13" t="s">
        <v>3160</v>
      </c>
      <c r="M407" s="13" t="s">
        <v>3369</v>
      </c>
      <c r="N407" s="13">
        <v>1.0</v>
      </c>
      <c r="O407" s="13" t="s">
        <v>3162</v>
      </c>
      <c r="P407" s="13" t="s">
        <v>33</v>
      </c>
      <c r="Q407" s="13" t="s">
        <v>3186</v>
      </c>
      <c r="R407" s="13" t="s">
        <v>3163</v>
      </c>
      <c r="S407" s="13" t="s">
        <v>33</v>
      </c>
      <c r="T407" s="13" t="s">
        <v>3164</v>
      </c>
      <c r="U407" s="13" t="s">
        <v>3232</v>
      </c>
      <c r="V407" s="13" t="s">
        <v>3166</v>
      </c>
      <c r="W407" s="13" t="s">
        <v>3167</v>
      </c>
      <c r="X407" s="13" t="s">
        <v>3224</v>
      </c>
    </row>
    <row r="408" ht="14.25" customHeight="1">
      <c r="A408" s="13">
        <v>24206.0</v>
      </c>
      <c r="B408" s="13" t="s">
        <v>2643</v>
      </c>
      <c r="C408" s="13">
        <v>2009.0</v>
      </c>
      <c r="D408" s="13" t="s">
        <v>3153</v>
      </c>
      <c r="E408" s="13" t="s">
        <v>3179</v>
      </c>
      <c r="F408" s="13" t="s">
        <v>3192</v>
      </c>
      <c r="G408" s="13" t="s">
        <v>3793</v>
      </c>
      <c r="H408" s="13">
        <v>36.0</v>
      </c>
      <c r="I408" s="13" t="s">
        <v>3261</v>
      </c>
      <c r="J408" s="13" t="s">
        <v>3400</v>
      </c>
      <c r="K408" s="13" t="s">
        <v>3287</v>
      </c>
      <c r="L408" s="13" t="s">
        <v>3177</v>
      </c>
      <c r="M408" s="13" t="s">
        <v>3342</v>
      </c>
      <c r="N408" s="13">
        <v>1.0</v>
      </c>
      <c r="O408" s="13" t="s">
        <v>3162</v>
      </c>
      <c r="P408" s="13" t="s">
        <v>33</v>
      </c>
      <c r="Q408" s="13" t="s">
        <v>3159</v>
      </c>
      <c r="R408" s="13" t="s">
        <v>3177</v>
      </c>
      <c r="S408" s="13" t="s">
        <v>33</v>
      </c>
      <c r="T408" s="13" t="s">
        <v>3164</v>
      </c>
      <c r="U408" s="13" t="s">
        <v>3197</v>
      </c>
      <c r="V408" s="13" t="s">
        <v>3166</v>
      </c>
      <c r="W408" s="13" t="s">
        <v>3167</v>
      </c>
      <c r="X408" s="13" t="s">
        <v>3797</v>
      </c>
    </row>
    <row r="409" ht="14.25" customHeight="1">
      <c r="A409" s="13">
        <v>24208.0</v>
      </c>
      <c r="B409" s="13" t="s">
        <v>2074</v>
      </c>
      <c r="C409" s="13">
        <v>2016.0</v>
      </c>
      <c r="D409" s="13" t="s">
        <v>3153</v>
      </c>
      <c r="E409" s="13" t="s">
        <v>3465</v>
      </c>
      <c r="F409" s="13" t="s">
        <v>3192</v>
      </c>
      <c r="G409" s="13" t="s">
        <v>3202</v>
      </c>
      <c r="H409" s="13">
        <v>100.0</v>
      </c>
      <c r="I409" s="13" t="s">
        <v>3157</v>
      </c>
      <c r="J409" s="13" t="s">
        <v>3348</v>
      </c>
      <c r="K409" s="13" t="s">
        <v>3333</v>
      </c>
      <c r="L409" s="13" t="s">
        <v>3160</v>
      </c>
      <c r="M409" s="13" t="s">
        <v>3798</v>
      </c>
      <c r="N409" s="13">
        <v>3.0</v>
      </c>
      <c r="O409" s="13" t="s">
        <v>3175</v>
      </c>
      <c r="P409" s="13" t="s">
        <v>33</v>
      </c>
      <c r="Q409" s="13" t="s">
        <v>3186</v>
      </c>
      <c r="R409" s="13" t="s">
        <v>3163</v>
      </c>
      <c r="S409" s="13" t="s">
        <v>33</v>
      </c>
      <c r="T409" s="13" t="s">
        <v>3247</v>
      </c>
      <c r="U409" s="13" t="s">
        <v>3247</v>
      </c>
      <c r="V409" s="13" t="s">
        <v>3242</v>
      </c>
      <c r="W409" s="13" t="s">
        <v>3356</v>
      </c>
      <c r="X409" s="13" t="s">
        <v>3167</v>
      </c>
    </row>
    <row r="410" ht="14.25" customHeight="1">
      <c r="A410" s="13">
        <v>24211.0</v>
      </c>
      <c r="B410" s="13" t="s">
        <v>2721</v>
      </c>
      <c r="C410" s="13">
        <v>2015.0</v>
      </c>
      <c r="D410" s="13" t="s">
        <v>3153</v>
      </c>
      <c r="E410" s="13" t="s">
        <v>3179</v>
      </c>
      <c r="F410" s="13" t="s">
        <v>3211</v>
      </c>
      <c r="G410" s="13" t="s">
        <v>3180</v>
      </c>
      <c r="H410" s="13">
        <v>0.2</v>
      </c>
      <c r="I410" s="13" t="s">
        <v>3261</v>
      </c>
      <c r="J410" s="13" t="s">
        <v>3799</v>
      </c>
      <c r="K410" s="13" t="s">
        <v>3183</v>
      </c>
      <c r="L410" s="13" t="s">
        <v>3160</v>
      </c>
      <c r="M410" s="13" t="s">
        <v>3241</v>
      </c>
      <c r="N410" s="13">
        <v>1.0</v>
      </c>
      <c r="O410" s="13" t="s">
        <v>3162</v>
      </c>
      <c r="P410" s="13" t="s">
        <v>3800</v>
      </c>
      <c r="Q410" s="13" t="s">
        <v>3183</v>
      </c>
      <c r="R410" s="13" t="s">
        <v>3163</v>
      </c>
      <c r="S410" s="13" t="s">
        <v>3801</v>
      </c>
      <c r="T410" s="13" t="s">
        <v>3247</v>
      </c>
      <c r="U410" s="13" t="s">
        <v>3247</v>
      </c>
      <c r="V410" s="13" t="s">
        <v>3166</v>
      </c>
      <c r="W410" s="13" t="s">
        <v>3167</v>
      </c>
      <c r="X410" s="13" t="s">
        <v>3168</v>
      </c>
    </row>
    <row r="411" ht="14.25" customHeight="1">
      <c r="A411" s="13">
        <v>24212.0</v>
      </c>
      <c r="B411" s="13" t="s">
        <v>1252</v>
      </c>
      <c r="C411" s="13">
        <v>2020.0</v>
      </c>
      <c r="D411" s="13" t="s">
        <v>3153</v>
      </c>
      <c r="E411" s="13" t="s">
        <v>3169</v>
      </c>
      <c r="F411" s="13" t="s">
        <v>3217</v>
      </c>
      <c r="G411" s="13" t="s">
        <v>33</v>
      </c>
      <c r="H411" s="13" t="s">
        <v>33</v>
      </c>
      <c r="I411" s="13" t="s">
        <v>3167</v>
      </c>
      <c r="J411" s="13" t="s">
        <v>3167</v>
      </c>
      <c r="K411" s="13" t="s">
        <v>3183</v>
      </c>
      <c r="L411" s="13" t="s">
        <v>3177</v>
      </c>
      <c r="M411" s="13" t="s">
        <v>3391</v>
      </c>
      <c r="N411" s="13">
        <v>1.0</v>
      </c>
      <c r="O411" s="13" t="s">
        <v>3162</v>
      </c>
      <c r="P411" s="13" t="s">
        <v>3802</v>
      </c>
      <c r="Q411" s="13" t="s">
        <v>3183</v>
      </c>
      <c r="R411" s="13" t="s">
        <v>3163</v>
      </c>
      <c r="S411" s="13" t="s">
        <v>3802</v>
      </c>
      <c r="T411" s="13" t="s">
        <v>3165</v>
      </c>
      <c r="U411" s="13" t="s">
        <v>3165</v>
      </c>
      <c r="V411" s="13" t="s">
        <v>3166</v>
      </c>
      <c r="W411" s="13" t="s">
        <v>3167</v>
      </c>
      <c r="X411" s="13" t="s">
        <v>3216</v>
      </c>
    </row>
    <row r="412" ht="14.25" customHeight="1">
      <c r="A412" s="13">
        <v>24215.0</v>
      </c>
      <c r="B412" s="13" t="s">
        <v>536</v>
      </c>
      <c r="C412" s="13">
        <v>2008.0</v>
      </c>
      <c r="D412" s="13" t="s">
        <v>3153</v>
      </c>
      <c r="E412" s="13" t="s">
        <v>3169</v>
      </c>
      <c r="F412" s="13" t="s">
        <v>3170</v>
      </c>
      <c r="G412" s="13" t="s">
        <v>3156</v>
      </c>
      <c r="H412" s="13" t="s">
        <v>3202</v>
      </c>
      <c r="I412" s="13" t="s">
        <v>3171</v>
      </c>
      <c r="J412" s="13" t="s">
        <v>3803</v>
      </c>
      <c r="K412" s="13" t="s">
        <v>3183</v>
      </c>
      <c r="L412" s="13" t="s">
        <v>3160</v>
      </c>
      <c r="M412" s="13" t="s">
        <v>3258</v>
      </c>
      <c r="N412" s="13">
        <v>1.0</v>
      </c>
      <c r="O412" s="13" t="s">
        <v>3162</v>
      </c>
      <c r="P412" s="13" t="s">
        <v>3804</v>
      </c>
      <c r="Q412" s="13" t="s">
        <v>3159</v>
      </c>
      <c r="R412" s="13" t="s">
        <v>3260</v>
      </c>
      <c r="S412" s="13" t="s">
        <v>33</v>
      </c>
      <c r="T412" s="13" t="s">
        <v>3164</v>
      </c>
      <c r="U412" s="13" t="s">
        <v>3215</v>
      </c>
      <c r="V412" s="13" t="s">
        <v>3166</v>
      </c>
      <c r="W412" s="13" t="s">
        <v>3167</v>
      </c>
      <c r="X412" s="13" t="s">
        <v>3324</v>
      </c>
    </row>
    <row r="413" ht="14.25" customHeight="1">
      <c r="A413" s="13">
        <v>24222.0</v>
      </c>
      <c r="B413" s="13" t="s">
        <v>1110</v>
      </c>
      <c r="C413" s="13">
        <v>2012.0</v>
      </c>
      <c r="D413" s="13" t="s">
        <v>3153</v>
      </c>
      <c r="E413" s="13" t="s">
        <v>3465</v>
      </c>
      <c r="F413" s="13" t="s">
        <v>3192</v>
      </c>
      <c r="G413" s="13" t="s">
        <v>3202</v>
      </c>
      <c r="H413" s="13">
        <v>30.0</v>
      </c>
      <c r="I413" s="13" t="s">
        <v>3222</v>
      </c>
      <c r="J413" s="13" t="s">
        <v>3182</v>
      </c>
      <c r="K413" s="13" t="s">
        <v>3183</v>
      </c>
      <c r="L413" s="13" t="s">
        <v>3160</v>
      </c>
      <c r="M413" s="13" t="s">
        <v>3805</v>
      </c>
      <c r="N413" s="13">
        <v>6.0</v>
      </c>
      <c r="O413" s="13" t="s">
        <v>3162</v>
      </c>
      <c r="P413" s="13" t="s">
        <v>3689</v>
      </c>
      <c r="Q413" s="13" t="s">
        <v>3210</v>
      </c>
      <c r="R413" s="13" t="s">
        <v>3163</v>
      </c>
      <c r="S413" s="13" t="s">
        <v>33</v>
      </c>
      <c r="T413" s="13" t="s">
        <v>3195</v>
      </c>
      <c r="U413" s="13" t="s">
        <v>3195</v>
      </c>
      <c r="V413" s="13" t="s">
        <v>3195</v>
      </c>
      <c r="W413" s="13" t="s">
        <v>3167</v>
      </c>
      <c r="X413" s="13" t="s">
        <v>3167</v>
      </c>
    </row>
    <row r="414" ht="14.25" customHeight="1">
      <c r="A414" s="13" t="s">
        <v>845</v>
      </c>
      <c r="B414" s="13" t="s">
        <v>846</v>
      </c>
      <c r="C414" s="13">
        <v>2010.0</v>
      </c>
      <c r="D414" s="13" t="s">
        <v>3153</v>
      </c>
      <c r="E414" s="13" t="s">
        <v>3179</v>
      </c>
      <c r="F414" s="13" t="s">
        <v>3192</v>
      </c>
      <c r="G414" s="13" t="s">
        <v>3156</v>
      </c>
      <c r="H414" s="13" t="s">
        <v>33</v>
      </c>
      <c r="I414" s="13" t="s">
        <v>3527</v>
      </c>
      <c r="J414" s="13" t="s">
        <v>3229</v>
      </c>
      <c r="K414" s="13" t="s">
        <v>3183</v>
      </c>
      <c r="L414" s="13" t="s">
        <v>3177</v>
      </c>
      <c r="M414" s="13" t="s">
        <v>3342</v>
      </c>
      <c r="N414" s="13">
        <v>1.0</v>
      </c>
      <c r="O414" s="13" t="s">
        <v>3162</v>
      </c>
      <c r="P414" s="13" t="s">
        <v>3806</v>
      </c>
      <c r="Q414" s="13" t="s">
        <v>3183</v>
      </c>
      <c r="R414" s="13" t="s">
        <v>3177</v>
      </c>
      <c r="S414" s="13" t="s">
        <v>3806</v>
      </c>
      <c r="T414" s="13" t="s">
        <v>3197</v>
      </c>
      <c r="U414" s="13" t="s">
        <v>3197</v>
      </c>
      <c r="V414" s="13" t="s">
        <v>3166</v>
      </c>
      <c r="W414" s="13" t="s">
        <v>3167</v>
      </c>
      <c r="X414" s="13" t="s">
        <v>3168</v>
      </c>
    </row>
    <row r="415" ht="14.25" customHeight="1">
      <c r="A415" s="13">
        <v>24227.0</v>
      </c>
      <c r="B415" s="13" t="s">
        <v>158</v>
      </c>
      <c r="C415" s="13">
        <v>2015.0</v>
      </c>
      <c r="D415" s="13" t="s">
        <v>3153</v>
      </c>
      <c r="E415" s="13" t="s">
        <v>3179</v>
      </c>
      <c r="F415" s="13" t="s">
        <v>3192</v>
      </c>
      <c r="G415" s="13" t="s">
        <v>3202</v>
      </c>
      <c r="H415" s="13">
        <v>20.0</v>
      </c>
      <c r="I415" s="13" t="s">
        <v>3249</v>
      </c>
      <c r="J415" s="13" t="s">
        <v>3348</v>
      </c>
      <c r="K415" s="13" t="s">
        <v>3186</v>
      </c>
      <c r="L415" s="13" t="s">
        <v>3177</v>
      </c>
      <c r="M415" s="13" t="s">
        <v>3807</v>
      </c>
      <c r="N415" s="13">
        <v>8.0</v>
      </c>
      <c r="O415" s="13" t="s">
        <v>3175</v>
      </c>
      <c r="P415" s="13" t="s">
        <v>33</v>
      </c>
      <c r="Q415" s="13" t="s">
        <v>3173</v>
      </c>
      <c r="R415" s="13" t="s">
        <v>3163</v>
      </c>
      <c r="S415" s="13" t="s">
        <v>33</v>
      </c>
      <c r="T415" s="13" t="s">
        <v>3252</v>
      </c>
      <c r="U415" s="13" t="s">
        <v>3252</v>
      </c>
      <c r="V415" s="13" t="s">
        <v>3253</v>
      </c>
      <c r="W415" s="13" t="s">
        <v>3356</v>
      </c>
      <c r="X415" s="13" t="s">
        <v>3755</v>
      </c>
    </row>
    <row r="416" ht="14.25" customHeight="1">
      <c r="A416" s="13">
        <v>24228.0</v>
      </c>
      <c r="B416" s="13" t="s">
        <v>158</v>
      </c>
      <c r="C416" s="13">
        <v>2015.0</v>
      </c>
      <c r="D416" s="13" t="s">
        <v>3153</v>
      </c>
      <c r="E416" s="13" t="s">
        <v>3179</v>
      </c>
      <c r="F416" s="13" t="s">
        <v>3170</v>
      </c>
      <c r="G416" s="13" t="s">
        <v>3187</v>
      </c>
      <c r="H416" s="13">
        <v>25.0</v>
      </c>
      <c r="I416" s="13" t="s">
        <v>3249</v>
      </c>
      <c r="J416" s="13" t="s">
        <v>3348</v>
      </c>
      <c r="K416" s="13" t="s">
        <v>3208</v>
      </c>
      <c r="L416" s="13" t="s">
        <v>3160</v>
      </c>
      <c r="M416" s="13" t="s">
        <v>3808</v>
      </c>
      <c r="N416" s="13">
        <v>3.0</v>
      </c>
      <c r="O416" s="13" t="s">
        <v>3162</v>
      </c>
      <c r="P416" s="13" t="s">
        <v>33</v>
      </c>
      <c r="Q416" s="13" t="s">
        <v>3208</v>
      </c>
      <c r="R416" s="13" t="s">
        <v>3163</v>
      </c>
      <c r="S416" s="13" t="s">
        <v>33</v>
      </c>
      <c r="T416" s="13" t="s">
        <v>3164</v>
      </c>
      <c r="U416" s="13" t="s">
        <v>3164</v>
      </c>
      <c r="V416" s="13" t="s">
        <v>3242</v>
      </c>
      <c r="W416" s="13" t="s">
        <v>3254</v>
      </c>
      <c r="X416" s="13" t="s">
        <v>3167</v>
      </c>
    </row>
    <row r="417" ht="14.25" customHeight="1">
      <c r="A417" s="13">
        <v>24229.0</v>
      </c>
      <c r="B417" s="13" t="s">
        <v>158</v>
      </c>
      <c r="C417" s="13">
        <v>2018.0</v>
      </c>
      <c r="D417" s="13" t="s">
        <v>3153</v>
      </c>
      <c r="E417" s="13" t="s">
        <v>3179</v>
      </c>
      <c r="F417" s="13" t="s">
        <v>3211</v>
      </c>
      <c r="G417" s="13" t="s">
        <v>3202</v>
      </c>
      <c r="H417" s="13">
        <v>50.0</v>
      </c>
      <c r="I417" s="13" t="s">
        <v>3249</v>
      </c>
      <c r="J417" s="13" t="s">
        <v>3348</v>
      </c>
      <c r="K417" s="13" t="s">
        <v>3333</v>
      </c>
      <c r="L417" s="13" t="s">
        <v>3160</v>
      </c>
      <c r="M417" s="13" t="s">
        <v>3809</v>
      </c>
      <c r="N417" s="13">
        <v>8.0</v>
      </c>
      <c r="O417" s="13" t="s">
        <v>3162</v>
      </c>
      <c r="P417" s="13" t="s">
        <v>3810</v>
      </c>
      <c r="Q417" s="13" t="s">
        <v>3338</v>
      </c>
      <c r="R417" s="13" t="s">
        <v>3231</v>
      </c>
      <c r="S417" s="13" t="s">
        <v>3811</v>
      </c>
      <c r="T417" s="13" t="s">
        <v>3164</v>
      </c>
      <c r="U417" s="13" t="s">
        <v>3164</v>
      </c>
      <c r="V417" s="13" t="s">
        <v>3242</v>
      </c>
      <c r="W417" s="13" t="s">
        <v>3254</v>
      </c>
      <c r="X417" s="13" t="s">
        <v>3167</v>
      </c>
    </row>
    <row r="418" ht="14.25" customHeight="1">
      <c r="A418" s="13">
        <v>24232.0</v>
      </c>
      <c r="B418" s="13" t="s">
        <v>2003</v>
      </c>
      <c r="C418" s="13">
        <v>2018.0</v>
      </c>
      <c r="D418" s="13" t="s">
        <v>3153</v>
      </c>
      <c r="E418" s="13" t="s">
        <v>3169</v>
      </c>
      <c r="F418" s="13" t="s">
        <v>3192</v>
      </c>
      <c r="G418" s="13" t="s">
        <v>3202</v>
      </c>
      <c r="H418" s="13">
        <v>1.0</v>
      </c>
      <c r="I418" s="13" t="s">
        <v>3222</v>
      </c>
      <c r="J418" s="13" t="s">
        <v>3182</v>
      </c>
      <c r="K418" s="13" t="s">
        <v>3186</v>
      </c>
      <c r="L418" s="13" t="s">
        <v>3177</v>
      </c>
      <c r="M418" s="13" t="s">
        <v>3494</v>
      </c>
      <c r="N418" s="13">
        <v>1.0</v>
      </c>
      <c r="O418" s="13" t="s">
        <v>3162</v>
      </c>
      <c r="P418" s="13" t="s">
        <v>33</v>
      </c>
      <c r="Q418" s="13" t="s">
        <v>3210</v>
      </c>
      <c r="R418" s="13" t="s">
        <v>3163</v>
      </c>
      <c r="S418" s="13" t="s">
        <v>33</v>
      </c>
      <c r="T418" s="13" t="s">
        <v>3195</v>
      </c>
      <c r="U418" s="13" t="s">
        <v>3195</v>
      </c>
      <c r="V418" s="13" t="s">
        <v>3195</v>
      </c>
      <c r="W418" s="13" t="s">
        <v>3167</v>
      </c>
      <c r="X418" s="13" t="s">
        <v>3167</v>
      </c>
    </row>
    <row r="419" ht="14.25" customHeight="1">
      <c r="A419" s="13">
        <v>24242.0</v>
      </c>
      <c r="B419" s="13" t="s">
        <v>91</v>
      </c>
      <c r="C419" s="13">
        <v>2018.0</v>
      </c>
      <c r="D419" s="13" t="s">
        <v>3153</v>
      </c>
      <c r="E419" s="13" t="s">
        <v>3154</v>
      </c>
      <c r="F419" s="13" t="s">
        <v>3192</v>
      </c>
      <c r="G419" s="13" t="s">
        <v>33</v>
      </c>
      <c r="H419" s="13" t="s">
        <v>33</v>
      </c>
      <c r="I419" s="13" t="s">
        <v>3222</v>
      </c>
      <c r="J419" s="13" t="s">
        <v>3182</v>
      </c>
      <c r="K419" s="13" t="s">
        <v>3186</v>
      </c>
      <c r="L419" s="13" t="s">
        <v>3160</v>
      </c>
      <c r="M419" s="13" t="s">
        <v>3812</v>
      </c>
      <c r="N419" s="13">
        <v>5.0</v>
      </c>
      <c r="O419" s="13" t="s">
        <v>3175</v>
      </c>
      <c r="P419" s="13" t="s">
        <v>33</v>
      </c>
      <c r="Q419" s="13" t="s">
        <v>3186</v>
      </c>
      <c r="R419" s="13" t="s">
        <v>3163</v>
      </c>
      <c r="S419" s="13" t="s">
        <v>33</v>
      </c>
      <c r="T419" s="13" t="s">
        <v>3197</v>
      </c>
      <c r="U419" s="13" t="s">
        <v>3197</v>
      </c>
      <c r="V419" s="13" t="s">
        <v>3166</v>
      </c>
      <c r="W419" s="13" t="s">
        <v>3167</v>
      </c>
      <c r="X419" s="13" t="s">
        <v>3813</v>
      </c>
    </row>
    <row r="420" ht="14.25" customHeight="1">
      <c r="A420" s="13">
        <v>24247.0</v>
      </c>
      <c r="B420" s="13" t="s">
        <v>546</v>
      </c>
      <c r="C420" s="13">
        <v>2018.0</v>
      </c>
      <c r="D420" s="13" t="s">
        <v>3153</v>
      </c>
      <c r="E420" s="13" t="s">
        <v>3179</v>
      </c>
      <c r="F420" s="13" t="s">
        <v>3192</v>
      </c>
      <c r="G420" s="13" t="s">
        <v>3202</v>
      </c>
      <c r="H420" s="13">
        <v>30.0</v>
      </c>
      <c r="I420" s="13" t="s">
        <v>3261</v>
      </c>
      <c r="J420" s="13" t="s">
        <v>3182</v>
      </c>
      <c r="K420" s="13" t="s">
        <v>3208</v>
      </c>
      <c r="L420" s="13" t="s">
        <v>3177</v>
      </c>
      <c r="M420" s="13" t="s">
        <v>3722</v>
      </c>
      <c r="N420" s="13">
        <v>1.0</v>
      </c>
      <c r="O420" s="13" t="s">
        <v>3162</v>
      </c>
      <c r="P420" s="13" t="s">
        <v>33</v>
      </c>
      <c r="Q420" s="13" t="s">
        <v>3159</v>
      </c>
      <c r="R420" s="13" t="s">
        <v>3163</v>
      </c>
      <c r="S420" s="13" t="s">
        <v>33</v>
      </c>
      <c r="T420" s="13" t="s">
        <v>3164</v>
      </c>
      <c r="U420" s="13" t="s">
        <v>3228</v>
      </c>
      <c r="V420" s="13" t="s">
        <v>3166</v>
      </c>
      <c r="W420" s="13" t="s">
        <v>3167</v>
      </c>
      <c r="X420" s="13" t="s">
        <v>3216</v>
      </c>
    </row>
    <row r="421" ht="14.25" customHeight="1">
      <c r="A421" s="13">
        <v>24253.0</v>
      </c>
      <c r="B421" s="13" t="s">
        <v>2947</v>
      </c>
      <c r="C421" s="13">
        <v>2019.0</v>
      </c>
      <c r="D421" s="13" t="s">
        <v>3153</v>
      </c>
      <c r="E421" s="13" t="s">
        <v>3169</v>
      </c>
      <c r="F421" s="13" t="s">
        <v>3217</v>
      </c>
      <c r="G421" s="13" t="s">
        <v>3156</v>
      </c>
      <c r="H421" s="13" t="s">
        <v>33</v>
      </c>
      <c r="I421" s="13" t="s">
        <v>3167</v>
      </c>
      <c r="J421" s="13" t="s">
        <v>3167</v>
      </c>
      <c r="K421" s="13" t="s">
        <v>3183</v>
      </c>
      <c r="L421" s="13" t="s">
        <v>3160</v>
      </c>
      <c r="M421" s="13" t="s">
        <v>3814</v>
      </c>
      <c r="N421" s="13">
        <v>2.0</v>
      </c>
      <c r="O421" s="13" t="s">
        <v>3162</v>
      </c>
      <c r="P421" s="13" t="s">
        <v>3689</v>
      </c>
      <c r="Q421" s="13" t="s">
        <v>3815</v>
      </c>
      <c r="R421" s="13" t="s">
        <v>3163</v>
      </c>
      <c r="S421" s="13" t="s">
        <v>3689</v>
      </c>
      <c r="T421" s="13" t="s">
        <v>3252</v>
      </c>
      <c r="U421" s="13" t="s">
        <v>3252</v>
      </c>
      <c r="V421" s="13" t="s">
        <v>3253</v>
      </c>
      <c r="W421" s="13" t="s">
        <v>3377</v>
      </c>
      <c r="X421" s="13" t="s">
        <v>3816</v>
      </c>
    </row>
    <row r="422" ht="14.25" customHeight="1">
      <c r="A422" s="13">
        <v>24256.0</v>
      </c>
      <c r="B422" s="13" t="s">
        <v>3040</v>
      </c>
      <c r="C422" s="13">
        <v>2020.0</v>
      </c>
      <c r="D422" s="13" t="s">
        <v>3153</v>
      </c>
      <c r="E422" s="13" t="s">
        <v>3169</v>
      </c>
      <c r="F422" s="13" t="s">
        <v>3170</v>
      </c>
      <c r="G422" s="13" t="s">
        <v>3156</v>
      </c>
      <c r="H422" s="13" t="s">
        <v>3167</v>
      </c>
      <c r="I422" s="13" t="s">
        <v>3188</v>
      </c>
      <c r="J422" s="13" t="s">
        <v>3432</v>
      </c>
      <c r="K422" s="13" t="s">
        <v>3159</v>
      </c>
      <c r="L422" s="13" t="s">
        <v>3160</v>
      </c>
      <c r="M422" s="13" t="s">
        <v>3817</v>
      </c>
      <c r="N422" s="13">
        <v>1.0</v>
      </c>
      <c r="O422" s="13" t="s">
        <v>3162</v>
      </c>
      <c r="P422" s="13" t="s">
        <v>3167</v>
      </c>
      <c r="Q422" s="13" t="s">
        <v>3437</v>
      </c>
      <c r="R422" s="13" t="s">
        <v>3231</v>
      </c>
      <c r="S422" s="13" t="s">
        <v>33</v>
      </c>
      <c r="T422" s="13" t="s">
        <v>3197</v>
      </c>
      <c r="U422" s="13" t="s">
        <v>3197</v>
      </c>
      <c r="V422" s="13" t="s">
        <v>3242</v>
      </c>
      <c r="W422" s="13" t="s">
        <v>3294</v>
      </c>
      <c r="X422" s="13" t="s">
        <v>3167</v>
      </c>
    </row>
    <row r="423" ht="14.25" customHeight="1">
      <c r="A423" s="13">
        <v>24257.0</v>
      </c>
      <c r="B423" s="13" t="s">
        <v>1127</v>
      </c>
      <c r="C423" s="13">
        <v>2011.0</v>
      </c>
      <c r="D423" s="13" t="s">
        <v>3153</v>
      </c>
      <c r="E423" s="13" t="s">
        <v>3169</v>
      </c>
      <c r="F423" s="13" t="s">
        <v>3170</v>
      </c>
      <c r="G423" s="13" t="s">
        <v>3156</v>
      </c>
      <c r="H423" s="13" t="s">
        <v>33</v>
      </c>
      <c r="I423" s="13" t="s">
        <v>3188</v>
      </c>
      <c r="J423" s="13" t="s">
        <v>3432</v>
      </c>
      <c r="K423" s="13" t="s">
        <v>3159</v>
      </c>
      <c r="L423" s="13" t="s">
        <v>3160</v>
      </c>
      <c r="M423" s="13" t="s">
        <v>3818</v>
      </c>
      <c r="N423" s="13">
        <v>3.0</v>
      </c>
      <c r="O423" s="13" t="s">
        <v>3162</v>
      </c>
      <c r="P423" s="13" t="s">
        <v>33</v>
      </c>
      <c r="Q423" s="13" t="s">
        <v>3437</v>
      </c>
      <c r="R423" s="13" t="s">
        <v>3163</v>
      </c>
      <c r="S423" s="13" t="s">
        <v>33</v>
      </c>
      <c r="T423" s="13" t="s">
        <v>3164</v>
      </c>
      <c r="U423" s="13" t="s">
        <v>3164</v>
      </c>
      <c r="V423" s="13" t="s">
        <v>3166</v>
      </c>
      <c r="W423" s="13" t="s">
        <v>3167</v>
      </c>
      <c r="X423" s="13" t="s">
        <v>3178</v>
      </c>
    </row>
    <row r="424" ht="14.25" customHeight="1">
      <c r="A424" s="13">
        <v>24258.0</v>
      </c>
      <c r="B424" s="13" t="s">
        <v>1127</v>
      </c>
      <c r="C424" s="13">
        <v>2014.0</v>
      </c>
      <c r="D424" s="13" t="s">
        <v>3153</v>
      </c>
      <c r="E424" s="13" t="s">
        <v>3169</v>
      </c>
      <c r="F424" s="13" t="s">
        <v>3170</v>
      </c>
      <c r="G424" s="13" t="s">
        <v>3156</v>
      </c>
      <c r="H424" s="13" t="s">
        <v>3202</v>
      </c>
      <c r="I424" s="13" t="s">
        <v>3188</v>
      </c>
      <c r="J424" s="13" t="s">
        <v>3432</v>
      </c>
      <c r="K424" s="13" t="s">
        <v>3287</v>
      </c>
      <c r="L424" s="13" t="s">
        <v>3160</v>
      </c>
      <c r="M424" s="13" t="s">
        <v>3200</v>
      </c>
      <c r="N424" s="13">
        <v>1.0</v>
      </c>
      <c r="O424" s="13" t="s">
        <v>3162</v>
      </c>
      <c r="P424" s="13" t="s">
        <v>3167</v>
      </c>
      <c r="Q424" s="13" t="s">
        <v>3437</v>
      </c>
      <c r="R424" s="13" t="s">
        <v>3231</v>
      </c>
      <c r="S424" s="13" t="s">
        <v>33</v>
      </c>
      <c r="T424" s="13" t="s">
        <v>3164</v>
      </c>
      <c r="U424" s="13" t="s">
        <v>3164</v>
      </c>
      <c r="V424" s="13" t="s">
        <v>3166</v>
      </c>
      <c r="W424" s="13" t="s">
        <v>3167</v>
      </c>
      <c r="X424" s="13" t="s">
        <v>3178</v>
      </c>
    </row>
    <row r="425" ht="14.25" customHeight="1">
      <c r="A425" s="13" t="s">
        <v>2515</v>
      </c>
      <c r="B425" s="13" t="s">
        <v>2516</v>
      </c>
      <c r="C425" s="13">
        <v>2014.0</v>
      </c>
      <c r="D425" s="13" t="s">
        <v>3315</v>
      </c>
      <c r="E425" s="13" t="s">
        <v>3179</v>
      </c>
      <c r="F425" s="13" t="s">
        <v>3217</v>
      </c>
      <c r="G425" s="13" t="s">
        <v>3156</v>
      </c>
      <c r="H425" s="13" t="s">
        <v>33</v>
      </c>
      <c r="I425" s="13" t="s">
        <v>3167</v>
      </c>
      <c r="J425" s="13" t="s">
        <v>3167</v>
      </c>
      <c r="K425" s="13" t="s">
        <v>3370</v>
      </c>
      <c r="L425" s="13" t="s">
        <v>3177</v>
      </c>
      <c r="M425" s="13" t="s">
        <v>3342</v>
      </c>
      <c r="N425" s="13">
        <v>1.0</v>
      </c>
      <c r="O425" s="13" t="s">
        <v>3162</v>
      </c>
      <c r="P425" s="13" t="s">
        <v>33</v>
      </c>
      <c r="Q425" s="13" t="s">
        <v>3370</v>
      </c>
      <c r="R425" s="13" t="s">
        <v>3163</v>
      </c>
      <c r="S425" s="13" t="s">
        <v>33</v>
      </c>
      <c r="T425" s="13" t="s">
        <v>3165</v>
      </c>
      <c r="U425" s="13" t="s">
        <v>3165</v>
      </c>
      <c r="V425" s="13" t="s">
        <v>3166</v>
      </c>
      <c r="W425" s="13" t="s">
        <v>3167</v>
      </c>
      <c r="X425" s="13" t="s">
        <v>3216</v>
      </c>
    </row>
    <row r="426" ht="14.25" customHeight="1">
      <c r="A426" s="13">
        <v>24262.0</v>
      </c>
      <c r="B426" s="13" t="s">
        <v>2652</v>
      </c>
      <c r="C426" s="13">
        <v>2019.0</v>
      </c>
      <c r="D426" s="13" t="s">
        <v>3153</v>
      </c>
      <c r="E426" s="13" t="s">
        <v>3179</v>
      </c>
      <c r="F426" s="13" t="s">
        <v>3192</v>
      </c>
      <c r="G426" s="13" t="s">
        <v>3187</v>
      </c>
      <c r="H426" s="13">
        <v>25.0</v>
      </c>
      <c r="I426" s="13" t="s">
        <v>3261</v>
      </c>
      <c r="J426" s="13" t="s">
        <v>3229</v>
      </c>
      <c r="K426" s="13" t="s">
        <v>3159</v>
      </c>
      <c r="L426" s="13" t="s">
        <v>3177</v>
      </c>
      <c r="M426" s="13" t="s">
        <v>3342</v>
      </c>
      <c r="N426" s="13">
        <v>1.0</v>
      </c>
      <c r="O426" s="13" t="s">
        <v>3162</v>
      </c>
      <c r="P426" s="13" t="s">
        <v>33</v>
      </c>
      <c r="Q426" s="13" t="s">
        <v>3159</v>
      </c>
      <c r="R426" s="13" t="s">
        <v>3177</v>
      </c>
      <c r="S426" s="13" t="s">
        <v>33</v>
      </c>
      <c r="T426" s="13" t="s">
        <v>3164</v>
      </c>
      <c r="U426" s="13" t="s">
        <v>3197</v>
      </c>
      <c r="V426" s="13" t="s">
        <v>3166</v>
      </c>
      <c r="W426" s="13" t="s">
        <v>3167</v>
      </c>
      <c r="X426" s="13" t="s">
        <v>3255</v>
      </c>
    </row>
    <row r="427" ht="14.25" customHeight="1">
      <c r="A427" s="13">
        <v>24265.0</v>
      </c>
      <c r="B427" s="13" t="s">
        <v>2918</v>
      </c>
      <c r="C427" s="13">
        <v>2018.0</v>
      </c>
      <c r="D427" s="13" t="s">
        <v>3153</v>
      </c>
      <c r="E427" s="13" t="s">
        <v>3169</v>
      </c>
      <c r="F427" s="13" t="s">
        <v>3192</v>
      </c>
      <c r="G427" s="13" t="s">
        <v>3202</v>
      </c>
      <c r="H427" s="13">
        <v>30.0</v>
      </c>
      <c r="I427" s="13" t="s">
        <v>3244</v>
      </c>
      <c r="J427" s="13" t="s">
        <v>3289</v>
      </c>
      <c r="K427" s="13" t="s">
        <v>3208</v>
      </c>
      <c r="L427" s="13" t="s">
        <v>3160</v>
      </c>
      <c r="M427" s="13" t="s">
        <v>3819</v>
      </c>
      <c r="N427" s="13">
        <v>3.0</v>
      </c>
      <c r="O427" s="13" t="s">
        <v>3162</v>
      </c>
      <c r="P427" s="13" t="s">
        <v>3167</v>
      </c>
      <c r="Q427" s="13" t="s">
        <v>3205</v>
      </c>
      <c r="R427" s="13" t="s">
        <v>3231</v>
      </c>
      <c r="S427" s="13" t="s">
        <v>33</v>
      </c>
      <c r="T427" s="13" t="s">
        <v>3197</v>
      </c>
      <c r="U427" s="13" t="s">
        <v>3197</v>
      </c>
      <c r="V427" s="13" t="s">
        <v>3242</v>
      </c>
      <c r="W427" s="13" t="s">
        <v>3248</v>
      </c>
      <c r="X427" s="13" t="s">
        <v>3167</v>
      </c>
    </row>
    <row r="428" ht="14.25" customHeight="1">
      <c r="A428" s="13">
        <v>24266.0</v>
      </c>
      <c r="B428" s="13" t="s">
        <v>2212</v>
      </c>
      <c r="C428" s="13">
        <v>2014.0</v>
      </c>
      <c r="D428" s="13" t="s">
        <v>3153</v>
      </c>
      <c r="E428" s="13" t="s">
        <v>3169</v>
      </c>
      <c r="F428" s="13" t="s">
        <v>3192</v>
      </c>
      <c r="G428" s="13" t="s">
        <v>3202</v>
      </c>
      <c r="H428" s="13">
        <v>30.0</v>
      </c>
      <c r="I428" s="13" t="s">
        <v>3244</v>
      </c>
      <c r="J428" s="13" t="s">
        <v>3289</v>
      </c>
      <c r="K428" s="13" t="s">
        <v>3381</v>
      </c>
      <c r="L428" s="13" t="s">
        <v>3160</v>
      </c>
      <c r="M428" s="13" t="s">
        <v>3820</v>
      </c>
      <c r="N428" s="13">
        <v>1.0</v>
      </c>
      <c r="O428" s="13" t="s">
        <v>3162</v>
      </c>
      <c r="P428" s="13" t="s">
        <v>3821</v>
      </c>
      <c r="Q428" s="13" t="s">
        <v>3335</v>
      </c>
      <c r="R428" s="13" t="s">
        <v>3163</v>
      </c>
      <c r="S428" s="13" t="s">
        <v>33</v>
      </c>
      <c r="T428" s="13" t="s">
        <v>3195</v>
      </c>
      <c r="U428" s="13" t="s">
        <v>3195</v>
      </c>
      <c r="V428" s="13" t="s">
        <v>3195</v>
      </c>
      <c r="W428" s="13" t="s">
        <v>3167</v>
      </c>
      <c r="X428" s="13" t="s">
        <v>3167</v>
      </c>
    </row>
    <row r="429" ht="14.25" customHeight="1">
      <c r="A429" s="13">
        <v>24267.0</v>
      </c>
      <c r="B429" s="13" t="s">
        <v>2212</v>
      </c>
      <c r="C429" s="13">
        <v>2016.0</v>
      </c>
      <c r="D429" s="13" t="s">
        <v>3153</v>
      </c>
      <c r="E429" s="13" t="s">
        <v>3169</v>
      </c>
      <c r="F429" s="13" t="s">
        <v>3192</v>
      </c>
      <c r="G429" s="13" t="s">
        <v>3156</v>
      </c>
      <c r="H429" s="13" t="s">
        <v>33</v>
      </c>
      <c r="I429" s="13" t="s">
        <v>3222</v>
      </c>
      <c r="J429" s="13" t="s">
        <v>3182</v>
      </c>
      <c r="K429" s="13" t="s">
        <v>3183</v>
      </c>
      <c r="L429" s="13" t="s">
        <v>3160</v>
      </c>
      <c r="M429" s="13" t="s">
        <v>3161</v>
      </c>
      <c r="N429" s="13">
        <v>1.0</v>
      </c>
      <c r="O429" s="13" t="s">
        <v>3162</v>
      </c>
      <c r="P429" s="13" t="s">
        <v>3822</v>
      </c>
      <c r="Q429" s="13" t="s">
        <v>3210</v>
      </c>
      <c r="R429" s="13" t="s">
        <v>3163</v>
      </c>
      <c r="S429" s="13" t="s">
        <v>33</v>
      </c>
      <c r="T429" s="13" t="s">
        <v>3195</v>
      </c>
      <c r="U429" s="13" t="s">
        <v>3195</v>
      </c>
      <c r="V429" s="13" t="s">
        <v>3195</v>
      </c>
      <c r="W429" s="13" t="s">
        <v>3167</v>
      </c>
      <c r="X429" s="13" t="s">
        <v>3167</v>
      </c>
    </row>
    <row r="430" ht="14.25" customHeight="1">
      <c r="A430" s="13">
        <v>24268.0</v>
      </c>
      <c r="B430" s="13" t="s">
        <v>2939</v>
      </c>
      <c r="C430" s="13">
        <v>2019.0</v>
      </c>
      <c r="D430" s="13" t="s">
        <v>3153</v>
      </c>
      <c r="E430" s="13" t="s">
        <v>3169</v>
      </c>
      <c r="F430" s="13" t="s">
        <v>3155</v>
      </c>
      <c r="G430" s="13" t="s">
        <v>33</v>
      </c>
      <c r="H430" s="13" t="s">
        <v>33</v>
      </c>
      <c r="I430" s="13" t="s">
        <v>3203</v>
      </c>
      <c r="J430" s="13" t="s">
        <v>3450</v>
      </c>
      <c r="K430" s="13" t="s">
        <v>3183</v>
      </c>
      <c r="L430" s="13" t="s">
        <v>3160</v>
      </c>
      <c r="M430" s="13" t="s">
        <v>3258</v>
      </c>
      <c r="N430" s="13">
        <v>1.0</v>
      </c>
      <c r="O430" s="13" t="s">
        <v>3162</v>
      </c>
      <c r="P430" s="13" t="s">
        <v>3823</v>
      </c>
      <c r="Q430" s="13" t="s">
        <v>3210</v>
      </c>
      <c r="R430" s="13" t="s">
        <v>3163</v>
      </c>
      <c r="S430" s="13" t="s">
        <v>3453</v>
      </c>
      <c r="T430" s="13" t="s">
        <v>3195</v>
      </c>
      <c r="U430" s="13" t="s">
        <v>3195</v>
      </c>
      <c r="V430" s="13" t="s">
        <v>3195</v>
      </c>
      <c r="W430" s="13" t="s">
        <v>3167</v>
      </c>
      <c r="X430" s="13" t="s">
        <v>3167</v>
      </c>
    </row>
    <row r="431" ht="14.25" customHeight="1">
      <c r="A431" s="13">
        <v>24269.0</v>
      </c>
      <c r="B431" s="13" t="s">
        <v>1878</v>
      </c>
      <c r="C431" s="13">
        <v>2015.0</v>
      </c>
      <c r="D431" s="13" t="s">
        <v>3153</v>
      </c>
      <c r="E431" s="13" t="s">
        <v>3395</v>
      </c>
      <c r="F431" s="13" t="s">
        <v>3170</v>
      </c>
      <c r="G431" s="13" t="s">
        <v>33</v>
      </c>
      <c r="H431" s="13" t="s">
        <v>33</v>
      </c>
      <c r="I431" s="13" t="s">
        <v>3188</v>
      </c>
      <c r="J431" s="13" t="s">
        <v>3233</v>
      </c>
      <c r="K431" s="13" t="s">
        <v>3208</v>
      </c>
      <c r="L431" s="13" t="s">
        <v>3160</v>
      </c>
      <c r="M431" s="13" t="s">
        <v>3824</v>
      </c>
      <c r="N431" s="13">
        <v>5.0</v>
      </c>
      <c r="O431" s="13" t="s">
        <v>3162</v>
      </c>
      <c r="P431" s="13" t="s">
        <v>33</v>
      </c>
      <c r="Q431" s="13" t="s">
        <v>3208</v>
      </c>
      <c r="R431" s="13" t="s">
        <v>3163</v>
      </c>
      <c r="S431" s="13" t="s">
        <v>33</v>
      </c>
      <c r="T431" s="13" t="s">
        <v>3164</v>
      </c>
      <c r="U431" s="13" t="s">
        <v>3197</v>
      </c>
      <c r="V431" s="13" t="s">
        <v>3242</v>
      </c>
      <c r="W431" s="13" t="s">
        <v>3481</v>
      </c>
      <c r="X431" s="13" t="s">
        <v>3167</v>
      </c>
    </row>
    <row r="432" ht="14.25" customHeight="1">
      <c r="A432" s="13">
        <v>24270.0</v>
      </c>
      <c r="B432" s="13" t="s">
        <v>2793</v>
      </c>
      <c r="C432" s="13">
        <v>2019.0</v>
      </c>
      <c r="D432" s="13" t="s">
        <v>3153</v>
      </c>
      <c r="E432" s="13" t="s">
        <v>3169</v>
      </c>
      <c r="F432" s="13" t="s">
        <v>3170</v>
      </c>
      <c r="G432" s="13" t="s">
        <v>33</v>
      </c>
      <c r="H432" s="13" t="s">
        <v>33</v>
      </c>
      <c r="I432" s="13" t="s">
        <v>3171</v>
      </c>
      <c r="J432" s="13" t="s">
        <v>3825</v>
      </c>
      <c r="K432" s="13" t="s">
        <v>3159</v>
      </c>
      <c r="L432" s="13" t="s">
        <v>3160</v>
      </c>
      <c r="M432" s="13" t="s">
        <v>3571</v>
      </c>
      <c r="N432" s="13">
        <v>2.0</v>
      </c>
      <c r="O432" s="13" t="s">
        <v>3267</v>
      </c>
      <c r="P432" s="13" t="s">
        <v>33</v>
      </c>
      <c r="Q432" s="13" t="s">
        <v>3159</v>
      </c>
      <c r="R432" s="13" t="s">
        <v>3177</v>
      </c>
      <c r="S432" s="13" t="s">
        <v>33</v>
      </c>
      <c r="T432" s="13" t="s">
        <v>3164</v>
      </c>
      <c r="U432" s="13" t="s">
        <v>3164</v>
      </c>
      <c r="V432" s="13" t="s">
        <v>3166</v>
      </c>
      <c r="W432" s="13" t="s">
        <v>3167</v>
      </c>
      <c r="X432" s="13" t="s">
        <v>3224</v>
      </c>
    </row>
    <row r="433" ht="14.25" customHeight="1">
      <c r="A433" s="13">
        <v>24274.0</v>
      </c>
      <c r="B433" s="13" t="s">
        <v>2921</v>
      </c>
      <c r="C433" s="13">
        <v>2015.0</v>
      </c>
      <c r="D433" s="13" t="s">
        <v>3153</v>
      </c>
      <c r="E433" s="13" t="s">
        <v>3169</v>
      </c>
      <c r="F433" s="13" t="s">
        <v>3170</v>
      </c>
      <c r="G433" s="13" t="s">
        <v>3202</v>
      </c>
      <c r="H433" s="13">
        <v>100.0</v>
      </c>
      <c r="I433" s="13" t="s">
        <v>3157</v>
      </c>
      <c r="J433" s="13" t="s">
        <v>3199</v>
      </c>
      <c r="K433" s="13" t="s">
        <v>3186</v>
      </c>
      <c r="L433" s="13" t="s">
        <v>3177</v>
      </c>
      <c r="M433" s="13" t="s">
        <v>3826</v>
      </c>
      <c r="N433" s="13">
        <v>2.0</v>
      </c>
      <c r="O433" s="13" t="s">
        <v>3162</v>
      </c>
      <c r="P433" s="13" t="s">
        <v>33</v>
      </c>
      <c r="Q433" s="13" t="s">
        <v>3210</v>
      </c>
      <c r="R433" s="13" t="s">
        <v>3163</v>
      </c>
      <c r="S433" s="13" t="s">
        <v>33</v>
      </c>
      <c r="T433" s="13" t="s">
        <v>3195</v>
      </c>
      <c r="U433" s="13" t="s">
        <v>3195</v>
      </c>
      <c r="V433" s="13" t="s">
        <v>3195</v>
      </c>
      <c r="W433" s="13" t="s">
        <v>3167</v>
      </c>
      <c r="X433" s="13" t="s">
        <v>3167</v>
      </c>
    </row>
    <row r="434" ht="14.25" customHeight="1">
      <c r="A434" s="13">
        <v>24288.0</v>
      </c>
      <c r="B434" s="13" t="s">
        <v>2704</v>
      </c>
      <c r="C434" s="13">
        <v>2019.0</v>
      </c>
      <c r="D434" s="13" t="s">
        <v>3153</v>
      </c>
      <c r="E434" s="13" t="s">
        <v>3169</v>
      </c>
      <c r="F434" s="13" t="s">
        <v>3170</v>
      </c>
      <c r="G434" s="13" t="s">
        <v>3156</v>
      </c>
      <c r="H434" s="13" t="s">
        <v>33</v>
      </c>
      <c r="I434" s="13" t="s">
        <v>3188</v>
      </c>
      <c r="J434" s="13" t="s">
        <v>3233</v>
      </c>
      <c r="K434" s="13" t="s">
        <v>3190</v>
      </c>
      <c r="L434" s="13" t="s">
        <v>3160</v>
      </c>
      <c r="M434" s="13" t="s">
        <v>3827</v>
      </c>
      <c r="N434" s="13">
        <v>2.0</v>
      </c>
      <c r="O434" s="13" t="s">
        <v>3162</v>
      </c>
      <c r="P434" s="13" t="s">
        <v>33</v>
      </c>
      <c r="Q434" s="13" t="s">
        <v>3828</v>
      </c>
      <c r="R434" s="13" t="s">
        <v>3163</v>
      </c>
      <c r="S434" s="13" t="s">
        <v>33</v>
      </c>
      <c r="T434" s="13" t="s">
        <v>3252</v>
      </c>
      <c r="U434" s="13" t="s">
        <v>3252</v>
      </c>
      <c r="V434" s="13" t="s">
        <v>3253</v>
      </c>
      <c r="W434" s="13" t="s">
        <v>3634</v>
      </c>
      <c r="X434" s="13" t="s">
        <v>3632</v>
      </c>
    </row>
    <row r="435" ht="14.25" customHeight="1">
      <c r="A435" s="13">
        <v>24290.0</v>
      </c>
      <c r="B435" s="13" t="s">
        <v>972</v>
      </c>
      <c r="C435" s="13">
        <v>2012.0</v>
      </c>
      <c r="D435" s="13" t="s">
        <v>3153</v>
      </c>
      <c r="E435" s="13" t="s">
        <v>3179</v>
      </c>
      <c r="F435" s="13" t="s">
        <v>3192</v>
      </c>
      <c r="G435" s="13" t="s">
        <v>3156</v>
      </c>
      <c r="H435" s="13" t="s">
        <v>33</v>
      </c>
      <c r="I435" s="13" t="s">
        <v>3249</v>
      </c>
      <c r="J435" s="13" t="s">
        <v>3600</v>
      </c>
      <c r="K435" s="13" t="s">
        <v>3829</v>
      </c>
      <c r="L435" s="13" t="s">
        <v>3160</v>
      </c>
      <c r="M435" s="13" t="s">
        <v>3830</v>
      </c>
      <c r="N435" s="13">
        <v>3.0</v>
      </c>
      <c r="O435" s="13" t="s">
        <v>3162</v>
      </c>
      <c r="P435" s="13" t="s">
        <v>3831</v>
      </c>
      <c r="Q435" s="13" t="s">
        <v>3159</v>
      </c>
      <c r="R435" s="13" t="s">
        <v>3163</v>
      </c>
      <c r="S435" s="13" t="s">
        <v>33</v>
      </c>
      <c r="T435" s="13" t="s">
        <v>3164</v>
      </c>
      <c r="U435" s="13" t="s">
        <v>3252</v>
      </c>
      <c r="V435" s="13" t="s">
        <v>3253</v>
      </c>
      <c r="W435" s="13" t="s">
        <v>3254</v>
      </c>
      <c r="X435" s="13" t="s">
        <v>3832</v>
      </c>
    </row>
    <row r="436" ht="14.25" customHeight="1">
      <c r="A436" s="13">
        <v>24291.0</v>
      </c>
      <c r="B436" s="13" t="s">
        <v>2650</v>
      </c>
      <c r="C436" s="13">
        <v>2016.0</v>
      </c>
      <c r="D436" s="13" t="s">
        <v>3153</v>
      </c>
      <c r="E436" s="13" t="s">
        <v>3154</v>
      </c>
      <c r="F436" s="13" t="s">
        <v>3170</v>
      </c>
      <c r="G436" s="13" t="s">
        <v>33</v>
      </c>
      <c r="H436" s="13" t="s">
        <v>33</v>
      </c>
      <c r="I436" s="13" t="s">
        <v>3171</v>
      </c>
      <c r="J436" s="13" t="s">
        <v>3698</v>
      </c>
      <c r="K436" s="13" t="s">
        <v>3208</v>
      </c>
      <c r="L436" s="13" t="s">
        <v>3160</v>
      </c>
      <c r="M436" s="13" t="s">
        <v>3565</v>
      </c>
      <c r="N436" s="13">
        <v>2.0</v>
      </c>
      <c r="O436" s="13" t="s">
        <v>3162</v>
      </c>
      <c r="P436" s="13" t="s">
        <v>33</v>
      </c>
      <c r="Q436" s="13" t="s">
        <v>3208</v>
      </c>
      <c r="R436" s="13" t="s">
        <v>3163</v>
      </c>
      <c r="S436" s="13" t="s">
        <v>33</v>
      </c>
      <c r="T436" s="13" t="s">
        <v>3247</v>
      </c>
      <c r="U436" s="13" t="s">
        <v>3247</v>
      </c>
      <c r="V436" s="13" t="s">
        <v>3242</v>
      </c>
      <c r="W436" s="13" t="s">
        <v>3833</v>
      </c>
      <c r="X436" s="13" t="s">
        <v>3167</v>
      </c>
    </row>
    <row r="437" ht="14.25" customHeight="1">
      <c r="A437" s="13">
        <v>24295.0</v>
      </c>
      <c r="B437" s="13" t="s">
        <v>2956</v>
      </c>
      <c r="C437" s="13">
        <v>2020.0</v>
      </c>
      <c r="D437" s="13" t="s">
        <v>3153</v>
      </c>
      <c r="E437" s="13" t="s">
        <v>3169</v>
      </c>
      <c r="F437" s="13" t="s">
        <v>3217</v>
      </c>
      <c r="G437" s="13" t="s">
        <v>3187</v>
      </c>
      <c r="H437" s="13">
        <v>1.0</v>
      </c>
      <c r="I437" s="13" t="s">
        <v>3167</v>
      </c>
      <c r="J437" s="13" t="s">
        <v>3167</v>
      </c>
      <c r="K437" s="13" t="s">
        <v>3183</v>
      </c>
      <c r="L437" s="13" t="s">
        <v>3160</v>
      </c>
      <c r="M437" s="13" t="s">
        <v>3834</v>
      </c>
      <c r="N437" s="13">
        <v>2.0</v>
      </c>
      <c r="O437" s="13" t="s">
        <v>3162</v>
      </c>
      <c r="P437" s="13" t="s">
        <v>3835</v>
      </c>
      <c r="Q437" s="13" t="s">
        <v>3183</v>
      </c>
      <c r="R437" s="13" t="s">
        <v>3163</v>
      </c>
      <c r="S437" s="13" t="s">
        <v>33</v>
      </c>
      <c r="T437" s="13" t="s">
        <v>3247</v>
      </c>
      <c r="U437" s="13" t="s">
        <v>3247</v>
      </c>
      <c r="V437" s="13" t="s">
        <v>3242</v>
      </c>
      <c r="W437" s="13" t="s">
        <v>3294</v>
      </c>
      <c r="X437" s="13" t="s">
        <v>3167</v>
      </c>
    </row>
    <row r="438" ht="14.25" customHeight="1">
      <c r="A438" s="13">
        <v>25557.0</v>
      </c>
      <c r="B438" s="13" t="s">
        <v>2503</v>
      </c>
      <c r="C438" s="13">
        <v>2020.0</v>
      </c>
      <c r="D438" s="13" t="s">
        <v>3153</v>
      </c>
      <c r="E438" s="13" t="s">
        <v>3179</v>
      </c>
      <c r="F438" s="13" t="s">
        <v>3170</v>
      </c>
      <c r="G438" s="13" t="s">
        <v>3180</v>
      </c>
      <c r="H438" s="13">
        <v>0.01</v>
      </c>
      <c r="I438" s="13" t="s">
        <v>3392</v>
      </c>
      <c r="J438" s="13" t="s">
        <v>3836</v>
      </c>
      <c r="K438" s="13" t="s">
        <v>3296</v>
      </c>
      <c r="L438" s="13" t="s">
        <v>3177</v>
      </c>
      <c r="M438" s="13" t="s">
        <v>3342</v>
      </c>
      <c r="N438" s="13">
        <v>1.0</v>
      </c>
      <c r="O438" s="13" t="s">
        <v>3162</v>
      </c>
      <c r="P438" s="13" t="s">
        <v>33</v>
      </c>
      <c r="Q438" s="13" t="s">
        <v>3159</v>
      </c>
      <c r="R438" s="13" t="s">
        <v>3163</v>
      </c>
      <c r="S438" s="13" t="s">
        <v>33</v>
      </c>
      <c r="T438" s="13" t="s">
        <v>3164</v>
      </c>
      <c r="U438" s="13" t="s">
        <v>3232</v>
      </c>
      <c r="V438" s="13" t="s">
        <v>3166</v>
      </c>
      <c r="W438" s="13" t="s">
        <v>3167</v>
      </c>
      <c r="X438" s="13" t="s">
        <v>3225</v>
      </c>
    </row>
    <row r="439" ht="14.25" customHeight="1">
      <c r="A439" s="13">
        <v>24297.0</v>
      </c>
      <c r="B439" s="13" t="s">
        <v>1173</v>
      </c>
      <c r="C439" s="13">
        <v>2015.0</v>
      </c>
      <c r="D439" s="13" t="s">
        <v>3153</v>
      </c>
      <c r="E439" s="13" t="s">
        <v>3179</v>
      </c>
      <c r="F439" s="13" t="s">
        <v>3170</v>
      </c>
      <c r="G439" s="13" t="s">
        <v>3156</v>
      </c>
      <c r="H439" s="13" t="s">
        <v>33</v>
      </c>
      <c r="I439" s="13" t="s">
        <v>3392</v>
      </c>
      <c r="J439" s="13" t="s">
        <v>3204</v>
      </c>
      <c r="K439" s="13" t="s">
        <v>3159</v>
      </c>
      <c r="L439" s="13" t="s">
        <v>3160</v>
      </c>
      <c r="M439" s="13" t="s">
        <v>3342</v>
      </c>
      <c r="N439" s="13">
        <v>1.0</v>
      </c>
      <c r="O439" s="13" t="s">
        <v>3162</v>
      </c>
      <c r="P439" s="13" t="s">
        <v>33</v>
      </c>
      <c r="Q439" s="13" t="s">
        <v>3159</v>
      </c>
      <c r="R439" s="13" t="s">
        <v>3163</v>
      </c>
      <c r="S439" s="13" t="s">
        <v>33</v>
      </c>
      <c r="T439" s="13" t="s">
        <v>3164</v>
      </c>
      <c r="U439" s="13" t="s">
        <v>3164</v>
      </c>
      <c r="V439" s="13" t="s">
        <v>3166</v>
      </c>
      <c r="W439" s="13" t="s">
        <v>3167</v>
      </c>
      <c r="X439" s="13" t="s">
        <v>3255</v>
      </c>
    </row>
    <row r="440" ht="14.25" customHeight="1">
      <c r="A440" s="13">
        <v>24299.0</v>
      </c>
      <c r="B440" s="13" t="s">
        <v>3837</v>
      </c>
      <c r="C440" s="13">
        <v>2020.0</v>
      </c>
      <c r="D440" s="13" t="s">
        <v>3153</v>
      </c>
      <c r="E440" s="13" t="s">
        <v>3169</v>
      </c>
      <c r="F440" s="13" t="s">
        <v>3170</v>
      </c>
      <c r="G440" s="13" t="s">
        <v>3187</v>
      </c>
      <c r="H440" s="13">
        <v>0.25</v>
      </c>
      <c r="I440" s="13" t="s">
        <v>3157</v>
      </c>
      <c r="J440" s="13" t="s">
        <v>3158</v>
      </c>
      <c r="K440" s="13" t="s">
        <v>3208</v>
      </c>
      <c r="L440" s="13" t="s">
        <v>3177</v>
      </c>
      <c r="M440" s="13" t="s">
        <v>3838</v>
      </c>
      <c r="N440" s="13">
        <v>3.0</v>
      </c>
      <c r="O440" s="13" t="s">
        <v>3162</v>
      </c>
      <c r="P440" s="13" t="s">
        <v>33</v>
      </c>
      <c r="Q440" s="13" t="s">
        <v>3210</v>
      </c>
      <c r="R440" s="13" t="s">
        <v>3163</v>
      </c>
      <c r="S440" s="13" t="s">
        <v>33</v>
      </c>
      <c r="T440" s="13" t="s">
        <v>3195</v>
      </c>
      <c r="U440" s="13" t="s">
        <v>3195</v>
      </c>
      <c r="V440" s="13" t="s">
        <v>3195</v>
      </c>
      <c r="W440" s="13" t="s">
        <v>3167</v>
      </c>
      <c r="X440" s="13" t="s">
        <v>3167</v>
      </c>
    </row>
    <row r="441" ht="14.25" customHeight="1">
      <c r="A441" s="13">
        <v>24302.0</v>
      </c>
      <c r="B441" s="13" t="s">
        <v>2708</v>
      </c>
      <c r="C441" s="13">
        <v>2019.0</v>
      </c>
      <c r="D441" s="13" t="s">
        <v>3153</v>
      </c>
      <c r="E441" s="13" t="s">
        <v>3154</v>
      </c>
      <c r="F441" s="13" t="s">
        <v>3284</v>
      </c>
      <c r="G441" s="13" t="s">
        <v>33</v>
      </c>
      <c r="H441" s="13" t="s">
        <v>33</v>
      </c>
      <c r="I441" s="13" t="s">
        <v>3157</v>
      </c>
      <c r="J441" s="13" t="s">
        <v>3167</v>
      </c>
      <c r="K441" s="13" t="s">
        <v>3381</v>
      </c>
      <c r="L441" s="13" t="s">
        <v>3177</v>
      </c>
      <c r="M441" s="13" t="s">
        <v>3213</v>
      </c>
      <c r="N441" s="13">
        <v>2.0</v>
      </c>
      <c r="O441" s="13" t="s">
        <v>3162</v>
      </c>
      <c r="P441" s="13" t="s">
        <v>3839</v>
      </c>
      <c r="Q441" s="13" t="s">
        <v>3183</v>
      </c>
      <c r="R441" s="13" t="s">
        <v>3177</v>
      </c>
      <c r="S441" s="13" t="s">
        <v>3840</v>
      </c>
      <c r="T441" s="13" t="s">
        <v>3197</v>
      </c>
      <c r="U441" s="13" t="s">
        <v>3197</v>
      </c>
      <c r="V441" s="13" t="s">
        <v>3166</v>
      </c>
      <c r="W441" s="13" t="s">
        <v>3167</v>
      </c>
      <c r="X441" s="13" t="s">
        <v>3255</v>
      </c>
    </row>
    <row r="442" ht="14.25" customHeight="1">
      <c r="A442" s="13">
        <v>24304.0</v>
      </c>
      <c r="B442" s="13" t="s">
        <v>540</v>
      </c>
      <c r="C442" s="13">
        <v>2010.0</v>
      </c>
      <c r="D442" s="13" t="s">
        <v>3153</v>
      </c>
      <c r="E442" s="13" t="s">
        <v>3169</v>
      </c>
      <c r="F442" s="13" t="s">
        <v>3284</v>
      </c>
      <c r="G442" s="13" t="s">
        <v>3187</v>
      </c>
      <c r="H442" s="13">
        <v>1.0</v>
      </c>
      <c r="I442" s="13" t="s">
        <v>3244</v>
      </c>
      <c r="J442" s="13" t="s">
        <v>3167</v>
      </c>
      <c r="K442" s="13" t="s">
        <v>3257</v>
      </c>
      <c r="L442" s="13" t="s">
        <v>3177</v>
      </c>
      <c r="M442" s="13" t="s">
        <v>3841</v>
      </c>
      <c r="N442" s="13">
        <v>6.0</v>
      </c>
      <c r="O442" s="13" t="s">
        <v>3162</v>
      </c>
      <c r="P442" s="13" t="s">
        <v>3689</v>
      </c>
      <c r="Q442" s="13" t="s">
        <v>3335</v>
      </c>
      <c r="R442" s="13" t="s">
        <v>3231</v>
      </c>
      <c r="S442" s="13" t="s">
        <v>33</v>
      </c>
      <c r="T442" s="13" t="s">
        <v>3252</v>
      </c>
      <c r="U442" s="13" t="s">
        <v>3252</v>
      </c>
      <c r="V442" s="13" t="s">
        <v>3253</v>
      </c>
      <c r="W442" s="13" t="s">
        <v>3755</v>
      </c>
      <c r="X442" s="13" t="s">
        <v>3755</v>
      </c>
    </row>
    <row r="443" ht="14.25" customHeight="1">
      <c r="A443" s="13">
        <v>24307.0</v>
      </c>
      <c r="B443" s="13" t="s">
        <v>1324</v>
      </c>
      <c r="C443" s="13">
        <v>2016.0</v>
      </c>
      <c r="D443" s="13" t="s">
        <v>3153</v>
      </c>
      <c r="E443" s="13" t="s">
        <v>3179</v>
      </c>
      <c r="F443" s="13" t="s">
        <v>3217</v>
      </c>
      <c r="G443" s="13" t="s">
        <v>3187</v>
      </c>
      <c r="H443" s="13">
        <v>2500.0</v>
      </c>
      <c r="I443" s="13" t="s">
        <v>3167</v>
      </c>
      <c r="J443" s="13" t="s">
        <v>3167</v>
      </c>
      <c r="K443" s="13" t="s">
        <v>3183</v>
      </c>
      <c r="L443" s="13" t="s">
        <v>3177</v>
      </c>
      <c r="M443" s="13" t="s">
        <v>3219</v>
      </c>
      <c r="N443" s="13">
        <v>8.0</v>
      </c>
      <c r="O443" s="13" t="s">
        <v>3175</v>
      </c>
      <c r="P443" s="13" t="s">
        <v>3842</v>
      </c>
      <c r="Q443" s="13" t="s">
        <v>3183</v>
      </c>
      <c r="R443" s="13" t="s">
        <v>3177</v>
      </c>
      <c r="S443" s="13" t="s">
        <v>3843</v>
      </c>
      <c r="T443" s="13" t="s">
        <v>3252</v>
      </c>
      <c r="U443" s="13" t="s">
        <v>3252</v>
      </c>
      <c r="V443" s="13" t="s">
        <v>3253</v>
      </c>
      <c r="W443" s="13" t="s">
        <v>3298</v>
      </c>
      <c r="X443" s="13" t="s">
        <v>3844</v>
      </c>
    </row>
    <row r="444" ht="14.25" customHeight="1">
      <c r="A444" s="13">
        <v>24310.0</v>
      </c>
      <c r="B444" s="13" t="s">
        <v>1175</v>
      </c>
      <c r="C444" s="13">
        <v>2019.0</v>
      </c>
      <c r="D444" s="13" t="s">
        <v>3153</v>
      </c>
      <c r="E444" s="13" t="s">
        <v>3169</v>
      </c>
      <c r="F444" s="13" t="s">
        <v>3217</v>
      </c>
      <c r="G444" s="13" t="s">
        <v>3156</v>
      </c>
      <c r="H444" s="13" t="s">
        <v>33</v>
      </c>
      <c r="I444" s="13" t="s">
        <v>3167</v>
      </c>
      <c r="J444" s="13" t="s">
        <v>3167</v>
      </c>
      <c r="K444" s="13" t="s">
        <v>3845</v>
      </c>
      <c r="L444" s="13" t="s">
        <v>3177</v>
      </c>
      <c r="M444" s="13" t="s">
        <v>3391</v>
      </c>
      <c r="N444" s="13">
        <v>1.0</v>
      </c>
      <c r="O444" s="13" t="s">
        <v>3162</v>
      </c>
      <c r="P444" s="13" t="s">
        <v>3846</v>
      </c>
      <c r="Q444" s="13" t="s">
        <v>3847</v>
      </c>
      <c r="R444" s="13" t="s">
        <v>3177</v>
      </c>
      <c r="S444" s="13" t="s">
        <v>3846</v>
      </c>
      <c r="T444" s="13" t="s">
        <v>3165</v>
      </c>
      <c r="U444" s="13" t="s">
        <v>3165</v>
      </c>
      <c r="V444" s="13" t="s">
        <v>3166</v>
      </c>
      <c r="W444" s="13" t="s">
        <v>3167</v>
      </c>
      <c r="X444" s="13" t="s">
        <v>3216</v>
      </c>
    </row>
    <row r="445" ht="14.25" customHeight="1">
      <c r="A445" s="13">
        <v>24313.0</v>
      </c>
      <c r="B445" s="13" t="s">
        <v>1256</v>
      </c>
      <c r="C445" s="13">
        <v>2020.0</v>
      </c>
      <c r="D445" s="13" t="s">
        <v>3153</v>
      </c>
      <c r="E445" s="13" t="s">
        <v>3465</v>
      </c>
      <c r="F445" s="13" t="s">
        <v>3211</v>
      </c>
      <c r="G445" s="13" t="s">
        <v>3156</v>
      </c>
      <c r="H445" s="13" t="s">
        <v>33</v>
      </c>
      <c r="I445" s="13" t="s">
        <v>3244</v>
      </c>
      <c r="J445" s="13" t="s">
        <v>3848</v>
      </c>
      <c r="K445" s="13" t="s">
        <v>3186</v>
      </c>
      <c r="L445" s="13" t="s">
        <v>3177</v>
      </c>
      <c r="M445" s="13" t="s">
        <v>3291</v>
      </c>
      <c r="N445" s="13">
        <v>1.0</v>
      </c>
      <c r="O445" s="13" t="s">
        <v>3162</v>
      </c>
      <c r="P445" s="13" t="s">
        <v>3849</v>
      </c>
      <c r="Q445" s="13" t="s">
        <v>3183</v>
      </c>
      <c r="R445" s="13" t="s">
        <v>3177</v>
      </c>
      <c r="S445" s="13" t="s">
        <v>3850</v>
      </c>
      <c r="T445" s="13" t="s">
        <v>3197</v>
      </c>
      <c r="U445" s="13" t="s">
        <v>3197</v>
      </c>
      <c r="V445" s="13" t="s">
        <v>3166</v>
      </c>
      <c r="W445" s="13" t="s">
        <v>3167</v>
      </c>
      <c r="X445" s="13" t="s">
        <v>3255</v>
      </c>
    </row>
    <row r="446" ht="14.25" customHeight="1">
      <c r="A446" s="13">
        <v>24314.0</v>
      </c>
      <c r="B446" s="13" t="s">
        <v>3851</v>
      </c>
      <c r="C446" s="13">
        <v>2016.0</v>
      </c>
      <c r="D446" s="13" t="s">
        <v>3153</v>
      </c>
      <c r="E446" s="13" t="s">
        <v>3169</v>
      </c>
      <c r="F446" s="13" t="s">
        <v>3192</v>
      </c>
      <c r="G446" s="13" t="s">
        <v>3187</v>
      </c>
      <c r="H446" s="13">
        <v>1.0</v>
      </c>
      <c r="I446" s="13" t="s">
        <v>3222</v>
      </c>
      <c r="J446" s="13" t="s">
        <v>3182</v>
      </c>
      <c r="K446" s="13" t="s">
        <v>3282</v>
      </c>
      <c r="L446" s="13" t="s">
        <v>3177</v>
      </c>
      <c r="M446" s="13" t="s">
        <v>3852</v>
      </c>
      <c r="N446" s="13">
        <v>7.0</v>
      </c>
      <c r="O446" s="13" t="s">
        <v>3162</v>
      </c>
      <c r="P446" s="13" t="s">
        <v>3853</v>
      </c>
      <c r="Q446" s="13" t="s">
        <v>3210</v>
      </c>
      <c r="R446" s="13" t="s">
        <v>3231</v>
      </c>
      <c r="S446" s="13" t="s">
        <v>33</v>
      </c>
      <c r="T446" s="13" t="s">
        <v>3195</v>
      </c>
      <c r="U446" s="13" t="s">
        <v>3195</v>
      </c>
      <c r="V446" s="13" t="s">
        <v>3195</v>
      </c>
      <c r="W446" s="13" t="s">
        <v>3167</v>
      </c>
      <c r="X446" s="13" t="s">
        <v>3167</v>
      </c>
    </row>
    <row r="447" ht="14.25" customHeight="1">
      <c r="A447" s="13">
        <v>24315.0</v>
      </c>
      <c r="B447" s="13" t="s">
        <v>453</v>
      </c>
      <c r="C447" s="13">
        <v>2020.0</v>
      </c>
      <c r="D447" s="13" t="s">
        <v>3153</v>
      </c>
      <c r="E447" s="13" t="s">
        <v>3169</v>
      </c>
      <c r="F447" s="13" t="s">
        <v>3284</v>
      </c>
      <c r="G447" s="13" t="s">
        <v>3588</v>
      </c>
      <c r="H447" s="13">
        <v>30.0</v>
      </c>
      <c r="I447" s="13" t="s">
        <v>3854</v>
      </c>
      <c r="J447" s="13" t="s">
        <v>3167</v>
      </c>
      <c r="K447" s="13" t="s">
        <v>3417</v>
      </c>
      <c r="L447" s="13" t="s">
        <v>3177</v>
      </c>
      <c r="M447" s="13" t="s">
        <v>3855</v>
      </c>
      <c r="N447" s="13">
        <v>2.0</v>
      </c>
      <c r="O447" s="13" t="s">
        <v>3175</v>
      </c>
      <c r="P447" s="13" t="s">
        <v>3856</v>
      </c>
      <c r="Q447" s="13" t="s">
        <v>3183</v>
      </c>
      <c r="R447" s="13" t="s">
        <v>3163</v>
      </c>
      <c r="S447" s="13" t="s">
        <v>3397</v>
      </c>
      <c r="T447" s="13" t="s">
        <v>3164</v>
      </c>
      <c r="U447" s="13" t="s">
        <v>3228</v>
      </c>
      <c r="V447" s="13" t="s">
        <v>3166</v>
      </c>
      <c r="W447" s="13" t="s">
        <v>3167</v>
      </c>
      <c r="X447" s="13" t="s">
        <v>3178</v>
      </c>
    </row>
    <row r="448" ht="14.25" customHeight="1">
      <c r="A448" s="13">
        <v>24328.0</v>
      </c>
      <c r="B448" s="13" t="s">
        <v>640</v>
      </c>
      <c r="C448" s="13">
        <v>2018.0</v>
      </c>
      <c r="D448" s="13" t="s">
        <v>3153</v>
      </c>
      <c r="E448" s="13" t="s">
        <v>3179</v>
      </c>
      <c r="F448" s="13" t="s">
        <v>3192</v>
      </c>
      <c r="G448" s="13" t="s">
        <v>3202</v>
      </c>
      <c r="H448" s="13">
        <v>250.0</v>
      </c>
      <c r="I448" s="13" t="s">
        <v>3392</v>
      </c>
      <c r="J448" s="13" t="s">
        <v>3204</v>
      </c>
      <c r="K448" s="13" t="s">
        <v>3545</v>
      </c>
      <c r="L448" s="13" t="s">
        <v>3177</v>
      </c>
      <c r="M448" s="13" t="s">
        <v>3857</v>
      </c>
      <c r="N448" s="13">
        <v>13.0</v>
      </c>
      <c r="O448" s="13" t="s">
        <v>3162</v>
      </c>
      <c r="P448" s="13" t="s">
        <v>3858</v>
      </c>
      <c r="Q448" s="13" t="s">
        <v>3183</v>
      </c>
      <c r="R448" s="13" t="s">
        <v>3163</v>
      </c>
      <c r="S448" s="13" t="s">
        <v>3859</v>
      </c>
      <c r="T448" s="13" t="s">
        <v>3165</v>
      </c>
      <c r="U448" s="13" t="s">
        <v>3247</v>
      </c>
      <c r="V448" s="13" t="s">
        <v>3242</v>
      </c>
      <c r="W448" s="13" t="s">
        <v>3860</v>
      </c>
      <c r="X448" s="13" t="s">
        <v>3167</v>
      </c>
    </row>
    <row r="449" ht="14.25" customHeight="1">
      <c r="A449" s="13">
        <v>24322.0</v>
      </c>
      <c r="B449" s="13" t="s">
        <v>1208</v>
      </c>
      <c r="C449" s="13">
        <v>2012.0</v>
      </c>
      <c r="D449" s="13" t="s">
        <v>3153</v>
      </c>
      <c r="E449" s="13" t="s">
        <v>3169</v>
      </c>
      <c r="F449" s="13" t="s">
        <v>3192</v>
      </c>
      <c r="G449" s="13" t="s">
        <v>3187</v>
      </c>
      <c r="H449" s="13">
        <v>5.0</v>
      </c>
      <c r="I449" s="13" t="s">
        <v>3157</v>
      </c>
      <c r="J449" s="13" t="s">
        <v>3240</v>
      </c>
      <c r="K449" s="13" t="s">
        <v>3159</v>
      </c>
      <c r="L449" s="13" t="s">
        <v>3177</v>
      </c>
      <c r="M449" s="13" t="s">
        <v>3448</v>
      </c>
      <c r="N449" s="13">
        <v>1.0</v>
      </c>
      <c r="O449" s="13" t="s">
        <v>3162</v>
      </c>
      <c r="P449" s="13" t="s">
        <v>33</v>
      </c>
      <c r="Q449" s="13" t="s">
        <v>3159</v>
      </c>
      <c r="R449" s="13" t="s">
        <v>3163</v>
      </c>
      <c r="S449" s="13" t="s">
        <v>33</v>
      </c>
      <c r="T449" s="13" t="s">
        <v>3164</v>
      </c>
      <c r="U449" s="13" t="s">
        <v>3164</v>
      </c>
      <c r="V449" s="13" t="s">
        <v>3242</v>
      </c>
      <c r="W449" s="13" t="s">
        <v>3377</v>
      </c>
      <c r="X449" s="13" t="s">
        <v>3167</v>
      </c>
    </row>
    <row r="450" ht="14.25" customHeight="1">
      <c r="A450" s="13">
        <v>24321.0</v>
      </c>
      <c r="B450" s="13" t="s">
        <v>2473</v>
      </c>
      <c r="C450" s="13">
        <v>2009.0</v>
      </c>
      <c r="D450" s="13" t="s">
        <v>3153</v>
      </c>
      <c r="E450" s="13" t="s">
        <v>3154</v>
      </c>
      <c r="F450" s="13" t="s">
        <v>3155</v>
      </c>
      <c r="G450" s="13" t="s">
        <v>3156</v>
      </c>
      <c r="H450" s="13" t="s">
        <v>33</v>
      </c>
      <c r="I450" s="13" t="s">
        <v>3171</v>
      </c>
      <c r="J450" s="13" t="s">
        <v>3454</v>
      </c>
      <c r="K450" s="13" t="s">
        <v>3159</v>
      </c>
      <c r="L450" s="13" t="s">
        <v>3160</v>
      </c>
      <c r="M450" s="13" t="s">
        <v>3161</v>
      </c>
      <c r="N450" s="13">
        <v>1.0</v>
      </c>
      <c r="O450" s="13" t="s">
        <v>3162</v>
      </c>
      <c r="P450" s="13" t="s">
        <v>33</v>
      </c>
      <c r="Q450" s="13" t="s">
        <v>3335</v>
      </c>
      <c r="R450" s="13" t="s">
        <v>3163</v>
      </c>
      <c r="S450" s="13" t="s">
        <v>33</v>
      </c>
      <c r="T450" s="13" t="s">
        <v>3195</v>
      </c>
      <c r="U450" s="13" t="s">
        <v>3195</v>
      </c>
      <c r="V450" s="13" t="s">
        <v>3195</v>
      </c>
      <c r="W450" s="13" t="s">
        <v>3167</v>
      </c>
      <c r="X450" s="13" t="s">
        <v>3167</v>
      </c>
    </row>
    <row r="451" ht="14.25" customHeight="1">
      <c r="A451" s="13">
        <v>24326.0</v>
      </c>
      <c r="B451" s="13" t="s">
        <v>2473</v>
      </c>
      <c r="C451" s="13">
        <v>2017.0</v>
      </c>
      <c r="D451" s="13" t="s">
        <v>3153</v>
      </c>
      <c r="E451" s="13" t="s">
        <v>3179</v>
      </c>
      <c r="F451" s="13" t="s">
        <v>3155</v>
      </c>
      <c r="G451" s="13" t="s">
        <v>3187</v>
      </c>
      <c r="H451" s="13">
        <v>25.0</v>
      </c>
      <c r="I451" s="13" t="s">
        <v>3261</v>
      </c>
      <c r="J451" s="13" t="s">
        <v>3240</v>
      </c>
      <c r="K451" s="13" t="s">
        <v>3287</v>
      </c>
      <c r="L451" s="13" t="s">
        <v>3177</v>
      </c>
      <c r="M451" s="13" t="s">
        <v>3184</v>
      </c>
      <c r="N451" s="13">
        <v>1.0</v>
      </c>
      <c r="O451" s="13" t="s">
        <v>3162</v>
      </c>
      <c r="P451" s="13" t="s">
        <v>33</v>
      </c>
      <c r="Q451" s="13" t="s">
        <v>3287</v>
      </c>
      <c r="R451" s="13" t="s">
        <v>3177</v>
      </c>
      <c r="S451" s="13" t="s">
        <v>33</v>
      </c>
      <c r="T451" s="13" t="s">
        <v>3164</v>
      </c>
      <c r="U451" s="13" t="s">
        <v>3228</v>
      </c>
      <c r="V451" s="13" t="s">
        <v>3166</v>
      </c>
      <c r="W451" s="13" t="s">
        <v>3167</v>
      </c>
      <c r="X451" s="13" t="s">
        <v>3178</v>
      </c>
    </row>
    <row r="452" ht="14.25" customHeight="1">
      <c r="A452" s="13">
        <v>24329.0</v>
      </c>
      <c r="B452" s="13" t="s">
        <v>579</v>
      </c>
      <c r="C452" s="13">
        <v>2013.0</v>
      </c>
      <c r="D452" s="13" t="s">
        <v>3153</v>
      </c>
      <c r="E452" s="13" t="s">
        <v>3169</v>
      </c>
      <c r="F452" s="13" t="s">
        <v>3192</v>
      </c>
      <c r="G452" s="13" t="s">
        <v>3202</v>
      </c>
      <c r="H452" s="13">
        <v>800.0</v>
      </c>
      <c r="I452" s="13" t="s">
        <v>3222</v>
      </c>
      <c r="J452" s="13" t="s">
        <v>3182</v>
      </c>
      <c r="K452" s="13" t="s">
        <v>3183</v>
      </c>
      <c r="L452" s="13" t="s">
        <v>3160</v>
      </c>
      <c r="M452" s="13" t="s">
        <v>3328</v>
      </c>
      <c r="N452" s="13">
        <v>1.0</v>
      </c>
      <c r="O452" s="13" t="s">
        <v>3267</v>
      </c>
      <c r="P452" s="13" t="s">
        <v>3861</v>
      </c>
      <c r="Q452" s="13" t="s">
        <v>3183</v>
      </c>
      <c r="R452" s="13" t="s">
        <v>3177</v>
      </c>
      <c r="S452" s="13" t="s">
        <v>3862</v>
      </c>
      <c r="T452" s="13" t="s">
        <v>3232</v>
      </c>
      <c r="U452" s="13" t="s">
        <v>3232</v>
      </c>
      <c r="V452" s="13" t="s">
        <v>3166</v>
      </c>
      <c r="W452" s="13" t="s">
        <v>3167</v>
      </c>
      <c r="X452" s="13" t="s">
        <v>3224</v>
      </c>
    </row>
    <row r="453" ht="14.25" customHeight="1">
      <c r="A453" s="13">
        <v>24341.0</v>
      </c>
      <c r="B453" s="13" t="s">
        <v>2146</v>
      </c>
      <c r="C453" s="13">
        <v>2012.0</v>
      </c>
      <c r="D453" s="13" t="s">
        <v>3153</v>
      </c>
      <c r="E453" s="13" t="s">
        <v>3169</v>
      </c>
      <c r="F453" s="13" t="s">
        <v>3170</v>
      </c>
      <c r="G453" s="13" t="s">
        <v>3202</v>
      </c>
      <c r="H453" s="13">
        <v>10.0</v>
      </c>
      <c r="I453" s="13" t="s">
        <v>3171</v>
      </c>
      <c r="J453" s="13" t="s">
        <v>3537</v>
      </c>
      <c r="K453" s="13" t="s">
        <v>3296</v>
      </c>
      <c r="L453" s="13" t="s">
        <v>3177</v>
      </c>
      <c r="M453" s="13" t="s">
        <v>3391</v>
      </c>
      <c r="N453" s="13">
        <v>1.0</v>
      </c>
      <c r="O453" s="13" t="s">
        <v>3162</v>
      </c>
      <c r="P453" s="13" t="s">
        <v>33</v>
      </c>
      <c r="Q453" s="13" t="s">
        <v>3190</v>
      </c>
      <c r="R453" s="13" t="s">
        <v>3163</v>
      </c>
      <c r="S453" s="13" t="s">
        <v>33</v>
      </c>
      <c r="T453" s="13" t="s">
        <v>3247</v>
      </c>
      <c r="U453" s="13" t="s">
        <v>3247</v>
      </c>
      <c r="V453" s="13" t="s">
        <v>3166</v>
      </c>
      <c r="W453" s="13" t="s">
        <v>3167</v>
      </c>
      <c r="X453" s="13" t="s">
        <v>3632</v>
      </c>
    </row>
    <row r="454" ht="14.25" customHeight="1">
      <c r="A454" s="13">
        <v>24345.0</v>
      </c>
      <c r="B454" s="13" t="s">
        <v>775</v>
      </c>
      <c r="C454" s="13">
        <v>2020.0</v>
      </c>
      <c r="D454" s="13" t="s">
        <v>3153</v>
      </c>
      <c r="E454" s="13" t="s">
        <v>3154</v>
      </c>
      <c r="F454" s="13" t="s">
        <v>3192</v>
      </c>
      <c r="G454" s="13" t="s">
        <v>3156</v>
      </c>
      <c r="H454" s="13" t="s">
        <v>33</v>
      </c>
      <c r="I454" s="13" t="s">
        <v>3244</v>
      </c>
      <c r="J454" s="13" t="s">
        <v>3289</v>
      </c>
      <c r="K454" s="13" t="s">
        <v>3183</v>
      </c>
      <c r="L454" s="13" t="s">
        <v>3160</v>
      </c>
      <c r="M454" s="13" t="s">
        <v>3369</v>
      </c>
      <c r="N454" s="13">
        <v>1.0</v>
      </c>
      <c r="O454" s="13" t="s">
        <v>3162</v>
      </c>
      <c r="P454" s="13" t="s">
        <v>3863</v>
      </c>
      <c r="Q454" s="13" t="s">
        <v>3205</v>
      </c>
      <c r="R454" s="13" t="s">
        <v>3163</v>
      </c>
      <c r="S454" s="13" t="s">
        <v>33</v>
      </c>
      <c r="T454" s="13" t="s">
        <v>3195</v>
      </c>
      <c r="U454" s="13" t="s">
        <v>3195</v>
      </c>
      <c r="V454" s="13" t="s">
        <v>3195</v>
      </c>
      <c r="W454" s="13" t="s">
        <v>3167</v>
      </c>
      <c r="X454" s="13" t="s">
        <v>3167</v>
      </c>
    </row>
    <row r="455" ht="14.25" customHeight="1">
      <c r="A455" s="13">
        <v>24346.0</v>
      </c>
      <c r="B455" s="13" t="s">
        <v>1351</v>
      </c>
      <c r="C455" s="13">
        <v>2015.0</v>
      </c>
      <c r="D455" s="13" t="s">
        <v>3153</v>
      </c>
      <c r="E455" s="13" t="s">
        <v>3169</v>
      </c>
      <c r="F455" s="13" t="s">
        <v>3284</v>
      </c>
      <c r="G455" s="13" t="s">
        <v>3156</v>
      </c>
      <c r="H455" s="13" t="s">
        <v>3180</v>
      </c>
      <c r="I455" s="13" t="s">
        <v>3188</v>
      </c>
      <c r="J455" s="13" t="s">
        <v>3167</v>
      </c>
      <c r="K455" s="13" t="s">
        <v>3173</v>
      </c>
      <c r="L455" s="13" t="s">
        <v>3177</v>
      </c>
      <c r="M455" s="13" t="s">
        <v>3391</v>
      </c>
      <c r="N455" s="13">
        <v>1.0</v>
      </c>
      <c r="O455" s="13" t="s">
        <v>3162</v>
      </c>
      <c r="P455" s="13" t="s">
        <v>3167</v>
      </c>
      <c r="Q455" s="13" t="s">
        <v>3214</v>
      </c>
      <c r="R455" s="13" t="s">
        <v>3231</v>
      </c>
      <c r="S455" s="13" t="s">
        <v>3864</v>
      </c>
      <c r="T455" s="13" t="s">
        <v>3164</v>
      </c>
      <c r="U455" s="13" t="s">
        <v>3164</v>
      </c>
      <c r="V455" s="13" t="s">
        <v>3166</v>
      </c>
      <c r="W455" s="13" t="s">
        <v>3167</v>
      </c>
      <c r="X455" s="13" t="s">
        <v>3224</v>
      </c>
    </row>
    <row r="456" ht="14.25" customHeight="1">
      <c r="A456" s="13">
        <v>24347.0</v>
      </c>
      <c r="B456" s="13" t="s">
        <v>2727</v>
      </c>
      <c r="C456" s="13">
        <v>2014.0</v>
      </c>
      <c r="D456" s="13" t="s">
        <v>3153</v>
      </c>
      <c r="E456" s="13" t="s">
        <v>3179</v>
      </c>
      <c r="F456" s="13" t="s">
        <v>3155</v>
      </c>
      <c r="G456" s="13" t="s">
        <v>3156</v>
      </c>
      <c r="H456" s="13" t="s">
        <v>33</v>
      </c>
      <c r="I456" s="13" t="s">
        <v>3865</v>
      </c>
      <c r="J456" s="13" t="s">
        <v>3204</v>
      </c>
      <c r="K456" s="13" t="s">
        <v>3208</v>
      </c>
      <c r="L456" s="13" t="s">
        <v>3160</v>
      </c>
      <c r="M456" s="13" t="s">
        <v>3722</v>
      </c>
      <c r="N456" s="13">
        <v>1.0</v>
      </c>
      <c r="O456" s="13" t="s">
        <v>3162</v>
      </c>
      <c r="P456" s="13" t="s">
        <v>33</v>
      </c>
      <c r="Q456" s="13" t="s">
        <v>3183</v>
      </c>
      <c r="R456" s="13" t="s">
        <v>3163</v>
      </c>
      <c r="S456" s="13" t="s">
        <v>3866</v>
      </c>
      <c r="T456" s="13" t="s">
        <v>3164</v>
      </c>
      <c r="U456" s="13" t="s">
        <v>3228</v>
      </c>
      <c r="V456" s="13" t="s">
        <v>3166</v>
      </c>
      <c r="W456" s="13" t="s">
        <v>3167</v>
      </c>
      <c r="X456" s="13" t="s">
        <v>3216</v>
      </c>
    </row>
    <row r="457" ht="14.25" customHeight="1">
      <c r="A457" s="13">
        <v>24352.0</v>
      </c>
      <c r="B457" s="13" t="s">
        <v>1587</v>
      </c>
      <c r="C457" s="13">
        <v>2016.0</v>
      </c>
      <c r="D457" s="13" t="s">
        <v>3153</v>
      </c>
      <c r="E457" s="13" t="s">
        <v>3154</v>
      </c>
      <c r="F457" s="13" t="s">
        <v>3211</v>
      </c>
      <c r="G457" s="13" t="s">
        <v>3156</v>
      </c>
      <c r="H457" s="13" t="s">
        <v>3187</v>
      </c>
      <c r="I457" s="13" t="s">
        <v>3188</v>
      </c>
      <c r="J457" s="13" t="s">
        <v>3867</v>
      </c>
      <c r="K457" s="13" t="s">
        <v>3173</v>
      </c>
      <c r="L457" s="13" t="s">
        <v>3160</v>
      </c>
      <c r="M457" s="13" t="s">
        <v>3291</v>
      </c>
      <c r="N457" s="13">
        <v>1.0</v>
      </c>
      <c r="O457" s="13" t="s">
        <v>3162</v>
      </c>
      <c r="P457" s="13" t="s">
        <v>3167</v>
      </c>
      <c r="Q457" s="13" t="s">
        <v>3183</v>
      </c>
      <c r="R457" s="13" t="s">
        <v>3260</v>
      </c>
      <c r="S457" s="13" t="s">
        <v>3868</v>
      </c>
      <c r="T457" s="13" t="s">
        <v>3197</v>
      </c>
      <c r="U457" s="13" t="s">
        <v>3197</v>
      </c>
      <c r="V457" s="13" t="s">
        <v>3166</v>
      </c>
      <c r="W457" s="13" t="s">
        <v>3167</v>
      </c>
      <c r="X457" s="13" t="s">
        <v>3255</v>
      </c>
    </row>
    <row r="458" ht="14.25" customHeight="1">
      <c r="A458" s="13">
        <v>24353.0</v>
      </c>
      <c r="B458" s="13" t="s">
        <v>2602</v>
      </c>
      <c r="C458" s="13">
        <v>2019.0</v>
      </c>
      <c r="D458" s="13" t="s">
        <v>3153</v>
      </c>
      <c r="E458" s="13" t="s">
        <v>3169</v>
      </c>
      <c r="F458" s="13" t="s">
        <v>3192</v>
      </c>
      <c r="G458" s="13" t="s">
        <v>3202</v>
      </c>
      <c r="H458" s="13">
        <v>30.0</v>
      </c>
      <c r="I458" s="13" t="s">
        <v>3222</v>
      </c>
      <c r="J458" s="13" t="s">
        <v>3182</v>
      </c>
      <c r="K458" s="13" t="s">
        <v>3201</v>
      </c>
      <c r="L458" s="13" t="s">
        <v>3177</v>
      </c>
      <c r="M458" s="13" t="s">
        <v>3230</v>
      </c>
      <c r="N458" s="13">
        <v>1.0</v>
      </c>
      <c r="O458" s="13" t="s">
        <v>3162</v>
      </c>
      <c r="P458" s="13" t="s">
        <v>33</v>
      </c>
      <c r="Q458" s="13" t="s">
        <v>3159</v>
      </c>
      <c r="R458" s="13" t="s">
        <v>3177</v>
      </c>
      <c r="S458" s="13" t="s">
        <v>33</v>
      </c>
      <c r="T458" s="13" t="s">
        <v>3164</v>
      </c>
      <c r="U458" s="13" t="s">
        <v>3164</v>
      </c>
      <c r="V458" s="13" t="s">
        <v>3166</v>
      </c>
      <c r="W458" s="13" t="s">
        <v>3167</v>
      </c>
      <c r="X458" s="13" t="s">
        <v>3168</v>
      </c>
    </row>
    <row r="459" ht="14.25" customHeight="1">
      <c r="A459" s="13">
        <v>24358.0</v>
      </c>
      <c r="B459" s="13" t="s">
        <v>420</v>
      </c>
      <c r="C459" s="13">
        <v>2020.0</v>
      </c>
      <c r="D459" s="13" t="s">
        <v>3153</v>
      </c>
      <c r="E459" s="13" t="s">
        <v>3169</v>
      </c>
      <c r="F459" s="13" t="s">
        <v>3155</v>
      </c>
      <c r="G459" s="13" t="s">
        <v>3538</v>
      </c>
      <c r="H459" s="13">
        <v>100.0</v>
      </c>
      <c r="I459" s="13" t="s">
        <v>3188</v>
      </c>
      <c r="J459" s="13" t="s">
        <v>3286</v>
      </c>
      <c r="K459" s="13" t="s">
        <v>3183</v>
      </c>
      <c r="L459" s="13" t="s">
        <v>3177</v>
      </c>
      <c r="M459" s="13" t="s">
        <v>3869</v>
      </c>
      <c r="N459" s="13">
        <v>5.0</v>
      </c>
      <c r="O459" s="13" t="s">
        <v>3175</v>
      </c>
      <c r="P459" s="13" t="s">
        <v>3689</v>
      </c>
      <c r="Q459" s="13" t="s">
        <v>3210</v>
      </c>
      <c r="R459" s="13" t="s">
        <v>3163</v>
      </c>
      <c r="S459" s="13" t="s">
        <v>33</v>
      </c>
      <c r="T459" s="13" t="s">
        <v>3195</v>
      </c>
      <c r="U459" s="13" t="s">
        <v>3195</v>
      </c>
      <c r="V459" s="13" t="s">
        <v>3195</v>
      </c>
      <c r="W459" s="13" t="s">
        <v>3167</v>
      </c>
      <c r="X459" s="13" t="s">
        <v>3167</v>
      </c>
    </row>
    <row r="460" ht="14.25" customHeight="1">
      <c r="A460" s="13">
        <v>24364.0</v>
      </c>
      <c r="B460" s="13" t="s">
        <v>2589</v>
      </c>
      <c r="C460" s="13">
        <v>2018.0</v>
      </c>
      <c r="D460" s="13" t="s">
        <v>3153</v>
      </c>
      <c r="E460" s="13" t="s">
        <v>3169</v>
      </c>
      <c r="F460" s="13" t="s">
        <v>3170</v>
      </c>
      <c r="G460" s="13" t="s">
        <v>3156</v>
      </c>
      <c r="H460" s="13" t="s">
        <v>33</v>
      </c>
      <c r="I460" s="13" t="s">
        <v>3171</v>
      </c>
      <c r="J460" s="13" t="s">
        <v>3385</v>
      </c>
      <c r="K460" s="13" t="s">
        <v>3381</v>
      </c>
      <c r="L460" s="13" t="s">
        <v>3177</v>
      </c>
      <c r="M460" s="13" t="s">
        <v>3363</v>
      </c>
      <c r="N460" s="13">
        <v>1.0</v>
      </c>
      <c r="O460" s="13" t="s">
        <v>3162</v>
      </c>
      <c r="P460" s="13" t="s">
        <v>3870</v>
      </c>
      <c r="Q460" s="13" t="s">
        <v>3183</v>
      </c>
      <c r="R460" s="13" t="s">
        <v>3177</v>
      </c>
      <c r="S460" s="13" t="s">
        <v>3871</v>
      </c>
      <c r="T460" s="13" t="s">
        <v>3228</v>
      </c>
      <c r="U460" s="13" t="s">
        <v>3228</v>
      </c>
      <c r="V460" s="13" t="s">
        <v>3166</v>
      </c>
      <c r="W460" s="13" t="s">
        <v>3167</v>
      </c>
      <c r="X460" s="13" t="s">
        <v>3178</v>
      </c>
    </row>
    <row r="461" ht="14.25" customHeight="1">
      <c r="A461" s="13">
        <v>24365.0</v>
      </c>
      <c r="B461" s="13" t="s">
        <v>428</v>
      </c>
      <c r="C461" s="13">
        <v>2020.0</v>
      </c>
      <c r="D461" s="13" t="s">
        <v>3153</v>
      </c>
      <c r="E461" s="13" t="s">
        <v>3169</v>
      </c>
      <c r="F461" s="13" t="s">
        <v>3192</v>
      </c>
      <c r="G461" s="13" t="s">
        <v>33</v>
      </c>
      <c r="H461" s="13" t="s">
        <v>33</v>
      </c>
      <c r="I461" s="13" t="s">
        <v>3222</v>
      </c>
      <c r="J461" s="13" t="s">
        <v>3182</v>
      </c>
      <c r="K461" s="13" t="s">
        <v>3183</v>
      </c>
      <c r="L461" s="13" t="s">
        <v>3160</v>
      </c>
      <c r="M461" s="13" t="s">
        <v>3331</v>
      </c>
      <c r="N461" s="13">
        <v>1.0</v>
      </c>
      <c r="O461" s="13" t="s">
        <v>3162</v>
      </c>
      <c r="P461" s="13" t="s">
        <v>3872</v>
      </c>
      <c r="Q461" s="13" t="s">
        <v>3183</v>
      </c>
      <c r="R461" s="13" t="s">
        <v>3177</v>
      </c>
      <c r="S461" s="13" t="s">
        <v>3864</v>
      </c>
      <c r="T461" s="13" t="s">
        <v>3164</v>
      </c>
      <c r="U461" s="13" t="s">
        <v>3232</v>
      </c>
      <c r="V461" s="13" t="s">
        <v>3166</v>
      </c>
      <c r="W461" s="13" t="s">
        <v>3167</v>
      </c>
      <c r="X461" s="13" t="s">
        <v>3224</v>
      </c>
    </row>
    <row r="462" ht="14.25" customHeight="1">
      <c r="A462" s="13">
        <v>24366.0</v>
      </c>
      <c r="B462" s="13" t="s">
        <v>1547</v>
      </c>
      <c r="C462" s="13">
        <v>2017.0</v>
      </c>
      <c r="D462" s="13" t="s">
        <v>3153</v>
      </c>
      <c r="E462" s="13" t="s">
        <v>3465</v>
      </c>
      <c r="F462" s="13" t="s">
        <v>3192</v>
      </c>
      <c r="G462" s="13" t="s">
        <v>3156</v>
      </c>
      <c r="H462" s="13" t="s">
        <v>3167</v>
      </c>
      <c r="I462" s="13" t="s">
        <v>3244</v>
      </c>
      <c r="J462" s="13" t="s">
        <v>3289</v>
      </c>
      <c r="K462" s="13" t="s">
        <v>3183</v>
      </c>
      <c r="L462" s="13" t="s">
        <v>3177</v>
      </c>
      <c r="M462" s="13" t="s">
        <v>3873</v>
      </c>
      <c r="N462" s="13">
        <v>7.0</v>
      </c>
      <c r="O462" s="13" t="s">
        <v>3175</v>
      </c>
      <c r="P462" s="13" t="s">
        <v>3874</v>
      </c>
      <c r="Q462" s="13" t="s">
        <v>3210</v>
      </c>
      <c r="R462" s="13" t="s">
        <v>3163</v>
      </c>
      <c r="S462" s="13" t="s">
        <v>33</v>
      </c>
      <c r="T462" s="13" t="s">
        <v>3195</v>
      </c>
      <c r="U462" s="13" t="s">
        <v>3195</v>
      </c>
      <c r="V462" s="13" t="s">
        <v>3195</v>
      </c>
      <c r="W462" s="13" t="s">
        <v>3167</v>
      </c>
      <c r="X462" s="13" t="s">
        <v>3167</v>
      </c>
    </row>
    <row r="463" ht="14.25" customHeight="1">
      <c r="A463" s="13">
        <v>24368.0</v>
      </c>
      <c r="B463" s="13" t="s">
        <v>1348</v>
      </c>
      <c r="C463" s="13">
        <v>2015.0</v>
      </c>
      <c r="D463" s="13" t="s">
        <v>3153</v>
      </c>
      <c r="E463" s="13" t="s">
        <v>3169</v>
      </c>
      <c r="F463" s="13" t="s">
        <v>3217</v>
      </c>
      <c r="G463" s="13" t="s">
        <v>3187</v>
      </c>
      <c r="H463" s="13">
        <v>12100.0</v>
      </c>
      <c r="I463" s="13" t="s">
        <v>3167</v>
      </c>
      <c r="J463" s="13" t="s">
        <v>3167</v>
      </c>
      <c r="K463" s="13" t="s">
        <v>3183</v>
      </c>
      <c r="L463" s="13" t="s">
        <v>3177</v>
      </c>
      <c r="M463" s="13" t="s">
        <v>3875</v>
      </c>
      <c r="N463" s="13">
        <v>3.0</v>
      </c>
      <c r="O463" s="13" t="s">
        <v>3162</v>
      </c>
      <c r="P463" s="13" t="s">
        <v>3689</v>
      </c>
      <c r="Q463" s="13" t="s">
        <v>3183</v>
      </c>
      <c r="R463" s="13" t="s">
        <v>3177</v>
      </c>
      <c r="S463" s="13" t="s">
        <v>3876</v>
      </c>
      <c r="T463" s="13" t="s">
        <v>3197</v>
      </c>
      <c r="U463" s="13" t="s">
        <v>3197</v>
      </c>
      <c r="V463" s="13" t="s">
        <v>3166</v>
      </c>
      <c r="W463" s="13" t="s">
        <v>3167</v>
      </c>
      <c r="X463" s="13" t="s">
        <v>3877</v>
      </c>
    </row>
    <row r="464" ht="14.25" customHeight="1">
      <c r="A464" s="13">
        <v>24372.0</v>
      </c>
      <c r="B464" s="13" t="s">
        <v>2538</v>
      </c>
      <c r="C464" s="13">
        <v>2012.0</v>
      </c>
      <c r="D464" s="13" t="s">
        <v>3153</v>
      </c>
      <c r="E464" s="13" t="s">
        <v>3169</v>
      </c>
      <c r="F464" s="13" t="s">
        <v>3170</v>
      </c>
      <c r="G464" s="13" t="s">
        <v>3202</v>
      </c>
      <c r="H464" s="13">
        <v>25.0</v>
      </c>
      <c r="I464" s="13" t="s">
        <v>3203</v>
      </c>
      <c r="J464" s="13" t="s">
        <v>3204</v>
      </c>
      <c r="K464" s="13" t="s">
        <v>3201</v>
      </c>
      <c r="L464" s="13" t="s">
        <v>3177</v>
      </c>
      <c r="M464" s="13" t="s">
        <v>3161</v>
      </c>
      <c r="N464" s="13">
        <v>1.0</v>
      </c>
      <c r="O464" s="13" t="s">
        <v>3162</v>
      </c>
      <c r="P464" s="13" t="s">
        <v>33</v>
      </c>
      <c r="Q464" s="13" t="s">
        <v>3159</v>
      </c>
      <c r="R464" s="13" t="s">
        <v>3163</v>
      </c>
      <c r="S464" s="13" t="s">
        <v>33</v>
      </c>
      <c r="T464" s="13" t="s">
        <v>3247</v>
      </c>
      <c r="U464" s="13" t="s">
        <v>3247</v>
      </c>
      <c r="V464" s="13" t="s">
        <v>3242</v>
      </c>
      <c r="W464" s="13" t="s">
        <v>3294</v>
      </c>
      <c r="X464" s="13" t="s">
        <v>3167</v>
      </c>
    </row>
    <row r="465" ht="14.25" customHeight="1">
      <c r="A465" s="13">
        <v>24375.0</v>
      </c>
      <c r="B465" s="13" t="s">
        <v>1765</v>
      </c>
      <c r="C465" s="13">
        <v>2002.0</v>
      </c>
      <c r="D465" s="13" t="s">
        <v>3153</v>
      </c>
      <c r="E465" s="13" t="s">
        <v>3169</v>
      </c>
      <c r="F465" s="13" t="s">
        <v>3192</v>
      </c>
      <c r="G465" s="13" t="s">
        <v>3202</v>
      </c>
      <c r="H465" s="13">
        <v>5.0</v>
      </c>
      <c r="I465" s="13" t="s">
        <v>3222</v>
      </c>
      <c r="J465" s="13" t="s">
        <v>3182</v>
      </c>
      <c r="K465" s="13" t="s">
        <v>3208</v>
      </c>
      <c r="L465" s="13" t="s">
        <v>3160</v>
      </c>
      <c r="M465" s="13" t="s">
        <v>3161</v>
      </c>
      <c r="N465" s="13">
        <v>1.0</v>
      </c>
      <c r="O465" s="13" t="s">
        <v>3162</v>
      </c>
      <c r="P465" s="13" t="s">
        <v>3167</v>
      </c>
      <c r="Q465" s="13" t="s">
        <v>3208</v>
      </c>
      <c r="R465" s="13" t="s">
        <v>3231</v>
      </c>
      <c r="S465" s="13" t="s">
        <v>33</v>
      </c>
      <c r="T465" s="13" t="s">
        <v>3215</v>
      </c>
      <c r="U465" s="13" t="s">
        <v>3215</v>
      </c>
      <c r="V465" s="13" t="s">
        <v>3242</v>
      </c>
      <c r="W465" s="13" t="s">
        <v>3377</v>
      </c>
      <c r="X465" s="13" t="s">
        <v>3167</v>
      </c>
    </row>
    <row r="466" ht="14.25" customHeight="1">
      <c r="A466" s="13">
        <v>24381.0</v>
      </c>
      <c r="B466" s="13" t="s">
        <v>1373</v>
      </c>
      <c r="C466" s="13">
        <v>2014.0</v>
      </c>
      <c r="D466" s="13" t="s">
        <v>3153</v>
      </c>
      <c r="E466" s="13" t="s">
        <v>3169</v>
      </c>
      <c r="F466" s="13" t="s">
        <v>3217</v>
      </c>
      <c r="G466" s="13" t="s">
        <v>3156</v>
      </c>
      <c r="H466" s="13" t="s">
        <v>33</v>
      </c>
      <c r="I466" s="13" t="s">
        <v>3167</v>
      </c>
      <c r="J466" s="13" t="s">
        <v>3167</v>
      </c>
      <c r="K466" s="13" t="s">
        <v>3173</v>
      </c>
      <c r="L466" s="13" t="s">
        <v>3177</v>
      </c>
      <c r="M466" s="13" t="s">
        <v>3241</v>
      </c>
      <c r="N466" s="13">
        <v>1.0</v>
      </c>
      <c r="O466" s="13" t="s">
        <v>3162</v>
      </c>
      <c r="P466" s="13" t="s">
        <v>33</v>
      </c>
      <c r="Q466" s="13" t="s">
        <v>3173</v>
      </c>
      <c r="R466" s="13" t="s">
        <v>3231</v>
      </c>
      <c r="S466" s="13" t="s">
        <v>33</v>
      </c>
      <c r="T466" s="13" t="s">
        <v>3232</v>
      </c>
      <c r="U466" s="13" t="s">
        <v>3197</v>
      </c>
      <c r="V466" s="13" t="s">
        <v>3166</v>
      </c>
      <c r="W466" s="13" t="s">
        <v>3167</v>
      </c>
      <c r="X466" s="13" t="s">
        <v>3518</v>
      </c>
    </row>
    <row r="467" ht="14.25" customHeight="1">
      <c r="A467" s="13">
        <v>24389.0</v>
      </c>
      <c r="B467" s="13" t="s">
        <v>3044</v>
      </c>
      <c r="C467" s="13">
        <v>2012.0</v>
      </c>
      <c r="D467" s="13" t="s">
        <v>3153</v>
      </c>
      <c r="E467" s="13" t="s">
        <v>3169</v>
      </c>
      <c r="F467" s="13" t="s">
        <v>3170</v>
      </c>
      <c r="G467" s="13" t="s">
        <v>3202</v>
      </c>
      <c r="H467" s="13">
        <v>2.5</v>
      </c>
      <c r="I467" s="13" t="s">
        <v>3171</v>
      </c>
      <c r="J467" s="13" t="s">
        <v>3318</v>
      </c>
      <c r="K467" s="13" t="s">
        <v>3208</v>
      </c>
      <c r="L467" s="13" t="s">
        <v>3160</v>
      </c>
      <c r="M467" s="13" t="s">
        <v>3878</v>
      </c>
      <c r="N467" s="13">
        <v>2.0</v>
      </c>
      <c r="O467" s="13" t="s">
        <v>3162</v>
      </c>
      <c r="P467" s="13" t="s">
        <v>3167</v>
      </c>
      <c r="Q467" s="13" t="s">
        <v>3744</v>
      </c>
      <c r="R467" s="13" t="s">
        <v>3231</v>
      </c>
      <c r="S467" s="13" t="s">
        <v>33</v>
      </c>
      <c r="T467" s="13" t="s">
        <v>3247</v>
      </c>
      <c r="U467" s="13" t="s">
        <v>3247</v>
      </c>
      <c r="V467" s="13" t="s">
        <v>3242</v>
      </c>
      <c r="W467" s="13" t="s">
        <v>3879</v>
      </c>
      <c r="X467" s="13" t="s">
        <v>3167</v>
      </c>
    </row>
    <row r="468" ht="14.25" customHeight="1">
      <c r="A468" s="13">
        <v>24391.0</v>
      </c>
      <c r="B468" s="13" t="s">
        <v>1898</v>
      </c>
      <c r="C468" s="13">
        <v>2016.0</v>
      </c>
      <c r="D468" s="13" t="s">
        <v>3153</v>
      </c>
      <c r="E468" s="13" t="s">
        <v>3169</v>
      </c>
      <c r="F468" s="13" t="s">
        <v>3192</v>
      </c>
      <c r="G468" s="13" t="s">
        <v>3202</v>
      </c>
      <c r="H468" s="13">
        <v>500.0</v>
      </c>
      <c r="I468" s="13" t="s">
        <v>3157</v>
      </c>
      <c r="J468" s="13" t="s">
        <v>3240</v>
      </c>
      <c r="K468" s="13" t="s">
        <v>3159</v>
      </c>
      <c r="L468" s="13" t="s">
        <v>3177</v>
      </c>
      <c r="M468" s="13" t="s">
        <v>3161</v>
      </c>
      <c r="N468" s="13">
        <v>1.0</v>
      </c>
      <c r="O468" s="13" t="s">
        <v>3162</v>
      </c>
      <c r="P468" s="13" t="s">
        <v>33</v>
      </c>
      <c r="Q468" s="13" t="s">
        <v>3159</v>
      </c>
      <c r="R468" s="13" t="s">
        <v>3177</v>
      </c>
      <c r="S468" s="13" t="s">
        <v>33</v>
      </c>
      <c r="T468" s="13" t="s">
        <v>3164</v>
      </c>
      <c r="U468" s="13" t="s">
        <v>3164</v>
      </c>
      <c r="V468" s="13" t="s">
        <v>3166</v>
      </c>
      <c r="W468" s="13" t="s">
        <v>3167</v>
      </c>
      <c r="X468" s="13" t="s">
        <v>3178</v>
      </c>
    </row>
    <row r="469" ht="14.25" customHeight="1">
      <c r="A469" s="13">
        <v>24392.0</v>
      </c>
      <c r="B469" s="13" t="s">
        <v>2429</v>
      </c>
      <c r="C469" s="13">
        <v>2020.0</v>
      </c>
      <c r="D469" s="13" t="s">
        <v>3153</v>
      </c>
      <c r="E469" s="13" t="s">
        <v>3179</v>
      </c>
      <c r="F469" s="13" t="s">
        <v>3155</v>
      </c>
      <c r="G469" s="13" t="s">
        <v>3180</v>
      </c>
      <c r="H469" s="13">
        <v>0.5</v>
      </c>
      <c r="I469" s="13" t="s">
        <v>3181</v>
      </c>
      <c r="J469" s="13" t="s">
        <v>3493</v>
      </c>
      <c r="K469" s="13" t="s">
        <v>3183</v>
      </c>
      <c r="L469" s="13" t="s">
        <v>3177</v>
      </c>
      <c r="M469" s="13" t="s">
        <v>3342</v>
      </c>
      <c r="N469" s="13">
        <v>1.0</v>
      </c>
      <c r="O469" s="13" t="s">
        <v>3162</v>
      </c>
      <c r="P469" s="13" t="s">
        <v>3689</v>
      </c>
      <c r="Q469" s="13" t="s">
        <v>3183</v>
      </c>
      <c r="R469" s="13" t="s">
        <v>3177</v>
      </c>
      <c r="S469" s="13" t="s">
        <v>33</v>
      </c>
      <c r="T469" s="13" t="s">
        <v>3164</v>
      </c>
      <c r="U469" s="13" t="s">
        <v>3197</v>
      </c>
      <c r="V469" s="13" t="s">
        <v>3166</v>
      </c>
      <c r="W469" s="13" t="s">
        <v>3167</v>
      </c>
      <c r="X469" s="13" t="s">
        <v>3255</v>
      </c>
    </row>
    <row r="470" ht="14.25" customHeight="1">
      <c r="A470" s="13">
        <v>24395.0</v>
      </c>
      <c r="B470" s="13" t="s">
        <v>1386</v>
      </c>
      <c r="C470" s="13">
        <v>2019.0</v>
      </c>
      <c r="D470" s="13" t="s">
        <v>3153</v>
      </c>
      <c r="E470" s="13" t="s">
        <v>3169</v>
      </c>
      <c r="F470" s="13" t="s">
        <v>3170</v>
      </c>
      <c r="G470" s="13" t="s">
        <v>3156</v>
      </c>
      <c r="H470" s="13" t="s">
        <v>33</v>
      </c>
      <c r="I470" s="13" t="s">
        <v>3171</v>
      </c>
      <c r="J470" s="13" t="s">
        <v>3364</v>
      </c>
      <c r="K470" s="13" t="s">
        <v>3159</v>
      </c>
      <c r="L470" s="13" t="s">
        <v>3160</v>
      </c>
      <c r="M470" s="13" t="s">
        <v>3200</v>
      </c>
      <c r="N470" s="13">
        <v>1.0</v>
      </c>
      <c r="O470" s="13" t="s">
        <v>3162</v>
      </c>
      <c r="P470" s="13" t="s">
        <v>33</v>
      </c>
      <c r="Q470" s="13" t="s">
        <v>3335</v>
      </c>
      <c r="R470" s="13" t="s">
        <v>3163</v>
      </c>
      <c r="S470" s="13" t="s">
        <v>3880</v>
      </c>
      <c r="T470" s="13" t="s">
        <v>3247</v>
      </c>
      <c r="U470" s="13" t="s">
        <v>3247</v>
      </c>
      <c r="V470" s="13" t="s">
        <v>3242</v>
      </c>
      <c r="W470" s="13" t="s">
        <v>3634</v>
      </c>
      <c r="X470" s="13" t="s">
        <v>3167</v>
      </c>
    </row>
    <row r="471" ht="14.25" customHeight="1">
      <c r="A471" s="13">
        <v>24396.0</v>
      </c>
      <c r="B471" s="13" t="s">
        <v>3025</v>
      </c>
      <c r="C471" s="13">
        <v>2019.0</v>
      </c>
      <c r="D471" s="13" t="s">
        <v>3153</v>
      </c>
      <c r="E471" s="13" t="s">
        <v>3179</v>
      </c>
      <c r="F471" s="13" t="s">
        <v>3211</v>
      </c>
      <c r="G471" s="13" t="s">
        <v>3187</v>
      </c>
      <c r="H471" s="13" t="s">
        <v>3187</v>
      </c>
      <c r="I471" s="13" t="s">
        <v>3533</v>
      </c>
      <c r="J471" s="13" t="s">
        <v>3881</v>
      </c>
      <c r="K471" s="13" t="s">
        <v>3381</v>
      </c>
      <c r="L471" s="13" t="s">
        <v>3177</v>
      </c>
      <c r="M471" s="13" t="s">
        <v>3882</v>
      </c>
      <c r="N471" s="13">
        <v>3.0</v>
      </c>
      <c r="O471" s="13" t="s">
        <v>3162</v>
      </c>
      <c r="P471" s="13" t="s">
        <v>3689</v>
      </c>
      <c r="Q471" s="13" t="s">
        <v>3883</v>
      </c>
      <c r="R471" s="13" t="s">
        <v>3231</v>
      </c>
      <c r="S471" s="13" t="s">
        <v>33</v>
      </c>
      <c r="T471" s="13" t="s">
        <v>3252</v>
      </c>
      <c r="U471" s="13" t="s">
        <v>3252</v>
      </c>
      <c r="V471" s="13" t="s">
        <v>3253</v>
      </c>
      <c r="W471" s="13" t="s">
        <v>3755</v>
      </c>
      <c r="X471" s="13" t="s">
        <v>3755</v>
      </c>
    </row>
    <row r="472" ht="14.25" customHeight="1">
      <c r="A472" s="13">
        <v>24397.0</v>
      </c>
      <c r="B472" s="13" t="s">
        <v>1516</v>
      </c>
      <c r="C472" s="13">
        <v>2015.0</v>
      </c>
      <c r="D472" s="13" t="s">
        <v>3153</v>
      </c>
      <c r="E472" s="13" t="s">
        <v>3169</v>
      </c>
      <c r="F472" s="13" t="s">
        <v>3170</v>
      </c>
      <c r="G472" s="13" t="s">
        <v>3202</v>
      </c>
      <c r="H472" s="13">
        <v>30.0</v>
      </c>
      <c r="I472" s="13" t="s">
        <v>3222</v>
      </c>
      <c r="J472" s="13" t="s">
        <v>3182</v>
      </c>
      <c r="K472" s="13" t="s">
        <v>3183</v>
      </c>
      <c r="L472" s="13" t="s">
        <v>3160</v>
      </c>
      <c r="M472" s="13" t="s">
        <v>3884</v>
      </c>
      <c r="N472" s="13">
        <v>2.0</v>
      </c>
      <c r="O472" s="13" t="s">
        <v>3162</v>
      </c>
      <c r="P472" s="13" t="s">
        <v>3885</v>
      </c>
      <c r="Q472" s="13" t="s">
        <v>3886</v>
      </c>
      <c r="R472" s="13" t="s">
        <v>3177</v>
      </c>
      <c r="S472" s="13" t="s">
        <v>33</v>
      </c>
      <c r="T472" s="13" t="s">
        <v>3164</v>
      </c>
      <c r="U472" s="13" t="s">
        <v>3164</v>
      </c>
      <c r="V472" s="13" t="s">
        <v>3166</v>
      </c>
      <c r="W472" s="13" t="s">
        <v>3167</v>
      </c>
      <c r="X472" s="13" t="s">
        <v>3224</v>
      </c>
    </row>
    <row r="473" ht="14.25" customHeight="1">
      <c r="A473" s="13">
        <v>24400.0</v>
      </c>
      <c r="B473" s="13" t="s">
        <v>1107</v>
      </c>
      <c r="C473" s="13">
        <v>2016.0</v>
      </c>
      <c r="D473" s="13" t="s">
        <v>3153</v>
      </c>
      <c r="E473" s="13" t="s">
        <v>3154</v>
      </c>
      <c r="F473" s="13" t="s">
        <v>3192</v>
      </c>
      <c r="G473" s="13" t="s">
        <v>3156</v>
      </c>
      <c r="H473" s="13" t="s">
        <v>33</v>
      </c>
      <c r="I473" s="13" t="s">
        <v>3188</v>
      </c>
      <c r="J473" s="13" t="s">
        <v>3233</v>
      </c>
      <c r="K473" s="13" t="s">
        <v>3195</v>
      </c>
      <c r="L473" s="13" t="s">
        <v>3160</v>
      </c>
      <c r="M473" s="13" t="s">
        <v>3291</v>
      </c>
      <c r="N473" s="13">
        <v>1.0</v>
      </c>
      <c r="O473" s="13" t="s">
        <v>3162</v>
      </c>
      <c r="P473" s="13" t="s">
        <v>33</v>
      </c>
      <c r="Q473" s="13" t="s">
        <v>3183</v>
      </c>
      <c r="R473" s="13" t="s">
        <v>3177</v>
      </c>
      <c r="S473" s="13" t="s">
        <v>3887</v>
      </c>
      <c r="T473" s="13" t="s">
        <v>3232</v>
      </c>
      <c r="U473" s="13" t="s">
        <v>3197</v>
      </c>
      <c r="V473" s="13" t="s">
        <v>3166</v>
      </c>
      <c r="W473" s="13" t="s">
        <v>3167</v>
      </c>
      <c r="X473" s="13" t="s">
        <v>3518</v>
      </c>
    </row>
    <row r="474" ht="14.25" customHeight="1">
      <c r="A474" s="13">
        <v>24401.0</v>
      </c>
      <c r="B474" s="13" t="s">
        <v>797</v>
      </c>
      <c r="C474" s="13">
        <v>2017.0</v>
      </c>
      <c r="D474" s="13" t="s">
        <v>3153</v>
      </c>
      <c r="E474" s="13" t="s">
        <v>3169</v>
      </c>
      <c r="F474" s="13" t="s">
        <v>3217</v>
      </c>
      <c r="G474" s="13" t="s">
        <v>3156</v>
      </c>
      <c r="H474" s="13" t="s">
        <v>33</v>
      </c>
      <c r="I474" s="13" t="s">
        <v>3167</v>
      </c>
      <c r="J474" s="13" t="s">
        <v>3167</v>
      </c>
      <c r="K474" s="13" t="s">
        <v>3173</v>
      </c>
      <c r="L474" s="13" t="s">
        <v>3177</v>
      </c>
      <c r="M474" s="13" t="s">
        <v>3888</v>
      </c>
      <c r="N474" s="13">
        <v>4.0</v>
      </c>
      <c r="O474" s="13" t="s">
        <v>3175</v>
      </c>
      <c r="P474" s="13" t="s">
        <v>33</v>
      </c>
      <c r="Q474" s="13" t="s">
        <v>3183</v>
      </c>
      <c r="R474" s="13" t="s">
        <v>3177</v>
      </c>
      <c r="S474" s="13" t="s">
        <v>3864</v>
      </c>
      <c r="T474" s="13" t="s">
        <v>3232</v>
      </c>
      <c r="U474" s="13" t="s">
        <v>3232</v>
      </c>
      <c r="V474" s="13" t="s">
        <v>3166</v>
      </c>
      <c r="W474" s="13" t="s">
        <v>3167</v>
      </c>
      <c r="X474" s="13" t="s">
        <v>3224</v>
      </c>
    </row>
    <row r="475" ht="14.25" customHeight="1">
      <c r="A475" s="13">
        <v>24404.0</v>
      </c>
      <c r="B475" s="13" t="s">
        <v>213</v>
      </c>
      <c r="C475" s="13">
        <v>2019.0</v>
      </c>
      <c r="D475" s="13" t="s">
        <v>3153</v>
      </c>
      <c r="E475" s="13" t="s">
        <v>3465</v>
      </c>
      <c r="F475" s="13" t="s">
        <v>3192</v>
      </c>
      <c r="G475" s="13" t="s">
        <v>3156</v>
      </c>
      <c r="H475" s="13" t="s">
        <v>33</v>
      </c>
      <c r="I475" s="13" t="s">
        <v>3244</v>
      </c>
      <c r="J475" s="13" t="s">
        <v>3889</v>
      </c>
      <c r="K475" s="13" t="s">
        <v>3159</v>
      </c>
      <c r="L475" s="13" t="s">
        <v>3160</v>
      </c>
      <c r="M475" s="13" t="s">
        <v>3230</v>
      </c>
      <c r="N475" s="13">
        <v>1.0</v>
      </c>
      <c r="O475" s="13" t="s">
        <v>3162</v>
      </c>
      <c r="P475" s="13" t="s">
        <v>33</v>
      </c>
      <c r="Q475" s="13" t="s">
        <v>3210</v>
      </c>
      <c r="R475" s="13" t="s">
        <v>3163</v>
      </c>
      <c r="S475" s="13" t="s">
        <v>33</v>
      </c>
      <c r="T475" s="13" t="s">
        <v>3195</v>
      </c>
      <c r="U475" s="13" t="s">
        <v>3195</v>
      </c>
      <c r="V475" s="13" t="s">
        <v>3195</v>
      </c>
      <c r="W475" s="13" t="s">
        <v>3167</v>
      </c>
      <c r="X475" s="13" t="s">
        <v>3167</v>
      </c>
    </row>
    <row r="476" ht="14.25" customHeight="1">
      <c r="A476" s="13">
        <v>24411.0</v>
      </c>
      <c r="B476" s="13" t="s">
        <v>3030</v>
      </c>
      <c r="C476" s="13">
        <v>2015.0</v>
      </c>
      <c r="D476" s="13" t="s">
        <v>3153</v>
      </c>
      <c r="E476" s="13" t="s">
        <v>3154</v>
      </c>
      <c r="F476" s="13" t="s">
        <v>3170</v>
      </c>
      <c r="G476" s="13" t="s">
        <v>3202</v>
      </c>
      <c r="H476" s="13">
        <v>30.0</v>
      </c>
      <c r="I476" s="13" t="s">
        <v>3222</v>
      </c>
      <c r="J476" s="13" t="s">
        <v>3182</v>
      </c>
      <c r="K476" s="13" t="s">
        <v>3183</v>
      </c>
      <c r="L476" s="13" t="s">
        <v>3177</v>
      </c>
      <c r="M476" s="13" t="s">
        <v>3571</v>
      </c>
      <c r="N476" s="13">
        <v>2.0</v>
      </c>
      <c r="O476" s="13" t="s">
        <v>3162</v>
      </c>
      <c r="P476" s="13" t="s">
        <v>3890</v>
      </c>
      <c r="Q476" s="13" t="s">
        <v>3159</v>
      </c>
      <c r="R476" s="13" t="s">
        <v>3177</v>
      </c>
      <c r="S476" s="13" t="s">
        <v>33</v>
      </c>
      <c r="T476" s="13" t="s">
        <v>3197</v>
      </c>
      <c r="U476" s="13" t="s">
        <v>3197</v>
      </c>
      <c r="V476" s="13" t="s">
        <v>3166</v>
      </c>
      <c r="W476" s="13" t="s">
        <v>3167</v>
      </c>
      <c r="X476" s="13" t="s">
        <v>3255</v>
      </c>
    </row>
    <row r="477" ht="14.25" customHeight="1">
      <c r="A477" s="13">
        <v>24415.0</v>
      </c>
      <c r="B477" s="13" t="s">
        <v>1061</v>
      </c>
      <c r="C477" s="13">
        <v>2018.0</v>
      </c>
      <c r="D477" s="13" t="s">
        <v>3153</v>
      </c>
      <c r="E477" s="13" t="s">
        <v>3465</v>
      </c>
      <c r="F477" s="13" t="s">
        <v>3217</v>
      </c>
      <c r="G477" s="13" t="s">
        <v>3187</v>
      </c>
      <c r="H477" s="13">
        <v>400.0</v>
      </c>
      <c r="I477" s="13" t="s">
        <v>3167</v>
      </c>
      <c r="J477" s="13" t="s">
        <v>3167</v>
      </c>
      <c r="K477" s="13" t="s">
        <v>3208</v>
      </c>
      <c r="L477" s="13" t="s">
        <v>3177</v>
      </c>
      <c r="M477" s="13" t="s">
        <v>3722</v>
      </c>
      <c r="N477" s="13">
        <v>1.0</v>
      </c>
      <c r="O477" s="13" t="s">
        <v>3162</v>
      </c>
      <c r="P477" s="13" t="s">
        <v>33</v>
      </c>
      <c r="Q477" s="13" t="s">
        <v>3183</v>
      </c>
      <c r="R477" s="13" t="s">
        <v>3177</v>
      </c>
      <c r="S477" s="13" t="s">
        <v>3397</v>
      </c>
      <c r="T477" s="13" t="s">
        <v>3232</v>
      </c>
      <c r="U477" s="13" t="s">
        <v>3197</v>
      </c>
      <c r="V477" s="13" t="s">
        <v>3166</v>
      </c>
      <c r="W477" s="13" t="s">
        <v>3167</v>
      </c>
      <c r="X477" s="13" t="s">
        <v>3476</v>
      </c>
    </row>
    <row r="478" ht="14.25" customHeight="1">
      <c r="A478" s="13">
        <v>24416.0</v>
      </c>
      <c r="B478" s="13" t="s">
        <v>3047</v>
      </c>
      <c r="C478" s="13">
        <v>2017.0</v>
      </c>
      <c r="D478" s="13" t="s">
        <v>3153</v>
      </c>
      <c r="E478" s="13" t="s">
        <v>3169</v>
      </c>
      <c r="F478" s="13" t="s">
        <v>3211</v>
      </c>
      <c r="G478" s="13" t="s">
        <v>3156</v>
      </c>
      <c r="H478" s="13" t="s">
        <v>33</v>
      </c>
      <c r="I478" s="13" t="s">
        <v>3171</v>
      </c>
      <c r="J478" s="13" t="s">
        <v>3891</v>
      </c>
      <c r="K478" s="13" t="s">
        <v>3159</v>
      </c>
      <c r="L478" s="13" t="s">
        <v>3160</v>
      </c>
      <c r="M478" s="13" t="s">
        <v>3391</v>
      </c>
      <c r="N478" s="13">
        <v>1.0</v>
      </c>
      <c r="O478" s="13" t="s">
        <v>3162</v>
      </c>
      <c r="P478" s="13" t="s">
        <v>33</v>
      </c>
      <c r="Q478" s="13" t="s">
        <v>3159</v>
      </c>
      <c r="R478" s="13" t="s">
        <v>3163</v>
      </c>
      <c r="S478" s="13" t="s">
        <v>33</v>
      </c>
      <c r="T478" s="13" t="s">
        <v>3232</v>
      </c>
      <c r="U478" s="13" t="s">
        <v>3232</v>
      </c>
      <c r="V478" s="13" t="s">
        <v>3166</v>
      </c>
      <c r="W478" s="13" t="s">
        <v>3167</v>
      </c>
      <c r="X478" s="13" t="s">
        <v>3178</v>
      </c>
    </row>
    <row r="479" ht="14.25" customHeight="1">
      <c r="A479" s="13">
        <v>24417.0</v>
      </c>
      <c r="B479" s="13" t="s">
        <v>957</v>
      </c>
      <c r="C479" s="13">
        <v>2010.0</v>
      </c>
      <c r="D479" s="13" t="s">
        <v>3153</v>
      </c>
      <c r="E479" s="13" t="s">
        <v>3179</v>
      </c>
      <c r="F479" s="13" t="s">
        <v>3170</v>
      </c>
      <c r="G479" s="13" t="s">
        <v>3187</v>
      </c>
      <c r="H479" s="13">
        <v>1.0</v>
      </c>
      <c r="I479" s="13" t="s">
        <v>3527</v>
      </c>
      <c r="J479" s="13" t="s">
        <v>3892</v>
      </c>
      <c r="K479" s="13" t="s">
        <v>3186</v>
      </c>
      <c r="L479" s="13" t="s">
        <v>3160</v>
      </c>
      <c r="M479" s="13" t="s">
        <v>3369</v>
      </c>
      <c r="N479" s="13">
        <v>1.0</v>
      </c>
      <c r="O479" s="13" t="s">
        <v>3162</v>
      </c>
      <c r="P479" s="13" t="s">
        <v>33</v>
      </c>
      <c r="Q479" s="13" t="s">
        <v>3183</v>
      </c>
      <c r="R479" s="13" t="s">
        <v>3177</v>
      </c>
      <c r="S479" s="13" t="s">
        <v>3397</v>
      </c>
      <c r="T479" s="13" t="s">
        <v>3197</v>
      </c>
      <c r="U479" s="13" t="s">
        <v>3197</v>
      </c>
      <c r="V479" s="13" t="s">
        <v>3166</v>
      </c>
      <c r="W479" s="13" t="s">
        <v>3167</v>
      </c>
      <c r="X479" s="13" t="s">
        <v>3893</v>
      </c>
    </row>
    <row r="480" ht="14.25" customHeight="1">
      <c r="A480" s="13">
        <v>24418.0</v>
      </c>
      <c r="B480" s="13" t="s">
        <v>1022</v>
      </c>
      <c r="C480" s="13">
        <v>2016.0</v>
      </c>
      <c r="D480" s="13" t="s">
        <v>3153</v>
      </c>
      <c r="E480" s="13" t="s">
        <v>3169</v>
      </c>
      <c r="F480" s="13" t="s">
        <v>3192</v>
      </c>
      <c r="G480" s="13" t="s">
        <v>33</v>
      </c>
      <c r="H480" s="13" t="s">
        <v>33</v>
      </c>
      <c r="I480" s="13" t="s">
        <v>3222</v>
      </c>
      <c r="J480" s="13" t="s">
        <v>3182</v>
      </c>
      <c r="K480" s="13" t="s">
        <v>3183</v>
      </c>
      <c r="L480" s="13" t="s">
        <v>3177</v>
      </c>
      <c r="M480" s="13" t="s">
        <v>3480</v>
      </c>
      <c r="N480" s="13">
        <v>1.0</v>
      </c>
      <c r="O480" s="13" t="s">
        <v>3162</v>
      </c>
      <c r="P480" s="13" t="s">
        <v>33</v>
      </c>
      <c r="Q480" s="13" t="s">
        <v>3159</v>
      </c>
      <c r="R480" s="13" t="s">
        <v>3163</v>
      </c>
      <c r="S480" s="13" t="s">
        <v>33</v>
      </c>
      <c r="T480" s="13" t="s">
        <v>3247</v>
      </c>
      <c r="U480" s="13" t="s">
        <v>3247</v>
      </c>
      <c r="V480" s="13" t="s">
        <v>3242</v>
      </c>
      <c r="W480" s="13" t="s">
        <v>3496</v>
      </c>
      <c r="X480" s="13" t="s">
        <v>3167</v>
      </c>
    </row>
    <row r="481" ht="14.25" customHeight="1">
      <c r="A481" s="13">
        <v>24420.0</v>
      </c>
      <c r="B481" s="13" t="s">
        <v>2112</v>
      </c>
      <c r="C481" s="13">
        <v>2018.0</v>
      </c>
      <c r="D481" s="13" t="s">
        <v>3153</v>
      </c>
      <c r="E481" s="13" t="s">
        <v>3154</v>
      </c>
      <c r="F481" s="13" t="s">
        <v>3192</v>
      </c>
      <c r="G481" s="13" t="s">
        <v>3156</v>
      </c>
      <c r="H481" s="13" t="s">
        <v>33</v>
      </c>
      <c r="I481" s="13" t="s">
        <v>3222</v>
      </c>
      <c r="J481" s="13" t="s">
        <v>3182</v>
      </c>
      <c r="K481" s="13" t="s">
        <v>3381</v>
      </c>
      <c r="L481" s="13" t="s">
        <v>3177</v>
      </c>
      <c r="M481" s="13" t="s">
        <v>3291</v>
      </c>
      <c r="N481" s="13">
        <v>1.0</v>
      </c>
      <c r="O481" s="13" t="s">
        <v>3162</v>
      </c>
      <c r="P481" s="13" t="s">
        <v>3894</v>
      </c>
      <c r="Q481" s="13" t="s">
        <v>3359</v>
      </c>
      <c r="R481" s="13" t="s">
        <v>3177</v>
      </c>
      <c r="S481" s="13" t="s">
        <v>3895</v>
      </c>
      <c r="T481" s="13" t="s">
        <v>3197</v>
      </c>
      <c r="U481" s="13" t="s">
        <v>3197</v>
      </c>
      <c r="V481" s="13" t="s">
        <v>3166</v>
      </c>
      <c r="W481" s="13" t="s">
        <v>3167</v>
      </c>
      <c r="X481" s="13" t="s">
        <v>3255</v>
      </c>
    </row>
    <row r="482" ht="14.25" customHeight="1">
      <c r="A482" s="13">
        <v>24421.0</v>
      </c>
      <c r="B482" s="13" t="s">
        <v>200</v>
      </c>
      <c r="C482" s="13">
        <v>2020.0</v>
      </c>
      <c r="D482" s="13" t="s">
        <v>3153</v>
      </c>
      <c r="E482" s="13" t="s">
        <v>3169</v>
      </c>
      <c r="F482" s="13" t="s">
        <v>3155</v>
      </c>
      <c r="G482" s="13" t="s">
        <v>3187</v>
      </c>
      <c r="H482" s="13">
        <v>100.0</v>
      </c>
      <c r="I482" s="13" t="s">
        <v>3157</v>
      </c>
      <c r="J482" s="13" t="s">
        <v>3896</v>
      </c>
      <c r="K482" s="13" t="s">
        <v>3183</v>
      </c>
      <c r="L482" s="13" t="s">
        <v>3177</v>
      </c>
      <c r="M482" s="13" t="s">
        <v>3230</v>
      </c>
      <c r="N482" s="13">
        <v>1.0</v>
      </c>
      <c r="O482" s="13" t="s">
        <v>3162</v>
      </c>
      <c r="P482" s="13" t="s">
        <v>3453</v>
      </c>
      <c r="Q482" s="13" t="s">
        <v>3183</v>
      </c>
      <c r="R482" s="13" t="s">
        <v>3177</v>
      </c>
      <c r="S482" s="13" t="s">
        <v>3897</v>
      </c>
      <c r="T482" s="13" t="s">
        <v>3232</v>
      </c>
      <c r="U482" s="13" t="s">
        <v>3232</v>
      </c>
      <c r="V482" s="13" t="s">
        <v>3166</v>
      </c>
      <c r="W482" s="13" t="s">
        <v>3167</v>
      </c>
      <c r="X482" s="13" t="s">
        <v>3224</v>
      </c>
    </row>
    <row r="483" ht="14.25" customHeight="1">
      <c r="A483" s="13">
        <v>24422.0</v>
      </c>
      <c r="B483" s="13" t="s">
        <v>2608</v>
      </c>
      <c r="C483" s="13">
        <v>2005.0</v>
      </c>
      <c r="D483" s="13" t="s">
        <v>3153</v>
      </c>
      <c r="E483" s="13" t="s">
        <v>3169</v>
      </c>
      <c r="F483" s="13" t="s">
        <v>3170</v>
      </c>
      <c r="G483" s="13" t="s">
        <v>3156</v>
      </c>
      <c r="H483" s="13" t="s">
        <v>33</v>
      </c>
      <c r="I483" s="13" t="s">
        <v>3157</v>
      </c>
      <c r="J483" s="13" t="s">
        <v>3898</v>
      </c>
      <c r="K483" s="13" t="s">
        <v>3201</v>
      </c>
      <c r="L483" s="13" t="s">
        <v>3177</v>
      </c>
      <c r="M483" s="13" t="s">
        <v>3899</v>
      </c>
      <c r="N483" s="13">
        <v>2.0</v>
      </c>
      <c r="O483" s="13" t="s">
        <v>3162</v>
      </c>
      <c r="P483" s="13" t="s">
        <v>33</v>
      </c>
      <c r="Q483" s="13" t="s">
        <v>3186</v>
      </c>
      <c r="R483" s="13" t="s">
        <v>3163</v>
      </c>
      <c r="S483" s="13" t="s">
        <v>33</v>
      </c>
      <c r="T483" s="13" t="s">
        <v>3164</v>
      </c>
      <c r="U483" s="13" t="s">
        <v>3164</v>
      </c>
      <c r="V483" s="13" t="s">
        <v>3166</v>
      </c>
      <c r="W483" s="13" t="s">
        <v>3167</v>
      </c>
      <c r="X483" s="13" t="s">
        <v>3224</v>
      </c>
    </row>
    <row r="484" ht="14.25" customHeight="1">
      <c r="A484" s="13">
        <v>24423.0</v>
      </c>
      <c r="B484" s="13" t="s">
        <v>355</v>
      </c>
      <c r="C484" s="13">
        <v>2020.0</v>
      </c>
      <c r="D484" s="13" t="s">
        <v>3153</v>
      </c>
      <c r="E484" s="13" t="s">
        <v>3169</v>
      </c>
      <c r="F484" s="13" t="s">
        <v>3170</v>
      </c>
      <c r="G484" s="13" t="s">
        <v>3202</v>
      </c>
      <c r="H484" s="13">
        <v>1.0</v>
      </c>
      <c r="I484" s="13" t="s">
        <v>3157</v>
      </c>
      <c r="J484" s="13" t="s">
        <v>3900</v>
      </c>
      <c r="K484" s="13" t="s">
        <v>3208</v>
      </c>
      <c r="L484" s="13" t="s">
        <v>3160</v>
      </c>
      <c r="M484" s="13" t="s">
        <v>3161</v>
      </c>
      <c r="N484" s="13">
        <v>1.0</v>
      </c>
      <c r="O484" s="13" t="s">
        <v>3162</v>
      </c>
      <c r="P484" s="13" t="s">
        <v>33</v>
      </c>
      <c r="Q484" s="13" t="s">
        <v>3208</v>
      </c>
      <c r="R484" s="13" t="s">
        <v>3163</v>
      </c>
      <c r="S484" s="13" t="s">
        <v>33</v>
      </c>
      <c r="T484" s="13" t="s">
        <v>3247</v>
      </c>
      <c r="U484" s="13" t="s">
        <v>3247</v>
      </c>
      <c r="V484" s="13" t="s">
        <v>3242</v>
      </c>
      <c r="W484" s="13" t="s">
        <v>3496</v>
      </c>
      <c r="X484" s="13" t="s">
        <v>3167</v>
      </c>
    </row>
    <row r="485" ht="14.25" customHeight="1">
      <c r="A485" s="13">
        <v>24426.0</v>
      </c>
      <c r="B485" s="13" t="s">
        <v>3078</v>
      </c>
      <c r="C485" s="13">
        <v>2018.0</v>
      </c>
      <c r="D485" s="13" t="s">
        <v>3153</v>
      </c>
      <c r="E485" s="13" t="s">
        <v>3465</v>
      </c>
      <c r="F485" s="13" t="s">
        <v>3170</v>
      </c>
      <c r="G485" s="13" t="s">
        <v>3156</v>
      </c>
      <c r="H485" s="13" t="s">
        <v>33</v>
      </c>
      <c r="I485" s="13" t="s">
        <v>3157</v>
      </c>
      <c r="J485" s="13" t="s">
        <v>3330</v>
      </c>
      <c r="K485" s="13" t="s">
        <v>3190</v>
      </c>
      <c r="L485" s="13" t="s">
        <v>3177</v>
      </c>
      <c r="M485" s="13" t="s">
        <v>3494</v>
      </c>
      <c r="N485" s="13">
        <v>1.0</v>
      </c>
      <c r="O485" s="13" t="s">
        <v>3162</v>
      </c>
      <c r="P485" s="13" t="s">
        <v>33</v>
      </c>
      <c r="Q485" s="13" t="s">
        <v>3901</v>
      </c>
      <c r="R485" s="13" t="s">
        <v>3177</v>
      </c>
      <c r="S485" s="13" t="s">
        <v>3902</v>
      </c>
      <c r="T485" s="13" t="s">
        <v>3252</v>
      </c>
      <c r="U485" s="13" t="s">
        <v>3252</v>
      </c>
      <c r="V485" s="13" t="s">
        <v>3253</v>
      </c>
      <c r="W485" s="13" t="s">
        <v>3294</v>
      </c>
      <c r="X485" s="13" t="s">
        <v>3903</v>
      </c>
    </row>
    <row r="486" ht="14.25" customHeight="1">
      <c r="A486" s="13">
        <v>24428.0</v>
      </c>
      <c r="B486" s="13" t="s">
        <v>87</v>
      </c>
      <c r="C486" s="13">
        <v>2010.0</v>
      </c>
      <c r="D486" s="13" t="s">
        <v>3153</v>
      </c>
      <c r="E486" s="13" t="s">
        <v>3154</v>
      </c>
      <c r="F486" s="13" t="s">
        <v>3170</v>
      </c>
      <c r="G486" s="13" t="s">
        <v>3156</v>
      </c>
      <c r="H486" s="13" t="s">
        <v>33</v>
      </c>
      <c r="I486" s="13" t="s">
        <v>3157</v>
      </c>
      <c r="J486" s="13" t="s">
        <v>3904</v>
      </c>
      <c r="K486" s="13" t="s">
        <v>3250</v>
      </c>
      <c r="L486" s="13" t="s">
        <v>3160</v>
      </c>
      <c r="M486" s="13" t="s">
        <v>3905</v>
      </c>
      <c r="N486" s="13">
        <v>10.0</v>
      </c>
      <c r="O486" s="13" t="s">
        <v>3162</v>
      </c>
      <c r="P486" s="13" t="s">
        <v>33</v>
      </c>
      <c r="Q486" s="13" t="s">
        <v>3210</v>
      </c>
      <c r="R486" s="13" t="s">
        <v>3163</v>
      </c>
      <c r="S486" s="13" t="s">
        <v>33</v>
      </c>
      <c r="T486" s="13" t="s">
        <v>3195</v>
      </c>
      <c r="U486" s="13" t="s">
        <v>3195</v>
      </c>
      <c r="V486" s="13" t="s">
        <v>3195</v>
      </c>
      <c r="W486" s="13" t="s">
        <v>3167</v>
      </c>
      <c r="X486" s="13" t="s">
        <v>3167</v>
      </c>
    </row>
    <row r="487" ht="14.25" customHeight="1">
      <c r="A487" s="13">
        <v>24431.0</v>
      </c>
      <c r="B487" s="13" t="s">
        <v>710</v>
      </c>
      <c r="C487" s="13">
        <v>2017.0</v>
      </c>
      <c r="D487" s="13" t="s">
        <v>3153</v>
      </c>
      <c r="E487" s="13" t="s">
        <v>3154</v>
      </c>
      <c r="F487" s="13" t="s">
        <v>3170</v>
      </c>
      <c r="G487" s="13" t="s">
        <v>3156</v>
      </c>
      <c r="H487" s="13" t="s">
        <v>33</v>
      </c>
      <c r="I487" s="13" t="s">
        <v>3222</v>
      </c>
      <c r="J487" s="13" t="s">
        <v>3229</v>
      </c>
      <c r="K487" s="13" t="s">
        <v>3183</v>
      </c>
      <c r="L487" s="13" t="s">
        <v>3160</v>
      </c>
      <c r="M487" s="13" t="s">
        <v>3161</v>
      </c>
      <c r="N487" s="13">
        <v>1.0</v>
      </c>
      <c r="O487" s="13" t="s">
        <v>3162</v>
      </c>
      <c r="P487" s="13" t="s">
        <v>3724</v>
      </c>
      <c r="Q487" s="13" t="s">
        <v>3183</v>
      </c>
      <c r="R487" s="13" t="s">
        <v>3163</v>
      </c>
      <c r="S487" s="13" t="s">
        <v>3724</v>
      </c>
      <c r="T487" s="13" t="s">
        <v>3164</v>
      </c>
      <c r="U487" s="13" t="s">
        <v>3164</v>
      </c>
      <c r="V487" s="13" t="s">
        <v>3166</v>
      </c>
      <c r="W487" s="13" t="s">
        <v>3167</v>
      </c>
      <c r="X487" s="13" t="s">
        <v>3255</v>
      </c>
    </row>
    <row r="488" ht="14.25" customHeight="1">
      <c r="A488" s="13">
        <v>24436.0</v>
      </c>
      <c r="B488" s="13" t="s">
        <v>882</v>
      </c>
      <c r="C488" s="13">
        <v>2012.0</v>
      </c>
      <c r="D488" s="13" t="s">
        <v>3153</v>
      </c>
      <c r="E488" s="13" t="s">
        <v>3169</v>
      </c>
      <c r="F488" s="13" t="s">
        <v>3192</v>
      </c>
      <c r="G488" s="13" t="s">
        <v>3156</v>
      </c>
      <c r="H488" s="13" t="s">
        <v>33</v>
      </c>
      <c r="I488" s="13" t="s">
        <v>3222</v>
      </c>
      <c r="J488" s="13" t="s">
        <v>3182</v>
      </c>
      <c r="K488" s="13" t="s">
        <v>3906</v>
      </c>
      <c r="L488" s="13" t="s">
        <v>3160</v>
      </c>
      <c r="M488" s="13" t="s">
        <v>3161</v>
      </c>
      <c r="N488" s="13">
        <v>1.0</v>
      </c>
      <c r="O488" s="13" t="s">
        <v>3162</v>
      </c>
      <c r="P488" s="13" t="s">
        <v>3907</v>
      </c>
      <c r="Q488" s="13" t="s">
        <v>3159</v>
      </c>
      <c r="R488" s="13" t="s">
        <v>3163</v>
      </c>
      <c r="S488" s="13" t="s">
        <v>33</v>
      </c>
      <c r="T488" s="13" t="s">
        <v>3197</v>
      </c>
      <c r="U488" s="13" t="s">
        <v>3197</v>
      </c>
      <c r="V488" s="13" t="s">
        <v>3166</v>
      </c>
      <c r="W488" s="13" t="s">
        <v>3167</v>
      </c>
      <c r="X488" s="13" t="s">
        <v>3168</v>
      </c>
    </row>
    <row r="489" ht="14.25" customHeight="1">
      <c r="A489" s="13">
        <v>24437.0</v>
      </c>
      <c r="B489" s="13" t="s">
        <v>1032</v>
      </c>
      <c r="C489" s="13">
        <v>2019.0</v>
      </c>
      <c r="D489" s="13" t="s">
        <v>3153</v>
      </c>
      <c r="E489" s="13" t="s">
        <v>3169</v>
      </c>
      <c r="F489" s="13" t="s">
        <v>3170</v>
      </c>
      <c r="G489" s="13" t="s">
        <v>3156</v>
      </c>
      <c r="H489" s="13" t="s">
        <v>33</v>
      </c>
      <c r="I489" s="13" t="s">
        <v>3157</v>
      </c>
      <c r="J489" s="13" t="s">
        <v>3600</v>
      </c>
      <c r="K489" s="13" t="s">
        <v>3208</v>
      </c>
      <c r="L489" s="13" t="s">
        <v>3177</v>
      </c>
      <c r="M489" s="13" t="s">
        <v>3908</v>
      </c>
      <c r="N489" s="13">
        <v>2.0</v>
      </c>
      <c r="O489" s="13" t="s">
        <v>3162</v>
      </c>
      <c r="P489" s="13" t="s">
        <v>3909</v>
      </c>
      <c r="Q489" s="13" t="s">
        <v>3159</v>
      </c>
      <c r="R489" s="13" t="s">
        <v>3163</v>
      </c>
      <c r="S489" s="13" t="s">
        <v>33</v>
      </c>
      <c r="T489" s="13" t="s">
        <v>3252</v>
      </c>
      <c r="U489" s="13" t="s">
        <v>3252</v>
      </c>
      <c r="V489" s="13" t="s">
        <v>3253</v>
      </c>
      <c r="W489" s="13" t="s">
        <v>3496</v>
      </c>
      <c r="X489" s="13" t="s">
        <v>3910</v>
      </c>
    </row>
    <row r="490" ht="14.25" customHeight="1">
      <c r="A490" s="13">
        <v>24443.0</v>
      </c>
      <c r="B490" s="13" t="s">
        <v>2163</v>
      </c>
      <c r="C490" s="13">
        <v>2014.0</v>
      </c>
      <c r="D490" s="13" t="s">
        <v>3153</v>
      </c>
      <c r="E490" s="13" t="s">
        <v>3169</v>
      </c>
      <c r="F490" s="13" t="s">
        <v>3192</v>
      </c>
      <c r="G490" s="13" t="s">
        <v>3187</v>
      </c>
      <c r="H490" s="13">
        <v>10.0</v>
      </c>
      <c r="I490" s="13" t="s">
        <v>3188</v>
      </c>
      <c r="J490" s="13" t="s">
        <v>3423</v>
      </c>
      <c r="K490" s="13" t="s">
        <v>3183</v>
      </c>
      <c r="L490" s="13" t="s">
        <v>3177</v>
      </c>
      <c r="M490" s="13" t="s">
        <v>3911</v>
      </c>
      <c r="N490" s="13">
        <v>2.0</v>
      </c>
      <c r="O490" s="13" t="s">
        <v>3162</v>
      </c>
      <c r="P490" s="13" t="s">
        <v>3912</v>
      </c>
      <c r="Q490" s="13" t="s">
        <v>3370</v>
      </c>
      <c r="R490" s="13" t="s">
        <v>3260</v>
      </c>
      <c r="S490" s="13" t="s">
        <v>33</v>
      </c>
      <c r="T490" s="13" t="s">
        <v>3164</v>
      </c>
      <c r="U490" s="13" t="s">
        <v>3164</v>
      </c>
      <c r="V490" s="13" t="s">
        <v>3166</v>
      </c>
      <c r="W490" s="13" t="s">
        <v>3167</v>
      </c>
      <c r="X490" s="13" t="s">
        <v>3178</v>
      </c>
    </row>
    <row r="491" ht="14.25" customHeight="1">
      <c r="A491" s="13">
        <v>24446.0</v>
      </c>
      <c r="B491" s="13" t="s">
        <v>1430</v>
      </c>
      <c r="C491" s="13">
        <v>2018.0</v>
      </c>
      <c r="D491" s="13" t="s">
        <v>3153</v>
      </c>
      <c r="E491" s="13" t="s">
        <v>3179</v>
      </c>
      <c r="F491" s="13" t="s">
        <v>3192</v>
      </c>
      <c r="G491" s="13" t="s">
        <v>3187</v>
      </c>
      <c r="H491" s="13">
        <v>1.0</v>
      </c>
      <c r="I491" s="13" t="s">
        <v>3181</v>
      </c>
      <c r="J491" s="13" t="s">
        <v>3913</v>
      </c>
      <c r="K491" s="13" t="s">
        <v>3183</v>
      </c>
      <c r="L491" s="13" t="s">
        <v>3177</v>
      </c>
      <c r="M491" s="13" t="s">
        <v>3241</v>
      </c>
      <c r="N491" s="13">
        <v>1.0</v>
      </c>
      <c r="O491" s="13" t="s">
        <v>3162</v>
      </c>
      <c r="P491" s="13" t="s">
        <v>3914</v>
      </c>
      <c r="Q491" s="13" t="s">
        <v>3183</v>
      </c>
      <c r="R491" s="13" t="s">
        <v>3163</v>
      </c>
      <c r="S491" s="13" t="s">
        <v>33</v>
      </c>
      <c r="T491" s="13" t="s">
        <v>3228</v>
      </c>
      <c r="U491" s="13" t="s">
        <v>3228</v>
      </c>
      <c r="V491" s="13" t="s">
        <v>3166</v>
      </c>
      <c r="W491" s="13" t="s">
        <v>3167</v>
      </c>
      <c r="X491" s="13" t="s">
        <v>3168</v>
      </c>
    </row>
    <row r="492" ht="14.25" customHeight="1">
      <c r="A492" s="13">
        <v>24450.0</v>
      </c>
      <c r="B492" s="13" t="s">
        <v>2080</v>
      </c>
      <c r="C492" s="13">
        <v>2019.0</v>
      </c>
      <c r="D492" s="13" t="s">
        <v>3153</v>
      </c>
      <c r="E492" s="13" t="s">
        <v>3179</v>
      </c>
      <c r="F492" s="13" t="s">
        <v>3155</v>
      </c>
      <c r="G492" s="13" t="s">
        <v>3202</v>
      </c>
      <c r="H492" s="13">
        <v>20.0</v>
      </c>
      <c r="I492" s="13" t="s">
        <v>3261</v>
      </c>
      <c r="J492" s="13" t="s">
        <v>3436</v>
      </c>
      <c r="K492" s="13" t="s">
        <v>3208</v>
      </c>
      <c r="L492" s="13" t="s">
        <v>3160</v>
      </c>
      <c r="M492" s="13" t="s">
        <v>3342</v>
      </c>
      <c r="N492" s="13">
        <v>1.0</v>
      </c>
      <c r="O492" s="13" t="s">
        <v>3162</v>
      </c>
      <c r="P492" s="13" t="s">
        <v>33</v>
      </c>
      <c r="Q492" s="13" t="s">
        <v>3208</v>
      </c>
      <c r="R492" s="13" t="s">
        <v>3163</v>
      </c>
      <c r="S492" s="13" t="s">
        <v>33</v>
      </c>
      <c r="T492" s="13" t="s">
        <v>3197</v>
      </c>
      <c r="U492" s="13" t="s">
        <v>3197</v>
      </c>
      <c r="V492" s="13" t="s">
        <v>3166</v>
      </c>
      <c r="W492" s="13" t="s">
        <v>3167</v>
      </c>
      <c r="X492" s="13" t="s">
        <v>3255</v>
      </c>
    </row>
    <row r="493" ht="14.25" customHeight="1">
      <c r="A493" s="13">
        <v>24451.0</v>
      </c>
      <c r="B493" s="13" t="s">
        <v>2873</v>
      </c>
      <c r="C493" s="13">
        <v>2018.0</v>
      </c>
      <c r="D493" s="13" t="s">
        <v>3153</v>
      </c>
      <c r="E493" s="13" t="s">
        <v>3169</v>
      </c>
      <c r="F493" s="13" t="s">
        <v>3170</v>
      </c>
      <c r="G493" s="13" t="s">
        <v>3187</v>
      </c>
      <c r="H493" s="13">
        <v>1.0</v>
      </c>
      <c r="I493" s="13" t="s">
        <v>3222</v>
      </c>
      <c r="J493" s="13" t="s">
        <v>3182</v>
      </c>
      <c r="K493" s="13" t="s">
        <v>3159</v>
      </c>
      <c r="L493" s="13" t="s">
        <v>3160</v>
      </c>
      <c r="M493" s="13" t="s">
        <v>3426</v>
      </c>
      <c r="N493" s="13">
        <v>1.0</v>
      </c>
      <c r="O493" s="13" t="s">
        <v>3162</v>
      </c>
      <c r="P493" s="13" t="s">
        <v>3167</v>
      </c>
      <c r="Q493" s="13" t="s">
        <v>3208</v>
      </c>
      <c r="R493" s="13" t="s">
        <v>3231</v>
      </c>
      <c r="S493" s="13" t="s">
        <v>33</v>
      </c>
      <c r="T493" s="13" t="s">
        <v>3164</v>
      </c>
      <c r="U493" s="13" t="s">
        <v>3164</v>
      </c>
      <c r="V493" s="13" t="s">
        <v>3242</v>
      </c>
      <c r="W493" s="13" t="s">
        <v>3433</v>
      </c>
      <c r="X493" s="13" t="s">
        <v>3167</v>
      </c>
    </row>
    <row r="494" ht="14.25" customHeight="1">
      <c r="A494" s="13">
        <v>24455.0</v>
      </c>
      <c r="B494" s="13" t="s">
        <v>980</v>
      </c>
      <c r="C494" s="13">
        <v>2019.0</v>
      </c>
      <c r="D494" s="13" t="s">
        <v>3153</v>
      </c>
      <c r="E494" s="13" t="s">
        <v>3154</v>
      </c>
      <c r="F494" s="13" t="s">
        <v>3170</v>
      </c>
      <c r="G494" s="13" t="s">
        <v>3156</v>
      </c>
      <c r="H494" s="13" t="s">
        <v>33</v>
      </c>
      <c r="I494" s="13" t="s">
        <v>3222</v>
      </c>
      <c r="J494" s="13" t="s">
        <v>3182</v>
      </c>
      <c r="K494" s="13" t="s">
        <v>3159</v>
      </c>
      <c r="L494" s="13" t="s">
        <v>3160</v>
      </c>
      <c r="M494" s="13" t="s">
        <v>3291</v>
      </c>
      <c r="N494" s="13">
        <v>1.0</v>
      </c>
      <c r="O494" s="13" t="s">
        <v>3162</v>
      </c>
      <c r="P494" s="13" t="s">
        <v>33</v>
      </c>
      <c r="Q494" s="13" t="s">
        <v>3159</v>
      </c>
      <c r="R494" s="13" t="s">
        <v>3177</v>
      </c>
      <c r="S494" s="13" t="s">
        <v>33</v>
      </c>
      <c r="T494" s="13" t="s">
        <v>3164</v>
      </c>
      <c r="U494" s="13" t="s">
        <v>3164</v>
      </c>
      <c r="V494" s="13" t="s">
        <v>3166</v>
      </c>
      <c r="W494" s="13" t="s">
        <v>3167</v>
      </c>
      <c r="X494" s="13" t="s">
        <v>3225</v>
      </c>
    </row>
    <row r="495" ht="14.25" customHeight="1">
      <c r="A495" s="13">
        <v>24460.0</v>
      </c>
      <c r="B495" s="13" t="s">
        <v>1506</v>
      </c>
      <c r="C495" s="13">
        <v>2009.0</v>
      </c>
      <c r="D495" s="13" t="s">
        <v>3153</v>
      </c>
      <c r="E495" s="13" t="s">
        <v>3169</v>
      </c>
      <c r="F495" s="13" t="s">
        <v>3170</v>
      </c>
      <c r="G495" s="13" t="s">
        <v>3202</v>
      </c>
      <c r="H495" s="13">
        <v>25.0</v>
      </c>
      <c r="I495" s="13" t="s">
        <v>3171</v>
      </c>
      <c r="J495" s="13" t="s">
        <v>3915</v>
      </c>
      <c r="K495" s="13" t="s">
        <v>3186</v>
      </c>
      <c r="L495" s="13" t="s">
        <v>3160</v>
      </c>
      <c r="M495" s="13" t="s">
        <v>3916</v>
      </c>
      <c r="N495" s="13">
        <v>4.0</v>
      </c>
      <c r="O495" s="13" t="s">
        <v>3162</v>
      </c>
      <c r="P495" s="13" t="s">
        <v>33</v>
      </c>
      <c r="Q495" s="13" t="s">
        <v>3186</v>
      </c>
      <c r="R495" s="13" t="s">
        <v>3163</v>
      </c>
      <c r="S495" s="13" t="s">
        <v>33</v>
      </c>
      <c r="T495" s="13" t="s">
        <v>3247</v>
      </c>
      <c r="U495" s="13" t="s">
        <v>3247</v>
      </c>
      <c r="V495" s="13" t="s">
        <v>3242</v>
      </c>
      <c r="W495" s="13" t="s">
        <v>3496</v>
      </c>
      <c r="X495" s="13" t="s">
        <v>3167</v>
      </c>
    </row>
    <row r="496" ht="14.25" customHeight="1">
      <c r="A496" s="13">
        <v>24461.0</v>
      </c>
      <c r="B496" s="13" t="s">
        <v>1506</v>
      </c>
      <c r="C496" s="13">
        <v>2018.0</v>
      </c>
      <c r="D496" s="13" t="s">
        <v>3153</v>
      </c>
      <c r="E496" s="13" t="s">
        <v>3179</v>
      </c>
      <c r="F496" s="13" t="s">
        <v>3192</v>
      </c>
      <c r="G496" s="13" t="s">
        <v>3187</v>
      </c>
      <c r="H496" s="13">
        <v>10.0</v>
      </c>
      <c r="I496" s="13" t="s">
        <v>3392</v>
      </c>
      <c r="J496" s="13" t="s">
        <v>3378</v>
      </c>
      <c r="K496" s="13" t="s">
        <v>3901</v>
      </c>
      <c r="L496" s="13" t="s">
        <v>3177</v>
      </c>
      <c r="M496" s="13" t="s">
        <v>3917</v>
      </c>
      <c r="N496" s="13">
        <v>13.0</v>
      </c>
      <c r="O496" s="13" t="s">
        <v>3175</v>
      </c>
      <c r="P496" s="13" t="s">
        <v>33</v>
      </c>
      <c r="Q496" s="13" t="s">
        <v>3186</v>
      </c>
      <c r="R496" s="13" t="s">
        <v>3163</v>
      </c>
      <c r="S496" s="13" t="s">
        <v>33</v>
      </c>
      <c r="T496" s="13" t="s">
        <v>3252</v>
      </c>
      <c r="U496" s="13" t="s">
        <v>3252</v>
      </c>
      <c r="V496" s="13" t="s">
        <v>3253</v>
      </c>
      <c r="W496" s="13" t="s">
        <v>3356</v>
      </c>
      <c r="X496" s="13" t="s">
        <v>3918</v>
      </c>
    </row>
    <row r="497" ht="14.25" customHeight="1">
      <c r="A497" s="13">
        <v>24465.0</v>
      </c>
      <c r="B497" s="13" t="s">
        <v>2929</v>
      </c>
      <c r="C497" s="13">
        <v>2010.0</v>
      </c>
      <c r="D497" s="13" t="s">
        <v>3153</v>
      </c>
      <c r="E497" s="13" t="s">
        <v>3179</v>
      </c>
      <c r="F497" s="13" t="s">
        <v>3211</v>
      </c>
      <c r="G497" s="13" t="s">
        <v>3156</v>
      </c>
      <c r="H497" s="13" t="s">
        <v>3167</v>
      </c>
      <c r="I497" s="13" t="s">
        <v>3249</v>
      </c>
      <c r="J497" s="13" t="s">
        <v>3919</v>
      </c>
      <c r="K497" s="13" t="s">
        <v>3159</v>
      </c>
      <c r="L497" s="13" t="s">
        <v>3160</v>
      </c>
      <c r="M497" s="13" t="s">
        <v>3342</v>
      </c>
      <c r="N497" s="13">
        <v>1.0</v>
      </c>
      <c r="O497" s="13" t="s">
        <v>3162</v>
      </c>
      <c r="P497" s="13" t="s">
        <v>3167</v>
      </c>
      <c r="Q497" s="13" t="s">
        <v>3159</v>
      </c>
      <c r="R497" s="13" t="s">
        <v>3231</v>
      </c>
      <c r="S497" s="13" t="s">
        <v>33</v>
      </c>
      <c r="T497" s="13" t="s">
        <v>3164</v>
      </c>
      <c r="U497" s="13" t="s">
        <v>3164</v>
      </c>
      <c r="V497" s="13" t="s">
        <v>3166</v>
      </c>
      <c r="W497" s="13" t="s">
        <v>3167</v>
      </c>
      <c r="X497" s="13" t="s">
        <v>3224</v>
      </c>
    </row>
    <row r="498" ht="14.25" customHeight="1">
      <c r="A498" s="13">
        <v>24471.0</v>
      </c>
      <c r="B498" s="13" t="s">
        <v>761</v>
      </c>
      <c r="C498" s="13">
        <v>2011.0</v>
      </c>
      <c r="D498" s="13" t="s">
        <v>3153</v>
      </c>
      <c r="E498" s="13" t="s">
        <v>3169</v>
      </c>
      <c r="F498" s="13" t="s">
        <v>3211</v>
      </c>
      <c r="G498" s="13" t="s">
        <v>3156</v>
      </c>
      <c r="H498" s="13" t="s">
        <v>33</v>
      </c>
      <c r="I498" s="13" t="s">
        <v>3222</v>
      </c>
      <c r="J498" s="13" t="s">
        <v>3775</v>
      </c>
      <c r="K498" s="13" t="s">
        <v>3183</v>
      </c>
      <c r="L498" s="13" t="s">
        <v>3160</v>
      </c>
      <c r="M498" s="13" t="s">
        <v>3191</v>
      </c>
      <c r="N498" s="13">
        <v>1.0</v>
      </c>
      <c r="O498" s="13" t="s">
        <v>3162</v>
      </c>
      <c r="P498" s="13" t="s">
        <v>3920</v>
      </c>
      <c r="Q498" s="13" t="s">
        <v>3183</v>
      </c>
      <c r="R498" s="13" t="s">
        <v>3177</v>
      </c>
      <c r="S498" s="13" t="s">
        <v>3921</v>
      </c>
      <c r="T498" s="13" t="s">
        <v>3232</v>
      </c>
      <c r="U498" s="13" t="s">
        <v>3197</v>
      </c>
      <c r="V498" s="13" t="s">
        <v>3166</v>
      </c>
      <c r="W498" s="13" t="s">
        <v>3167</v>
      </c>
      <c r="X498" s="13" t="s">
        <v>3922</v>
      </c>
    </row>
    <row r="499" ht="14.25" customHeight="1">
      <c r="A499" s="13">
        <v>24472.0</v>
      </c>
      <c r="B499" s="13" t="s">
        <v>3923</v>
      </c>
      <c r="C499" s="13">
        <v>2017.0</v>
      </c>
      <c r="D499" s="13" t="s">
        <v>3153</v>
      </c>
      <c r="E499" s="13" t="s">
        <v>3465</v>
      </c>
      <c r="F499" s="13" t="s">
        <v>3170</v>
      </c>
      <c r="G499" s="13" t="s">
        <v>3156</v>
      </c>
      <c r="H499" s="13" t="s">
        <v>33</v>
      </c>
      <c r="I499" s="13" t="s">
        <v>3157</v>
      </c>
      <c r="J499" s="13" t="s">
        <v>3924</v>
      </c>
      <c r="K499" s="13" t="s">
        <v>3208</v>
      </c>
      <c r="L499" s="13" t="s">
        <v>3160</v>
      </c>
      <c r="M499" s="13" t="s">
        <v>3925</v>
      </c>
      <c r="N499" s="13">
        <v>5.0</v>
      </c>
      <c r="O499" s="13" t="s">
        <v>3162</v>
      </c>
      <c r="P499" s="13" t="s">
        <v>33</v>
      </c>
      <c r="Q499" s="13" t="s">
        <v>3210</v>
      </c>
      <c r="R499" s="13" t="s">
        <v>3163</v>
      </c>
      <c r="S499" s="13" t="s">
        <v>33</v>
      </c>
      <c r="T499" s="13" t="s">
        <v>3195</v>
      </c>
      <c r="U499" s="13" t="s">
        <v>3195</v>
      </c>
      <c r="V499" s="13" t="s">
        <v>3195</v>
      </c>
      <c r="W499" s="13" t="s">
        <v>3167</v>
      </c>
      <c r="X499" s="13" t="s">
        <v>3167</v>
      </c>
    </row>
    <row r="500" ht="14.25" customHeight="1">
      <c r="A500" s="13">
        <v>24473.0</v>
      </c>
      <c r="B500" s="13" t="s">
        <v>822</v>
      </c>
      <c r="C500" s="13">
        <v>2016.0</v>
      </c>
      <c r="D500" s="13" t="s">
        <v>3153</v>
      </c>
      <c r="E500" s="13" t="s">
        <v>3179</v>
      </c>
      <c r="F500" s="13" t="s">
        <v>3155</v>
      </c>
      <c r="G500" s="13" t="s">
        <v>3180</v>
      </c>
      <c r="H500" s="13">
        <v>0.1</v>
      </c>
      <c r="I500" s="13" t="s">
        <v>3249</v>
      </c>
      <c r="J500" s="13" t="s">
        <v>3364</v>
      </c>
      <c r="K500" s="13" t="s">
        <v>3190</v>
      </c>
      <c r="L500" s="13" t="s">
        <v>3177</v>
      </c>
      <c r="M500" s="13" t="s">
        <v>3926</v>
      </c>
      <c r="N500" s="13">
        <v>6.0</v>
      </c>
      <c r="O500" s="13" t="s">
        <v>3162</v>
      </c>
      <c r="P500" s="13" t="s">
        <v>33</v>
      </c>
      <c r="Q500" s="13" t="s">
        <v>3183</v>
      </c>
      <c r="R500" s="13" t="s">
        <v>3177</v>
      </c>
      <c r="S500" s="13" t="s">
        <v>3384</v>
      </c>
      <c r="T500" s="13" t="s">
        <v>3197</v>
      </c>
      <c r="U500" s="13" t="s">
        <v>3197</v>
      </c>
      <c r="V500" s="13" t="s">
        <v>3166</v>
      </c>
      <c r="W500" s="13" t="s">
        <v>3167</v>
      </c>
      <c r="X500" s="13" t="s">
        <v>3255</v>
      </c>
    </row>
    <row r="501" ht="14.25" customHeight="1">
      <c r="A501" s="13">
        <v>24474.0</v>
      </c>
      <c r="B501" s="13" t="s">
        <v>3061</v>
      </c>
      <c r="C501" s="13">
        <v>2020.0</v>
      </c>
      <c r="D501" s="13" t="s">
        <v>3153</v>
      </c>
      <c r="E501" s="13" t="s">
        <v>3154</v>
      </c>
      <c r="F501" s="13" t="s">
        <v>3211</v>
      </c>
      <c r="G501" s="13" t="s">
        <v>3156</v>
      </c>
      <c r="H501" s="13" t="s">
        <v>33</v>
      </c>
      <c r="I501" s="13" t="s">
        <v>3244</v>
      </c>
      <c r="J501" s="13" t="s">
        <v>3927</v>
      </c>
      <c r="K501" s="13" t="s">
        <v>3186</v>
      </c>
      <c r="L501" s="13" t="s">
        <v>3177</v>
      </c>
      <c r="M501" s="13" t="s">
        <v>3291</v>
      </c>
      <c r="N501" s="13">
        <v>1.0</v>
      </c>
      <c r="O501" s="13" t="s">
        <v>3162</v>
      </c>
      <c r="P501" s="13" t="s">
        <v>33</v>
      </c>
      <c r="Q501" s="13" t="s">
        <v>3338</v>
      </c>
      <c r="R501" s="13" t="s">
        <v>3177</v>
      </c>
      <c r="S501" s="13" t="s">
        <v>3689</v>
      </c>
      <c r="T501" s="13" t="s">
        <v>3232</v>
      </c>
      <c r="U501" s="13" t="s">
        <v>3252</v>
      </c>
      <c r="V501" s="13" t="s">
        <v>3253</v>
      </c>
      <c r="W501" s="13" t="s">
        <v>3294</v>
      </c>
      <c r="X501" s="13" t="s">
        <v>3928</v>
      </c>
    </row>
    <row r="502" ht="14.25" customHeight="1">
      <c r="A502" s="13">
        <v>24475.0</v>
      </c>
      <c r="B502" s="13" t="s">
        <v>1069</v>
      </c>
      <c r="C502" s="13">
        <v>2020.0</v>
      </c>
      <c r="D502" s="13" t="s">
        <v>3153</v>
      </c>
      <c r="E502" s="13" t="s">
        <v>3179</v>
      </c>
      <c r="F502" s="13" t="s">
        <v>3211</v>
      </c>
      <c r="G502" s="13" t="s">
        <v>33</v>
      </c>
      <c r="H502" s="13" t="s">
        <v>33</v>
      </c>
      <c r="I502" s="13" t="s">
        <v>3929</v>
      </c>
      <c r="J502" s="13" t="s">
        <v>3930</v>
      </c>
      <c r="K502" s="13" t="s">
        <v>3173</v>
      </c>
      <c r="L502" s="13" t="s">
        <v>3177</v>
      </c>
      <c r="M502" s="13" t="s">
        <v>3931</v>
      </c>
      <c r="N502" s="13">
        <v>5.0</v>
      </c>
      <c r="O502" s="13" t="s">
        <v>3175</v>
      </c>
      <c r="P502" s="13" t="s">
        <v>33</v>
      </c>
      <c r="Q502" s="13" t="s">
        <v>3173</v>
      </c>
      <c r="R502" s="13" t="s">
        <v>3177</v>
      </c>
      <c r="S502" s="13" t="s">
        <v>33</v>
      </c>
      <c r="T502" s="13" t="s">
        <v>3232</v>
      </c>
      <c r="U502" s="13" t="s">
        <v>3197</v>
      </c>
      <c r="V502" s="13" t="s">
        <v>3166</v>
      </c>
      <c r="W502" s="13" t="s">
        <v>3167</v>
      </c>
      <c r="X502" s="13" t="s">
        <v>3597</v>
      </c>
    </row>
    <row r="503" ht="14.25" customHeight="1">
      <c r="A503" s="13">
        <v>24481.0</v>
      </c>
      <c r="B503" s="13" t="s">
        <v>1672</v>
      </c>
      <c r="C503" s="13">
        <v>2020.0</v>
      </c>
      <c r="D503" s="13" t="s">
        <v>3153</v>
      </c>
      <c r="E503" s="13" t="s">
        <v>3169</v>
      </c>
      <c r="F503" s="13" t="s">
        <v>3170</v>
      </c>
      <c r="G503" s="13" t="s">
        <v>3202</v>
      </c>
      <c r="H503" s="13">
        <v>10.0</v>
      </c>
      <c r="I503" s="13" t="s">
        <v>3157</v>
      </c>
      <c r="J503" s="13" t="s">
        <v>3348</v>
      </c>
      <c r="K503" s="13" t="s">
        <v>3186</v>
      </c>
      <c r="L503" s="13" t="s">
        <v>3177</v>
      </c>
      <c r="M503" s="13" t="s">
        <v>3932</v>
      </c>
      <c r="N503" s="13">
        <v>2.0</v>
      </c>
      <c r="O503" s="13" t="s">
        <v>3162</v>
      </c>
      <c r="P503" s="13" t="s">
        <v>33</v>
      </c>
      <c r="Q503" s="13" t="s">
        <v>3186</v>
      </c>
      <c r="R503" s="13" t="s">
        <v>3177</v>
      </c>
      <c r="S503" s="13" t="s">
        <v>33</v>
      </c>
      <c r="T503" s="13" t="s">
        <v>3197</v>
      </c>
      <c r="U503" s="13" t="s">
        <v>3197</v>
      </c>
      <c r="V503" s="13" t="s">
        <v>3166</v>
      </c>
      <c r="W503" s="13" t="s">
        <v>3167</v>
      </c>
      <c r="X503" s="13" t="s">
        <v>3276</v>
      </c>
    </row>
    <row r="504" ht="14.25" customHeight="1">
      <c r="A504" s="13">
        <v>24483.0</v>
      </c>
      <c r="B504" s="13" t="s">
        <v>1654</v>
      </c>
      <c r="C504" s="13">
        <v>2003.0</v>
      </c>
      <c r="D504" s="13" t="s">
        <v>3153</v>
      </c>
      <c r="E504" s="13" t="s">
        <v>3169</v>
      </c>
      <c r="F504" s="13" t="s">
        <v>3192</v>
      </c>
      <c r="G504" s="13" t="s">
        <v>3187</v>
      </c>
      <c r="H504" s="13">
        <v>1.0</v>
      </c>
      <c r="I504" s="13" t="s">
        <v>3222</v>
      </c>
      <c r="J504" s="13" t="s">
        <v>3182</v>
      </c>
      <c r="K504" s="13" t="s">
        <v>3218</v>
      </c>
      <c r="L504" s="13" t="s">
        <v>3160</v>
      </c>
      <c r="M504" s="13" t="s">
        <v>3933</v>
      </c>
      <c r="N504" s="13">
        <v>3.0</v>
      </c>
      <c r="O504" s="13" t="s">
        <v>3267</v>
      </c>
      <c r="P504" s="13" t="s">
        <v>3934</v>
      </c>
      <c r="Q504" s="13" t="s">
        <v>3935</v>
      </c>
      <c r="R504" s="13" t="s">
        <v>3177</v>
      </c>
      <c r="S504" s="13" t="s">
        <v>33</v>
      </c>
      <c r="T504" s="13" t="s">
        <v>3232</v>
      </c>
      <c r="U504" s="13" t="s">
        <v>3197</v>
      </c>
      <c r="V504" s="13" t="s">
        <v>3166</v>
      </c>
      <c r="W504" s="13" t="s">
        <v>3167</v>
      </c>
      <c r="X504" s="13" t="s">
        <v>3936</v>
      </c>
    </row>
    <row r="505" ht="14.25" customHeight="1">
      <c r="A505" s="13" t="s">
        <v>2166</v>
      </c>
      <c r="B505" s="13" t="s">
        <v>2167</v>
      </c>
      <c r="C505" s="13">
        <v>2016.0</v>
      </c>
      <c r="D505" s="13" t="s">
        <v>3153</v>
      </c>
      <c r="E505" s="13" t="s">
        <v>3169</v>
      </c>
      <c r="F505" s="13" t="s">
        <v>3284</v>
      </c>
      <c r="G505" s="13" t="s">
        <v>3187</v>
      </c>
      <c r="H505" s="13">
        <v>10000.0</v>
      </c>
      <c r="I505" s="13" t="s">
        <v>3171</v>
      </c>
      <c r="J505" s="13" t="s">
        <v>3167</v>
      </c>
      <c r="K505" s="13" t="s">
        <v>3183</v>
      </c>
      <c r="L505" s="13" t="s">
        <v>3177</v>
      </c>
      <c r="M505" s="13" t="s">
        <v>3677</v>
      </c>
      <c r="N505" s="13">
        <v>2.0</v>
      </c>
      <c r="O505" s="13" t="s">
        <v>3162</v>
      </c>
      <c r="P505" s="13" t="s">
        <v>33</v>
      </c>
      <c r="Q505" s="13" t="s">
        <v>3205</v>
      </c>
      <c r="R505" s="13" t="s">
        <v>3163</v>
      </c>
      <c r="S505" s="13" t="s">
        <v>3937</v>
      </c>
      <c r="T505" s="13" t="s">
        <v>3195</v>
      </c>
      <c r="U505" s="13" t="s">
        <v>3195</v>
      </c>
      <c r="V505" s="13" t="s">
        <v>3195</v>
      </c>
      <c r="W505" s="13" t="s">
        <v>3167</v>
      </c>
      <c r="X505" s="13" t="s">
        <v>3167</v>
      </c>
    </row>
    <row r="506" ht="14.25" customHeight="1">
      <c r="A506" s="13">
        <v>24500.0</v>
      </c>
      <c r="B506" s="13" t="s">
        <v>1643</v>
      </c>
      <c r="C506" s="13">
        <v>2018.0</v>
      </c>
      <c r="D506" s="13" t="s">
        <v>3153</v>
      </c>
      <c r="E506" s="13" t="s">
        <v>3684</v>
      </c>
      <c r="F506" s="13" t="s">
        <v>3217</v>
      </c>
      <c r="G506" s="13" t="s">
        <v>3156</v>
      </c>
      <c r="H506" s="13" t="s">
        <v>3167</v>
      </c>
      <c r="I506" s="13" t="s">
        <v>3167</v>
      </c>
      <c r="J506" s="13" t="s">
        <v>3167</v>
      </c>
      <c r="K506" s="13" t="s">
        <v>3183</v>
      </c>
      <c r="L506" s="13" t="s">
        <v>3160</v>
      </c>
      <c r="M506" s="13" t="s">
        <v>3938</v>
      </c>
      <c r="N506" s="13">
        <v>8.0</v>
      </c>
      <c r="O506" s="13" t="s">
        <v>3267</v>
      </c>
      <c r="P506" s="13" t="s">
        <v>3397</v>
      </c>
      <c r="Q506" s="13" t="s">
        <v>3183</v>
      </c>
      <c r="R506" s="13" t="s">
        <v>3231</v>
      </c>
      <c r="S506" s="13" t="s">
        <v>3221</v>
      </c>
      <c r="T506" s="13" t="s">
        <v>3252</v>
      </c>
      <c r="U506" s="13" t="s">
        <v>3252</v>
      </c>
      <c r="V506" s="13" t="s">
        <v>3253</v>
      </c>
      <c r="W506" s="13" t="s">
        <v>3634</v>
      </c>
      <c r="X506" s="13" t="s">
        <v>3939</v>
      </c>
    </row>
    <row r="507" ht="14.25" customHeight="1">
      <c r="A507" s="13">
        <v>24502.0</v>
      </c>
      <c r="B507" s="13" t="s">
        <v>1266</v>
      </c>
      <c r="C507" s="13">
        <v>2008.0</v>
      </c>
      <c r="D507" s="13" t="s">
        <v>3153</v>
      </c>
      <c r="E507" s="13" t="s">
        <v>3169</v>
      </c>
      <c r="F507" s="13" t="s">
        <v>3217</v>
      </c>
      <c r="G507" s="13" t="s">
        <v>3180</v>
      </c>
      <c r="H507" s="13">
        <v>0.5</v>
      </c>
      <c r="I507" s="13" t="s">
        <v>3167</v>
      </c>
      <c r="J507" s="13" t="s">
        <v>3167</v>
      </c>
      <c r="K507" s="13" t="s">
        <v>3381</v>
      </c>
      <c r="L507" s="13" t="s">
        <v>3177</v>
      </c>
      <c r="M507" s="13" t="s">
        <v>3565</v>
      </c>
      <c r="N507" s="13">
        <v>2.0</v>
      </c>
      <c r="O507" s="13" t="s">
        <v>3175</v>
      </c>
      <c r="P507" s="13" t="s">
        <v>3940</v>
      </c>
      <c r="Q507" s="13" t="s">
        <v>3941</v>
      </c>
      <c r="R507" s="13" t="s">
        <v>3163</v>
      </c>
      <c r="S507" s="13" t="s">
        <v>33</v>
      </c>
      <c r="T507" s="13" t="s">
        <v>3195</v>
      </c>
      <c r="U507" s="13" t="s">
        <v>3195</v>
      </c>
      <c r="V507" s="13" t="s">
        <v>3195</v>
      </c>
      <c r="W507" s="13" t="s">
        <v>3167</v>
      </c>
      <c r="X507" s="13" t="s">
        <v>3167</v>
      </c>
    </row>
    <row r="508" ht="14.25" customHeight="1">
      <c r="A508" s="13">
        <v>24503.0</v>
      </c>
      <c r="B508" s="13" t="s">
        <v>3942</v>
      </c>
      <c r="C508" s="13">
        <v>2016.0</v>
      </c>
      <c r="D508" s="13" t="s">
        <v>3153</v>
      </c>
      <c r="E508" s="13" t="s">
        <v>3179</v>
      </c>
      <c r="F508" s="13" t="s">
        <v>3192</v>
      </c>
      <c r="G508" s="13" t="s">
        <v>3187</v>
      </c>
      <c r="H508" s="13">
        <v>1.0</v>
      </c>
      <c r="I508" s="13" t="s">
        <v>3181</v>
      </c>
      <c r="J508" s="13" t="s">
        <v>3182</v>
      </c>
      <c r="K508" s="13" t="s">
        <v>3183</v>
      </c>
      <c r="L508" s="13" t="s">
        <v>3160</v>
      </c>
      <c r="M508" s="13" t="s">
        <v>3943</v>
      </c>
      <c r="N508" s="13">
        <v>4.0</v>
      </c>
      <c r="O508" s="13" t="s">
        <v>3175</v>
      </c>
      <c r="P508" s="13" t="s">
        <v>3774</v>
      </c>
      <c r="Q508" s="13" t="s">
        <v>3183</v>
      </c>
      <c r="R508" s="13" t="s">
        <v>3163</v>
      </c>
      <c r="S508" s="13" t="s">
        <v>3397</v>
      </c>
      <c r="T508" s="13" t="s">
        <v>3228</v>
      </c>
      <c r="U508" s="13" t="s">
        <v>3164</v>
      </c>
      <c r="V508" s="13" t="s">
        <v>3166</v>
      </c>
      <c r="W508" s="13" t="s">
        <v>3167</v>
      </c>
      <c r="X508" s="13" t="s">
        <v>3178</v>
      </c>
    </row>
    <row r="509" ht="14.25" customHeight="1">
      <c r="A509" s="13">
        <v>24507.0</v>
      </c>
      <c r="B509" s="13" t="s">
        <v>2634</v>
      </c>
      <c r="C509" s="13">
        <v>2008.0</v>
      </c>
      <c r="D509" s="13" t="s">
        <v>3153</v>
      </c>
      <c r="E509" s="13" t="s">
        <v>3179</v>
      </c>
      <c r="F509" s="13" t="s">
        <v>3192</v>
      </c>
      <c r="G509" s="13" t="s">
        <v>3187</v>
      </c>
      <c r="H509" s="13">
        <v>400.0</v>
      </c>
      <c r="I509" s="13" t="s">
        <v>3261</v>
      </c>
      <c r="J509" s="13" t="s">
        <v>3240</v>
      </c>
      <c r="K509" s="13" t="s">
        <v>3208</v>
      </c>
      <c r="L509" s="13" t="s">
        <v>3177</v>
      </c>
      <c r="M509" s="13" t="s">
        <v>3342</v>
      </c>
      <c r="N509" s="13">
        <v>1.0</v>
      </c>
      <c r="O509" s="13" t="s">
        <v>3162</v>
      </c>
      <c r="P509" s="13" t="s">
        <v>3944</v>
      </c>
      <c r="Q509" s="13" t="s">
        <v>3183</v>
      </c>
      <c r="R509" s="13" t="s">
        <v>3260</v>
      </c>
      <c r="S509" s="13" t="s">
        <v>3945</v>
      </c>
      <c r="T509" s="13" t="s">
        <v>3164</v>
      </c>
      <c r="U509" s="13" t="s">
        <v>3165</v>
      </c>
      <c r="V509" s="13" t="s">
        <v>3166</v>
      </c>
      <c r="W509" s="13" t="s">
        <v>3167</v>
      </c>
      <c r="X509" s="13" t="s">
        <v>3178</v>
      </c>
    </row>
    <row r="510" ht="14.25" customHeight="1">
      <c r="A510" s="13">
        <v>24511.0</v>
      </c>
      <c r="B510" s="13" t="s">
        <v>3122</v>
      </c>
      <c r="C510" s="13">
        <v>2014.0</v>
      </c>
      <c r="D510" s="13" t="s">
        <v>3153</v>
      </c>
      <c r="E510" s="13" t="s">
        <v>3169</v>
      </c>
      <c r="F510" s="13" t="s">
        <v>3192</v>
      </c>
      <c r="G510" s="13" t="s">
        <v>3156</v>
      </c>
      <c r="H510" s="13" t="s">
        <v>33</v>
      </c>
      <c r="I510" s="13" t="s">
        <v>3157</v>
      </c>
      <c r="J510" s="13" t="s">
        <v>3400</v>
      </c>
      <c r="K510" s="13" t="s">
        <v>3159</v>
      </c>
      <c r="L510" s="13" t="s">
        <v>3160</v>
      </c>
      <c r="M510" s="13" t="s">
        <v>3331</v>
      </c>
      <c r="N510" s="13">
        <v>1.0</v>
      </c>
      <c r="O510" s="13" t="s">
        <v>3162</v>
      </c>
      <c r="P510" s="13" t="s">
        <v>33</v>
      </c>
      <c r="Q510" s="13" t="s">
        <v>3159</v>
      </c>
      <c r="R510" s="13" t="s">
        <v>3163</v>
      </c>
      <c r="S510" s="13" t="s">
        <v>33</v>
      </c>
      <c r="T510" s="13" t="s">
        <v>3164</v>
      </c>
      <c r="U510" s="13" t="s">
        <v>3164</v>
      </c>
      <c r="V510" s="13" t="s">
        <v>3166</v>
      </c>
      <c r="W510" s="13" t="s">
        <v>3167</v>
      </c>
      <c r="X510" s="13" t="s">
        <v>3178</v>
      </c>
    </row>
    <row r="511" ht="14.25" customHeight="1">
      <c r="A511" s="13">
        <v>24516.0</v>
      </c>
      <c r="B511" s="13" t="s">
        <v>1220</v>
      </c>
      <c r="C511" s="13">
        <v>2008.0</v>
      </c>
      <c r="D511" s="13" t="s">
        <v>3153</v>
      </c>
      <c r="E511" s="13" t="s">
        <v>3154</v>
      </c>
      <c r="F511" s="13" t="s">
        <v>3217</v>
      </c>
      <c r="G511" s="13" t="s">
        <v>3180</v>
      </c>
      <c r="H511" s="13">
        <v>0.5</v>
      </c>
      <c r="I511" s="13" t="s">
        <v>3167</v>
      </c>
      <c r="J511" s="13" t="s">
        <v>3167</v>
      </c>
      <c r="K511" s="13" t="s">
        <v>3173</v>
      </c>
      <c r="L511" s="13" t="s">
        <v>3177</v>
      </c>
      <c r="M511" s="13" t="s">
        <v>3161</v>
      </c>
      <c r="N511" s="13">
        <v>1.0</v>
      </c>
      <c r="O511" s="13" t="s">
        <v>3162</v>
      </c>
      <c r="P511" s="13" t="s">
        <v>33</v>
      </c>
      <c r="Q511" s="13" t="s">
        <v>3173</v>
      </c>
      <c r="R511" s="13" t="s">
        <v>3177</v>
      </c>
      <c r="S511" s="13" t="s">
        <v>33</v>
      </c>
      <c r="T511" s="13" t="s">
        <v>3197</v>
      </c>
      <c r="U511" s="13" t="s">
        <v>3197</v>
      </c>
      <c r="V511" s="13" t="s">
        <v>3166</v>
      </c>
      <c r="W511" s="13" t="s">
        <v>3167</v>
      </c>
      <c r="X511" s="13" t="s">
        <v>3255</v>
      </c>
    </row>
    <row r="512" ht="14.25" customHeight="1">
      <c r="A512" s="13">
        <v>24518.0</v>
      </c>
      <c r="B512" s="13" t="s">
        <v>3035</v>
      </c>
      <c r="C512" s="13">
        <v>2019.0</v>
      </c>
      <c r="D512" s="13" t="s">
        <v>3153</v>
      </c>
      <c r="E512" s="13" t="s">
        <v>3154</v>
      </c>
      <c r="F512" s="13" t="s">
        <v>3192</v>
      </c>
      <c r="G512" s="13" t="s">
        <v>3187</v>
      </c>
      <c r="H512" s="13">
        <v>0.25</v>
      </c>
      <c r="I512" s="13" t="s">
        <v>3244</v>
      </c>
      <c r="J512" s="13" t="s">
        <v>3345</v>
      </c>
      <c r="K512" s="13" t="s">
        <v>3186</v>
      </c>
      <c r="L512" s="13" t="s">
        <v>3177</v>
      </c>
      <c r="M512" s="13" t="s">
        <v>3946</v>
      </c>
      <c r="N512" s="13">
        <v>8.0</v>
      </c>
      <c r="O512" s="13" t="s">
        <v>3175</v>
      </c>
      <c r="P512" s="13" t="s">
        <v>33</v>
      </c>
      <c r="Q512" s="13" t="s">
        <v>3186</v>
      </c>
      <c r="R512" s="13" t="s">
        <v>3177</v>
      </c>
      <c r="S512" s="13" t="s">
        <v>33</v>
      </c>
      <c r="T512" s="13" t="s">
        <v>3197</v>
      </c>
      <c r="U512" s="13" t="s">
        <v>3247</v>
      </c>
      <c r="V512" s="13" t="s">
        <v>3166</v>
      </c>
      <c r="W512" s="13" t="s">
        <v>3167</v>
      </c>
      <c r="X512" s="13" t="s">
        <v>3168</v>
      </c>
    </row>
    <row r="513" ht="14.25" customHeight="1">
      <c r="A513" s="13">
        <v>24525.0</v>
      </c>
      <c r="B513" s="13" t="s">
        <v>119</v>
      </c>
      <c r="C513" s="13">
        <v>2020.0</v>
      </c>
      <c r="D513" s="13" t="s">
        <v>3153</v>
      </c>
      <c r="E513" s="13" t="s">
        <v>3169</v>
      </c>
      <c r="F513" s="13" t="s">
        <v>3217</v>
      </c>
      <c r="G513" s="13" t="s">
        <v>3156</v>
      </c>
      <c r="H513" s="13" t="s">
        <v>33</v>
      </c>
      <c r="I513" s="13" t="s">
        <v>3167</v>
      </c>
      <c r="J513" s="13" t="s">
        <v>3167</v>
      </c>
      <c r="K513" s="13" t="s">
        <v>3190</v>
      </c>
      <c r="L513" s="13" t="s">
        <v>3160</v>
      </c>
      <c r="M513" s="13" t="s">
        <v>3947</v>
      </c>
      <c r="N513" s="13">
        <v>3.0</v>
      </c>
      <c r="O513" s="13" t="s">
        <v>3162</v>
      </c>
      <c r="P513" s="13" t="s">
        <v>33</v>
      </c>
      <c r="Q513" s="13" t="s">
        <v>3190</v>
      </c>
      <c r="R513" s="13" t="s">
        <v>3163</v>
      </c>
      <c r="S513" s="13" t="s">
        <v>33</v>
      </c>
      <c r="T513" s="13" t="s">
        <v>3228</v>
      </c>
      <c r="U513" s="13" t="s">
        <v>3228</v>
      </c>
      <c r="V513" s="13" t="s">
        <v>3166</v>
      </c>
      <c r="W513" s="13" t="s">
        <v>3167</v>
      </c>
      <c r="X513" s="13" t="s">
        <v>3168</v>
      </c>
    </row>
    <row r="514" ht="14.25" customHeight="1">
      <c r="A514" s="13">
        <v>24527.0</v>
      </c>
      <c r="B514" s="13" t="s">
        <v>398</v>
      </c>
      <c r="C514" s="13">
        <v>2011.0</v>
      </c>
      <c r="D514" s="13" t="s">
        <v>3153</v>
      </c>
      <c r="E514" s="13" t="s">
        <v>3169</v>
      </c>
      <c r="F514" s="13" t="s">
        <v>3192</v>
      </c>
      <c r="G514" s="13" t="s">
        <v>3187</v>
      </c>
      <c r="H514" s="13">
        <v>1.0</v>
      </c>
      <c r="I514" s="13" t="s">
        <v>3203</v>
      </c>
      <c r="J514" s="13" t="s">
        <v>3204</v>
      </c>
      <c r="K514" s="13" t="s">
        <v>3183</v>
      </c>
      <c r="L514" s="13" t="s">
        <v>3160</v>
      </c>
      <c r="M514" s="13" t="s">
        <v>3571</v>
      </c>
      <c r="N514" s="13">
        <v>2.0</v>
      </c>
      <c r="O514" s="13" t="s">
        <v>3267</v>
      </c>
      <c r="P514" s="13" t="s">
        <v>3948</v>
      </c>
      <c r="Q514" s="13" t="s">
        <v>3183</v>
      </c>
      <c r="R514" s="13" t="s">
        <v>3163</v>
      </c>
      <c r="S514" s="13" t="s">
        <v>3948</v>
      </c>
      <c r="T514" s="13" t="s">
        <v>3247</v>
      </c>
      <c r="U514" s="13" t="s">
        <v>3247</v>
      </c>
      <c r="V514" s="13" t="s">
        <v>3242</v>
      </c>
      <c r="W514" s="13" t="s">
        <v>3248</v>
      </c>
      <c r="X514" s="13" t="s">
        <v>3167</v>
      </c>
    </row>
    <row r="515" ht="14.25" customHeight="1">
      <c r="A515" s="13">
        <v>24531.0</v>
      </c>
      <c r="B515" s="13" t="s">
        <v>398</v>
      </c>
      <c r="C515" s="13">
        <v>2011.0</v>
      </c>
      <c r="D515" s="13" t="s">
        <v>3153</v>
      </c>
      <c r="E515" s="13" t="s">
        <v>3169</v>
      </c>
      <c r="F515" s="13" t="s">
        <v>3170</v>
      </c>
      <c r="G515" s="13" t="s">
        <v>33</v>
      </c>
      <c r="H515" s="13" t="s">
        <v>33</v>
      </c>
      <c r="I515" s="13" t="s">
        <v>3188</v>
      </c>
      <c r="J515" s="13" t="s">
        <v>3432</v>
      </c>
      <c r="K515" s="13" t="s">
        <v>3208</v>
      </c>
      <c r="L515" s="13" t="s">
        <v>3160</v>
      </c>
      <c r="M515" s="13" t="s">
        <v>3605</v>
      </c>
      <c r="N515" s="13">
        <v>2.0</v>
      </c>
      <c r="O515" s="13" t="s">
        <v>3267</v>
      </c>
      <c r="P515" s="13" t="s">
        <v>33</v>
      </c>
      <c r="Q515" s="13" t="s">
        <v>3208</v>
      </c>
      <c r="R515" s="13" t="s">
        <v>3163</v>
      </c>
      <c r="S515" s="13" t="s">
        <v>33</v>
      </c>
      <c r="T515" s="13" t="s">
        <v>3247</v>
      </c>
      <c r="U515" s="13" t="s">
        <v>3247</v>
      </c>
      <c r="V515" s="13" t="s">
        <v>3242</v>
      </c>
      <c r="W515" s="13" t="s">
        <v>3248</v>
      </c>
      <c r="X515" s="13" t="s">
        <v>3167</v>
      </c>
    </row>
    <row r="516" ht="14.25" customHeight="1">
      <c r="A516" s="13">
        <v>24536.0</v>
      </c>
      <c r="B516" s="13" t="s">
        <v>398</v>
      </c>
      <c r="C516" s="13">
        <v>2016.0</v>
      </c>
      <c r="D516" s="13" t="s">
        <v>3153</v>
      </c>
      <c r="E516" s="13" t="s">
        <v>3169</v>
      </c>
      <c r="F516" s="13" t="s">
        <v>3217</v>
      </c>
      <c r="G516" s="13" t="s">
        <v>3520</v>
      </c>
      <c r="H516" s="13">
        <v>10.0</v>
      </c>
      <c r="I516" s="13" t="s">
        <v>3167</v>
      </c>
      <c r="J516" s="13" t="s">
        <v>3167</v>
      </c>
      <c r="K516" s="13" t="s">
        <v>3183</v>
      </c>
      <c r="L516" s="13" t="s">
        <v>3177</v>
      </c>
      <c r="M516" s="13" t="s">
        <v>3161</v>
      </c>
      <c r="N516" s="13">
        <v>1.0</v>
      </c>
      <c r="O516" s="13" t="s">
        <v>3162</v>
      </c>
      <c r="P516" s="13" t="s">
        <v>3949</v>
      </c>
      <c r="Q516" s="13" t="s">
        <v>3335</v>
      </c>
      <c r="R516" s="13" t="s">
        <v>3231</v>
      </c>
      <c r="S516" s="13" t="s">
        <v>3323</v>
      </c>
      <c r="T516" s="13" t="s">
        <v>3195</v>
      </c>
      <c r="U516" s="13" t="s">
        <v>3195</v>
      </c>
      <c r="V516" s="13" t="s">
        <v>3195</v>
      </c>
      <c r="W516" s="13" t="s">
        <v>3167</v>
      </c>
      <c r="X516" s="13" t="s">
        <v>3167</v>
      </c>
    </row>
    <row r="517" ht="14.25" customHeight="1">
      <c r="A517" s="13">
        <v>24540.0</v>
      </c>
      <c r="B517" s="13" t="s">
        <v>398</v>
      </c>
      <c r="C517" s="13">
        <v>2017.0</v>
      </c>
      <c r="D517" s="13" t="s">
        <v>3153</v>
      </c>
      <c r="E517" s="13" t="s">
        <v>3169</v>
      </c>
      <c r="F517" s="13" t="s">
        <v>3170</v>
      </c>
      <c r="G517" s="13" t="s">
        <v>3156</v>
      </c>
      <c r="H517" s="13" t="s">
        <v>33</v>
      </c>
      <c r="I517" s="13" t="s">
        <v>3222</v>
      </c>
      <c r="J517" s="13" t="s">
        <v>3182</v>
      </c>
      <c r="K517" s="13" t="s">
        <v>3159</v>
      </c>
      <c r="L517" s="13" t="s">
        <v>3160</v>
      </c>
      <c r="M517" s="13" t="s">
        <v>3161</v>
      </c>
      <c r="N517" s="13">
        <v>1.0</v>
      </c>
      <c r="O517" s="13" t="s">
        <v>3162</v>
      </c>
      <c r="P517" s="13" t="s">
        <v>33</v>
      </c>
      <c r="Q517" s="13" t="s">
        <v>3159</v>
      </c>
      <c r="R517" s="13" t="s">
        <v>3163</v>
      </c>
      <c r="S517" s="13" t="s">
        <v>33</v>
      </c>
      <c r="T517" s="13" t="s">
        <v>3164</v>
      </c>
      <c r="U517" s="13" t="s">
        <v>3164</v>
      </c>
      <c r="V517" s="13" t="s">
        <v>3166</v>
      </c>
      <c r="W517" s="13" t="s">
        <v>3167</v>
      </c>
      <c r="X517" s="13" t="s">
        <v>3168</v>
      </c>
    </row>
    <row r="518" ht="14.25" customHeight="1">
      <c r="A518" s="13">
        <v>24544.0</v>
      </c>
      <c r="B518" s="13" t="s">
        <v>398</v>
      </c>
      <c r="C518" s="13">
        <v>2018.0</v>
      </c>
      <c r="D518" s="13" t="s">
        <v>3153</v>
      </c>
      <c r="E518" s="13" t="s">
        <v>3169</v>
      </c>
      <c r="F518" s="13" t="s">
        <v>3192</v>
      </c>
      <c r="G518" s="13" t="s">
        <v>3187</v>
      </c>
      <c r="H518" s="13">
        <v>1.0</v>
      </c>
      <c r="I518" s="13" t="s">
        <v>3188</v>
      </c>
      <c r="J518" s="13" t="s">
        <v>3432</v>
      </c>
      <c r="K518" s="13" t="s">
        <v>3186</v>
      </c>
      <c r="L518" s="13" t="s">
        <v>3177</v>
      </c>
      <c r="M518" s="13" t="s">
        <v>3950</v>
      </c>
      <c r="N518" s="13">
        <v>4.0</v>
      </c>
      <c r="O518" s="13" t="s">
        <v>3175</v>
      </c>
      <c r="P518" s="13" t="s">
        <v>33</v>
      </c>
      <c r="Q518" s="13" t="s">
        <v>3210</v>
      </c>
      <c r="R518" s="13" t="s">
        <v>3163</v>
      </c>
      <c r="S518" s="13" t="s">
        <v>33</v>
      </c>
      <c r="T518" s="13" t="s">
        <v>3195</v>
      </c>
      <c r="U518" s="13" t="s">
        <v>3195</v>
      </c>
      <c r="V518" s="13" t="s">
        <v>3195</v>
      </c>
      <c r="W518" s="13" t="s">
        <v>3167</v>
      </c>
      <c r="X518" s="13" t="s">
        <v>3167</v>
      </c>
    </row>
    <row r="519" ht="14.25" customHeight="1">
      <c r="A519" s="13">
        <v>24545.0</v>
      </c>
      <c r="B519" s="13" t="s">
        <v>398</v>
      </c>
      <c r="C519" s="13">
        <v>2018.0</v>
      </c>
      <c r="D519" s="13" t="s">
        <v>3153</v>
      </c>
      <c r="E519" s="13" t="s">
        <v>3169</v>
      </c>
      <c r="F519" s="13" t="s">
        <v>3192</v>
      </c>
      <c r="G519" s="13" t="s">
        <v>3156</v>
      </c>
      <c r="H519" s="13" t="s">
        <v>33</v>
      </c>
      <c r="I519" s="13" t="s">
        <v>3188</v>
      </c>
      <c r="J519" s="13" t="s">
        <v>3432</v>
      </c>
      <c r="K519" s="13" t="s">
        <v>3186</v>
      </c>
      <c r="L519" s="13" t="s">
        <v>3177</v>
      </c>
      <c r="M519" s="13" t="s">
        <v>3950</v>
      </c>
      <c r="N519" s="13">
        <v>4.0</v>
      </c>
      <c r="O519" s="13" t="s">
        <v>3175</v>
      </c>
      <c r="P519" s="13" t="s">
        <v>33</v>
      </c>
      <c r="Q519" s="13" t="s">
        <v>3335</v>
      </c>
      <c r="R519" s="13" t="s">
        <v>3163</v>
      </c>
      <c r="S519" s="13" t="s">
        <v>33</v>
      </c>
      <c r="T519" s="13" t="s">
        <v>3195</v>
      </c>
      <c r="U519" s="13" t="s">
        <v>3195</v>
      </c>
      <c r="V519" s="13" t="s">
        <v>3195</v>
      </c>
      <c r="W519" s="13" t="s">
        <v>3167</v>
      </c>
      <c r="X519" s="13" t="s">
        <v>3167</v>
      </c>
    </row>
    <row r="520" ht="14.25" customHeight="1">
      <c r="A520" s="13">
        <v>24548.0</v>
      </c>
      <c r="B520" s="13" t="s">
        <v>398</v>
      </c>
      <c r="C520" s="13">
        <v>2019.0</v>
      </c>
      <c r="D520" s="13" t="s">
        <v>3153</v>
      </c>
      <c r="E520" s="13" t="s">
        <v>3169</v>
      </c>
      <c r="F520" s="13" t="s">
        <v>3170</v>
      </c>
      <c r="G520" s="13" t="s">
        <v>3156</v>
      </c>
      <c r="H520" s="13" t="s">
        <v>33</v>
      </c>
      <c r="I520" s="13" t="s">
        <v>3188</v>
      </c>
      <c r="J520" s="13" t="s">
        <v>3432</v>
      </c>
      <c r="K520" s="13" t="s">
        <v>3287</v>
      </c>
      <c r="L520" s="13" t="s">
        <v>3160</v>
      </c>
      <c r="M520" s="13" t="s">
        <v>3951</v>
      </c>
      <c r="N520" s="13">
        <v>3.0</v>
      </c>
      <c r="O520" s="13" t="s">
        <v>3267</v>
      </c>
      <c r="P520" s="13" t="s">
        <v>33</v>
      </c>
      <c r="Q520" s="13" t="s">
        <v>3702</v>
      </c>
      <c r="R520" s="13" t="s">
        <v>3163</v>
      </c>
      <c r="S520" s="13" t="s">
        <v>33</v>
      </c>
      <c r="T520" s="13" t="s">
        <v>3164</v>
      </c>
      <c r="U520" s="13" t="s">
        <v>3164</v>
      </c>
      <c r="V520" s="13" t="s">
        <v>3166</v>
      </c>
      <c r="W520" s="13" t="s">
        <v>3167</v>
      </c>
      <c r="X520" s="13" t="s">
        <v>3224</v>
      </c>
    </row>
    <row r="521" ht="14.25" customHeight="1">
      <c r="A521" s="13">
        <v>24551.0</v>
      </c>
      <c r="B521" s="13" t="s">
        <v>398</v>
      </c>
      <c r="C521" s="13">
        <v>2019.0</v>
      </c>
      <c r="D521" s="13" t="s">
        <v>3153</v>
      </c>
      <c r="E521" s="13" t="s">
        <v>3169</v>
      </c>
      <c r="F521" s="13" t="s">
        <v>3192</v>
      </c>
      <c r="G521" s="13" t="s">
        <v>33</v>
      </c>
      <c r="H521" s="13" t="s">
        <v>33</v>
      </c>
      <c r="I521" s="13" t="s">
        <v>3188</v>
      </c>
      <c r="J521" s="13" t="s">
        <v>3432</v>
      </c>
      <c r="K521" s="13" t="s">
        <v>3208</v>
      </c>
      <c r="L521" s="13" t="s">
        <v>3160</v>
      </c>
      <c r="M521" s="13" t="s">
        <v>3952</v>
      </c>
      <c r="N521" s="13">
        <v>6.0</v>
      </c>
      <c r="O521" s="13" t="s">
        <v>3162</v>
      </c>
      <c r="P521" s="13" t="s">
        <v>33</v>
      </c>
      <c r="Q521" s="13" t="s">
        <v>3201</v>
      </c>
      <c r="R521" s="13" t="s">
        <v>3163</v>
      </c>
      <c r="S521" s="13" t="s">
        <v>33</v>
      </c>
      <c r="T521" s="13" t="s">
        <v>3232</v>
      </c>
      <c r="U521" s="13" t="s">
        <v>3232</v>
      </c>
      <c r="V521" s="13" t="s">
        <v>3166</v>
      </c>
      <c r="W521" s="13" t="s">
        <v>3167</v>
      </c>
      <c r="X521" s="13" t="s">
        <v>3224</v>
      </c>
    </row>
    <row r="522" ht="14.25" customHeight="1">
      <c r="A522" s="13">
        <v>26547.0</v>
      </c>
      <c r="B522" s="13" t="s">
        <v>398</v>
      </c>
      <c r="C522" s="13">
        <v>2010.0</v>
      </c>
      <c r="D522" s="13" t="s">
        <v>3153</v>
      </c>
      <c r="E522" s="13" t="s">
        <v>3465</v>
      </c>
      <c r="F522" s="13" t="s">
        <v>3170</v>
      </c>
      <c r="G522" s="13" t="s">
        <v>3202</v>
      </c>
      <c r="H522" s="13">
        <v>100.0</v>
      </c>
      <c r="I522" s="13" t="s">
        <v>3188</v>
      </c>
      <c r="J522" s="13" t="s">
        <v>3432</v>
      </c>
      <c r="K522" s="13" t="s">
        <v>3208</v>
      </c>
      <c r="L522" s="13" t="s">
        <v>3160</v>
      </c>
      <c r="M522" s="13" t="s">
        <v>3953</v>
      </c>
      <c r="N522" s="13">
        <v>3.0</v>
      </c>
      <c r="O522" s="13" t="s">
        <v>3162</v>
      </c>
      <c r="P522" s="13" t="s">
        <v>33</v>
      </c>
      <c r="Q522" s="13" t="s">
        <v>3201</v>
      </c>
      <c r="R522" s="13" t="s">
        <v>3163</v>
      </c>
      <c r="S522" s="13" t="s">
        <v>33</v>
      </c>
      <c r="T522" s="13" t="s">
        <v>3232</v>
      </c>
      <c r="U522" s="13" t="s">
        <v>3232</v>
      </c>
      <c r="V522" s="13" t="s">
        <v>3166</v>
      </c>
      <c r="W522" s="13" t="s">
        <v>3167</v>
      </c>
      <c r="X522" s="13" t="s">
        <v>3224</v>
      </c>
    </row>
    <row r="523" ht="14.25" customHeight="1">
      <c r="A523" s="13">
        <v>24553.0</v>
      </c>
      <c r="B523" s="13" t="s">
        <v>240</v>
      </c>
      <c r="C523" s="13">
        <v>2019.0</v>
      </c>
      <c r="D523" s="13" t="s">
        <v>3153</v>
      </c>
      <c r="E523" s="13" t="s">
        <v>3169</v>
      </c>
      <c r="F523" s="13" t="s">
        <v>3170</v>
      </c>
      <c r="G523" s="13" t="s">
        <v>3156</v>
      </c>
      <c r="H523" s="13" t="s">
        <v>3167</v>
      </c>
      <c r="I523" s="13" t="s">
        <v>3171</v>
      </c>
      <c r="J523" s="13" t="s">
        <v>3454</v>
      </c>
      <c r="K523" s="13" t="s">
        <v>3159</v>
      </c>
      <c r="L523" s="13" t="s">
        <v>3160</v>
      </c>
      <c r="M523" s="13" t="s">
        <v>3161</v>
      </c>
      <c r="N523" s="13">
        <v>1.0</v>
      </c>
      <c r="O523" s="13" t="s">
        <v>3162</v>
      </c>
      <c r="P523" s="13" t="s">
        <v>3167</v>
      </c>
      <c r="Q523" s="13" t="s">
        <v>3335</v>
      </c>
      <c r="R523" s="13" t="s">
        <v>3231</v>
      </c>
      <c r="S523" s="13" t="s">
        <v>33</v>
      </c>
      <c r="T523" s="13" t="s">
        <v>3195</v>
      </c>
      <c r="U523" s="13" t="s">
        <v>3195</v>
      </c>
      <c r="V523" s="13" t="s">
        <v>3195</v>
      </c>
      <c r="W523" s="13" t="s">
        <v>3167</v>
      </c>
      <c r="X523" s="13" t="s">
        <v>3167</v>
      </c>
    </row>
    <row r="524" ht="14.25" customHeight="1">
      <c r="A524" s="13">
        <v>24556.0</v>
      </c>
      <c r="B524" s="13" t="s">
        <v>1606</v>
      </c>
      <c r="C524" s="13">
        <v>2012.0</v>
      </c>
      <c r="D524" s="13" t="s">
        <v>3153</v>
      </c>
      <c r="E524" s="13" t="s">
        <v>3154</v>
      </c>
      <c r="F524" s="13" t="s">
        <v>3217</v>
      </c>
      <c r="G524" s="13" t="s">
        <v>3156</v>
      </c>
      <c r="H524" s="13" t="s">
        <v>3167</v>
      </c>
      <c r="I524" s="13" t="s">
        <v>3167</v>
      </c>
      <c r="J524" s="13" t="s">
        <v>3167</v>
      </c>
      <c r="K524" s="13" t="s">
        <v>3183</v>
      </c>
      <c r="L524" s="13" t="s">
        <v>3177</v>
      </c>
      <c r="M524" s="13" t="s">
        <v>3291</v>
      </c>
      <c r="N524" s="13">
        <v>1.0</v>
      </c>
      <c r="O524" s="13" t="s">
        <v>3162</v>
      </c>
      <c r="P524" s="13" t="s">
        <v>3167</v>
      </c>
      <c r="Q524" s="13" t="s">
        <v>3183</v>
      </c>
      <c r="R524" s="13" t="s">
        <v>3260</v>
      </c>
      <c r="S524" s="13" t="s">
        <v>33</v>
      </c>
      <c r="T524" s="13" t="s">
        <v>3197</v>
      </c>
      <c r="U524" s="13" t="s">
        <v>3197</v>
      </c>
      <c r="V524" s="13" t="s">
        <v>3166</v>
      </c>
      <c r="W524" s="13" t="s">
        <v>3167</v>
      </c>
      <c r="X524" s="13" t="s">
        <v>3255</v>
      </c>
    </row>
    <row r="525" ht="14.25" customHeight="1">
      <c r="A525" s="13">
        <v>24557.0</v>
      </c>
      <c r="B525" s="13" t="s">
        <v>30</v>
      </c>
      <c r="C525" s="13">
        <v>2014.0</v>
      </c>
      <c r="D525" s="13" t="s">
        <v>3153</v>
      </c>
      <c r="E525" s="13" t="s">
        <v>3179</v>
      </c>
      <c r="F525" s="13" t="s">
        <v>3192</v>
      </c>
      <c r="G525" s="13" t="s">
        <v>3180</v>
      </c>
      <c r="H525" s="13">
        <v>1.0</v>
      </c>
      <c r="I525" s="13" t="s">
        <v>3261</v>
      </c>
      <c r="J525" s="13" t="s">
        <v>3229</v>
      </c>
      <c r="K525" s="13" t="s">
        <v>3290</v>
      </c>
      <c r="L525" s="13" t="s">
        <v>3177</v>
      </c>
      <c r="M525" s="13" t="s">
        <v>3317</v>
      </c>
      <c r="N525" s="13">
        <v>1.0</v>
      </c>
      <c r="O525" s="13" t="s">
        <v>3162</v>
      </c>
      <c r="P525" s="13" t="s">
        <v>3167</v>
      </c>
      <c r="Q525" s="13" t="s">
        <v>3159</v>
      </c>
      <c r="R525" s="13" t="s">
        <v>3260</v>
      </c>
      <c r="S525" s="13" t="s">
        <v>33</v>
      </c>
      <c r="T525" s="13" t="s">
        <v>3164</v>
      </c>
      <c r="U525" s="13" t="s">
        <v>3232</v>
      </c>
      <c r="V525" s="13" t="s">
        <v>3166</v>
      </c>
      <c r="W525" s="13" t="s">
        <v>3167</v>
      </c>
      <c r="X525" s="13" t="s">
        <v>3224</v>
      </c>
    </row>
    <row r="526" ht="14.25" customHeight="1">
      <c r="A526" s="13">
        <v>24558.0</v>
      </c>
      <c r="B526" s="13" t="s">
        <v>30</v>
      </c>
      <c r="C526" s="13">
        <v>2020.0</v>
      </c>
      <c r="D526" s="13" t="s">
        <v>3153</v>
      </c>
      <c r="E526" s="13" t="s">
        <v>3179</v>
      </c>
      <c r="F526" s="13" t="s">
        <v>3192</v>
      </c>
      <c r="G526" s="13" t="s">
        <v>3187</v>
      </c>
      <c r="H526" s="13">
        <v>400.0</v>
      </c>
      <c r="I526" s="13" t="s">
        <v>3261</v>
      </c>
      <c r="J526" s="13" t="s">
        <v>3229</v>
      </c>
      <c r="K526" s="13" t="s">
        <v>3186</v>
      </c>
      <c r="L526" s="13" t="s">
        <v>3177</v>
      </c>
      <c r="M526" s="13" t="s">
        <v>3954</v>
      </c>
      <c r="N526" s="13">
        <v>5.0</v>
      </c>
      <c r="O526" s="13" t="s">
        <v>3175</v>
      </c>
      <c r="P526" s="13" t="s">
        <v>33</v>
      </c>
      <c r="Q526" s="13" t="s">
        <v>3282</v>
      </c>
      <c r="R526" s="13" t="s">
        <v>3177</v>
      </c>
      <c r="S526" s="13" t="s">
        <v>33</v>
      </c>
      <c r="T526" s="13" t="s">
        <v>3228</v>
      </c>
      <c r="U526" s="13" t="s">
        <v>3232</v>
      </c>
      <c r="V526" s="13" t="s">
        <v>3166</v>
      </c>
      <c r="W526" s="13" t="s">
        <v>3167</v>
      </c>
      <c r="X526" s="13" t="s">
        <v>3224</v>
      </c>
    </row>
    <row r="527" ht="14.25" customHeight="1">
      <c r="A527" s="13">
        <v>24565.0</v>
      </c>
      <c r="B527" s="13" t="s">
        <v>406</v>
      </c>
      <c r="C527" s="13">
        <v>2008.0</v>
      </c>
      <c r="D527" s="13" t="s">
        <v>3153</v>
      </c>
      <c r="E527" s="13" t="s">
        <v>3169</v>
      </c>
      <c r="F527" s="13" t="s">
        <v>3170</v>
      </c>
      <c r="G527" s="13" t="s">
        <v>3156</v>
      </c>
      <c r="H527" s="13" t="s">
        <v>3167</v>
      </c>
      <c r="I527" s="13" t="s">
        <v>3188</v>
      </c>
      <c r="J527" s="13" t="s">
        <v>3432</v>
      </c>
      <c r="K527" s="13" t="s">
        <v>3290</v>
      </c>
      <c r="L527" s="13" t="s">
        <v>3160</v>
      </c>
      <c r="M527" s="13" t="s">
        <v>3480</v>
      </c>
      <c r="N527" s="13">
        <v>1.0</v>
      </c>
      <c r="O527" s="13" t="s">
        <v>3162</v>
      </c>
      <c r="P527" s="13" t="s">
        <v>3167</v>
      </c>
      <c r="Q527" s="13" t="s">
        <v>3173</v>
      </c>
      <c r="R527" s="13" t="s">
        <v>3231</v>
      </c>
      <c r="S527" s="13" t="s">
        <v>33</v>
      </c>
      <c r="T527" s="13" t="s">
        <v>3215</v>
      </c>
      <c r="U527" s="13" t="s">
        <v>3215</v>
      </c>
      <c r="V527" s="13" t="s">
        <v>3166</v>
      </c>
      <c r="W527" s="13" t="s">
        <v>3167</v>
      </c>
      <c r="X527" s="13" t="s">
        <v>3224</v>
      </c>
    </row>
    <row r="528" ht="14.25" customHeight="1">
      <c r="A528" s="13">
        <v>24566.0</v>
      </c>
      <c r="B528" s="13" t="s">
        <v>406</v>
      </c>
      <c r="C528" s="13">
        <v>2019.0</v>
      </c>
      <c r="D528" s="13" t="s">
        <v>3153</v>
      </c>
      <c r="E528" s="13" t="s">
        <v>3169</v>
      </c>
      <c r="F528" s="13" t="s">
        <v>3155</v>
      </c>
      <c r="G528" s="13" t="s">
        <v>3311</v>
      </c>
      <c r="H528" s="13" t="s">
        <v>3311</v>
      </c>
      <c r="I528" s="13" t="s">
        <v>3188</v>
      </c>
      <c r="J528" s="13" t="s">
        <v>3955</v>
      </c>
      <c r="K528" s="13" t="s">
        <v>3956</v>
      </c>
      <c r="L528" s="13" t="s">
        <v>3177</v>
      </c>
      <c r="M528" s="13" t="s">
        <v>3230</v>
      </c>
      <c r="N528" s="13">
        <v>1.0</v>
      </c>
      <c r="O528" s="13" t="s">
        <v>3162</v>
      </c>
      <c r="P528" s="13" t="s">
        <v>3957</v>
      </c>
      <c r="Q528" s="13" t="s">
        <v>3183</v>
      </c>
      <c r="R528" s="13" t="s">
        <v>3260</v>
      </c>
      <c r="S528" s="13" t="s">
        <v>3958</v>
      </c>
      <c r="T528" s="13" t="s">
        <v>3164</v>
      </c>
      <c r="U528" s="13" t="s">
        <v>3232</v>
      </c>
      <c r="V528" s="13" t="s">
        <v>3166</v>
      </c>
      <c r="W528" s="13" t="s">
        <v>3167</v>
      </c>
      <c r="X528" s="13" t="s">
        <v>3216</v>
      </c>
    </row>
    <row r="529" ht="14.25" customHeight="1">
      <c r="A529" s="13">
        <v>24567.0</v>
      </c>
      <c r="B529" s="13" t="s">
        <v>406</v>
      </c>
      <c r="C529" s="13">
        <v>2020.0</v>
      </c>
      <c r="D529" s="13" t="s">
        <v>3153</v>
      </c>
      <c r="E529" s="13" t="s">
        <v>3169</v>
      </c>
      <c r="F529" s="13" t="s">
        <v>3170</v>
      </c>
      <c r="G529" s="13" t="s">
        <v>3156</v>
      </c>
      <c r="H529" s="13" t="s">
        <v>3167</v>
      </c>
      <c r="I529" s="13" t="s">
        <v>3188</v>
      </c>
      <c r="J529" s="13" t="s">
        <v>3955</v>
      </c>
      <c r="K529" s="13" t="s">
        <v>3287</v>
      </c>
      <c r="L529" s="13" t="s">
        <v>3160</v>
      </c>
      <c r="M529" s="13" t="s">
        <v>3959</v>
      </c>
      <c r="N529" s="13">
        <v>3.0</v>
      </c>
      <c r="O529" s="13" t="s">
        <v>3162</v>
      </c>
      <c r="P529" s="13" t="s">
        <v>3167</v>
      </c>
      <c r="Q529" s="13" t="s">
        <v>3159</v>
      </c>
      <c r="R529" s="13" t="s">
        <v>3231</v>
      </c>
      <c r="S529" s="13" t="s">
        <v>33</v>
      </c>
      <c r="T529" s="13" t="s">
        <v>3232</v>
      </c>
      <c r="U529" s="13" t="s">
        <v>3232</v>
      </c>
      <c r="V529" s="13" t="s">
        <v>3166</v>
      </c>
      <c r="W529" s="13" t="s">
        <v>3167</v>
      </c>
      <c r="X529" s="13" t="s">
        <v>3224</v>
      </c>
    </row>
    <row r="530" ht="14.25" customHeight="1">
      <c r="A530" s="13">
        <v>24573.0</v>
      </c>
      <c r="B530" s="13" t="s">
        <v>960</v>
      </c>
      <c r="C530" s="13">
        <v>2011.0</v>
      </c>
      <c r="D530" s="13" t="s">
        <v>3153</v>
      </c>
      <c r="E530" s="13" t="s">
        <v>3169</v>
      </c>
      <c r="F530" s="13" t="s">
        <v>3170</v>
      </c>
      <c r="G530" s="13" t="s">
        <v>3187</v>
      </c>
      <c r="H530" s="13">
        <v>1.0</v>
      </c>
      <c r="I530" s="13" t="s">
        <v>3171</v>
      </c>
      <c r="J530" s="13" t="s">
        <v>3555</v>
      </c>
      <c r="K530" s="13" t="s">
        <v>3580</v>
      </c>
      <c r="L530" s="13" t="s">
        <v>3160</v>
      </c>
      <c r="M530" s="13" t="s">
        <v>3391</v>
      </c>
      <c r="N530" s="13">
        <v>1.0</v>
      </c>
      <c r="O530" s="13" t="s">
        <v>3162</v>
      </c>
      <c r="P530" s="13" t="s">
        <v>33</v>
      </c>
      <c r="Q530" s="13" t="s">
        <v>3580</v>
      </c>
      <c r="R530" s="13" t="s">
        <v>3163</v>
      </c>
      <c r="S530" s="13" t="s">
        <v>33</v>
      </c>
      <c r="T530" s="13" t="s">
        <v>3164</v>
      </c>
      <c r="U530" s="13" t="s">
        <v>3165</v>
      </c>
      <c r="V530" s="13" t="s">
        <v>3166</v>
      </c>
      <c r="W530" s="13" t="s">
        <v>3167</v>
      </c>
      <c r="X530" s="13" t="s">
        <v>3178</v>
      </c>
    </row>
    <row r="531" ht="14.25" customHeight="1">
      <c r="A531" s="13">
        <v>24574.0</v>
      </c>
      <c r="B531" s="13" t="s">
        <v>960</v>
      </c>
      <c r="C531" s="13">
        <v>2016.0</v>
      </c>
      <c r="D531" s="13" t="s">
        <v>3153</v>
      </c>
      <c r="E531" s="13" t="s">
        <v>3169</v>
      </c>
      <c r="F531" s="13" t="s">
        <v>3284</v>
      </c>
      <c r="G531" s="13" t="s">
        <v>3156</v>
      </c>
      <c r="H531" s="13" t="s">
        <v>3167</v>
      </c>
      <c r="I531" s="13" t="s">
        <v>3171</v>
      </c>
      <c r="J531" s="13" t="s">
        <v>3718</v>
      </c>
      <c r="K531" s="13" t="s">
        <v>3190</v>
      </c>
      <c r="L531" s="13" t="s">
        <v>3160</v>
      </c>
      <c r="M531" s="13" t="s">
        <v>3960</v>
      </c>
      <c r="N531" s="13">
        <v>4.0</v>
      </c>
      <c r="O531" s="13" t="s">
        <v>3162</v>
      </c>
      <c r="P531" s="13" t="s">
        <v>3167</v>
      </c>
      <c r="Q531" s="13" t="s">
        <v>3173</v>
      </c>
      <c r="R531" s="13" t="s">
        <v>3231</v>
      </c>
      <c r="S531" s="13" t="s">
        <v>33</v>
      </c>
      <c r="T531" s="13" t="s">
        <v>3164</v>
      </c>
      <c r="U531" s="13" t="s">
        <v>3164</v>
      </c>
      <c r="V531" s="13" t="s">
        <v>3166</v>
      </c>
      <c r="W531" s="13" t="s">
        <v>3167</v>
      </c>
      <c r="X531" s="13" t="s">
        <v>3178</v>
      </c>
    </row>
    <row r="532" ht="14.25" customHeight="1">
      <c r="A532" s="13">
        <v>24576.0</v>
      </c>
      <c r="B532" s="13" t="s">
        <v>2372</v>
      </c>
      <c r="C532" s="13">
        <v>2013.0</v>
      </c>
      <c r="D532" s="13" t="s">
        <v>3153</v>
      </c>
      <c r="E532" s="13" t="s">
        <v>3169</v>
      </c>
      <c r="F532" s="13" t="s">
        <v>3170</v>
      </c>
      <c r="G532" s="13" t="s">
        <v>33</v>
      </c>
      <c r="H532" s="13" t="s">
        <v>33</v>
      </c>
      <c r="I532" s="13" t="s">
        <v>3222</v>
      </c>
      <c r="J532" s="13" t="s">
        <v>3229</v>
      </c>
      <c r="K532" s="13" t="s">
        <v>3186</v>
      </c>
      <c r="L532" s="13" t="s">
        <v>3177</v>
      </c>
      <c r="M532" s="13" t="s">
        <v>3961</v>
      </c>
      <c r="N532" s="13">
        <v>4.0</v>
      </c>
      <c r="O532" s="13" t="s">
        <v>3175</v>
      </c>
      <c r="P532" s="13" t="s">
        <v>33</v>
      </c>
      <c r="Q532" s="13" t="s">
        <v>3159</v>
      </c>
      <c r="R532" s="13" t="s">
        <v>3177</v>
      </c>
      <c r="S532" s="13" t="s">
        <v>33</v>
      </c>
      <c r="T532" s="13" t="s">
        <v>3164</v>
      </c>
      <c r="U532" s="13" t="s">
        <v>3164</v>
      </c>
      <c r="V532" s="13" t="s">
        <v>3166</v>
      </c>
      <c r="W532" s="13" t="s">
        <v>3167</v>
      </c>
      <c r="X532" s="13" t="s">
        <v>3178</v>
      </c>
    </row>
    <row r="533" ht="14.25" customHeight="1">
      <c r="A533" s="13">
        <v>24579.0</v>
      </c>
      <c r="B533" s="13" t="s">
        <v>2730</v>
      </c>
      <c r="C533" s="13">
        <v>2018.0</v>
      </c>
      <c r="D533" s="13" t="s">
        <v>3153</v>
      </c>
      <c r="E533" s="13" t="s">
        <v>3169</v>
      </c>
      <c r="F533" s="13" t="s">
        <v>3170</v>
      </c>
      <c r="G533" s="13" t="s">
        <v>3156</v>
      </c>
      <c r="H533" s="13" t="s">
        <v>33</v>
      </c>
      <c r="I533" s="13" t="s">
        <v>3244</v>
      </c>
      <c r="J533" s="13" t="s">
        <v>3289</v>
      </c>
      <c r="K533" s="13" t="s">
        <v>3208</v>
      </c>
      <c r="L533" s="13" t="s">
        <v>3160</v>
      </c>
      <c r="M533" s="13" t="s">
        <v>3962</v>
      </c>
      <c r="N533" s="13">
        <v>2.0</v>
      </c>
      <c r="O533" s="13" t="s">
        <v>3162</v>
      </c>
      <c r="P533" s="13" t="s">
        <v>33</v>
      </c>
      <c r="Q533" s="13" t="s">
        <v>3208</v>
      </c>
      <c r="R533" s="13" t="s">
        <v>3163</v>
      </c>
      <c r="S533" s="13" t="s">
        <v>33</v>
      </c>
      <c r="T533" s="13" t="s">
        <v>3247</v>
      </c>
      <c r="U533" s="13" t="s">
        <v>3247</v>
      </c>
      <c r="V533" s="13" t="s">
        <v>3242</v>
      </c>
      <c r="W533" s="13" t="s">
        <v>3963</v>
      </c>
      <c r="X533" s="13" t="s">
        <v>3167</v>
      </c>
    </row>
    <row r="534" ht="14.25" customHeight="1">
      <c r="A534" s="13">
        <v>24582.0</v>
      </c>
      <c r="B534" s="13" t="s">
        <v>276</v>
      </c>
      <c r="C534" s="13">
        <v>2008.0</v>
      </c>
      <c r="D534" s="13" t="s">
        <v>3153</v>
      </c>
      <c r="E534" s="13" t="s">
        <v>3169</v>
      </c>
      <c r="F534" s="13" t="s">
        <v>3192</v>
      </c>
      <c r="G534" s="13" t="s">
        <v>33</v>
      </c>
      <c r="H534" s="13" t="s">
        <v>33</v>
      </c>
      <c r="I534" s="13" t="s">
        <v>3188</v>
      </c>
      <c r="J534" s="13" t="s">
        <v>3432</v>
      </c>
      <c r="K534" s="13" t="s">
        <v>3282</v>
      </c>
      <c r="L534" s="13" t="s">
        <v>3160</v>
      </c>
      <c r="M534" s="13" t="s">
        <v>3230</v>
      </c>
      <c r="N534" s="13">
        <v>1.0</v>
      </c>
      <c r="O534" s="13" t="s">
        <v>3162</v>
      </c>
      <c r="P534" s="13" t="s">
        <v>3964</v>
      </c>
      <c r="Q534" s="13" t="s">
        <v>3208</v>
      </c>
      <c r="R534" s="13" t="s">
        <v>3163</v>
      </c>
      <c r="S534" s="13" t="s">
        <v>33</v>
      </c>
      <c r="T534" s="13" t="s">
        <v>3247</v>
      </c>
      <c r="U534" s="13" t="s">
        <v>3247</v>
      </c>
      <c r="V534" s="13" t="s">
        <v>3242</v>
      </c>
      <c r="W534" s="13" t="s">
        <v>3965</v>
      </c>
      <c r="X534" s="13" t="s">
        <v>3167</v>
      </c>
    </row>
    <row r="535" ht="14.25" customHeight="1">
      <c r="A535" s="13">
        <v>24585.0</v>
      </c>
      <c r="B535" s="13" t="s">
        <v>276</v>
      </c>
      <c r="C535" s="13">
        <v>2012.0</v>
      </c>
      <c r="D535" s="13" t="s">
        <v>3153</v>
      </c>
      <c r="E535" s="13" t="s">
        <v>3169</v>
      </c>
      <c r="F535" s="13" t="s">
        <v>3170</v>
      </c>
      <c r="G535" s="13" t="s">
        <v>33</v>
      </c>
      <c r="H535" s="13" t="s">
        <v>33</v>
      </c>
      <c r="I535" s="13" t="s">
        <v>3222</v>
      </c>
      <c r="J535" s="13" t="s">
        <v>3182</v>
      </c>
      <c r="K535" s="13" t="s">
        <v>3381</v>
      </c>
      <c r="L535" s="13" t="s">
        <v>3177</v>
      </c>
      <c r="M535" s="13" t="s">
        <v>3536</v>
      </c>
      <c r="N535" s="13">
        <v>1.0</v>
      </c>
      <c r="O535" s="13" t="s">
        <v>3162</v>
      </c>
      <c r="P535" s="13" t="s">
        <v>3966</v>
      </c>
      <c r="Q535" s="13" t="s">
        <v>3381</v>
      </c>
      <c r="R535" s="13" t="s">
        <v>3177</v>
      </c>
      <c r="S535" s="13" t="s">
        <v>3967</v>
      </c>
      <c r="T535" s="13" t="s">
        <v>3247</v>
      </c>
      <c r="U535" s="13" t="s">
        <v>3247</v>
      </c>
      <c r="V535" s="13" t="s">
        <v>3166</v>
      </c>
      <c r="W535" s="13" t="s">
        <v>3167</v>
      </c>
      <c r="X535" s="13" t="s">
        <v>3632</v>
      </c>
    </row>
    <row r="536" ht="14.25" customHeight="1">
      <c r="A536" s="13">
        <v>24590.0</v>
      </c>
      <c r="B536" s="13" t="s">
        <v>276</v>
      </c>
      <c r="C536" s="13">
        <v>2018.0</v>
      </c>
      <c r="D536" s="13" t="s">
        <v>3153</v>
      </c>
      <c r="E536" s="13" t="s">
        <v>3169</v>
      </c>
      <c r="F536" s="13" t="s">
        <v>3170</v>
      </c>
      <c r="G536" s="13" t="s">
        <v>33</v>
      </c>
      <c r="H536" s="13" t="s">
        <v>33</v>
      </c>
      <c r="I536" s="13" t="s">
        <v>3188</v>
      </c>
      <c r="J536" s="13" t="s">
        <v>3432</v>
      </c>
      <c r="K536" s="13" t="s">
        <v>3208</v>
      </c>
      <c r="L536" s="13" t="s">
        <v>3160</v>
      </c>
      <c r="M536" s="13" t="s">
        <v>3968</v>
      </c>
      <c r="N536" s="13">
        <v>2.0</v>
      </c>
      <c r="O536" s="13" t="s">
        <v>3267</v>
      </c>
      <c r="P536" s="13" t="s">
        <v>33</v>
      </c>
      <c r="Q536" s="13" t="s">
        <v>3265</v>
      </c>
      <c r="R536" s="13" t="s">
        <v>3177</v>
      </c>
      <c r="S536" s="13" t="s">
        <v>33</v>
      </c>
      <c r="T536" s="13" t="s">
        <v>3247</v>
      </c>
      <c r="U536" s="13" t="s">
        <v>3247</v>
      </c>
      <c r="V536" s="13" t="s">
        <v>3242</v>
      </c>
      <c r="W536" s="13" t="s">
        <v>3969</v>
      </c>
      <c r="X536" s="13" t="s">
        <v>3167</v>
      </c>
    </row>
    <row r="537" ht="14.25" customHeight="1">
      <c r="A537" s="13">
        <v>24595.0</v>
      </c>
      <c r="B537" s="13" t="s">
        <v>276</v>
      </c>
      <c r="C537" s="13">
        <v>2020.0</v>
      </c>
      <c r="D537" s="13" t="s">
        <v>3153</v>
      </c>
      <c r="E537" s="13" t="s">
        <v>3465</v>
      </c>
      <c r="F537" s="13" t="s">
        <v>3192</v>
      </c>
      <c r="G537" s="13" t="s">
        <v>33</v>
      </c>
      <c r="H537" s="13" t="s">
        <v>33</v>
      </c>
      <c r="I537" s="13" t="s">
        <v>3188</v>
      </c>
      <c r="J537" s="13" t="s">
        <v>3432</v>
      </c>
      <c r="K537" s="13" t="s">
        <v>3208</v>
      </c>
      <c r="L537" s="13" t="s">
        <v>3160</v>
      </c>
      <c r="M537" s="13" t="s">
        <v>3484</v>
      </c>
      <c r="N537" s="13">
        <v>1.0</v>
      </c>
      <c r="O537" s="13" t="s">
        <v>3162</v>
      </c>
      <c r="P537" s="13" t="s">
        <v>33</v>
      </c>
      <c r="Q537" s="13" t="s">
        <v>3208</v>
      </c>
      <c r="R537" s="13" t="s">
        <v>3163</v>
      </c>
      <c r="S537" s="13" t="s">
        <v>33</v>
      </c>
      <c r="T537" s="13" t="s">
        <v>3247</v>
      </c>
      <c r="U537" s="13" t="s">
        <v>3247</v>
      </c>
      <c r="V537" s="13" t="s">
        <v>3242</v>
      </c>
      <c r="W537" s="13" t="s">
        <v>3356</v>
      </c>
      <c r="X537" s="13" t="s">
        <v>3167</v>
      </c>
    </row>
    <row r="538" ht="14.25" customHeight="1">
      <c r="A538" s="13">
        <v>24597.0</v>
      </c>
      <c r="B538" s="13" t="s">
        <v>2989</v>
      </c>
      <c r="C538" s="13">
        <v>2017.0</v>
      </c>
      <c r="D538" s="13" t="s">
        <v>3153</v>
      </c>
      <c r="E538" s="13" t="s">
        <v>3169</v>
      </c>
      <c r="F538" s="13" t="s">
        <v>3192</v>
      </c>
      <c r="G538" s="13" t="s">
        <v>3156</v>
      </c>
      <c r="H538" s="13" t="s">
        <v>33</v>
      </c>
      <c r="I538" s="13" t="s">
        <v>3222</v>
      </c>
      <c r="J538" s="13" t="s">
        <v>3182</v>
      </c>
      <c r="K538" s="13" t="s">
        <v>3183</v>
      </c>
      <c r="L538" s="13" t="s">
        <v>3160</v>
      </c>
      <c r="M538" s="13" t="s">
        <v>3161</v>
      </c>
      <c r="N538" s="13">
        <v>1.0</v>
      </c>
      <c r="O538" s="13" t="s">
        <v>3162</v>
      </c>
      <c r="P538" s="13" t="s">
        <v>3970</v>
      </c>
      <c r="Q538" s="13" t="s">
        <v>3159</v>
      </c>
      <c r="R538" s="13" t="s">
        <v>3163</v>
      </c>
      <c r="S538" s="13" t="s">
        <v>3970</v>
      </c>
      <c r="T538" s="13" t="s">
        <v>3164</v>
      </c>
      <c r="U538" s="13" t="s">
        <v>3164</v>
      </c>
      <c r="V538" s="13" t="s">
        <v>3242</v>
      </c>
      <c r="W538" s="13" t="s">
        <v>3377</v>
      </c>
      <c r="X538" s="13" t="s">
        <v>3167</v>
      </c>
    </row>
    <row r="539" ht="14.25" customHeight="1">
      <c r="A539" s="13">
        <v>24600.0</v>
      </c>
      <c r="B539" s="13" t="s">
        <v>2462</v>
      </c>
      <c r="C539" s="13">
        <v>2017.0</v>
      </c>
      <c r="D539" s="13" t="s">
        <v>3153</v>
      </c>
      <c r="E539" s="13" t="s">
        <v>3179</v>
      </c>
      <c r="F539" s="13" t="s">
        <v>3170</v>
      </c>
      <c r="G539" s="13" t="s">
        <v>3187</v>
      </c>
      <c r="H539" s="13">
        <v>1.0</v>
      </c>
      <c r="I539" s="13" t="s">
        <v>3261</v>
      </c>
      <c r="J539" s="13" t="s">
        <v>3971</v>
      </c>
      <c r="K539" s="13" t="s">
        <v>3190</v>
      </c>
      <c r="L539" s="13" t="s">
        <v>3160</v>
      </c>
      <c r="M539" s="13" t="s">
        <v>3972</v>
      </c>
      <c r="N539" s="13">
        <v>7.0</v>
      </c>
      <c r="O539" s="13" t="s">
        <v>3175</v>
      </c>
      <c r="P539" s="13" t="s">
        <v>33</v>
      </c>
      <c r="Q539" s="13" t="s">
        <v>3190</v>
      </c>
      <c r="R539" s="13" t="s">
        <v>3163</v>
      </c>
      <c r="S539" s="13" t="s">
        <v>33</v>
      </c>
      <c r="T539" s="13" t="s">
        <v>3228</v>
      </c>
      <c r="U539" s="13" t="s">
        <v>3228</v>
      </c>
      <c r="V539" s="13" t="s">
        <v>3166</v>
      </c>
      <c r="W539" s="13" t="s">
        <v>3167</v>
      </c>
      <c r="X539" s="13" t="s">
        <v>3168</v>
      </c>
    </row>
    <row r="540" ht="14.25" customHeight="1">
      <c r="A540" s="13">
        <v>24601.0</v>
      </c>
      <c r="B540" s="13" t="s">
        <v>607</v>
      </c>
      <c r="C540" s="13">
        <v>2004.0</v>
      </c>
      <c r="D540" s="13" t="s">
        <v>3153</v>
      </c>
      <c r="E540" s="13" t="s">
        <v>3169</v>
      </c>
      <c r="F540" s="13" t="s">
        <v>3170</v>
      </c>
      <c r="G540" s="13" t="s">
        <v>33</v>
      </c>
      <c r="H540" s="13" t="s">
        <v>33</v>
      </c>
      <c r="I540" s="13" t="s">
        <v>3157</v>
      </c>
      <c r="J540" s="13" t="s">
        <v>3791</v>
      </c>
      <c r="K540" s="13" t="s">
        <v>3287</v>
      </c>
      <c r="L540" s="13" t="s">
        <v>3160</v>
      </c>
      <c r="M540" s="13" t="s">
        <v>3230</v>
      </c>
      <c r="N540" s="13">
        <v>1.0</v>
      </c>
      <c r="O540" s="13" t="s">
        <v>3162</v>
      </c>
      <c r="P540" s="13" t="s">
        <v>33</v>
      </c>
      <c r="Q540" s="13" t="s">
        <v>3173</v>
      </c>
      <c r="R540" s="13" t="s">
        <v>3163</v>
      </c>
      <c r="S540" s="13" t="s">
        <v>33</v>
      </c>
      <c r="T540" s="13" t="s">
        <v>3164</v>
      </c>
      <c r="U540" s="13" t="s">
        <v>3165</v>
      </c>
      <c r="V540" s="13" t="s">
        <v>3166</v>
      </c>
      <c r="W540" s="13" t="s">
        <v>3167</v>
      </c>
      <c r="X540" s="13" t="s">
        <v>3324</v>
      </c>
    </row>
    <row r="541" ht="14.25" customHeight="1">
      <c r="A541" s="13">
        <v>24605.0</v>
      </c>
      <c r="B541" s="13" t="s">
        <v>1233</v>
      </c>
      <c r="C541" s="13">
        <v>2008.0</v>
      </c>
      <c r="D541" s="13" t="s">
        <v>3153</v>
      </c>
      <c r="E541" s="13" t="s">
        <v>3154</v>
      </c>
      <c r="F541" s="13" t="s">
        <v>3170</v>
      </c>
      <c r="G541" s="13" t="s">
        <v>33</v>
      </c>
      <c r="H541" s="13" t="s">
        <v>33</v>
      </c>
      <c r="I541" s="13" t="s">
        <v>3222</v>
      </c>
      <c r="J541" s="13" t="s">
        <v>3182</v>
      </c>
      <c r="K541" s="13" t="s">
        <v>3208</v>
      </c>
      <c r="L541" s="13" t="s">
        <v>3160</v>
      </c>
      <c r="M541" s="13" t="s">
        <v>3973</v>
      </c>
      <c r="N541" s="13">
        <v>6.0</v>
      </c>
      <c r="O541" s="13" t="s">
        <v>3162</v>
      </c>
      <c r="P541" s="13" t="s">
        <v>33</v>
      </c>
      <c r="Q541" s="13" t="s">
        <v>3183</v>
      </c>
      <c r="R541" s="13" t="s">
        <v>3163</v>
      </c>
      <c r="S541" s="13" t="s">
        <v>3974</v>
      </c>
      <c r="T541" s="13" t="s">
        <v>3228</v>
      </c>
      <c r="U541" s="13" t="s">
        <v>3228</v>
      </c>
      <c r="V541" s="13" t="s">
        <v>3166</v>
      </c>
      <c r="W541" s="13" t="s">
        <v>3167</v>
      </c>
      <c r="X541" s="13" t="s">
        <v>3225</v>
      </c>
    </row>
    <row r="542" ht="14.25" customHeight="1">
      <c r="A542" s="13">
        <v>24606.0</v>
      </c>
      <c r="B542" s="13" t="s">
        <v>1713</v>
      </c>
      <c r="C542" s="13">
        <v>2019.0</v>
      </c>
      <c r="D542" s="13" t="s">
        <v>3153</v>
      </c>
      <c r="E542" s="13" t="s">
        <v>3169</v>
      </c>
      <c r="F542" s="13" t="s">
        <v>3192</v>
      </c>
      <c r="G542" s="13" t="s">
        <v>3156</v>
      </c>
      <c r="H542" s="13" t="s">
        <v>33</v>
      </c>
      <c r="I542" s="13" t="s">
        <v>3222</v>
      </c>
      <c r="J542" s="13" t="s">
        <v>3229</v>
      </c>
      <c r="K542" s="13" t="s">
        <v>3173</v>
      </c>
      <c r="L542" s="13" t="s">
        <v>3160</v>
      </c>
      <c r="M542" s="13" t="s">
        <v>3975</v>
      </c>
      <c r="N542" s="13">
        <v>3.0</v>
      </c>
      <c r="O542" s="13" t="s">
        <v>3175</v>
      </c>
      <c r="P542" s="13" t="s">
        <v>33</v>
      </c>
      <c r="Q542" s="13" t="s">
        <v>3159</v>
      </c>
      <c r="R542" s="13" t="s">
        <v>3177</v>
      </c>
      <c r="S542" s="13" t="s">
        <v>33</v>
      </c>
      <c r="T542" s="13" t="s">
        <v>3164</v>
      </c>
      <c r="U542" s="13" t="s">
        <v>3164</v>
      </c>
      <c r="V542" s="13" t="s">
        <v>3166</v>
      </c>
      <c r="W542" s="13" t="s">
        <v>3167</v>
      </c>
      <c r="X542" s="13" t="s">
        <v>3178</v>
      </c>
    </row>
    <row r="543" ht="14.25" customHeight="1">
      <c r="A543" s="13">
        <v>24612.0</v>
      </c>
      <c r="B543" s="13" t="s">
        <v>998</v>
      </c>
      <c r="C543" s="13">
        <v>2014.0</v>
      </c>
      <c r="D543" s="13" t="s">
        <v>3153</v>
      </c>
      <c r="E543" s="13" t="s">
        <v>3169</v>
      </c>
      <c r="F543" s="13" t="s">
        <v>3192</v>
      </c>
      <c r="G543" s="13" t="s">
        <v>3156</v>
      </c>
      <c r="H543" s="13" t="s">
        <v>3167</v>
      </c>
      <c r="I543" s="13" t="s">
        <v>3222</v>
      </c>
      <c r="J543" s="13" t="s">
        <v>3182</v>
      </c>
      <c r="K543" s="13" t="s">
        <v>3159</v>
      </c>
      <c r="L543" s="13" t="s">
        <v>3160</v>
      </c>
      <c r="M543" s="13" t="s">
        <v>3200</v>
      </c>
      <c r="N543" s="13">
        <v>1.0</v>
      </c>
      <c r="O543" s="13" t="s">
        <v>3267</v>
      </c>
      <c r="P543" s="13" t="s">
        <v>3167</v>
      </c>
      <c r="Q543" s="13" t="s">
        <v>3159</v>
      </c>
      <c r="R543" s="13" t="s">
        <v>3231</v>
      </c>
      <c r="S543" s="13" t="s">
        <v>33</v>
      </c>
      <c r="T543" s="13" t="s">
        <v>3164</v>
      </c>
      <c r="U543" s="13" t="s">
        <v>3215</v>
      </c>
      <c r="V543" s="13" t="s">
        <v>3242</v>
      </c>
      <c r="W543" s="13" t="s">
        <v>3377</v>
      </c>
      <c r="X543" s="13" t="s">
        <v>3167</v>
      </c>
    </row>
    <row r="544" ht="14.25" customHeight="1">
      <c r="A544" s="13">
        <v>24619.0</v>
      </c>
      <c r="B544" s="13" t="s">
        <v>1135</v>
      </c>
      <c r="C544" s="13">
        <v>2017.0</v>
      </c>
      <c r="D544" s="13" t="s">
        <v>3153</v>
      </c>
      <c r="E544" s="13" t="s">
        <v>3169</v>
      </c>
      <c r="F544" s="13" t="s">
        <v>3192</v>
      </c>
      <c r="G544" s="13" t="s">
        <v>3202</v>
      </c>
      <c r="H544" s="13">
        <v>500.0</v>
      </c>
      <c r="I544" s="13" t="s">
        <v>3171</v>
      </c>
      <c r="J544" s="13" t="s">
        <v>3555</v>
      </c>
      <c r="K544" s="13" t="s">
        <v>3159</v>
      </c>
      <c r="L544" s="13" t="s">
        <v>3177</v>
      </c>
      <c r="M544" s="13" t="s">
        <v>3391</v>
      </c>
      <c r="N544" s="13">
        <v>1.0</v>
      </c>
      <c r="O544" s="13" t="s">
        <v>3162</v>
      </c>
      <c r="P544" s="13" t="s">
        <v>3167</v>
      </c>
      <c r="Q544" s="13" t="s">
        <v>3159</v>
      </c>
      <c r="R544" s="13" t="s">
        <v>3231</v>
      </c>
      <c r="S544" s="13" t="s">
        <v>33</v>
      </c>
      <c r="T544" s="13" t="s">
        <v>3164</v>
      </c>
      <c r="U544" s="13" t="s">
        <v>3164</v>
      </c>
      <c r="V544" s="13" t="s">
        <v>3166</v>
      </c>
      <c r="W544" s="13" t="s">
        <v>3167</v>
      </c>
      <c r="X544" s="13" t="s">
        <v>3178</v>
      </c>
    </row>
    <row r="545" ht="14.25" customHeight="1">
      <c r="A545" s="13">
        <v>24620.0</v>
      </c>
      <c r="B545" s="13" t="s">
        <v>1135</v>
      </c>
      <c r="C545" s="13">
        <v>2020.0</v>
      </c>
      <c r="D545" s="13" t="s">
        <v>3153</v>
      </c>
      <c r="E545" s="13" t="s">
        <v>3169</v>
      </c>
      <c r="F545" s="13" t="s">
        <v>3192</v>
      </c>
      <c r="G545" s="13" t="s">
        <v>33</v>
      </c>
      <c r="H545" s="13" t="s">
        <v>33</v>
      </c>
      <c r="I545" s="13" t="s">
        <v>3171</v>
      </c>
      <c r="J545" s="13" t="s">
        <v>3555</v>
      </c>
      <c r="K545" s="13" t="s">
        <v>3159</v>
      </c>
      <c r="L545" s="13" t="s">
        <v>3177</v>
      </c>
      <c r="M545" s="13" t="s">
        <v>3391</v>
      </c>
      <c r="N545" s="13">
        <v>1.0</v>
      </c>
      <c r="O545" s="13" t="s">
        <v>3162</v>
      </c>
      <c r="P545" s="13" t="s">
        <v>33</v>
      </c>
      <c r="Q545" s="13" t="s">
        <v>3159</v>
      </c>
      <c r="R545" s="13" t="s">
        <v>3163</v>
      </c>
      <c r="S545" s="13" t="s">
        <v>33</v>
      </c>
      <c r="T545" s="13" t="s">
        <v>3165</v>
      </c>
      <c r="U545" s="13" t="s">
        <v>3165</v>
      </c>
      <c r="V545" s="13" t="s">
        <v>3166</v>
      </c>
      <c r="W545" s="13" t="s">
        <v>3167</v>
      </c>
      <c r="X545" s="13" t="s">
        <v>3178</v>
      </c>
    </row>
    <row r="546" ht="14.25" customHeight="1">
      <c r="A546" s="13">
        <v>24622.0</v>
      </c>
      <c r="B546" s="13" t="s">
        <v>2039</v>
      </c>
      <c r="C546" s="13">
        <v>2017.0</v>
      </c>
      <c r="D546" s="13" t="s">
        <v>3153</v>
      </c>
      <c r="E546" s="13" t="s">
        <v>3154</v>
      </c>
      <c r="F546" s="13" t="s">
        <v>3284</v>
      </c>
      <c r="G546" s="13" t="s">
        <v>3156</v>
      </c>
      <c r="H546" s="13" t="s">
        <v>3167</v>
      </c>
      <c r="I546" s="13" t="s">
        <v>3244</v>
      </c>
      <c r="J546" s="13" t="s">
        <v>3167</v>
      </c>
      <c r="K546" s="13" t="s">
        <v>3338</v>
      </c>
      <c r="L546" s="13" t="s">
        <v>3177</v>
      </c>
      <c r="M546" s="13" t="s">
        <v>3161</v>
      </c>
      <c r="N546" s="13">
        <v>1.0</v>
      </c>
      <c r="O546" s="13" t="s">
        <v>3162</v>
      </c>
      <c r="P546" s="13" t="s">
        <v>3976</v>
      </c>
      <c r="Q546" s="13" t="s">
        <v>3361</v>
      </c>
      <c r="R546" s="13" t="s">
        <v>3260</v>
      </c>
      <c r="S546" s="13" t="s">
        <v>3976</v>
      </c>
      <c r="T546" s="13" t="s">
        <v>3197</v>
      </c>
      <c r="U546" s="13" t="s">
        <v>3197</v>
      </c>
      <c r="V546" s="13" t="s">
        <v>3242</v>
      </c>
      <c r="W546" s="13" t="s">
        <v>3294</v>
      </c>
      <c r="X546" s="13" t="s">
        <v>3167</v>
      </c>
    </row>
    <row r="547" ht="14.25" customHeight="1">
      <c r="A547" s="13">
        <v>24624.0</v>
      </c>
      <c r="B547" s="13" t="s">
        <v>1287</v>
      </c>
      <c r="C547" s="13">
        <v>2016.0</v>
      </c>
      <c r="D547" s="13" t="s">
        <v>3153</v>
      </c>
      <c r="E547" s="13" t="s">
        <v>3154</v>
      </c>
      <c r="F547" s="13" t="s">
        <v>3211</v>
      </c>
      <c r="G547" s="13" t="s">
        <v>3180</v>
      </c>
      <c r="H547" s="13">
        <v>0.5</v>
      </c>
      <c r="I547" s="13" t="s">
        <v>3244</v>
      </c>
      <c r="J547" s="13" t="s">
        <v>3977</v>
      </c>
      <c r="K547" s="13" t="s">
        <v>3173</v>
      </c>
      <c r="L547" s="13" t="s">
        <v>3160</v>
      </c>
      <c r="M547" s="13" t="s">
        <v>3342</v>
      </c>
      <c r="N547" s="13">
        <v>1.0</v>
      </c>
      <c r="O547" s="13" t="s">
        <v>3162</v>
      </c>
      <c r="P547" s="13" t="s">
        <v>33</v>
      </c>
      <c r="Q547" s="13" t="s">
        <v>3173</v>
      </c>
      <c r="R547" s="13" t="s">
        <v>3177</v>
      </c>
      <c r="S547" s="13" t="s">
        <v>33</v>
      </c>
      <c r="T547" s="13" t="s">
        <v>3164</v>
      </c>
      <c r="U547" s="13" t="s">
        <v>3164</v>
      </c>
      <c r="V547" s="13" t="s">
        <v>3166</v>
      </c>
      <c r="W547" s="13" t="s">
        <v>3167</v>
      </c>
      <c r="X547" s="13" t="s">
        <v>3225</v>
      </c>
    </row>
    <row r="548" ht="14.25" customHeight="1">
      <c r="A548" s="13">
        <v>24627.0</v>
      </c>
      <c r="B548" s="13" t="s">
        <v>1657</v>
      </c>
      <c r="C548" s="13">
        <v>2016.0</v>
      </c>
      <c r="D548" s="13" t="s">
        <v>3153</v>
      </c>
      <c r="E548" s="13" t="s">
        <v>3517</v>
      </c>
      <c r="F548" s="13" t="s">
        <v>3192</v>
      </c>
      <c r="G548" s="13" t="s">
        <v>3156</v>
      </c>
      <c r="H548" s="13" t="s">
        <v>33</v>
      </c>
      <c r="I548" s="13" t="s">
        <v>3222</v>
      </c>
      <c r="J548" s="13" t="s">
        <v>3182</v>
      </c>
      <c r="K548" s="13" t="s">
        <v>3545</v>
      </c>
      <c r="L548" s="13" t="s">
        <v>3160</v>
      </c>
      <c r="M548" s="13" t="s">
        <v>3161</v>
      </c>
      <c r="N548" s="13">
        <v>1.0</v>
      </c>
      <c r="O548" s="13" t="s">
        <v>3162</v>
      </c>
      <c r="P548" s="13" t="s">
        <v>3976</v>
      </c>
      <c r="Q548" s="13" t="s">
        <v>3183</v>
      </c>
      <c r="R548" s="13" t="s">
        <v>3163</v>
      </c>
      <c r="S548" s="13" t="s">
        <v>3976</v>
      </c>
      <c r="T548" s="13" t="s">
        <v>3228</v>
      </c>
      <c r="U548" s="13" t="s">
        <v>3228</v>
      </c>
      <c r="V548" s="13" t="s">
        <v>3166</v>
      </c>
      <c r="W548" s="13" t="s">
        <v>3167</v>
      </c>
      <c r="X548" s="13" t="s">
        <v>3225</v>
      </c>
    </row>
    <row r="549" ht="14.25" customHeight="1">
      <c r="A549" s="13">
        <v>24628.0</v>
      </c>
      <c r="B549" s="13" t="s">
        <v>2963</v>
      </c>
      <c r="C549" s="13">
        <v>2004.0</v>
      </c>
      <c r="D549" s="13" t="s">
        <v>3153</v>
      </c>
      <c r="E549" s="13" t="s">
        <v>3179</v>
      </c>
      <c r="F549" s="13" t="s">
        <v>3192</v>
      </c>
      <c r="G549" s="13" t="s">
        <v>3156</v>
      </c>
      <c r="H549" s="13" t="s">
        <v>33</v>
      </c>
      <c r="I549" s="13" t="s">
        <v>3193</v>
      </c>
      <c r="J549" s="13" t="s">
        <v>3189</v>
      </c>
      <c r="K549" s="13" t="s">
        <v>3190</v>
      </c>
      <c r="L549" s="13" t="s">
        <v>3160</v>
      </c>
      <c r="M549" s="13" t="s">
        <v>3342</v>
      </c>
      <c r="N549" s="13">
        <v>1.0</v>
      </c>
      <c r="O549" s="13" t="s">
        <v>3162</v>
      </c>
      <c r="P549" s="13" t="s">
        <v>33</v>
      </c>
      <c r="Q549" s="13" t="s">
        <v>3190</v>
      </c>
      <c r="R549" s="13" t="s">
        <v>3163</v>
      </c>
      <c r="S549" s="13" t="s">
        <v>33</v>
      </c>
      <c r="T549" s="13" t="s">
        <v>3164</v>
      </c>
      <c r="U549" s="13" t="s">
        <v>3164</v>
      </c>
      <c r="V549" s="13" t="s">
        <v>3166</v>
      </c>
      <c r="W549" s="13" t="s">
        <v>3167</v>
      </c>
      <c r="X549" s="13" t="s">
        <v>3225</v>
      </c>
    </row>
    <row r="550" ht="14.25" customHeight="1">
      <c r="A550" s="13">
        <v>24633.0</v>
      </c>
      <c r="B550" s="13" t="s">
        <v>585</v>
      </c>
      <c r="C550" s="13">
        <v>2011.0</v>
      </c>
      <c r="D550" s="13" t="s">
        <v>3153</v>
      </c>
      <c r="E550" s="13" t="s">
        <v>3169</v>
      </c>
      <c r="F550" s="13" t="s">
        <v>3170</v>
      </c>
      <c r="G550" s="13" t="s">
        <v>3202</v>
      </c>
      <c r="H550" s="13">
        <v>100.0</v>
      </c>
      <c r="I550" s="13" t="s">
        <v>3157</v>
      </c>
      <c r="J550" s="13" t="s">
        <v>3330</v>
      </c>
      <c r="K550" s="13" t="s">
        <v>3159</v>
      </c>
      <c r="L550" s="13" t="s">
        <v>3177</v>
      </c>
      <c r="M550" s="13" t="s">
        <v>3494</v>
      </c>
      <c r="N550" s="13">
        <v>1.0</v>
      </c>
      <c r="O550" s="13" t="s">
        <v>3162</v>
      </c>
      <c r="P550" s="13" t="s">
        <v>33</v>
      </c>
      <c r="Q550" s="13" t="s">
        <v>3183</v>
      </c>
      <c r="R550" s="13" t="s">
        <v>3163</v>
      </c>
      <c r="S550" s="13" t="s">
        <v>3978</v>
      </c>
      <c r="T550" s="13" t="s">
        <v>3247</v>
      </c>
      <c r="U550" s="13" t="s">
        <v>3247</v>
      </c>
      <c r="V550" s="13" t="s">
        <v>3242</v>
      </c>
      <c r="W550" s="13" t="s">
        <v>3979</v>
      </c>
      <c r="X550" s="13" t="s">
        <v>3167</v>
      </c>
    </row>
    <row r="551" ht="14.25" customHeight="1">
      <c r="A551" s="13">
        <v>24636.0</v>
      </c>
      <c r="B551" s="13" t="s">
        <v>161</v>
      </c>
      <c r="C551" s="13">
        <v>2013.0</v>
      </c>
      <c r="D551" s="13" t="s">
        <v>3153</v>
      </c>
      <c r="E551" s="13" t="s">
        <v>3169</v>
      </c>
      <c r="F551" s="13" t="s">
        <v>3217</v>
      </c>
      <c r="G551" s="13" t="s">
        <v>3180</v>
      </c>
      <c r="H551" s="13">
        <v>1.0</v>
      </c>
      <c r="I551" s="13" t="s">
        <v>3167</v>
      </c>
      <c r="J551" s="13" t="s">
        <v>3167</v>
      </c>
      <c r="K551" s="13" t="s">
        <v>3183</v>
      </c>
      <c r="L551" s="13" t="s">
        <v>3160</v>
      </c>
      <c r="M551" s="13" t="s">
        <v>3391</v>
      </c>
      <c r="N551" s="13">
        <v>1.0</v>
      </c>
      <c r="O551" s="13" t="s">
        <v>3162</v>
      </c>
      <c r="P551" s="13" t="s">
        <v>3221</v>
      </c>
      <c r="Q551" s="13" t="s">
        <v>3183</v>
      </c>
      <c r="R551" s="13" t="s">
        <v>3177</v>
      </c>
      <c r="S551" s="13" t="s">
        <v>3221</v>
      </c>
      <c r="T551" s="13" t="s">
        <v>3228</v>
      </c>
      <c r="U551" s="13" t="s">
        <v>3232</v>
      </c>
      <c r="V551" s="13" t="s">
        <v>3166</v>
      </c>
      <c r="W551" s="13" t="s">
        <v>3167</v>
      </c>
      <c r="X551" s="13" t="s">
        <v>3178</v>
      </c>
    </row>
    <row r="552" ht="14.25" customHeight="1">
      <c r="A552" s="13">
        <v>24642.0</v>
      </c>
      <c r="B552" s="13" t="s">
        <v>502</v>
      </c>
      <c r="C552" s="13">
        <v>2017.0</v>
      </c>
      <c r="D552" s="13" t="s">
        <v>3153</v>
      </c>
      <c r="E552" s="13" t="s">
        <v>3179</v>
      </c>
      <c r="F552" s="13" t="s">
        <v>3192</v>
      </c>
      <c r="G552" s="13" t="s">
        <v>33</v>
      </c>
      <c r="H552" s="13" t="s">
        <v>33</v>
      </c>
      <c r="I552" s="13" t="s">
        <v>3181</v>
      </c>
      <c r="J552" s="13" t="s">
        <v>3182</v>
      </c>
      <c r="K552" s="13" t="s">
        <v>3186</v>
      </c>
      <c r="L552" s="13" t="s">
        <v>3177</v>
      </c>
      <c r="M552" s="13" t="s">
        <v>3980</v>
      </c>
      <c r="N552" s="13">
        <v>11.0</v>
      </c>
      <c r="O552" s="13" t="s">
        <v>3175</v>
      </c>
      <c r="P552" s="13" t="s">
        <v>33</v>
      </c>
      <c r="Q552" s="13" t="s">
        <v>3210</v>
      </c>
      <c r="R552" s="13" t="s">
        <v>3163</v>
      </c>
      <c r="S552" s="13" t="s">
        <v>33</v>
      </c>
      <c r="T552" s="13" t="s">
        <v>3195</v>
      </c>
      <c r="U552" s="13" t="s">
        <v>3195</v>
      </c>
      <c r="V552" s="13" t="s">
        <v>3195</v>
      </c>
      <c r="W552" s="13" t="s">
        <v>3167</v>
      </c>
      <c r="X552" s="13" t="s">
        <v>3167</v>
      </c>
    </row>
    <row r="553" ht="14.25" customHeight="1">
      <c r="A553" s="13">
        <v>24646.0</v>
      </c>
      <c r="B553" s="13" t="s">
        <v>2101</v>
      </c>
      <c r="C553" s="13">
        <v>2014.0</v>
      </c>
      <c r="D553" s="13" t="s">
        <v>3153</v>
      </c>
      <c r="E553" s="13" t="s">
        <v>3154</v>
      </c>
      <c r="F553" s="13" t="s">
        <v>3211</v>
      </c>
      <c r="G553" s="13" t="s">
        <v>3187</v>
      </c>
      <c r="H553" s="13">
        <v>4.0</v>
      </c>
      <c r="I553" s="13" t="s">
        <v>3171</v>
      </c>
      <c r="J553" s="13" t="s">
        <v>3981</v>
      </c>
      <c r="K553" s="13" t="s">
        <v>3208</v>
      </c>
      <c r="L553" s="13" t="s">
        <v>3160</v>
      </c>
      <c r="M553" s="13" t="s">
        <v>3291</v>
      </c>
      <c r="N553" s="13">
        <v>1.0</v>
      </c>
      <c r="O553" s="13" t="s">
        <v>3162</v>
      </c>
      <c r="P553" s="13" t="s">
        <v>33</v>
      </c>
      <c r="Q553" s="13" t="s">
        <v>3186</v>
      </c>
      <c r="R553" s="13" t="s">
        <v>3163</v>
      </c>
      <c r="S553" s="13" t="s">
        <v>33</v>
      </c>
      <c r="T553" s="13" t="s">
        <v>3164</v>
      </c>
      <c r="U553" s="13" t="s">
        <v>3232</v>
      </c>
      <c r="V553" s="13" t="s">
        <v>3166</v>
      </c>
      <c r="W553" s="13" t="s">
        <v>3167</v>
      </c>
      <c r="X553" s="13" t="s">
        <v>3224</v>
      </c>
    </row>
    <row r="554" ht="14.25" customHeight="1">
      <c r="A554" s="13">
        <v>24648.0</v>
      </c>
      <c r="B554" s="13" t="s">
        <v>1417</v>
      </c>
      <c r="C554" s="13">
        <v>2016.0</v>
      </c>
      <c r="D554" s="13" t="s">
        <v>3153</v>
      </c>
      <c r="E554" s="13" t="s">
        <v>3169</v>
      </c>
      <c r="F554" s="13" t="s">
        <v>3192</v>
      </c>
      <c r="G554" s="13" t="s">
        <v>33</v>
      </c>
      <c r="H554" s="13" t="s">
        <v>33</v>
      </c>
      <c r="I554" s="13" t="s">
        <v>3222</v>
      </c>
      <c r="J554" s="13" t="s">
        <v>3229</v>
      </c>
      <c r="K554" s="13" t="s">
        <v>3186</v>
      </c>
      <c r="L554" s="13" t="s">
        <v>3177</v>
      </c>
      <c r="M554" s="13" t="s">
        <v>3982</v>
      </c>
      <c r="N554" s="13">
        <v>3.0</v>
      </c>
      <c r="O554" s="13" t="s">
        <v>3175</v>
      </c>
      <c r="P554" s="13" t="s">
        <v>33</v>
      </c>
      <c r="Q554" s="13" t="s">
        <v>3702</v>
      </c>
      <c r="R554" s="13" t="s">
        <v>3177</v>
      </c>
      <c r="S554" s="13" t="s">
        <v>33</v>
      </c>
      <c r="T554" s="13" t="s">
        <v>3164</v>
      </c>
      <c r="U554" s="13" t="s">
        <v>3164</v>
      </c>
      <c r="V554" s="13" t="s">
        <v>3166</v>
      </c>
      <c r="W554" s="13" t="s">
        <v>3167</v>
      </c>
      <c r="X554" s="13" t="s">
        <v>3178</v>
      </c>
    </row>
    <row r="555" ht="14.25" customHeight="1">
      <c r="A555" s="13">
        <v>24654.0</v>
      </c>
      <c r="B555" s="13" t="s">
        <v>2505</v>
      </c>
      <c r="C555" s="13">
        <v>2019.0</v>
      </c>
      <c r="D555" s="13" t="s">
        <v>3153</v>
      </c>
      <c r="E555" s="13" t="s">
        <v>3169</v>
      </c>
      <c r="F555" s="13" t="s">
        <v>3170</v>
      </c>
      <c r="G555" s="13" t="s">
        <v>33</v>
      </c>
      <c r="H555" s="13" t="s">
        <v>33</v>
      </c>
      <c r="I555" s="13" t="s">
        <v>3244</v>
      </c>
      <c r="J555" s="13" t="s">
        <v>3289</v>
      </c>
      <c r="K555" s="13" t="s">
        <v>3173</v>
      </c>
      <c r="L555" s="13" t="s">
        <v>3160</v>
      </c>
      <c r="M555" s="13" t="s">
        <v>3230</v>
      </c>
      <c r="N555" s="13">
        <v>1.0</v>
      </c>
      <c r="O555" s="13" t="s">
        <v>3162</v>
      </c>
      <c r="P555" s="13" t="s">
        <v>33</v>
      </c>
      <c r="Q555" s="13" t="s">
        <v>3173</v>
      </c>
      <c r="R555" s="13" t="s">
        <v>3163</v>
      </c>
      <c r="S555" s="13" t="s">
        <v>33</v>
      </c>
      <c r="T555" s="13" t="s">
        <v>3197</v>
      </c>
      <c r="U555" s="13" t="s">
        <v>3197</v>
      </c>
      <c r="V555" s="13" t="s">
        <v>3166</v>
      </c>
      <c r="W555" s="13" t="s">
        <v>3167</v>
      </c>
      <c r="X555" s="13" t="s">
        <v>3276</v>
      </c>
    </row>
    <row r="556" ht="14.25" customHeight="1">
      <c r="A556" s="13">
        <v>24655.0</v>
      </c>
      <c r="B556" s="13" t="s">
        <v>416</v>
      </c>
      <c r="C556" s="13">
        <v>2020.0</v>
      </c>
      <c r="D556" s="13" t="s">
        <v>3153</v>
      </c>
      <c r="E556" s="13" t="s">
        <v>3154</v>
      </c>
      <c r="F556" s="13" t="s">
        <v>3284</v>
      </c>
      <c r="G556" s="13" t="s">
        <v>3187</v>
      </c>
      <c r="H556" s="13">
        <v>100.0</v>
      </c>
      <c r="I556" s="13" t="s">
        <v>3157</v>
      </c>
      <c r="J556" s="13" t="s">
        <v>3167</v>
      </c>
      <c r="K556" s="13" t="s">
        <v>3338</v>
      </c>
      <c r="L556" s="13" t="s">
        <v>3160</v>
      </c>
      <c r="M556" s="13" t="s">
        <v>3161</v>
      </c>
      <c r="N556" s="13">
        <v>1.0</v>
      </c>
      <c r="O556" s="13" t="s">
        <v>3162</v>
      </c>
      <c r="P556" s="13" t="s">
        <v>3983</v>
      </c>
      <c r="Q556" s="13" t="s">
        <v>3186</v>
      </c>
      <c r="R556" s="13" t="s">
        <v>3163</v>
      </c>
      <c r="S556" s="13" t="s">
        <v>33</v>
      </c>
      <c r="T556" s="13" t="s">
        <v>3252</v>
      </c>
      <c r="U556" s="13" t="s">
        <v>3252</v>
      </c>
      <c r="V556" s="13" t="s">
        <v>3253</v>
      </c>
      <c r="W556" s="13" t="s">
        <v>3634</v>
      </c>
      <c r="X556" s="13" t="s">
        <v>3632</v>
      </c>
    </row>
    <row r="557" ht="14.25" customHeight="1">
      <c r="A557" s="13">
        <v>24656.0</v>
      </c>
      <c r="B557" s="13" t="s">
        <v>51</v>
      </c>
      <c r="C557" s="13">
        <v>2011.0</v>
      </c>
      <c r="D557" s="13" t="s">
        <v>3153</v>
      </c>
      <c r="E557" s="13" t="s">
        <v>3169</v>
      </c>
      <c r="F557" s="13" t="s">
        <v>3155</v>
      </c>
      <c r="G557" s="13" t="s">
        <v>3156</v>
      </c>
      <c r="H557" s="13" t="s">
        <v>33</v>
      </c>
      <c r="I557" s="13" t="s">
        <v>3222</v>
      </c>
      <c r="J557" s="13" t="s">
        <v>3182</v>
      </c>
      <c r="K557" s="13" t="s">
        <v>3186</v>
      </c>
      <c r="L557" s="13" t="s">
        <v>3177</v>
      </c>
      <c r="M557" s="13" t="s">
        <v>3213</v>
      </c>
      <c r="N557" s="13">
        <v>1.0</v>
      </c>
      <c r="O557" s="13" t="s">
        <v>3162</v>
      </c>
      <c r="P557" s="13" t="s">
        <v>33</v>
      </c>
      <c r="Q557" s="13" t="s">
        <v>3183</v>
      </c>
      <c r="R557" s="13" t="s">
        <v>3163</v>
      </c>
      <c r="S557" s="13" t="s">
        <v>3984</v>
      </c>
      <c r="T557" s="13" t="s">
        <v>3247</v>
      </c>
      <c r="U557" s="13" t="s">
        <v>3247</v>
      </c>
      <c r="V557" s="13" t="s">
        <v>3242</v>
      </c>
      <c r="W557" s="13" t="s">
        <v>3985</v>
      </c>
      <c r="X557" s="13" t="s">
        <v>3167</v>
      </c>
    </row>
    <row r="558" ht="14.25" customHeight="1">
      <c r="A558" s="13">
        <v>24659.0</v>
      </c>
      <c r="B558" s="13" t="s">
        <v>140</v>
      </c>
      <c r="C558" s="13">
        <v>2019.0</v>
      </c>
      <c r="D558" s="13" t="s">
        <v>3153</v>
      </c>
      <c r="E558" s="13" t="s">
        <v>3517</v>
      </c>
      <c r="F558" s="13" t="s">
        <v>3192</v>
      </c>
      <c r="G558" s="13" t="s">
        <v>3156</v>
      </c>
      <c r="H558" s="13" t="s">
        <v>33</v>
      </c>
      <c r="I558" s="13" t="s">
        <v>3533</v>
      </c>
      <c r="J558" s="13" t="s">
        <v>3289</v>
      </c>
      <c r="K558" s="13" t="s">
        <v>3186</v>
      </c>
      <c r="L558" s="13" t="s">
        <v>3177</v>
      </c>
      <c r="M558" s="13" t="s">
        <v>3291</v>
      </c>
      <c r="N558" s="13">
        <v>1.0</v>
      </c>
      <c r="O558" s="13" t="s">
        <v>3162</v>
      </c>
      <c r="P558" s="13" t="s">
        <v>33</v>
      </c>
      <c r="Q558" s="13" t="s">
        <v>3346</v>
      </c>
      <c r="R558" s="13" t="s">
        <v>3163</v>
      </c>
      <c r="S558" s="13" t="s">
        <v>33</v>
      </c>
      <c r="T558" s="13" t="s">
        <v>3197</v>
      </c>
      <c r="U558" s="13" t="s">
        <v>3252</v>
      </c>
      <c r="V558" s="13" t="s">
        <v>3253</v>
      </c>
      <c r="W558" s="13" t="s">
        <v>3254</v>
      </c>
      <c r="X558" s="13" t="s">
        <v>3168</v>
      </c>
    </row>
    <row r="559" ht="14.25" customHeight="1">
      <c r="A559" s="13">
        <v>24660.0</v>
      </c>
      <c r="B559" s="13" t="s">
        <v>906</v>
      </c>
      <c r="C559" s="13">
        <v>2019.0</v>
      </c>
      <c r="D559" s="13" t="s">
        <v>3153</v>
      </c>
      <c r="E559" s="13" t="s">
        <v>3169</v>
      </c>
      <c r="F559" s="13" t="s">
        <v>3192</v>
      </c>
      <c r="G559" s="13" t="s">
        <v>3156</v>
      </c>
      <c r="H559" s="13" t="s">
        <v>33</v>
      </c>
      <c r="I559" s="13" t="s">
        <v>3188</v>
      </c>
      <c r="J559" s="13" t="s">
        <v>3327</v>
      </c>
      <c r="K559" s="13" t="s">
        <v>3190</v>
      </c>
      <c r="L559" s="13" t="s">
        <v>3160</v>
      </c>
      <c r="M559" s="13" t="s">
        <v>3391</v>
      </c>
      <c r="N559" s="13">
        <v>1.0</v>
      </c>
      <c r="O559" s="13" t="s">
        <v>3162</v>
      </c>
      <c r="P559" s="13" t="s">
        <v>33</v>
      </c>
      <c r="Q559" s="13" t="s">
        <v>3580</v>
      </c>
      <c r="R559" s="13" t="s">
        <v>3163</v>
      </c>
      <c r="S559" s="13" t="s">
        <v>33</v>
      </c>
      <c r="T559" s="13" t="s">
        <v>3164</v>
      </c>
      <c r="U559" s="13" t="s">
        <v>3164</v>
      </c>
      <c r="V559" s="13" t="s">
        <v>3166</v>
      </c>
      <c r="W559" s="13" t="s">
        <v>3167</v>
      </c>
      <c r="X559" s="13" t="s">
        <v>3178</v>
      </c>
    </row>
    <row r="560" ht="14.25" customHeight="1">
      <c r="A560" s="13">
        <v>24661.0</v>
      </c>
      <c r="B560" s="13" t="s">
        <v>1747</v>
      </c>
      <c r="C560" s="13">
        <v>2019.0</v>
      </c>
      <c r="D560" s="13" t="s">
        <v>3153</v>
      </c>
      <c r="E560" s="13" t="s">
        <v>3169</v>
      </c>
      <c r="F560" s="13" t="s">
        <v>3192</v>
      </c>
      <c r="G560" s="13" t="s">
        <v>3202</v>
      </c>
      <c r="H560" s="13">
        <v>60.0</v>
      </c>
      <c r="I560" s="13" t="s">
        <v>3171</v>
      </c>
      <c r="J560" s="13" t="s">
        <v>3657</v>
      </c>
      <c r="K560" s="13" t="s">
        <v>3208</v>
      </c>
      <c r="L560" s="13" t="s">
        <v>3160</v>
      </c>
      <c r="M560" s="13" t="s">
        <v>3986</v>
      </c>
      <c r="N560" s="13">
        <v>4.0</v>
      </c>
      <c r="O560" s="13" t="s">
        <v>3162</v>
      </c>
      <c r="P560" s="13" t="s">
        <v>3167</v>
      </c>
      <c r="Q560" s="13" t="s">
        <v>3987</v>
      </c>
      <c r="R560" s="13" t="s">
        <v>3231</v>
      </c>
      <c r="S560" s="13" t="s">
        <v>3988</v>
      </c>
      <c r="T560" s="13" t="s">
        <v>3197</v>
      </c>
      <c r="U560" s="13" t="s">
        <v>3197</v>
      </c>
      <c r="V560" s="13" t="s">
        <v>3242</v>
      </c>
      <c r="W560" s="13" t="s">
        <v>3248</v>
      </c>
      <c r="X560" s="13" t="s">
        <v>3167</v>
      </c>
    </row>
    <row r="561" ht="14.25" customHeight="1">
      <c r="A561" s="13">
        <v>24663.0</v>
      </c>
      <c r="B561" s="13" t="s">
        <v>731</v>
      </c>
      <c r="C561" s="13">
        <v>2019.0</v>
      </c>
      <c r="D561" s="13" t="s">
        <v>3153</v>
      </c>
      <c r="E561" s="13" t="s">
        <v>3169</v>
      </c>
      <c r="F561" s="13" t="s">
        <v>3192</v>
      </c>
      <c r="G561" s="13" t="s">
        <v>3156</v>
      </c>
      <c r="H561" s="13" t="s">
        <v>3167</v>
      </c>
      <c r="I561" s="13" t="s">
        <v>3157</v>
      </c>
      <c r="J561" s="13" t="s">
        <v>3307</v>
      </c>
      <c r="K561" s="13" t="s">
        <v>3381</v>
      </c>
      <c r="L561" s="13" t="s">
        <v>3160</v>
      </c>
      <c r="M561" s="13" t="s">
        <v>3989</v>
      </c>
      <c r="N561" s="13">
        <v>3.0</v>
      </c>
      <c r="O561" s="13" t="s">
        <v>3175</v>
      </c>
      <c r="P561" s="13" t="s">
        <v>3167</v>
      </c>
      <c r="Q561" s="13" t="s">
        <v>3201</v>
      </c>
      <c r="R561" s="13" t="s">
        <v>3231</v>
      </c>
      <c r="S561" s="13" t="s">
        <v>33</v>
      </c>
      <c r="T561" s="13" t="s">
        <v>3164</v>
      </c>
      <c r="U561" s="13" t="s">
        <v>3164</v>
      </c>
      <c r="V561" s="13" t="s">
        <v>3166</v>
      </c>
      <c r="W561" s="13" t="s">
        <v>3167</v>
      </c>
      <c r="X561" s="13" t="s">
        <v>3178</v>
      </c>
    </row>
    <row r="562" ht="14.25" customHeight="1">
      <c r="A562" s="13">
        <v>24667.0</v>
      </c>
      <c r="B562" s="13" t="s">
        <v>2811</v>
      </c>
      <c r="C562" s="13">
        <v>2016.0</v>
      </c>
      <c r="D562" s="13" t="s">
        <v>3153</v>
      </c>
      <c r="E562" s="13" t="s">
        <v>3169</v>
      </c>
      <c r="F562" s="13" t="s">
        <v>3192</v>
      </c>
      <c r="G562" s="13" t="s">
        <v>3156</v>
      </c>
      <c r="H562" s="13" t="s">
        <v>33</v>
      </c>
      <c r="I562" s="13" t="s">
        <v>3157</v>
      </c>
      <c r="J562" s="13" t="s">
        <v>3307</v>
      </c>
      <c r="K562" s="13" t="s">
        <v>3183</v>
      </c>
      <c r="L562" s="13" t="s">
        <v>3160</v>
      </c>
      <c r="M562" s="13" t="s">
        <v>3480</v>
      </c>
      <c r="N562" s="13">
        <v>1.0</v>
      </c>
      <c r="O562" s="13" t="s">
        <v>3162</v>
      </c>
      <c r="P562" s="13" t="s">
        <v>33</v>
      </c>
      <c r="Q562" s="13" t="s">
        <v>3173</v>
      </c>
      <c r="R562" s="13" t="s">
        <v>3163</v>
      </c>
      <c r="S562" s="13" t="s">
        <v>33</v>
      </c>
      <c r="T562" s="13" t="s">
        <v>3247</v>
      </c>
      <c r="U562" s="13" t="s">
        <v>3247</v>
      </c>
      <c r="V562" s="13" t="s">
        <v>3242</v>
      </c>
      <c r="W562" s="13" t="s">
        <v>3496</v>
      </c>
      <c r="X562" s="13" t="s">
        <v>3167</v>
      </c>
    </row>
    <row r="563" ht="14.25" customHeight="1">
      <c r="A563" s="13">
        <v>24673.0</v>
      </c>
      <c r="B563" s="13" t="s">
        <v>1896</v>
      </c>
      <c r="C563" s="13">
        <v>2019.0</v>
      </c>
      <c r="D563" s="13" t="s">
        <v>3153</v>
      </c>
      <c r="E563" s="13" t="s">
        <v>3169</v>
      </c>
      <c r="F563" s="13" t="s">
        <v>3170</v>
      </c>
      <c r="G563" s="13" t="s">
        <v>3156</v>
      </c>
      <c r="H563" s="13" t="s">
        <v>33</v>
      </c>
      <c r="I563" s="13" t="s">
        <v>3171</v>
      </c>
      <c r="J563" s="13" t="s">
        <v>3378</v>
      </c>
      <c r="K563" s="13" t="s">
        <v>3183</v>
      </c>
      <c r="L563" s="13" t="s">
        <v>3160</v>
      </c>
      <c r="M563" s="13" t="s">
        <v>3990</v>
      </c>
      <c r="N563" s="13">
        <v>4.0</v>
      </c>
      <c r="O563" s="13" t="s">
        <v>3162</v>
      </c>
      <c r="P563" s="13" t="s">
        <v>3991</v>
      </c>
      <c r="Q563" s="13" t="s">
        <v>3335</v>
      </c>
      <c r="R563" s="13" t="s">
        <v>3163</v>
      </c>
      <c r="S563" s="13" t="s">
        <v>3323</v>
      </c>
      <c r="T563" s="13" t="s">
        <v>3195</v>
      </c>
      <c r="U563" s="13" t="s">
        <v>3195</v>
      </c>
      <c r="V563" s="13" t="s">
        <v>3195</v>
      </c>
      <c r="W563" s="13" t="s">
        <v>3167</v>
      </c>
      <c r="X563" s="13" t="s">
        <v>3167</v>
      </c>
    </row>
    <row r="564" ht="14.25" customHeight="1">
      <c r="A564" s="13">
        <v>24674.0</v>
      </c>
      <c r="B564" s="13" t="s">
        <v>2529</v>
      </c>
      <c r="C564" s="13">
        <v>2017.0</v>
      </c>
      <c r="D564" s="13" t="s">
        <v>3153</v>
      </c>
      <c r="E564" s="13" t="s">
        <v>3169</v>
      </c>
      <c r="F564" s="13" t="s">
        <v>3155</v>
      </c>
      <c r="G564" s="13" t="s">
        <v>3202</v>
      </c>
      <c r="H564" s="13">
        <v>50.0</v>
      </c>
      <c r="I564" s="13" t="s">
        <v>3157</v>
      </c>
      <c r="J564" s="13" t="s">
        <v>3992</v>
      </c>
      <c r="K564" s="13" t="s">
        <v>3159</v>
      </c>
      <c r="L564" s="13" t="s">
        <v>3177</v>
      </c>
      <c r="M564" s="13" t="s">
        <v>3494</v>
      </c>
      <c r="N564" s="13">
        <v>1.0</v>
      </c>
      <c r="O564" s="13" t="s">
        <v>3162</v>
      </c>
      <c r="P564" s="13" t="s">
        <v>33</v>
      </c>
      <c r="Q564" s="13" t="s">
        <v>3159</v>
      </c>
      <c r="R564" s="13" t="s">
        <v>3177</v>
      </c>
      <c r="S564" s="13" t="s">
        <v>33</v>
      </c>
      <c r="T564" s="13" t="s">
        <v>3247</v>
      </c>
      <c r="U564" s="13" t="s">
        <v>3247</v>
      </c>
      <c r="V564" s="13" t="s">
        <v>3242</v>
      </c>
      <c r="W564" s="13" t="s">
        <v>3634</v>
      </c>
      <c r="X564" s="13" t="s">
        <v>3167</v>
      </c>
    </row>
    <row r="565" ht="14.25" customHeight="1">
      <c r="A565" s="13">
        <v>24676.0</v>
      </c>
      <c r="B565" s="13" t="s">
        <v>948</v>
      </c>
      <c r="C565" s="13">
        <v>2019.0</v>
      </c>
      <c r="D565" s="13" t="s">
        <v>3153</v>
      </c>
      <c r="E565" s="13" t="s">
        <v>3154</v>
      </c>
      <c r="F565" s="13" t="s">
        <v>3192</v>
      </c>
      <c r="G565" s="13" t="s">
        <v>33</v>
      </c>
      <c r="H565" s="13" t="s">
        <v>33</v>
      </c>
      <c r="I565" s="13" t="s">
        <v>3188</v>
      </c>
      <c r="J565" s="13" t="s">
        <v>3207</v>
      </c>
      <c r="K565" s="13" t="s">
        <v>3208</v>
      </c>
      <c r="L565" s="13" t="s">
        <v>3160</v>
      </c>
      <c r="M565" s="13" t="s">
        <v>3484</v>
      </c>
      <c r="N565" s="13">
        <v>1.0</v>
      </c>
      <c r="O565" s="13" t="s">
        <v>3162</v>
      </c>
      <c r="P565" s="13" t="s">
        <v>33</v>
      </c>
      <c r="Q565" s="13" t="s">
        <v>3208</v>
      </c>
      <c r="R565" s="13" t="s">
        <v>3163</v>
      </c>
      <c r="S565" s="13" t="s">
        <v>33</v>
      </c>
      <c r="T565" s="13" t="s">
        <v>3247</v>
      </c>
      <c r="U565" s="13" t="s">
        <v>3247</v>
      </c>
      <c r="V565" s="13" t="s">
        <v>3242</v>
      </c>
      <c r="W565" s="13" t="s">
        <v>3248</v>
      </c>
      <c r="X565" s="13" t="s">
        <v>3167</v>
      </c>
    </row>
    <row r="566" ht="14.25" customHeight="1">
      <c r="A566" s="13">
        <v>24677.0</v>
      </c>
      <c r="B566" s="13" t="s">
        <v>1423</v>
      </c>
      <c r="C566" s="13">
        <v>2019.0</v>
      </c>
      <c r="D566" s="13" t="s">
        <v>3153</v>
      </c>
      <c r="E566" s="13" t="s">
        <v>3179</v>
      </c>
      <c r="F566" s="13" t="s">
        <v>3192</v>
      </c>
      <c r="G566" s="13" t="s">
        <v>3156</v>
      </c>
      <c r="H566" s="13" t="s">
        <v>3167</v>
      </c>
      <c r="I566" s="13" t="s">
        <v>3261</v>
      </c>
      <c r="J566" s="13" t="s">
        <v>3182</v>
      </c>
      <c r="K566" s="13" t="s">
        <v>3159</v>
      </c>
      <c r="L566" s="13" t="s">
        <v>3177</v>
      </c>
      <c r="M566" s="13" t="s">
        <v>3369</v>
      </c>
      <c r="N566" s="13">
        <v>1.0</v>
      </c>
      <c r="O566" s="13" t="s">
        <v>3162</v>
      </c>
      <c r="P566" s="13" t="s">
        <v>3167</v>
      </c>
      <c r="Q566" s="13" t="s">
        <v>3159</v>
      </c>
      <c r="R566" s="13" t="s">
        <v>3231</v>
      </c>
      <c r="S566" s="13" t="s">
        <v>33</v>
      </c>
      <c r="T566" s="13" t="s">
        <v>3164</v>
      </c>
      <c r="U566" s="13" t="s">
        <v>3164</v>
      </c>
      <c r="V566" s="13" t="s">
        <v>3166</v>
      </c>
      <c r="W566" s="13" t="s">
        <v>3167</v>
      </c>
      <c r="X566" s="13" t="s">
        <v>3225</v>
      </c>
    </row>
    <row r="567" ht="14.25" customHeight="1">
      <c r="A567" s="13">
        <v>24682.0</v>
      </c>
      <c r="B567" s="13" t="s">
        <v>560</v>
      </c>
      <c r="C567" s="13">
        <v>2014.0</v>
      </c>
      <c r="D567" s="13" t="s">
        <v>3153</v>
      </c>
      <c r="E567" s="13" t="s">
        <v>3154</v>
      </c>
      <c r="F567" s="13" t="s">
        <v>3170</v>
      </c>
      <c r="G567" s="13" t="s">
        <v>3156</v>
      </c>
      <c r="H567" s="13" t="s">
        <v>33</v>
      </c>
      <c r="I567" s="13" t="s">
        <v>3157</v>
      </c>
      <c r="J567" s="13" t="s">
        <v>3307</v>
      </c>
      <c r="K567" s="13" t="s">
        <v>3159</v>
      </c>
      <c r="L567" s="13" t="s">
        <v>3160</v>
      </c>
      <c r="M567" s="13" t="s">
        <v>3161</v>
      </c>
      <c r="N567" s="13">
        <v>1.0</v>
      </c>
      <c r="O567" s="13" t="s">
        <v>3162</v>
      </c>
      <c r="P567" s="13" t="s">
        <v>33</v>
      </c>
      <c r="Q567" s="13" t="s">
        <v>3159</v>
      </c>
      <c r="R567" s="13" t="s">
        <v>3163</v>
      </c>
      <c r="S567" s="13" t="s">
        <v>33</v>
      </c>
      <c r="T567" s="13" t="s">
        <v>3164</v>
      </c>
      <c r="U567" s="13" t="s">
        <v>3164</v>
      </c>
      <c r="V567" s="13" t="s">
        <v>3166</v>
      </c>
      <c r="W567" s="13" t="s">
        <v>3167</v>
      </c>
      <c r="X567" s="13" t="s">
        <v>3168</v>
      </c>
    </row>
    <row r="568" ht="14.25" customHeight="1">
      <c r="A568" s="13">
        <v>24692.0</v>
      </c>
      <c r="B568" s="13" t="s">
        <v>811</v>
      </c>
      <c r="C568" s="13">
        <v>2018.0</v>
      </c>
      <c r="D568" s="13" t="s">
        <v>3153</v>
      </c>
      <c r="E568" s="13" t="s">
        <v>3154</v>
      </c>
      <c r="F568" s="13" t="s">
        <v>3155</v>
      </c>
      <c r="G568" s="13" t="s">
        <v>33</v>
      </c>
      <c r="H568" s="13" t="s">
        <v>33</v>
      </c>
      <c r="I568" s="13" t="s">
        <v>3188</v>
      </c>
      <c r="J568" s="13" t="s">
        <v>3432</v>
      </c>
      <c r="K568" s="13" t="s">
        <v>3208</v>
      </c>
      <c r="L568" s="13" t="s">
        <v>3160</v>
      </c>
      <c r="M568" s="13" t="s">
        <v>3993</v>
      </c>
      <c r="N568" s="13">
        <v>2.0</v>
      </c>
      <c r="O568" s="13" t="s">
        <v>3162</v>
      </c>
      <c r="P568" s="13" t="s">
        <v>33</v>
      </c>
      <c r="Q568" s="13" t="s">
        <v>3208</v>
      </c>
      <c r="R568" s="13" t="s">
        <v>3163</v>
      </c>
      <c r="S568" s="13" t="s">
        <v>33</v>
      </c>
      <c r="T568" s="13" t="s">
        <v>3247</v>
      </c>
      <c r="U568" s="13" t="s">
        <v>3247</v>
      </c>
      <c r="V568" s="13" t="s">
        <v>3242</v>
      </c>
      <c r="W568" s="13" t="s">
        <v>3356</v>
      </c>
      <c r="X568" s="13" t="s">
        <v>3167</v>
      </c>
    </row>
    <row r="569" ht="14.25" customHeight="1">
      <c r="A569" s="13">
        <v>24693.0</v>
      </c>
      <c r="B569" s="13" t="s">
        <v>2460</v>
      </c>
      <c r="C569" s="13">
        <v>2020.0</v>
      </c>
      <c r="D569" s="13" t="s">
        <v>3315</v>
      </c>
      <c r="E569" s="13" t="s">
        <v>3179</v>
      </c>
      <c r="F569" s="13" t="s">
        <v>3155</v>
      </c>
      <c r="G569" s="13" t="s">
        <v>3156</v>
      </c>
      <c r="H569" s="13" t="s">
        <v>33</v>
      </c>
      <c r="I569" s="13" t="s">
        <v>3994</v>
      </c>
      <c r="J569" s="13" t="s">
        <v>3289</v>
      </c>
      <c r="K569" s="13" t="s">
        <v>3173</v>
      </c>
      <c r="L569" s="13" t="s">
        <v>3160</v>
      </c>
      <c r="M569" s="13" t="s">
        <v>3995</v>
      </c>
      <c r="N569" s="13">
        <v>5.0</v>
      </c>
      <c r="O569" s="13" t="s">
        <v>3162</v>
      </c>
      <c r="P569" s="13" t="s">
        <v>33</v>
      </c>
      <c r="Q569" s="13" t="s">
        <v>3173</v>
      </c>
      <c r="R569" s="13" t="s">
        <v>3163</v>
      </c>
      <c r="S569" s="13" t="s">
        <v>33</v>
      </c>
      <c r="T569" s="13" t="s">
        <v>3165</v>
      </c>
      <c r="U569" s="13" t="s">
        <v>3165</v>
      </c>
      <c r="V569" s="13" t="s">
        <v>3166</v>
      </c>
      <c r="W569" s="13" t="s">
        <v>3167</v>
      </c>
      <c r="X569" s="13" t="s">
        <v>3178</v>
      </c>
    </row>
    <row r="570" ht="14.25" customHeight="1">
      <c r="A570" s="13">
        <v>24694.0</v>
      </c>
      <c r="B570" s="13" t="s">
        <v>1490</v>
      </c>
      <c r="C570" s="13">
        <v>2017.0</v>
      </c>
      <c r="D570" s="13" t="s">
        <v>3153</v>
      </c>
      <c r="E570" s="13" t="s">
        <v>3179</v>
      </c>
      <c r="F570" s="13" t="s">
        <v>3211</v>
      </c>
      <c r="G570" s="13" t="s">
        <v>3187</v>
      </c>
      <c r="H570" s="13">
        <v>1.0</v>
      </c>
      <c r="I570" s="13" t="s">
        <v>3249</v>
      </c>
      <c r="J570" s="13" t="s">
        <v>3996</v>
      </c>
      <c r="K570" s="13" t="s">
        <v>3265</v>
      </c>
      <c r="L570" s="13" t="s">
        <v>3177</v>
      </c>
      <c r="M570" s="13" t="s">
        <v>3997</v>
      </c>
      <c r="N570" s="13">
        <v>3.0</v>
      </c>
      <c r="O570" s="13" t="s">
        <v>3162</v>
      </c>
      <c r="P570" s="13" t="s">
        <v>33</v>
      </c>
      <c r="Q570" s="13" t="s">
        <v>3998</v>
      </c>
      <c r="R570" s="13" t="s">
        <v>3177</v>
      </c>
      <c r="S570" s="13" t="s">
        <v>3999</v>
      </c>
      <c r="T570" s="13" t="s">
        <v>3247</v>
      </c>
      <c r="U570" s="13" t="s">
        <v>3247</v>
      </c>
      <c r="V570" s="13" t="s">
        <v>3242</v>
      </c>
      <c r="W570" s="13" t="s">
        <v>3634</v>
      </c>
      <c r="X570" s="13" t="s">
        <v>3167</v>
      </c>
    </row>
    <row r="571" ht="14.25" customHeight="1">
      <c r="A571" s="13">
        <v>24695.0</v>
      </c>
      <c r="B571" s="13" t="s">
        <v>1137</v>
      </c>
      <c r="C571" s="13">
        <v>2018.0</v>
      </c>
      <c r="D571" s="13" t="s">
        <v>3153</v>
      </c>
      <c r="E571" s="13" t="s">
        <v>3154</v>
      </c>
      <c r="F571" s="13" t="s">
        <v>3170</v>
      </c>
      <c r="G571" s="13" t="s">
        <v>33</v>
      </c>
      <c r="H571" s="13" t="s">
        <v>33</v>
      </c>
      <c r="I571" s="13" t="s">
        <v>3244</v>
      </c>
      <c r="J571" s="13" t="s">
        <v>3350</v>
      </c>
      <c r="K571" s="13" t="s">
        <v>3186</v>
      </c>
      <c r="L571" s="13" t="s">
        <v>3177</v>
      </c>
      <c r="M571" s="13" t="s">
        <v>3369</v>
      </c>
      <c r="N571" s="13">
        <v>1.0</v>
      </c>
      <c r="O571" s="13" t="s">
        <v>3162</v>
      </c>
      <c r="P571" s="13" t="s">
        <v>33</v>
      </c>
      <c r="Q571" s="13" t="s">
        <v>3186</v>
      </c>
      <c r="R571" s="13" t="s">
        <v>3177</v>
      </c>
      <c r="S571" s="13" t="s">
        <v>33</v>
      </c>
      <c r="T571" s="13" t="s">
        <v>3232</v>
      </c>
      <c r="U571" s="13" t="s">
        <v>3247</v>
      </c>
      <c r="V571" s="13" t="s">
        <v>3166</v>
      </c>
      <c r="W571" s="13" t="s">
        <v>3167</v>
      </c>
      <c r="X571" s="13" t="s">
        <v>4000</v>
      </c>
    </row>
    <row r="572" ht="14.25" customHeight="1">
      <c r="A572" s="13">
        <v>24696.0</v>
      </c>
      <c r="B572" s="13" t="s">
        <v>68</v>
      </c>
      <c r="C572" s="13">
        <v>2011.0</v>
      </c>
      <c r="D572" s="13" t="s">
        <v>3153</v>
      </c>
      <c r="E572" s="13" t="s">
        <v>3179</v>
      </c>
      <c r="F572" s="13" t="s">
        <v>3192</v>
      </c>
      <c r="G572" s="13" t="s">
        <v>33</v>
      </c>
      <c r="H572" s="13" t="s">
        <v>33</v>
      </c>
      <c r="I572" s="13" t="s">
        <v>3249</v>
      </c>
      <c r="J572" s="13" t="s">
        <v>3307</v>
      </c>
      <c r="K572" s="13" t="s">
        <v>3265</v>
      </c>
      <c r="L572" s="13" t="s">
        <v>3160</v>
      </c>
      <c r="M572" s="13" t="s">
        <v>4001</v>
      </c>
      <c r="N572" s="13">
        <v>5.0</v>
      </c>
      <c r="O572" s="13" t="s">
        <v>3162</v>
      </c>
      <c r="P572" s="13" t="s">
        <v>33</v>
      </c>
      <c r="Q572" s="13" t="s">
        <v>3265</v>
      </c>
      <c r="R572" s="13" t="s">
        <v>3163</v>
      </c>
      <c r="S572" s="13" t="s">
        <v>33</v>
      </c>
      <c r="T572" s="13" t="s">
        <v>3247</v>
      </c>
      <c r="U572" s="13" t="s">
        <v>3247</v>
      </c>
      <c r="V572" s="13" t="s">
        <v>3242</v>
      </c>
      <c r="W572" s="13" t="s">
        <v>3496</v>
      </c>
      <c r="X572" s="13" t="s">
        <v>3167</v>
      </c>
    </row>
    <row r="573" ht="14.25" customHeight="1">
      <c r="A573" s="13">
        <v>24698.0</v>
      </c>
      <c r="B573" s="13" t="s">
        <v>3124</v>
      </c>
      <c r="C573" s="13">
        <v>2019.0</v>
      </c>
      <c r="D573" s="13" t="s">
        <v>3153</v>
      </c>
      <c r="E573" s="13" t="s">
        <v>3169</v>
      </c>
      <c r="F573" s="13" t="s">
        <v>3170</v>
      </c>
      <c r="G573" s="13" t="s">
        <v>3202</v>
      </c>
      <c r="H573" s="13">
        <v>100.0</v>
      </c>
      <c r="I573" s="13" t="s">
        <v>3157</v>
      </c>
      <c r="J573" s="13" t="s">
        <v>3199</v>
      </c>
      <c r="K573" s="13" t="s">
        <v>3186</v>
      </c>
      <c r="L573" s="13" t="s">
        <v>3160</v>
      </c>
      <c r="M573" s="13" t="s">
        <v>3331</v>
      </c>
      <c r="N573" s="13">
        <v>1.0</v>
      </c>
      <c r="O573" s="13" t="s">
        <v>3162</v>
      </c>
      <c r="P573" s="13" t="s">
        <v>33</v>
      </c>
      <c r="Q573" s="13" t="s">
        <v>3287</v>
      </c>
      <c r="R573" s="13" t="s">
        <v>3163</v>
      </c>
      <c r="S573" s="13" t="s">
        <v>33</v>
      </c>
      <c r="T573" s="13" t="s">
        <v>3164</v>
      </c>
      <c r="U573" s="13" t="s">
        <v>3164</v>
      </c>
      <c r="V573" s="13" t="s">
        <v>3166</v>
      </c>
      <c r="W573" s="13" t="s">
        <v>3167</v>
      </c>
      <c r="X573" s="13" t="s">
        <v>3224</v>
      </c>
    </row>
    <row r="574" ht="14.25" customHeight="1">
      <c r="A574" s="13">
        <v>24699.0</v>
      </c>
      <c r="B574" s="13" t="s">
        <v>2424</v>
      </c>
      <c r="C574" s="13">
        <v>2013.0</v>
      </c>
      <c r="D574" s="13" t="s">
        <v>3153</v>
      </c>
      <c r="E574" s="13" t="s">
        <v>3169</v>
      </c>
      <c r="F574" s="13" t="s">
        <v>3192</v>
      </c>
      <c r="G574" s="13" t="s">
        <v>3156</v>
      </c>
      <c r="H574" s="13" t="s">
        <v>33</v>
      </c>
      <c r="I574" s="13" t="s">
        <v>3157</v>
      </c>
      <c r="J574" s="13" t="s">
        <v>3199</v>
      </c>
      <c r="K574" s="13" t="s">
        <v>3159</v>
      </c>
      <c r="L574" s="13" t="s">
        <v>3177</v>
      </c>
      <c r="M574" s="13" t="s">
        <v>3391</v>
      </c>
      <c r="N574" s="13">
        <v>1.0</v>
      </c>
      <c r="O574" s="13" t="s">
        <v>3162</v>
      </c>
      <c r="P574" s="13" t="s">
        <v>33</v>
      </c>
      <c r="Q574" s="13" t="s">
        <v>3159</v>
      </c>
      <c r="R574" s="13" t="s">
        <v>3163</v>
      </c>
      <c r="S574" s="13" t="s">
        <v>33</v>
      </c>
      <c r="T574" s="13" t="s">
        <v>3197</v>
      </c>
      <c r="U574" s="13" t="s">
        <v>3197</v>
      </c>
      <c r="V574" s="13" t="s">
        <v>3166</v>
      </c>
      <c r="W574" s="13" t="s">
        <v>3167</v>
      </c>
      <c r="X574" s="13" t="s">
        <v>3893</v>
      </c>
    </row>
    <row r="575" ht="14.25" customHeight="1">
      <c r="A575" s="13">
        <v>24700.0</v>
      </c>
      <c r="B575" s="13" t="s">
        <v>2741</v>
      </c>
      <c r="C575" s="13">
        <v>2009.0</v>
      </c>
      <c r="D575" s="13" t="s">
        <v>3153</v>
      </c>
      <c r="E575" s="13" t="s">
        <v>3179</v>
      </c>
      <c r="F575" s="13" t="s">
        <v>3192</v>
      </c>
      <c r="G575" s="13" t="s">
        <v>3187</v>
      </c>
      <c r="H575" s="13">
        <v>25.0</v>
      </c>
      <c r="I575" s="13" t="s">
        <v>3261</v>
      </c>
      <c r="J575" s="13" t="s">
        <v>4002</v>
      </c>
      <c r="K575" s="13" t="s">
        <v>3183</v>
      </c>
      <c r="L575" s="13" t="s">
        <v>3177</v>
      </c>
      <c r="M575" s="13" t="s">
        <v>3342</v>
      </c>
      <c r="N575" s="13">
        <v>1.0</v>
      </c>
      <c r="O575" s="13" t="s">
        <v>3162</v>
      </c>
      <c r="P575" s="13" t="s">
        <v>33</v>
      </c>
      <c r="Q575" s="13" t="s">
        <v>3159</v>
      </c>
      <c r="R575" s="13" t="s">
        <v>3177</v>
      </c>
      <c r="S575" s="13" t="s">
        <v>33</v>
      </c>
      <c r="T575" s="13" t="s">
        <v>3164</v>
      </c>
      <c r="U575" s="13" t="s">
        <v>3247</v>
      </c>
      <c r="V575" s="13" t="s">
        <v>3166</v>
      </c>
      <c r="W575" s="13" t="s">
        <v>3167</v>
      </c>
      <c r="X575" s="13" t="s">
        <v>4003</v>
      </c>
    </row>
    <row r="576" ht="14.25" customHeight="1">
      <c r="A576" s="13">
        <v>24705.0</v>
      </c>
      <c r="B576" s="13" t="s">
        <v>2286</v>
      </c>
      <c r="C576" s="13">
        <v>2012.0</v>
      </c>
      <c r="D576" s="13" t="s">
        <v>3153</v>
      </c>
      <c r="E576" s="13" t="s">
        <v>3169</v>
      </c>
      <c r="F576" s="13" t="s">
        <v>3170</v>
      </c>
      <c r="G576" s="13" t="s">
        <v>3538</v>
      </c>
      <c r="H576" s="13">
        <v>100.0</v>
      </c>
      <c r="I576" s="13" t="s">
        <v>3157</v>
      </c>
      <c r="J576" s="13" t="s">
        <v>3199</v>
      </c>
      <c r="K576" s="13" t="s">
        <v>3159</v>
      </c>
      <c r="L576" s="13" t="s">
        <v>3177</v>
      </c>
      <c r="M576" s="13" t="s">
        <v>3230</v>
      </c>
      <c r="N576" s="13">
        <v>1.0</v>
      </c>
      <c r="O576" s="13" t="s">
        <v>3162</v>
      </c>
      <c r="P576" s="13" t="s">
        <v>33</v>
      </c>
      <c r="Q576" s="13" t="s">
        <v>3159</v>
      </c>
      <c r="R576" s="13" t="s">
        <v>3177</v>
      </c>
      <c r="S576" s="13" t="s">
        <v>33</v>
      </c>
      <c r="T576" s="13" t="s">
        <v>3164</v>
      </c>
      <c r="U576" s="13" t="s">
        <v>3197</v>
      </c>
      <c r="V576" s="13" t="s">
        <v>3166</v>
      </c>
      <c r="W576" s="13" t="s">
        <v>3167</v>
      </c>
      <c r="X576" s="13" t="s">
        <v>3749</v>
      </c>
    </row>
    <row r="577" ht="14.25" customHeight="1">
      <c r="A577" s="13">
        <v>24706.0</v>
      </c>
      <c r="B577" s="13" t="s">
        <v>925</v>
      </c>
      <c r="C577" s="13">
        <v>2016.0</v>
      </c>
      <c r="D577" s="13" t="s">
        <v>3315</v>
      </c>
      <c r="E577" s="13" t="s">
        <v>3169</v>
      </c>
      <c r="F577" s="13" t="s">
        <v>3217</v>
      </c>
      <c r="G577" s="13" t="s">
        <v>3156</v>
      </c>
      <c r="H577" s="13" t="s">
        <v>33</v>
      </c>
      <c r="I577" s="13" t="s">
        <v>3167</v>
      </c>
      <c r="J577" s="13" t="s">
        <v>3167</v>
      </c>
      <c r="K577" s="13" t="s">
        <v>3173</v>
      </c>
      <c r="L577" s="13" t="s">
        <v>3160</v>
      </c>
      <c r="M577" s="13" t="s">
        <v>3690</v>
      </c>
      <c r="N577" s="13">
        <v>1.0</v>
      </c>
      <c r="O577" s="13" t="s">
        <v>3162</v>
      </c>
      <c r="P577" s="13" t="s">
        <v>33</v>
      </c>
      <c r="Q577" s="13" t="s">
        <v>3173</v>
      </c>
      <c r="R577" s="13" t="s">
        <v>3163</v>
      </c>
      <c r="S577" s="13" t="s">
        <v>33</v>
      </c>
      <c r="T577" s="13" t="s">
        <v>3232</v>
      </c>
      <c r="U577" s="13" t="s">
        <v>3232</v>
      </c>
      <c r="V577" s="13" t="s">
        <v>3166</v>
      </c>
      <c r="W577" s="13" t="s">
        <v>3167</v>
      </c>
      <c r="X577" s="13" t="s">
        <v>3178</v>
      </c>
    </row>
    <row r="578" ht="14.25" customHeight="1">
      <c r="A578" s="13">
        <v>24710.0</v>
      </c>
      <c r="B578" s="13" t="s">
        <v>1528</v>
      </c>
      <c r="C578" s="13">
        <v>2013.0</v>
      </c>
      <c r="D578" s="13" t="s">
        <v>3153</v>
      </c>
      <c r="E578" s="13" t="s">
        <v>3179</v>
      </c>
      <c r="F578" s="13" t="s">
        <v>3192</v>
      </c>
      <c r="G578" s="13" t="s">
        <v>3156</v>
      </c>
      <c r="H578" s="13" t="s">
        <v>33</v>
      </c>
      <c r="I578" s="13" t="s">
        <v>3533</v>
      </c>
      <c r="J578" s="13" t="s">
        <v>3289</v>
      </c>
      <c r="K578" s="13" t="s">
        <v>3186</v>
      </c>
      <c r="L578" s="13" t="s">
        <v>3160</v>
      </c>
      <c r="M578" s="13" t="s">
        <v>4004</v>
      </c>
      <c r="N578" s="13">
        <v>3.0</v>
      </c>
      <c r="O578" s="13" t="s">
        <v>3162</v>
      </c>
      <c r="P578" s="13" t="s">
        <v>33</v>
      </c>
      <c r="Q578" s="13" t="s">
        <v>3208</v>
      </c>
      <c r="R578" s="13" t="s">
        <v>3163</v>
      </c>
      <c r="S578" s="13" t="s">
        <v>33</v>
      </c>
      <c r="T578" s="13" t="s">
        <v>3164</v>
      </c>
      <c r="U578" s="13" t="s">
        <v>3164</v>
      </c>
      <c r="V578" s="13" t="s">
        <v>3166</v>
      </c>
      <c r="W578" s="13" t="s">
        <v>3167</v>
      </c>
      <c r="X578" s="13" t="s">
        <v>3178</v>
      </c>
    </row>
    <row r="579" ht="14.25" customHeight="1">
      <c r="A579" s="13">
        <v>24713.0</v>
      </c>
      <c r="B579" s="13" t="s">
        <v>1078</v>
      </c>
      <c r="C579" s="13">
        <v>2018.0</v>
      </c>
      <c r="D579" s="13" t="s">
        <v>3153</v>
      </c>
      <c r="E579" s="13" t="s">
        <v>3169</v>
      </c>
      <c r="F579" s="13" t="s">
        <v>3192</v>
      </c>
      <c r="G579" s="13" t="s">
        <v>3187</v>
      </c>
      <c r="H579" s="13">
        <v>1.0</v>
      </c>
      <c r="I579" s="13" t="s">
        <v>3244</v>
      </c>
      <c r="J579" s="13" t="s">
        <v>3278</v>
      </c>
      <c r="K579" s="13" t="s">
        <v>3381</v>
      </c>
      <c r="L579" s="13" t="s">
        <v>3177</v>
      </c>
      <c r="M579" s="13" t="s">
        <v>4005</v>
      </c>
      <c r="N579" s="13">
        <v>4.0</v>
      </c>
      <c r="O579" s="13" t="s">
        <v>3175</v>
      </c>
      <c r="P579" s="13" t="s">
        <v>3236</v>
      </c>
      <c r="Q579" s="13" t="s">
        <v>3338</v>
      </c>
      <c r="R579" s="13" t="s">
        <v>3231</v>
      </c>
      <c r="S579" s="13" t="s">
        <v>33</v>
      </c>
      <c r="T579" s="13" t="s">
        <v>3164</v>
      </c>
      <c r="U579" s="13" t="s">
        <v>3252</v>
      </c>
      <c r="V579" s="13" t="s">
        <v>3253</v>
      </c>
      <c r="W579" s="13" t="s">
        <v>4006</v>
      </c>
      <c r="X579" s="13" t="s">
        <v>3518</v>
      </c>
    </row>
    <row r="580" ht="14.25" customHeight="1">
      <c r="A580" s="13">
        <v>24716.0</v>
      </c>
      <c r="B580" s="13" t="s">
        <v>1663</v>
      </c>
      <c r="C580" s="13">
        <v>2018.0</v>
      </c>
      <c r="D580" s="13" t="s">
        <v>3153</v>
      </c>
      <c r="E580" s="13" t="s">
        <v>3154</v>
      </c>
      <c r="F580" s="13" t="s">
        <v>3170</v>
      </c>
      <c r="G580" s="13" t="s">
        <v>3156</v>
      </c>
      <c r="H580" s="13" t="s">
        <v>33</v>
      </c>
      <c r="I580" s="13" t="s">
        <v>3222</v>
      </c>
      <c r="J580" s="13" t="s">
        <v>3182</v>
      </c>
      <c r="K580" s="13" t="s">
        <v>3159</v>
      </c>
      <c r="L580" s="13" t="s">
        <v>3177</v>
      </c>
      <c r="M580" s="13" t="s">
        <v>3161</v>
      </c>
      <c r="N580" s="13">
        <v>1.0</v>
      </c>
      <c r="O580" s="13" t="s">
        <v>3162</v>
      </c>
      <c r="P580" s="13" t="s">
        <v>33</v>
      </c>
      <c r="Q580" s="13" t="s">
        <v>3159</v>
      </c>
      <c r="R580" s="13" t="s">
        <v>3177</v>
      </c>
      <c r="S580" s="13" t="s">
        <v>33</v>
      </c>
      <c r="T580" s="13" t="s">
        <v>3164</v>
      </c>
      <c r="U580" s="13" t="s">
        <v>3164</v>
      </c>
      <c r="V580" s="13" t="s">
        <v>3166</v>
      </c>
      <c r="W580" s="13" t="s">
        <v>3167</v>
      </c>
      <c r="X580" s="13" t="s">
        <v>3168</v>
      </c>
    </row>
    <row r="581" ht="14.25" customHeight="1">
      <c r="A581" s="13">
        <v>24717.0</v>
      </c>
      <c r="B581" s="13" t="s">
        <v>2408</v>
      </c>
      <c r="C581" s="13">
        <v>2017.0</v>
      </c>
      <c r="D581" s="13" t="s">
        <v>3153</v>
      </c>
      <c r="E581" s="13" t="s">
        <v>3169</v>
      </c>
      <c r="F581" s="13" t="s">
        <v>3192</v>
      </c>
      <c r="G581" s="13" t="s">
        <v>3156</v>
      </c>
      <c r="H581" s="13" t="s">
        <v>33</v>
      </c>
      <c r="I581" s="13" t="s">
        <v>3171</v>
      </c>
      <c r="J581" s="13" t="s">
        <v>3378</v>
      </c>
      <c r="K581" s="13" t="s">
        <v>3183</v>
      </c>
      <c r="L581" s="13" t="s">
        <v>3160</v>
      </c>
      <c r="M581" s="13" t="s">
        <v>4007</v>
      </c>
      <c r="N581" s="13">
        <v>3.0</v>
      </c>
      <c r="O581" s="13" t="s">
        <v>3162</v>
      </c>
      <c r="P581" s="13" t="s">
        <v>4008</v>
      </c>
      <c r="Q581" s="13" t="s">
        <v>3159</v>
      </c>
      <c r="R581" s="13" t="s">
        <v>3163</v>
      </c>
      <c r="S581" s="13" t="s">
        <v>33</v>
      </c>
      <c r="T581" s="13" t="s">
        <v>3164</v>
      </c>
      <c r="U581" s="13" t="s">
        <v>3164</v>
      </c>
      <c r="V581" s="13" t="s">
        <v>3166</v>
      </c>
      <c r="W581" s="13" t="s">
        <v>3167</v>
      </c>
      <c r="X581" s="13" t="s">
        <v>3224</v>
      </c>
    </row>
    <row r="582" ht="14.25" customHeight="1">
      <c r="A582" s="13">
        <v>24718.0</v>
      </c>
      <c r="B582" s="13" t="s">
        <v>1364</v>
      </c>
      <c r="C582" s="13">
        <v>2018.0</v>
      </c>
      <c r="D582" s="13" t="s">
        <v>3153</v>
      </c>
      <c r="E582" s="13" t="s">
        <v>3169</v>
      </c>
      <c r="F582" s="13" t="s">
        <v>3217</v>
      </c>
      <c r="G582" s="13" t="s">
        <v>3156</v>
      </c>
      <c r="H582" s="13" t="s">
        <v>33</v>
      </c>
      <c r="I582" s="13" t="s">
        <v>3167</v>
      </c>
      <c r="J582" s="13" t="s">
        <v>3167</v>
      </c>
      <c r="K582" s="13" t="s">
        <v>3183</v>
      </c>
      <c r="L582" s="13" t="s">
        <v>3160</v>
      </c>
      <c r="M582" s="13" t="s">
        <v>3161</v>
      </c>
      <c r="N582" s="13">
        <v>1.0</v>
      </c>
      <c r="O582" s="13" t="s">
        <v>3162</v>
      </c>
      <c r="P582" s="13" t="s">
        <v>4009</v>
      </c>
      <c r="Q582" s="13" t="s">
        <v>3335</v>
      </c>
      <c r="R582" s="13" t="s">
        <v>3163</v>
      </c>
      <c r="S582" s="13" t="s">
        <v>3323</v>
      </c>
      <c r="T582" s="13" t="s">
        <v>3195</v>
      </c>
      <c r="U582" s="13" t="s">
        <v>3195</v>
      </c>
      <c r="V582" s="13" t="s">
        <v>3195</v>
      </c>
      <c r="W582" s="13" t="s">
        <v>3167</v>
      </c>
      <c r="X582" s="13" t="s">
        <v>3167</v>
      </c>
    </row>
    <row r="583" ht="14.25" customHeight="1">
      <c r="A583" s="13">
        <v>24720.0</v>
      </c>
      <c r="B583" s="13" t="s">
        <v>270</v>
      </c>
      <c r="C583" s="13">
        <v>2012.0</v>
      </c>
      <c r="D583" s="13" t="s">
        <v>3153</v>
      </c>
      <c r="E583" s="13" t="s">
        <v>3169</v>
      </c>
      <c r="F583" s="13" t="s">
        <v>3192</v>
      </c>
      <c r="G583" s="13" t="s">
        <v>3187</v>
      </c>
      <c r="H583" s="13">
        <v>1.0</v>
      </c>
      <c r="I583" s="13" t="s">
        <v>3157</v>
      </c>
      <c r="J583" s="13" t="s">
        <v>3199</v>
      </c>
      <c r="K583" s="13" t="s">
        <v>3381</v>
      </c>
      <c r="L583" s="13" t="s">
        <v>3160</v>
      </c>
      <c r="M583" s="13" t="s">
        <v>3391</v>
      </c>
      <c r="N583" s="13">
        <v>1.0</v>
      </c>
      <c r="O583" s="13" t="s">
        <v>3162</v>
      </c>
      <c r="P583" s="13" t="s">
        <v>4010</v>
      </c>
      <c r="Q583" s="13" t="s">
        <v>3381</v>
      </c>
      <c r="R583" s="13" t="s">
        <v>3231</v>
      </c>
      <c r="S583" s="13" t="s">
        <v>33</v>
      </c>
      <c r="T583" s="13" t="s">
        <v>3197</v>
      </c>
      <c r="U583" s="13" t="s">
        <v>3197</v>
      </c>
      <c r="V583" s="13" t="s">
        <v>3166</v>
      </c>
      <c r="W583" s="13" t="s">
        <v>3167</v>
      </c>
      <c r="X583" s="13" t="s">
        <v>3518</v>
      </c>
    </row>
    <row r="584" ht="14.25" customHeight="1">
      <c r="A584" s="13">
        <v>24723.0</v>
      </c>
      <c r="B584" s="13" t="s">
        <v>4011</v>
      </c>
      <c r="C584" s="13">
        <v>2005.0</v>
      </c>
      <c r="D584" s="13" t="s">
        <v>3153</v>
      </c>
      <c r="E584" s="13" t="s">
        <v>3169</v>
      </c>
      <c r="F584" s="13" t="s">
        <v>3211</v>
      </c>
      <c r="G584" s="13" t="s">
        <v>33</v>
      </c>
      <c r="H584" s="13" t="s">
        <v>33</v>
      </c>
      <c r="I584" s="13" t="s">
        <v>3171</v>
      </c>
      <c r="J584" s="13" t="s">
        <v>4012</v>
      </c>
      <c r="K584" s="13" t="s">
        <v>3208</v>
      </c>
      <c r="L584" s="13" t="s">
        <v>3160</v>
      </c>
      <c r="M584" s="13" t="s">
        <v>3484</v>
      </c>
      <c r="N584" s="13">
        <v>1.0</v>
      </c>
      <c r="O584" s="13" t="s">
        <v>3267</v>
      </c>
      <c r="P584" s="13" t="s">
        <v>33</v>
      </c>
      <c r="Q584" s="13" t="s">
        <v>3273</v>
      </c>
      <c r="R584" s="13" t="s">
        <v>3163</v>
      </c>
      <c r="S584" s="13" t="s">
        <v>33</v>
      </c>
      <c r="T584" s="13" t="s">
        <v>3247</v>
      </c>
      <c r="U584" s="13" t="s">
        <v>3247</v>
      </c>
      <c r="V584" s="13" t="s">
        <v>3242</v>
      </c>
      <c r="W584" s="13" t="s">
        <v>4013</v>
      </c>
      <c r="X584" s="13" t="s">
        <v>3167</v>
      </c>
    </row>
    <row r="585" ht="14.25" customHeight="1">
      <c r="A585" s="13">
        <v>24728.0</v>
      </c>
      <c r="B585" s="13" t="s">
        <v>1842</v>
      </c>
      <c r="C585" s="13">
        <v>2017.0</v>
      </c>
      <c r="D585" s="13" t="s">
        <v>3153</v>
      </c>
      <c r="E585" s="13" t="s">
        <v>3179</v>
      </c>
      <c r="F585" s="13" t="s">
        <v>3217</v>
      </c>
      <c r="G585" s="13" t="s">
        <v>33</v>
      </c>
      <c r="H585" s="13" t="s">
        <v>33</v>
      </c>
      <c r="I585" s="13" t="s">
        <v>3167</v>
      </c>
      <c r="J585" s="13" t="s">
        <v>3167</v>
      </c>
      <c r="K585" s="13" t="s">
        <v>3381</v>
      </c>
      <c r="L585" s="13" t="s">
        <v>3160</v>
      </c>
      <c r="M585" s="13" t="s">
        <v>3246</v>
      </c>
      <c r="N585" s="13">
        <v>1.0</v>
      </c>
      <c r="O585" s="13" t="s">
        <v>3162</v>
      </c>
      <c r="P585" s="13" t="s">
        <v>33</v>
      </c>
      <c r="Q585" s="13" t="s">
        <v>3183</v>
      </c>
      <c r="R585" s="13" t="s">
        <v>3177</v>
      </c>
      <c r="S585" s="13" t="s">
        <v>33</v>
      </c>
      <c r="T585" s="13" t="s">
        <v>3232</v>
      </c>
      <c r="U585" s="13" t="s">
        <v>3247</v>
      </c>
      <c r="V585" s="13" t="s">
        <v>3166</v>
      </c>
      <c r="W585" s="13" t="s">
        <v>3167</v>
      </c>
      <c r="X585" s="13" t="s">
        <v>4014</v>
      </c>
    </row>
    <row r="586" ht="14.25" customHeight="1">
      <c r="A586" s="13">
        <v>24730.0</v>
      </c>
      <c r="B586" s="13" t="s">
        <v>2926</v>
      </c>
      <c r="C586" s="13">
        <v>2017.0</v>
      </c>
      <c r="D586" s="13" t="s">
        <v>3153</v>
      </c>
      <c r="E586" s="13" t="s">
        <v>3179</v>
      </c>
      <c r="F586" s="13" t="s">
        <v>3155</v>
      </c>
      <c r="G586" s="13" t="s">
        <v>3180</v>
      </c>
      <c r="H586" s="13">
        <v>0.01</v>
      </c>
      <c r="I586" s="13" t="s">
        <v>4015</v>
      </c>
      <c r="J586" s="13" t="s">
        <v>3204</v>
      </c>
      <c r="K586" s="13" t="s">
        <v>3183</v>
      </c>
      <c r="L586" s="13" t="s">
        <v>3177</v>
      </c>
      <c r="M586" s="13" t="s">
        <v>3342</v>
      </c>
      <c r="N586" s="13">
        <v>1.0</v>
      </c>
      <c r="O586" s="13" t="s">
        <v>3162</v>
      </c>
      <c r="P586" s="13" t="s">
        <v>3689</v>
      </c>
      <c r="Q586" s="13" t="s">
        <v>3173</v>
      </c>
      <c r="R586" s="13" t="s">
        <v>3260</v>
      </c>
      <c r="S586" s="13" t="s">
        <v>33</v>
      </c>
      <c r="T586" s="13" t="s">
        <v>3232</v>
      </c>
      <c r="U586" s="13" t="s">
        <v>3247</v>
      </c>
      <c r="V586" s="13" t="s">
        <v>3166</v>
      </c>
      <c r="W586" s="13" t="s">
        <v>3167</v>
      </c>
      <c r="X586" s="13" t="s">
        <v>3597</v>
      </c>
    </row>
    <row r="587" ht="14.25" customHeight="1">
      <c r="A587" s="13">
        <v>24736.0</v>
      </c>
      <c r="B587" s="13" t="s">
        <v>1699</v>
      </c>
      <c r="C587" s="13">
        <v>2013.0</v>
      </c>
      <c r="D587" s="13" t="s">
        <v>3153</v>
      </c>
      <c r="E587" s="13" t="s">
        <v>3169</v>
      </c>
      <c r="F587" s="13" t="s">
        <v>3192</v>
      </c>
      <c r="G587" s="13" t="s">
        <v>3156</v>
      </c>
      <c r="H587" s="13" t="s">
        <v>33</v>
      </c>
      <c r="I587" s="13" t="s">
        <v>3222</v>
      </c>
      <c r="J587" s="13" t="s">
        <v>3182</v>
      </c>
      <c r="K587" s="13" t="s">
        <v>3208</v>
      </c>
      <c r="L587" s="13" t="s">
        <v>3160</v>
      </c>
      <c r="M587" s="13" t="s">
        <v>4016</v>
      </c>
      <c r="N587" s="13">
        <v>4.0</v>
      </c>
      <c r="O587" s="13" t="s">
        <v>3162</v>
      </c>
      <c r="P587" s="13" t="s">
        <v>33</v>
      </c>
      <c r="Q587" s="13" t="s">
        <v>3208</v>
      </c>
      <c r="R587" s="13" t="s">
        <v>3163</v>
      </c>
      <c r="S587" s="13" t="s">
        <v>33</v>
      </c>
      <c r="T587" s="13" t="s">
        <v>3164</v>
      </c>
      <c r="U587" s="13" t="s">
        <v>3164</v>
      </c>
      <c r="V587" s="13" t="s">
        <v>3242</v>
      </c>
      <c r="W587" s="13" t="s">
        <v>3433</v>
      </c>
      <c r="X587" s="13" t="s">
        <v>3167</v>
      </c>
    </row>
    <row r="588" ht="14.25" customHeight="1">
      <c r="A588" s="13">
        <v>24739.0</v>
      </c>
      <c r="B588" s="13" t="s">
        <v>600</v>
      </c>
      <c r="C588" s="13">
        <v>2015.0</v>
      </c>
      <c r="D588" s="13" t="s">
        <v>3153</v>
      </c>
      <c r="E588" s="13" t="s">
        <v>3179</v>
      </c>
      <c r="F588" s="13" t="s">
        <v>3211</v>
      </c>
      <c r="G588" s="13" t="s">
        <v>3156</v>
      </c>
      <c r="H588" s="13" t="s">
        <v>33</v>
      </c>
      <c r="I588" s="13" t="s">
        <v>3392</v>
      </c>
      <c r="J588" s="13" t="s">
        <v>4017</v>
      </c>
      <c r="K588" s="13" t="s">
        <v>3173</v>
      </c>
      <c r="L588" s="13" t="s">
        <v>3160</v>
      </c>
      <c r="M588" s="13" t="s">
        <v>3342</v>
      </c>
      <c r="N588" s="13">
        <v>1.0</v>
      </c>
      <c r="O588" s="13" t="s">
        <v>3162</v>
      </c>
      <c r="P588" s="13" t="s">
        <v>33</v>
      </c>
      <c r="Q588" s="13" t="s">
        <v>3159</v>
      </c>
      <c r="R588" s="13" t="s">
        <v>3163</v>
      </c>
      <c r="S588" s="13" t="s">
        <v>33</v>
      </c>
      <c r="T588" s="13" t="s">
        <v>3247</v>
      </c>
      <c r="U588" s="13" t="s">
        <v>3247</v>
      </c>
      <c r="V588" s="13" t="s">
        <v>3166</v>
      </c>
      <c r="W588" s="13" t="s">
        <v>3167</v>
      </c>
      <c r="X588" s="13" t="s">
        <v>3255</v>
      </c>
    </row>
    <row r="589" ht="14.25" customHeight="1">
      <c r="A589" s="13">
        <v>24740.0</v>
      </c>
      <c r="B589" s="13" t="s">
        <v>1098</v>
      </c>
      <c r="C589" s="13">
        <v>2017.0</v>
      </c>
      <c r="D589" s="13" t="s">
        <v>3153</v>
      </c>
      <c r="E589" s="13" t="s">
        <v>3179</v>
      </c>
      <c r="F589" s="13" t="s">
        <v>3155</v>
      </c>
      <c r="G589" s="13" t="s">
        <v>3156</v>
      </c>
      <c r="H589" s="13" t="s">
        <v>33</v>
      </c>
      <c r="I589" s="13" t="s">
        <v>3392</v>
      </c>
      <c r="J589" s="13" t="s">
        <v>4018</v>
      </c>
      <c r="K589" s="13" t="s">
        <v>3173</v>
      </c>
      <c r="L589" s="13" t="s">
        <v>3160</v>
      </c>
      <c r="M589" s="13" t="s">
        <v>3342</v>
      </c>
      <c r="N589" s="13">
        <v>1.0</v>
      </c>
      <c r="O589" s="13" t="s">
        <v>3162</v>
      </c>
      <c r="P589" s="13" t="s">
        <v>33</v>
      </c>
      <c r="Q589" s="13" t="s">
        <v>3159</v>
      </c>
      <c r="R589" s="13" t="s">
        <v>3163</v>
      </c>
      <c r="S589" s="13" t="s">
        <v>33</v>
      </c>
      <c r="T589" s="13" t="s">
        <v>3197</v>
      </c>
      <c r="U589" s="13" t="s">
        <v>3197</v>
      </c>
      <c r="V589" s="13" t="s">
        <v>3166</v>
      </c>
      <c r="W589" s="13" t="s">
        <v>3167</v>
      </c>
      <c r="X589" s="13" t="s">
        <v>4003</v>
      </c>
    </row>
    <row r="590" ht="14.25" customHeight="1">
      <c r="A590" s="13">
        <v>24738.0</v>
      </c>
      <c r="B590" s="13" t="s">
        <v>550</v>
      </c>
      <c r="C590" s="13">
        <v>2011.0</v>
      </c>
      <c r="D590" s="13" t="s">
        <v>3153</v>
      </c>
      <c r="E590" s="13" t="s">
        <v>3179</v>
      </c>
      <c r="F590" s="13" t="s">
        <v>3211</v>
      </c>
      <c r="G590" s="13" t="s">
        <v>3156</v>
      </c>
      <c r="H590" s="13" t="s">
        <v>33</v>
      </c>
      <c r="I590" s="13" t="s">
        <v>3392</v>
      </c>
      <c r="J590" s="13" t="s">
        <v>4019</v>
      </c>
      <c r="K590" s="13" t="s">
        <v>3186</v>
      </c>
      <c r="L590" s="13" t="s">
        <v>3177</v>
      </c>
      <c r="M590" s="13" t="s">
        <v>3241</v>
      </c>
      <c r="N590" s="13">
        <v>1.0</v>
      </c>
      <c r="O590" s="13" t="s">
        <v>3162</v>
      </c>
      <c r="P590" s="13" t="s">
        <v>33</v>
      </c>
      <c r="Q590" s="13" t="s">
        <v>3159</v>
      </c>
      <c r="R590" s="13" t="s">
        <v>3177</v>
      </c>
      <c r="S590" s="13" t="s">
        <v>33</v>
      </c>
      <c r="T590" s="13" t="s">
        <v>3197</v>
      </c>
      <c r="U590" s="13" t="s">
        <v>3247</v>
      </c>
      <c r="V590" s="13" t="s">
        <v>3166</v>
      </c>
      <c r="W590" s="13" t="s">
        <v>3167</v>
      </c>
      <c r="X590" s="13" t="s">
        <v>4003</v>
      </c>
    </row>
    <row r="591" ht="14.25" customHeight="1">
      <c r="A591" s="13">
        <v>24742.0</v>
      </c>
      <c r="B591" s="13" t="s">
        <v>4020</v>
      </c>
      <c r="C591" s="13">
        <v>2009.0</v>
      </c>
      <c r="D591" s="13" t="s">
        <v>3153</v>
      </c>
      <c r="E591" s="13" t="s">
        <v>3179</v>
      </c>
      <c r="F591" s="13" t="s">
        <v>3192</v>
      </c>
      <c r="G591" s="13" t="s">
        <v>3156</v>
      </c>
      <c r="H591" s="13" t="s">
        <v>33</v>
      </c>
      <c r="I591" s="13" t="s">
        <v>3261</v>
      </c>
      <c r="J591" s="13" t="s">
        <v>3182</v>
      </c>
      <c r="K591" s="13" t="s">
        <v>3287</v>
      </c>
      <c r="L591" s="13" t="s">
        <v>3160</v>
      </c>
      <c r="M591" s="13" t="s">
        <v>3342</v>
      </c>
      <c r="N591" s="13">
        <v>1.0</v>
      </c>
      <c r="O591" s="13" t="s">
        <v>3162</v>
      </c>
      <c r="P591" s="13" t="s">
        <v>33</v>
      </c>
      <c r="Q591" s="13" t="s">
        <v>3287</v>
      </c>
      <c r="R591" s="13" t="s">
        <v>3163</v>
      </c>
      <c r="S591" s="13" t="s">
        <v>33</v>
      </c>
      <c r="T591" s="13" t="s">
        <v>3164</v>
      </c>
      <c r="U591" s="13" t="s">
        <v>3165</v>
      </c>
      <c r="V591" s="13" t="s">
        <v>3166</v>
      </c>
      <c r="W591" s="13" t="s">
        <v>3167</v>
      </c>
      <c r="X591" s="13" t="s">
        <v>3216</v>
      </c>
    </row>
    <row r="592" ht="14.25" customHeight="1">
      <c r="A592" s="13">
        <v>24741.0</v>
      </c>
      <c r="B592" s="13" t="s">
        <v>3027</v>
      </c>
      <c r="C592" s="13">
        <v>2009.0</v>
      </c>
      <c r="D592" s="13" t="s">
        <v>3153</v>
      </c>
      <c r="E592" s="13" t="s">
        <v>3179</v>
      </c>
      <c r="F592" s="13" t="s">
        <v>3192</v>
      </c>
      <c r="G592" s="13" t="s">
        <v>3156</v>
      </c>
      <c r="H592" s="13" t="s">
        <v>33</v>
      </c>
      <c r="I592" s="13" t="s">
        <v>3261</v>
      </c>
      <c r="J592" s="13" t="s">
        <v>3182</v>
      </c>
      <c r="K592" s="13" t="s">
        <v>3287</v>
      </c>
      <c r="L592" s="13" t="s">
        <v>3160</v>
      </c>
      <c r="M592" s="13" t="s">
        <v>3342</v>
      </c>
      <c r="N592" s="13">
        <v>1.0</v>
      </c>
      <c r="O592" s="13" t="s">
        <v>3162</v>
      </c>
      <c r="P592" s="13" t="s">
        <v>33</v>
      </c>
      <c r="Q592" s="13" t="s">
        <v>3287</v>
      </c>
      <c r="R592" s="13" t="s">
        <v>3163</v>
      </c>
      <c r="S592" s="13" t="s">
        <v>33</v>
      </c>
      <c r="T592" s="13" t="s">
        <v>3164</v>
      </c>
      <c r="U592" s="13" t="s">
        <v>3165</v>
      </c>
      <c r="V592" s="13" t="s">
        <v>3166</v>
      </c>
      <c r="W592" s="13" t="s">
        <v>3167</v>
      </c>
      <c r="X592" s="13" t="s">
        <v>3216</v>
      </c>
    </row>
    <row r="593" ht="14.25" customHeight="1">
      <c r="A593" s="13">
        <v>24743.0</v>
      </c>
      <c r="B593" s="13" t="s">
        <v>1066</v>
      </c>
      <c r="C593" s="13">
        <v>2015.0</v>
      </c>
      <c r="D593" s="13" t="s">
        <v>3153</v>
      </c>
      <c r="E593" s="13" t="s">
        <v>3169</v>
      </c>
      <c r="F593" s="13" t="s">
        <v>3192</v>
      </c>
      <c r="G593" s="13" t="s">
        <v>3156</v>
      </c>
      <c r="H593" s="13" t="s">
        <v>33</v>
      </c>
      <c r="I593" s="13" t="s">
        <v>3222</v>
      </c>
      <c r="J593" s="13" t="s">
        <v>3182</v>
      </c>
      <c r="K593" s="13" t="s">
        <v>3159</v>
      </c>
      <c r="L593" s="13" t="s">
        <v>3160</v>
      </c>
      <c r="M593" s="13" t="s">
        <v>3230</v>
      </c>
      <c r="N593" s="13">
        <v>1.0</v>
      </c>
      <c r="O593" s="13" t="s">
        <v>3162</v>
      </c>
      <c r="P593" s="13" t="s">
        <v>33</v>
      </c>
      <c r="Q593" s="13" t="s">
        <v>3159</v>
      </c>
      <c r="R593" s="13" t="s">
        <v>3163</v>
      </c>
      <c r="S593" s="13" t="s">
        <v>33</v>
      </c>
      <c r="T593" s="13" t="s">
        <v>3164</v>
      </c>
      <c r="U593" s="13" t="s">
        <v>3164</v>
      </c>
      <c r="V593" s="13" t="s">
        <v>3166</v>
      </c>
      <c r="W593" s="13" t="s">
        <v>3167</v>
      </c>
      <c r="X593" s="13" t="s">
        <v>3178</v>
      </c>
    </row>
    <row r="594" ht="14.25" customHeight="1">
      <c r="A594" s="13">
        <v>24745.0</v>
      </c>
      <c r="B594" s="13" t="s">
        <v>168</v>
      </c>
      <c r="C594" s="13">
        <v>2017.0</v>
      </c>
      <c r="D594" s="13" t="s">
        <v>3153</v>
      </c>
      <c r="E594" s="13" t="s">
        <v>3169</v>
      </c>
      <c r="F594" s="13" t="s">
        <v>3192</v>
      </c>
      <c r="G594" s="13" t="s">
        <v>3156</v>
      </c>
      <c r="H594" s="13" t="s">
        <v>33</v>
      </c>
      <c r="I594" s="13" t="s">
        <v>3222</v>
      </c>
      <c r="J594" s="13" t="s">
        <v>3182</v>
      </c>
      <c r="K594" s="13" t="s">
        <v>3186</v>
      </c>
      <c r="L594" s="13" t="s">
        <v>3177</v>
      </c>
      <c r="M594" s="13" t="s">
        <v>3213</v>
      </c>
      <c r="N594" s="13">
        <v>1.0</v>
      </c>
      <c r="O594" s="13" t="s">
        <v>3162</v>
      </c>
      <c r="P594" s="13" t="s">
        <v>33</v>
      </c>
      <c r="Q594" s="13" t="s">
        <v>3183</v>
      </c>
      <c r="R594" s="13" t="s">
        <v>3163</v>
      </c>
      <c r="S594" s="13" t="s">
        <v>33</v>
      </c>
      <c r="T594" s="13" t="s">
        <v>3164</v>
      </c>
      <c r="U594" s="13" t="s">
        <v>3164</v>
      </c>
      <c r="V594" s="13" t="s">
        <v>3242</v>
      </c>
      <c r="W594" s="13" t="s">
        <v>3433</v>
      </c>
      <c r="X594" s="13" t="s">
        <v>3167</v>
      </c>
    </row>
    <row r="595" ht="14.25" customHeight="1">
      <c r="A595" s="13">
        <v>24747.0</v>
      </c>
      <c r="B595" s="13" t="s">
        <v>380</v>
      </c>
      <c r="C595" s="13">
        <v>2019.0</v>
      </c>
      <c r="D595" s="13" t="s">
        <v>3153</v>
      </c>
      <c r="E595" s="13" t="s">
        <v>3465</v>
      </c>
      <c r="F595" s="13" t="s">
        <v>3155</v>
      </c>
      <c r="G595" s="13" t="s">
        <v>3187</v>
      </c>
      <c r="H595" s="13">
        <v>100.0</v>
      </c>
      <c r="I595" s="13" t="s">
        <v>3222</v>
      </c>
      <c r="J595" s="13" t="s">
        <v>3229</v>
      </c>
      <c r="K595" s="13" t="s">
        <v>3183</v>
      </c>
      <c r="L595" s="13" t="s">
        <v>3177</v>
      </c>
      <c r="M595" s="13" t="s">
        <v>4021</v>
      </c>
      <c r="N595" s="13">
        <v>6.0</v>
      </c>
      <c r="O595" s="13" t="s">
        <v>3175</v>
      </c>
      <c r="P595" s="13" t="s">
        <v>3689</v>
      </c>
      <c r="Q595" s="13" t="s">
        <v>3183</v>
      </c>
      <c r="R595" s="13" t="s">
        <v>3177</v>
      </c>
      <c r="S595" s="13" t="s">
        <v>4022</v>
      </c>
      <c r="T595" s="13" t="s">
        <v>3252</v>
      </c>
      <c r="U595" s="13" t="s">
        <v>3252</v>
      </c>
      <c r="V595" s="13" t="s">
        <v>3253</v>
      </c>
      <c r="W595" s="13" t="s">
        <v>3979</v>
      </c>
      <c r="X595" s="13" t="s">
        <v>4023</v>
      </c>
    </row>
    <row r="596" ht="14.25" customHeight="1">
      <c r="A596" s="13">
        <v>24748.0</v>
      </c>
      <c r="B596" s="13" t="s">
        <v>2819</v>
      </c>
      <c r="C596" s="13">
        <v>2008.0</v>
      </c>
      <c r="D596" s="13" t="s">
        <v>3153</v>
      </c>
      <c r="E596" s="13" t="s">
        <v>3169</v>
      </c>
      <c r="F596" s="13" t="s">
        <v>3217</v>
      </c>
      <c r="G596" s="13" t="s">
        <v>3156</v>
      </c>
      <c r="H596" s="13" t="s">
        <v>33</v>
      </c>
      <c r="I596" s="13" t="s">
        <v>3167</v>
      </c>
      <c r="J596" s="13" t="s">
        <v>3167</v>
      </c>
      <c r="K596" s="13" t="s">
        <v>3183</v>
      </c>
      <c r="L596" s="13" t="s">
        <v>3177</v>
      </c>
      <c r="M596" s="13" t="s">
        <v>3480</v>
      </c>
      <c r="N596" s="13">
        <v>1.0</v>
      </c>
      <c r="O596" s="13" t="s">
        <v>3162</v>
      </c>
      <c r="P596" s="13" t="s">
        <v>33</v>
      </c>
      <c r="Q596" s="13" t="s">
        <v>3205</v>
      </c>
      <c r="R596" s="13" t="s">
        <v>3163</v>
      </c>
      <c r="S596" s="13" t="s">
        <v>33</v>
      </c>
      <c r="T596" s="13" t="s">
        <v>3195</v>
      </c>
      <c r="U596" s="13" t="s">
        <v>3195</v>
      </c>
      <c r="V596" s="13" t="s">
        <v>3195</v>
      </c>
      <c r="W596" s="13" t="s">
        <v>3167</v>
      </c>
      <c r="X596" s="13" t="s">
        <v>3167</v>
      </c>
    </row>
    <row r="597" ht="14.25" customHeight="1">
      <c r="A597" s="13">
        <v>24750.0</v>
      </c>
      <c r="B597" s="13" t="s">
        <v>2570</v>
      </c>
      <c r="C597" s="13">
        <v>2016.0</v>
      </c>
      <c r="D597" s="13" t="s">
        <v>3153</v>
      </c>
      <c r="E597" s="13" t="s">
        <v>3169</v>
      </c>
      <c r="F597" s="13" t="s">
        <v>3192</v>
      </c>
      <c r="G597" s="13" t="s">
        <v>3202</v>
      </c>
      <c r="H597" s="13">
        <v>250.0</v>
      </c>
      <c r="I597" s="13" t="s">
        <v>3222</v>
      </c>
      <c r="J597" s="13" t="s">
        <v>3182</v>
      </c>
      <c r="K597" s="13" t="s">
        <v>3381</v>
      </c>
      <c r="L597" s="13" t="s">
        <v>3177</v>
      </c>
      <c r="M597" s="13" t="s">
        <v>3230</v>
      </c>
      <c r="N597" s="13">
        <v>1.0</v>
      </c>
      <c r="O597" s="13" t="s">
        <v>3175</v>
      </c>
      <c r="P597" s="13" t="s">
        <v>33</v>
      </c>
      <c r="Q597" s="13" t="s">
        <v>3183</v>
      </c>
      <c r="R597" s="13" t="s">
        <v>3163</v>
      </c>
      <c r="S597" s="13" t="s">
        <v>33</v>
      </c>
      <c r="T597" s="13" t="s">
        <v>3164</v>
      </c>
      <c r="U597" s="13" t="s">
        <v>3164</v>
      </c>
      <c r="V597" s="13" t="s">
        <v>3166</v>
      </c>
      <c r="W597" s="13" t="s">
        <v>3167</v>
      </c>
      <c r="X597" s="13" t="s">
        <v>3178</v>
      </c>
    </row>
    <row r="598" ht="14.25" customHeight="1">
      <c r="A598" s="13">
        <v>24752.0</v>
      </c>
      <c r="B598" s="13" t="s">
        <v>3021</v>
      </c>
      <c r="C598" s="13">
        <v>2013.0</v>
      </c>
      <c r="D598" s="13" t="s">
        <v>3153</v>
      </c>
      <c r="E598" s="13" t="s">
        <v>3179</v>
      </c>
      <c r="F598" s="13" t="s">
        <v>3170</v>
      </c>
      <c r="G598" s="13" t="s">
        <v>33</v>
      </c>
      <c r="H598" s="13" t="s">
        <v>33</v>
      </c>
      <c r="I598" s="13" t="s">
        <v>3181</v>
      </c>
      <c r="J598" s="13" t="s">
        <v>3182</v>
      </c>
      <c r="K598" s="13" t="s">
        <v>3186</v>
      </c>
      <c r="L598" s="13" t="s">
        <v>3177</v>
      </c>
      <c r="M598" s="13" t="s">
        <v>4024</v>
      </c>
      <c r="N598" s="13">
        <v>3.0</v>
      </c>
      <c r="O598" s="13" t="s">
        <v>3175</v>
      </c>
      <c r="P598" s="13" t="s">
        <v>33</v>
      </c>
      <c r="Q598" s="13" t="s">
        <v>3201</v>
      </c>
      <c r="R598" s="13" t="s">
        <v>3177</v>
      </c>
      <c r="S598" s="13" t="s">
        <v>33</v>
      </c>
      <c r="T598" s="13" t="s">
        <v>3232</v>
      </c>
      <c r="U598" s="13" t="s">
        <v>3232</v>
      </c>
      <c r="V598" s="13" t="s">
        <v>3166</v>
      </c>
      <c r="W598" s="13" t="s">
        <v>3167</v>
      </c>
      <c r="X598" s="13" t="s">
        <v>3224</v>
      </c>
    </row>
    <row r="599" ht="14.25" customHeight="1">
      <c r="A599" s="13">
        <v>24754.0</v>
      </c>
      <c r="B599" s="13" t="s">
        <v>1780</v>
      </c>
      <c r="C599" s="13">
        <v>2016.0</v>
      </c>
      <c r="D599" s="13" t="s">
        <v>3153</v>
      </c>
      <c r="E599" s="13" t="s">
        <v>3154</v>
      </c>
      <c r="F599" s="13" t="s">
        <v>3217</v>
      </c>
      <c r="G599" s="13" t="s">
        <v>3187</v>
      </c>
      <c r="H599" s="13">
        <v>100.0</v>
      </c>
      <c r="I599" s="13" t="s">
        <v>3167</v>
      </c>
      <c r="J599" s="13" t="s">
        <v>3167</v>
      </c>
      <c r="K599" s="13" t="s">
        <v>3183</v>
      </c>
      <c r="L599" s="13" t="s">
        <v>3177</v>
      </c>
      <c r="M599" s="13" t="s">
        <v>3342</v>
      </c>
      <c r="N599" s="13">
        <v>1.0</v>
      </c>
      <c r="O599" s="13" t="s">
        <v>3162</v>
      </c>
      <c r="P599" s="13" t="s">
        <v>3475</v>
      </c>
      <c r="Q599" s="13" t="s">
        <v>3183</v>
      </c>
      <c r="R599" s="13" t="s">
        <v>3177</v>
      </c>
      <c r="S599" s="13" t="s">
        <v>33</v>
      </c>
      <c r="T599" s="13" t="s">
        <v>3197</v>
      </c>
      <c r="U599" s="13" t="s">
        <v>3197</v>
      </c>
      <c r="V599" s="13" t="s">
        <v>3166</v>
      </c>
      <c r="W599" s="13" t="s">
        <v>3167</v>
      </c>
      <c r="X599" s="13" t="s">
        <v>3255</v>
      </c>
    </row>
    <row r="600" ht="14.25" customHeight="1">
      <c r="A600" s="13">
        <v>24761.0</v>
      </c>
      <c r="B600" s="13" t="s">
        <v>1474</v>
      </c>
      <c r="C600" s="13">
        <v>2012.0</v>
      </c>
      <c r="D600" s="13" t="s">
        <v>3153</v>
      </c>
      <c r="E600" s="13" t="s">
        <v>3169</v>
      </c>
      <c r="F600" s="13" t="s">
        <v>3170</v>
      </c>
      <c r="G600" s="13" t="s">
        <v>3187</v>
      </c>
      <c r="H600" s="13">
        <v>0.25</v>
      </c>
      <c r="I600" s="13" t="s">
        <v>3203</v>
      </c>
      <c r="J600" s="13" t="s">
        <v>3204</v>
      </c>
      <c r="K600" s="13" t="s">
        <v>3159</v>
      </c>
      <c r="L600" s="13" t="s">
        <v>3177</v>
      </c>
      <c r="M600" s="13" t="s">
        <v>4025</v>
      </c>
      <c r="N600" s="13">
        <v>3.0</v>
      </c>
      <c r="O600" s="13" t="s">
        <v>3162</v>
      </c>
      <c r="P600" s="13" t="s">
        <v>33</v>
      </c>
      <c r="Q600" s="13" t="s">
        <v>3159</v>
      </c>
      <c r="R600" s="13" t="s">
        <v>3177</v>
      </c>
      <c r="S600" s="13" t="s">
        <v>33</v>
      </c>
      <c r="T600" s="13" t="s">
        <v>3164</v>
      </c>
      <c r="U600" s="13" t="s">
        <v>3232</v>
      </c>
      <c r="V600" s="13" t="s">
        <v>3166</v>
      </c>
      <c r="W600" s="13" t="s">
        <v>3167</v>
      </c>
      <c r="X600" s="13" t="s">
        <v>3224</v>
      </c>
    </row>
    <row r="601" ht="14.25" customHeight="1">
      <c r="A601" s="13">
        <v>24765.0</v>
      </c>
      <c r="B601" s="13" t="s">
        <v>1102</v>
      </c>
      <c r="C601" s="13">
        <v>2011.0</v>
      </c>
      <c r="D601" s="13" t="s">
        <v>3153</v>
      </c>
      <c r="E601" s="13" t="s">
        <v>3169</v>
      </c>
      <c r="F601" s="13" t="s">
        <v>3170</v>
      </c>
      <c r="G601" s="13" t="s">
        <v>3202</v>
      </c>
      <c r="H601" s="13">
        <v>250.0</v>
      </c>
      <c r="I601" s="13" t="s">
        <v>3222</v>
      </c>
      <c r="J601" s="13" t="s">
        <v>3182</v>
      </c>
      <c r="K601" s="13" t="s">
        <v>3183</v>
      </c>
      <c r="L601" s="13" t="s">
        <v>3160</v>
      </c>
      <c r="M601" s="13" t="s">
        <v>3690</v>
      </c>
      <c r="N601" s="13">
        <v>1.0</v>
      </c>
      <c r="O601" s="13" t="s">
        <v>3162</v>
      </c>
      <c r="P601" s="13" t="s">
        <v>4026</v>
      </c>
      <c r="Q601" s="13" t="s">
        <v>3173</v>
      </c>
      <c r="R601" s="13" t="s">
        <v>3163</v>
      </c>
      <c r="S601" s="13" t="s">
        <v>33</v>
      </c>
      <c r="T601" s="13" t="s">
        <v>3164</v>
      </c>
      <c r="U601" s="13" t="s">
        <v>3164</v>
      </c>
      <c r="V601" s="13" t="s">
        <v>3242</v>
      </c>
      <c r="W601" s="13" t="s">
        <v>3377</v>
      </c>
      <c r="X601" s="13" t="s">
        <v>3167</v>
      </c>
    </row>
    <row r="602" ht="14.25" customHeight="1">
      <c r="A602" s="13">
        <v>24766.0</v>
      </c>
      <c r="B602" s="13" t="s">
        <v>1660</v>
      </c>
      <c r="C602" s="13">
        <v>2019.0</v>
      </c>
      <c r="D602" s="13" t="s">
        <v>3153</v>
      </c>
      <c r="E602" s="13" t="s">
        <v>3465</v>
      </c>
      <c r="F602" s="13" t="s">
        <v>3192</v>
      </c>
      <c r="G602" s="13" t="s">
        <v>3202</v>
      </c>
      <c r="H602" s="13">
        <v>30.0</v>
      </c>
      <c r="I602" s="13" t="s">
        <v>3188</v>
      </c>
      <c r="J602" s="13" t="s">
        <v>3286</v>
      </c>
      <c r="K602" s="13" t="s">
        <v>3290</v>
      </c>
      <c r="L602" s="13" t="s">
        <v>3177</v>
      </c>
      <c r="M602" s="13" t="s">
        <v>4027</v>
      </c>
      <c r="N602" s="13">
        <v>8.0</v>
      </c>
      <c r="O602" s="13" t="s">
        <v>3162</v>
      </c>
      <c r="P602" s="13" t="s">
        <v>4028</v>
      </c>
      <c r="Q602" s="13" t="s">
        <v>4029</v>
      </c>
      <c r="R602" s="13" t="s">
        <v>3260</v>
      </c>
      <c r="S602" s="13" t="s">
        <v>33</v>
      </c>
      <c r="T602" s="13" t="s">
        <v>3197</v>
      </c>
      <c r="U602" s="13" t="s">
        <v>3197</v>
      </c>
      <c r="V602" s="13" t="s">
        <v>3166</v>
      </c>
      <c r="W602" s="13" t="s">
        <v>3167</v>
      </c>
      <c r="X602" s="13" t="s">
        <v>3518</v>
      </c>
    </row>
    <row r="603" ht="14.25" customHeight="1">
      <c r="A603" s="13">
        <v>24769.0</v>
      </c>
      <c r="B603" s="13" t="s">
        <v>2292</v>
      </c>
      <c r="C603" s="13">
        <v>2011.0</v>
      </c>
      <c r="D603" s="13" t="s">
        <v>3153</v>
      </c>
      <c r="E603" s="13" t="s">
        <v>3169</v>
      </c>
      <c r="F603" s="13" t="s">
        <v>3192</v>
      </c>
      <c r="G603" s="13" t="s">
        <v>3156</v>
      </c>
      <c r="H603" s="13" t="s">
        <v>33</v>
      </c>
      <c r="I603" s="13" t="s">
        <v>3188</v>
      </c>
      <c r="J603" s="13" t="s">
        <v>3189</v>
      </c>
      <c r="K603" s="13" t="s">
        <v>3190</v>
      </c>
      <c r="L603" s="13" t="s">
        <v>3177</v>
      </c>
      <c r="M603" s="13" t="s">
        <v>3391</v>
      </c>
      <c r="N603" s="13">
        <v>1.0</v>
      </c>
      <c r="O603" s="13" t="s">
        <v>3162</v>
      </c>
      <c r="P603" s="13" t="s">
        <v>33</v>
      </c>
      <c r="Q603" s="13" t="s">
        <v>3190</v>
      </c>
      <c r="R603" s="13" t="s">
        <v>3177</v>
      </c>
      <c r="S603" s="13" t="s">
        <v>33</v>
      </c>
      <c r="T603" s="13" t="s">
        <v>3164</v>
      </c>
      <c r="U603" s="13" t="s">
        <v>3164</v>
      </c>
      <c r="V603" s="13" t="s">
        <v>3166</v>
      </c>
      <c r="W603" s="13" t="s">
        <v>3167</v>
      </c>
      <c r="X603" s="13" t="s">
        <v>3178</v>
      </c>
    </row>
    <row r="604" ht="14.25" customHeight="1">
      <c r="A604" s="13">
        <v>24772.0</v>
      </c>
      <c r="B604" s="13" t="s">
        <v>1477</v>
      </c>
      <c r="C604" s="13">
        <v>2016.0</v>
      </c>
      <c r="D604" s="13" t="s">
        <v>3153</v>
      </c>
      <c r="E604" s="13" t="s">
        <v>3179</v>
      </c>
      <c r="F604" s="13" t="s">
        <v>3284</v>
      </c>
      <c r="G604" s="13" t="s">
        <v>3187</v>
      </c>
      <c r="H604" s="13">
        <v>81.0</v>
      </c>
      <c r="I604" s="13" t="s">
        <v>3865</v>
      </c>
      <c r="J604" s="13" t="s">
        <v>3167</v>
      </c>
      <c r="K604" s="13" t="s">
        <v>3183</v>
      </c>
      <c r="L604" s="13" t="s">
        <v>3177</v>
      </c>
      <c r="M604" s="13" t="s">
        <v>4030</v>
      </c>
      <c r="N604" s="13">
        <v>5.0</v>
      </c>
      <c r="O604" s="13" t="s">
        <v>3175</v>
      </c>
      <c r="P604" s="13" t="s">
        <v>3689</v>
      </c>
      <c r="Q604" s="13" t="s">
        <v>3159</v>
      </c>
      <c r="R604" s="13" t="s">
        <v>3177</v>
      </c>
      <c r="S604" s="13" t="s">
        <v>33</v>
      </c>
      <c r="T604" s="13" t="s">
        <v>3197</v>
      </c>
      <c r="U604" s="13" t="s">
        <v>3197</v>
      </c>
      <c r="V604" s="13" t="s">
        <v>3166</v>
      </c>
      <c r="W604" s="13" t="s">
        <v>3167</v>
      </c>
      <c r="X604" s="13" t="s">
        <v>3255</v>
      </c>
    </row>
    <row r="605" ht="14.25" customHeight="1">
      <c r="A605" s="13">
        <v>24773.0</v>
      </c>
      <c r="B605" s="13" t="s">
        <v>1477</v>
      </c>
      <c r="C605" s="13">
        <v>2019.0</v>
      </c>
      <c r="D605" s="13" t="s">
        <v>3153</v>
      </c>
      <c r="E605" s="13" t="s">
        <v>3179</v>
      </c>
      <c r="F605" s="13" t="s">
        <v>3192</v>
      </c>
      <c r="G605" s="13" t="s">
        <v>3180</v>
      </c>
      <c r="H605" s="13">
        <v>0.01</v>
      </c>
      <c r="I605" s="13" t="s">
        <v>3264</v>
      </c>
      <c r="J605" s="13" t="s">
        <v>3204</v>
      </c>
      <c r="K605" s="13" t="s">
        <v>3159</v>
      </c>
      <c r="L605" s="13" t="s">
        <v>3177</v>
      </c>
      <c r="M605" s="13" t="s">
        <v>4031</v>
      </c>
      <c r="N605" s="13">
        <v>3.0</v>
      </c>
      <c r="O605" s="13" t="s">
        <v>3162</v>
      </c>
      <c r="P605" s="13" t="s">
        <v>33</v>
      </c>
      <c r="Q605" s="13" t="s">
        <v>3159</v>
      </c>
      <c r="R605" s="13" t="s">
        <v>3177</v>
      </c>
      <c r="S605" s="13" t="s">
        <v>33</v>
      </c>
      <c r="T605" s="13" t="s">
        <v>3232</v>
      </c>
      <c r="U605" s="13" t="s">
        <v>3232</v>
      </c>
      <c r="V605" s="13" t="s">
        <v>3166</v>
      </c>
      <c r="W605" s="13" t="s">
        <v>3167</v>
      </c>
      <c r="X605" s="13" t="s">
        <v>3168</v>
      </c>
    </row>
    <row r="606" ht="14.25" customHeight="1">
      <c r="A606" s="13">
        <v>24776.0</v>
      </c>
      <c r="B606" s="13" t="s">
        <v>143</v>
      </c>
      <c r="C606" s="13">
        <v>2018.0</v>
      </c>
      <c r="D606" s="13" t="s">
        <v>3153</v>
      </c>
      <c r="E606" s="13" t="s">
        <v>3179</v>
      </c>
      <c r="F606" s="13" t="s">
        <v>3211</v>
      </c>
      <c r="G606" s="13" t="s">
        <v>3202</v>
      </c>
      <c r="H606" s="13">
        <v>500.0</v>
      </c>
      <c r="I606" s="13" t="s">
        <v>3249</v>
      </c>
      <c r="J606" s="13" t="s">
        <v>4032</v>
      </c>
      <c r="K606" s="13" t="s">
        <v>3381</v>
      </c>
      <c r="L606" s="13" t="s">
        <v>3177</v>
      </c>
      <c r="M606" s="13" t="s">
        <v>4033</v>
      </c>
      <c r="N606" s="13">
        <v>10.0</v>
      </c>
      <c r="O606" s="13" t="s">
        <v>3175</v>
      </c>
      <c r="P606" s="13" t="s">
        <v>3689</v>
      </c>
      <c r="Q606" s="13" t="s">
        <v>3381</v>
      </c>
      <c r="R606" s="13" t="s">
        <v>3177</v>
      </c>
      <c r="S606" s="13" t="s">
        <v>3689</v>
      </c>
      <c r="T606" s="13" t="s">
        <v>3252</v>
      </c>
      <c r="U606" s="13" t="s">
        <v>3252</v>
      </c>
      <c r="V606" s="13" t="s">
        <v>3253</v>
      </c>
      <c r="W606" s="13" t="s">
        <v>3356</v>
      </c>
      <c r="X606" s="13" t="s">
        <v>4034</v>
      </c>
    </row>
    <row r="607" ht="14.25" customHeight="1">
      <c r="A607" s="13">
        <v>24777.0</v>
      </c>
      <c r="B607" s="13" t="s">
        <v>143</v>
      </c>
      <c r="C607" s="13">
        <v>2018.0</v>
      </c>
      <c r="D607" s="13" t="s">
        <v>3153</v>
      </c>
      <c r="E607" s="13" t="s">
        <v>3179</v>
      </c>
      <c r="F607" s="13" t="s">
        <v>3192</v>
      </c>
      <c r="G607" s="13" t="s">
        <v>3187</v>
      </c>
      <c r="H607" s="13">
        <v>400.0</v>
      </c>
      <c r="I607" s="13" t="s">
        <v>3249</v>
      </c>
      <c r="J607" s="13" t="s">
        <v>3307</v>
      </c>
      <c r="K607" s="13" t="s">
        <v>3183</v>
      </c>
      <c r="L607" s="13" t="s">
        <v>3177</v>
      </c>
      <c r="M607" s="13" t="s">
        <v>4035</v>
      </c>
      <c r="N607" s="13">
        <v>4.0</v>
      </c>
      <c r="O607" s="13" t="s">
        <v>3162</v>
      </c>
      <c r="P607" s="13" t="s">
        <v>3183</v>
      </c>
      <c r="Q607" s="13" t="s">
        <v>3183</v>
      </c>
      <c r="R607" s="13" t="s">
        <v>3177</v>
      </c>
      <c r="S607" s="13" t="s">
        <v>4036</v>
      </c>
      <c r="T607" s="13" t="s">
        <v>3164</v>
      </c>
      <c r="U607" s="13" t="s">
        <v>3164</v>
      </c>
      <c r="V607" s="13" t="s">
        <v>3166</v>
      </c>
      <c r="W607" s="13" t="s">
        <v>3167</v>
      </c>
      <c r="X607" s="13" t="s">
        <v>3216</v>
      </c>
    </row>
    <row r="608" ht="14.25" customHeight="1">
      <c r="A608" s="13">
        <v>24785.0</v>
      </c>
      <c r="B608" s="13" t="s">
        <v>1132</v>
      </c>
      <c r="C608" s="13">
        <v>2010.0</v>
      </c>
      <c r="D608" s="13" t="s">
        <v>3153</v>
      </c>
      <c r="E608" s="13" t="s">
        <v>3169</v>
      </c>
      <c r="F608" s="13" t="s">
        <v>3192</v>
      </c>
      <c r="G608" s="13" t="s">
        <v>3187</v>
      </c>
      <c r="H608" s="13">
        <v>25.0</v>
      </c>
      <c r="I608" s="13" t="s">
        <v>3171</v>
      </c>
      <c r="J608" s="13" t="s">
        <v>3172</v>
      </c>
      <c r="K608" s="13" t="s">
        <v>3186</v>
      </c>
      <c r="L608" s="13" t="s">
        <v>3177</v>
      </c>
      <c r="M608" s="13" t="s">
        <v>3391</v>
      </c>
      <c r="N608" s="13">
        <v>1.0</v>
      </c>
      <c r="O608" s="13" t="s">
        <v>3162</v>
      </c>
      <c r="P608" s="13" t="s">
        <v>33</v>
      </c>
      <c r="Q608" s="13" t="s">
        <v>3208</v>
      </c>
      <c r="R608" s="13" t="s">
        <v>3177</v>
      </c>
      <c r="S608" s="13" t="s">
        <v>33</v>
      </c>
      <c r="T608" s="13" t="s">
        <v>3164</v>
      </c>
      <c r="U608" s="13" t="s">
        <v>3164</v>
      </c>
      <c r="V608" s="13" t="s">
        <v>3166</v>
      </c>
      <c r="W608" s="13" t="s">
        <v>3167</v>
      </c>
      <c r="X608" s="13" t="s">
        <v>3178</v>
      </c>
    </row>
    <row r="609" ht="14.25" customHeight="1">
      <c r="A609" s="13">
        <v>24788.0</v>
      </c>
      <c r="B609" s="13" t="s">
        <v>2953</v>
      </c>
      <c r="C609" s="13">
        <v>2016.0</v>
      </c>
      <c r="D609" s="13" t="s">
        <v>3153</v>
      </c>
      <c r="E609" s="13" t="s">
        <v>3179</v>
      </c>
      <c r="F609" s="13" t="s">
        <v>3192</v>
      </c>
      <c r="G609" s="13" t="s">
        <v>3156</v>
      </c>
      <c r="H609" s="13" t="s">
        <v>33</v>
      </c>
      <c r="I609" s="13" t="s">
        <v>3264</v>
      </c>
      <c r="J609" s="13" t="s">
        <v>3204</v>
      </c>
      <c r="K609" s="13" t="s">
        <v>3173</v>
      </c>
      <c r="L609" s="13" t="s">
        <v>3160</v>
      </c>
      <c r="M609" s="13" t="s">
        <v>4037</v>
      </c>
      <c r="N609" s="13">
        <v>3.0</v>
      </c>
      <c r="O609" s="13" t="s">
        <v>3162</v>
      </c>
      <c r="P609" s="13" t="s">
        <v>33</v>
      </c>
      <c r="Q609" s="13" t="s">
        <v>3173</v>
      </c>
      <c r="R609" s="13" t="s">
        <v>3163</v>
      </c>
      <c r="S609" s="13" t="s">
        <v>33</v>
      </c>
      <c r="T609" s="13" t="s">
        <v>3164</v>
      </c>
      <c r="U609" s="13" t="s">
        <v>3164</v>
      </c>
      <c r="V609" s="13" t="s">
        <v>3166</v>
      </c>
      <c r="W609" s="13" t="s">
        <v>3167</v>
      </c>
      <c r="X609" s="13" t="s">
        <v>3178</v>
      </c>
    </row>
    <row r="610" ht="14.25" customHeight="1">
      <c r="A610" s="13">
        <v>24789.0</v>
      </c>
      <c r="B610" s="13" t="s">
        <v>658</v>
      </c>
      <c r="C610" s="13">
        <v>2017.0</v>
      </c>
      <c r="D610" s="13" t="s">
        <v>3153</v>
      </c>
      <c r="E610" s="13" t="s">
        <v>3169</v>
      </c>
      <c r="F610" s="13" t="s">
        <v>3170</v>
      </c>
      <c r="G610" s="13" t="s">
        <v>3202</v>
      </c>
      <c r="H610" s="13">
        <v>30.0</v>
      </c>
      <c r="I610" s="13" t="s">
        <v>3171</v>
      </c>
      <c r="J610" s="13" t="s">
        <v>3318</v>
      </c>
      <c r="K610" s="13" t="s">
        <v>3208</v>
      </c>
      <c r="L610" s="13" t="s">
        <v>3160</v>
      </c>
      <c r="M610" s="13" t="s">
        <v>4038</v>
      </c>
      <c r="N610" s="13">
        <v>3.0</v>
      </c>
      <c r="O610" s="13" t="s">
        <v>3162</v>
      </c>
      <c r="P610" s="13" t="s">
        <v>33</v>
      </c>
      <c r="Q610" s="13" t="s">
        <v>3208</v>
      </c>
      <c r="R610" s="13" t="s">
        <v>3163</v>
      </c>
      <c r="S610" s="13" t="s">
        <v>33</v>
      </c>
      <c r="T610" s="13" t="s">
        <v>3247</v>
      </c>
      <c r="U610" s="13" t="s">
        <v>3247</v>
      </c>
      <c r="V610" s="13" t="s">
        <v>3242</v>
      </c>
      <c r="W610" s="13" t="s">
        <v>3248</v>
      </c>
      <c r="X610" s="13" t="s">
        <v>3167</v>
      </c>
    </row>
    <row r="611" ht="14.25" customHeight="1">
      <c r="A611" s="13">
        <v>24790.0</v>
      </c>
      <c r="B611" s="13" t="s">
        <v>816</v>
      </c>
      <c r="C611" s="13">
        <v>2013.0</v>
      </c>
      <c r="D611" s="13" t="s">
        <v>3153</v>
      </c>
      <c r="E611" s="13" t="s">
        <v>3179</v>
      </c>
      <c r="F611" s="13" t="s">
        <v>3211</v>
      </c>
      <c r="G611" s="13" t="s">
        <v>3187</v>
      </c>
      <c r="H611" s="13">
        <v>1.0</v>
      </c>
      <c r="I611" s="13" t="s">
        <v>3249</v>
      </c>
      <c r="J611" s="13" t="s">
        <v>4039</v>
      </c>
      <c r="K611" s="13" t="s">
        <v>3186</v>
      </c>
      <c r="L611" s="13" t="s">
        <v>3177</v>
      </c>
      <c r="M611" s="13" t="s">
        <v>4040</v>
      </c>
      <c r="N611" s="13">
        <v>12.0</v>
      </c>
      <c r="O611" s="13" t="s">
        <v>3175</v>
      </c>
      <c r="P611" s="13" t="s">
        <v>33</v>
      </c>
      <c r="Q611" s="13" t="s">
        <v>3186</v>
      </c>
      <c r="R611" s="13" t="s">
        <v>3177</v>
      </c>
      <c r="S611" s="13" t="s">
        <v>33</v>
      </c>
      <c r="T611" s="13" t="s">
        <v>3252</v>
      </c>
      <c r="U611" s="13" t="s">
        <v>3252</v>
      </c>
      <c r="V611" s="13" t="s">
        <v>3253</v>
      </c>
      <c r="W611" s="13" t="s">
        <v>3356</v>
      </c>
      <c r="X611" s="13" t="s">
        <v>3255</v>
      </c>
    </row>
    <row r="612" ht="14.25" customHeight="1">
      <c r="A612" s="13">
        <v>24796.0</v>
      </c>
      <c r="B612" s="13" t="s">
        <v>2646</v>
      </c>
      <c r="C612" s="13">
        <v>2013.0</v>
      </c>
      <c r="D612" s="13" t="s">
        <v>3153</v>
      </c>
      <c r="E612" s="13" t="s">
        <v>3169</v>
      </c>
      <c r="F612" s="13" t="s">
        <v>3170</v>
      </c>
      <c r="G612" s="13" t="s">
        <v>3156</v>
      </c>
      <c r="H612" s="13" t="s">
        <v>33</v>
      </c>
      <c r="I612" s="13" t="s">
        <v>3171</v>
      </c>
      <c r="J612" s="13" t="s">
        <v>4012</v>
      </c>
      <c r="K612" s="13" t="s">
        <v>3159</v>
      </c>
      <c r="L612" s="13" t="s">
        <v>3160</v>
      </c>
      <c r="M612" s="13" t="s">
        <v>3391</v>
      </c>
      <c r="N612" s="13">
        <v>1.0</v>
      </c>
      <c r="O612" s="13" t="s">
        <v>3162</v>
      </c>
      <c r="P612" s="13" t="s">
        <v>33</v>
      </c>
      <c r="Q612" s="13" t="s">
        <v>3159</v>
      </c>
      <c r="R612" s="13" t="s">
        <v>3163</v>
      </c>
      <c r="S612" s="13" t="s">
        <v>33</v>
      </c>
      <c r="T612" s="13" t="s">
        <v>3164</v>
      </c>
      <c r="U612" s="13" t="s">
        <v>3164</v>
      </c>
      <c r="V612" s="13" t="s">
        <v>3166</v>
      </c>
      <c r="W612" s="13" t="s">
        <v>3167</v>
      </c>
      <c r="X612" s="13" t="s">
        <v>3178</v>
      </c>
    </row>
    <row r="613" ht="14.25" customHeight="1">
      <c r="A613" s="13">
        <v>24806.0</v>
      </c>
      <c r="B613" s="13" t="s">
        <v>2858</v>
      </c>
      <c r="C613" s="13">
        <v>2015.0</v>
      </c>
      <c r="D613" s="13" t="s">
        <v>3153</v>
      </c>
      <c r="E613" s="13" t="s">
        <v>3169</v>
      </c>
      <c r="F613" s="13" t="s">
        <v>3192</v>
      </c>
      <c r="G613" s="13" t="s">
        <v>3180</v>
      </c>
      <c r="H613" s="13">
        <v>0.5</v>
      </c>
      <c r="I613" s="13" t="s">
        <v>3171</v>
      </c>
      <c r="J613" s="13" t="s">
        <v>3378</v>
      </c>
      <c r="K613" s="13" t="s">
        <v>3183</v>
      </c>
      <c r="L613" s="13" t="s">
        <v>3177</v>
      </c>
      <c r="M613" s="13" t="s">
        <v>3213</v>
      </c>
      <c r="N613" s="13">
        <v>1.0</v>
      </c>
      <c r="O613" s="13" t="s">
        <v>3162</v>
      </c>
      <c r="P613" s="13" t="s">
        <v>4041</v>
      </c>
      <c r="Q613" s="13" t="s">
        <v>3183</v>
      </c>
      <c r="R613" s="13" t="s">
        <v>3163</v>
      </c>
      <c r="S613" s="13" t="s">
        <v>4042</v>
      </c>
      <c r="T613" s="13" t="s">
        <v>3164</v>
      </c>
      <c r="U613" s="13" t="s">
        <v>3165</v>
      </c>
      <c r="V613" s="13" t="s">
        <v>3166</v>
      </c>
      <c r="W613" s="13" t="s">
        <v>3167</v>
      </c>
      <c r="X613" s="13" t="s">
        <v>3224</v>
      </c>
    </row>
    <row r="614" ht="14.25" customHeight="1">
      <c r="A614" s="13">
        <v>24811.0</v>
      </c>
      <c r="B614" s="13" t="s">
        <v>374</v>
      </c>
      <c r="C614" s="13">
        <v>2020.0</v>
      </c>
      <c r="D614" s="13" t="s">
        <v>3153</v>
      </c>
      <c r="E614" s="13" t="s">
        <v>3169</v>
      </c>
      <c r="F614" s="13" t="s">
        <v>3192</v>
      </c>
      <c r="G614" s="13" t="s">
        <v>3156</v>
      </c>
      <c r="H614" s="13" t="s">
        <v>33</v>
      </c>
      <c r="I614" s="13" t="s">
        <v>3244</v>
      </c>
      <c r="J614" s="13" t="s">
        <v>3321</v>
      </c>
      <c r="K614" s="13" t="s">
        <v>3208</v>
      </c>
      <c r="L614" s="13" t="s">
        <v>3160</v>
      </c>
      <c r="M614" s="13" t="s">
        <v>3223</v>
      </c>
      <c r="N614" s="13">
        <v>1.0</v>
      </c>
      <c r="O614" s="13" t="s">
        <v>3162</v>
      </c>
      <c r="P614" s="13" t="s">
        <v>33</v>
      </c>
      <c r="Q614" s="13" t="s">
        <v>3208</v>
      </c>
      <c r="R614" s="13" t="s">
        <v>3163</v>
      </c>
      <c r="S614" s="13" t="s">
        <v>33</v>
      </c>
      <c r="T614" s="13" t="s">
        <v>3164</v>
      </c>
      <c r="U614" s="13" t="s">
        <v>3247</v>
      </c>
      <c r="V614" s="13" t="s">
        <v>3242</v>
      </c>
      <c r="W614" s="13" t="s">
        <v>3377</v>
      </c>
      <c r="X614" s="13" t="s">
        <v>3167</v>
      </c>
    </row>
    <row r="615" ht="14.25" customHeight="1">
      <c r="A615" s="13">
        <v>24812.0</v>
      </c>
      <c r="B615" s="13" t="s">
        <v>374</v>
      </c>
      <c r="C615" s="13">
        <v>2020.0</v>
      </c>
      <c r="D615" s="13" t="s">
        <v>3153</v>
      </c>
      <c r="E615" s="13" t="s">
        <v>3169</v>
      </c>
      <c r="F615" s="13" t="s">
        <v>3170</v>
      </c>
      <c r="G615" s="13" t="s">
        <v>3156</v>
      </c>
      <c r="H615" s="13" t="s">
        <v>33</v>
      </c>
      <c r="I615" s="13" t="s">
        <v>3244</v>
      </c>
      <c r="J615" s="13" t="s">
        <v>3289</v>
      </c>
      <c r="K615" s="13" t="s">
        <v>3159</v>
      </c>
      <c r="L615" s="13" t="s">
        <v>3160</v>
      </c>
      <c r="M615" s="13" t="s">
        <v>3230</v>
      </c>
      <c r="N615" s="13">
        <v>1.0</v>
      </c>
      <c r="O615" s="13" t="s">
        <v>3162</v>
      </c>
      <c r="P615" s="13" t="s">
        <v>33</v>
      </c>
      <c r="Q615" s="13" t="s">
        <v>3159</v>
      </c>
      <c r="R615" s="13" t="s">
        <v>3163</v>
      </c>
      <c r="S615" s="13" t="s">
        <v>33</v>
      </c>
      <c r="T615" s="13" t="s">
        <v>3232</v>
      </c>
      <c r="U615" s="13" t="s">
        <v>3197</v>
      </c>
      <c r="V615" s="13" t="s">
        <v>3166</v>
      </c>
      <c r="W615" s="13" t="s">
        <v>3167</v>
      </c>
      <c r="X615" s="13" t="s">
        <v>3518</v>
      </c>
    </row>
    <row r="616" ht="14.25" customHeight="1">
      <c r="A616" s="13">
        <v>24813.0</v>
      </c>
      <c r="B616" s="13" t="s">
        <v>1198</v>
      </c>
      <c r="C616" s="13">
        <v>2019.0</v>
      </c>
      <c r="D616" s="13" t="s">
        <v>3153</v>
      </c>
      <c r="E616" s="13" t="s">
        <v>3179</v>
      </c>
      <c r="F616" s="13" t="s">
        <v>3211</v>
      </c>
      <c r="G616" s="13" t="s">
        <v>3156</v>
      </c>
      <c r="H616" s="13" t="s">
        <v>3167</v>
      </c>
      <c r="I616" s="13" t="s">
        <v>3929</v>
      </c>
      <c r="J616" s="13" t="s">
        <v>4043</v>
      </c>
      <c r="K616" s="13" t="s">
        <v>3190</v>
      </c>
      <c r="L616" s="13" t="s">
        <v>3160</v>
      </c>
      <c r="M616" s="13" t="s">
        <v>3342</v>
      </c>
      <c r="N616" s="13">
        <v>1.0</v>
      </c>
      <c r="O616" s="13" t="s">
        <v>3162</v>
      </c>
      <c r="P616" s="13" t="s">
        <v>3167</v>
      </c>
      <c r="Q616" s="13" t="s">
        <v>3190</v>
      </c>
      <c r="R616" s="13" t="s">
        <v>3231</v>
      </c>
      <c r="S616" s="13" t="s">
        <v>33</v>
      </c>
      <c r="T616" s="13" t="s">
        <v>3164</v>
      </c>
      <c r="U616" s="13" t="s">
        <v>3215</v>
      </c>
      <c r="V616" s="13" t="s">
        <v>3166</v>
      </c>
      <c r="W616" s="13" t="s">
        <v>3167</v>
      </c>
      <c r="X616" s="13" t="s">
        <v>3225</v>
      </c>
    </row>
    <row r="617" ht="14.25" customHeight="1">
      <c r="A617" s="13">
        <v>24819.0</v>
      </c>
      <c r="B617" s="13" t="s">
        <v>1601</v>
      </c>
      <c r="C617" s="13">
        <v>2017.0</v>
      </c>
      <c r="D617" s="13" t="s">
        <v>3153</v>
      </c>
      <c r="E617" s="13" t="s">
        <v>3169</v>
      </c>
      <c r="F617" s="13" t="s">
        <v>3192</v>
      </c>
      <c r="G617" s="13" t="s">
        <v>3202</v>
      </c>
      <c r="H617" s="13" t="s">
        <v>3202</v>
      </c>
      <c r="I617" s="13" t="s">
        <v>3188</v>
      </c>
      <c r="J617" s="13" t="s">
        <v>3432</v>
      </c>
      <c r="K617" s="13" t="s">
        <v>3282</v>
      </c>
      <c r="L617" s="13" t="s">
        <v>3177</v>
      </c>
      <c r="M617" s="13" t="s">
        <v>3230</v>
      </c>
      <c r="N617" s="13">
        <v>1.0</v>
      </c>
      <c r="O617" s="13" t="s">
        <v>3162</v>
      </c>
      <c r="P617" s="13" t="s">
        <v>4044</v>
      </c>
      <c r="Q617" s="13" t="s">
        <v>3208</v>
      </c>
      <c r="R617" s="13" t="s">
        <v>3260</v>
      </c>
      <c r="S617" s="13" t="s">
        <v>33</v>
      </c>
      <c r="T617" s="13" t="s">
        <v>3247</v>
      </c>
      <c r="U617" s="13" t="s">
        <v>3247</v>
      </c>
      <c r="V617" s="13" t="s">
        <v>3242</v>
      </c>
      <c r="W617" s="13" t="s">
        <v>3969</v>
      </c>
      <c r="X617" s="13" t="s">
        <v>3167</v>
      </c>
    </row>
    <row r="618" ht="14.25" customHeight="1">
      <c r="A618" s="13">
        <v>24821.0</v>
      </c>
      <c r="B618" s="13" t="s">
        <v>1008</v>
      </c>
      <c r="C618" s="13">
        <v>2008.0</v>
      </c>
      <c r="D618" s="13" t="s">
        <v>3153</v>
      </c>
      <c r="E618" s="13" t="s">
        <v>3169</v>
      </c>
      <c r="F618" s="13" t="s">
        <v>3170</v>
      </c>
      <c r="G618" s="13" t="s">
        <v>3156</v>
      </c>
      <c r="H618" s="13" t="s">
        <v>33</v>
      </c>
      <c r="I618" s="13" t="s">
        <v>3171</v>
      </c>
      <c r="J618" s="13" t="s">
        <v>4045</v>
      </c>
      <c r="K618" s="13" t="s">
        <v>3580</v>
      </c>
      <c r="L618" s="13" t="s">
        <v>3177</v>
      </c>
      <c r="M618" s="13" t="s">
        <v>3391</v>
      </c>
      <c r="N618" s="13">
        <v>1.0</v>
      </c>
      <c r="O618" s="13" t="s">
        <v>3162</v>
      </c>
      <c r="P618" s="13" t="s">
        <v>33</v>
      </c>
      <c r="Q618" s="13" t="s">
        <v>3208</v>
      </c>
      <c r="R618" s="13" t="s">
        <v>3163</v>
      </c>
      <c r="S618" s="13" t="s">
        <v>33</v>
      </c>
      <c r="T618" s="13" t="s">
        <v>3164</v>
      </c>
      <c r="U618" s="13" t="s">
        <v>3232</v>
      </c>
      <c r="V618" s="13" t="s">
        <v>3166</v>
      </c>
      <c r="W618" s="13" t="s">
        <v>3167</v>
      </c>
      <c r="X618" s="13" t="s">
        <v>3178</v>
      </c>
    </row>
    <row r="619" ht="14.25" customHeight="1">
      <c r="A619" s="13">
        <v>24822.0</v>
      </c>
      <c r="B619" s="13" t="s">
        <v>1008</v>
      </c>
      <c r="C619" s="13">
        <v>2011.0</v>
      </c>
      <c r="D619" s="13" t="s">
        <v>3153</v>
      </c>
      <c r="E619" s="13" t="s">
        <v>3169</v>
      </c>
      <c r="F619" s="13" t="s">
        <v>3170</v>
      </c>
      <c r="G619" s="13" t="s">
        <v>3156</v>
      </c>
      <c r="H619" s="13" t="s">
        <v>33</v>
      </c>
      <c r="I619" s="13" t="s">
        <v>3171</v>
      </c>
      <c r="J619" s="13" t="s">
        <v>4045</v>
      </c>
      <c r="K619" s="13" t="s">
        <v>3580</v>
      </c>
      <c r="L619" s="13" t="s">
        <v>3177</v>
      </c>
      <c r="M619" s="13" t="s">
        <v>3391</v>
      </c>
      <c r="N619" s="13">
        <v>1.0</v>
      </c>
      <c r="O619" s="13" t="s">
        <v>3162</v>
      </c>
      <c r="P619" s="13" t="s">
        <v>33</v>
      </c>
      <c r="Q619" s="13" t="s">
        <v>3208</v>
      </c>
      <c r="R619" s="13" t="s">
        <v>3163</v>
      </c>
      <c r="S619" s="13" t="s">
        <v>33</v>
      </c>
      <c r="T619" s="13" t="s">
        <v>3232</v>
      </c>
      <c r="U619" s="13" t="s">
        <v>3232</v>
      </c>
      <c r="V619" s="13" t="s">
        <v>3166</v>
      </c>
      <c r="W619" s="13" t="s">
        <v>3167</v>
      </c>
      <c r="X619" s="13" t="s">
        <v>3178</v>
      </c>
    </row>
    <row r="620" ht="14.25" customHeight="1">
      <c r="A620" s="13">
        <v>24825.0</v>
      </c>
      <c r="B620" s="13" t="s">
        <v>1139</v>
      </c>
      <c r="C620" s="13">
        <v>2016.0</v>
      </c>
      <c r="D620" s="13" t="s">
        <v>3153</v>
      </c>
      <c r="E620" s="13" t="s">
        <v>3169</v>
      </c>
      <c r="F620" s="13" t="s">
        <v>3170</v>
      </c>
      <c r="G620" s="13" t="s">
        <v>3156</v>
      </c>
      <c r="H620" s="13" t="s">
        <v>33</v>
      </c>
      <c r="I620" s="13" t="s">
        <v>3188</v>
      </c>
      <c r="J620" s="13" t="s">
        <v>3286</v>
      </c>
      <c r="K620" s="13" t="s">
        <v>3183</v>
      </c>
      <c r="L620" s="13" t="s">
        <v>3177</v>
      </c>
      <c r="M620" s="13" t="s">
        <v>3230</v>
      </c>
      <c r="N620" s="13">
        <v>1.0</v>
      </c>
      <c r="O620" s="13" t="s">
        <v>3162</v>
      </c>
      <c r="P620" s="13" t="s">
        <v>3724</v>
      </c>
      <c r="Q620" s="13" t="s">
        <v>3183</v>
      </c>
      <c r="R620" s="13" t="s">
        <v>3163</v>
      </c>
      <c r="S620" s="13" t="s">
        <v>3724</v>
      </c>
      <c r="T620" s="13" t="s">
        <v>3164</v>
      </c>
      <c r="U620" s="13" t="s">
        <v>3164</v>
      </c>
      <c r="V620" s="13" t="s">
        <v>3166</v>
      </c>
      <c r="W620" s="13" t="s">
        <v>3167</v>
      </c>
      <c r="X620" s="13" t="s">
        <v>3178</v>
      </c>
    </row>
    <row r="621" ht="14.25" customHeight="1">
      <c r="A621" s="13">
        <v>24826.0</v>
      </c>
      <c r="B621" s="13" t="s">
        <v>2432</v>
      </c>
      <c r="C621" s="13">
        <v>2018.0</v>
      </c>
      <c r="D621" s="13" t="s">
        <v>3153</v>
      </c>
      <c r="E621" s="13" t="s">
        <v>3169</v>
      </c>
      <c r="F621" s="13" t="s">
        <v>3170</v>
      </c>
      <c r="G621" s="13" t="s">
        <v>3202</v>
      </c>
      <c r="H621" s="13">
        <v>30.0</v>
      </c>
      <c r="I621" s="13" t="s">
        <v>3188</v>
      </c>
      <c r="J621" s="13" t="s">
        <v>3286</v>
      </c>
      <c r="K621" s="13" t="s">
        <v>3201</v>
      </c>
      <c r="L621" s="13" t="s">
        <v>3177</v>
      </c>
      <c r="M621" s="13" t="s">
        <v>3230</v>
      </c>
      <c r="N621" s="13">
        <v>1.0</v>
      </c>
      <c r="O621" s="13" t="s">
        <v>3162</v>
      </c>
      <c r="P621" s="13" t="s">
        <v>33</v>
      </c>
      <c r="Q621" s="13" t="s">
        <v>3159</v>
      </c>
      <c r="R621" s="13" t="s">
        <v>3163</v>
      </c>
      <c r="S621" s="13" t="s">
        <v>33</v>
      </c>
      <c r="T621" s="13" t="s">
        <v>3164</v>
      </c>
      <c r="U621" s="13" t="s">
        <v>3164</v>
      </c>
      <c r="V621" s="13" t="s">
        <v>3166</v>
      </c>
      <c r="W621" s="13" t="s">
        <v>3167</v>
      </c>
      <c r="X621" s="13" t="s">
        <v>3178</v>
      </c>
    </row>
    <row r="622" ht="14.25" customHeight="1">
      <c r="A622" s="13">
        <v>24829.0</v>
      </c>
      <c r="B622" s="13" t="s">
        <v>3033</v>
      </c>
      <c r="C622" s="13">
        <v>2016.0</v>
      </c>
      <c r="D622" s="13" t="s">
        <v>3153</v>
      </c>
      <c r="E622" s="13" t="s">
        <v>3169</v>
      </c>
      <c r="F622" s="13" t="s">
        <v>3192</v>
      </c>
      <c r="G622" s="13" t="s">
        <v>3187</v>
      </c>
      <c r="H622" s="13">
        <v>1.0</v>
      </c>
      <c r="I622" s="13" t="s">
        <v>3222</v>
      </c>
      <c r="J622" s="13" t="s">
        <v>3182</v>
      </c>
      <c r="K622" s="13" t="s">
        <v>3282</v>
      </c>
      <c r="L622" s="13" t="s">
        <v>3177</v>
      </c>
      <c r="M622" s="13" t="s">
        <v>3331</v>
      </c>
      <c r="N622" s="13">
        <v>1.0</v>
      </c>
      <c r="O622" s="13" t="s">
        <v>3162</v>
      </c>
      <c r="P622" s="13" t="s">
        <v>4046</v>
      </c>
      <c r="Q622" s="13" t="s">
        <v>3287</v>
      </c>
      <c r="R622" s="13" t="s">
        <v>3260</v>
      </c>
      <c r="S622" s="13" t="s">
        <v>33</v>
      </c>
      <c r="T622" s="13" t="s">
        <v>3164</v>
      </c>
      <c r="U622" s="13" t="s">
        <v>3164</v>
      </c>
      <c r="V622" s="13" t="s">
        <v>3166</v>
      </c>
      <c r="W622" s="13" t="s">
        <v>3167</v>
      </c>
      <c r="X622" s="13" t="s">
        <v>3224</v>
      </c>
    </row>
    <row r="623" ht="14.25" customHeight="1">
      <c r="A623" s="13">
        <v>24832.0</v>
      </c>
      <c r="B623" s="13" t="s">
        <v>803</v>
      </c>
      <c r="C623" s="13">
        <v>2020.0</v>
      </c>
      <c r="D623" s="13" t="s">
        <v>3153</v>
      </c>
      <c r="E623" s="13" t="s">
        <v>3169</v>
      </c>
      <c r="F623" s="13" t="s">
        <v>3192</v>
      </c>
      <c r="G623" s="13" t="s">
        <v>3202</v>
      </c>
      <c r="H623" s="13">
        <v>30.0</v>
      </c>
      <c r="I623" s="13" t="s">
        <v>3171</v>
      </c>
      <c r="J623" s="13" t="s">
        <v>3438</v>
      </c>
      <c r="K623" s="13" t="s">
        <v>3208</v>
      </c>
      <c r="L623" s="13" t="s">
        <v>3160</v>
      </c>
      <c r="M623" s="13" t="s">
        <v>4047</v>
      </c>
      <c r="N623" s="13">
        <v>4.0</v>
      </c>
      <c r="O623" s="13" t="s">
        <v>3162</v>
      </c>
      <c r="P623" s="13" t="s">
        <v>33</v>
      </c>
      <c r="Q623" s="13" t="s">
        <v>3208</v>
      </c>
      <c r="R623" s="13" t="s">
        <v>3163</v>
      </c>
      <c r="S623" s="13" t="s">
        <v>33</v>
      </c>
      <c r="T623" s="13" t="s">
        <v>3247</v>
      </c>
      <c r="U623" s="13" t="s">
        <v>3247</v>
      </c>
      <c r="V623" s="13" t="s">
        <v>3242</v>
      </c>
      <c r="W623" s="13" t="s">
        <v>3248</v>
      </c>
      <c r="X623" s="13" t="s">
        <v>3167</v>
      </c>
    </row>
    <row r="624" ht="14.25" customHeight="1">
      <c r="A624" s="13">
        <v>24839.0</v>
      </c>
      <c r="B624" s="13" t="s">
        <v>703</v>
      </c>
      <c r="C624" s="13">
        <v>2014.0</v>
      </c>
      <c r="D624" s="13" t="s">
        <v>3153</v>
      </c>
      <c r="E624" s="13" t="s">
        <v>3169</v>
      </c>
      <c r="F624" s="13" t="s">
        <v>3155</v>
      </c>
      <c r="G624" s="13" t="s">
        <v>3156</v>
      </c>
      <c r="H624" s="13" t="s">
        <v>33</v>
      </c>
      <c r="I624" s="13" t="s">
        <v>3222</v>
      </c>
      <c r="J624" s="13" t="s">
        <v>3182</v>
      </c>
      <c r="K624" s="13" t="s">
        <v>3183</v>
      </c>
      <c r="L624" s="13" t="s">
        <v>3177</v>
      </c>
      <c r="M624" s="13" t="s">
        <v>3213</v>
      </c>
      <c r="N624" s="13">
        <v>1.0</v>
      </c>
      <c r="O624" s="13" t="s">
        <v>3162</v>
      </c>
      <c r="P624" s="13" t="s">
        <v>4048</v>
      </c>
      <c r="Q624" s="13" t="s">
        <v>3210</v>
      </c>
      <c r="R624" s="13" t="s">
        <v>3163</v>
      </c>
      <c r="S624" s="13" t="s">
        <v>33</v>
      </c>
      <c r="T624" s="13" t="s">
        <v>3195</v>
      </c>
      <c r="U624" s="13" t="s">
        <v>3195</v>
      </c>
      <c r="V624" s="13" t="s">
        <v>3195</v>
      </c>
      <c r="W624" s="13" t="s">
        <v>3167</v>
      </c>
      <c r="X624" s="13" t="s">
        <v>3167</v>
      </c>
    </row>
    <row r="625" ht="14.25" customHeight="1">
      <c r="A625" s="13">
        <v>24842.0</v>
      </c>
      <c r="B625" s="13" t="s">
        <v>2395</v>
      </c>
      <c r="C625" s="13">
        <v>2018.0</v>
      </c>
      <c r="D625" s="13" t="s">
        <v>3153</v>
      </c>
      <c r="E625" s="13" t="s">
        <v>3169</v>
      </c>
      <c r="F625" s="13" t="s">
        <v>3192</v>
      </c>
      <c r="G625" s="13" t="s">
        <v>33</v>
      </c>
      <c r="H625" s="13" t="s">
        <v>33</v>
      </c>
      <c r="I625" s="13" t="s">
        <v>3188</v>
      </c>
      <c r="J625" s="13" t="s">
        <v>3207</v>
      </c>
      <c r="K625" s="13" t="s">
        <v>3208</v>
      </c>
      <c r="L625" s="13" t="s">
        <v>3160</v>
      </c>
      <c r="M625" s="13" t="s">
        <v>4049</v>
      </c>
      <c r="N625" s="13">
        <v>4.0</v>
      </c>
      <c r="O625" s="13" t="s">
        <v>3162</v>
      </c>
      <c r="P625" s="13" t="s">
        <v>33</v>
      </c>
      <c r="Q625" s="13" t="s">
        <v>3208</v>
      </c>
      <c r="R625" s="13" t="s">
        <v>3163</v>
      </c>
      <c r="S625" s="13" t="s">
        <v>33</v>
      </c>
      <c r="T625" s="13" t="s">
        <v>3247</v>
      </c>
      <c r="U625" s="13" t="s">
        <v>3247</v>
      </c>
      <c r="V625" s="13" t="s">
        <v>3242</v>
      </c>
      <c r="W625" s="13" t="s">
        <v>3572</v>
      </c>
      <c r="X625" s="13" t="s">
        <v>3167</v>
      </c>
    </row>
    <row r="626" ht="14.25" customHeight="1">
      <c r="A626" s="13">
        <v>24841.0</v>
      </c>
      <c r="B626" s="13" t="s">
        <v>2975</v>
      </c>
      <c r="C626" s="13">
        <v>2017.0</v>
      </c>
      <c r="D626" s="13" t="s">
        <v>3153</v>
      </c>
      <c r="E626" s="13" t="s">
        <v>3465</v>
      </c>
      <c r="F626" s="13" t="s">
        <v>3170</v>
      </c>
      <c r="G626" s="13" t="s">
        <v>33</v>
      </c>
      <c r="H626" s="13" t="s">
        <v>33</v>
      </c>
      <c r="I626" s="13" t="s">
        <v>3188</v>
      </c>
      <c r="J626" s="13" t="s">
        <v>3207</v>
      </c>
      <c r="K626" s="13" t="s">
        <v>3208</v>
      </c>
      <c r="L626" s="13" t="s">
        <v>3160</v>
      </c>
      <c r="M626" s="13" t="s">
        <v>4050</v>
      </c>
      <c r="N626" s="13">
        <v>5.0</v>
      </c>
      <c r="O626" s="13" t="s">
        <v>3162</v>
      </c>
      <c r="P626" s="13" t="s">
        <v>33</v>
      </c>
      <c r="Q626" s="13" t="s">
        <v>3210</v>
      </c>
      <c r="R626" s="13" t="s">
        <v>3163</v>
      </c>
      <c r="S626" s="13" t="s">
        <v>33</v>
      </c>
      <c r="T626" s="13" t="s">
        <v>3195</v>
      </c>
      <c r="U626" s="13" t="s">
        <v>3195</v>
      </c>
      <c r="V626" s="13" t="s">
        <v>3195</v>
      </c>
      <c r="W626" s="13" t="s">
        <v>3167</v>
      </c>
      <c r="X626" s="13" t="s">
        <v>3167</v>
      </c>
    </row>
    <row r="627" ht="14.25" customHeight="1">
      <c r="A627" s="13" t="s">
        <v>2124</v>
      </c>
      <c r="B627" s="13" t="s">
        <v>2125</v>
      </c>
      <c r="C627" s="13">
        <v>2017.0</v>
      </c>
      <c r="D627" s="13" t="s">
        <v>3153</v>
      </c>
      <c r="E627" s="13" t="s">
        <v>3169</v>
      </c>
      <c r="F627" s="13" t="s">
        <v>3217</v>
      </c>
      <c r="G627" s="13" t="s">
        <v>3156</v>
      </c>
      <c r="H627" s="13" t="s">
        <v>33</v>
      </c>
      <c r="I627" s="13" t="s">
        <v>3171</v>
      </c>
      <c r="J627" s="13" t="s">
        <v>3167</v>
      </c>
      <c r="K627" s="13" t="s">
        <v>3183</v>
      </c>
      <c r="L627" s="13" t="s">
        <v>3177</v>
      </c>
      <c r="M627" s="13" t="s">
        <v>3391</v>
      </c>
      <c r="N627" s="13">
        <v>1.0</v>
      </c>
      <c r="O627" s="13" t="s">
        <v>3162</v>
      </c>
      <c r="P627" s="13" t="s">
        <v>319</v>
      </c>
      <c r="Q627" s="13" t="s">
        <v>3183</v>
      </c>
      <c r="R627" s="13" t="s">
        <v>3163</v>
      </c>
      <c r="S627" s="13" t="s">
        <v>319</v>
      </c>
      <c r="T627" s="13" t="s">
        <v>3165</v>
      </c>
      <c r="U627" s="13" t="s">
        <v>3165</v>
      </c>
      <c r="V627" s="13" t="s">
        <v>3166</v>
      </c>
      <c r="W627" s="13" t="s">
        <v>3167</v>
      </c>
      <c r="X627" s="13" t="s">
        <v>3178</v>
      </c>
    </row>
    <row r="628" ht="14.25" customHeight="1">
      <c r="A628" s="13">
        <v>24843.0</v>
      </c>
      <c r="B628" s="13" t="s">
        <v>4051</v>
      </c>
      <c r="C628" s="13">
        <v>2014.0</v>
      </c>
      <c r="D628" s="13" t="s">
        <v>3153</v>
      </c>
      <c r="E628" s="13" t="s">
        <v>3154</v>
      </c>
      <c r="F628" s="13" t="s">
        <v>3170</v>
      </c>
      <c r="G628" s="13" t="s">
        <v>3156</v>
      </c>
      <c r="H628" s="13" t="s">
        <v>33</v>
      </c>
      <c r="I628" s="13" t="s">
        <v>3222</v>
      </c>
      <c r="J628" s="13" t="s">
        <v>3182</v>
      </c>
      <c r="K628" s="13" t="s">
        <v>3159</v>
      </c>
      <c r="L628" s="13" t="s">
        <v>3160</v>
      </c>
      <c r="M628" s="13" t="s">
        <v>3161</v>
      </c>
      <c r="N628" s="13">
        <v>1.0</v>
      </c>
      <c r="O628" s="13" t="s">
        <v>3162</v>
      </c>
      <c r="P628" s="13" t="s">
        <v>33</v>
      </c>
      <c r="Q628" s="13" t="s">
        <v>3159</v>
      </c>
      <c r="R628" s="13" t="s">
        <v>3163</v>
      </c>
      <c r="S628" s="13" t="s">
        <v>33</v>
      </c>
      <c r="T628" s="13" t="s">
        <v>3164</v>
      </c>
      <c r="U628" s="13" t="s">
        <v>3164</v>
      </c>
      <c r="V628" s="13" t="s">
        <v>3166</v>
      </c>
      <c r="W628" s="13" t="s">
        <v>3167</v>
      </c>
      <c r="X628" s="13" t="s">
        <v>3168</v>
      </c>
    </row>
    <row r="629" ht="14.25" customHeight="1">
      <c r="A629" s="13">
        <v>24847.0</v>
      </c>
      <c r="B629" s="13" t="s">
        <v>778</v>
      </c>
      <c r="C629" s="13">
        <v>2018.0</v>
      </c>
      <c r="D629" s="13" t="s">
        <v>3153</v>
      </c>
      <c r="E629" s="13" t="s">
        <v>3169</v>
      </c>
      <c r="F629" s="13" t="s">
        <v>3170</v>
      </c>
      <c r="G629" s="13" t="s">
        <v>3187</v>
      </c>
      <c r="H629" s="13">
        <v>100.0</v>
      </c>
      <c r="I629" s="13" t="s">
        <v>3244</v>
      </c>
      <c r="J629" s="13" t="s">
        <v>3289</v>
      </c>
      <c r="K629" s="13" t="s">
        <v>3183</v>
      </c>
      <c r="L629" s="13" t="s">
        <v>3160</v>
      </c>
      <c r="M629" s="13" t="s">
        <v>4052</v>
      </c>
      <c r="N629" s="13">
        <v>3.0</v>
      </c>
      <c r="O629" s="13" t="s">
        <v>3162</v>
      </c>
      <c r="P629" s="13" t="s">
        <v>4053</v>
      </c>
      <c r="Q629" s="13" t="s">
        <v>3379</v>
      </c>
      <c r="R629" s="13" t="s">
        <v>3231</v>
      </c>
      <c r="S629" s="13" t="s">
        <v>33</v>
      </c>
      <c r="T629" s="13" t="s">
        <v>3247</v>
      </c>
      <c r="U629" s="13" t="s">
        <v>3247</v>
      </c>
      <c r="V629" s="13" t="s">
        <v>3242</v>
      </c>
      <c r="W629" s="13" t="s">
        <v>3634</v>
      </c>
      <c r="X629" s="13" t="s">
        <v>3167</v>
      </c>
    </row>
    <row r="630" ht="14.25" customHeight="1">
      <c r="A630" s="13">
        <v>24849.0</v>
      </c>
      <c r="B630" s="13" t="s">
        <v>2915</v>
      </c>
      <c r="C630" s="13">
        <v>2012.0</v>
      </c>
      <c r="D630" s="13" t="s">
        <v>3153</v>
      </c>
      <c r="E630" s="13" t="s">
        <v>3179</v>
      </c>
      <c r="F630" s="13" t="s">
        <v>3192</v>
      </c>
      <c r="G630" s="13" t="s">
        <v>3156</v>
      </c>
      <c r="H630" s="13" t="s">
        <v>33</v>
      </c>
      <c r="I630" s="13" t="s">
        <v>3261</v>
      </c>
      <c r="J630" s="13" t="s">
        <v>3229</v>
      </c>
      <c r="K630" s="13" t="s">
        <v>3195</v>
      </c>
      <c r="L630" s="13" t="s">
        <v>3160</v>
      </c>
      <c r="M630" s="13" t="s">
        <v>3369</v>
      </c>
      <c r="N630" s="13">
        <v>1.0</v>
      </c>
      <c r="O630" s="13" t="s">
        <v>3162</v>
      </c>
      <c r="P630" s="13" t="s">
        <v>33</v>
      </c>
      <c r="Q630" s="13" t="s">
        <v>3287</v>
      </c>
      <c r="R630" s="13" t="s">
        <v>3163</v>
      </c>
      <c r="S630" s="13" t="s">
        <v>33</v>
      </c>
      <c r="T630" s="13" t="s">
        <v>3164</v>
      </c>
      <c r="U630" s="13" t="s">
        <v>3232</v>
      </c>
      <c r="V630" s="13" t="s">
        <v>3166</v>
      </c>
      <c r="W630" s="13" t="s">
        <v>3167</v>
      </c>
      <c r="X630" s="13" t="s">
        <v>3224</v>
      </c>
    </row>
    <row r="631" ht="14.25" customHeight="1">
      <c r="A631" s="13">
        <v>24853.0</v>
      </c>
      <c r="B631" s="13" t="s">
        <v>1691</v>
      </c>
      <c r="C631" s="13">
        <v>2017.0</v>
      </c>
      <c r="D631" s="13" t="s">
        <v>3153</v>
      </c>
      <c r="E631" s="13" t="s">
        <v>3154</v>
      </c>
      <c r="F631" s="13" t="s">
        <v>3192</v>
      </c>
      <c r="G631" s="13" t="s">
        <v>3156</v>
      </c>
      <c r="H631" s="13" t="s">
        <v>33</v>
      </c>
      <c r="I631" s="13" t="s">
        <v>3222</v>
      </c>
      <c r="J631" s="13" t="s">
        <v>3182</v>
      </c>
      <c r="K631" s="13" t="s">
        <v>3173</v>
      </c>
      <c r="L631" s="13" t="s">
        <v>3177</v>
      </c>
      <c r="M631" s="13" t="s">
        <v>3161</v>
      </c>
      <c r="N631" s="13">
        <v>1.0</v>
      </c>
      <c r="O631" s="13" t="s">
        <v>3162</v>
      </c>
      <c r="P631" s="13" t="s">
        <v>4054</v>
      </c>
      <c r="Q631" s="13" t="s">
        <v>3183</v>
      </c>
      <c r="R631" s="13" t="s">
        <v>3177</v>
      </c>
      <c r="S631" s="13" t="s">
        <v>4054</v>
      </c>
      <c r="T631" s="13" t="s">
        <v>3232</v>
      </c>
      <c r="U631" s="13" t="s">
        <v>3247</v>
      </c>
      <c r="V631" s="13" t="s">
        <v>3166</v>
      </c>
      <c r="W631" s="13" t="s">
        <v>3167</v>
      </c>
      <c r="X631" s="13" t="s">
        <v>4055</v>
      </c>
    </row>
    <row r="632" ht="14.25" customHeight="1">
      <c r="A632" s="13">
        <v>24856.0</v>
      </c>
      <c r="B632" s="13" t="s">
        <v>190</v>
      </c>
      <c r="C632" s="13">
        <v>2018.0</v>
      </c>
      <c r="D632" s="13" t="s">
        <v>3153</v>
      </c>
      <c r="E632" s="13" t="s">
        <v>3169</v>
      </c>
      <c r="F632" s="13" t="s">
        <v>3155</v>
      </c>
      <c r="G632" s="13" t="s">
        <v>3187</v>
      </c>
      <c r="H632" s="13">
        <v>1.0</v>
      </c>
      <c r="I632" s="13" t="s">
        <v>3222</v>
      </c>
      <c r="J632" s="13" t="s">
        <v>3262</v>
      </c>
      <c r="K632" s="13" t="s">
        <v>3333</v>
      </c>
      <c r="L632" s="13" t="s">
        <v>3177</v>
      </c>
      <c r="M632" s="13" t="s">
        <v>4056</v>
      </c>
      <c r="N632" s="13">
        <v>2.0</v>
      </c>
      <c r="O632" s="13" t="s">
        <v>3162</v>
      </c>
      <c r="P632" s="13" t="s">
        <v>33</v>
      </c>
      <c r="Q632" s="13" t="s">
        <v>3173</v>
      </c>
      <c r="R632" s="13" t="s">
        <v>3177</v>
      </c>
      <c r="S632" s="13" t="s">
        <v>33</v>
      </c>
      <c r="T632" s="13" t="s">
        <v>3164</v>
      </c>
      <c r="U632" s="13" t="s">
        <v>3165</v>
      </c>
      <c r="V632" s="13" t="s">
        <v>3166</v>
      </c>
      <c r="W632" s="13" t="s">
        <v>3167</v>
      </c>
      <c r="X632" s="13" t="s">
        <v>3178</v>
      </c>
    </row>
    <row r="633" ht="14.25" customHeight="1">
      <c r="A633" s="13">
        <v>24857.0</v>
      </c>
      <c r="B633" s="13" t="s">
        <v>2215</v>
      </c>
      <c r="C633" s="13">
        <v>2017.0</v>
      </c>
      <c r="D633" s="13" t="s">
        <v>3153</v>
      </c>
      <c r="E633" s="13" t="s">
        <v>3169</v>
      </c>
      <c r="F633" s="13" t="s">
        <v>3170</v>
      </c>
      <c r="G633" s="13" t="s">
        <v>3156</v>
      </c>
      <c r="H633" s="13" t="s">
        <v>3202</v>
      </c>
      <c r="I633" s="13" t="s">
        <v>3244</v>
      </c>
      <c r="J633" s="13" t="s">
        <v>3289</v>
      </c>
      <c r="K633" s="13" t="s">
        <v>3208</v>
      </c>
      <c r="L633" s="13" t="s">
        <v>3160</v>
      </c>
      <c r="M633" s="13" t="s">
        <v>3319</v>
      </c>
      <c r="N633" s="13">
        <v>2.0</v>
      </c>
      <c r="O633" s="13" t="s">
        <v>3162</v>
      </c>
      <c r="P633" s="13" t="s">
        <v>3167</v>
      </c>
      <c r="Q633" s="13" t="s">
        <v>3210</v>
      </c>
      <c r="R633" s="13" t="s">
        <v>3231</v>
      </c>
      <c r="S633" s="13" t="s">
        <v>33</v>
      </c>
      <c r="T633" s="13" t="s">
        <v>3195</v>
      </c>
      <c r="U633" s="13" t="s">
        <v>3195</v>
      </c>
      <c r="V633" s="13" t="s">
        <v>3195</v>
      </c>
      <c r="W633" s="13" t="s">
        <v>3167</v>
      </c>
      <c r="X633" s="13" t="s">
        <v>3167</v>
      </c>
    </row>
    <row r="634" ht="14.25" customHeight="1">
      <c r="A634" s="13">
        <v>24858.0</v>
      </c>
      <c r="B634" s="13" t="s">
        <v>2215</v>
      </c>
      <c r="C634" s="13">
        <v>2019.0</v>
      </c>
      <c r="D634" s="13" t="s">
        <v>3153</v>
      </c>
      <c r="E634" s="13" t="s">
        <v>3169</v>
      </c>
      <c r="F634" s="13" t="s">
        <v>3155</v>
      </c>
      <c r="G634" s="13" t="s">
        <v>3187</v>
      </c>
      <c r="H634" s="13">
        <v>1.0</v>
      </c>
      <c r="I634" s="13" t="s">
        <v>3244</v>
      </c>
      <c r="J634" s="13" t="s">
        <v>3289</v>
      </c>
      <c r="K634" s="13" t="s">
        <v>3186</v>
      </c>
      <c r="L634" s="13" t="s">
        <v>3177</v>
      </c>
      <c r="M634" s="13" t="s">
        <v>3161</v>
      </c>
      <c r="N634" s="13">
        <v>1.0</v>
      </c>
      <c r="O634" s="13" t="s">
        <v>3162</v>
      </c>
      <c r="P634" s="13" t="s">
        <v>33</v>
      </c>
      <c r="Q634" s="13" t="s">
        <v>3183</v>
      </c>
      <c r="R634" s="13" t="s">
        <v>3163</v>
      </c>
      <c r="S634" s="13" t="s">
        <v>3397</v>
      </c>
      <c r="T634" s="13" t="s">
        <v>3164</v>
      </c>
      <c r="U634" s="13" t="s">
        <v>3228</v>
      </c>
      <c r="V634" s="13" t="s">
        <v>3166</v>
      </c>
      <c r="W634" s="13" t="s">
        <v>3167</v>
      </c>
      <c r="X634" s="13" t="s">
        <v>3178</v>
      </c>
    </row>
    <row r="635" ht="14.25" customHeight="1">
      <c r="A635" s="13">
        <v>24862.0</v>
      </c>
      <c r="B635" s="13" t="s">
        <v>1538</v>
      </c>
      <c r="C635" s="13">
        <v>2016.0</v>
      </c>
      <c r="D635" s="13" t="s">
        <v>3153</v>
      </c>
      <c r="E635" s="13" t="s">
        <v>3684</v>
      </c>
      <c r="F635" s="13" t="s">
        <v>3217</v>
      </c>
      <c r="G635" s="13" t="s">
        <v>3156</v>
      </c>
      <c r="H635" s="13" t="s">
        <v>3167</v>
      </c>
      <c r="I635" s="13" t="s">
        <v>3167</v>
      </c>
      <c r="J635" s="13" t="s">
        <v>3167</v>
      </c>
      <c r="K635" s="13" t="s">
        <v>3183</v>
      </c>
      <c r="L635" s="13" t="s">
        <v>3177</v>
      </c>
      <c r="M635" s="13" t="s">
        <v>4057</v>
      </c>
      <c r="N635" s="13">
        <v>6.0</v>
      </c>
      <c r="O635" s="13" t="s">
        <v>3175</v>
      </c>
      <c r="P635" s="13" t="s">
        <v>4058</v>
      </c>
      <c r="Q635" s="13" t="s">
        <v>3183</v>
      </c>
      <c r="R635" s="13" t="s">
        <v>3260</v>
      </c>
      <c r="S635" s="13" t="s">
        <v>3397</v>
      </c>
      <c r="T635" s="13" t="s">
        <v>3247</v>
      </c>
      <c r="U635" s="13" t="s">
        <v>3247</v>
      </c>
      <c r="V635" s="13" t="s">
        <v>3166</v>
      </c>
      <c r="W635" s="13" t="s">
        <v>3167</v>
      </c>
      <c r="X635" s="13" t="s">
        <v>3632</v>
      </c>
    </row>
    <row r="636" ht="14.25" customHeight="1">
      <c r="A636" s="13">
        <v>24863.0</v>
      </c>
      <c r="B636" s="13" t="s">
        <v>934</v>
      </c>
      <c r="C636" s="13">
        <v>2019.0</v>
      </c>
      <c r="D636" s="13" t="s">
        <v>3153</v>
      </c>
      <c r="E636" s="13" t="s">
        <v>3465</v>
      </c>
      <c r="F636" s="13" t="s">
        <v>3217</v>
      </c>
      <c r="G636" s="13" t="s">
        <v>3520</v>
      </c>
      <c r="H636" s="13">
        <v>5.0</v>
      </c>
      <c r="I636" s="13" t="s">
        <v>3167</v>
      </c>
      <c r="J636" s="13" t="s">
        <v>3167</v>
      </c>
      <c r="K636" s="13" t="s">
        <v>3183</v>
      </c>
      <c r="L636" s="13" t="s">
        <v>3160</v>
      </c>
      <c r="M636" s="13" t="s">
        <v>3477</v>
      </c>
      <c r="N636" s="13">
        <v>1.0</v>
      </c>
      <c r="O636" s="13" t="s">
        <v>3162</v>
      </c>
      <c r="P636" s="13" t="s">
        <v>4059</v>
      </c>
      <c r="Q636" s="13" t="s">
        <v>3183</v>
      </c>
      <c r="R636" s="13" t="s">
        <v>3163</v>
      </c>
      <c r="S636" s="13" t="s">
        <v>3397</v>
      </c>
      <c r="T636" s="13" t="s">
        <v>3232</v>
      </c>
      <c r="U636" s="13" t="s">
        <v>3232</v>
      </c>
      <c r="V636" s="13" t="s">
        <v>3166</v>
      </c>
      <c r="W636" s="13" t="s">
        <v>3167</v>
      </c>
      <c r="X636" s="13" t="s">
        <v>3324</v>
      </c>
    </row>
    <row r="637" ht="14.25" customHeight="1">
      <c r="A637" s="13">
        <v>24867.0</v>
      </c>
      <c r="B637" s="13" t="s">
        <v>2559</v>
      </c>
      <c r="C637" s="13">
        <v>2018.0</v>
      </c>
      <c r="D637" s="13" t="s">
        <v>3153</v>
      </c>
      <c r="E637" s="13" t="s">
        <v>3169</v>
      </c>
      <c r="F637" s="13" t="s">
        <v>3170</v>
      </c>
      <c r="G637" s="13" t="s">
        <v>3202</v>
      </c>
      <c r="H637" s="13">
        <v>5.0</v>
      </c>
      <c r="I637" s="13" t="s">
        <v>3157</v>
      </c>
      <c r="J637" s="13" t="s">
        <v>3570</v>
      </c>
      <c r="K637" s="13" t="s">
        <v>3183</v>
      </c>
      <c r="L637" s="13" t="s">
        <v>3160</v>
      </c>
      <c r="M637" s="13" t="s">
        <v>4060</v>
      </c>
      <c r="N637" s="13">
        <v>6.0</v>
      </c>
      <c r="O637" s="13" t="s">
        <v>3162</v>
      </c>
      <c r="P637" s="13" t="s">
        <v>4061</v>
      </c>
      <c r="Q637" s="13" t="s">
        <v>3183</v>
      </c>
      <c r="R637" s="13" t="s">
        <v>3163</v>
      </c>
      <c r="S637" s="13" t="s">
        <v>4062</v>
      </c>
      <c r="T637" s="13" t="s">
        <v>3247</v>
      </c>
      <c r="U637" s="13" t="s">
        <v>3247</v>
      </c>
      <c r="V637" s="13" t="s">
        <v>3242</v>
      </c>
      <c r="W637" s="13" t="s">
        <v>3634</v>
      </c>
      <c r="X637" s="13" t="s">
        <v>3167</v>
      </c>
    </row>
    <row r="638" ht="14.25" customHeight="1">
      <c r="A638" s="13">
        <v>24868.0</v>
      </c>
      <c r="B638" s="13" t="s">
        <v>85</v>
      </c>
      <c r="C638" s="13">
        <v>2020.0</v>
      </c>
      <c r="D638" s="13" t="s">
        <v>3153</v>
      </c>
      <c r="E638" s="13" t="s">
        <v>3169</v>
      </c>
      <c r="F638" s="13" t="s">
        <v>3284</v>
      </c>
      <c r="G638" s="13" t="s">
        <v>3187</v>
      </c>
      <c r="H638" s="13">
        <v>2500.0</v>
      </c>
      <c r="I638" s="13" t="s">
        <v>3157</v>
      </c>
      <c r="J638" s="13" t="s">
        <v>3167</v>
      </c>
      <c r="K638" s="13" t="s">
        <v>3338</v>
      </c>
      <c r="L638" s="13" t="s">
        <v>3177</v>
      </c>
      <c r="M638" s="13" t="s">
        <v>3230</v>
      </c>
      <c r="N638" s="13">
        <v>1.0</v>
      </c>
      <c r="O638" s="13" t="s">
        <v>3162</v>
      </c>
      <c r="P638" s="13" t="s">
        <v>4063</v>
      </c>
      <c r="Q638" s="13" t="s">
        <v>3183</v>
      </c>
      <c r="R638" s="13" t="s">
        <v>3177</v>
      </c>
      <c r="S638" s="13" t="s">
        <v>4064</v>
      </c>
      <c r="T638" s="13" t="s">
        <v>3232</v>
      </c>
      <c r="U638" s="13" t="s">
        <v>3232</v>
      </c>
      <c r="V638" s="13" t="s">
        <v>3166</v>
      </c>
      <c r="W638" s="13" t="s">
        <v>3167</v>
      </c>
      <c r="X638" s="13" t="s">
        <v>3224</v>
      </c>
    </row>
    <row r="639" ht="14.25" customHeight="1">
      <c r="A639" s="13">
        <v>24871.0</v>
      </c>
      <c r="B639" s="13" t="s">
        <v>2761</v>
      </c>
      <c r="C639" s="13">
        <v>2013.0</v>
      </c>
      <c r="D639" s="13" t="s">
        <v>3153</v>
      </c>
      <c r="E639" s="13" t="s">
        <v>3169</v>
      </c>
      <c r="F639" s="13" t="s">
        <v>3192</v>
      </c>
      <c r="G639" s="13" t="s">
        <v>3156</v>
      </c>
      <c r="H639" s="13" t="s">
        <v>33</v>
      </c>
      <c r="I639" s="13" t="s">
        <v>3171</v>
      </c>
      <c r="J639" s="13" t="s">
        <v>3657</v>
      </c>
      <c r="K639" s="13" t="s">
        <v>3250</v>
      </c>
      <c r="L639" s="13" t="s">
        <v>3177</v>
      </c>
      <c r="M639" s="13" t="s">
        <v>3391</v>
      </c>
      <c r="N639" s="13">
        <v>1.0</v>
      </c>
      <c r="O639" s="13" t="s">
        <v>3162</v>
      </c>
      <c r="P639" s="13" t="s">
        <v>33</v>
      </c>
      <c r="Q639" s="13" t="s">
        <v>3250</v>
      </c>
      <c r="R639" s="13" t="s">
        <v>3177</v>
      </c>
      <c r="S639" s="13" t="s">
        <v>33</v>
      </c>
      <c r="T639" s="13" t="s">
        <v>3164</v>
      </c>
      <c r="U639" s="13" t="s">
        <v>3164</v>
      </c>
      <c r="V639" s="13" t="s">
        <v>3166</v>
      </c>
      <c r="W639" s="13" t="s">
        <v>3167</v>
      </c>
      <c r="X639" s="13" t="s">
        <v>3178</v>
      </c>
    </row>
    <row r="640" ht="14.25" customHeight="1">
      <c r="A640" s="13">
        <v>24875.0</v>
      </c>
      <c r="B640" s="13" t="s">
        <v>864</v>
      </c>
      <c r="C640" s="13">
        <v>2018.0</v>
      </c>
      <c r="D640" s="13" t="s">
        <v>3457</v>
      </c>
      <c r="E640" s="13" t="s">
        <v>3169</v>
      </c>
      <c r="F640" s="13" t="s">
        <v>3170</v>
      </c>
      <c r="G640" s="13" t="s">
        <v>3202</v>
      </c>
      <c r="H640" s="13">
        <v>30.0</v>
      </c>
      <c r="I640" s="13" t="s">
        <v>3171</v>
      </c>
      <c r="J640" s="13" t="s">
        <v>3385</v>
      </c>
      <c r="K640" s="13" t="s">
        <v>3173</v>
      </c>
      <c r="L640" s="13" t="s">
        <v>3160</v>
      </c>
      <c r="M640" s="13" t="s">
        <v>3227</v>
      </c>
      <c r="N640" s="13">
        <v>1.0</v>
      </c>
      <c r="O640" s="13" t="s">
        <v>3162</v>
      </c>
      <c r="P640" s="13" t="s">
        <v>33</v>
      </c>
      <c r="Q640" s="13" t="s">
        <v>3208</v>
      </c>
      <c r="R640" s="13" t="s">
        <v>3177</v>
      </c>
      <c r="S640" s="13" t="s">
        <v>33</v>
      </c>
      <c r="T640" s="13" t="s">
        <v>3247</v>
      </c>
      <c r="U640" s="13" t="s">
        <v>3247</v>
      </c>
      <c r="V640" s="13" t="s">
        <v>3242</v>
      </c>
      <c r="W640" s="13" t="s">
        <v>3496</v>
      </c>
      <c r="X640" s="13" t="s">
        <v>3167</v>
      </c>
    </row>
    <row r="641" ht="14.25" customHeight="1">
      <c r="A641" s="13">
        <v>24877.0</v>
      </c>
      <c r="B641" s="13" t="s">
        <v>2468</v>
      </c>
      <c r="C641" s="13">
        <v>2011.0</v>
      </c>
      <c r="D641" s="13" t="s">
        <v>3153</v>
      </c>
      <c r="E641" s="13" t="s">
        <v>3179</v>
      </c>
      <c r="F641" s="13" t="s">
        <v>3170</v>
      </c>
      <c r="G641" s="13" t="s">
        <v>3156</v>
      </c>
      <c r="H641" s="13" t="s">
        <v>33</v>
      </c>
      <c r="I641" s="13" t="s">
        <v>3181</v>
      </c>
      <c r="J641" s="13" t="s">
        <v>3229</v>
      </c>
      <c r="K641" s="13" t="s">
        <v>3159</v>
      </c>
      <c r="L641" s="13" t="s">
        <v>3160</v>
      </c>
      <c r="M641" s="13" t="s">
        <v>3373</v>
      </c>
      <c r="N641" s="13">
        <v>1.0</v>
      </c>
      <c r="O641" s="13" t="s">
        <v>3162</v>
      </c>
      <c r="P641" s="13" t="s">
        <v>33</v>
      </c>
      <c r="Q641" s="13" t="s">
        <v>3159</v>
      </c>
      <c r="R641" s="13" t="s">
        <v>3163</v>
      </c>
      <c r="S641" s="13" t="s">
        <v>33</v>
      </c>
      <c r="T641" s="13" t="s">
        <v>3228</v>
      </c>
      <c r="U641" s="13" t="s">
        <v>3228</v>
      </c>
      <c r="V641" s="13" t="s">
        <v>3166</v>
      </c>
      <c r="W641" s="13" t="s">
        <v>3167</v>
      </c>
      <c r="X641" s="13" t="s">
        <v>3225</v>
      </c>
    </row>
    <row r="642" ht="14.25" customHeight="1">
      <c r="A642" s="13">
        <v>24878.0</v>
      </c>
      <c r="B642" s="13" t="s">
        <v>2405</v>
      </c>
      <c r="C642" s="13">
        <v>2019.0</v>
      </c>
      <c r="D642" s="13" t="s">
        <v>3153</v>
      </c>
      <c r="E642" s="13" t="s">
        <v>3179</v>
      </c>
      <c r="F642" s="13" t="s">
        <v>3170</v>
      </c>
      <c r="G642" s="13" t="s">
        <v>3156</v>
      </c>
      <c r="H642" s="13" t="s">
        <v>3167</v>
      </c>
      <c r="I642" s="13" t="s">
        <v>3249</v>
      </c>
      <c r="J642" s="13" t="s">
        <v>3364</v>
      </c>
      <c r="K642" s="13" t="s">
        <v>3159</v>
      </c>
      <c r="L642" s="13" t="s">
        <v>3160</v>
      </c>
      <c r="M642" s="13" t="s">
        <v>4065</v>
      </c>
      <c r="N642" s="13">
        <v>2.0</v>
      </c>
      <c r="O642" s="13" t="s">
        <v>3162</v>
      </c>
      <c r="P642" s="13" t="s">
        <v>3167</v>
      </c>
      <c r="Q642" s="13" t="s">
        <v>3159</v>
      </c>
      <c r="R642" s="13" t="s">
        <v>3231</v>
      </c>
      <c r="S642" s="13" t="s">
        <v>33</v>
      </c>
      <c r="T642" s="13" t="s">
        <v>3247</v>
      </c>
      <c r="U642" s="13" t="s">
        <v>3247</v>
      </c>
      <c r="V642" s="13" t="s">
        <v>3166</v>
      </c>
      <c r="W642" s="13" t="s">
        <v>3167</v>
      </c>
      <c r="X642" s="13" t="s">
        <v>4066</v>
      </c>
    </row>
    <row r="643" ht="14.25" customHeight="1">
      <c r="A643" s="13">
        <v>24879.0</v>
      </c>
      <c r="B643" s="13" t="s">
        <v>643</v>
      </c>
      <c r="C643" s="13">
        <v>2019.0</v>
      </c>
      <c r="D643" s="13" t="s">
        <v>3153</v>
      </c>
      <c r="E643" s="13" t="s">
        <v>3179</v>
      </c>
      <c r="F643" s="13" t="s">
        <v>3211</v>
      </c>
      <c r="G643" s="13" t="s">
        <v>3187</v>
      </c>
      <c r="H643" s="13">
        <v>400.0</v>
      </c>
      <c r="I643" s="13" t="s">
        <v>4067</v>
      </c>
      <c r="J643" s="13" t="s">
        <v>3584</v>
      </c>
      <c r="K643" s="13" t="s">
        <v>3186</v>
      </c>
      <c r="L643" s="13" t="s">
        <v>3177</v>
      </c>
      <c r="M643" s="13" t="s">
        <v>3342</v>
      </c>
      <c r="N643" s="13">
        <v>1.0</v>
      </c>
      <c r="O643" s="13" t="s">
        <v>3162</v>
      </c>
      <c r="P643" s="13" t="s">
        <v>33</v>
      </c>
      <c r="Q643" s="13" t="s">
        <v>3186</v>
      </c>
      <c r="R643" s="13" t="s">
        <v>3177</v>
      </c>
      <c r="S643" s="13" t="s">
        <v>33</v>
      </c>
      <c r="T643" s="13" t="s">
        <v>3197</v>
      </c>
      <c r="U643" s="13" t="s">
        <v>3197</v>
      </c>
      <c r="V643" s="13" t="s">
        <v>3166</v>
      </c>
      <c r="W643" s="13" t="s">
        <v>3167</v>
      </c>
      <c r="X643" s="13" t="s">
        <v>4068</v>
      </c>
    </row>
    <row r="644" ht="14.25" customHeight="1">
      <c r="A644" s="13">
        <v>24881.0</v>
      </c>
      <c r="B644" s="13" t="s">
        <v>984</v>
      </c>
      <c r="C644" s="13">
        <v>2014.0</v>
      </c>
      <c r="D644" s="13" t="s">
        <v>3153</v>
      </c>
      <c r="E644" s="13" t="s">
        <v>3154</v>
      </c>
      <c r="F644" s="13" t="s">
        <v>3170</v>
      </c>
      <c r="G644" s="13" t="s">
        <v>3156</v>
      </c>
      <c r="H644" s="13" t="s">
        <v>33</v>
      </c>
      <c r="I644" s="13" t="s">
        <v>3188</v>
      </c>
      <c r="J644" s="13" t="s">
        <v>3207</v>
      </c>
      <c r="K644" s="13" t="s">
        <v>3208</v>
      </c>
      <c r="L644" s="13" t="s">
        <v>3160</v>
      </c>
      <c r="M644" s="13" t="s">
        <v>4069</v>
      </c>
      <c r="N644" s="13">
        <v>2.0</v>
      </c>
      <c r="O644" s="13" t="s">
        <v>3162</v>
      </c>
      <c r="P644" s="13" t="s">
        <v>33</v>
      </c>
      <c r="Q644" s="13" t="s">
        <v>3335</v>
      </c>
      <c r="R644" s="13" t="s">
        <v>3163</v>
      </c>
      <c r="S644" s="13" t="s">
        <v>33</v>
      </c>
      <c r="T644" s="13" t="s">
        <v>3195</v>
      </c>
      <c r="U644" s="13" t="s">
        <v>3195</v>
      </c>
      <c r="V644" s="13" t="s">
        <v>3195</v>
      </c>
      <c r="W644" s="13" t="s">
        <v>3167</v>
      </c>
      <c r="X644" s="13" t="s">
        <v>3167</v>
      </c>
    </row>
    <row r="645" ht="14.25" customHeight="1">
      <c r="A645" s="13">
        <v>24885.0</v>
      </c>
      <c r="B645" s="13" t="s">
        <v>2497</v>
      </c>
      <c r="C645" s="13">
        <v>2009.0</v>
      </c>
      <c r="D645" s="13" t="s">
        <v>3153</v>
      </c>
      <c r="E645" s="13" t="s">
        <v>3179</v>
      </c>
      <c r="F645" s="13" t="s">
        <v>3284</v>
      </c>
      <c r="G645" s="13" t="s">
        <v>3180</v>
      </c>
      <c r="H645" s="13">
        <v>5.0</v>
      </c>
      <c r="I645" s="13" t="s">
        <v>4070</v>
      </c>
      <c r="J645" s="13" t="s">
        <v>3167</v>
      </c>
      <c r="K645" s="13" t="s">
        <v>3183</v>
      </c>
      <c r="L645" s="13" t="s">
        <v>3177</v>
      </c>
      <c r="M645" s="13" t="s">
        <v>3342</v>
      </c>
      <c r="N645" s="13">
        <v>1.0</v>
      </c>
      <c r="O645" s="13" t="s">
        <v>3162</v>
      </c>
      <c r="P645" s="13" t="s">
        <v>4071</v>
      </c>
      <c r="Q645" s="13" t="s">
        <v>3159</v>
      </c>
      <c r="R645" s="13" t="s">
        <v>3231</v>
      </c>
      <c r="S645" s="13" t="s">
        <v>33</v>
      </c>
      <c r="T645" s="13" t="s">
        <v>3164</v>
      </c>
      <c r="U645" s="13" t="s">
        <v>3164</v>
      </c>
      <c r="V645" s="13" t="s">
        <v>3166</v>
      </c>
      <c r="W645" s="13" t="s">
        <v>3167</v>
      </c>
      <c r="X645" s="13" t="s">
        <v>3225</v>
      </c>
    </row>
    <row r="646" ht="14.25" customHeight="1">
      <c r="A646" s="13">
        <v>24886.0</v>
      </c>
      <c r="B646" s="13" t="s">
        <v>511</v>
      </c>
      <c r="C646" s="13">
        <v>2018.0</v>
      </c>
      <c r="D646" s="13" t="s">
        <v>3153</v>
      </c>
      <c r="E646" s="13" t="s">
        <v>3169</v>
      </c>
      <c r="F646" s="13" t="s">
        <v>3170</v>
      </c>
      <c r="G646" s="13" t="s">
        <v>3202</v>
      </c>
      <c r="H646" s="13">
        <v>60.0</v>
      </c>
      <c r="I646" s="13" t="s">
        <v>3171</v>
      </c>
      <c r="J646" s="13" t="s">
        <v>4018</v>
      </c>
      <c r="K646" s="13" t="s">
        <v>3208</v>
      </c>
      <c r="L646" s="13" t="s">
        <v>3160</v>
      </c>
      <c r="M646" s="13" t="s">
        <v>3480</v>
      </c>
      <c r="N646" s="13">
        <v>1.0</v>
      </c>
      <c r="O646" s="13" t="s">
        <v>3162</v>
      </c>
      <c r="P646" s="13" t="s">
        <v>33</v>
      </c>
      <c r="Q646" s="13" t="s">
        <v>3210</v>
      </c>
      <c r="R646" s="13" t="s">
        <v>3163</v>
      </c>
      <c r="S646" s="13" t="s">
        <v>33</v>
      </c>
      <c r="T646" s="13" t="s">
        <v>3195</v>
      </c>
      <c r="U646" s="13" t="s">
        <v>3195</v>
      </c>
      <c r="V646" s="13" t="s">
        <v>3195</v>
      </c>
      <c r="W646" s="13" t="s">
        <v>3167</v>
      </c>
      <c r="X646" s="13" t="s">
        <v>3167</v>
      </c>
    </row>
    <row r="647" ht="14.25" customHeight="1">
      <c r="A647" s="13">
        <v>24888.0</v>
      </c>
      <c r="B647" s="13" t="s">
        <v>1273</v>
      </c>
      <c r="C647" s="13">
        <v>2016.0</v>
      </c>
      <c r="D647" s="13" t="s">
        <v>3153</v>
      </c>
      <c r="E647" s="13" t="s">
        <v>3154</v>
      </c>
      <c r="F647" s="13" t="s">
        <v>3170</v>
      </c>
      <c r="G647" s="13" t="s">
        <v>3156</v>
      </c>
      <c r="H647" s="13" t="s">
        <v>3167</v>
      </c>
      <c r="I647" s="13" t="s">
        <v>3222</v>
      </c>
      <c r="J647" s="13" t="s">
        <v>3182</v>
      </c>
      <c r="K647" s="13" t="s">
        <v>3159</v>
      </c>
      <c r="L647" s="13" t="s">
        <v>3177</v>
      </c>
      <c r="M647" s="13" t="s">
        <v>3161</v>
      </c>
      <c r="N647" s="13">
        <v>1.0</v>
      </c>
      <c r="O647" s="13" t="s">
        <v>3162</v>
      </c>
      <c r="P647" s="13" t="s">
        <v>3167</v>
      </c>
      <c r="Q647" s="13" t="s">
        <v>3159</v>
      </c>
      <c r="R647" s="13" t="s">
        <v>3231</v>
      </c>
      <c r="S647" s="13" t="s">
        <v>33</v>
      </c>
      <c r="T647" s="13" t="s">
        <v>3164</v>
      </c>
      <c r="U647" s="13" t="s">
        <v>3164</v>
      </c>
      <c r="V647" s="13" t="s">
        <v>3166</v>
      </c>
      <c r="W647" s="13" t="s">
        <v>3167</v>
      </c>
      <c r="X647" s="13" t="s">
        <v>3225</v>
      </c>
    </row>
    <row r="648" ht="14.25" customHeight="1">
      <c r="A648" s="13">
        <v>24892.0</v>
      </c>
      <c r="B648" s="13" t="s">
        <v>244</v>
      </c>
      <c r="C648" s="13">
        <v>2017.0</v>
      </c>
      <c r="D648" s="13" t="s">
        <v>3153</v>
      </c>
      <c r="E648" s="13" t="s">
        <v>3169</v>
      </c>
      <c r="F648" s="13" t="s">
        <v>3170</v>
      </c>
      <c r="G648" s="13" t="s">
        <v>3156</v>
      </c>
      <c r="H648" s="13" t="s">
        <v>3167</v>
      </c>
      <c r="I648" s="13" t="s">
        <v>3222</v>
      </c>
      <c r="J648" s="13" t="s">
        <v>3182</v>
      </c>
      <c r="K648" s="13" t="s">
        <v>3159</v>
      </c>
      <c r="L648" s="13" t="s">
        <v>3160</v>
      </c>
      <c r="M648" s="13" t="s">
        <v>3722</v>
      </c>
      <c r="N648" s="13">
        <v>1.0</v>
      </c>
      <c r="O648" s="13" t="s">
        <v>3162</v>
      </c>
      <c r="P648" s="13" t="s">
        <v>3167</v>
      </c>
      <c r="Q648" s="13" t="s">
        <v>3210</v>
      </c>
      <c r="R648" s="13" t="s">
        <v>3231</v>
      </c>
      <c r="S648" s="13" t="s">
        <v>33</v>
      </c>
      <c r="T648" s="13" t="s">
        <v>3195</v>
      </c>
      <c r="U648" s="13" t="s">
        <v>3195</v>
      </c>
      <c r="V648" s="13" t="s">
        <v>3195</v>
      </c>
      <c r="W648" s="13" t="s">
        <v>3167</v>
      </c>
      <c r="X648" s="13" t="s">
        <v>3167</v>
      </c>
    </row>
    <row r="649" ht="14.25" customHeight="1">
      <c r="A649" s="13">
        <v>24894.0</v>
      </c>
      <c r="B649" s="13" t="s">
        <v>1835</v>
      </c>
      <c r="C649" s="13">
        <v>2013.0</v>
      </c>
      <c r="D649" s="13" t="s">
        <v>3153</v>
      </c>
      <c r="E649" s="13" t="s">
        <v>3169</v>
      </c>
      <c r="F649" s="13" t="s">
        <v>3170</v>
      </c>
      <c r="G649" s="13" t="s">
        <v>3156</v>
      </c>
      <c r="H649" s="13" t="s">
        <v>33</v>
      </c>
      <c r="I649" s="13" t="s">
        <v>3171</v>
      </c>
      <c r="J649" s="13" t="s">
        <v>4072</v>
      </c>
      <c r="K649" s="13" t="s">
        <v>3190</v>
      </c>
      <c r="L649" s="13" t="s">
        <v>3160</v>
      </c>
      <c r="M649" s="13" t="s">
        <v>3789</v>
      </c>
      <c r="N649" s="13">
        <v>2.0</v>
      </c>
      <c r="O649" s="13" t="s">
        <v>3162</v>
      </c>
      <c r="P649" s="13" t="s">
        <v>33</v>
      </c>
      <c r="Q649" s="13" t="s">
        <v>3210</v>
      </c>
      <c r="R649" s="13" t="s">
        <v>3163</v>
      </c>
      <c r="S649" s="13" t="s">
        <v>33</v>
      </c>
      <c r="T649" s="13" t="s">
        <v>3195</v>
      </c>
      <c r="U649" s="13" t="s">
        <v>3195</v>
      </c>
      <c r="V649" s="13" t="s">
        <v>3195</v>
      </c>
      <c r="W649" s="13" t="s">
        <v>3167</v>
      </c>
      <c r="X649" s="13" t="s">
        <v>3167</v>
      </c>
    </row>
    <row r="650" ht="14.25" customHeight="1">
      <c r="A650" s="13">
        <v>24895.0</v>
      </c>
      <c r="B650" s="13" t="s">
        <v>1463</v>
      </c>
      <c r="C650" s="13">
        <v>2016.0</v>
      </c>
      <c r="D650" s="13" t="s">
        <v>3153</v>
      </c>
      <c r="E650" s="13" t="s">
        <v>3169</v>
      </c>
      <c r="F650" s="13" t="s">
        <v>3155</v>
      </c>
      <c r="G650" s="13" t="s">
        <v>3187</v>
      </c>
      <c r="H650" s="13">
        <v>1.0</v>
      </c>
      <c r="I650" s="13" t="s">
        <v>3244</v>
      </c>
      <c r="J650" s="13" t="s">
        <v>3262</v>
      </c>
      <c r="K650" s="13" t="s">
        <v>3381</v>
      </c>
      <c r="L650" s="13" t="s">
        <v>3177</v>
      </c>
      <c r="M650" s="13" t="s">
        <v>4073</v>
      </c>
      <c r="N650" s="13">
        <v>6.0</v>
      </c>
      <c r="O650" s="13" t="s">
        <v>3162</v>
      </c>
      <c r="P650" s="13" t="s">
        <v>3689</v>
      </c>
      <c r="Q650" s="13" t="s">
        <v>3210</v>
      </c>
      <c r="R650" s="13" t="s">
        <v>3163</v>
      </c>
      <c r="S650" s="13" t="s">
        <v>33</v>
      </c>
      <c r="T650" s="13" t="s">
        <v>3195</v>
      </c>
      <c r="U650" s="13" t="s">
        <v>3195</v>
      </c>
      <c r="V650" s="13" t="s">
        <v>3195</v>
      </c>
      <c r="W650" s="13" t="s">
        <v>3167</v>
      </c>
      <c r="X650" s="13" t="s">
        <v>3167</v>
      </c>
    </row>
    <row r="651" ht="14.25" customHeight="1">
      <c r="A651" s="13">
        <v>24897.0</v>
      </c>
      <c r="B651" s="13" t="s">
        <v>193</v>
      </c>
      <c r="C651" s="13">
        <v>2018.0</v>
      </c>
      <c r="D651" s="13" t="s">
        <v>3153</v>
      </c>
      <c r="E651" s="13" t="s">
        <v>3179</v>
      </c>
      <c r="F651" s="13" t="s">
        <v>3211</v>
      </c>
      <c r="G651" s="13" t="s">
        <v>3187</v>
      </c>
      <c r="H651" s="13">
        <v>1.0</v>
      </c>
      <c r="I651" s="13" t="s">
        <v>3249</v>
      </c>
      <c r="J651" s="13" t="s">
        <v>4074</v>
      </c>
      <c r="K651" s="13" t="s">
        <v>3381</v>
      </c>
      <c r="L651" s="13" t="s">
        <v>3177</v>
      </c>
      <c r="M651" s="13" t="s">
        <v>4075</v>
      </c>
      <c r="N651" s="13">
        <v>5.0</v>
      </c>
      <c r="O651" s="13" t="s">
        <v>3162</v>
      </c>
      <c r="P651" s="13" t="s">
        <v>4076</v>
      </c>
      <c r="Q651" s="13" t="s">
        <v>3210</v>
      </c>
      <c r="R651" s="13" t="s">
        <v>3163</v>
      </c>
      <c r="S651" s="13" t="s">
        <v>33</v>
      </c>
      <c r="T651" s="13" t="s">
        <v>3195</v>
      </c>
      <c r="U651" s="13" t="s">
        <v>3195</v>
      </c>
      <c r="V651" s="13" t="s">
        <v>3195</v>
      </c>
      <c r="W651" s="13" t="s">
        <v>3167</v>
      </c>
      <c r="X651" s="13" t="s">
        <v>3167</v>
      </c>
    </row>
    <row r="652" ht="14.25" customHeight="1">
      <c r="A652" s="13">
        <v>24900.0</v>
      </c>
      <c r="B652" s="13" t="s">
        <v>613</v>
      </c>
      <c r="C652" s="13">
        <v>2018.0</v>
      </c>
      <c r="D652" s="13" t="s">
        <v>3153</v>
      </c>
      <c r="E652" s="13" t="s">
        <v>3169</v>
      </c>
      <c r="F652" s="13" t="s">
        <v>3211</v>
      </c>
      <c r="G652" s="13" t="s">
        <v>3187</v>
      </c>
      <c r="H652" s="13">
        <v>2.0</v>
      </c>
      <c r="I652" s="13" t="s">
        <v>3157</v>
      </c>
      <c r="J652" s="13" t="s">
        <v>4077</v>
      </c>
      <c r="K652" s="13" t="s">
        <v>3208</v>
      </c>
      <c r="L652" s="13" t="s">
        <v>3160</v>
      </c>
      <c r="M652" s="13" t="s">
        <v>3484</v>
      </c>
      <c r="N652" s="13">
        <v>1.0</v>
      </c>
      <c r="O652" s="13" t="s">
        <v>3267</v>
      </c>
      <c r="P652" s="13" t="s">
        <v>33</v>
      </c>
      <c r="Q652" s="13" t="s">
        <v>3183</v>
      </c>
      <c r="R652" s="13" t="s">
        <v>3163</v>
      </c>
      <c r="S652" s="13" t="s">
        <v>4078</v>
      </c>
      <c r="T652" s="13" t="s">
        <v>3164</v>
      </c>
      <c r="U652" s="13" t="s">
        <v>3232</v>
      </c>
      <c r="V652" s="13" t="s">
        <v>3166</v>
      </c>
      <c r="W652" s="13" t="s">
        <v>3167</v>
      </c>
      <c r="X652" s="13" t="s">
        <v>3224</v>
      </c>
    </row>
    <row r="653" ht="14.25" customHeight="1">
      <c r="A653" s="13">
        <v>24901.0</v>
      </c>
      <c r="B653" s="13" t="s">
        <v>1338</v>
      </c>
      <c r="C653" s="13">
        <v>2016.0</v>
      </c>
      <c r="D653" s="13" t="s">
        <v>3153</v>
      </c>
      <c r="E653" s="13" t="s">
        <v>3169</v>
      </c>
      <c r="F653" s="13" t="s">
        <v>3217</v>
      </c>
      <c r="G653" s="13" t="s">
        <v>3156</v>
      </c>
      <c r="H653" s="13" t="s">
        <v>33</v>
      </c>
      <c r="I653" s="13" t="s">
        <v>3167</v>
      </c>
      <c r="J653" s="13" t="s">
        <v>3167</v>
      </c>
      <c r="K653" s="13" t="s">
        <v>3183</v>
      </c>
      <c r="L653" s="13" t="s">
        <v>3160</v>
      </c>
      <c r="M653" s="13" t="s">
        <v>3258</v>
      </c>
      <c r="N653" s="13">
        <v>1.0</v>
      </c>
      <c r="O653" s="13" t="s">
        <v>3162</v>
      </c>
      <c r="P653" s="13" t="s">
        <v>4079</v>
      </c>
      <c r="Q653" s="13" t="s">
        <v>3173</v>
      </c>
      <c r="R653" s="13" t="s">
        <v>3177</v>
      </c>
      <c r="S653" s="13" t="s">
        <v>33</v>
      </c>
      <c r="T653" s="13" t="s">
        <v>3197</v>
      </c>
      <c r="U653" s="13" t="s">
        <v>3197</v>
      </c>
      <c r="V653" s="13" t="s">
        <v>3242</v>
      </c>
      <c r="W653" s="13" t="s">
        <v>3294</v>
      </c>
      <c r="X653" s="13" t="s">
        <v>3167</v>
      </c>
    </row>
    <row r="654" ht="14.25" customHeight="1">
      <c r="A654" s="13">
        <v>26902.0</v>
      </c>
      <c r="B654" s="13" t="s">
        <v>4080</v>
      </c>
      <c r="C654" s="13">
        <v>2008.0</v>
      </c>
      <c r="D654" s="13" t="s">
        <v>3153</v>
      </c>
      <c r="E654" s="13" t="s">
        <v>3179</v>
      </c>
      <c r="F654" s="13" t="s">
        <v>3211</v>
      </c>
      <c r="G654" s="13" t="s">
        <v>33</v>
      </c>
      <c r="H654" s="13" t="s">
        <v>33</v>
      </c>
      <c r="I654" s="13" t="s">
        <v>3527</v>
      </c>
      <c r="J654" s="13" t="s">
        <v>4081</v>
      </c>
      <c r="K654" s="13" t="s">
        <v>3159</v>
      </c>
      <c r="L654" s="13" t="s">
        <v>3177</v>
      </c>
      <c r="M654" s="13" t="s">
        <v>3342</v>
      </c>
      <c r="N654" s="13">
        <v>1.0</v>
      </c>
      <c r="O654" s="13" t="s">
        <v>3162</v>
      </c>
      <c r="P654" s="13" t="s">
        <v>33</v>
      </c>
      <c r="Q654" s="13" t="s">
        <v>3159</v>
      </c>
      <c r="R654" s="13" t="s">
        <v>3177</v>
      </c>
      <c r="S654" s="13" t="s">
        <v>33</v>
      </c>
      <c r="T654" s="13" t="s">
        <v>3165</v>
      </c>
      <c r="U654" s="13" t="s">
        <v>3232</v>
      </c>
      <c r="V654" s="13" t="s">
        <v>3166</v>
      </c>
      <c r="W654" s="13" t="s">
        <v>3167</v>
      </c>
      <c r="X654" s="13" t="s">
        <v>3168</v>
      </c>
    </row>
    <row r="655" ht="14.25" customHeight="1">
      <c r="A655" s="13">
        <v>24903.0</v>
      </c>
      <c r="B655" s="13" t="s">
        <v>440</v>
      </c>
      <c r="C655" s="13">
        <v>2011.0</v>
      </c>
      <c r="D655" s="13" t="s">
        <v>3153</v>
      </c>
      <c r="E655" s="13" t="s">
        <v>3465</v>
      </c>
      <c r="F655" s="13" t="s">
        <v>3155</v>
      </c>
      <c r="G655" s="13" t="s">
        <v>3202</v>
      </c>
      <c r="H655" s="13">
        <v>250.0</v>
      </c>
      <c r="I655" s="13" t="s">
        <v>3203</v>
      </c>
      <c r="J655" s="13" t="s">
        <v>3204</v>
      </c>
      <c r="K655" s="13" t="s">
        <v>3333</v>
      </c>
      <c r="L655" s="13" t="s">
        <v>3177</v>
      </c>
      <c r="M655" s="13" t="s">
        <v>3161</v>
      </c>
      <c r="N655" s="13">
        <v>1.0</v>
      </c>
      <c r="O655" s="13" t="s">
        <v>3162</v>
      </c>
      <c r="P655" s="13" t="s">
        <v>3167</v>
      </c>
      <c r="Q655" s="13" t="s">
        <v>3173</v>
      </c>
      <c r="R655" s="13" t="s">
        <v>3231</v>
      </c>
      <c r="S655" s="13" t="s">
        <v>33</v>
      </c>
      <c r="T655" s="13" t="s">
        <v>3165</v>
      </c>
      <c r="U655" s="13" t="s">
        <v>3165</v>
      </c>
      <c r="V655" s="13" t="s">
        <v>3166</v>
      </c>
      <c r="W655" s="13" t="s">
        <v>3167</v>
      </c>
      <c r="X655" s="13" t="s">
        <v>3324</v>
      </c>
    </row>
    <row r="656" ht="14.25" customHeight="1">
      <c r="A656" s="13">
        <v>24912.0</v>
      </c>
      <c r="B656" s="13" t="s">
        <v>1100</v>
      </c>
      <c r="C656" s="13">
        <v>2018.0</v>
      </c>
      <c r="D656" s="13" t="s">
        <v>3153</v>
      </c>
      <c r="E656" s="13" t="s">
        <v>3465</v>
      </c>
      <c r="F656" s="13" t="s">
        <v>3211</v>
      </c>
      <c r="G656" s="13" t="s">
        <v>3156</v>
      </c>
      <c r="H656" s="13" t="s">
        <v>33</v>
      </c>
      <c r="I656" s="13" t="s">
        <v>3188</v>
      </c>
      <c r="J656" s="13" t="s">
        <v>3207</v>
      </c>
      <c r="K656" s="13" t="s">
        <v>3159</v>
      </c>
      <c r="L656" s="13" t="s">
        <v>3160</v>
      </c>
      <c r="M656" s="13" t="s">
        <v>3161</v>
      </c>
      <c r="N656" s="13">
        <v>1.0</v>
      </c>
      <c r="O656" s="13" t="s">
        <v>3162</v>
      </c>
      <c r="P656" s="13" t="s">
        <v>33</v>
      </c>
      <c r="Q656" s="13" t="s">
        <v>3159</v>
      </c>
      <c r="R656" s="13" t="s">
        <v>3163</v>
      </c>
      <c r="S656" s="13" t="s">
        <v>33</v>
      </c>
      <c r="T656" s="13" t="s">
        <v>3165</v>
      </c>
      <c r="U656" s="13" t="s">
        <v>3165</v>
      </c>
      <c r="V656" s="13" t="s">
        <v>3166</v>
      </c>
      <c r="W656" s="13" t="s">
        <v>3167</v>
      </c>
      <c r="X656" s="13" t="s">
        <v>3324</v>
      </c>
    </row>
    <row r="657" ht="14.25" customHeight="1">
      <c r="A657" s="13">
        <v>24913.0</v>
      </c>
      <c r="B657" s="13" t="s">
        <v>2648</v>
      </c>
      <c r="C657" s="13">
        <v>2020.0</v>
      </c>
      <c r="D657" s="13" t="s">
        <v>3153</v>
      </c>
      <c r="E657" s="13" t="s">
        <v>3169</v>
      </c>
      <c r="F657" s="13" t="s">
        <v>3170</v>
      </c>
      <c r="G657" s="13" t="s">
        <v>3156</v>
      </c>
      <c r="H657" s="13" t="s">
        <v>33</v>
      </c>
      <c r="I657" s="13" t="s">
        <v>3171</v>
      </c>
      <c r="J657" s="13" t="s">
        <v>3172</v>
      </c>
      <c r="K657" s="13" t="s">
        <v>3159</v>
      </c>
      <c r="L657" s="13" t="s">
        <v>3160</v>
      </c>
      <c r="M657" s="13" t="s">
        <v>3161</v>
      </c>
      <c r="N657" s="13">
        <v>1.0</v>
      </c>
      <c r="O657" s="13" t="s">
        <v>3162</v>
      </c>
      <c r="P657" s="13" t="s">
        <v>33</v>
      </c>
      <c r="Q657" s="13" t="s">
        <v>3210</v>
      </c>
      <c r="R657" s="13" t="s">
        <v>3163</v>
      </c>
      <c r="S657" s="13" t="s">
        <v>33</v>
      </c>
      <c r="T657" s="13" t="s">
        <v>3195</v>
      </c>
      <c r="U657" s="13" t="s">
        <v>3195</v>
      </c>
      <c r="V657" s="13" t="s">
        <v>3195</v>
      </c>
      <c r="W657" s="13" t="s">
        <v>3167</v>
      </c>
      <c r="X657" s="13" t="s">
        <v>3167</v>
      </c>
    </row>
    <row r="658" ht="14.25" customHeight="1">
      <c r="A658" s="13">
        <v>24917.0</v>
      </c>
      <c r="B658" s="13" t="s">
        <v>2127</v>
      </c>
      <c r="C658" s="13">
        <v>2018.0</v>
      </c>
      <c r="D658" s="13" t="s">
        <v>3153</v>
      </c>
      <c r="E658" s="13" t="s">
        <v>3169</v>
      </c>
      <c r="F658" s="13" t="s">
        <v>3155</v>
      </c>
      <c r="G658" s="13" t="s">
        <v>33</v>
      </c>
      <c r="H658" s="13" t="s">
        <v>33</v>
      </c>
      <c r="I658" s="13" t="s">
        <v>3188</v>
      </c>
      <c r="J658" s="13" t="s">
        <v>3286</v>
      </c>
      <c r="K658" s="13" t="s">
        <v>3183</v>
      </c>
      <c r="L658" s="13" t="s">
        <v>3160</v>
      </c>
      <c r="M658" s="13" t="s">
        <v>4082</v>
      </c>
      <c r="N658" s="13">
        <v>2.0</v>
      </c>
      <c r="O658" s="13" t="s">
        <v>3162</v>
      </c>
      <c r="P658" s="13" t="s">
        <v>3689</v>
      </c>
      <c r="Q658" s="13" t="s">
        <v>3183</v>
      </c>
      <c r="R658" s="13" t="s">
        <v>3163</v>
      </c>
      <c r="S658" s="13" t="s">
        <v>33</v>
      </c>
      <c r="T658" s="13" t="s">
        <v>3164</v>
      </c>
      <c r="U658" s="13" t="s">
        <v>3164</v>
      </c>
      <c r="V658" s="13" t="s">
        <v>3166</v>
      </c>
      <c r="W658" s="13" t="s">
        <v>3167</v>
      </c>
      <c r="X658" s="13" t="s">
        <v>3178</v>
      </c>
    </row>
    <row r="659" ht="14.25" customHeight="1">
      <c r="A659" s="13">
        <v>24902.0</v>
      </c>
      <c r="B659" s="13" t="s">
        <v>3004</v>
      </c>
      <c r="C659" s="13">
        <v>2007.0</v>
      </c>
      <c r="D659" s="13" t="s">
        <v>3153</v>
      </c>
      <c r="E659" s="13" t="s">
        <v>3465</v>
      </c>
      <c r="F659" s="13" t="s">
        <v>3217</v>
      </c>
      <c r="G659" s="13" t="s">
        <v>3202</v>
      </c>
      <c r="H659" s="13">
        <v>500.0</v>
      </c>
      <c r="I659" s="13" t="s">
        <v>3188</v>
      </c>
      <c r="J659" s="13" t="s">
        <v>4083</v>
      </c>
      <c r="K659" s="13" t="s">
        <v>3208</v>
      </c>
      <c r="L659" s="13" t="s">
        <v>3160</v>
      </c>
      <c r="M659" s="13" t="s">
        <v>3477</v>
      </c>
      <c r="N659" s="13">
        <v>1.0</v>
      </c>
      <c r="O659" s="13" t="s">
        <v>3162</v>
      </c>
      <c r="P659" s="13" t="s">
        <v>33</v>
      </c>
      <c r="Q659" s="13" t="s">
        <v>3273</v>
      </c>
      <c r="R659" s="13" t="s">
        <v>3163</v>
      </c>
      <c r="S659" s="13" t="s">
        <v>3329</v>
      </c>
      <c r="T659" s="13" t="s">
        <v>3247</v>
      </c>
      <c r="U659" s="13" t="s">
        <v>3247</v>
      </c>
      <c r="V659" s="13" t="s">
        <v>3242</v>
      </c>
      <c r="W659" s="13" t="s">
        <v>3496</v>
      </c>
      <c r="X659" s="13" t="s">
        <v>3167</v>
      </c>
    </row>
    <row r="660" ht="14.25" customHeight="1">
      <c r="A660" s="13">
        <v>24920.0</v>
      </c>
      <c r="B660" s="13" t="s">
        <v>2542</v>
      </c>
      <c r="C660" s="13">
        <v>2016.0</v>
      </c>
      <c r="D660" s="13" t="s">
        <v>3153</v>
      </c>
      <c r="E660" s="13" t="s">
        <v>3169</v>
      </c>
      <c r="F660" s="13" t="s">
        <v>3170</v>
      </c>
      <c r="G660" s="13" t="s">
        <v>3156</v>
      </c>
      <c r="H660" s="13" t="s">
        <v>33</v>
      </c>
      <c r="I660" s="13" t="s">
        <v>3188</v>
      </c>
      <c r="J660" s="13" t="s">
        <v>3207</v>
      </c>
      <c r="K660" s="13" t="s">
        <v>3159</v>
      </c>
      <c r="L660" s="13" t="s">
        <v>3160</v>
      </c>
      <c r="M660" s="13" t="s">
        <v>3161</v>
      </c>
      <c r="N660" s="13">
        <v>1.0</v>
      </c>
      <c r="O660" s="13" t="s">
        <v>3162</v>
      </c>
      <c r="P660" s="13" t="s">
        <v>33</v>
      </c>
      <c r="Q660" s="13" t="s">
        <v>3159</v>
      </c>
      <c r="R660" s="13" t="s">
        <v>3163</v>
      </c>
      <c r="S660" s="13" t="s">
        <v>33</v>
      </c>
      <c r="T660" s="13" t="s">
        <v>3164</v>
      </c>
      <c r="U660" s="13" t="s">
        <v>3164</v>
      </c>
      <c r="V660" s="13" t="s">
        <v>3166</v>
      </c>
      <c r="W660" s="13" t="s">
        <v>3167</v>
      </c>
      <c r="X660" s="13" t="s">
        <v>3178</v>
      </c>
    </row>
    <row r="661" ht="14.25" customHeight="1">
      <c r="A661" s="13">
        <v>24929.0</v>
      </c>
      <c r="B661" s="13" t="s">
        <v>1614</v>
      </c>
      <c r="C661" s="13">
        <v>2019.0</v>
      </c>
      <c r="D661" s="13" t="s">
        <v>3153</v>
      </c>
      <c r="E661" s="13" t="s">
        <v>3169</v>
      </c>
      <c r="F661" s="13" t="s">
        <v>3170</v>
      </c>
      <c r="G661" s="13" t="s">
        <v>3187</v>
      </c>
      <c r="H661" s="13">
        <v>1.0</v>
      </c>
      <c r="I661" s="13" t="s">
        <v>3188</v>
      </c>
      <c r="J661" s="13" t="s">
        <v>3207</v>
      </c>
      <c r="K661" s="13" t="s">
        <v>3201</v>
      </c>
      <c r="L661" s="13" t="s">
        <v>3177</v>
      </c>
      <c r="M661" s="13" t="s">
        <v>3161</v>
      </c>
      <c r="N661" s="13">
        <v>1.0</v>
      </c>
      <c r="O661" s="13" t="s">
        <v>3162</v>
      </c>
      <c r="P661" s="13" t="s">
        <v>33</v>
      </c>
      <c r="Q661" s="13" t="s">
        <v>3210</v>
      </c>
      <c r="R661" s="13" t="s">
        <v>3163</v>
      </c>
      <c r="S661" s="13" t="s">
        <v>33</v>
      </c>
      <c r="T661" s="13" t="s">
        <v>3195</v>
      </c>
      <c r="U661" s="13" t="s">
        <v>3195</v>
      </c>
      <c r="V661" s="13" t="s">
        <v>3195</v>
      </c>
      <c r="W661" s="13" t="s">
        <v>3167</v>
      </c>
      <c r="X661" s="13" t="s">
        <v>3167</v>
      </c>
    </row>
    <row r="662" ht="14.25" customHeight="1">
      <c r="A662" s="13">
        <v>24930.0</v>
      </c>
      <c r="B662" s="13" t="s">
        <v>1889</v>
      </c>
      <c r="C662" s="13">
        <v>2016.0</v>
      </c>
      <c r="D662" s="13" t="s">
        <v>3153</v>
      </c>
      <c r="E662" s="13" t="s">
        <v>3154</v>
      </c>
      <c r="F662" s="13" t="s">
        <v>3155</v>
      </c>
      <c r="G662" s="13" t="s">
        <v>3187</v>
      </c>
      <c r="H662" s="13">
        <v>1.0</v>
      </c>
      <c r="I662" s="13" t="s">
        <v>3157</v>
      </c>
      <c r="J662" s="13" t="s">
        <v>3240</v>
      </c>
      <c r="K662" s="13" t="s">
        <v>3333</v>
      </c>
      <c r="L662" s="13" t="s">
        <v>3177</v>
      </c>
      <c r="M662" s="13" t="s">
        <v>3536</v>
      </c>
      <c r="N662" s="13">
        <v>1.0</v>
      </c>
      <c r="O662" s="13" t="s">
        <v>3162</v>
      </c>
      <c r="P662" s="13" t="s">
        <v>3167</v>
      </c>
      <c r="Q662" s="13" t="s">
        <v>3159</v>
      </c>
      <c r="R662" s="13" t="s">
        <v>3231</v>
      </c>
      <c r="S662" s="13" t="s">
        <v>33</v>
      </c>
      <c r="T662" s="13" t="s">
        <v>3197</v>
      </c>
      <c r="U662" s="13" t="s">
        <v>3197</v>
      </c>
      <c r="V662" s="13" t="s">
        <v>3166</v>
      </c>
      <c r="W662" s="13" t="s">
        <v>3167</v>
      </c>
      <c r="X662" s="13" t="s">
        <v>3255</v>
      </c>
    </row>
    <row r="663" ht="14.25" customHeight="1">
      <c r="A663" s="13">
        <v>24935.0</v>
      </c>
      <c r="B663" s="13" t="s">
        <v>2969</v>
      </c>
      <c r="C663" s="13">
        <v>2020.0</v>
      </c>
      <c r="D663" s="13" t="s">
        <v>3153</v>
      </c>
      <c r="E663" s="13" t="s">
        <v>3169</v>
      </c>
      <c r="F663" s="13" t="s">
        <v>3211</v>
      </c>
      <c r="G663" s="13" t="s">
        <v>3187</v>
      </c>
      <c r="H663" s="13">
        <v>441.0</v>
      </c>
      <c r="I663" s="13" t="s">
        <v>3244</v>
      </c>
      <c r="J663" s="13" t="s">
        <v>4084</v>
      </c>
      <c r="K663" s="13" t="s">
        <v>3183</v>
      </c>
      <c r="L663" s="13" t="s">
        <v>3177</v>
      </c>
      <c r="M663" s="13" t="s">
        <v>3319</v>
      </c>
      <c r="N663" s="13">
        <v>2.0</v>
      </c>
      <c r="O663" s="13" t="s">
        <v>3175</v>
      </c>
      <c r="P663" s="13" t="s">
        <v>33</v>
      </c>
      <c r="Q663" s="13" t="s">
        <v>3186</v>
      </c>
      <c r="R663" s="13" t="s">
        <v>3163</v>
      </c>
      <c r="S663" s="13" t="s">
        <v>33</v>
      </c>
      <c r="T663" s="13" t="s">
        <v>3232</v>
      </c>
      <c r="U663" s="13" t="s">
        <v>3232</v>
      </c>
      <c r="V663" s="13" t="s">
        <v>3166</v>
      </c>
      <c r="W663" s="13" t="s">
        <v>3167</v>
      </c>
      <c r="X663" s="13" t="s">
        <v>3224</v>
      </c>
    </row>
    <row r="664" ht="14.25" customHeight="1">
      <c r="A664" s="13">
        <v>24937.0</v>
      </c>
      <c r="B664" s="13" t="s">
        <v>1059</v>
      </c>
      <c r="C664" s="13">
        <v>2019.0</v>
      </c>
      <c r="D664" s="13" t="s">
        <v>3153</v>
      </c>
      <c r="E664" s="13" t="s">
        <v>3169</v>
      </c>
      <c r="F664" s="13" t="s">
        <v>3155</v>
      </c>
      <c r="G664" s="13" t="s">
        <v>3187</v>
      </c>
      <c r="H664" s="13">
        <v>10.0</v>
      </c>
      <c r="I664" s="13" t="s">
        <v>3244</v>
      </c>
      <c r="J664" s="13" t="s">
        <v>3245</v>
      </c>
      <c r="K664" s="13" t="s">
        <v>3183</v>
      </c>
      <c r="L664" s="13" t="s">
        <v>3177</v>
      </c>
      <c r="M664" s="13" t="s">
        <v>4085</v>
      </c>
      <c r="N664" s="13">
        <v>5.0</v>
      </c>
      <c r="O664" s="13" t="s">
        <v>3175</v>
      </c>
      <c r="P664" s="13" t="s">
        <v>3689</v>
      </c>
      <c r="Q664" s="13" t="s">
        <v>3353</v>
      </c>
      <c r="R664" s="13" t="s">
        <v>3177</v>
      </c>
      <c r="S664" s="13" t="s">
        <v>4086</v>
      </c>
      <c r="T664" s="13" t="s">
        <v>3247</v>
      </c>
      <c r="U664" s="13" t="s">
        <v>3247</v>
      </c>
      <c r="V664" s="13" t="s">
        <v>3242</v>
      </c>
      <c r="W664" s="13" t="s">
        <v>3248</v>
      </c>
      <c r="X664" s="13" t="s">
        <v>3167</v>
      </c>
    </row>
    <row r="665" ht="14.25" customHeight="1">
      <c r="A665" s="13">
        <v>24944.0</v>
      </c>
      <c r="B665" s="13" t="s">
        <v>1496</v>
      </c>
      <c r="C665" s="13">
        <v>2019.0</v>
      </c>
      <c r="D665" s="13" t="s">
        <v>3153</v>
      </c>
      <c r="E665" s="13" t="s">
        <v>3179</v>
      </c>
      <c r="F665" s="13" t="s">
        <v>3170</v>
      </c>
      <c r="G665" s="13" t="s">
        <v>3187</v>
      </c>
      <c r="H665" s="13">
        <v>1.0</v>
      </c>
      <c r="I665" s="13" t="s">
        <v>3261</v>
      </c>
      <c r="J665" s="13" t="s">
        <v>3240</v>
      </c>
      <c r="K665" s="13" t="s">
        <v>3159</v>
      </c>
      <c r="L665" s="13" t="s">
        <v>3160</v>
      </c>
      <c r="M665" s="13" t="s">
        <v>3342</v>
      </c>
      <c r="N665" s="13">
        <v>1.0</v>
      </c>
      <c r="O665" s="13" t="s">
        <v>3162</v>
      </c>
      <c r="P665" s="13" t="s">
        <v>33</v>
      </c>
      <c r="Q665" s="13" t="s">
        <v>3333</v>
      </c>
      <c r="R665" s="13" t="s">
        <v>3177</v>
      </c>
      <c r="S665" s="13" t="s">
        <v>33</v>
      </c>
      <c r="T665" s="13" t="s">
        <v>3252</v>
      </c>
      <c r="U665" s="13" t="s">
        <v>3252</v>
      </c>
      <c r="V665" s="13" t="s">
        <v>3253</v>
      </c>
      <c r="W665" s="13" t="s">
        <v>3634</v>
      </c>
      <c r="X665" s="13" t="s">
        <v>3632</v>
      </c>
    </row>
    <row r="666" ht="14.25" customHeight="1">
      <c r="A666" s="13">
        <v>24943.0</v>
      </c>
      <c r="B666" s="13" t="s">
        <v>222</v>
      </c>
      <c r="C666" s="13">
        <v>2015.0</v>
      </c>
      <c r="D666" s="13" t="s">
        <v>3153</v>
      </c>
      <c r="E666" s="13" t="s">
        <v>3169</v>
      </c>
      <c r="F666" s="13" t="s">
        <v>3170</v>
      </c>
      <c r="G666" s="13" t="s">
        <v>3156</v>
      </c>
      <c r="H666" s="13" t="s">
        <v>3167</v>
      </c>
      <c r="I666" s="13" t="s">
        <v>3222</v>
      </c>
      <c r="J666" s="13" t="s">
        <v>3229</v>
      </c>
      <c r="K666" s="13" t="s">
        <v>3282</v>
      </c>
      <c r="L666" s="13" t="s">
        <v>3160</v>
      </c>
      <c r="M666" s="13" t="s">
        <v>3230</v>
      </c>
      <c r="N666" s="13">
        <v>1.0</v>
      </c>
      <c r="O666" s="13" t="s">
        <v>3162</v>
      </c>
      <c r="P666" s="13" t="s">
        <v>4087</v>
      </c>
      <c r="Q666" s="13" t="s">
        <v>3183</v>
      </c>
      <c r="R666" s="13" t="s">
        <v>3231</v>
      </c>
      <c r="S666" s="13" t="s">
        <v>33</v>
      </c>
      <c r="T666" s="13" t="s">
        <v>3164</v>
      </c>
      <c r="U666" s="13" t="s">
        <v>3164</v>
      </c>
      <c r="V666" s="13" t="s">
        <v>3166</v>
      </c>
      <c r="W666" s="13" t="s">
        <v>3167</v>
      </c>
      <c r="X666" s="13" t="s">
        <v>3178</v>
      </c>
    </row>
    <row r="667" ht="14.25" customHeight="1">
      <c r="A667" s="13">
        <v>24945.0</v>
      </c>
      <c r="B667" s="13" t="s">
        <v>361</v>
      </c>
      <c r="C667" s="13">
        <v>2020.0</v>
      </c>
      <c r="D667" s="13" t="s">
        <v>3153</v>
      </c>
      <c r="E667" s="13" t="s">
        <v>3169</v>
      </c>
      <c r="F667" s="13" t="s">
        <v>3192</v>
      </c>
      <c r="G667" s="13" t="s">
        <v>3187</v>
      </c>
      <c r="H667" s="13">
        <v>1.0</v>
      </c>
      <c r="I667" s="13" t="s">
        <v>3188</v>
      </c>
      <c r="J667" s="13" t="s">
        <v>3286</v>
      </c>
      <c r="K667" s="13" t="s">
        <v>3183</v>
      </c>
      <c r="L667" s="13" t="s">
        <v>3160</v>
      </c>
      <c r="M667" s="13" t="s">
        <v>4005</v>
      </c>
      <c r="N667" s="13">
        <v>4.0</v>
      </c>
      <c r="O667" s="13" t="s">
        <v>3162</v>
      </c>
      <c r="P667" s="13" t="s">
        <v>3689</v>
      </c>
      <c r="Q667" s="13" t="s">
        <v>3210</v>
      </c>
      <c r="R667" s="13" t="s">
        <v>3163</v>
      </c>
      <c r="S667" s="13" t="s">
        <v>33</v>
      </c>
      <c r="T667" s="13" t="s">
        <v>3195</v>
      </c>
      <c r="U667" s="13" t="s">
        <v>3195</v>
      </c>
      <c r="V667" s="13" t="s">
        <v>3195</v>
      </c>
      <c r="W667" s="13" t="s">
        <v>3167</v>
      </c>
      <c r="X667" s="13" t="s">
        <v>3167</v>
      </c>
    </row>
    <row r="668" ht="14.25" customHeight="1">
      <c r="A668" s="13">
        <v>24951.0</v>
      </c>
      <c r="B668" s="13" t="s">
        <v>1264</v>
      </c>
      <c r="C668" s="13">
        <v>2017.0</v>
      </c>
      <c r="D668" s="13" t="s">
        <v>3153</v>
      </c>
      <c r="E668" s="13" t="s">
        <v>3179</v>
      </c>
      <c r="F668" s="13" t="s">
        <v>3155</v>
      </c>
      <c r="G668" s="13" t="s">
        <v>3187</v>
      </c>
      <c r="H668" s="13">
        <v>400.0</v>
      </c>
      <c r="I668" s="13" t="s">
        <v>3261</v>
      </c>
      <c r="J668" s="13" t="s">
        <v>3400</v>
      </c>
      <c r="K668" s="13" t="s">
        <v>3381</v>
      </c>
      <c r="L668" s="13" t="s">
        <v>3177</v>
      </c>
      <c r="M668" s="13" t="s">
        <v>3342</v>
      </c>
      <c r="N668" s="13">
        <v>1.0</v>
      </c>
      <c r="O668" s="13" t="s">
        <v>3162</v>
      </c>
      <c r="P668" s="13" t="s">
        <v>4088</v>
      </c>
      <c r="Q668" s="13" t="s">
        <v>3159</v>
      </c>
      <c r="R668" s="13" t="s">
        <v>3231</v>
      </c>
      <c r="S668" s="13" t="s">
        <v>33</v>
      </c>
      <c r="T668" s="13" t="s">
        <v>3247</v>
      </c>
      <c r="U668" s="13" t="s">
        <v>3247</v>
      </c>
      <c r="V668" s="13" t="s">
        <v>3166</v>
      </c>
      <c r="W668" s="13" t="s">
        <v>3167</v>
      </c>
      <c r="X668" s="13" t="s">
        <v>4003</v>
      </c>
    </row>
    <row r="669" ht="14.25" customHeight="1">
      <c r="A669" s="13">
        <v>24956.0</v>
      </c>
      <c r="B669" s="13" t="s">
        <v>2341</v>
      </c>
      <c r="C669" s="13">
        <v>2011.0</v>
      </c>
      <c r="D669" s="13" t="s">
        <v>3153</v>
      </c>
      <c r="E669" s="13" t="s">
        <v>3169</v>
      </c>
      <c r="F669" s="13" t="s">
        <v>3170</v>
      </c>
      <c r="G669" s="13" t="s">
        <v>3156</v>
      </c>
      <c r="H669" s="13" t="s">
        <v>33</v>
      </c>
      <c r="I669" s="13" t="s">
        <v>3203</v>
      </c>
      <c r="J669" s="13" t="s">
        <v>3204</v>
      </c>
      <c r="K669" s="13" t="s">
        <v>3159</v>
      </c>
      <c r="L669" s="13" t="s">
        <v>3160</v>
      </c>
      <c r="M669" s="13" t="s">
        <v>3161</v>
      </c>
      <c r="N669" s="13">
        <v>1.0</v>
      </c>
      <c r="O669" s="13" t="s">
        <v>3162</v>
      </c>
      <c r="P669" s="13" t="s">
        <v>33</v>
      </c>
      <c r="Q669" s="13" t="s">
        <v>3210</v>
      </c>
      <c r="R669" s="13" t="s">
        <v>3163</v>
      </c>
      <c r="S669" s="13" t="s">
        <v>33</v>
      </c>
      <c r="T669" s="13" t="s">
        <v>3195</v>
      </c>
      <c r="U669" s="13" t="s">
        <v>3195</v>
      </c>
      <c r="V669" s="13" t="s">
        <v>3195</v>
      </c>
      <c r="W669" s="13" t="s">
        <v>3167</v>
      </c>
      <c r="X669" s="13" t="s">
        <v>3167</v>
      </c>
    </row>
    <row r="670" ht="14.25" customHeight="1">
      <c r="A670" s="13">
        <v>24959.0</v>
      </c>
      <c r="B670" s="13" t="s">
        <v>968</v>
      </c>
      <c r="C670" s="13">
        <v>2017.0</v>
      </c>
      <c r="D670" s="13" t="s">
        <v>3153</v>
      </c>
      <c r="E670" s="13" t="s">
        <v>3169</v>
      </c>
      <c r="F670" s="13" t="s">
        <v>3170</v>
      </c>
      <c r="G670" s="13" t="s">
        <v>3202</v>
      </c>
      <c r="H670" s="13">
        <v>0.5</v>
      </c>
      <c r="I670" s="13" t="s">
        <v>3188</v>
      </c>
      <c r="J670" s="13" t="s">
        <v>4089</v>
      </c>
      <c r="K670" s="13" t="s">
        <v>3208</v>
      </c>
      <c r="L670" s="13" t="s">
        <v>3160</v>
      </c>
      <c r="M670" s="13" t="s">
        <v>4090</v>
      </c>
      <c r="N670" s="13">
        <v>2.0</v>
      </c>
      <c r="O670" s="13" t="s">
        <v>3162</v>
      </c>
      <c r="P670" s="13" t="s">
        <v>3167</v>
      </c>
      <c r="Q670" s="13" t="s">
        <v>3208</v>
      </c>
      <c r="R670" s="13" t="s">
        <v>3231</v>
      </c>
      <c r="S670" s="13" t="s">
        <v>33</v>
      </c>
      <c r="T670" s="13" t="s">
        <v>3197</v>
      </c>
      <c r="U670" s="13" t="s">
        <v>3197</v>
      </c>
      <c r="V670" s="13" t="s">
        <v>3242</v>
      </c>
      <c r="W670" s="13" t="s">
        <v>3248</v>
      </c>
      <c r="X670" s="13" t="s">
        <v>3167</v>
      </c>
    </row>
    <row r="671" ht="14.25" customHeight="1">
      <c r="A671" s="13">
        <v>24962.0</v>
      </c>
      <c r="B671" s="13" t="s">
        <v>1468</v>
      </c>
      <c r="C671" s="13">
        <v>2020.0</v>
      </c>
      <c r="D671" s="13" t="s">
        <v>3153</v>
      </c>
      <c r="E671" s="13" t="s">
        <v>3169</v>
      </c>
      <c r="F671" s="13" t="s">
        <v>3170</v>
      </c>
      <c r="G671" s="13" t="s">
        <v>3187</v>
      </c>
      <c r="H671" s="13">
        <v>1.0</v>
      </c>
      <c r="I671" s="13" t="s">
        <v>3222</v>
      </c>
      <c r="J671" s="13" t="s">
        <v>3182</v>
      </c>
      <c r="K671" s="13" t="s">
        <v>3270</v>
      </c>
      <c r="L671" s="13" t="s">
        <v>3177</v>
      </c>
      <c r="M671" s="13" t="s">
        <v>4091</v>
      </c>
      <c r="N671" s="13">
        <v>4.0</v>
      </c>
      <c r="O671" s="13" t="s">
        <v>3162</v>
      </c>
      <c r="P671" s="13" t="s">
        <v>33</v>
      </c>
      <c r="Q671" s="13" t="s">
        <v>3159</v>
      </c>
      <c r="R671" s="13" t="s">
        <v>3163</v>
      </c>
      <c r="S671" s="13" t="s">
        <v>33</v>
      </c>
      <c r="T671" s="13" t="s">
        <v>3165</v>
      </c>
      <c r="U671" s="13" t="s">
        <v>3165</v>
      </c>
      <c r="V671" s="13" t="s">
        <v>3166</v>
      </c>
      <c r="W671" s="13" t="s">
        <v>3167</v>
      </c>
      <c r="X671" s="13" t="s">
        <v>3178</v>
      </c>
    </row>
    <row r="672" ht="14.25" customHeight="1">
      <c r="A672" s="13">
        <v>24963.0</v>
      </c>
      <c r="B672" s="13" t="s">
        <v>1994</v>
      </c>
      <c r="C672" s="13">
        <v>2004.0</v>
      </c>
      <c r="D672" s="13" t="s">
        <v>3153</v>
      </c>
      <c r="E672" s="13" t="s">
        <v>3169</v>
      </c>
      <c r="F672" s="13" t="s">
        <v>3192</v>
      </c>
      <c r="G672" s="13" t="s">
        <v>33</v>
      </c>
      <c r="H672" s="13" t="s">
        <v>33</v>
      </c>
      <c r="I672" s="13" t="s">
        <v>3222</v>
      </c>
      <c r="J672" s="13" t="s">
        <v>3229</v>
      </c>
      <c r="K672" s="13" t="s">
        <v>3173</v>
      </c>
      <c r="L672" s="13" t="s">
        <v>3177</v>
      </c>
      <c r="M672" s="13" t="s">
        <v>4092</v>
      </c>
      <c r="N672" s="13">
        <v>3.0</v>
      </c>
      <c r="O672" s="13" t="s">
        <v>3175</v>
      </c>
      <c r="P672" s="13" t="s">
        <v>33</v>
      </c>
      <c r="Q672" s="13" t="s">
        <v>3173</v>
      </c>
      <c r="R672" s="13" t="s">
        <v>3177</v>
      </c>
      <c r="S672" s="13" t="s">
        <v>33</v>
      </c>
      <c r="T672" s="13" t="s">
        <v>3164</v>
      </c>
      <c r="U672" s="13" t="s">
        <v>3164</v>
      </c>
      <c r="V672" s="13" t="s">
        <v>3166</v>
      </c>
      <c r="W672" s="13" t="s">
        <v>3167</v>
      </c>
      <c r="X672" s="13" t="s">
        <v>3178</v>
      </c>
    </row>
    <row r="673" ht="14.25" customHeight="1">
      <c r="A673" s="13">
        <v>24966.0</v>
      </c>
      <c r="B673" s="13" t="s">
        <v>2525</v>
      </c>
      <c r="C673" s="13">
        <v>2019.0</v>
      </c>
      <c r="D673" s="13" t="s">
        <v>3153</v>
      </c>
      <c r="E673" s="13" t="s">
        <v>3169</v>
      </c>
      <c r="F673" s="13" t="s">
        <v>3170</v>
      </c>
      <c r="G673" s="13" t="s">
        <v>33</v>
      </c>
      <c r="H673" s="13" t="s">
        <v>33</v>
      </c>
      <c r="I673" s="13" t="s">
        <v>3171</v>
      </c>
      <c r="J673" s="13" t="s">
        <v>3378</v>
      </c>
      <c r="K673" s="13" t="s">
        <v>3190</v>
      </c>
      <c r="L673" s="13" t="s">
        <v>3177</v>
      </c>
      <c r="M673" s="13" t="s">
        <v>3391</v>
      </c>
      <c r="N673" s="13">
        <v>1.0</v>
      </c>
      <c r="O673" s="13" t="s">
        <v>3162</v>
      </c>
      <c r="P673" s="13" t="s">
        <v>33</v>
      </c>
      <c r="Q673" s="13" t="s">
        <v>3190</v>
      </c>
      <c r="R673" s="13" t="s">
        <v>3177</v>
      </c>
      <c r="S673" s="13" t="s">
        <v>33</v>
      </c>
      <c r="T673" s="13" t="s">
        <v>3232</v>
      </c>
      <c r="U673" s="13" t="s">
        <v>3232</v>
      </c>
      <c r="V673" s="13" t="s">
        <v>3166</v>
      </c>
      <c r="W673" s="13" t="s">
        <v>3167</v>
      </c>
      <c r="X673" s="13" t="s">
        <v>3178</v>
      </c>
    </row>
    <row r="674" ht="14.25" customHeight="1">
      <c r="A674" s="13">
        <v>24971.0</v>
      </c>
      <c r="B674" s="13" t="s">
        <v>741</v>
      </c>
      <c r="C674" s="13">
        <v>2017.0</v>
      </c>
      <c r="D674" s="13" t="s">
        <v>3153</v>
      </c>
      <c r="E674" s="13" t="s">
        <v>3169</v>
      </c>
      <c r="F674" s="13" t="s">
        <v>3170</v>
      </c>
      <c r="G674" s="13" t="s">
        <v>3202</v>
      </c>
      <c r="H674" s="13">
        <v>2.0</v>
      </c>
      <c r="I674" s="13" t="s">
        <v>3188</v>
      </c>
      <c r="J674" s="13" t="s">
        <v>3207</v>
      </c>
      <c r="K674" s="13" t="s">
        <v>3208</v>
      </c>
      <c r="L674" s="13" t="s">
        <v>3160</v>
      </c>
      <c r="M674" s="13" t="s">
        <v>3161</v>
      </c>
      <c r="N674" s="13">
        <v>1.0</v>
      </c>
      <c r="O674" s="13" t="s">
        <v>3162</v>
      </c>
      <c r="P674" s="13" t="s">
        <v>33</v>
      </c>
      <c r="Q674" s="13" t="s">
        <v>3210</v>
      </c>
      <c r="R674" s="13" t="s">
        <v>3163</v>
      </c>
      <c r="S674" s="13" t="s">
        <v>33</v>
      </c>
      <c r="T674" s="13" t="s">
        <v>3195</v>
      </c>
      <c r="U674" s="13" t="s">
        <v>3195</v>
      </c>
      <c r="V674" s="13" t="s">
        <v>3195</v>
      </c>
      <c r="W674" s="13" t="s">
        <v>3167</v>
      </c>
      <c r="X674" s="13" t="s">
        <v>3167</v>
      </c>
    </row>
    <row r="675" ht="14.25" customHeight="1">
      <c r="A675" s="13">
        <v>24974.0</v>
      </c>
      <c r="B675" s="13" t="s">
        <v>1954</v>
      </c>
      <c r="C675" s="13">
        <v>2011.0</v>
      </c>
      <c r="D675" s="13" t="s">
        <v>3153</v>
      </c>
      <c r="E675" s="13" t="s">
        <v>3169</v>
      </c>
      <c r="F675" s="13" t="s">
        <v>3192</v>
      </c>
      <c r="G675" s="13" t="s">
        <v>3156</v>
      </c>
      <c r="H675" s="13" t="s">
        <v>33</v>
      </c>
      <c r="I675" s="13" t="s">
        <v>3222</v>
      </c>
      <c r="J675" s="13" t="s">
        <v>3229</v>
      </c>
      <c r="K675" s="13" t="s">
        <v>3159</v>
      </c>
      <c r="L675" s="13" t="s">
        <v>3177</v>
      </c>
      <c r="M675" s="13" t="s">
        <v>3161</v>
      </c>
      <c r="N675" s="13">
        <v>1.0</v>
      </c>
      <c r="O675" s="13" t="s">
        <v>3162</v>
      </c>
      <c r="P675" s="13" t="s">
        <v>33</v>
      </c>
      <c r="Q675" s="13" t="s">
        <v>3159</v>
      </c>
      <c r="R675" s="13" t="s">
        <v>3177</v>
      </c>
      <c r="S675" s="13" t="s">
        <v>33</v>
      </c>
      <c r="T675" s="13" t="s">
        <v>3164</v>
      </c>
      <c r="U675" s="13" t="s">
        <v>3164</v>
      </c>
      <c r="V675" s="13" t="s">
        <v>3166</v>
      </c>
      <c r="W675" s="13" t="s">
        <v>3167</v>
      </c>
      <c r="X675" s="13" t="s">
        <v>3178</v>
      </c>
    </row>
    <row r="676" ht="14.25" customHeight="1">
      <c r="A676" s="13">
        <v>24977.0</v>
      </c>
      <c r="B676" s="13" t="s">
        <v>1536</v>
      </c>
      <c r="C676" s="13">
        <v>2020.0</v>
      </c>
      <c r="D676" s="13" t="s">
        <v>3153</v>
      </c>
      <c r="E676" s="13" t="s">
        <v>3179</v>
      </c>
      <c r="F676" s="13" t="s">
        <v>3170</v>
      </c>
      <c r="G676" s="13" t="s">
        <v>3156</v>
      </c>
      <c r="H676" s="13" t="s">
        <v>3167</v>
      </c>
      <c r="I676" s="13" t="s">
        <v>3264</v>
      </c>
      <c r="J676" s="13" t="s">
        <v>3204</v>
      </c>
      <c r="K676" s="13" t="s">
        <v>3190</v>
      </c>
      <c r="L676" s="13" t="s">
        <v>3160</v>
      </c>
      <c r="M676" s="13" t="s">
        <v>4093</v>
      </c>
      <c r="N676" s="13">
        <v>5.0</v>
      </c>
      <c r="O676" s="13" t="s">
        <v>3175</v>
      </c>
      <c r="P676" s="13" t="s">
        <v>3167</v>
      </c>
      <c r="Q676" s="13" t="s">
        <v>3190</v>
      </c>
      <c r="R676" s="13" t="s">
        <v>3231</v>
      </c>
      <c r="S676" s="13" t="s">
        <v>33</v>
      </c>
      <c r="T676" s="13" t="s">
        <v>3197</v>
      </c>
      <c r="U676" s="13" t="s">
        <v>3197</v>
      </c>
      <c r="V676" s="13" t="s">
        <v>3166</v>
      </c>
      <c r="W676" s="13" t="s">
        <v>3167</v>
      </c>
      <c r="X676" s="13" t="s">
        <v>4094</v>
      </c>
    </row>
    <row r="677" ht="14.25" customHeight="1">
      <c r="A677" s="13">
        <v>24978.0</v>
      </c>
      <c r="B677" s="13" t="s">
        <v>2417</v>
      </c>
      <c r="C677" s="13">
        <v>2010.0</v>
      </c>
      <c r="D677" s="13" t="s">
        <v>3153</v>
      </c>
      <c r="E677" s="13" t="s">
        <v>3154</v>
      </c>
      <c r="F677" s="13" t="s">
        <v>3155</v>
      </c>
      <c r="G677" s="13" t="s">
        <v>33</v>
      </c>
      <c r="H677" s="13" t="s">
        <v>33</v>
      </c>
      <c r="I677" s="13" t="s">
        <v>3244</v>
      </c>
      <c r="J677" s="13" t="s">
        <v>3289</v>
      </c>
      <c r="K677" s="13" t="s">
        <v>3183</v>
      </c>
      <c r="L677" s="13" t="s">
        <v>3160</v>
      </c>
      <c r="M677" s="13" t="s">
        <v>3291</v>
      </c>
      <c r="N677" s="13">
        <v>1.0</v>
      </c>
      <c r="O677" s="13" t="s">
        <v>3162</v>
      </c>
      <c r="P677" s="13" t="s">
        <v>33</v>
      </c>
      <c r="Q677" s="13" t="s">
        <v>3173</v>
      </c>
      <c r="R677" s="13" t="s">
        <v>3163</v>
      </c>
      <c r="S677" s="13" t="s">
        <v>33</v>
      </c>
      <c r="T677" s="13" t="s">
        <v>3197</v>
      </c>
      <c r="U677" s="13" t="s">
        <v>3197</v>
      </c>
      <c r="V677" s="13" t="s">
        <v>3166</v>
      </c>
      <c r="W677" s="13" t="s">
        <v>3167</v>
      </c>
      <c r="X677" s="13" t="s">
        <v>3255</v>
      </c>
    </row>
    <row r="678" ht="14.25" customHeight="1">
      <c r="A678" s="13">
        <v>24991.0</v>
      </c>
      <c r="B678" s="13" t="s">
        <v>2718</v>
      </c>
      <c r="C678" s="13">
        <v>2019.0</v>
      </c>
      <c r="D678" s="13" t="s">
        <v>3153</v>
      </c>
      <c r="E678" s="13" t="s">
        <v>3169</v>
      </c>
      <c r="F678" s="13" t="s">
        <v>3192</v>
      </c>
      <c r="G678" s="13" t="s">
        <v>33</v>
      </c>
      <c r="H678" s="13" t="s">
        <v>33</v>
      </c>
      <c r="I678" s="13" t="s">
        <v>3222</v>
      </c>
      <c r="J678" s="13" t="s">
        <v>3182</v>
      </c>
      <c r="K678" s="13" t="s">
        <v>3208</v>
      </c>
      <c r="L678" s="13" t="s">
        <v>3160</v>
      </c>
      <c r="M678" s="13" t="s">
        <v>3474</v>
      </c>
      <c r="N678" s="13">
        <v>2.0</v>
      </c>
      <c r="O678" s="13" t="s">
        <v>3162</v>
      </c>
      <c r="P678" s="13" t="s">
        <v>33</v>
      </c>
      <c r="Q678" s="13" t="s">
        <v>3183</v>
      </c>
      <c r="R678" s="13" t="s">
        <v>3163</v>
      </c>
      <c r="S678" s="13" t="s">
        <v>4095</v>
      </c>
      <c r="T678" s="13" t="s">
        <v>3232</v>
      </c>
      <c r="U678" s="13" t="s">
        <v>3232</v>
      </c>
      <c r="V678" s="13" t="s">
        <v>3166</v>
      </c>
      <c r="W678" s="13" t="s">
        <v>3167</v>
      </c>
      <c r="X678" s="13" t="s">
        <v>3224</v>
      </c>
    </row>
    <row r="679" ht="14.25" customHeight="1">
      <c r="A679" s="13" t="s">
        <v>316</v>
      </c>
      <c r="B679" s="13" t="s">
        <v>317</v>
      </c>
      <c r="C679" s="13">
        <v>2016.0</v>
      </c>
      <c r="D679" s="13" t="s">
        <v>3153</v>
      </c>
      <c r="E679" s="13" t="s">
        <v>3169</v>
      </c>
      <c r="F679" s="13" t="s">
        <v>3211</v>
      </c>
      <c r="G679" s="13" t="s">
        <v>3156</v>
      </c>
      <c r="H679" s="13" t="s">
        <v>33</v>
      </c>
      <c r="I679" s="13" t="s">
        <v>3188</v>
      </c>
      <c r="J679" s="13" t="s">
        <v>4096</v>
      </c>
      <c r="K679" s="13" t="s">
        <v>3173</v>
      </c>
      <c r="L679" s="13" t="s">
        <v>3160</v>
      </c>
      <c r="M679" s="13" t="s">
        <v>3391</v>
      </c>
      <c r="N679" s="13">
        <v>1.0</v>
      </c>
      <c r="O679" s="13" t="s">
        <v>3162</v>
      </c>
      <c r="P679" s="13" t="s">
        <v>33</v>
      </c>
      <c r="Q679" s="13" t="s">
        <v>3173</v>
      </c>
      <c r="R679" s="13" t="s">
        <v>3163</v>
      </c>
      <c r="S679" s="13" t="s">
        <v>33</v>
      </c>
      <c r="T679" s="13" t="s">
        <v>3164</v>
      </c>
      <c r="U679" s="13" t="s">
        <v>3164</v>
      </c>
      <c r="V679" s="13" t="s">
        <v>3166</v>
      </c>
      <c r="W679" s="13" t="s">
        <v>3167</v>
      </c>
      <c r="X679" s="13" t="s">
        <v>3178</v>
      </c>
    </row>
    <row r="680" ht="14.25" customHeight="1">
      <c r="A680" s="13">
        <v>25005.0</v>
      </c>
      <c r="B680" s="13" t="s">
        <v>1149</v>
      </c>
      <c r="C680" s="13">
        <v>2019.0</v>
      </c>
      <c r="D680" s="13" t="s">
        <v>3315</v>
      </c>
      <c r="E680" s="13" t="s">
        <v>3179</v>
      </c>
      <c r="F680" s="13" t="s">
        <v>3211</v>
      </c>
      <c r="G680" s="13" t="s">
        <v>3156</v>
      </c>
      <c r="H680" s="13" t="s">
        <v>3167</v>
      </c>
      <c r="I680" s="13" t="s">
        <v>4097</v>
      </c>
      <c r="J680" s="13" t="s">
        <v>4098</v>
      </c>
      <c r="K680" s="13" t="s">
        <v>3173</v>
      </c>
      <c r="L680" s="13" t="s">
        <v>3160</v>
      </c>
      <c r="M680" s="13" t="s">
        <v>4099</v>
      </c>
      <c r="N680" s="13">
        <v>9.0</v>
      </c>
      <c r="O680" s="13" t="s">
        <v>3175</v>
      </c>
      <c r="P680" s="13" t="s">
        <v>3167</v>
      </c>
      <c r="Q680" s="13" t="s">
        <v>3173</v>
      </c>
      <c r="R680" s="13" t="s">
        <v>3231</v>
      </c>
      <c r="S680" s="13" t="s">
        <v>33</v>
      </c>
      <c r="T680" s="13" t="s">
        <v>3252</v>
      </c>
      <c r="U680" s="13" t="s">
        <v>3252</v>
      </c>
      <c r="V680" s="13" t="s">
        <v>3253</v>
      </c>
      <c r="W680" s="13" t="s">
        <v>3634</v>
      </c>
      <c r="X680" s="13" t="s">
        <v>3632</v>
      </c>
    </row>
    <row r="681" ht="14.25" customHeight="1">
      <c r="A681" s="13">
        <v>25008.0</v>
      </c>
      <c r="B681" s="13" t="s">
        <v>2686</v>
      </c>
      <c r="C681" s="13">
        <v>2016.0</v>
      </c>
      <c r="D681" s="13" t="s">
        <v>3153</v>
      </c>
      <c r="E681" s="13" t="s">
        <v>3179</v>
      </c>
      <c r="F681" s="13" t="s">
        <v>3155</v>
      </c>
      <c r="G681" s="13" t="s">
        <v>3156</v>
      </c>
      <c r="H681" s="13" t="s">
        <v>3167</v>
      </c>
      <c r="I681" s="13" t="s">
        <v>3193</v>
      </c>
      <c r="J681" s="13" t="s">
        <v>3194</v>
      </c>
      <c r="K681" s="13" t="s">
        <v>3183</v>
      </c>
      <c r="L681" s="13" t="s">
        <v>3177</v>
      </c>
      <c r="M681" s="13" t="s">
        <v>3342</v>
      </c>
      <c r="N681" s="13">
        <v>1.0</v>
      </c>
      <c r="O681" s="13" t="s">
        <v>3175</v>
      </c>
      <c r="P681" s="13" t="s">
        <v>4100</v>
      </c>
      <c r="Q681" s="13" t="s">
        <v>3183</v>
      </c>
      <c r="R681" s="13" t="s">
        <v>3260</v>
      </c>
      <c r="S681" s="13" t="s">
        <v>33</v>
      </c>
      <c r="T681" s="13" t="s">
        <v>3165</v>
      </c>
      <c r="U681" s="13" t="s">
        <v>3165</v>
      </c>
      <c r="V681" s="13" t="s">
        <v>3166</v>
      </c>
      <c r="W681" s="13" t="s">
        <v>3167</v>
      </c>
      <c r="X681" s="13" t="s">
        <v>3178</v>
      </c>
    </row>
    <row r="682" ht="14.25" customHeight="1">
      <c r="A682" s="13">
        <v>25010.0</v>
      </c>
      <c r="B682" s="13" t="s">
        <v>680</v>
      </c>
      <c r="C682" s="13">
        <v>2011.0</v>
      </c>
      <c r="D682" s="13" t="s">
        <v>3153</v>
      </c>
      <c r="E682" s="13" t="s">
        <v>3465</v>
      </c>
      <c r="F682" s="13" t="s">
        <v>3155</v>
      </c>
      <c r="G682" s="13" t="s">
        <v>3156</v>
      </c>
      <c r="H682" s="13" t="s">
        <v>3167</v>
      </c>
      <c r="I682" s="13" t="s">
        <v>3222</v>
      </c>
      <c r="J682" s="13" t="s">
        <v>3262</v>
      </c>
      <c r="K682" s="13" t="s">
        <v>3333</v>
      </c>
      <c r="L682" s="13" t="s">
        <v>3177</v>
      </c>
      <c r="M682" s="13" t="s">
        <v>4101</v>
      </c>
      <c r="N682" s="13">
        <v>2.0</v>
      </c>
      <c r="O682" s="13" t="s">
        <v>3175</v>
      </c>
      <c r="P682" s="13" t="s">
        <v>3167</v>
      </c>
      <c r="Q682" s="13" t="s">
        <v>3183</v>
      </c>
      <c r="R682" s="13" t="s">
        <v>3260</v>
      </c>
      <c r="S682" s="13" t="s">
        <v>33</v>
      </c>
      <c r="T682" s="13" t="s">
        <v>3232</v>
      </c>
      <c r="U682" s="13" t="s">
        <v>3232</v>
      </c>
      <c r="V682" s="13" t="s">
        <v>3166</v>
      </c>
      <c r="W682" s="13" t="s">
        <v>3167</v>
      </c>
      <c r="X682" s="13" t="s">
        <v>3324</v>
      </c>
    </row>
    <row r="683" ht="14.25" customHeight="1">
      <c r="A683" s="13">
        <v>25012.0</v>
      </c>
      <c r="B683" s="13" t="s">
        <v>2009</v>
      </c>
      <c r="C683" s="13">
        <v>2010.0</v>
      </c>
      <c r="D683" s="13" t="s">
        <v>3153</v>
      </c>
      <c r="E683" s="13" t="s">
        <v>3169</v>
      </c>
      <c r="F683" s="13" t="s">
        <v>3192</v>
      </c>
      <c r="G683" s="13" t="s">
        <v>3156</v>
      </c>
      <c r="H683" s="13" t="s">
        <v>33</v>
      </c>
      <c r="I683" s="13" t="s">
        <v>3171</v>
      </c>
      <c r="J683" s="13" t="s">
        <v>3378</v>
      </c>
      <c r="K683" s="13" t="s">
        <v>3173</v>
      </c>
      <c r="L683" s="13" t="s">
        <v>3160</v>
      </c>
      <c r="M683" s="13" t="s">
        <v>4102</v>
      </c>
      <c r="N683" s="13">
        <v>2.0</v>
      </c>
      <c r="O683" s="13" t="s">
        <v>3162</v>
      </c>
      <c r="P683" s="13" t="s">
        <v>33</v>
      </c>
      <c r="Q683" s="13" t="s">
        <v>3335</v>
      </c>
      <c r="R683" s="13" t="s">
        <v>3163</v>
      </c>
      <c r="S683" s="13" t="s">
        <v>4103</v>
      </c>
      <c r="T683" s="13" t="s">
        <v>3195</v>
      </c>
      <c r="U683" s="13" t="s">
        <v>3195</v>
      </c>
      <c r="V683" s="13" t="s">
        <v>3195</v>
      </c>
      <c r="W683" s="13" t="s">
        <v>3167</v>
      </c>
      <c r="X683" s="13" t="s">
        <v>3167</v>
      </c>
    </row>
    <row r="684" ht="14.25" customHeight="1">
      <c r="A684" s="13">
        <v>25026.0</v>
      </c>
      <c r="B684" s="13" t="s">
        <v>83</v>
      </c>
      <c r="C684" s="13">
        <v>2019.0</v>
      </c>
      <c r="D684" s="13" t="s">
        <v>3153</v>
      </c>
      <c r="E684" s="13" t="s">
        <v>3169</v>
      </c>
      <c r="F684" s="13" t="s">
        <v>3155</v>
      </c>
      <c r="G684" s="13" t="s">
        <v>3156</v>
      </c>
      <c r="H684" s="13" t="s">
        <v>33</v>
      </c>
      <c r="I684" s="13" t="s">
        <v>3203</v>
      </c>
      <c r="J684" s="13" t="s">
        <v>3204</v>
      </c>
      <c r="K684" s="13" t="s">
        <v>3183</v>
      </c>
      <c r="L684" s="13" t="s">
        <v>3177</v>
      </c>
      <c r="M684" s="13" t="s">
        <v>4104</v>
      </c>
      <c r="N684" s="13">
        <v>7.0</v>
      </c>
      <c r="O684" s="13" t="s">
        <v>3175</v>
      </c>
      <c r="P684" s="13" t="s">
        <v>4105</v>
      </c>
      <c r="Q684" s="13" t="s">
        <v>3183</v>
      </c>
      <c r="R684" s="13" t="s">
        <v>3177</v>
      </c>
      <c r="S684" s="13" t="s">
        <v>4106</v>
      </c>
      <c r="T684" s="13" t="s">
        <v>3232</v>
      </c>
      <c r="U684" s="13" t="s">
        <v>3252</v>
      </c>
      <c r="V684" s="13" t="s">
        <v>3253</v>
      </c>
      <c r="W684" s="13" t="s">
        <v>3634</v>
      </c>
      <c r="X684" s="13" t="s">
        <v>3476</v>
      </c>
    </row>
    <row r="685" ht="14.25" customHeight="1">
      <c r="A685" s="13">
        <v>25028.0</v>
      </c>
      <c r="B685" s="13" t="s">
        <v>1576</v>
      </c>
      <c r="C685" s="13">
        <v>2013.0</v>
      </c>
      <c r="D685" s="13" t="s">
        <v>3153</v>
      </c>
      <c r="E685" s="13" t="s">
        <v>3684</v>
      </c>
      <c r="F685" s="13" t="s">
        <v>3170</v>
      </c>
      <c r="G685" s="13" t="s">
        <v>3187</v>
      </c>
      <c r="H685" s="13">
        <v>1.0</v>
      </c>
      <c r="I685" s="13" t="s">
        <v>3188</v>
      </c>
      <c r="J685" s="13" t="s">
        <v>3404</v>
      </c>
      <c r="K685" s="13" t="s">
        <v>3159</v>
      </c>
      <c r="L685" s="13" t="s">
        <v>3177</v>
      </c>
      <c r="M685" s="13" t="s">
        <v>4107</v>
      </c>
      <c r="N685" s="13">
        <v>5.0</v>
      </c>
      <c r="O685" s="13" t="s">
        <v>3162</v>
      </c>
      <c r="P685" s="13" t="s">
        <v>3167</v>
      </c>
      <c r="Q685" s="13" t="s">
        <v>3159</v>
      </c>
      <c r="R685" s="13" t="s">
        <v>3260</v>
      </c>
      <c r="S685" s="13" t="s">
        <v>33</v>
      </c>
      <c r="T685" s="13" t="s">
        <v>3232</v>
      </c>
      <c r="U685" s="13" t="s">
        <v>3232</v>
      </c>
      <c r="V685" s="13" t="s">
        <v>3166</v>
      </c>
      <c r="W685" s="13" t="s">
        <v>3167</v>
      </c>
      <c r="X685" s="13" t="s">
        <v>3224</v>
      </c>
    </row>
    <row r="686" ht="14.25" customHeight="1">
      <c r="A686" s="13">
        <v>25030.0</v>
      </c>
      <c r="B686" s="13" t="s">
        <v>2058</v>
      </c>
      <c r="C686" s="13">
        <v>2018.0</v>
      </c>
      <c r="D686" s="13" t="s">
        <v>3457</v>
      </c>
      <c r="E686" s="13" t="s">
        <v>3169</v>
      </c>
      <c r="F686" s="13" t="s">
        <v>3170</v>
      </c>
      <c r="G686" s="13" t="s">
        <v>33</v>
      </c>
      <c r="H686" s="13" t="s">
        <v>33</v>
      </c>
      <c r="I686" s="13" t="s">
        <v>3171</v>
      </c>
      <c r="J686" s="13" t="s">
        <v>4108</v>
      </c>
      <c r="K686" s="13" t="s">
        <v>3159</v>
      </c>
      <c r="L686" s="13" t="s">
        <v>3160</v>
      </c>
      <c r="M686" s="13" t="s">
        <v>3369</v>
      </c>
      <c r="N686" s="13">
        <v>1.0</v>
      </c>
      <c r="O686" s="13" t="s">
        <v>3162</v>
      </c>
      <c r="P686" s="13" t="s">
        <v>33</v>
      </c>
      <c r="Q686" s="13" t="s">
        <v>3287</v>
      </c>
      <c r="R686" s="13" t="s">
        <v>3177</v>
      </c>
      <c r="S686" s="13" t="s">
        <v>33</v>
      </c>
      <c r="T686" s="13" t="s">
        <v>3247</v>
      </c>
      <c r="U686" s="13" t="s">
        <v>3247</v>
      </c>
      <c r="V686" s="13" t="s">
        <v>3242</v>
      </c>
      <c r="W686" s="13" t="s">
        <v>3294</v>
      </c>
      <c r="X686" s="13" t="s">
        <v>3167</v>
      </c>
    </row>
    <row r="687" ht="14.25" customHeight="1">
      <c r="A687" s="13" t="s">
        <v>754</v>
      </c>
      <c r="B687" s="13" t="s">
        <v>755</v>
      </c>
      <c r="C687" s="13">
        <v>2019.0</v>
      </c>
      <c r="D687" s="13" t="s">
        <v>3153</v>
      </c>
      <c r="E687" s="13" t="s">
        <v>3154</v>
      </c>
      <c r="F687" s="13" t="s">
        <v>3211</v>
      </c>
      <c r="G687" s="13" t="s">
        <v>3156</v>
      </c>
      <c r="H687" s="13" t="s">
        <v>33</v>
      </c>
      <c r="I687" s="13" t="s">
        <v>3188</v>
      </c>
      <c r="J687" s="13" t="s">
        <v>3458</v>
      </c>
      <c r="K687" s="13" t="s">
        <v>3173</v>
      </c>
      <c r="L687" s="13" t="s">
        <v>3160</v>
      </c>
      <c r="M687" s="13" t="s">
        <v>3291</v>
      </c>
      <c r="N687" s="13">
        <v>1.0</v>
      </c>
      <c r="O687" s="13" t="s">
        <v>3162</v>
      </c>
      <c r="P687" s="13" t="s">
        <v>33</v>
      </c>
      <c r="Q687" s="13" t="s">
        <v>3335</v>
      </c>
      <c r="R687" s="13" t="s">
        <v>3163</v>
      </c>
      <c r="S687" s="13" t="s">
        <v>33</v>
      </c>
      <c r="T687" s="13" t="s">
        <v>3195</v>
      </c>
      <c r="U687" s="13" t="s">
        <v>3195</v>
      </c>
      <c r="V687" s="13" t="s">
        <v>3195</v>
      </c>
      <c r="W687" s="13" t="s">
        <v>3167</v>
      </c>
      <c r="X687" s="13" t="s">
        <v>3167</v>
      </c>
    </row>
    <row r="688" ht="14.25" customHeight="1">
      <c r="A688" s="13">
        <v>25033.0</v>
      </c>
      <c r="B688" s="13" t="s">
        <v>127</v>
      </c>
      <c r="C688" s="13">
        <v>2016.0</v>
      </c>
      <c r="D688" s="13" t="s">
        <v>3153</v>
      </c>
      <c r="E688" s="13" t="s">
        <v>3169</v>
      </c>
      <c r="F688" s="13" t="s">
        <v>3284</v>
      </c>
      <c r="G688" s="13" t="s">
        <v>3202</v>
      </c>
      <c r="H688" s="13">
        <v>500.0</v>
      </c>
      <c r="I688" s="13" t="s">
        <v>3157</v>
      </c>
      <c r="J688" s="13" t="s">
        <v>3167</v>
      </c>
      <c r="K688" s="13" t="s">
        <v>3190</v>
      </c>
      <c r="L688" s="13" t="s">
        <v>3160</v>
      </c>
      <c r="M688" s="13" t="s">
        <v>4109</v>
      </c>
      <c r="N688" s="13">
        <v>7.0</v>
      </c>
      <c r="O688" s="13" t="s">
        <v>3175</v>
      </c>
      <c r="P688" s="13" t="s">
        <v>33</v>
      </c>
      <c r="Q688" s="13" t="s">
        <v>3190</v>
      </c>
      <c r="R688" s="13" t="s">
        <v>3163</v>
      </c>
      <c r="S688" s="13" t="s">
        <v>33</v>
      </c>
      <c r="T688" s="13" t="s">
        <v>3247</v>
      </c>
      <c r="U688" s="13" t="s">
        <v>3247</v>
      </c>
      <c r="V688" s="13" t="s">
        <v>3166</v>
      </c>
      <c r="W688" s="13" t="s">
        <v>3167</v>
      </c>
      <c r="X688" s="13" t="s">
        <v>3632</v>
      </c>
    </row>
    <row r="689" ht="14.25" customHeight="1">
      <c r="A689" s="13">
        <v>25037.0</v>
      </c>
      <c r="B689" s="13" t="s">
        <v>4110</v>
      </c>
      <c r="C689" s="13">
        <v>2019.0</v>
      </c>
      <c r="D689" s="13" t="s">
        <v>3153</v>
      </c>
      <c r="E689" s="13" t="s">
        <v>3169</v>
      </c>
      <c r="F689" s="13" t="s">
        <v>3155</v>
      </c>
      <c r="G689" s="13" t="s">
        <v>3156</v>
      </c>
      <c r="H689" s="13" t="s">
        <v>33</v>
      </c>
      <c r="I689" s="13" t="s">
        <v>3188</v>
      </c>
      <c r="J689" s="13" t="s">
        <v>3194</v>
      </c>
      <c r="K689" s="13" t="s">
        <v>3183</v>
      </c>
      <c r="L689" s="13" t="s">
        <v>3160</v>
      </c>
      <c r="M689" s="13" t="s">
        <v>3477</v>
      </c>
      <c r="N689" s="13">
        <v>1.0</v>
      </c>
      <c r="O689" s="13" t="s">
        <v>3162</v>
      </c>
      <c r="P689" s="13" t="s">
        <v>4111</v>
      </c>
      <c r="Q689" s="13" t="s">
        <v>3379</v>
      </c>
      <c r="R689" s="13" t="s">
        <v>3163</v>
      </c>
      <c r="S689" s="13" t="s">
        <v>4112</v>
      </c>
      <c r="T689" s="13" t="s">
        <v>3252</v>
      </c>
      <c r="U689" s="13" t="s">
        <v>3252</v>
      </c>
      <c r="V689" s="13" t="s">
        <v>3253</v>
      </c>
      <c r="W689" s="13" t="s">
        <v>3294</v>
      </c>
      <c r="X689" s="13" t="s">
        <v>4113</v>
      </c>
    </row>
    <row r="690" ht="14.25" customHeight="1">
      <c r="A690" s="13">
        <v>25042.0</v>
      </c>
      <c r="B690" s="13" t="s">
        <v>867</v>
      </c>
      <c r="C690" s="13">
        <v>2014.0</v>
      </c>
      <c r="D690" s="13" t="s">
        <v>3153</v>
      </c>
      <c r="E690" s="13" t="s">
        <v>3465</v>
      </c>
      <c r="F690" s="13" t="s">
        <v>3284</v>
      </c>
      <c r="G690" s="13" t="s">
        <v>3187</v>
      </c>
      <c r="H690" s="13">
        <v>2500.0</v>
      </c>
      <c r="I690" s="13" t="s">
        <v>3157</v>
      </c>
      <c r="J690" s="13" t="s">
        <v>3167</v>
      </c>
      <c r="K690" s="13" t="s">
        <v>3183</v>
      </c>
      <c r="L690" s="13" t="s">
        <v>3177</v>
      </c>
      <c r="M690" s="13" t="s">
        <v>3484</v>
      </c>
      <c r="N690" s="13">
        <v>1.0</v>
      </c>
      <c r="O690" s="13" t="s">
        <v>3267</v>
      </c>
      <c r="P690" s="13" t="s">
        <v>4114</v>
      </c>
      <c r="Q690" s="13" t="s">
        <v>3183</v>
      </c>
      <c r="R690" s="13" t="s">
        <v>3177</v>
      </c>
      <c r="S690" s="13" t="s">
        <v>4114</v>
      </c>
      <c r="T690" s="13" t="s">
        <v>3252</v>
      </c>
      <c r="U690" s="13" t="s">
        <v>3252</v>
      </c>
      <c r="V690" s="13" t="s">
        <v>3253</v>
      </c>
      <c r="W690" s="13" t="s">
        <v>3294</v>
      </c>
      <c r="X690" s="13" t="s">
        <v>4115</v>
      </c>
    </row>
    <row r="691" ht="14.25" customHeight="1">
      <c r="A691" s="13">
        <v>25049.0</v>
      </c>
      <c r="B691" s="13" t="s">
        <v>2581</v>
      </c>
      <c r="C691" s="13">
        <v>2017.0</v>
      </c>
      <c r="D691" s="13" t="s">
        <v>3153</v>
      </c>
      <c r="E691" s="13" t="s">
        <v>3169</v>
      </c>
      <c r="F691" s="13" t="s">
        <v>3192</v>
      </c>
      <c r="G691" s="13" t="s">
        <v>3187</v>
      </c>
      <c r="H691" s="13" t="s">
        <v>3187</v>
      </c>
      <c r="I691" s="13" t="s">
        <v>3188</v>
      </c>
      <c r="J691" s="13" t="s">
        <v>3207</v>
      </c>
      <c r="K691" s="13" t="s">
        <v>3201</v>
      </c>
      <c r="L691" s="13" t="s">
        <v>3160</v>
      </c>
      <c r="M691" s="13" t="s">
        <v>3161</v>
      </c>
      <c r="N691" s="13">
        <v>1.0</v>
      </c>
      <c r="O691" s="13" t="s">
        <v>3162</v>
      </c>
      <c r="P691" s="13" t="s">
        <v>3167</v>
      </c>
      <c r="Q691" s="13" t="s">
        <v>3201</v>
      </c>
      <c r="R691" s="13" t="s">
        <v>3231</v>
      </c>
      <c r="S691" s="13" t="s">
        <v>33</v>
      </c>
      <c r="T691" s="13" t="s">
        <v>3197</v>
      </c>
      <c r="U691" s="13" t="s">
        <v>3197</v>
      </c>
      <c r="V691" s="13" t="s">
        <v>3242</v>
      </c>
      <c r="W691" s="13" t="s">
        <v>4116</v>
      </c>
      <c r="X691" s="13" t="s">
        <v>3167</v>
      </c>
    </row>
    <row r="692" ht="14.25" customHeight="1">
      <c r="A692" s="13">
        <v>25051.0</v>
      </c>
      <c r="B692" s="13" t="s">
        <v>1726</v>
      </c>
      <c r="C692" s="13">
        <v>2018.0</v>
      </c>
      <c r="D692" s="13" t="s">
        <v>3153</v>
      </c>
      <c r="E692" s="13" t="s">
        <v>3169</v>
      </c>
      <c r="F692" s="13" t="s">
        <v>3170</v>
      </c>
      <c r="G692" s="13" t="s">
        <v>3202</v>
      </c>
      <c r="H692" s="13">
        <v>1.0</v>
      </c>
      <c r="I692" s="13" t="s">
        <v>3157</v>
      </c>
      <c r="J692" s="13" t="s">
        <v>3307</v>
      </c>
      <c r="K692" s="13" t="s">
        <v>3287</v>
      </c>
      <c r="L692" s="13" t="s">
        <v>3160</v>
      </c>
      <c r="M692" s="13" t="s">
        <v>4117</v>
      </c>
      <c r="N692" s="13">
        <v>2.0</v>
      </c>
      <c r="O692" s="13" t="s">
        <v>3162</v>
      </c>
      <c r="P692" s="13" t="s">
        <v>3167</v>
      </c>
      <c r="Q692" s="13" t="s">
        <v>3287</v>
      </c>
      <c r="R692" s="13" t="s">
        <v>3231</v>
      </c>
      <c r="S692" s="13" t="s">
        <v>33</v>
      </c>
      <c r="T692" s="13" t="s">
        <v>3164</v>
      </c>
      <c r="U692" s="13" t="s">
        <v>3215</v>
      </c>
      <c r="V692" s="13" t="s">
        <v>3242</v>
      </c>
      <c r="W692" s="13" t="s">
        <v>3377</v>
      </c>
      <c r="X692" s="13" t="s">
        <v>3167</v>
      </c>
    </row>
    <row r="693" ht="14.25" customHeight="1">
      <c r="A693" s="13">
        <v>25052.0</v>
      </c>
      <c r="B693" s="13" t="s">
        <v>1580</v>
      </c>
      <c r="C693" s="13">
        <v>2014.0</v>
      </c>
      <c r="D693" s="13" t="s">
        <v>3153</v>
      </c>
      <c r="E693" s="13" t="s">
        <v>3179</v>
      </c>
      <c r="F693" s="13" t="s">
        <v>3211</v>
      </c>
      <c r="G693" s="13" t="s">
        <v>3187</v>
      </c>
      <c r="H693" s="13">
        <v>100.0</v>
      </c>
      <c r="I693" s="13" t="s">
        <v>3249</v>
      </c>
      <c r="J693" s="13" t="s">
        <v>3340</v>
      </c>
      <c r="K693" s="13" t="s">
        <v>3183</v>
      </c>
      <c r="L693" s="13" t="s">
        <v>3177</v>
      </c>
      <c r="M693" s="13" t="s">
        <v>3241</v>
      </c>
      <c r="N693" s="13">
        <v>1.0</v>
      </c>
      <c r="O693" s="13" t="s">
        <v>3162</v>
      </c>
      <c r="P693" s="13" t="s">
        <v>4118</v>
      </c>
      <c r="Q693" s="13" t="s">
        <v>3270</v>
      </c>
      <c r="R693" s="13" t="s">
        <v>3163</v>
      </c>
      <c r="S693" s="13" t="s">
        <v>4119</v>
      </c>
      <c r="T693" s="13" t="s">
        <v>3164</v>
      </c>
      <c r="U693" s="13" t="s">
        <v>3164</v>
      </c>
      <c r="V693" s="13" t="s">
        <v>3166</v>
      </c>
      <c r="W693" s="13" t="s">
        <v>3167</v>
      </c>
      <c r="X693" s="13" t="s">
        <v>3168</v>
      </c>
    </row>
    <row r="694" ht="14.25" customHeight="1">
      <c r="A694" s="13">
        <v>25054.0</v>
      </c>
      <c r="B694" s="13" t="s">
        <v>2910</v>
      </c>
      <c r="C694" s="13">
        <v>2020.0</v>
      </c>
      <c r="D694" s="13" t="s">
        <v>3153</v>
      </c>
      <c r="E694" s="13" t="s">
        <v>3154</v>
      </c>
      <c r="F694" s="13" t="s">
        <v>3192</v>
      </c>
      <c r="G694" s="13" t="s">
        <v>3156</v>
      </c>
      <c r="H694" s="13" t="s">
        <v>33</v>
      </c>
      <c r="I694" s="13" t="s">
        <v>3244</v>
      </c>
      <c r="J694" s="13" t="s">
        <v>3245</v>
      </c>
      <c r="K694" s="13" t="s">
        <v>3159</v>
      </c>
      <c r="L694" s="13" t="s">
        <v>3160</v>
      </c>
      <c r="M694" s="13" t="s">
        <v>3258</v>
      </c>
      <c r="N694" s="13">
        <v>1.0</v>
      </c>
      <c r="O694" s="13" t="s">
        <v>3162</v>
      </c>
      <c r="P694" s="13" t="s">
        <v>33</v>
      </c>
      <c r="Q694" s="13" t="s">
        <v>3159</v>
      </c>
      <c r="R694" s="13" t="s">
        <v>3163</v>
      </c>
      <c r="S694" s="13" t="s">
        <v>33</v>
      </c>
      <c r="T694" s="13" t="s">
        <v>3197</v>
      </c>
      <c r="U694" s="13" t="s">
        <v>3197</v>
      </c>
      <c r="V694" s="13" t="s">
        <v>3166</v>
      </c>
      <c r="W694" s="13" t="s">
        <v>3167</v>
      </c>
      <c r="X694" s="13" t="s">
        <v>3255</v>
      </c>
    </row>
    <row r="695" ht="14.25" customHeight="1">
      <c r="A695" s="13">
        <v>25058.0</v>
      </c>
      <c r="B695" s="13" t="s">
        <v>1805</v>
      </c>
      <c r="C695" s="13">
        <v>2015.0</v>
      </c>
      <c r="D695" s="13" t="s">
        <v>3153</v>
      </c>
      <c r="E695" s="13" t="s">
        <v>3169</v>
      </c>
      <c r="F695" s="13" t="s">
        <v>3211</v>
      </c>
      <c r="G695" s="13" t="s">
        <v>3202</v>
      </c>
      <c r="H695" s="13">
        <v>250.0</v>
      </c>
      <c r="I695" s="13" t="s">
        <v>4067</v>
      </c>
      <c r="J695" s="13" t="s">
        <v>4120</v>
      </c>
      <c r="K695" s="13" t="s">
        <v>3381</v>
      </c>
      <c r="L695" s="13" t="s">
        <v>3177</v>
      </c>
      <c r="M695" s="13" t="s">
        <v>3590</v>
      </c>
      <c r="N695" s="13">
        <v>4.0</v>
      </c>
      <c r="O695" s="13" t="s">
        <v>3175</v>
      </c>
      <c r="P695" s="13" t="s">
        <v>4121</v>
      </c>
      <c r="Q695" s="13" t="s">
        <v>3159</v>
      </c>
      <c r="R695" s="13" t="s">
        <v>3163</v>
      </c>
      <c r="S695" s="13" t="s">
        <v>33</v>
      </c>
      <c r="T695" s="13" t="s">
        <v>3164</v>
      </c>
      <c r="U695" s="13" t="s">
        <v>3164</v>
      </c>
      <c r="V695" s="13" t="s">
        <v>3242</v>
      </c>
      <c r="W695" s="13" t="s">
        <v>3377</v>
      </c>
      <c r="X695" s="13" t="s">
        <v>3167</v>
      </c>
    </row>
    <row r="696" ht="14.25" customHeight="1">
      <c r="A696" s="13">
        <v>25059.0</v>
      </c>
      <c r="B696" s="13" t="s">
        <v>496</v>
      </c>
      <c r="C696" s="13">
        <v>2018.0</v>
      </c>
      <c r="D696" s="13" t="s">
        <v>3153</v>
      </c>
      <c r="E696" s="13" t="s">
        <v>3154</v>
      </c>
      <c r="F696" s="13" t="s">
        <v>3155</v>
      </c>
      <c r="G696" s="13" t="s">
        <v>3156</v>
      </c>
      <c r="H696" s="13" t="s">
        <v>3167</v>
      </c>
      <c r="I696" s="13" t="s">
        <v>3222</v>
      </c>
      <c r="J696" s="13" t="s">
        <v>3182</v>
      </c>
      <c r="K696" s="13" t="s">
        <v>3183</v>
      </c>
      <c r="L696" s="13" t="s">
        <v>3177</v>
      </c>
      <c r="M696" s="13" t="s">
        <v>3161</v>
      </c>
      <c r="N696" s="13">
        <v>1.0</v>
      </c>
      <c r="O696" s="13" t="s">
        <v>3162</v>
      </c>
      <c r="P696" s="13" t="s">
        <v>3689</v>
      </c>
      <c r="Q696" s="13" t="s">
        <v>3183</v>
      </c>
      <c r="R696" s="13" t="s">
        <v>3260</v>
      </c>
      <c r="S696" s="13" t="s">
        <v>3397</v>
      </c>
      <c r="T696" s="13" t="s">
        <v>3197</v>
      </c>
      <c r="U696" s="13" t="s">
        <v>3197</v>
      </c>
      <c r="V696" s="13" t="s">
        <v>3166</v>
      </c>
      <c r="W696" s="13" t="s">
        <v>3167</v>
      </c>
      <c r="X696" s="13" t="s">
        <v>4122</v>
      </c>
    </row>
    <row r="697" ht="14.25" customHeight="1">
      <c r="A697" s="13">
        <v>25061.0</v>
      </c>
      <c r="B697" s="13" t="s">
        <v>2673</v>
      </c>
      <c r="C697" s="13">
        <v>2019.0</v>
      </c>
      <c r="D697" s="13" t="s">
        <v>3153</v>
      </c>
      <c r="E697" s="13" t="s">
        <v>3154</v>
      </c>
      <c r="F697" s="13" t="s">
        <v>3170</v>
      </c>
      <c r="G697" s="13" t="s">
        <v>3156</v>
      </c>
      <c r="H697" s="13" t="s">
        <v>33</v>
      </c>
      <c r="I697" s="13" t="s">
        <v>3157</v>
      </c>
      <c r="J697" s="13" t="s">
        <v>3199</v>
      </c>
      <c r="K697" s="13" t="s">
        <v>3159</v>
      </c>
      <c r="L697" s="13" t="s">
        <v>3177</v>
      </c>
      <c r="M697" s="13" t="s">
        <v>3409</v>
      </c>
      <c r="N697" s="13">
        <v>2.0</v>
      </c>
      <c r="O697" s="13" t="s">
        <v>3162</v>
      </c>
      <c r="P697" s="13" t="s">
        <v>33</v>
      </c>
      <c r="Q697" s="13" t="s">
        <v>3437</v>
      </c>
      <c r="R697" s="13" t="s">
        <v>3163</v>
      </c>
      <c r="S697" s="13" t="s">
        <v>33</v>
      </c>
      <c r="T697" s="13" t="s">
        <v>3164</v>
      </c>
      <c r="U697" s="13" t="s">
        <v>3165</v>
      </c>
      <c r="V697" s="13" t="s">
        <v>3242</v>
      </c>
      <c r="W697" s="13" t="s">
        <v>3254</v>
      </c>
      <c r="X697" s="13" t="s">
        <v>3167</v>
      </c>
    </row>
    <row r="698" ht="14.25" customHeight="1">
      <c r="A698" s="13">
        <v>25065.0</v>
      </c>
      <c r="B698" s="13" t="s">
        <v>1720</v>
      </c>
      <c r="C698" s="13">
        <v>2003.0</v>
      </c>
      <c r="D698" s="13" t="s">
        <v>3153</v>
      </c>
      <c r="E698" s="13" t="s">
        <v>3169</v>
      </c>
      <c r="F698" s="13" t="s">
        <v>3192</v>
      </c>
      <c r="G698" s="13" t="s">
        <v>3304</v>
      </c>
      <c r="H698" s="13">
        <v>2.25</v>
      </c>
      <c r="I698" s="13" t="s">
        <v>3222</v>
      </c>
      <c r="J698" s="13" t="s">
        <v>3182</v>
      </c>
      <c r="K698" s="13" t="s">
        <v>3208</v>
      </c>
      <c r="L698" s="13" t="s">
        <v>3160</v>
      </c>
      <c r="M698" s="13" t="s">
        <v>4123</v>
      </c>
      <c r="N698" s="13">
        <v>4.0</v>
      </c>
      <c r="O698" s="13" t="s">
        <v>3162</v>
      </c>
      <c r="P698" s="13" t="s">
        <v>3167</v>
      </c>
      <c r="Q698" s="13" t="s">
        <v>3273</v>
      </c>
      <c r="R698" s="13" t="s">
        <v>3231</v>
      </c>
      <c r="S698" s="13" t="s">
        <v>33</v>
      </c>
      <c r="T698" s="13" t="s">
        <v>3197</v>
      </c>
      <c r="U698" s="13" t="s">
        <v>3197</v>
      </c>
      <c r="V698" s="13" t="s">
        <v>3242</v>
      </c>
      <c r="W698" s="13" t="s">
        <v>3356</v>
      </c>
      <c r="X698" s="13" t="s">
        <v>3167</v>
      </c>
    </row>
    <row r="699" ht="14.25" customHeight="1">
      <c r="A699" s="13">
        <v>25066.0</v>
      </c>
      <c r="B699" s="13" t="s">
        <v>2586</v>
      </c>
      <c r="C699" s="13">
        <v>2010.0</v>
      </c>
      <c r="D699" s="13" t="s">
        <v>3153</v>
      </c>
      <c r="E699" s="13" t="s">
        <v>3179</v>
      </c>
      <c r="F699" s="13" t="s">
        <v>3170</v>
      </c>
      <c r="G699" s="13" t="s">
        <v>3156</v>
      </c>
      <c r="H699" s="13" t="s">
        <v>33</v>
      </c>
      <c r="I699" s="13" t="s">
        <v>3261</v>
      </c>
      <c r="J699" s="13" t="s">
        <v>3182</v>
      </c>
      <c r="K699" s="13" t="s">
        <v>3250</v>
      </c>
      <c r="L699" s="13" t="s">
        <v>3177</v>
      </c>
      <c r="M699" s="13" t="s">
        <v>3342</v>
      </c>
      <c r="N699" s="13">
        <v>1.0</v>
      </c>
      <c r="O699" s="13" t="s">
        <v>3162</v>
      </c>
      <c r="P699" s="13" t="s">
        <v>33</v>
      </c>
      <c r="Q699" s="13" t="s">
        <v>3250</v>
      </c>
      <c r="R699" s="13" t="s">
        <v>3163</v>
      </c>
      <c r="S699" s="13" t="s">
        <v>33</v>
      </c>
      <c r="T699" s="13" t="s">
        <v>3228</v>
      </c>
      <c r="U699" s="13" t="s">
        <v>3247</v>
      </c>
      <c r="V699" s="13" t="s">
        <v>3166</v>
      </c>
      <c r="W699" s="13" t="s">
        <v>3167</v>
      </c>
      <c r="X699" s="13" t="s">
        <v>4068</v>
      </c>
    </row>
    <row r="700" ht="14.25" customHeight="1">
      <c r="A700" s="13">
        <v>25067.0</v>
      </c>
      <c r="B700" s="13" t="s">
        <v>2950</v>
      </c>
      <c r="C700" s="13">
        <v>2012.0</v>
      </c>
      <c r="D700" s="13" t="s">
        <v>3153</v>
      </c>
      <c r="E700" s="13" t="s">
        <v>3179</v>
      </c>
      <c r="F700" s="13" t="s">
        <v>3170</v>
      </c>
      <c r="G700" s="13" t="s">
        <v>3538</v>
      </c>
      <c r="H700" s="13">
        <v>250.0</v>
      </c>
      <c r="I700" s="13" t="s">
        <v>3249</v>
      </c>
      <c r="J700" s="13" t="s">
        <v>3307</v>
      </c>
      <c r="K700" s="13" t="s">
        <v>3190</v>
      </c>
      <c r="L700" s="13" t="s">
        <v>3177</v>
      </c>
      <c r="M700" s="13" t="s">
        <v>4124</v>
      </c>
      <c r="N700" s="13">
        <v>6.0</v>
      </c>
      <c r="O700" s="13" t="s">
        <v>3162</v>
      </c>
      <c r="P700" s="13" t="s">
        <v>33</v>
      </c>
      <c r="Q700" s="13" t="s">
        <v>3210</v>
      </c>
      <c r="R700" s="13" t="s">
        <v>3163</v>
      </c>
      <c r="S700" s="13" t="s">
        <v>33</v>
      </c>
      <c r="T700" s="13" t="s">
        <v>3195</v>
      </c>
      <c r="U700" s="13" t="s">
        <v>3195</v>
      </c>
      <c r="V700" s="13" t="s">
        <v>3195</v>
      </c>
      <c r="W700" s="13" t="s">
        <v>3167</v>
      </c>
      <c r="X700" s="13" t="s">
        <v>3167</v>
      </c>
    </row>
    <row r="701" ht="14.25" customHeight="1">
      <c r="A701" s="13">
        <v>25068.0</v>
      </c>
      <c r="B701" s="13" t="s">
        <v>273</v>
      </c>
      <c r="C701" s="13">
        <v>2009.0</v>
      </c>
      <c r="D701" s="13" t="s">
        <v>3153</v>
      </c>
      <c r="E701" s="13" t="s">
        <v>3169</v>
      </c>
      <c r="F701" s="13" t="s">
        <v>3170</v>
      </c>
      <c r="G701" s="13" t="s">
        <v>3156</v>
      </c>
      <c r="H701" s="13" t="s">
        <v>33</v>
      </c>
      <c r="I701" s="13" t="s">
        <v>3244</v>
      </c>
      <c r="J701" s="13" t="s">
        <v>3289</v>
      </c>
      <c r="K701" s="13" t="s">
        <v>3190</v>
      </c>
      <c r="L701" s="13" t="s">
        <v>3160</v>
      </c>
      <c r="M701" s="13" t="s">
        <v>3391</v>
      </c>
      <c r="N701" s="13">
        <v>1.0</v>
      </c>
      <c r="O701" s="13" t="s">
        <v>3162</v>
      </c>
      <c r="P701" s="13" t="s">
        <v>33</v>
      </c>
      <c r="Q701" s="13" t="s">
        <v>3190</v>
      </c>
      <c r="R701" s="13" t="s">
        <v>3163</v>
      </c>
      <c r="S701" s="13" t="s">
        <v>33</v>
      </c>
      <c r="T701" s="13" t="s">
        <v>3197</v>
      </c>
      <c r="U701" s="13" t="s">
        <v>3197</v>
      </c>
      <c r="V701" s="13" t="s">
        <v>3166</v>
      </c>
      <c r="W701" s="13" t="s">
        <v>3167</v>
      </c>
      <c r="X701" s="13" t="s">
        <v>3276</v>
      </c>
    </row>
    <row r="702" ht="14.25" customHeight="1">
      <c r="A702" s="13">
        <v>25071.0</v>
      </c>
      <c r="B702" s="13" t="s">
        <v>1354</v>
      </c>
      <c r="C702" s="13">
        <v>2014.0</v>
      </c>
      <c r="D702" s="13" t="s">
        <v>3153</v>
      </c>
      <c r="E702" s="13" t="s">
        <v>3169</v>
      </c>
      <c r="F702" s="13" t="s">
        <v>3170</v>
      </c>
      <c r="G702" s="13" t="s">
        <v>33</v>
      </c>
      <c r="H702" s="13" t="s">
        <v>33</v>
      </c>
      <c r="I702" s="13" t="s">
        <v>3171</v>
      </c>
      <c r="J702" s="13" t="s">
        <v>3172</v>
      </c>
      <c r="K702" s="13" t="s">
        <v>3287</v>
      </c>
      <c r="L702" s="13" t="s">
        <v>3160</v>
      </c>
      <c r="M702" s="13" t="s">
        <v>3161</v>
      </c>
      <c r="N702" s="13">
        <v>1.0</v>
      </c>
      <c r="O702" s="13" t="s">
        <v>3162</v>
      </c>
      <c r="P702" s="13" t="s">
        <v>33</v>
      </c>
      <c r="Q702" s="13" t="s">
        <v>3437</v>
      </c>
      <c r="R702" s="13" t="s">
        <v>3163</v>
      </c>
      <c r="S702" s="13" t="s">
        <v>33</v>
      </c>
      <c r="T702" s="13" t="s">
        <v>3164</v>
      </c>
      <c r="U702" s="13" t="s">
        <v>3164</v>
      </c>
      <c r="V702" s="13" t="s">
        <v>3166</v>
      </c>
      <c r="W702" s="13" t="s">
        <v>3167</v>
      </c>
      <c r="X702" s="13" t="s">
        <v>3178</v>
      </c>
    </row>
    <row r="703" ht="14.25" customHeight="1">
      <c r="A703" s="13">
        <v>25072.0</v>
      </c>
      <c r="B703" s="13" t="s">
        <v>2149</v>
      </c>
      <c r="C703" s="13">
        <v>2015.0</v>
      </c>
      <c r="D703" s="13" t="s">
        <v>3153</v>
      </c>
      <c r="E703" s="13" t="s">
        <v>3179</v>
      </c>
      <c r="F703" s="13" t="s">
        <v>3217</v>
      </c>
      <c r="G703" s="13" t="s">
        <v>3156</v>
      </c>
      <c r="H703" s="13" t="s">
        <v>3167</v>
      </c>
      <c r="I703" s="13" t="s">
        <v>3167</v>
      </c>
      <c r="J703" s="13" t="s">
        <v>3167</v>
      </c>
      <c r="K703" s="13" t="s">
        <v>3333</v>
      </c>
      <c r="L703" s="13" t="s">
        <v>3160</v>
      </c>
      <c r="M703" s="13" t="s">
        <v>4125</v>
      </c>
      <c r="N703" s="13">
        <v>6.0</v>
      </c>
      <c r="O703" s="13" t="s">
        <v>3175</v>
      </c>
      <c r="P703" s="13" t="s">
        <v>3167</v>
      </c>
      <c r="Q703" s="13" t="s">
        <v>3210</v>
      </c>
      <c r="R703" s="13" t="s">
        <v>3231</v>
      </c>
      <c r="S703" s="13" t="s">
        <v>33</v>
      </c>
      <c r="T703" s="13" t="s">
        <v>3195</v>
      </c>
      <c r="U703" s="13" t="s">
        <v>3195</v>
      </c>
      <c r="V703" s="13" t="s">
        <v>3195</v>
      </c>
      <c r="W703" s="13" t="s">
        <v>3167</v>
      </c>
      <c r="X703" s="13" t="s">
        <v>3167</v>
      </c>
    </row>
    <row r="704" ht="14.25" customHeight="1">
      <c r="A704" s="13">
        <v>25073.0</v>
      </c>
      <c r="B704" s="13" t="s">
        <v>2072</v>
      </c>
      <c r="C704" s="13">
        <v>2020.0</v>
      </c>
      <c r="D704" s="13" t="s">
        <v>3153</v>
      </c>
      <c r="E704" s="13" t="s">
        <v>3154</v>
      </c>
      <c r="F704" s="13" t="s">
        <v>3170</v>
      </c>
      <c r="G704" s="13" t="s">
        <v>3156</v>
      </c>
      <c r="H704" s="13" t="s">
        <v>33</v>
      </c>
      <c r="I704" s="13" t="s">
        <v>3244</v>
      </c>
      <c r="J704" s="13" t="s">
        <v>3289</v>
      </c>
      <c r="K704" s="13" t="s">
        <v>3159</v>
      </c>
      <c r="L704" s="13" t="s">
        <v>3160</v>
      </c>
      <c r="M704" s="13" t="s">
        <v>3291</v>
      </c>
      <c r="N704" s="13">
        <v>1.0</v>
      </c>
      <c r="O704" s="13" t="s">
        <v>3162</v>
      </c>
      <c r="P704" s="13" t="s">
        <v>33</v>
      </c>
      <c r="Q704" s="13" t="s">
        <v>3159</v>
      </c>
      <c r="R704" s="13" t="s">
        <v>3163</v>
      </c>
      <c r="S704" s="13" t="s">
        <v>33</v>
      </c>
      <c r="T704" s="13" t="s">
        <v>3164</v>
      </c>
      <c r="U704" s="13" t="s">
        <v>3164</v>
      </c>
      <c r="V704" s="13" t="s">
        <v>3166</v>
      </c>
      <c r="W704" s="13" t="s">
        <v>3167</v>
      </c>
      <c r="X704" s="13" t="s">
        <v>3178</v>
      </c>
    </row>
    <row r="705" ht="14.25" customHeight="1">
      <c r="A705" s="13">
        <v>25075.0</v>
      </c>
      <c r="B705" s="13" t="s">
        <v>975</v>
      </c>
      <c r="C705" s="13">
        <v>2020.0</v>
      </c>
      <c r="D705" s="13" t="s">
        <v>3153</v>
      </c>
      <c r="E705" s="13" t="s">
        <v>3169</v>
      </c>
      <c r="F705" s="13" t="s">
        <v>3170</v>
      </c>
      <c r="G705" s="13" t="s">
        <v>3156</v>
      </c>
      <c r="H705" s="13" t="s">
        <v>33</v>
      </c>
      <c r="I705" s="13" t="s">
        <v>3157</v>
      </c>
      <c r="J705" s="13" t="s">
        <v>3199</v>
      </c>
      <c r="K705" s="13" t="s">
        <v>3159</v>
      </c>
      <c r="L705" s="13" t="s">
        <v>3160</v>
      </c>
      <c r="M705" s="13" t="s">
        <v>3161</v>
      </c>
      <c r="N705" s="13">
        <v>1.0</v>
      </c>
      <c r="O705" s="13" t="s">
        <v>3162</v>
      </c>
      <c r="P705" s="13" t="s">
        <v>33</v>
      </c>
      <c r="Q705" s="13" t="s">
        <v>3159</v>
      </c>
      <c r="R705" s="13" t="s">
        <v>3163</v>
      </c>
      <c r="S705" s="13" t="s">
        <v>33</v>
      </c>
      <c r="T705" s="13" t="s">
        <v>3164</v>
      </c>
      <c r="U705" s="13" t="s">
        <v>3164</v>
      </c>
      <c r="V705" s="13" t="s">
        <v>3166</v>
      </c>
      <c r="W705" s="13" t="s">
        <v>3167</v>
      </c>
      <c r="X705" s="13" t="s">
        <v>3178</v>
      </c>
    </row>
    <row r="706" ht="14.25" customHeight="1">
      <c r="A706" s="13">
        <v>25076.0</v>
      </c>
      <c r="B706" s="13" t="s">
        <v>529</v>
      </c>
      <c r="C706" s="13">
        <v>2020.0</v>
      </c>
      <c r="D706" s="13" t="s">
        <v>3153</v>
      </c>
      <c r="E706" s="13" t="s">
        <v>3169</v>
      </c>
      <c r="F706" s="13" t="s">
        <v>3192</v>
      </c>
      <c r="G706" s="13" t="s">
        <v>3202</v>
      </c>
      <c r="H706" s="13">
        <v>23.5</v>
      </c>
      <c r="I706" s="13" t="s">
        <v>3188</v>
      </c>
      <c r="J706" s="13" t="s">
        <v>3207</v>
      </c>
      <c r="K706" s="13" t="s">
        <v>3287</v>
      </c>
      <c r="L706" s="13" t="s">
        <v>3160</v>
      </c>
      <c r="M706" s="13" t="s">
        <v>3477</v>
      </c>
      <c r="N706" s="13">
        <v>1.0</v>
      </c>
      <c r="O706" s="13" t="s">
        <v>3162</v>
      </c>
      <c r="P706" s="13" t="s">
        <v>33</v>
      </c>
      <c r="Q706" s="13" t="s">
        <v>3335</v>
      </c>
      <c r="R706" s="13" t="s">
        <v>3163</v>
      </c>
      <c r="S706" s="13" t="s">
        <v>3323</v>
      </c>
      <c r="T706" s="13" t="s">
        <v>3195</v>
      </c>
      <c r="U706" s="13" t="s">
        <v>3195</v>
      </c>
      <c r="V706" s="13" t="s">
        <v>3195</v>
      </c>
      <c r="W706" s="13" t="s">
        <v>3167</v>
      </c>
      <c r="X706" s="13" t="s">
        <v>3167</v>
      </c>
    </row>
    <row r="707" ht="14.25" customHeight="1">
      <c r="A707" s="13">
        <v>25077.0</v>
      </c>
      <c r="B707" s="13" t="s">
        <v>873</v>
      </c>
      <c r="C707" s="13">
        <v>2013.0</v>
      </c>
      <c r="D707" s="13" t="s">
        <v>3153</v>
      </c>
      <c r="E707" s="13" t="s">
        <v>3169</v>
      </c>
      <c r="F707" s="13" t="s">
        <v>3192</v>
      </c>
      <c r="G707" s="13" t="s">
        <v>3202</v>
      </c>
      <c r="H707" s="13">
        <v>30.0</v>
      </c>
      <c r="I707" s="13" t="s">
        <v>3222</v>
      </c>
      <c r="J707" s="13" t="s">
        <v>3229</v>
      </c>
      <c r="K707" s="13" t="s">
        <v>3208</v>
      </c>
      <c r="L707" s="13" t="s">
        <v>3160</v>
      </c>
      <c r="M707" s="13" t="s">
        <v>4126</v>
      </c>
      <c r="N707" s="13">
        <v>10.0</v>
      </c>
      <c r="O707" s="13" t="s">
        <v>3162</v>
      </c>
      <c r="P707" s="13" t="s">
        <v>3167</v>
      </c>
      <c r="Q707" s="13" t="s">
        <v>3173</v>
      </c>
      <c r="R707" s="13" t="s">
        <v>3231</v>
      </c>
      <c r="S707" s="13" t="s">
        <v>4127</v>
      </c>
      <c r="T707" s="13" t="s">
        <v>3164</v>
      </c>
      <c r="U707" s="13" t="s">
        <v>3164</v>
      </c>
      <c r="V707" s="13" t="s">
        <v>3166</v>
      </c>
      <c r="W707" s="13" t="s">
        <v>3167</v>
      </c>
      <c r="X707" s="13" t="s">
        <v>3178</v>
      </c>
    </row>
    <row r="708" ht="14.25" customHeight="1">
      <c r="A708" s="13">
        <v>25078.0</v>
      </c>
      <c r="B708" s="13" t="s">
        <v>107</v>
      </c>
      <c r="C708" s="13">
        <v>2011.0</v>
      </c>
      <c r="D708" s="13" t="s">
        <v>3153</v>
      </c>
      <c r="E708" s="13" t="s">
        <v>3169</v>
      </c>
      <c r="F708" s="13" t="s">
        <v>3170</v>
      </c>
      <c r="G708" s="13" t="s">
        <v>3156</v>
      </c>
      <c r="H708" s="13" t="s">
        <v>33</v>
      </c>
      <c r="I708" s="13" t="s">
        <v>3157</v>
      </c>
      <c r="J708" s="13" t="s">
        <v>3348</v>
      </c>
      <c r="K708" s="13" t="s">
        <v>3545</v>
      </c>
      <c r="L708" s="13" t="s">
        <v>3177</v>
      </c>
      <c r="M708" s="13" t="s">
        <v>4128</v>
      </c>
      <c r="N708" s="13">
        <v>2.0</v>
      </c>
      <c r="O708" s="13" t="s">
        <v>3162</v>
      </c>
      <c r="P708" s="13" t="s">
        <v>4129</v>
      </c>
      <c r="Q708" s="13" t="s">
        <v>3183</v>
      </c>
      <c r="R708" s="13" t="s">
        <v>3163</v>
      </c>
      <c r="S708" s="13" t="s">
        <v>33</v>
      </c>
      <c r="T708" s="13" t="s">
        <v>3164</v>
      </c>
      <c r="U708" s="13" t="s">
        <v>3164</v>
      </c>
      <c r="V708" s="13" t="s">
        <v>3242</v>
      </c>
      <c r="W708" s="13" t="s">
        <v>3433</v>
      </c>
      <c r="X708" s="13" t="s">
        <v>3167</v>
      </c>
    </row>
    <row r="709" ht="14.25" customHeight="1">
      <c r="A709" s="13">
        <v>25080.0</v>
      </c>
      <c r="B709" s="13" t="s">
        <v>1440</v>
      </c>
      <c r="C709" s="13">
        <v>2016.0</v>
      </c>
      <c r="D709" s="13" t="s">
        <v>3153</v>
      </c>
      <c r="E709" s="13" t="s">
        <v>3465</v>
      </c>
      <c r="F709" s="13" t="s">
        <v>3155</v>
      </c>
      <c r="G709" s="13" t="s">
        <v>3187</v>
      </c>
      <c r="H709" s="13">
        <v>100.0</v>
      </c>
      <c r="I709" s="13" t="s">
        <v>3244</v>
      </c>
      <c r="J709" s="13" t="s">
        <v>3245</v>
      </c>
      <c r="K709" s="13" t="s">
        <v>3173</v>
      </c>
      <c r="L709" s="13" t="s">
        <v>3160</v>
      </c>
      <c r="M709" s="13" t="s">
        <v>4130</v>
      </c>
      <c r="N709" s="13">
        <v>7.0</v>
      </c>
      <c r="O709" s="13" t="s">
        <v>3162</v>
      </c>
      <c r="P709" s="13" t="s">
        <v>4131</v>
      </c>
      <c r="Q709" s="13" t="s">
        <v>3173</v>
      </c>
      <c r="R709" s="13" t="s">
        <v>3163</v>
      </c>
      <c r="S709" s="13" t="s">
        <v>4131</v>
      </c>
      <c r="T709" s="13" t="s">
        <v>3247</v>
      </c>
      <c r="U709" s="13" t="s">
        <v>3247</v>
      </c>
      <c r="V709" s="13" t="s">
        <v>3242</v>
      </c>
      <c r="W709" s="13" t="s">
        <v>3356</v>
      </c>
      <c r="X709" s="13" t="s">
        <v>3167</v>
      </c>
    </row>
    <row r="710" ht="14.25" customHeight="1">
      <c r="A710" s="13">
        <v>25082.0</v>
      </c>
      <c r="B710" s="13" t="s">
        <v>1648</v>
      </c>
      <c r="C710" s="13">
        <v>2018.0</v>
      </c>
      <c r="D710" s="13" t="s">
        <v>3153</v>
      </c>
      <c r="E710" s="13" t="s">
        <v>3179</v>
      </c>
      <c r="F710" s="13" t="s">
        <v>3155</v>
      </c>
      <c r="G710" s="13" t="s">
        <v>3520</v>
      </c>
      <c r="H710" s="13">
        <v>5.0</v>
      </c>
      <c r="I710" s="13" t="s">
        <v>3666</v>
      </c>
      <c r="J710" s="13" t="s">
        <v>3289</v>
      </c>
      <c r="K710" s="13" t="s">
        <v>3183</v>
      </c>
      <c r="L710" s="13" t="s">
        <v>3160</v>
      </c>
      <c r="M710" s="13" t="s">
        <v>4132</v>
      </c>
      <c r="N710" s="13">
        <v>9.0</v>
      </c>
      <c r="O710" s="13" t="s">
        <v>3175</v>
      </c>
      <c r="P710" s="13" t="s">
        <v>4133</v>
      </c>
      <c r="Q710" s="13" t="s">
        <v>3183</v>
      </c>
      <c r="R710" s="13" t="s">
        <v>3163</v>
      </c>
      <c r="S710" s="13" t="s">
        <v>33</v>
      </c>
      <c r="T710" s="13" t="s">
        <v>3232</v>
      </c>
      <c r="U710" s="13" t="s">
        <v>3232</v>
      </c>
      <c r="V710" s="13" t="s">
        <v>3166</v>
      </c>
      <c r="W710" s="13" t="s">
        <v>3167</v>
      </c>
      <c r="X710" s="13" t="s">
        <v>3168</v>
      </c>
    </row>
    <row r="711" ht="14.25" customHeight="1">
      <c r="A711" s="13">
        <v>25083.0</v>
      </c>
      <c r="B711" s="13" t="s">
        <v>533</v>
      </c>
      <c r="C711" s="13">
        <v>2008.0</v>
      </c>
      <c r="D711" s="13" t="s">
        <v>3153</v>
      </c>
      <c r="E711" s="13" t="s">
        <v>3395</v>
      </c>
      <c r="F711" s="13" t="s">
        <v>3170</v>
      </c>
      <c r="G711" s="13" t="s">
        <v>3202</v>
      </c>
      <c r="H711" s="13">
        <v>57.0</v>
      </c>
      <c r="I711" s="13" t="s">
        <v>3188</v>
      </c>
      <c r="J711" s="13" t="s">
        <v>3207</v>
      </c>
      <c r="K711" s="13" t="s">
        <v>3208</v>
      </c>
      <c r="L711" s="13" t="s">
        <v>3160</v>
      </c>
      <c r="M711" s="13" t="s">
        <v>4134</v>
      </c>
      <c r="N711" s="13">
        <v>3.0</v>
      </c>
      <c r="O711" s="13" t="s">
        <v>3162</v>
      </c>
      <c r="P711" s="13" t="s">
        <v>33</v>
      </c>
      <c r="Q711" s="13" t="s">
        <v>3208</v>
      </c>
      <c r="R711" s="13" t="s">
        <v>3163</v>
      </c>
      <c r="S711" s="13" t="s">
        <v>33</v>
      </c>
      <c r="T711" s="13" t="s">
        <v>3197</v>
      </c>
      <c r="U711" s="13" t="s">
        <v>3197</v>
      </c>
      <c r="V711" s="13" t="s">
        <v>3242</v>
      </c>
      <c r="W711" s="13" t="s">
        <v>3481</v>
      </c>
      <c r="X711" s="13" t="s">
        <v>3167</v>
      </c>
    </row>
    <row r="712" ht="14.25" customHeight="1">
      <c r="A712" s="13">
        <v>25084.0</v>
      </c>
      <c r="B712" s="13" t="s">
        <v>533</v>
      </c>
      <c r="C712" s="13">
        <v>2011.0</v>
      </c>
      <c r="D712" s="13" t="s">
        <v>3153</v>
      </c>
      <c r="E712" s="13" t="s">
        <v>3169</v>
      </c>
      <c r="F712" s="13" t="s">
        <v>3170</v>
      </c>
      <c r="G712" s="13" t="s">
        <v>3202</v>
      </c>
      <c r="H712" s="13">
        <v>80.0</v>
      </c>
      <c r="I712" s="13" t="s">
        <v>3188</v>
      </c>
      <c r="J712" s="13" t="s">
        <v>3207</v>
      </c>
      <c r="K712" s="13" t="s">
        <v>3208</v>
      </c>
      <c r="L712" s="13" t="s">
        <v>3160</v>
      </c>
      <c r="M712" s="13" t="s">
        <v>3484</v>
      </c>
      <c r="N712" s="13">
        <v>1.0</v>
      </c>
      <c r="O712" s="13" t="s">
        <v>3267</v>
      </c>
      <c r="P712" s="13" t="s">
        <v>33</v>
      </c>
      <c r="Q712" s="13" t="s">
        <v>3208</v>
      </c>
      <c r="R712" s="13" t="s">
        <v>3163</v>
      </c>
      <c r="S712" s="13" t="s">
        <v>33</v>
      </c>
      <c r="T712" s="13" t="s">
        <v>3247</v>
      </c>
      <c r="U712" s="13" t="s">
        <v>3247</v>
      </c>
      <c r="V712" s="13" t="s">
        <v>3242</v>
      </c>
      <c r="W712" s="13" t="s">
        <v>3248</v>
      </c>
      <c r="X712" s="13" t="s">
        <v>3167</v>
      </c>
    </row>
    <row r="713" ht="14.25" customHeight="1">
      <c r="A713" s="13">
        <v>25086.0</v>
      </c>
      <c r="B713" s="13" t="s">
        <v>1570</v>
      </c>
      <c r="C713" s="13">
        <v>2008.0</v>
      </c>
      <c r="D713" s="13" t="s">
        <v>3457</v>
      </c>
      <c r="E713" s="13" t="s">
        <v>3169</v>
      </c>
      <c r="F713" s="13" t="s">
        <v>3170</v>
      </c>
      <c r="G713" s="13" t="s">
        <v>3538</v>
      </c>
      <c r="H713" s="13">
        <v>625.0</v>
      </c>
      <c r="I713" s="13" t="s">
        <v>3157</v>
      </c>
      <c r="J713" s="13" t="s">
        <v>3410</v>
      </c>
      <c r="K713" s="13" t="s">
        <v>3186</v>
      </c>
      <c r="L713" s="13" t="s">
        <v>3160</v>
      </c>
      <c r="M713" s="13" t="s">
        <v>4135</v>
      </c>
      <c r="N713" s="13">
        <v>1.0</v>
      </c>
      <c r="O713" s="13" t="s">
        <v>3162</v>
      </c>
      <c r="P713" s="13" t="s">
        <v>33</v>
      </c>
      <c r="Q713" s="13" t="s">
        <v>3159</v>
      </c>
      <c r="R713" s="13" t="s">
        <v>3177</v>
      </c>
      <c r="S713" s="13" t="s">
        <v>33</v>
      </c>
      <c r="T713" s="13" t="s">
        <v>3164</v>
      </c>
      <c r="U713" s="13" t="s">
        <v>3164</v>
      </c>
      <c r="V713" s="13" t="s">
        <v>3166</v>
      </c>
      <c r="W713" s="13" t="s">
        <v>3167</v>
      </c>
      <c r="X713" s="13" t="s">
        <v>3224</v>
      </c>
    </row>
    <row r="714" ht="14.25" customHeight="1">
      <c r="A714" s="13">
        <v>25088.0</v>
      </c>
      <c r="B714" s="13" t="s">
        <v>2137</v>
      </c>
      <c r="C714" s="13">
        <v>2003.0</v>
      </c>
      <c r="D714" s="13" t="s">
        <v>3153</v>
      </c>
      <c r="E714" s="13" t="s">
        <v>3169</v>
      </c>
      <c r="F714" s="13" t="s">
        <v>3170</v>
      </c>
      <c r="G714" s="13" t="s">
        <v>33</v>
      </c>
      <c r="H714" s="13" t="s">
        <v>33</v>
      </c>
      <c r="I714" s="13" t="s">
        <v>3222</v>
      </c>
      <c r="J714" s="13" t="s">
        <v>3182</v>
      </c>
      <c r="K714" s="13" t="s">
        <v>3159</v>
      </c>
      <c r="L714" s="13" t="s">
        <v>3160</v>
      </c>
      <c r="M714" s="13" t="s">
        <v>3161</v>
      </c>
      <c r="N714" s="13">
        <v>1.0</v>
      </c>
      <c r="O714" s="13" t="s">
        <v>3162</v>
      </c>
      <c r="P714" s="13" t="s">
        <v>33</v>
      </c>
      <c r="Q714" s="13" t="s">
        <v>3210</v>
      </c>
      <c r="R714" s="13" t="s">
        <v>3163</v>
      </c>
      <c r="S714" s="13" t="s">
        <v>33</v>
      </c>
      <c r="T714" s="13" t="s">
        <v>3195</v>
      </c>
      <c r="U714" s="13" t="s">
        <v>3195</v>
      </c>
      <c r="V714" s="13" t="s">
        <v>3195</v>
      </c>
      <c r="W714" s="13" t="s">
        <v>3167</v>
      </c>
      <c r="X714" s="13" t="s">
        <v>3167</v>
      </c>
    </row>
    <row r="715" ht="14.25" customHeight="1">
      <c r="A715" s="13">
        <v>25089.0</v>
      </c>
      <c r="B715" s="13" t="s">
        <v>4136</v>
      </c>
      <c r="C715" s="13">
        <v>2012.0</v>
      </c>
      <c r="D715" s="13" t="s">
        <v>3153</v>
      </c>
      <c r="E715" s="13" t="s">
        <v>3169</v>
      </c>
      <c r="F715" s="13" t="s">
        <v>3170</v>
      </c>
      <c r="G715" s="13" t="s">
        <v>3156</v>
      </c>
      <c r="H715" s="13" t="s">
        <v>33</v>
      </c>
      <c r="I715" s="13" t="s">
        <v>3188</v>
      </c>
      <c r="J715" s="13" t="s">
        <v>3483</v>
      </c>
      <c r="K715" s="13" t="s">
        <v>3190</v>
      </c>
      <c r="L715" s="13" t="s">
        <v>3160</v>
      </c>
      <c r="M715" s="13" t="s">
        <v>3391</v>
      </c>
      <c r="N715" s="13">
        <v>1.0</v>
      </c>
      <c r="O715" s="13" t="s">
        <v>3162</v>
      </c>
      <c r="P715" s="13" t="s">
        <v>33</v>
      </c>
      <c r="Q715" s="13" t="s">
        <v>3437</v>
      </c>
      <c r="R715" s="13" t="s">
        <v>3163</v>
      </c>
      <c r="S715" s="13" t="s">
        <v>33</v>
      </c>
      <c r="T715" s="13" t="s">
        <v>3232</v>
      </c>
      <c r="U715" s="13" t="s">
        <v>3232</v>
      </c>
      <c r="V715" s="13" t="s">
        <v>3166</v>
      </c>
      <c r="W715" s="13" t="s">
        <v>3167</v>
      </c>
      <c r="X715" s="13" t="s">
        <v>3178</v>
      </c>
    </row>
    <row r="716" ht="14.25" customHeight="1">
      <c r="A716" s="13">
        <v>25099.0</v>
      </c>
      <c r="B716" s="13" t="s">
        <v>1228</v>
      </c>
      <c r="C716" s="13">
        <v>2011.0</v>
      </c>
      <c r="D716" s="13" t="s">
        <v>3153</v>
      </c>
      <c r="E716" s="13" t="s">
        <v>3169</v>
      </c>
      <c r="F716" s="13" t="s">
        <v>3192</v>
      </c>
      <c r="G716" s="13" t="s">
        <v>3156</v>
      </c>
      <c r="H716" s="13" t="s">
        <v>33</v>
      </c>
      <c r="I716" s="13" t="s">
        <v>3244</v>
      </c>
      <c r="J716" s="13" t="s">
        <v>3345</v>
      </c>
      <c r="K716" s="13" t="s">
        <v>3186</v>
      </c>
      <c r="L716" s="13" t="s">
        <v>3177</v>
      </c>
      <c r="M716" s="13" t="s">
        <v>3391</v>
      </c>
      <c r="N716" s="13">
        <v>1.0</v>
      </c>
      <c r="O716" s="13" t="s">
        <v>3162</v>
      </c>
      <c r="P716" s="13" t="s">
        <v>33</v>
      </c>
      <c r="Q716" s="13" t="s">
        <v>3437</v>
      </c>
      <c r="R716" s="13" t="s">
        <v>3163</v>
      </c>
      <c r="S716" s="13" t="s">
        <v>33</v>
      </c>
      <c r="T716" s="13" t="s">
        <v>3164</v>
      </c>
      <c r="U716" s="13" t="s">
        <v>3164</v>
      </c>
      <c r="V716" s="13" t="s">
        <v>3166</v>
      </c>
      <c r="W716" s="13" t="s">
        <v>3167</v>
      </c>
      <c r="X716" s="13" t="s">
        <v>3178</v>
      </c>
    </row>
    <row r="717" ht="14.25" customHeight="1">
      <c r="A717" s="13">
        <v>25101.0</v>
      </c>
      <c r="B717" s="13" t="s">
        <v>4137</v>
      </c>
      <c r="C717" s="13">
        <v>2010.0</v>
      </c>
      <c r="D717" s="13" t="s">
        <v>3153</v>
      </c>
      <c r="E717" s="13" t="s">
        <v>3169</v>
      </c>
      <c r="F717" s="13" t="s">
        <v>3211</v>
      </c>
      <c r="G717" s="13" t="s">
        <v>3156</v>
      </c>
      <c r="H717" s="13" t="s">
        <v>33</v>
      </c>
      <c r="I717" s="13" t="s">
        <v>4138</v>
      </c>
      <c r="J717" s="13" t="s">
        <v>4139</v>
      </c>
      <c r="K717" s="13" t="s">
        <v>3208</v>
      </c>
      <c r="L717" s="13" t="s">
        <v>3160</v>
      </c>
      <c r="M717" s="13" t="s">
        <v>3317</v>
      </c>
      <c r="N717" s="13">
        <v>1.0</v>
      </c>
      <c r="O717" s="13" t="s">
        <v>3162</v>
      </c>
      <c r="P717" s="13" t="s">
        <v>33</v>
      </c>
      <c r="Q717" s="13" t="s">
        <v>3210</v>
      </c>
      <c r="R717" s="13" t="s">
        <v>3163</v>
      </c>
      <c r="S717" s="13" t="s">
        <v>33</v>
      </c>
      <c r="T717" s="13" t="s">
        <v>3195</v>
      </c>
      <c r="U717" s="13" t="s">
        <v>3195</v>
      </c>
      <c r="V717" s="13" t="s">
        <v>3195</v>
      </c>
      <c r="W717" s="13" t="s">
        <v>3167</v>
      </c>
      <c r="X717" s="13" t="s">
        <v>3167</v>
      </c>
    </row>
    <row r="718" ht="14.25" customHeight="1">
      <c r="A718" s="13">
        <v>25112.0</v>
      </c>
      <c r="B718" s="13" t="s">
        <v>1147</v>
      </c>
      <c r="C718" s="13">
        <v>2013.0</v>
      </c>
      <c r="D718" s="13" t="s">
        <v>3153</v>
      </c>
      <c r="E718" s="13" t="s">
        <v>3179</v>
      </c>
      <c r="F718" s="13" t="s">
        <v>3192</v>
      </c>
      <c r="G718" s="13" t="s">
        <v>3187</v>
      </c>
      <c r="H718" s="13">
        <v>1.0</v>
      </c>
      <c r="I718" s="13" t="s">
        <v>3264</v>
      </c>
      <c r="J718" s="13" t="s">
        <v>3625</v>
      </c>
      <c r="K718" s="13" t="s">
        <v>3183</v>
      </c>
      <c r="L718" s="13" t="s">
        <v>3177</v>
      </c>
      <c r="M718" s="13" t="s">
        <v>3342</v>
      </c>
      <c r="N718" s="13">
        <v>1.0</v>
      </c>
      <c r="O718" s="13" t="s">
        <v>3162</v>
      </c>
      <c r="P718" s="13" t="s">
        <v>3689</v>
      </c>
      <c r="Q718" s="13" t="s">
        <v>3186</v>
      </c>
      <c r="R718" s="13" t="s">
        <v>3177</v>
      </c>
      <c r="S718" s="13" t="s">
        <v>33</v>
      </c>
      <c r="T718" s="13" t="s">
        <v>3165</v>
      </c>
      <c r="U718" s="13" t="s">
        <v>3165</v>
      </c>
      <c r="V718" s="13" t="s">
        <v>3166</v>
      </c>
      <c r="W718" s="13" t="s">
        <v>3167</v>
      </c>
      <c r="X718" s="13" t="s">
        <v>3168</v>
      </c>
    </row>
    <row r="719" ht="14.25" customHeight="1">
      <c r="A719" s="13">
        <v>25114.0</v>
      </c>
      <c r="B719" s="13" t="s">
        <v>211</v>
      </c>
      <c r="C719" s="13">
        <v>2017.0</v>
      </c>
      <c r="D719" s="13" t="s">
        <v>3153</v>
      </c>
      <c r="E719" s="13" t="s">
        <v>3179</v>
      </c>
      <c r="F719" s="13" t="s">
        <v>3192</v>
      </c>
      <c r="G719" s="13" t="s">
        <v>3187</v>
      </c>
      <c r="H719" s="13">
        <v>16.0</v>
      </c>
      <c r="I719" s="13" t="s">
        <v>3249</v>
      </c>
      <c r="J719" s="13" t="s">
        <v>3307</v>
      </c>
      <c r="K719" s="13" t="s">
        <v>3201</v>
      </c>
      <c r="L719" s="13" t="s">
        <v>3177</v>
      </c>
      <c r="M719" s="13" t="s">
        <v>3184</v>
      </c>
      <c r="N719" s="13">
        <v>1.0</v>
      </c>
      <c r="O719" s="13" t="s">
        <v>3162</v>
      </c>
      <c r="P719" s="13" t="s">
        <v>33</v>
      </c>
      <c r="Q719" s="13" t="s">
        <v>3201</v>
      </c>
      <c r="R719" s="13" t="s">
        <v>3177</v>
      </c>
      <c r="S719" s="13" t="s">
        <v>33</v>
      </c>
      <c r="T719" s="13" t="s">
        <v>3164</v>
      </c>
      <c r="U719" s="13" t="s">
        <v>3165</v>
      </c>
      <c r="V719" s="13" t="s">
        <v>3166</v>
      </c>
      <c r="W719" s="13" t="s">
        <v>3167</v>
      </c>
      <c r="X719" s="13" t="s">
        <v>3178</v>
      </c>
    </row>
    <row r="720" ht="14.25" customHeight="1">
      <c r="A720" s="13">
        <v>25118.0</v>
      </c>
      <c r="B720" s="13" t="s">
        <v>1443</v>
      </c>
      <c r="C720" s="13">
        <v>2020.0</v>
      </c>
      <c r="D720" s="13" t="s">
        <v>3153</v>
      </c>
      <c r="E720" s="13" t="s">
        <v>3179</v>
      </c>
      <c r="F720" s="13" t="s">
        <v>3211</v>
      </c>
      <c r="G720" s="13" t="s">
        <v>3156</v>
      </c>
      <c r="H720" s="13" t="s">
        <v>33</v>
      </c>
      <c r="I720" s="13" t="s">
        <v>3249</v>
      </c>
      <c r="J720" s="13" t="s">
        <v>4140</v>
      </c>
      <c r="K720" s="13" t="s">
        <v>3183</v>
      </c>
      <c r="L720" s="13" t="s">
        <v>3160</v>
      </c>
      <c r="M720" s="13" t="s">
        <v>3722</v>
      </c>
      <c r="N720" s="13">
        <v>1.0</v>
      </c>
      <c r="O720" s="13" t="s">
        <v>3162</v>
      </c>
      <c r="P720" s="13" t="s">
        <v>4141</v>
      </c>
      <c r="Q720" s="13" t="s">
        <v>3335</v>
      </c>
      <c r="R720" s="13" t="s">
        <v>3163</v>
      </c>
      <c r="S720" s="13" t="s">
        <v>3323</v>
      </c>
      <c r="T720" s="13" t="s">
        <v>3195</v>
      </c>
      <c r="U720" s="13" t="s">
        <v>3195</v>
      </c>
      <c r="V720" s="13" t="s">
        <v>3195</v>
      </c>
      <c r="W720" s="13" t="s">
        <v>3167</v>
      </c>
      <c r="X720" s="13" t="s">
        <v>3167</v>
      </c>
    </row>
    <row r="721" ht="14.25" customHeight="1">
      <c r="A721" s="13">
        <v>25120.0</v>
      </c>
      <c r="B721" s="13" t="s">
        <v>1038</v>
      </c>
      <c r="C721" s="13">
        <v>2020.0</v>
      </c>
      <c r="D721" s="13" t="s">
        <v>3153</v>
      </c>
      <c r="E721" s="13" t="s">
        <v>3169</v>
      </c>
      <c r="F721" s="13" t="s">
        <v>3170</v>
      </c>
      <c r="G721" s="13" t="s">
        <v>3156</v>
      </c>
      <c r="H721" s="13" t="s">
        <v>33</v>
      </c>
      <c r="I721" s="13" t="s">
        <v>3244</v>
      </c>
      <c r="J721" s="13" t="s">
        <v>3289</v>
      </c>
      <c r="K721" s="13" t="s">
        <v>3159</v>
      </c>
      <c r="L721" s="13" t="s">
        <v>3160</v>
      </c>
      <c r="M721" s="13" t="s">
        <v>3363</v>
      </c>
      <c r="N721" s="13">
        <v>1.0</v>
      </c>
      <c r="O721" s="13" t="s">
        <v>3162</v>
      </c>
      <c r="P721" s="13" t="s">
        <v>33</v>
      </c>
      <c r="Q721" s="13" t="s">
        <v>3159</v>
      </c>
      <c r="R721" s="13" t="s">
        <v>3163</v>
      </c>
      <c r="S721" s="13" t="s">
        <v>33</v>
      </c>
      <c r="T721" s="13" t="s">
        <v>3164</v>
      </c>
      <c r="U721" s="13" t="s">
        <v>3164</v>
      </c>
      <c r="V721" s="13" t="s">
        <v>3166</v>
      </c>
      <c r="W721" s="13" t="s">
        <v>3167</v>
      </c>
      <c r="X721" s="13" t="s">
        <v>3178</v>
      </c>
    </row>
    <row r="722" ht="14.25" customHeight="1">
      <c r="A722" s="13">
        <v>25122.0</v>
      </c>
      <c r="B722" s="13" t="s">
        <v>3018</v>
      </c>
      <c r="C722" s="13">
        <v>2017.0</v>
      </c>
      <c r="D722" s="13" t="s">
        <v>3153</v>
      </c>
      <c r="E722" s="13" t="s">
        <v>3169</v>
      </c>
      <c r="F722" s="13" t="s">
        <v>3192</v>
      </c>
      <c r="G722" s="13" t="s">
        <v>3187</v>
      </c>
      <c r="H722" s="13">
        <v>1.0</v>
      </c>
      <c r="I722" s="13" t="s">
        <v>3157</v>
      </c>
      <c r="J722" s="13" t="s">
        <v>3199</v>
      </c>
      <c r="K722" s="13" t="s">
        <v>3333</v>
      </c>
      <c r="L722" s="13" t="s">
        <v>3160</v>
      </c>
      <c r="M722" s="13" t="s">
        <v>3363</v>
      </c>
      <c r="N722" s="13">
        <v>1.0</v>
      </c>
      <c r="O722" s="13" t="s">
        <v>3162</v>
      </c>
      <c r="P722" s="13" t="s">
        <v>33</v>
      </c>
      <c r="Q722" s="13" t="s">
        <v>3173</v>
      </c>
      <c r="R722" s="13" t="s">
        <v>3163</v>
      </c>
      <c r="S722" s="13" t="s">
        <v>33</v>
      </c>
      <c r="T722" s="13" t="s">
        <v>3232</v>
      </c>
      <c r="U722" s="13" t="s">
        <v>3232</v>
      </c>
      <c r="V722" s="13" t="s">
        <v>3166</v>
      </c>
      <c r="W722" s="13" t="s">
        <v>3167</v>
      </c>
      <c r="X722" s="13" t="s">
        <v>3224</v>
      </c>
    </row>
    <row r="723" ht="14.25" customHeight="1">
      <c r="A723" s="13">
        <v>25123.0</v>
      </c>
      <c r="B723" s="13" t="s">
        <v>2736</v>
      </c>
      <c r="C723" s="13">
        <v>2018.0</v>
      </c>
      <c r="D723" s="13" t="s">
        <v>3153</v>
      </c>
      <c r="E723" s="13" t="s">
        <v>3169</v>
      </c>
      <c r="F723" s="13" t="s">
        <v>3155</v>
      </c>
      <c r="G723" s="13" t="s">
        <v>3156</v>
      </c>
      <c r="H723" s="13" t="s">
        <v>3167</v>
      </c>
      <c r="I723" s="13" t="s">
        <v>3171</v>
      </c>
      <c r="J723" s="13" t="s">
        <v>3378</v>
      </c>
      <c r="K723" s="13" t="s">
        <v>3159</v>
      </c>
      <c r="L723" s="13" t="s">
        <v>3160</v>
      </c>
      <c r="M723" s="13" t="s">
        <v>3230</v>
      </c>
      <c r="N723" s="13">
        <v>1.0</v>
      </c>
      <c r="O723" s="13" t="s">
        <v>3162</v>
      </c>
      <c r="P723" s="13" t="s">
        <v>3167</v>
      </c>
      <c r="Q723" s="13" t="s">
        <v>3159</v>
      </c>
      <c r="R723" s="13" t="s">
        <v>3231</v>
      </c>
      <c r="S723" s="13" t="s">
        <v>33</v>
      </c>
      <c r="T723" s="13" t="s">
        <v>3232</v>
      </c>
      <c r="U723" s="13" t="s">
        <v>3232</v>
      </c>
      <c r="V723" s="13" t="s">
        <v>3166</v>
      </c>
      <c r="W723" s="13" t="s">
        <v>3167</v>
      </c>
      <c r="X723" s="13" t="s">
        <v>3178</v>
      </c>
    </row>
    <row r="724" ht="14.25" customHeight="1">
      <c r="A724" s="13">
        <v>25124.0</v>
      </c>
      <c r="B724" s="13" t="s">
        <v>2778</v>
      </c>
      <c r="C724" s="13">
        <v>2020.0</v>
      </c>
      <c r="D724" s="13" t="s">
        <v>3153</v>
      </c>
      <c r="E724" s="13" t="s">
        <v>3179</v>
      </c>
      <c r="F724" s="13" t="s">
        <v>3211</v>
      </c>
      <c r="G724" s="13" t="s">
        <v>3156</v>
      </c>
      <c r="H724" s="13" t="s">
        <v>33</v>
      </c>
      <c r="I724" s="13" t="s">
        <v>3249</v>
      </c>
      <c r="J724" s="13" t="s">
        <v>4142</v>
      </c>
      <c r="K724" s="13" t="s">
        <v>3282</v>
      </c>
      <c r="L724" s="13" t="s">
        <v>3177</v>
      </c>
      <c r="M724" s="13" t="s">
        <v>3342</v>
      </c>
      <c r="N724" s="13">
        <v>1.0</v>
      </c>
      <c r="O724" s="13" t="s">
        <v>3162</v>
      </c>
      <c r="P724" s="13" t="s">
        <v>4143</v>
      </c>
      <c r="Q724" s="13" t="s">
        <v>3183</v>
      </c>
      <c r="R724" s="13" t="s">
        <v>3163</v>
      </c>
      <c r="S724" s="13" t="s">
        <v>4143</v>
      </c>
      <c r="T724" s="13" t="s">
        <v>3232</v>
      </c>
      <c r="U724" s="13" t="s">
        <v>3232</v>
      </c>
      <c r="V724" s="13" t="s">
        <v>3166</v>
      </c>
      <c r="W724" s="13" t="s">
        <v>3167</v>
      </c>
      <c r="X724" s="13" t="s">
        <v>3225</v>
      </c>
    </row>
    <row r="725" ht="14.25" customHeight="1">
      <c r="A725" s="13">
        <v>25127.0</v>
      </c>
      <c r="B725" s="13" t="s">
        <v>1426</v>
      </c>
      <c r="C725" s="13">
        <v>2017.0</v>
      </c>
      <c r="D725" s="13" t="s">
        <v>3153</v>
      </c>
      <c r="E725" s="13" t="s">
        <v>3169</v>
      </c>
      <c r="F725" s="13" t="s">
        <v>3155</v>
      </c>
      <c r="G725" s="13" t="s">
        <v>3187</v>
      </c>
      <c r="H725" s="13">
        <v>2500.0</v>
      </c>
      <c r="I725" s="13" t="s">
        <v>4144</v>
      </c>
      <c r="J725" s="13" t="s">
        <v>4145</v>
      </c>
      <c r="K725" s="13" t="s">
        <v>3381</v>
      </c>
      <c r="L725" s="13" t="s">
        <v>3177</v>
      </c>
      <c r="M725" s="13" t="s">
        <v>4146</v>
      </c>
      <c r="N725" s="13">
        <v>4.0</v>
      </c>
      <c r="O725" s="13" t="s">
        <v>3175</v>
      </c>
      <c r="P725" s="13" t="s">
        <v>3689</v>
      </c>
      <c r="Q725" s="13" t="s">
        <v>3335</v>
      </c>
      <c r="R725" s="13" t="s">
        <v>3163</v>
      </c>
      <c r="S725" s="13" t="s">
        <v>4147</v>
      </c>
      <c r="T725" s="13" t="s">
        <v>3195</v>
      </c>
      <c r="U725" s="13" t="s">
        <v>3195</v>
      </c>
      <c r="V725" s="13" t="s">
        <v>3195</v>
      </c>
      <c r="W725" s="13" t="s">
        <v>3167</v>
      </c>
      <c r="X725" s="13" t="s">
        <v>3167</v>
      </c>
    </row>
    <row r="726" ht="14.25" customHeight="1">
      <c r="A726" s="13">
        <v>25130.0</v>
      </c>
      <c r="B726" s="13" t="s">
        <v>1277</v>
      </c>
      <c r="C726" s="13">
        <v>2006.0</v>
      </c>
      <c r="D726" s="13" t="s">
        <v>3153</v>
      </c>
      <c r="E726" s="13" t="s">
        <v>3169</v>
      </c>
      <c r="F726" s="13" t="s">
        <v>3192</v>
      </c>
      <c r="G726" s="13" t="s">
        <v>3156</v>
      </c>
      <c r="H726" s="13" t="s">
        <v>33</v>
      </c>
      <c r="I726" s="13" t="s">
        <v>3222</v>
      </c>
      <c r="J726" s="13" t="s">
        <v>3182</v>
      </c>
      <c r="K726" s="13" t="s">
        <v>3381</v>
      </c>
      <c r="L726" s="13" t="s">
        <v>3160</v>
      </c>
      <c r="M726" s="13" t="s">
        <v>4148</v>
      </c>
      <c r="N726" s="13">
        <v>1.0</v>
      </c>
      <c r="O726" s="13" t="s">
        <v>3162</v>
      </c>
      <c r="P726" s="13" t="s">
        <v>4149</v>
      </c>
      <c r="Q726" s="13" t="s">
        <v>3183</v>
      </c>
      <c r="R726" s="13" t="s">
        <v>3163</v>
      </c>
      <c r="S726" s="13" t="s">
        <v>4150</v>
      </c>
      <c r="T726" s="13" t="s">
        <v>3164</v>
      </c>
      <c r="U726" s="13" t="s">
        <v>3164</v>
      </c>
      <c r="V726" s="13" t="s">
        <v>3166</v>
      </c>
      <c r="W726" s="13" t="s">
        <v>3167</v>
      </c>
      <c r="X726" s="13" t="s">
        <v>3168</v>
      </c>
    </row>
    <row r="727" ht="14.25" customHeight="1">
      <c r="A727" s="13">
        <v>25133.0</v>
      </c>
      <c r="B727" s="13" t="s">
        <v>474</v>
      </c>
      <c r="C727" s="13">
        <v>2006.0</v>
      </c>
      <c r="D727" s="13" t="s">
        <v>3153</v>
      </c>
      <c r="E727" s="13" t="s">
        <v>3169</v>
      </c>
      <c r="F727" s="13" t="s">
        <v>3284</v>
      </c>
      <c r="G727" s="13" t="s">
        <v>3187</v>
      </c>
      <c r="H727" s="13">
        <v>25.0</v>
      </c>
      <c r="I727" s="13" t="s">
        <v>3157</v>
      </c>
      <c r="J727" s="13" t="s">
        <v>3167</v>
      </c>
      <c r="K727" s="13" t="s">
        <v>3381</v>
      </c>
      <c r="L727" s="13" t="s">
        <v>3160</v>
      </c>
      <c r="M727" s="13" t="s">
        <v>4151</v>
      </c>
      <c r="N727" s="13">
        <v>3.0</v>
      </c>
      <c r="O727" s="13" t="s">
        <v>3162</v>
      </c>
      <c r="P727" s="13" t="s">
        <v>4152</v>
      </c>
      <c r="Q727" s="13" t="s">
        <v>3183</v>
      </c>
      <c r="R727" s="13" t="s">
        <v>3231</v>
      </c>
      <c r="S727" s="13" t="s">
        <v>4153</v>
      </c>
      <c r="T727" s="13" t="s">
        <v>3247</v>
      </c>
      <c r="U727" s="13" t="s">
        <v>3247</v>
      </c>
      <c r="V727" s="13" t="s">
        <v>3242</v>
      </c>
      <c r="W727" s="13" t="s">
        <v>3356</v>
      </c>
      <c r="X727" s="13" t="s">
        <v>3167</v>
      </c>
    </row>
    <row r="728" ht="14.25" customHeight="1">
      <c r="A728" s="13">
        <v>25137.0</v>
      </c>
      <c r="B728" s="13" t="s">
        <v>2238</v>
      </c>
      <c r="C728" s="13">
        <v>2015.0</v>
      </c>
      <c r="D728" s="13" t="s">
        <v>3153</v>
      </c>
      <c r="E728" s="13" t="s">
        <v>3179</v>
      </c>
      <c r="F728" s="13" t="s">
        <v>3217</v>
      </c>
      <c r="G728" s="13" t="s">
        <v>33</v>
      </c>
      <c r="H728" s="13" t="s">
        <v>33</v>
      </c>
      <c r="I728" s="13" t="s">
        <v>3167</v>
      </c>
      <c r="J728" s="13" t="s">
        <v>3167</v>
      </c>
      <c r="K728" s="13" t="s">
        <v>3183</v>
      </c>
      <c r="L728" s="13" t="s">
        <v>3160</v>
      </c>
      <c r="M728" s="13" t="s">
        <v>3342</v>
      </c>
      <c r="N728" s="13">
        <v>1.0</v>
      </c>
      <c r="O728" s="13" t="s">
        <v>3162</v>
      </c>
      <c r="P728" s="13" t="s">
        <v>3689</v>
      </c>
      <c r="Q728" s="13" t="s">
        <v>3183</v>
      </c>
      <c r="R728" s="13" t="s">
        <v>3163</v>
      </c>
      <c r="S728" s="13" t="s">
        <v>4154</v>
      </c>
      <c r="T728" s="13" t="s">
        <v>3197</v>
      </c>
      <c r="U728" s="13" t="s">
        <v>3197</v>
      </c>
      <c r="V728" s="13" t="s">
        <v>3166</v>
      </c>
      <c r="W728" s="13" t="s">
        <v>3167</v>
      </c>
      <c r="X728" s="13" t="s">
        <v>3255</v>
      </c>
    </row>
    <row r="729" ht="14.25" customHeight="1">
      <c r="A729" s="13">
        <v>25138.0</v>
      </c>
      <c r="B729" s="13" t="s">
        <v>1177</v>
      </c>
      <c r="C729" s="13">
        <v>2018.0</v>
      </c>
      <c r="D729" s="13" t="s">
        <v>3153</v>
      </c>
      <c r="E729" s="13" t="s">
        <v>3169</v>
      </c>
      <c r="F729" s="13" t="s">
        <v>3211</v>
      </c>
      <c r="G729" s="13" t="s">
        <v>3187</v>
      </c>
      <c r="H729" s="13">
        <v>100.0</v>
      </c>
      <c r="I729" s="13" t="s">
        <v>3171</v>
      </c>
      <c r="J729" s="13" t="s">
        <v>4155</v>
      </c>
      <c r="K729" s="13" t="s">
        <v>3173</v>
      </c>
      <c r="L729" s="13" t="s">
        <v>3177</v>
      </c>
      <c r="M729" s="13" t="s">
        <v>4156</v>
      </c>
      <c r="N729" s="13">
        <v>2.0</v>
      </c>
      <c r="O729" s="13" t="s">
        <v>3162</v>
      </c>
      <c r="P729" s="13" t="s">
        <v>3167</v>
      </c>
      <c r="Q729" s="13" t="s">
        <v>3214</v>
      </c>
      <c r="R729" s="13" t="s">
        <v>3231</v>
      </c>
      <c r="S729" s="13" t="s">
        <v>33</v>
      </c>
      <c r="T729" s="13" t="s">
        <v>3164</v>
      </c>
      <c r="U729" s="13" t="s">
        <v>3164</v>
      </c>
      <c r="V729" s="13" t="s">
        <v>3166</v>
      </c>
      <c r="W729" s="13" t="s">
        <v>3167</v>
      </c>
      <c r="X729" s="13" t="s">
        <v>3216</v>
      </c>
    </row>
    <row r="730" ht="14.25" customHeight="1">
      <c r="A730" s="13">
        <v>25139.0</v>
      </c>
      <c r="B730" s="13" t="s">
        <v>1851</v>
      </c>
      <c r="C730" s="13">
        <v>2014.0</v>
      </c>
      <c r="D730" s="13" t="s">
        <v>3153</v>
      </c>
      <c r="E730" s="13" t="s">
        <v>3169</v>
      </c>
      <c r="F730" s="13" t="s">
        <v>3217</v>
      </c>
      <c r="G730" s="13" t="s">
        <v>3180</v>
      </c>
      <c r="H730" s="13">
        <v>30.0</v>
      </c>
      <c r="I730" s="13" t="s">
        <v>3167</v>
      </c>
      <c r="J730" s="13" t="s">
        <v>3167</v>
      </c>
      <c r="K730" s="13" t="s">
        <v>3183</v>
      </c>
      <c r="L730" s="13" t="s">
        <v>3177</v>
      </c>
      <c r="M730" s="13" t="s">
        <v>3200</v>
      </c>
      <c r="N730" s="13">
        <v>1.0</v>
      </c>
      <c r="O730" s="13" t="s">
        <v>3162</v>
      </c>
      <c r="P730" s="13" t="s">
        <v>3689</v>
      </c>
      <c r="Q730" s="13" t="s">
        <v>3186</v>
      </c>
      <c r="R730" s="13" t="s">
        <v>3177</v>
      </c>
      <c r="S730" s="13" t="s">
        <v>33</v>
      </c>
      <c r="T730" s="13" t="s">
        <v>3252</v>
      </c>
      <c r="U730" s="13" t="s">
        <v>3252</v>
      </c>
      <c r="V730" s="13" t="s">
        <v>3253</v>
      </c>
      <c r="W730" s="13" t="s">
        <v>3755</v>
      </c>
      <c r="X730" s="13" t="s">
        <v>3755</v>
      </c>
    </row>
    <row r="731" ht="14.25" customHeight="1">
      <c r="A731" s="13">
        <v>25145.0</v>
      </c>
      <c r="B731" s="13" t="s">
        <v>936</v>
      </c>
      <c r="C731" s="13">
        <v>2013.0</v>
      </c>
      <c r="D731" s="13" t="s">
        <v>3153</v>
      </c>
      <c r="E731" s="13" t="s">
        <v>3169</v>
      </c>
      <c r="F731" s="13" t="s">
        <v>3211</v>
      </c>
      <c r="G731" s="13" t="s">
        <v>3156</v>
      </c>
      <c r="H731" s="13" t="s">
        <v>3167</v>
      </c>
      <c r="I731" s="13" t="s">
        <v>3171</v>
      </c>
      <c r="J731" s="13" t="s">
        <v>4157</v>
      </c>
      <c r="K731" s="13" t="s">
        <v>3183</v>
      </c>
      <c r="L731" s="13" t="s">
        <v>3160</v>
      </c>
      <c r="M731" s="13" t="s">
        <v>3363</v>
      </c>
      <c r="N731" s="13">
        <v>1.0</v>
      </c>
      <c r="O731" s="13" t="s">
        <v>3162</v>
      </c>
      <c r="P731" s="13" t="s">
        <v>4158</v>
      </c>
      <c r="Q731" s="13" t="s">
        <v>4159</v>
      </c>
      <c r="R731" s="13" t="s">
        <v>3231</v>
      </c>
      <c r="S731" s="13" t="s">
        <v>3397</v>
      </c>
      <c r="T731" s="13" t="s">
        <v>3164</v>
      </c>
      <c r="U731" s="13" t="s">
        <v>3164</v>
      </c>
      <c r="V731" s="13" t="s">
        <v>3166</v>
      </c>
      <c r="W731" s="13" t="s">
        <v>3167</v>
      </c>
      <c r="X731" s="13" t="s">
        <v>3224</v>
      </c>
    </row>
    <row r="732" ht="14.25" customHeight="1">
      <c r="A732" s="13">
        <v>25146.0</v>
      </c>
      <c r="B732" s="13" t="s">
        <v>557</v>
      </c>
      <c r="C732" s="13">
        <v>2006.0</v>
      </c>
      <c r="D732" s="13" t="s">
        <v>3153</v>
      </c>
      <c r="E732" s="13" t="s">
        <v>3169</v>
      </c>
      <c r="F732" s="13" t="s">
        <v>3217</v>
      </c>
      <c r="G732" s="13" t="s">
        <v>3180</v>
      </c>
      <c r="H732" s="13">
        <v>5.0</v>
      </c>
      <c r="I732" s="13" t="s">
        <v>3167</v>
      </c>
      <c r="J732" s="13" t="s">
        <v>3167</v>
      </c>
      <c r="K732" s="13" t="s">
        <v>3186</v>
      </c>
      <c r="L732" s="13" t="s">
        <v>3177</v>
      </c>
      <c r="M732" s="13" t="s">
        <v>3448</v>
      </c>
      <c r="N732" s="13">
        <v>1.0</v>
      </c>
      <c r="O732" s="13" t="s">
        <v>3162</v>
      </c>
      <c r="P732" s="13" t="s">
        <v>33</v>
      </c>
      <c r="Q732" s="13" t="s">
        <v>3335</v>
      </c>
      <c r="R732" s="13" t="s">
        <v>3163</v>
      </c>
      <c r="S732" s="13" t="s">
        <v>3323</v>
      </c>
      <c r="T732" s="13" t="s">
        <v>3195</v>
      </c>
      <c r="U732" s="13" t="s">
        <v>3195</v>
      </c>
      <c r="V732" s="13" t="s">
        <v>3195</v>
      </c>
      <c r="W732" s="13" t="s">
        <v>3167</v>
      </c>
      <c r="X732" s="13" t="s">
        <v>3167</v>
      </c>
    </row>
    <row r="733" ht="14.25" customHeight="1">
      <c r="A733" s="13">
        <v>25150.0</v>
      </c>
      <c r="B733" s="13" t="s">
        <v>3116</v>
      </c>
      <c r="C733" s="13">
        <v>2015.0</v>
      </c>
      <c r="D733" s="13" t="s">
        <v>3153</v>
      </c>
      <c r="E733" s="13" t="s">
        <v>3169</v>
      </c>
      <c r="F733" s="13" t="s">
        <v>3211</v>
      </c>
      <c r="G733" s="13" t="s">
        <v>3156</v>
      </c>
      <c r="H733" s="13" t="s">
        <v>33</v>
      </c>
      <c r="I733" s="13" t="s">
        <v>3244</v>
      </c>
      <c r="J733" s="13" t="s">
        <v>4160</v>
      </c>
      <c r="K733" s="13" t="s">
        <v>3173</v>
      </c>
      <c r="L733" s="13" t="s">
        <v>3160</v>
      </c>
      <c r="M733" s="13" t="s">
        <v>3391</v>
      </c>
      <c r="N733" s="13">
        <v>1.0</v>
      </c>
      <c r="O733" s="13" t="s">
        <v>3162</v>
      </c>
      <c r="P733" s="13" t="s">
        <v>33</v>
      </c>
      <c r="Q733" s="13" t="s">
        <v>3333</v>
      </c>
      <c r="R733" s="13" t="s">
        <v>3177</v>
      </c>
      <c r="S733" s="13" t="s">
        <v>33</v>
      </c>
      <c r="T733" s="13" t="s">
        <v>3164</v>
      </c>
      <c r="U733" s="13" t="s">
        <v>3164</v>
      </c>
      <c r="V733" s="13" t="s">
        <v>3166</v>
      </c>
      <c r="W733" s="13" t="s">
        <v>3167</v>
      </c>
      <c r="X733" s="13" t="s">
        <v>3224</v>
      </c>
    </row>
    <row r="734" ht="14.25" customHeight="1">
      <c r="A734" s="13">
        <v>25153.0</v>
      </c>
      <c r="B734" s="13" t="s">
        <v>751</v>
      </c>
      <c r="C734" s="13">
        <v>2018.0</v>
      </c>
      <c r="D734" s="13" t="s">
        <v>3153</v>
      </c>
      <c r="E734" s="13" t="s">
        <v>3169</v>
      </c>
      <c r="F734" s="13" t="s">
        <v>3192</v>
      </c>
      <c r="G734" s="13" t="s">
        <v>3187</v>
      </c>
      <c r="H734" s="13">
        <v>1.0</v>
      </c>
      <c r="I734" s="13" t="s">
        <v>3222</v>
      </c>
      <c r="J734" s="13" t="s">
        <v>3182</v>
      </c>
      <c r="K734" s="13" t="s">
        <v>3381</v>
      </c>
      <c r="L734" s="13" t="s">
        <v>3177</v>
      </c>
      <c r="M734" s="13" t="s">
        <v>4161</v>
      </c>
      <c r="N734" s="13">
        <v>8.0</v>
      </c>
      <c r="O734" s="13" t="s">
        <v>3175</v>
      </c>
      <c r="P734" s="13" t="s">
        <v>3689</v>
      </c>
      <c r="Q734" s="13" t="s">
        <v>3173</v>
      </c>
      <c r="R734" s="13" t="s">
        <v>3163</v>
      </c>
      <c r="S734" s="13" t="s">
        <v>33</v>
      </c>
      <c r="T734" s="13" t="s">
        <v>3164</v>
      </c>
      <c r="U734" s="13" t="s">
        <v>3164</v>
      </c>
      <c r="V734" s="13" t="s">
        <v>3166</v>
      </c>
      <c r="W734" s="13" t="s">
        <v>3167</v>
      </c>
      <c r="X734" s="13" t="s">
        <v>3216</v>
      </c>
    </row>
    <row r="735" ht="14.25" customHeight="1">
      <c r="A735" s="13">
        <v>25156.0</v>
      </c>
      <c r="B735" s="13" t="s">
        <v>1991</v>
      </c>
      <c r="C735" s="13">
        <v>2015.0</v>
      </c>
      <c r="D735" s="13" t="s">
        <v>3153</v>
      </c>
      <c r="E735" s="13" t="s">
        <v>3179</v>
      </c>
      <c r="F735" s="13" t="s">
        <v>3211</v>
      </c>
      <c r="G735" s="13" t="s">
        <v>3187</v>
      </c>
      <c r="H735" s="13">
        <v>81.0</v>
      </c>
      <c r="I735" s="13" t="s">
        <v>3261</v>
      </c>
      <c r="J735" s="13" t="s">
        <v>4162</v>
      </c>
      <c r="K735" s="13" t="s">
        <v>3183</v>
      </c>
      <c r="L735" s="13" t="s">
        <v>3177</v>
      </c>
      <c r="M735" s="13" t="s">
        <v>3342</v>
      </c>
      <c r="N735" s="13">
        <v>1.0</v>
      </c>
      <c r="O735" s="13" t="s">
        <v>3162</v>
      </c>
      <c r="P735" s="13" t="s">
        <v>4163</v>
      </c>
      <c r="Q735" s="13" t="s">
        <v>3287</v>
      </c>
      <c r="R735" s="13" t="s">
        <v>3177</v>
      </c>
      <c r="S735" s="13" t="s">
        <v>33</v>
      </c>
      <c r="T735" s="13" t="s">
        <v>3164</v>
      </c>
      <c r="U735" s="13" t="s">
        <v>3164</v>
      </c>
      <c r="V735" s="13" t="s">
        <v>3166</v>
      </c>
      <c r="W735" s="13" t="s">
        <v>3167</v>
      </c>
      <c r="X735" s="13" t="s">
        <v>3216</v>
      </c>
    </row>
    <row r="736" ht="14.25" customHeight="1">
      <c r="A736" s="13">
        <v>25157.0</v>
      </c>
      <c r="B736" s="13" t="s">
        <v>1991</v>
      </c>
      <c r="C736" s="13">
        <v>2016.0</v>
      </c>
      <c r="D736" s="13" t="s">
        <v>3153</v>
      </c>
      <c r="E736" s="13" t="s">
        <v>3179</v>
      </c>
      <c r="F736" s="13" t="s">
        <v>3192</v>
      </c>
      <c r="G736" s="13" t="s">
        <v>3187</v>
      </c>
      <c r="H736" s="13">
        <v>200.0</v>
      </c>
      <c r="I736" s="13" t="s">
        <v>3261</v>
      </c>
      <c r="J736" s="13" t="s">
        <v>3240</v>
      </c>
      <c r="K736" s="13" t="s">
        <v>3173</v>
      </c>
      <c r="L736" s="13" t="s">
        <v>3177</v>
      </c>
      <c r="M736" s="13" t="s">
        <v>3342</v>
      </c>
      <c r="N736" s="13">
        <v>1.0</v>
      </c>
      <c r="O736" s="13" t="s">
        <v>3162</v>
      </c>
      <c r="P736" s="13" t="s">
        <v>33</v>
      </c>
      <c r="Q736" s="13" t="s">
        <v>3159</v>
      </c>
      <c r="R736" s="13" t="s">
        <v>3177</v>
      </c>
      <c r="S736" s="13" t="s">
        <v>33</v>
      </c>
      <c r="T736" s="13" t="s">
        <v>3164</v>
      </c>
      <c r="U736" s="13" t="s">
        <v>3164</v>
      </c>
      <c r="V736" s="13" t="s">
        <v>3166</v>
      </c>
      <c r="W736" s="13" t="s">
        <v>3167</v>
      </c>
      <c r="X736" s="13" t="s">
        <v>3168</v>
      </c>
    </row>
    <row r="737" ht="14.25" customHeight="1">
      <c r="A737" s="13">
        <v>25158.0</v>
      </c>
      <c r="B737" s="13" t="s">
        <v>134</v>
      </c>
      <c r="C737" s="13">
        <v>2017.0</v>
      </c>
      <c r="D737" s="13" t="s">
        <v>3153</v>
      </c>
      <c r="E737" s="13" t="s">
        <v>3179</v>
      </c>
      <c r="F737" s="13" t="s">
        <v>3155</v>
      </c>
      <c r="G737" s="13" t="s">
        <v>33</v>
      </c>
      <c r="H737" s="13" t="s">
        <v>33</v>
      </c>
      <c r="I737" s="13" t="s">
        <v>3193</v>
      </c>
      <c r="J737" s="13" t="s">
        <v>3402</v>
      </c>
      <c r="K737" s="13" t="s">
        <v>3190</v>
      </c>
      <c r="L737" s="13" t="s">
        <v>3177</v>
      </c>
      <c r="M737" s="13" t="s">
        <v>3342</v>
      </c>
      <c r="N737" s="13">
        <v>1.0</v>
      </c>
      <c r="O737" s="13" t="s">
        <v>3162</v>
      </c>
      <c r="P737" s="13" t="s">
        <v>33</v>
      </c>
      <c r="Q737" s="13" t="s">
        <v>3190</v>
      </c>
      <c r="R737" s="13" t="s">
        <v>3177</v>
      </c>
      <c r="S737" s="13" t="s">
        <v>33</v>
      </c>
      <c r="T737" s="13" t="s">
        <v>3164</v>
      </c>
      <c r="U737" s="13" t="s">
        <v>3164</v>
      </c>
      <c r="V737" s="13" t="s">
        <v>3166</v>
      </c>
      <c r="W737" s="13" t="s">
        <v>3167</v>
      </c>
      <c r="X737" s="13" t="s">
        <v>3178</v>
      </c>
    </row>
    <row r="738" ht="14.25" customHeight="1">
      <c r="A738" s="13">
        <v>25159.0</v>
      </c>
      <c r="B738" s="13" t="s">
        <v>3102</v>
      </c>
      <c r="C738" s="13">
        <v>2018.0</v>
      </c>
      <c r="D738" s="13" t="s">
        <v>3153</v>
      </c>
      <c r="E738" s="13" t="s">
        <v>3169</v>
      </c>
      <c r="F738" s="13" t="s">
        <v>3284</v>
      </c>
      <c r="G738" s="13" t="s">
        <v>3156</v>
      </c>
      <c r="H738" s="13" t="s">
        <v>33</v>
      </c>
      <c r="I738" s="13" t="s">
        <v>4164</v>
      </c>
      <c r="J738" s="13" t="s">
        <v>3167</v>
      </c>
      <c r="K738" s="13" t="s">
        <v>3183</v>
      </c>
      <c r="L738" s="13" t="s">
        <v>3160</v>
      </c>
      <c r="M738" s="13" t="s">
        <v>3161</v>
      </c>
      <c r="N738" s="13">
        <v>1.0</v>
      </c>
      <c r="O738" s="13" t="s">
        <v>3162</v>
      </c>
      <c r="P738" s="13" t="s">
        <v>4165</v>
      </c>
      <c r="Q738" s="13" t="s">
        <v>3183</v>
      </c>
      <c r="R738" s="13" t="s">
        <v>3163</v>
      </c>
      <c r="S738" s="13" t="s">
        <v>4166</v>
      </c>
      <c r="T738" s="13" t="s">
        <v>3164</v>
      </c>
      <c r="U738" s="13" t="s">
        <v>3164</v>
      </c>
      <c r="V738" s="13" t="s">
        <v>3166</v>
      </c>
      <c r="W738" s="13" t="s">
        <v>3167</v>
      </c>
      <c r="X738" s="13" t="s">
        <v>3178</v>
      </c>
    </row>
    <row r="739" ht="14.25" customHeight="1">
      <c r="A739" s="13">
        <v>25162.0</v>
      </c>
      <c r="B739" s="13" t="s">
        <v>1885</v>
      </c>
      <c r="C739" s="13">
        <v>2018.0</v>
      </c>
      <c r="D739" s="13" t="s">
        <v>3153</v>
      </c>
      <c r="E739" s="13" t="s">
        <v>3169</v>
      </c>
      <c r="F739" s="13" t="s">
        <v>3155</v>
      </c>
      <c r="G739" s="13" t="s">
        <v>3156</v>
      </c>
      <c r="H739" s="13" t="s">
        <v>33</v>
      </c>
      <c r="I739" s="13" t="s">
        <v>3157</v>
      </c>
      <c r="J739" s="13" t="s">
        <v>3570</v>
      </c>
      <c r="K739" s="13" t="s">
        <v>3190</v>
      </c>
      <c r="L739" s="13" t="s">
        <v>3160</v>
      </c>
      <c r="M739" s="13" t="s">
        <v>3448</v>
      </c>
      <c r="N739" s="13">
        <v>1.0</v>
      </c>
      <c r="O739" s="13" t="s">
        <v>3162</v>
      </c>
      <c r="P739" s="13" t="s">
        <v>33</v>
      </c>
      <c r="Q739" s="13" t="s">
        <v>3335</v>
      </c>
      <c r="R739" s="13" t="s">
        <v>3163</v>
      </c>
      <c r="S739" s="13" t="s">
        <v>3601</v>
      </c>
      <c r="T739" s="13" t="s">
        <v>3195</v>
      </c>
      <c r="U739" s="13" t="s">
        <v>3195</v>
      </c>
      <c r="V739" s="13" t="s">
        <v>3195</v>
      </c>
      <c r="W739" s="13" t="s">
        <v>3167</v>
      </c>
      <c r="X739" s="13" t="s">
        <v>3167</v>
      </c>
    </row>
    <row r="740" ht="14.25" customHeight="1">
      <c r="A740" s="13">
        <v>25165.0</v>
      </c>
      <c r="B740" s="13" t="s">
        <v>1029</v>
      </c>
      <c r="C740" s="13">
        <v>2020.0</v>
      </c>
      <c r="D740" s="13" t="s">
        <v>3153</v>
      </c>
      <c r="E740" s="13" t="s">
        <v>3169</v>
      </c>
      <c r="F740" s="13" t="s">
        <v>3284</v>
      </c>
      <c r="G740" s="13" t="s">
        <v>3187</v>
      </c>
      <c r="H740" s="13">
        <v>10000.0</v>
      </c>
      <c r="I740" s="13" t="s">
        <v>3244</v>
      </c>
      <c r="J740" s="13" t="s">
        <v>3167</v>
      </c>
      <c r="K740" s="13" t="s">
        <v>3173</v>
      </c>
      <c r="L740" s="13" t="s">
        <v>3177</v>
      </c>
      <c r="M740" s="13" t="s">
        <v>3230</v>
      </c>
      <c r="N740" s="13">
        <v>1.0</v>
      </c>
      <c r="O740" s="13" t="s">
        <v>3162</v>
      </c>
      <c r="P740" s="13" t="s">
        <v>33</v>
      </c>
      <c r="Q740" s="13" t="s">
        <v>3173</v>
      </c>
      <c r="R740" s="13" t="s">
        <v>3163</v>
      </c>
      <c r="S740" s="13" t="s">
        <v>33</v>
      </c>
      <c r="T740" s="13" t="s">
        <v>3197</v>
      </c>
      <c r="U740" s="13" t="s">
        <v>3197</v>
      </c>
      <c r="V740" s="13" t="s">
        <v>3166</v>
      </c>
      <c r="W740" s="13" t="s">
        <v>3167</v>
      </c>
      <c r="X740" s="13" t="s">
        <v>3276</v>
      </c>
    </row>
    <row r="741" ht="14.25" customHeight="1">
      <c r="A741" s="13">
        <v>25166.0</v>
      </c>
      <c r="B741" s="13" t="s">
        <v>2047</v>
      </c>
      <c r="C741" s="13">
        <v>2008.0</v>
      </c>
      <c r="D741" s="13" t="s">
        <v>3153</v>
      </c>
      <c r="E741" s="13" t="s">
        <v>3169</v>
      </c>
      <c r="F741" s="13" t="s">
        <v>3155</v>
      </c>
      <c r="G741" s="13" t="s">
        <v>3156</v>
      </c>
      <c r="H741" s="13" t="s">
        <v>3167</v>
      </c>
      <c r="I741" s="13" t="s">
        <v>3157</v>
      </c>
      <c r="J741" s="13" t="s">
        <v>3368</v>
      </c>
      <c r="K741" s="13" t="s">
        <v>3270</v>
      </c>
      <c r="L741" s="13" t="s">
        <v>3160</v>
      </c>
      <c r="M741" s="13" t="s">
        <v>3161</v>
      </c>
      <c r="N741" s="13">
        <v>1.0</v>
      </c>
      <c r="O741" s="13" t="s">
        <v>3162</v>
      </c>
      <c r="P741" s="13" t="s">
        <v>4167</v>
      </c>
      <c r="Q741" s="13" t="s">
        <v>3335</v>
      </c>
      <c r="R741" s="13" t="s">
        <v>3231</v>
      </c>
      <c r="S741" s="13" t="s">
        <v>3323</v>
      </c>
      <c r="T741" s="13" t="s">
        <v>3195</v>
      </c>
      <c r="U741" s="13" t="s">
        <v>3195</v>
      </c>
      <c r="V741" s="13" t="s">
        <v>3195</v>
      </c>
      <c r="W741" s="13" t="s">
        <v>3167</v>
      </c>
      <c r="X741" s="13" t="s">
        <v>3167</v>
      </c>
    </row>
    <row r="742" ht="14.25" customHeight="1">
      <c r="A742" s="13">
        <v>25169.0</v>
      </c>
      <c r="B742" s="13" t="s">
        <v>1980</v>
      </c>
      <c r="C742" s="13">
        <v>2018.0</v>
      </c>
      <c r="D742" s="13" t="s">
        <v>3153</v>
      </c>
      <c r="E742" s="13" t="s">
        <v>3179</v>
      </c>
      <c r="F742" s="13" t="s">
        <v>3192</v>
      </c>
      <c r="G742" s="13" t="s">
        <v>3588</v>
      </c>
      <c r="H742" s="13">
        <v>30.0</v>
      </c>
      <c r="I742" s="13" t="s">
        <v>3527</v>
      </c>
      <c r="J742" s="13" t="s">
        <v>3229</v>
      </c>
      <c r="K742" s="13" t="s">
        <v>3183</v>
      </c>
      <c r="L742" s="13" t="s">
        <v>3177</v>
      </c>
      <c r="M742" s="13" t="s">
        <v>3184</v>
      </c>
      <c r="N742" s="13">
        <v>1.0</v>
      </c>
      <c r="O742" s="13" t="s">
        <v>3162</v>
      </c>
      <c r="P742" s="13" t="s">
        <v>33</v>
      </c>
      <c r="Q742" s="13" t="s">
        <v>3287</v>
      </c>
      <c r="R742" s="13" t="s">
        <v>3177</v>
      </c>
      <c r="S742" s="13" t="s">
        <v>33</v>
      </c>
      <c r="T742" s="13" t="s">
        <v>3164</v>
      </c>
      <c r="U742" s="13" t="s">
        <v>3164</v>
      </c>
      <c r="V742" s="13" t="s">
        <v>3166</v>
      </c>
      <c r="W742" s="13" t="s">
        <v>3167</v>
      </c>
      <c r="X742" s="13" t="s">
        <v>3178</v>
      </c>
    </row>
    <row r="743" ht="14.25" customHeight="1">
      <c r="A743" s="13">
        <v>25172.0</v>
      </c>
      <c r="B743" s="13" t="s">
        <v>2825</v>
      </c>
      <c r="C743" s="13">
        <v>2015.0</v>
      </c>
      <c r="D743" s="13" t="s">
        <v>3153</v>
      </c>
      <c r="E743" s="13" t="s">
        <v>3169</v>
      </c>
      <c r="F743" s="13" t="s">
        <v>3192</v>
      </c>
      <c r="G743" s="13" t="s">
        <v>3156</v>
      </c>
      <c r="H743" s="13" t="s">
        <v>33</v>
      </c>
      <c r="I743" s="13" t="s">
        <v>3171</v>
      </c>
      <c r="J743" s="13" t="s">
        <v>3378</v>
      </c>
      <c r="K743" s="13" t="s">
        <v>3183</v>
      </c>
      <c r="L743" s="13" t="s">
        <v>3160</v>
      </c>
      <c r="M743" s="13" t="s">
        <v>3391</v>
      </c>
      <c r="N743" s="13">
        <v>1.0</v>
      </c>
      <c r="O743" s="13" t="s">
        <v>3162</v>
      </c>
      <c r="P743" s="13" t="s">
        <v>4168</v>
      </c>
      <c r="Q743" s="13" t="s">
        <v>3183</v>
      </c>
      <c r="R743" s="13" t="s">
        <v>3163</v>
      </c>
      <c r="S743" s="13" t="s">
        <v>4169</v>
      </c>
      <c r="T743" s="13" t="s">
        <v>3164</v>
      </c>
      <c r="U743" s="13" t="s">
        <v>3164</v>
      </c>
      <c r="V743" s="13" t="s">
        <v>3166</v>
      </c>
      <c r="W743" s="13" t="s">
        <v>3167</v>
      </c>
      <c r="X743" s="13" t="s">
        <v>3178</v>
      </c>
    </row>
    <row r="744" ht="14.25" customHeight="1">
      <c r="A744" s="13">
        <v>25175.0</v>
      </c>
      <c r="B744" s="13" t="s">
        <v>2841</v>
      </c>
      <c r="C744" s="13">
        <v>2019.0</v>
      </c>
      <c r="D744" s="13" t="s">
        <v>3153</v>
      </c>
      <c r="E744" s="13" t="s">
        <v>3169</v>
      </c>
      <c r="F744" s="13" t="s">
        <v>3217</v>
      </c>
      <c r="G744" s="13" t="s">
        <v>3156</v>
      </c>
      <c r="H744" s="13" t="s">
        <v>33</v>
      </c>
      <c r="I744" s="13" t="s">
        <v>3167</v>
      </c>
      <c r="J744" s="13" t="s">
        <v>3167</v>
      </c>
      <c r="K744" s="13" t="s">
        <v>3173</v>
      </c>
      <c r="L744" s="13" t="s">
        <v>3160</v>
      </c>
      <c r="M744" s="13" t="s">
        <v>4170</v>
      </c>
      <c r="N744" s="13">
        <v>2.0</v>
      </c>
      <c r="O744" s="13" t="s">
        <v>3162</v>
      </c>
      <c r="P744" s="13" t="s">
        <v>33</v>
      </c>
      <c r="Q744" s="13" t="s">
        <v>3183</v>
      </c>
      <c r="R744" s="13" t="s">
        <v>3163</v>
      </c>
      <c r="S744" s="13" t="s">
        <v>4171</v>
      </c>
      <c r="T744" s="13" t="s">
        <v>3165</v>
      </c>
      <c r="U744" s="13" t="s">
        <v>3165</v>
      </c>
      <c r="V744" s="13" t="s">
        <v>3166</v>
      </c>
      <c r="W744" s="13" t="s">
        <v>3167</v>
      </c>
      <c r="X744" s="13" t="s">
        <v>3224</v>
      </c>
    </row>
    <row r="745" ht="14.25" customHeight="1">
      <c r="A745" s="13">
        <v>25178.0</v>
      </c>
      <c r="B745" s="13" t="s">
        <v>1035</v>
      </c>
      <c r="C745" s="13">
        <v>2014.0</v>
      </c>
      <c r="D745" s="13" t="s">
        <v>3153</v>
      </c>
      <c r="E745" s="13" t="s">
        <v>3169</v>
      </c>
      <c r="F745" s="13" t="s">
        <v>3211</v>
      </c>
      <c r="G745" s="13" t="s">
        <v>3202</v>
      </c>
      <c r="H745" s="13">
        <v>62500.0</v>
      </c>
      <c r="I745" s="13" t="s">
        <v>3171</v>
      </c>
      <c r="J745" s="13" t="s">
        <v>4172</v>
      </c>
      <c r="K745" s="13" t="s">
        <v>3201</v>
      </c>
      <c r="L745" s="13" t="s">
        <v>3177</v>
      </c>
      <c r="M745" s="13" t="s">
        <v>4173</v>
      </c>
      <c r="N745" s="13">
        <v>7.0</v>
      </c>
      <c r="O745" s="13" t="s">
        <v>3175</v>
      </c>
      <c r="P745" s="13" t="s">
        <v>3167</v>
      </c>
      <c r="Q745" s="13" t="s">
        <v>3210</v>
      </c>
      <c r="R745" s="13" t="s">
        <v>3231</v>
      </c>
      <c r="S745" s="13" t="s">
        <v>33</v>
      </c>
      <c r="T745" s="13" t="s">
        <v>3195</v>
      </c>
      <c r="U745" s="13" t="s">
        <v>3195</v>
      </c>
      <c r="V745" s="13" t="s">
        <v>3195</v>
      </c>
      <c r="W745" s="13" t="s">
        <v>3167</v>
      </c>
      <c r="X745" s="13" t="s">
        <v>3167</v>
      </c>
    </row>
    <row r="746" ht="14.25" customHeight="1">
      <c r="A746" s="13">
        <v>25182.0</v>
      </c>
      <c r="B746" s="13" t="s">
        <v>2283</v>
      </c>
      <c r="C746" s="13">
        <v>2016.0</v>
      </c>
      <c r="D746" s="13" t="s">
        <v>3153</v>
      </c>
      <c r="E746" s="13" t="s">
        <v>3169</v>
      </c>
      <c r="F746" s="13" t="s">
        <v>3217</v>
      </c>
      <c r="G746" s="13" t="s">
        <v>3180</v>
      </c>
      <c r="H746" s="13">
        <v>1.0</v>
      </c>
      <c r="I746" s="13" t="s">
        <v>3167</v>
      </c>
      <c r="J746" s="13" t="s">
        <v>3167</v>
      </c>
      <c r="K746" s="13" t="s">
        <v>3186</v>
      </c>
      <c r="L746" s="13" t="s">
        <v>3177</v>
      </c>
      <c r="M746" s="13" t="s">
        <v>3386</v>
      </c>
      <c r="N746" s="13">
        <v>3.0</v>
      </c>
      <c r="O746" s="13" t="s">
        <v>3175</v>
      </c>
      <c r="P746" s="13" t="s">
        <v>33</v>
      </c>
      <c r="Q746" s="13" t="s">
        <v>3183</v>
      </c>
      <c r="R746" s="13" t="s">
        <v>3177</v>
      </c>
      <c r="S746" s="13" t="s">
        <v>3221</v>
      </c>
      <c r="T746" s="13" t="s">
        <v>3232</v>
      </c>
      <c r="U746" s="13" t="s">
        <v>3232</v>
      </c>
      <c r="V746" s="13" t="s">
        <v>3166</v>
      </c>
      <c r="W746" s="13" t="s">
        <v>3167</v>
      </c>
      <c r="X746" s="13" t="s">
        <v>3178</v>
      </c>
    </row>
    <row r="747" ht="14.25" customHeight="1">
      <c r="A747" s="13">
        <v>25188.0</v>
      </c>
      <c r="B747" s="13" t="s">
        <v>267</v>
      </c>
      <c r="C747" s="13">
        <v>2015.0</v>
      </c>
      <c r="D747" s="13" t="s">
        <v>3153</v>
      </c>
      <c r="E747" s="13" t="s">
        <v>3179</v>
      </c>
      <c r="F747" s="13" t="s">
        <v>3170</v>
      </c>
      <c r="G747" s="13" t="s">
        <v>33</v>
      </c>
      <c r="H747" s="13" t="s">
        <v>33</v>
      </c>
      <c r="I747" s="13" t="s">
        <v>3193</v>
      </c>
      <c r="J747" s="13" t="s">
        <v>3233</v>
      </c>
      <c r="K747" s="13" t="s">
        <v>3208</v>
      </c>
      <c r="L747" s="13" t="s">
        <v>3160</v>
      </c>
      <c r="M747" s="13" t="s">
        <v>3184</v>
      </c>
      <c r="N747" s="13">
        <v>1.0</v>
      </c>
      <c r="O747" s="13" t="s">
        <v>3162</v>
      </c>
      <c r="P747" s="13" t="s">
        <v>33</v>
      </c>
      <c r="Q747" s="13" t="s">
        <v>3208</v>
      </c>
      <c r="R747" s="13" t="s">
        <v>3163</v>
      </c>
      <c r="S747" s="13" t="s">
        <v>33</v>
      </c>
      <c r="T747" s="13" t="s">
        <v>3164</v>
      </c>
      <c r="U747" s="13" t="s">
        <v>3197</v>
      </c>
      <c r="V747" s="13" t="s">
        <v>3166</v>
      </c>
      <c r="W747" s="13" t="s">
        <v>3167</v>
      </c>
      <c r="X747" s="13" t="s">
        <v>3198</v>
      </c>
    </row>
    <row r="748" ht="14.25" customHeight="1">
      <c r="A748" s="13">
        <v>25189.0</v>
      </c>
      <c r="B748" s="13" t="s">
        <v>387</v>
      </c>
      <c r="C748" s="13">
        <v>2008.0</v>
      </c>
      <c r="D748" s="13" t="s">
        <v>3153</v>
      </c>
      <c r="E748" s="13" t="s">
        <v>3169</v>
      </c>
      <c r="F748" s="13" t="s">
        <v>3192</v>
      </c>
      <c r="G748" s="13" t="s">
        <v>3202</v>
      </c>
      <c r="H748" s="13">
        <v>1.0</v>
      </c>
      <c r="I748" s="13" t="s">
        <v>3222</v>
      </c>
      <c r="J748" s="13" t="s">
        <v>3182</v>
      </c>
      <c r="K748" s="13" t="s">
        <v>3287</v>
      </c>
      <c r="L748" s="13" t="s">
        <v>3177</v>
      </c>
      <c r="M748" s="13" t="s">
        <v>3161</v>
      </c>
      <c r="N748" s="13">
        <v>1.0</v>
      </c>
      <c r="O748" s="13" t="s">
        <v>3162</v>
      </c>
      <c r="P748" s="13" t="s">
        <v>33</v>
      </c>
      <c r="Q748" s="13" t="s">
        <v>3287</v>
      </c>
      <c r="R748" s="13" t="s">
        <v>3163</v>
      </c>
      <c r="S748" s="13" t="s">
        <v>33</v>
      </c>
      <c r="T748" s="13" t="s">
        <v>3215</v>
      </c>
      <c r="U748" s="13" t="s">
        <v>3215</v>
      </c>
      <c r="V748" s="13" t="s">
        <v>3242</v>
      </c>
      <c r="W748" s="13" t="s">
        <v>3377</v>
      </c>
      <c r="X748" s="13" t="s">
        <v>3167</v>
      </c>
    </row>
    <row r="749" ht="14.25" customHeight="1">
      <c r="A749" s="13">
        <v>25190.0</v>
      </c>
      <c r="B749" s="13" t="s">
        <v>2849</v>
      </c>
      <c r="C749" s="13">
        <v>2019.0</v>
      </c>
      <c r="D749" s="13" t="s">
        <v>3153</v>
      </c>
      <c r="E749" s="13" t="s">
        <v>3169</v>
      </c>
      <c r="F749" s="13" t="s">
        <v>3170</v>
      </c>
      <c r="G749" s="13" t="s">
        <v>3202</v>
      </c>
      <c r="H749" s="13">
        <v>30.0</v>
      </c>
      <c r="I749" s="13" t="s">
        <v>3188</v>
      </c>
      <c r="J749" s="13" t="s">
        <v>3189</v>
      </c>
      <c r="K749" s="13" t="s">
        <v>3208</v>
      </c>
      <c r="L749" s="13" t="s">
        <v>3160</v>
      </c>
      <c r="M749" s="13" t="s">
        <v>3459</v>
      </c>
      <c r="N749" s="13">
        <v>2.0</v>
      </c>
      <c r="O749" s="13" t="s">
        <v>3162</v>
      </c>
      <c r="P749" s="13" t="s">
        <v>33</v>
      </c>
      <c r="Q749" s="13" t="s">
        <v>3273</v>
      </c>
      <c r="R749" s="13" t="s">
        <v>3163</v>
      </c>
      <c r="S749" s="13" t="s">
        <v>33</v>
      </c>
      <c r="T749" s="13" t="s">
        <v>3247</v>
      </c>
      <c r="U749" s="13" t="s">
        <v>3247</v>
      </c>
      <c r="V749" s="13" t="s">
        <v>3242</v>
      </c>
      <c r="W749" s="13" t="s">
        <v>3248</v>
      </c>
      <c r="X749" s="13" t="s">
        <v>3167</v>
      </c>
    </row>
    <row r="750" ht="14.25" customHeight="1">
      <c r="A750" s="13">
        <v>25191.0</v>
      </c>
      <c r="B750" s="13" t="s">
        <v>2485</v>
      </c>
      <c r="C750" s="13">
        <v>2010.0</v>
      </c>
      <c r="D750" s="13" t="s">
        <v>3153</v>
      </c>
      <c r="E750" s="13" t="s">
        <v>3154</v>
      </c>
      <c r="F750" s="13" t="s">
        <v>3192</v>
      </c>
      <c r="G750" s="13" t="s">
        <v>3156</v>
      </c>
      <c r="H750" s="13" t="s">
        <v>33</v>
      </c>
      <c r="I750" s="13" t="s">
        <v>3222</v>
      </c>
      <c r="J750" s="13" t="s">
        <v>3229</v>
      </c>
      <c r="K750" s="13" t="s">
        <v>3159</v>
      </c>
      <c r="L750" s="13" t="s">
        <v>3160</v>
      </c>
      <c r="M750" s="13" t="s">
        <v>3161</v>
      </c>
      <c r="N750" s="13">
        <v>1.0</v>
      </c>
      <c r="O750" s="13" t="s">
        <v>3162</v>
      </c>
      <c r="P750" s="13" t="s">
        <v>33</v>
      </c>
      <c r="Q750" s="13" t="s">
        <v>3173</v>
      </c>
      <c r="R750" s="13" t="s">
        <v>3163</v>
      </c>
      <c r="S750" s="13" t="s">
        <v>33</v>
      </c>
      <c r="T750" s="13" t="s">
        <v>3247</v>
      </c>
      <c r="U750" s="13" t="s">
        <v>3247</v>
      </c>
      <c r="V750" s="13" t="s">
        <v>3166</v>
      </c>
      <c r="W750" s="13" t="s">
        <v>3167</v>
      </c>
      <c r="X750" s="13" t="s">
        <v>4003</v>
      </c>
    </row>
    <row r="751" ht="14.25" customHeight="1">
      <c r="A751" s="13">
        <v>25193.0</v>
      </c>
      <c r="B751" s="13" t="s">
        <v>2809</v>
      </c>
      <c r="C751" s="13">
        <v>2019.0</v>
      </c>
      <c r="D751" s="13" t="s">
        <v>3153</v>
      </c>
      <c r="E751" s="13" t="s">
        <v>3179</v>
      </c>
      <c r="F751" s="13" t="s">
        <v>3192</v>
      </c>
      <c r="G751" s="13" t="s">
        <v>3156</v>
      </c>
      <c r="H751" s="13" t="s">
        <v>33</v>
      </c>
      <c r="I751" s="13" t="s">
        <v>3264</v>
      </c>
      <c r="J751" s="13" t="s">
        <v>3321</v>
      </c>
      <c r="K751" s="13" t="s">
        <v>3186</v>
      </c>
      <c r="L751" s="13" t="s">
        <v>3160</v>
      </c>
      <c r="M751" s="13" t="s">
        <v>3342</v>
      </c>
      <c r="N751" s="13">
        <v>1.0</v>
      </c>
      <c r="O751" s="13" t="s">
        <v>3162</v>
      </c>
      <c r="P751" s="13" t="s">
        <v>33</v>
      </c>
      <c r="Q751" s="13" t="s">
        <v>3186</v>
      </c>
      <c r="R751" s="13" t="s">
        <v>3163</v>
      </c>
      <c r="S751" s="13" t="s">
        <v>33</v>
      </c>
      <c r="T751" s="13" t="s">
        <v>3247</v>
      </c>
      <c r="U751" s="13" t="s">
        <v>3247</v>
      </c>
      <c r="V751" s="13" t="s">
        <v>3166</v>
      </c>
      <c r="W751" s="13" t="s">
        <v>3167</v>
      </c>
      <c r="X751" s="13" t="s">
        <v>4174</v>
      </c>
    </row>
    <row r="752" ht="14.25" customHeight="1">
      <c r="A752" s="13">
        <v>25200.0</v>
      </c>
      <c r="B752" s="13" t="s">
        <v>1610</v>
      </c>
      <c r="C752" s="13">
        <v>2019.0</v>
      </c>
      <c r="D752" s="13" t="s">
        <v>3153</v>
      </c>
      <c r="E752" s="13" t="s">
        <v>3169</v>
      </c>
      <c r="F752" s="13" t="s">
        <v>3155</v>
      </c>
      <c r="G752" s="13" t="s">
        <v>3156</v>
      </c>
      <c r="H752" s="13" t="s">
        <v>33</v>
      </c>
      <c r="I752" s="13" t="s">
        <v>3222</v>
      </c>
      <c r="J752" s="13" t="s">
        <v>3182</v>
      </c>
      <c r="K752" s="13" t="s">
        <v>3173</v>
      </c>
      <c r="L752" s="13" t="s">
        <v>3177</v>
      </c>
      <c r="M752" s="13" t="s">
        <v>4175</v>
      </c>
      <c r="N752" s="13">
        <v>1.0</v>
      </c>
      <c r="O752" s="13" t="s">
        <v>3267</v>
      </c>
      <c r="P752" s="13" t="s">
        <v>33</v>
      </c>
      <c r="Q752" s="13" t="s">
        <v>3173</v>
      </c>
      <c r="R752" s="13" t="s">
        <v>3177</v>
      </c>
      <c r="S752" s="13" t="s">
        <v>33</v>
      </c>
      <c r="T752" s="13" t="s">
        <v>3247</v>
      </c>
      <c r="U752" s="13" t="s">
        <v>3247</v>
      </c>
      <c r="V752" s="13" t="s">
        <v>3242</v>
      </c>
      <c r="W752" s="13" t="s">
        <v>3294</v>
      </c>
      <c r="X752" s="13" t="s">
        <v>3167</v>
      </c>
    </row>
    <row r="753" ht="14.25" customHeight="1">
      <c r="A753" s="13">
        <v>25211.0</v>
      </c>
      <c r="B753" s="13" t="s">
        <v>4176</v>
      </c>
      <c r="C753" s="13">
        <v>2007.0</v>
      </c>
      <c r="D753" s="13" t="s">
        <v>3153</v>
      </c>
      <c r="E753" s="13" t="s">
        <v>3169</v>
      </c>
      <c r="F753" s="13" t="s">
        <v>3170</v>
      </c>
      <c r="G753" s="13" t="s">
        <v>3202</v>
      </c>
      <c r="H753" s="13">
        <v>500.0</v>
      </c>
      <c r="I753" s="13" t="s">
        <v>3203</v>
      </c>
      <c r="J753" s="13" t="s">
        <v>3204</v>
      </c>
      <c r="K753" s="13" t="s">
        <v>3265</v>
      </c>
      <c r="L753" s="13" t="s">
        <v>3160</v>
      </c>
      <c r="M753" s="13" t="s">
        <v>4177</v>
      </c>
      <c r="N753" s="13">
        <v>2.0</v>
      </c>
      <c r="O753" s="13" t="s">
        <v>3162</v>
      </c>
      <c r="P753" s="13" t="s">
        <v>3167</v>
      </c>
      <c r="Q753" s="13" t="s">
        <v>3183</v>
      </c>
      <c r="R753" s="13" t="s">
        <v>3231</v>
      </c>
      <c r="S753" s="13" t="s">
        <v>4178</v>
      </c>
      <c r="T753" s="13" t="s">
        <v>3164</v>
      </c>
      <c r="U753" s="13" t="s">
        <v>3164</v>
      </c>
      <c r="V753" s="13" t="s">
        <v>3166</v>
      </c>
      <c r="W753" s="13" t="s">
        <v>3167</v>
      </c>
      <c r="X753" s="13" t="s">
        <v>3178</v>
      </c>
    </row>
    <row r="754" ht="14.25" customHeight="1">
      <c r="A754" s="13">
        <v>25216.0</v>
      </c>
      <c r="B754" s="13" t="s">
        <v>1761</v>
      </c>
      <c r="C754" s="13">
        <v>2019.0</v>
      </c>
      <c r="D754" s="13" t="s">
        <v>3153</v>
      </c>
      <c r="E754" s="13" t="s">
        <v>3169</v>
      </c>
      <c r="F754" s="13" t="s">
        <v>3192</v>
      </c>
      <c r="G754" s="13" t="s">
        <v>3156</v>
      </c>
      <c r="H754" s="13" t="s">
        <v>33</v>
      </c>
      <c r="I754" s="13" t="s">
        <v>3171</v>
      </c>
      <c r="J754" s="13" t="s">
        <v>3378</v>
      </c>
      <c r="K754" s="13" t="s">
        <v>3173</v>
      </c>
      <c r="L754" s="13" t="s">
        <v>3160</v>
      </c>
      <c r="M754" s="13" t="s">
        <v>3484</v>
      </c>
      <c r="N754" s="13">
        <v>1.0</v>
      </c>
      <c r="O754" s="13" t="s">
        <v>3162</v>
      </c>
      <c r="P754" s="13" t="s">
        <v>4179</v>
      </c>
      <c r="Q754" s="13" t="s">
        <v>3287</v>
      </c>
      <c r="R754" s="13" t="s">
        <v>3163</v>
      </c>
      <c r="S754" s="13" t="s">
        <v>33</v>
      </c>
      <c r="T754" s="13" t="s">
        <v>3164</v>
      </c>
      <c r="U754" s="13" t="s">
        <v>3164</v>
      </c>
      <c r="V754" s="13" t="s">
        <v>3166</v>
      </c>
      <c r="W754" s="13" t="s">
        <v>3167</v>
      </c>
      <c r="X754" s="13" t="s">
        <v>3178</v>
      </c>
    </row>
    <row r="755" ht="14.25" customHeight="1">
      <c r="A755" s="13">
        <v>25221.0</v>
      </c>
      <c r="B755" s="13" t="s">
        <v>2471</v>
      </c>
      <c r="C755" s="13">
        <v>2011.0</v>
      </c>
      <c r="D755" s="13" t="s">
        <v>3153</v>
      </c>
      <c r="E755" s="13" t="s">
        <v>3154</v>
      </c>
      <c r="F755" s="13" t="s">
        <v>3192</v>
      </c>
      <c r="G755" s="13" t="s">
        <v>3156</v>
      </c>
      <c r="H755" s="13" t="s">
        <v>33</v>
      </c>
      <c r="I755" s="13" t="s">
        <v>3222</v>
      </c>
      <c r="J755" s="13" t="s">
        <v>3229</v>
      </c>
      <c r="K755" s="13" t="s">
        <v>3159</v>
      </c>
      <c r="L755" s="13" t="s">
        <v>3160</v>
      </c>
      <c r="M755" s="13" t="s">
        <v>3373</v>
      </c>
      <c r="N755" s="13">
        <v>1.0</v>
      </c>
      <c r="O755" s="13" t="s">
        <v>3162</v>
      </c>
      <c r="P755" s="13" t="s">
        <v>33</v>
      </c>
      <c r="Q755" s="13" t="s">
        <v>3159</v>
      </c>
      <c r="R755" s="13" t="s">
        <v>3163</v>
      </c>
      <c r="S755" s="13" t="s">
        <v>33</v>
      </c>
      <c r="T755" s="13" t="s">
        <v>3228</v>
      </c>
      <c r="U755" s="13" t="s">
        <v>3228</v>
      </c>
      <c r="V755" s="13" t="s">
        <v>3166</v>
      </c>
      <c r="W755" s="13" t="s">
        <v>3167</v>
      </c>
      <c r="X755" s="13" t="s">
        <v>3225</v>
      </c>
    </row>
    <row r="756" ht="14.25" customHeight="1">
      <c r="A756" s="13">
        <v>25223.0</v>
      </c>
      <c r="B756" s="13" t="s">
        <v>1388</v>
      </c>
      <c r="C756" s="13">
        <v>2015.0</v>
      </c>
      <c r="D756" s="13" t="s">
        <v>3153</v>
      </c>
      <c r="E756" s="13" t="s">
        <v>3169</v>
      </c>
      <c r="F756" s="13" t="s">
        <v>3192</v>
      </c>
      <c r="G756" s="13" t="s">
        <v>3156</v>
      </c>
      <c r="H756" s="13" t="s">
        <v>33</v>
      </c>
      <c r="I756" s="13" t="s">
        <v>3222</v>
      </c>
      <c r="J756" s="13" t="s">
        <v>3226</v>
      </c>
      <c r="K756" s="13" t="s">
        <v>3208</v>
      </c>
      <c r="L756" s="13" t="s">
        <v>3160</v>
      </c>
      <c r="M756" s="13" t="s">
        <v>3230</v>
      </c>
      <c r="N756" s="13">
        <v>1.0</v>
      </c>
      <c r="O756" s="13" t="s">
        <v>3162</v>
      </c>
      <c r="P756" s="13" t="s">
        <v>33</v>
      </c>
      <c r="Q756" s="13" t="s">
        <v>3702</v>
      </c>
      <c r="R756" s="13" t="s">
        <v>3163</v>
      </c>
      <c r="S756" s="13" t="s">
        <v>33</v>
      </c>
      <c r="T756" s="13" t="s">
        <v>3164</v>
      </c>
      <c r="U756" s="13" t="s">
        <v>3164</v>
      </c>
      <c r="V756" s="13" t="s">
        <v>3166</v>
      </c>
      <c r="W756" s="13" t="s">
        <v>3167</v>
      </c>
      <c r="X756" s="13" t="s">
        <v>3178</v>
      </c>
    </row>
    <row r="757" ht="14.25" customHeight="1">
      <c r="A757" s="13">
        <v>25225.0</v>
      </c>
      <c r="B757" s="13" t="s">
        <v>2575</v>
      </c>
      <c r="C757" s="13">
        <v>2016.0</v>
      </c>
      <c r="D757" s="13" t="s">
        <v>3153</v>
      </c>
      <c r="E757" s="13" t="s">
        <v>3169</v>
      </c>
      <c r="F757" s="13" t="s">
        <v>3155</v>
      </c>
      <c r="G757" s="13" t="s">
        <v>3187</v>
      </c>
      <c r="H757" s="13">
        <v>1.0</v>
      </c>
      <c r="I757" s="13" t="s">
        <v>3188</v>
      </c>
      <c r="J757" s="13" t="s">
        <v>3432</v>
      </c>
      <c r="K757" s="13" t="s">
        <v>3186</v>
      </c>
      <c r="L757" s="13" t="s">
        <v>3177</v>
      </c>
      <c r="M757" s="13" t="s">
        <v>3161</v>
      </c>
      <c r="N757" s="13">
        <v>1.0</v>
      </c>
      <c r="O757" s="13" t="s">
        <v>3162</v>
      </c>
      <c r="P757" s="13" t="s">
        <v>33</v>
      </c>
      <c r="Q757" s="13" t="s">
        <v>3186</v>
      </c>
      <c r="R757" s="13" t="s">
        <v>3163</v>
      </c>
      <c r="S757" s="13" t="s">
        <v>33</v>
      </c>
      <c r="T757" s="13" t="s">
        <v>3164</v>
      </c>
      <c r="U757" s="13" t="s">
        <v>3232</v>
      </c>
      <c r="V757" s="13" t="s">
        <v>3166</v>
      </c>
      <c r="W757" s="13" t="s">
        <v>3167</v>
      </c>
      <c r="X757" s="13" t="s">
        <v>3224</v>
      </c>
    </row>
    <row r="758" ht="14.25" customHeight="1">
      <c r="A758" s="13">
        <v>25229.0</v>
      </c>
      <c r="B758" s="13" t="s">
        <v>513</v>
      </c>
      <c r="C758" s="13">
        <v>2016.0</v>
      </c>
      <c r="D758" s="13" t="s">
        <v>3153</v>
      </c>
      <c r="E758" s="13" t="s">
        <v>3465</v>
      </c>
      <c r="F758" s="13" t="s">
        <v>3170</v>
      </c>
      <c r="G758" s="13" t="s">
        <v>3156</v>
      </c>
      <c r="H758" s="13" t="s">
        <v>33</v>
      </c>
      <c r="I758" s="13" t="s">
        <v>3171</v>
      </c>
      <c r="J758" s="13" t="s">
        <v>4180</v>
      </c>
      <c r="K758" s="13" t="s">
        <v>3208</v>
      </c>
      <c r="L758" s="13" t="s">
        <v>3160</v>
      </c>
      <c r="M758" s="13" t="s">
        <v>4181</v>
      </c>
      <c r="N758" s="13">
        <v>3.0</v>
      </c>
      <c r="O758" s="13" t="s">
        <v>3162</v>
      </c>
      <c r="P758" s="13" t="s">
        <v>33</v>
      </c>
      <c r="Q758" s="13" t="s">
        <v>3335</v>
      </c>
      <c r="R758" s="13" t="s">
        <v>3163</v>
      </c>
      <c r="S758" s="13" t="s">
        <v>3329</v>
      </c>
      <c r="T758" s="13" t="s">
        <v>3195</v>
      </c>
      <c r="U758" s="13" t="s">
        <v>3195</v>
      </c>
      <c r="V758" s="13" t="s">
        <v>3195</v>
      </c>
      <c r="W758" s="13" t="s">
        <v>3167</v>
      </c>
      <c r="X758" s="13" t="s">
        <v>3167</v>
      </c>
    </row>
    <row r="759" ht="14.25" customHeight="1">
      <c r="A759" s="13">
        <v>25230.0</v>
      </c>
      <c r="B759" s="13" t="s">
        <v>513</v>
      </c>
      <c r="C759" s="13">
        <v>2020.0</v>
      </c>
      <c r="D759" s="13" t="s">
        <v>3153</v>
      </c>
      <c r="E759" s="13" t="s">
        <v>3465</v>
      </c>
      <c r="F759" s="13" t="s">
        <v>3170</v>
      </c>
      <c r="G759" s="13" t="s">
        <v>3156</v>
      </c>
      <c r="H759" s="13" t="s">
        <v>33</v>
      </c>
      <c r="I759" s="13" t="s">
        <v>3171</v>
      </c>
      <c r="J759" s="13" t="s">
        <v>4180</v>
      </c>
      <c r="K759" s="13" t="s">
        <v>3208</v>
      </c>
      <c r="L759" s="13" t="s">
        <v>3160</v>
      </c>
      <c r="M759" s="13" t="s">
        <v>4182</v>
      </c>
      <c r="N759" s="13">
        <v>2.0</v>
      </c>
      <c r="O759" s="13" t="s">
        <v>3162</v>
      </c>
      <c r="P759" s="13" t="s">
        <v>33</v>
      </c>
      <c r="Q759" s="13" t="s">
        <v>3335</v>
      </c>
      <c r="R759" s="13" t="s">
        <v>3163</v>
      </c>
      <c r="S759" s="13" t="s">
        <v>3329</v>
      </c>
      <c r="T759" s="13" t="s">
        <v>3195</v>
      </c>
      <c r="U759" s="13" t="s">
        <v>3195</v>
      </c>
      <c r="V759" s="13" t="s">
        <v>3195</v>
      </c>
      <c r="W759" s="13" t="s">
        <v>3167</v>
      </c>
      <c r="X759" s="13" t="s">
        <v>3167</v>
      </c>
    </row>
    <row r="760" ht="14.25" customHeight="1">
      <c r="A760" s="13">
        <v>25232.0</v>
      </c>
      <c r="B760" s="13" t="s">
        <v>2666</v>
      </c>
      <c r="C760" s="13">
        <v>2018.0</v>
      </c>
      <c r="D760" s="13" t="s">
        <v>3153</v>
      </c>
      <c r="E760" s="13" t="s">
        <v>3154</v>
      </c>
      <c r="F760" s="13" t="s">
        <v>3155</v>
      </c>
      <c r="G760" s="13" t="s">
        <v>3156</v>
      </c>
      <c r="H760" s="13" t="s">
        <v>4183</v>
      </c>
      <c r="I760" s="13" t="s">
        <v>3157</v>
      </c>
      <c r="J760" s="13" t="s">
        <v>4184</v>
      </c>
      <c r="K760" s="13" t="s">
        <v>3173</v>
      </c>
      <c r="L760" s="13" t="s">
        <v>3160</v>
      </c>
      <c r="M760" s="13" t="s">
        <v>3161</v>
      </c>
      <c r="N760" s="13">
        <v>1.0</v>
      </c>
      <c r="O760" s="13" t="s">
        <v>3162</v>
      </c>
      <c r="P760" s="13" t="s">
        <v>3167</v>
      </c>
      <c r="Q760" s="13" t="s">
        <v>3173</v>
      </c>
      <c r="R760" s="13" t="s">
        <v>3231</v>
      </c>
      <c r="S760" s="13" t="s">
        <v>33</v>
      </c>
      <c r="T760" s="13" t="s">
        <v>3164</v>
      </c>
      <c r="U760" s="13" t="s">
        <v>3164</v>
      </c>
      <c r="V760" s="13" t="s">
        <v>3166</v>
      </c>
      <c r="W760" s="13" t="s">
        <v>3167</v>
      </c>
      <c r="X760" s="13" t="s">
        <v>3324</v>
      </c>
    </row>
    <row r="761" ht="14.25" customHeight="1">
      <c r="A761" s="13">
        <v>25233.0</v>
      </c>
      <c r="B761" s="13" t="s">
        <v>2554</v>
      </c>
      <c r="C761" s="13">
        <v>2014.0</v>
      </c>
      <c r="D761" s="13" t="s">
        <v>3153</v>
      </c>
      <c r="E761" s="13" t="s">
        <v>3179</v>
      </c>
      <c r="F761" s="13" t="s">
        <v>3170</v>
      </c>
      <c r="G761" s="13" t="s">
        <v>3202</v>
      </c>
      <c r="H761" s="13">
        <v>500.0</v>
      </c>
      <c r="I761" s="13" t="s">
        <v>3249</v>
      </c>
      <c r="J761" s="13" t="s">
        <v>3199</v>
      </c>
      <c r="K761" s="13" t="s">
        <v>3190</v>
      </c>
      <c r="L761" s="13" t="s">
        <v>3177</v>
      </c>
      <c r="M761" s="13" t="s">
        <v>3342</v>
      </c>
      <c r="N761" s="13">
        <v>1.0</v>
      </c>
      <c r="O761" s="13" t="s">
        <v>3162</v>
      </c>
      <c r="P761" s="13" t="s">
        <v>33</v>
      </c>
      <c r="Q761" s="13" t="s">
        <v>3173</v>
      </c>
      <c r="R761" s="13" t="s">
        <v>3163</v>
      </c>
      <c r="S761" s="13" t="s">
        <v>33</v>
      </c>
      <c r="T761" s="13" t="s">
        <v>3165</v>
      </c>
      <c r="U761" s="13" t="s">
        <v>3252</v>
      </c>
      <c r="V761" s="13" t="s">
        <v>3253</v>
      </c>
      <c r="W761" s="13" t="s">
        <v>3254</v>
      </c>
      <c r="X761" s="13" t="s">
        <v>4185</v>
      </c>
    </row>
    <row r="762" ht="14.25" customHeight="1">
      <c r="A762" s="13">
        <v>25234.0</v>
      </c>
      <c r="B762" s="13" t="s">
        <v>155</v>
      </c>
      <c r="C762" s="13">
        <v>2018.0</v>
      </c>
      <c r="D762" s="13" t="s">
        <v>3153</v>
      </c>
      <c r="E762" s="13" t="s">
        <v>3169</v>
      </c>
      <c r="F762" s="13" t="s">
        <v>3170</v>
      </c>
      <c r="G762" s="13" t="s">
        <v>3156</v>
      </c>
      <c r="H762" s="13" t="s">
        <v>33</v>
      </c>
      <c r="I762" s="13" t="s">
        <v>3188</v>
      </c>
      <c r="J762" s="13" t="s">
        <v>3189</v>
      </c>
      <c r="K762" s="13" t="s">
        <v>3159</v>
      </c>
      <c r="L762" s="13" t="s">
        <v>3177</v>
      </c>
      <c r="M762" s="13" t="s">
        <v>3391</v>
      </c>
      <c r="N762" s="13">
        <v>1.0</v>
      </c>
      <c r="O762" s="13" t="s">
        <v>3162</v>
      </c>
      <c r="P762" s="13" t="s">
        <v>33</v>
      </c>
      <c r="Q762" s="13" t="s">
        <v>3159</v>
      </c>
      <c r="R762" s="13" t="s">
        <v>3163</v>
      </c>
      <c r="S762" s="13" t="s">
        <v>33</v>
      </c>
      <c r="T762" s="13" t="s">
        <v>3164</v>
      </c>
      <c r="U762" s="13" t="s">
        <v>3164</v>
      </c>
      <c r="V762" s="13" t="s">
        <v>3166</v>
      </c>
      <c r="W762" s="13" t="s">
        <v>3167</v>
      </c>
      <c r="X762" s="13" t="s">
        <v>3178</v>
      </c>
    </row>
    <row r="763" ht="14.25" customHeight="1">
      <c r="A763" s="13">
        <v>25240.0</v>
      </c>
      <c r="B763" s="13" t="s">
        <v>1705</v>
      </c>
      <c r="C763" s="13">
        <v>2018.0</v>
      </c>
      <c r="D763" s="13" t="s">
        <v>3153</v>
      </c>
      <c r="E763" s="13" t="s">
        <v>3169</v>
      </c>
      <c r="F763" s="13" t="s">
        <v>3170</v>
      </c>
      <c r="G763" s="13" t="s">
        <v>3156</v>
      </c>
      <c r="H763" s="13" t="s">
        <v>33</v>
      </c>
      <c r="I763" s="13" t="s">
        <v>3188</v>
      </c>
      <c r="J763" s="13" t="s">
        <v>3432</v>
      </c>
      <c r="K763" s="13" t="s">
        <v>3208</v>
      </c>
      <c r="L763" s="13" t="s">
        <v>3160</v>
      </c>
      <c r="M763" s="13" t="s">
        <v>3565</v>
      </c>
      <c r="N763" s="13">
        <v>2.0</v>
      </c>
      <c r="O763" s="13" t="s">
        <v>3267</v>
      </c>
      <c r="P763" s="13" t="s">
        <v>33</v>
      </c>
      <c r="Q763" s="13" t="s">
        <v>3208</v>
      </c>
      <c r="R763" s="13" t="s">
        <v>3163</v>
      </c>
      <c r="S763" s="13" t="s">
        <v>33</v>
      </c>
      <c r="T763" s="13" t="s">
        <v>3247</v>
      </c>
      <c r="U763" s="13" t="s">
        <v>3247</v>
      </c>
      <c r="V763" s="13" t="s">
        <v>3242</v>
      </c>
      <c r="W763" s="13" t="s">
        <v>3969</v>
      </c>
      <c r="X763" s="13" t="s">
        <v>3167</v>
      </c>
    </row>
    <row r="764" ht="14.25" customHeight="1">
      <c r="A764" s="13">
        <v>25241.0</v>
      </c>
      <c r="B764" s="13" t="s">
        <v>3068</v>
      </c>
      <c r="C764" s="13">
        <v>2018.0</v>
      </c>
      <c r="D764" s="13" t="s">
        <v>3153</v>
      </c>
      <c r="E764" s="13" t="s">
        <v>3169</v>
      </c>
      <c r="F764" s="13" t="s">
        <v>3192</v>
      </c>
      <c r="G764" s="13" t="s">
        <v>3187</v>
      </c>
      <c r="H764" s="13">
        <v>1.0</v>
      </c>
      <c r="I764" s="13" t="s">
        <v>3188</v>
      </c>
      <c r="J764" s="13" t="s">
        <v>3432</v>
      </c>
      <c r="K764" s="13" t="s">
        <v>3208</v>
      </c>
      <c r="L764" s="13" t="s">
        <v>3160</v>
      </c>
      <c r="M764" s="13" t="s">
        <v>3484</v>
      </c>
      <c r="N764" s="13">
        <v>1.0</v>
      </c>
      <c r="O764" s="13" t="s">
        <v>3267</v>
      </c>
      <c r="P764" s="13" t="s">
        <v>33</v>
      </c>
      <c r="Q764" s="13" t="s">
        <v>3208</v>
      </c>
      <c r="R764" s="13" t="s">
        <v>3163</v>
      </c>
      <c r="S764" s="13" t="s">
        <v>33</v>
      </c>
      <c r="T764" s="13" t="s">
        <v>3247</v>
      </c>
      <c r="U764" s="13" t="s">
        <v>3247</v>
      </c>
      <c r="V764" s="13" t="s">
        <v>3242</v>
      </c>
      <c r="W764" s="13" t="s">
        <v>4186</v>
      </c>
      <c r="X764" s="13" t="s">
        <v>3167</v>
      </c>
    </row>
    <row r="765" ht="14.25" customHeight="1">
      <c r="A765" s="13">
        <v>25242.0</v>
      </c>
      <c r="B765" s="13" t="s">
        <v>2412</v>
      </c>
      <c r="C765" s="13">
        <v>2017.0</v>
      </c>
      <c r="D765" s="13" t="s">
        <v>3153</v>
      </c>
      <c r="E765" s="13" t="s">
        <v>3154</v>
      </c>
      <c r="F765" s="13" t="s">
        <v>3170</v>
      </c>
      <c r="G765" s="13" t="s">
        <v>3156</v>
      </c>
      <c r="H765" s="13" t="s">
        <v>33</v>
      </c>
      <c r="I765" s="13" t="s">
        <v>3157</v>
      </c>
      <c r="J765" s="13" t="s">
        <v>3307</v>
      </c>
      <c r="K765" s="13" t="s">
        <v>3159</v>
      </c>
      <c r="L765" s="13" t="s">
        <v>3160</v>
      </c>
      <c r="M765" s="13" t="s">
        <v>3291</v>
      </c>
      <c r="N765" s="13">
        <v>1.0</v>
      </c>
      <c r="O765" s="13" t="s">
        <v>3162</v>
      </c>
      <c r="P765" s="13" t="s">
        <v>33</v>
      </c>
      <c r="Q765" s="13" t="s">
        <v>3159</v>
      </c>
      <c r="R765" s="13" t="s">
        <v>3163</v>
      </c>
      <c r="S765" s="13" t="s">
        <v>33</v>
      </c>
      <c r="T765" s="13" t="s">
        <v>3247</v>
      </c>
      <c r="U765" s="13" t="s">
        <v>3247</v>
      </c>
      <c r="V765" s="13" t="s">
        <v>3166</v>
      </c>
      <c r="W765" s="13" t="s">
        <v>3167</v>
      </c>
      <c r="X765" s="13" t="s">
        <v>3168</v>
      </c>
    </row>
    <row r="766" ht="14.25" customHeight="1">
      <c r="A766" s="13">
        <v>25246.0</v>
      </c>
      <c r="B766" s="13" t="s">
        <v>1360</v>
      </c>
      <c r="C766" s="13">
        <v>2016.0</v>
      </c>
      <c r="D766" s="13" t="s">
        <v>3153</v>
      </c>
      <c r="E766" s="13" t="s">
        <v>3179</v>
      </c>
      <c r="F766" s="13" t="s">
        <v>3217</v>
      </c>
      <c r="G766" s="13" t="s">
        <v>3180</v>
      </c>
      <c r="H766" s="13">
        <v>1.0</v>
      </c>
      <c r="I766" s="13" t="s">
        <v>3167</v>
      </c>
      <c r="J766" s="13" t="s">
        <v>3167</v>
      </c>
      <c r="K766" s="13" t="s">
        <v>3208</v>
      </c>
      <c r="L766" s="13" t="s">
        <v>3177</v>
      </c>
      <c r="M766" s="13" t="s">
        <v>3342</v>
      </c>
      <c r="N766" s="13">
        <v>1.0</v>
      </c>
      <c r="O766" s="13" t="s">
        <v>3162</v>
      </c>
      <c r="P766" s="13" t="s">
        <v>33</v>
      </c>
      <c r="Q766" s="13" t="s">
        <v>3208</v>
      </c>
      <c r="R766" s="13" t="s">
        <v>3177</v>
      </c>
      <c r="S766" s="13" t="s">
        <v>33</v>
      </c>
      <c r="T766" s="13" t="s">
        <v>3232</v>
      </c>
      <c r="U766" s="13" t="s">
        <v>3232</v>
      </c>
      <c r="V766" s="13" t="s">
        <v>3166</v>
      </c>
      <c r="W766" s="13" t="s">
        <v>3167</v>
      </c>
      <c r="X766" s="13" t="s">
        <v>3225</v>
      </c>
    </row>
    <row r="767" ht="14.25" customHeight="1">
      <c r="A767" s="13">
        <v>25247.0</v>
      </c>
      <c r="B767" s="13" t="s">
        <v>1360</v>
      </c>
      <c r="C767" s="13">
        <v>2019.0</v>
      </c>
      <c r="D767" s="13" t="s">
        <v>3153</v>
      </c>
      <c r="E767" s="13" t="s">
        <v>3179</v>
      </c>
      <c r="F767" s="13" t="s">
        <v>3217</v>
      </c>
      <c r="G767" s="13" t="s">
        <v>3180</v>
      </c>
      <c r="H767" s="13">
        <v>1.0</v>
      </c>
      <c r="I767" s="13" t="s">
        <v>3167</v>
      </c>
      <c r="J767" s="13" t="s">
        <v>3167</v>
      </c>
      <c r="K767" s="13" t="s">
        <v>3208</v>
      </c>
      <c r="L767" s="13" t="s">
        <v>3177</v>
      </c>
      <c r="M767" s="13" t="s">
        <v>3342</v>
      </c>
      <c r="N767" s="13">
        <v>1.0</v>
      </c>
      <c r="O767" s="13" t="s">
        <v>3162</v>
      </c>
      <c r="P767" s="13" t="s">
        <v>4187</v>
      </c>
      <c r="Q767" s="13" t="s">
        <v>3287</v>
      </c>
      <c r="R767" s="13" t="s">
        <v>3260</v>
      </c>
      <c r="S767" s="13" t="s">
        <v>33</v>
      </c>
      <c r="T767" s="13" t="s">
        <v>3164</v>
      </c>
      <c r="U767" s="13" t="s">
        <v>3232</v>
      </c>
      <c r="V767" s="13" t="s">
        <v>3166</v>
      </c>
      <c r="W767" s="13" t="s">
        <v>3167</v>
      </c>
      <c r="X767" s="13" t="s">
        <v>3225</v>
      </c>
    </row>
    <row r="768" ht="14.25" customHeight="1">
      <c r="A768" s="13">
        <v>25266.0</v>
      </c>
      <c r="B768" s="13" t="s">
        <v>683</v>
      </c>
      <c r="C768" s="13">
        <v>2020.0</v>
      </c>
      <c r="D768" s="13" t="s">
        <v>3315</v>
      </c>
      <c r="E768" s="13" t="s">
        <v>3465</v>
      </c>
      <c r="F768" s="13" t="s">
        <v>3284</v>
      </c>
      <c r="G768" s="13" t="s">
        <v>3156</v>
      </c>
      <c r="H768" s="13" t="s">
        <v>33</v>
      </c>
      <c r="I768" s="13" t="s">
        <v>3188</v>
      </c>
      <c r="J768" s="13" t="s">
        <v>3167</v>
      </c>
      <c r="K768" s="13" t="s">
        <v>3173</v>
      </c>
      <c r="L768" s="13" t="s">
        <v>3177</v>
      </c>
      <c r="M768" s="13" t="s">
        <v>3161</v>
      </c>
      <c r="N768" s="13">
        <v>1.0</v>
      </c>
      <c r="O768" s="13" t="s">
        <v>3162</v>
      </c>
      <c r="P768" s="13" t="s">
        <v>33</v>
      </c>
      <c r="Q768" s="13" t="s">
        <v>3173</v>
      </c>
      <c r="R768" s="13" t="s">
        <v>3163</v>
      </c>
      <c r="S768" s="13" t="s">
        <v>33</v>
      </c>
      <c r="T768" s="13" t="s">
        <v>3232</v>
      </c>
      <c r="U768" s="13" t="s">
        <v>3232</v>
      </c>
      <c r="V768" s="13" t="s">
        <v>3166</v>
      </c>
      <c r="W768" s="13" t="s">
        <v>3167</v>
      </c>
      <c r="X768" s="13" t="s">
        <v>3324</v>
      </c>
    </row>
    <row r="769" ht="14.25" customHeight="1">
      <c r="A769" s="13">
        <v>25268.0</v>
      </c>
      <c r="B769" s="13" t="s">
        <v>233</v>
      </c>
      <c r="C769" s="13">
        <v>2019.0</v>
      </c>
      <c r="D769" s="13" t="s">
        <v>3153</v>
      </c>
      <c r="E769" s="13" t="s">
        <v>3465</v>
      </c>
      <c r="F769" s="13" t="s">
        <v>3192</v>
      </c>
      <c r="G769" s="13" t="s">
        <v>3156</v>
      </c>
      <c r="H769" s="13" t="s">
        <v>3167</v>
      </c>
      <c r="I769" s="13" t="s">
        <v>3222</v>
      </c>
      <c r="J769" s="13" t="s">
        <v>3182</v>
      </c>
      <c r="K769" s="13" t="s">
        <v>3183</v>
      </c>
      <c r="L769" s="13" t="s">
        <v>3160</v>
      </c>
      <c r="M769" s="13" t="s">
        <v>3477</v>
      </c>
      <c r="N769" s="13">
        <v>1.0</v>
      </c>
      <c r="O769" s="13" t="s">
        <v>3162</v>
      </c>
      <c r="P769" s="13" t="s">
        <v>3724</v>
      </c>
      <c r="Q769" s="13" t="s">
        <v>3173</v>
      </c>
      <c r="R769" s="13" t="s">
        <v>3231</v>
      </c>
      <c r="S769" s="13" t="s">
        <v>33</v>
      </c>
      <c r="T769" s="13" t="s">
        <v>3247</v>
      </c>
      <c r="U769" s="13" t="s">
        <v>3247</v>
      </c>
      <c r="V769" s="13" t="s">
        <v>3166</v>
      </c>
      <c r="W769" s="13" t="s">
        <v>3167</v>
      </c>
      <c r="X769" s="13" t="s">
        <v>3632</v>
      </c>
    </row>
    <row r="770" ht="14.25" customHeight="1">
      <c r="A770" s="13">
        <v>25270.0</v>
      </c>
      <c r="B770" s="13" t="s">
        <v>483</v>
      </c>
      <c r="C770" s="13">
        <v>2020.0</v>
      </c>
      <c r="D770" s="13" t="s">
        <v>3153</v>
      </c>
      <c r="E770" s="13" t="s">
        <v>3169</v>
      </c>
      <c r="F770" s="13" t="s">
        <v>3170</v>
      </c>
      <c r="G770" s="13" t="s">
        <v>3202</v>
      </c>
      <c r="H770" s="13">
        <v>20.0</v>
      </c>
      <c r="I770" s="13" t="s">
        <v>3171</v>
      </c>
      <c r="J770" s="13" t="s">
        <v>3378</v>
      </c>
      <c r="K770" s="13" t="s">
        <v>3208</v>
      </c>
      <c r="L770" s="13" t="s">
        <v>3160</v>
      </c>
      <c r="M770" s="13" t="s">
        <v>3161</v>
      </c>
      <c r="N770" s="13">
        <v>1.0</v>
      </c>
      <c r="O770" s="13" t="s">
        <v>3162</v>
      </c>
      <c r="P770" s="13" t="s">
        <v>33</v>
      </c>
      <c r="Q770" s="13" t="s">
        <v>3208</v>
      </c>
      <c r="R770" s="13" t="s">
        <v>3163</v>
      </c>
      <c r="S770" s="13" t="s">
        <v>33</v>
      </c>
      <c r="T770" s="13" t="s">
        <v>3247</v>
      </c>
      <c r="U770" s="13" t="s">
        <v>3247</v>
      </c>
      <c r="V770" s="13" t="s">
        <v>3242</v>
      </c>
      <c r="W770" s="13" t="s">
        <v>3496</v>
      </c>
      <c r="X770" s="13" t="s">
        <v>3167</v>
      </c>
    </row>
    <row r="771" ht="14.25" customHeight="1">
      <c r="A771" s="13">
        <v>25274.0</v>
      </c>
      <c r="B771" s="13" t="s">
        <v>1309</v>
      </c>
      <c r="C771" s="13">
        <v>2016.0</v>
      </c>
      <c r="D771" s="13" t="s">
        <v>3153</v>
      </c>
      <c r="E771" s="13" t="s">
        <v>3169</v>
      </c>
      <c r="F771" s="13" t="s">
        <v>3192</v>
      </c>
      <c r="G771" s="13" t="s">
        <v>33</v>
      </c>
      <c r="H771" s="13" t="s">
        <v>33</v>
      </c>
      <c r="I771" s="13" t="s">
        <v>3188</v>
      </c>
      <c r="J771" s="13" t="s">
        <v>3207</v>
      </c>
      <c r="K771" s="13" t="s">
        <v>3208</v>
      </c>
      <c r="L771" s="13" t="s">
        <v>3160</v>
      </c>
      <c r="M771" s="13" t="s">
        <v>3565</v>
      </c>
      <c r="N771" s="13">
        <v>2.0</v>
      </c>
      <c r="O771" s="13" t="s">
        <v>3267</v>
      </c>
      <c r="P771" s="13" t="s">
        <v>33</v>
      </c>
      <c r="Q771" s="13" t="s">
        <v>3208</v>
      </c>
      <c r="R771" s="13" t="s">
        <v>3163</v>
      </c>
      <c r="S771" s="13" t="s">
        <v>33</v>
      </c>
      <c r="T771" s="13" t="s">
        <v>3165</v>
      </c>
      <c r="U771" s="13" t="s">
        <v>3247</v>
      </c>
      <c r="V771" s="13" t="s">
        <v>3242</v>
      </c>
      <c r="W771" s="13" t="s">
        <v>3572</v>
      </c>
      <c r="X771" s="13" t="s">
        <v>3167</v>
      </c>
    </row>
    <row r="772" ht="14.25" customHeight="1">
      <c r="A772" s="13">
        <v>25275.0</v>
      </c>
      <c r="B772" s="13" t="s">
        <v>1309</v>
      </c>
      <c r="C772" s="13">
        <v>2018.0</v>
      </c>
      <c r="D772" s="13" t="s">
        <v>3153</v>
      </c>
      <c r="E772" s="13" t="s">
        <v>3169</v>
      </c>
      <c r="F772" s="13" t="s">
        <v>3170</v>
      </c>
      <c r="G772" s="13" t="s">
        <v>33</v>
      </c>
      <c r="H772" s="13" t="s">
        <v>33</v>
      </c>
      <c r="I772" s="13" t="s">
        <v>3188</v>
      </c>
      <c r="J772" s="13" t="s">
        <v>3207</v>
      </c>
      <c r="K772" s="13" t="s">
        <v>3208</v>
      </c>
      <c r="L772" s="13" t="s">
        <v>3160</v>
      </c>
      <c r="M772" s="13" t="s">
        <v>4188</v>
      </c>
      <c r="N772" s="13">
        <v>3.0</v>
      </c>
      <c r="O772" s="13" t="s">
        <v>3267</v>
      </c>
      <c r="P772" s="13" t="s">
        <v>33</v>
      </c>
      <c r="Q772" s="13" t="s">
        <v>3273</v>
      </c>
      <c r="R772" s="13" t="s">
        <v>3163</v>
      </c>
      <c r="S772" s="13" t="s">
        <v>33</v>
      </c>
      <c r="T772" s="13" t="s">
        <v>3247</v>
      </c>
      <c r="U772" s="13" t="s">
        <v>3247</v>
      </c>
      <c r="V772" s="13" t="s">
        <v>3242</v>
      </c>
      <c r="W772" s="13" t="s">
        <v>3248</v>
      </c>
      <c r="X772" s="13" t="s">
        <v>3167</v>
      </c>
    </row>
    <row r="773" ht="14.25" customHeight="1">
      <c r="A773" s="13">
        <v>25276.0</v>
      </c>
      <c r="B773" s="13" t="s">
        <v>1814</v>
      </c>
      <c r="C773" s="13">
        <v>2018.0</v>
      </c>
      <c r="D773" s="13" t="s">
        <v>3153</v>
      </c>
      <c r="E773" s="13" t="s">
        <v>3169</v>
      </c>
      <c r="F773" s="13" t="s">
        <v>3192</v>
      </c>
      <c r="G773" s="13" t="s">
        <v>33</v>
      </c>
      <c r="H773" s="13" t="s">
        <v>33</v>
      </c>
      <c r="I773" s="13" t="s">
        <v>3188</v>
      </c>
      <c r="J773" s="13" t="s">
        <v>3207</v>
      </c>
      <c r="K773" s="13" t="s">
        <v>3208</v>
      </c>
      <c r="L773" s="13" t="s">
        <v>3160</v>
      </c>
      <c r="M773" s="13" t="s">
        <v>3571</v>
      </c>
      <c r="N773" s="13">
        <v>2.0</v>
      </c>
      <c r="O773" s="13" t="s">
        <v>3267</v>
      </c>
      <c r="P773" s="13" t="s">
        <v>33</v>
      </c>
      <c r="Q773" s="13" t="s">
        <v>3265</v>
      </c>
      <c r="R773" s="13" t="s">
        <v>3163</v>
      </c>
      <c r="S773" s="13" t="s">
        <v>33</v>
      </c>
      <c r="T773" s="13" t="s">
        <v>3247</v>
      </c>
      <c r="U773" s="13" t="s">
        <v>3247</v>
      </c>
      <c r="V773" s="13" t="s">
        <v>3242</v>
      </c>
      <c r="W773" s="13" t="s">
        <v>4189</v>
      </c>
      <c r="X773" s="13" t="s">
        <v>3167</v>
      </c>
    </row>
    <row r="774" ht="14.25" customHeight="1">
      <c r="A774" s="13">
        <v>25278.0</v>
      </c>
      <c r="B774" s="13" t="s">
        <v>2566</v>
      </c>
      <c r="C774" s="13">
        <v>2018.0</v>
      </c>
      <c r="D774" s="13" t="s">
        <v>3153</v>
      </c>
      <c r="E774" s="13" t="s">
        <v>3179</v>
      </c>
      <c r="F774" s="13" t="s">
        <v>3211</v>
      </c>
      <c r="G774" s="13" t="s">
        <v>3180</v>
      </c>
      <c r="H774" s="13">
        <v>0.25</v>
      </c>
      <c r="I774" s="13" t="s">
        <v>3249</v>
      </c>
      <c r="J774" s="13" t="s">
        <v>3584</v>
      </c>
      <c r="K774" s="13" t="s">
        <v>3282</v>
      </c>
      <c r="L774" s="13" t="s">
        <v>3177</v>
      </c>
      <c r="M774" s="13" t="s">
        <v>4190</v>
      </c>
      <c r="N774" s="13">
        <v>3.0</v>
      </c>
      <c r="O774" s="13" t="s">
        <v>3162</v>
      </c>
      <c r="P774" s="13" t="s">
        <v>4191</v>
      </c>
      <c r="Q774" s="13" t="s">
        <v>3335</v>
      </c>
      <c r="R774" s="13" t="s">
        <v>3163</v>
      </c>
      <c r="S774" s="13" t="s">
        <v>3323</v>
      </c>
      <c r="T774" s="13" t="s">
        <v>3195</v>
      </c>
      <c r="U774" s="13" t="s">
        <v>3195</v>
      </c>
      <c r="V774" s="13" t="s">
        <v>3195</v>
      </c>
      <c r="W774" s="13" t="s">
        <v>3167</v>
      </c>
      <c r="X774" s="13" t="s">
        <v>3167</v>
      </c>
    </row>
    <row r="775" ht="14.25" customHeight="1">
      <c r="A775" s="13">
        <v>25283.0</v>
      </c>
      <c r="B775" s="13" t="s">
        <v>324</v>
      </c>
      <c r="C775" s="13">
        <v>2012.0</v>
      </c>
      <c r="D775" s="13" t="s">
        <v>3153</v>
      </c>
      <c r="E775" s="13" t="s">
        <v>3169</v>
      </c>
      <c r="F775" s="13" t="s">
        <v>3284</v>
      </c>
      <c r="G775" s="13" t="s">
        <v>3180</v>
      </c>
      <c r="H775" s="13">
        <v>0.5</v>
      </c>
      <c r="I775" s="13" t="s">
        <v>3244</v>
      </c>
      <c r="J775" s="13" t="s">
        <v>3167</v>
      </c>
      <c r="K775" s="13" t="s">
        <v>3173</v>
      </c>
      <c r="L775" s="13" t="s">
        <v>3177</v>
      </c>
      <c r="M775" s="13" t="s">
        <v>4192</v>
      </c>
      <c r="N775" s="13">
        <v>5.0</v>
      </c>
      <c r="O775" s="13" t="s">
        <v>3175</v>
      </c>
      <c r="P775" s="13" t="s">
        <v>4193</v>
      </c>
      <c r="Q775" s="13" t="s">
        <v>3379</v>
      </c>
      <c r="R775" s="13" t="s">
        <v>3231</v>
      </c>
      <c r="S775" s="13" t="s">
        <v>3976</v>
      </c>
      <c r="T775" s="13" t="s">
        <v>3247</v>
      </c>
      <c r="U775" s="13" t="s">
        <v>3247</v>
      </c>
      <c r="V775" s="13" t="s">
        <v>3242</v>
      </c>
      <c r="W775" s="13" t="s">
        <v>3634</v>
      </c>
      <c r="X775" s="13" t="s">
        <v>3167</v>
      </c>
    </row>
    <row r="776" ht="14.25" customHeight="1">
      <c r="A776" s="13">
        <v>25286.0</v>
      </c>
      <c r="B776" s="13" t="s">
        <v>2773</v>
      </c>
      <c r="C776" s="13">
        <v>2018.0</v>
      </c>
      <c r="D776" s="13" t="s">
        <v>3153</v>
      </c>
      <c r="E776" s="13" t="s">
        <v>3154</v>
      </c>
      <c r="F776" s="13" t="s">
        <v>3192</v>
      </c>
      <c r="G776" s="13" t="s">
        <v>3156</v>
      </c>
      <c r="H776" s="13" t="s">
        <v>33</v>
      </c>
      <c r="I776" s="13" t="s">
        <v>3157</v>
      </c>
      <c r="J776" s="13" t="s">
        <v>3199</v>
      </c>
      <c r="K776" s="13" t="s">
        <v>3159</v>
      </c>
      <c r="L776" s="13" t="s">
        <v>3177</v>
      </c>
      <c r="M776" s="13" t="s">
        <v>3161</v>
      </c>
      <c r="N776" s="13">
        <v>1.0</v>
      </c>
      <c r="O776" s="13" t="s">
        <v>3162</v>
      </c>
      <c r="P776" s="13" t="s">
        <v>33</v>
      </c>
      <c r="Q776" s="13" t="s">
        <v>3159</v>
      </c>
      <c r="R776" s="13" t="s">
        <v>3177</v>
      </c>
      <c r="S776" s="13" t="s">
        <v>33</v>
      </c>
      <c r="T776" s="13" t="s">
        <v>3232</v>
      </c>
      <c r="U776" s="13" t="s">
        <v>3232</v>
      </c>
      <c r="V776" s="13" t="s">
        <v>3166</v>
      </c>
      <c r="W776" s="13" t="s">
        <v>3167</v>
      </c>
      <c r="X776" s="13" t="s">
        <v>3255</v>
      </c>
    </row>
    <row r="777" ht="14.25" customHeight="1">
      <c r="A777" s="13">
        <v>25287.0</v>
      </c>
      <c r="B777" s="13" t="s">
        <v>463</v>
      </c>
      <c r="C777" s="13">
        <v>2006.0</v>
      </c>
      <c r="D777" s="13" t="s">
        <v>3153</v>
      </c>
      <c r="E777" s="13" t="s">
        <v>3169</v>
      </c>
      <c r="F777" s="13" t="s">
        <v>3170</v>
      </c>
      <c r="G777" s="13" t="s">
        <v>3202</v>
      </c>
      <c r="H777" s="13">
        <v>300.0</v>
      </c>
      <c r="I777" s="13" t="s">
        <v>3203</v>
      </c>
      <c r="J777" s="13" t="s">
        <v>3204</v>
      </c>
      <c r="K777" s="13" t="s">
        <v>3159</v>
      </c>
      <c r="L777" s="13" t="s">
        <v>3177</v>
      </c>
      <c r="M777" s="13" t="s">
        <v>3230</v>
      </c>
      <c r="N777" s="13">
        <v>1.0</v>
      </c>
      <c r="O777" s="13" t="s">
        <v>3162</v>
      </c>
      <c r="P777" s="13" t="s">
        <v>33</v>
      </c>
      <c r="Q777" s="13" t="s">
        <v>3437</v>
      </c>
      <c r="R777" s="13" t="s">
        <v>3177</v>
      </c>
      <c r="S777" s="13" t="s">
        <v>33</v>
      </c>
      <c r="T777" s="13" t="s">
        <v>3232</v>
      </c>
      <c r="U777" s="13" t="s">
        <v>3197</v>
      </c>
      <c r="V777" s="13" t="s">
        <v>3166</v>
      </c>
      <c r="W777" s="13" t="s">
        <v>3167</v>
      </c>
      <c r="X777" s="13" t="s">
        <v>3893</v>
      </c>
    </row>
    <row r="778" ht="14.25" customHeight="1">
      <c r="A778" s="13">
        <v>25292.0</v>
      </c>
      <c r="B778" s="13" t="s">
        <v>1737</v>
      </c>
      <c r="C778" s="13">
        <v>2001.0</v>
      </c>
      <c r="D778" s="13" t="s">
        <v>3153</v>
      </c>
      <c r="E778" s="13" t="s">
        <v>3465</v>
      </c>
      <c r="F778" s="13" t="s">
        <v>3170</v>
      </c>
      <c r="G778" s="13" t="s">
        <v>33</v>
      </c>
      <c r="H778" s="13" t="s">
        <v>33</v>
      </c>
      <c r="I778" s="13" t="s">
        <v>3188</v>
      </c>
      <c r="J778" s="13" t="s">
        <v>3207</v>
      </c>
      <c r="K778" s="13" t="s">
        <v>3208</v>
      </c>
      <c r="L778" s="13" t="s">
        <v>3160</v>
      </c>
      <c r="M778" s="13" t="s">
        <v>3319</v>
      </c>
      <c r="N778" s="13">
        <v>2.0</v>
      </c>
      <c r="O778" s="13" t="s">
        <v>3162</v>
      </c>
      <c r="P778" s="13" t="s">
        <v>33</v>
      </c>
      <c r="Q778" s="13" t="s">
        <v>3208</v>
      </c>
      <c r="R778" s="13" t="s">
        <v>3163</v>
      </c>
      <c r="S778" s="13" t="s">
        <v>33</v>
      </c>
      <c r="T778" s="13" t="s">
        <v>3247</v>
      </c>
      <c r="U778" s="13" t="s">
        <v>3247</v>
      </c>
      <c r="V778" s="13" t="s">
        <v>3242</v>
      </c>
      <c r="W778" s="13" t="s">
        <v>3248</v>
      </c>
      <c r="X778" s="13" t="s">
        <v>3167</v>
      </c>
    </row>
    <row r="779" ht="14.25" customHeight="1">
      <c r="A779" s="13">
        <v>25296.0</v>
      </c>
      <c r="B779" s="13" t="s">
        <v>1316</v>
      </c>
      <c r="C779" s="13">
        <v>2013.0</v>
      </c>
      <c r="D779" s="13" t="s">
        <v>3153</v>
      </c>
      <c r="E779" s="13" t="s">
        <v>3169</v>
      </c>
      <c r="F779" s="13" t="s">
        <v>3192</v>
      </c>
      <c r="G779" s="13" t="s">
        <v>33</v>
      </c>
      <c r="H779" s="13" t="s">
        <v>33</v>
      </c>
      <c r="I779" s="13" t="s">
        <v>3188</v>
      </c>
      <c r="J779" s="13" t="s">
        <v>3207</v>
      </c>
      <c r="K779" s="13" t="s">
        <v>3287</v>
      </c>
      <c r="L779" s="13" t="s">
        <v>3160</v>
      </c>
      <c r="M779" s="13" t="s">
        <v>4194</v>
      </c>
      <c r="N779" s="13">
        <v>3.0</v>
      </c>
      <c r="O779" s="13" t="s">
        <v>3162</v>
      </c>
      <c r="P779" s="13" t="s">
        <v>33</v>
      </c>
      <c r="Q779" s="13" t="s">
        <v>3287</v>
      </c>
      <c r="R779" s="13" t="s">
        <v>3163</v>
      </c>
      <c r="S779" s="13" t="s">
        <v>33</v>
      </c>
      <c r="T779" s="13" t="s">
        <v>3164</v>
      </c>
      <c r="U779" s="13" t="s">
        <v>3247</v>
      </c>
      <c r="V779" s="13" t="s">
        <v>3242</v>
      </c>
      <c r="W779" s="13" t="s">
        <v>4195</v>
      </c>
      <c r="X779" s="13" t="s">
        <v>3167</v>
      </c>
    </row>
    <row r="780" ht="14.25" customHeight="1">
      <c r="A780" s="13">
        <v>25297.0</v>
      </c>
      <c r="B780" s="13" t="s">
        <v>1316</v>
      </c>
      <c r="C780" s="13">
        <v>2020.0</v>
      </c>
      <c r="D780" s="13" t="s">
        <v>3153</v>
      </c>
      <c r="E780" s="13" t="s">
        <v>3169</v>
      </c>
      <c r="F780" s="13" t="s">
        <v>3170</v>
      </c>
      <c r="G780" s="13" t="s">
        <v>3202</v>
      </c>
      <c r="H780" s="13">
        <v>30.0</v>
      </c>
      <c r="I780" s="13" t="s">
        <v>3188</v>
      </c>
      <c r="J780" s="13" t="s">
        <v>3777</v>
      </c>
      <c r="K780" s="13" t="s">
        <v>3282</v>
      </c>
      <c r="L780" s="13" t="s">
        <v>3160</v>
      </c>
      <c r="M780" s="13" t="s">
        <v>3246</v>
      </c>
      <c r="N780" s="13">
        <v>1.0</v>
      </c>
      <c r="O780" s="13" t="s">
        <v>3162</v>
      </c>
      <c r="P780" s="13" t="s">
        <v>4196</v>
      </c>
      <c r="Q780" s="13" t="s">
        <v>3208</v>
      </c>
      <c r="R780" s="13" t="s">
        <v>3163</v>
      </c>
      <c r="S780" s="13" t="s">
        <v>33</v>
      </c>
      <c r="T780" s="13" t="s">
        <v>3247</v>
      </c>
      <c r="U780" s="13" t="s">
        <v>3247</v>
      </c>
      <c r="V780" s="13" t="s">
        <v>3242</v>
      </c>
      <c r="W780" s="13" t="s">
        <v>3496</v>
      </c>
      <c r="X780" s="13" t="s">
        <v>3167</v>
      </c>
    </row>
    <row r="781" ht="14.25" customHeight="1">
      <c r="A781" s="13">
        <v>25298.0</v>
      </c>
      <c r="B781" s="13" t="s">
        <v>1042</v>
      </c>
      <c r="C781" s="13">
        <v>2016.0</v>
      </c>
      <c r="D781" s="13" t="s">
        <v>3153</v>
      </c>
      <c r="E781" s="13" t="s">
        <v>3169</v>
      </c>
      <c r="F781" s="13" t="s">
        <v>3192</v>
      </c>
      <c r="G781" s="13" t="s">
        <v>3156</v>
      </c>
      <c r="H781" s="13" t="s">
        <v>3167</v>
      </c>
      <c r="I781" s="13" t="s">
        <v>3171</v>
      </c>
      <c r="J781" s="13" t="s">
        <v>3385</v>
      </c>
      <c r="K781" s="13" t="s">
        <v>3901</v>
      </c>
      <c r="L781" s="13" t="s">
        <v>3177</v>
      </c>
      <c r="M781" s="13" t="s">
        <v>3391</v>
      </c>
      <c r="N781" s="13">
        <v>1.0</v>
      </c>
      <c r="O781" s="13" t="s">
        <v>3162</v>
      </c>
      <c r="P781" s="13" t="s">
        <v>4197</v>
      </c>
      <c r="Q781" s="13" t="s">
        <v>3901</v>
      </c>
      <c r="R781" s="13" t="s">
        <v>3231</v>
      </c>
      <c r="S781" s="13" t="s">
        <v>33</v>
      </c>
      <c r="T781" s="13" t="s">
        <v>3164</v>
      </c>
      <c r="U781" s="13" t="s">
        <v>3164</v>
      </c>
      <c r="V781" s="13" t="s">
        <v>3166</v>
      </c>
      <c r="W781" s="13" t="s">
        <v>3167</v>
      </c>
      <c r="X781" s="13" t="s">
        <v>3178</v>
      </c>
    </row>
    <row r="782" ht="14.25" customHeight="1">
      <c r="A782" s="13">
        <v>25299.0</v>
      </c>
      <c r="B782" s="13" t="s">
        <v>47</v>
      </c>
      <c r="C782" s="13">
        <v>2013.0</v>
      </c>
      <c r="D782" s="13" t="s">
        <v>3153</v>
      </c>
      <c r="E782" s="13" t="s">
        <v>3154</v>
      </c>
      <c r="F782" s="13" t="s">
        <v>3170</v>
      </c>
      <c r="G782" s="13" t="s">
        <v>3156</v>
      </c>
      <c r="H782" s="13" t="s">
        <v>33</v>
      </c>
      <c r="I782" s="13" t="s">
        <v>3157</v>
      </c>
      <c r="J782" s="13" t="s">
        <v>3274</v>
      </c>
      <c r="K782" s="13" t="s">
        <v>3159</v>
      </c>
      <c r="L782" s="13" t="s">
        <v>3160</v>
      </c>
      <c r="M782" s="13" t="s">
        <v>4198</v>
      </c>
      <c r="N782" s="13">
        <v>3.0</v>
      </c>
      <c r="O782" s="13" t="s">
        <v>3162</v>
      </c>
      <c r="P782" s="13" t="s">
        <v>33</v>
      </c>
      <c r="Q782" s="13" t="s">
        <v>3159</v>
      </c>
      <c r="R782" s="13" t="s">
        <v>3163</v>
      </c>
      <c r="S782" s="13" t="s">
        <v>33</v>
      </c>
      <c r="T782" s="13" t="s">
        <v>3247</v>
      </c>
      <c r="U782" s="13" t="s">
        <v>3247</v>
      </c>
      <c r="V782" s="13" t="s">
        <v>3166</v>
      </c>
      <c r="W782" s="13" t="s">
        <v>3167</v>
      </c>
      <c r="X782" s="13" t="s">
        <v>3168</v>
      </c>
    </row>
    <row r="783" ht="14.25" customHeight="1">
      <c r="A783" s="13" t="s">
        <v>1224</v>
      </c>
      <c r="B783" s="13" t="s">
        <v>1225</v>
      </c>
      <c r="C783" s="13">
        <v>2016.0</v>
      </c>
      <c r="D783" s="13" t="s">
        <v>3153</v>
      </c>
      <c r="E783" s="13" t="s">
        <v>3179</v>
      </c>
      <c r="F783" s="13" t="s">
        <v>3170</v>
      </c>
      <c r="G783" s="13" t="s">
        <v>3156</v>
      </c>
      <c r="H783" s="13" t="s">
        <v>33</v>
      </c>
      <c r="I783" s="13" t="s">
        <v>3392</v>
      </c>
      <c r="J783" s="13" t="s">
        <v>3454</v>
      </c>
      <c r="K783" s="13" t="s">
        <v>3190</v>
      </c>
      <c r="L783" s="13" t="s">
        <v>3160</v>
      </c>
      <c r="M783" s="13" t="s">
        <v>3342</v>
      </c>
      <c r="N783" s="13">
        <v>1.0</v>
      </c>
      <c r="O783" s="13" t="s">
        <v>3162</v>
      </c>
      <c r="P783" s="13" t="s">
        <v>33</v>
      </c>
      <c r="Q783" s="13" t="s">
        <v>3190</v>
      </c>
      <c r="R783" s="13" t="s">
        <v>3163</v>
      </c>
      <c r="S783" s="13" t="s">
        <v>33</v>
      </c>
      <c r="T783" s="13" t="s">
        <v>3164</v>
      </c>
      <c r="U783" s="13" t="s">
        <v>3164</v>
      </c>
      <c r="V783" s="13" t="s">
        <v>3166</v>
      </c>
      <c r="W783" s="13" t="s">
        <v>3167</v>
      </c>
      <c r="X783" s="13" t="s">
        <v>3168</v>
      </c>
    </row>
    <row r="784" ht="14.25" customHeight="1">
      <c r="A784" s="13">
        <v>25304.0</v>
      </c>
      <c r="B784" s="13" t="s">
        <v>800</v>
      </c>
      <c r="C784" s="13">
        <v>2000.0</v>
      </c>
      <c r="D784" s="13" t="s">
        <v>3315</v>
      </c>
      <c r="E784" s="13" t="s">
        <v>3395</v>
      </c>
      <c r="F784" s="13" t="s">
        <v>3192</v>
      </c>
      <c r="G784" s="13" t="s">
        <v>3156</v>
      </c>
      <c r="H784" s="13" t="s">
        <v>3167</v>
      </c>
      <c r="I784" s="13" t="s">
        <v>3261</v>
      </c>
      <c r="J784" s="13" t="s">
        <v>3182</v>
      </c>
      <c r="K784" s="13" t="s">
        <v>3338</v>
      </c>
      <c r="L784" s="13" t="s">
        <v>3177</v>
      </c>
      <c r="M784" s="13" t="s">
        <v>3266</v>
      </c>
      <c r="N784" s="13">
        <v>1.0</v>
      </c>
      <c r="O784" s="13" t="s">
        <v>3162</v>
      </c>
      <c r="P784" s="13" t="s">
        <v>4199</v>
      </c>
      <c r="Q784" s="13" t="s">
        <v>3338</v>
      </c>
      <c r="R784" s="13" t="s">
        <v>3231</v>
      </c>
      <c r="S784" s="13" t="s">
        <v>33</v>
      </c>
      <c r="T784" s="13" t="s">
        <v>3232</v>
      </c>
      <c r="U784" s="13" t="s">
        <v>3197</v>
      </c>
      <c r="V784" s="13" t="s">
        <v>3166</v>
      </c>
      <c r="W784" s="13" t="s">
        <v>3167</v>
      </c>
      <c r="X784" s="13" t="s">
        <v>3276</v>
      </c>
    </row>
    <row r="785" ht="14.25" customHeight="1">
      <c r="A785" s="13">
        <v>25308.0</v>
      </c>
      <c r="B785" s="13" t="s">
        <v>788</v>
      </c>
      <c r="C785" s="13">
        <v>2015.0</v>
      </c>
      <c r="D785" s="13" t="s">
        <v>3153</v>
      </c>
      <c r="E785" s="13" t="s">
        <v>3169</v>
      </c>
      <c r="F785" s="13" t="s">
        <v>3170</v>
      </c>
      <c r="G785" s="13" t="s">
        <v>3187</v>
      </c>
      <c r="H785" s="13">
        <v>4.0</v>
      </c>
      <c r="I785" s="13" t="s">
        <v>3188</v>
      </c>
      <c r="J785" s="13" t="s">
        <v>3233</v>
      </c>
      <c r="K785" s="13" t="s">
        <v>3159</v>
      </c>
      <c r="L785" s="13" t="s">
        <v>3160</v>
      </c>
      <c r="M785" s="13" t="s">
        <v>3391</v>
      </c>
      <c r="N785" s="13">
        <v>1.0</v>
      </c>
      <c r="O785" s="13" t="s">
        <v>3162</v>
      </c>
      <c r="P785" s="13" t="s">
        <v>33</v>
      </c>
      <c r="Q785" s="13" t="s">
        <v>3159</v>
      </c>
      <c r="R785" s="13" t="s">
        <v>3163</v>
      </c>
      <c r="S785" s="13" t="s">
        <v>33</v>
      </c>
      <c r="T785" s="13" t="s">
        <v>3164</v>
      </c>
      <c r="U785" s="13" t="s">
        <v>3164</v>
      </c>
      <c r="V785" s="13" t="s">
        <v>3166</v>
      </c>
      <c r="W785" s="13" t="s">
        <v>3167</v>
      </c>
      <c r="X785" s="13" t="s">
        <v>3178</v>
      </c>
    </row>
    <row r="786" ht="14.25" customHeight="1">
      <c r="A786" s="13">
        <v>25309.0</v>
      </c>
      <c r="B786" s="13" t="s">
        <v>305</v>
      </c>
      <c r="C786" s="13">
        <v>2018.0</v>
      </c>
      <c r="D786" s="13" t="s">
        <v>3153</v>
      </c>
      <c r="E786" s="13" t="s">
        <v>3169</v>
      </c>
      <c r="F786" s="13" t="s">
        <v>3211</v>
      </c>
      <c r="G786" s="13" t="s">
        <v>3187</v>
      </c>
      <c r="H786" s="13">
        <v>1.0</v>
      </c>
      <c r="I786" s="13" t="s">
        <v>3157</v>
      </c>
      <c r="J786" s="13" t="s">
        <v>4200</v>
      </c>
      <c r="K786" s="13" t="s">
        <v>3381</v>
      </c>
      <c r="L786" s="13" t="s">
        <v>3177</v>
      </c>
      <c r="M786" s="13" t="s">
        <v>3213</v>
      </c>
      <c r="N786" s="13">
        <v>1.0</v>
      </c>
      <c r="O786" s="13" t="s">
        <v>3162</v>
      </c>
      <c r="P786" s="13" t="s">
        <v>3579</v>
      </c>
      <c r="Q786" s="13" t="s">
        <v>3159</v>
      </c>
      <c r="R786" s="13" t="s">
        <v>3163</v>
      </c>
      <c r="S786" s="13" t="s">
        <v>33</v>
      </c>
      <c r="T786" s="13" t="s">
        <v>3164</v>
      </c>
      <c r="U786" s="13" t="s">
        <v>3164</v>
      </c>
      <c r="V786" s="13" t="s">
        <v>3166</v>
      </c>
      <c r="W786" s="13" t="s">
        <v>3167</v>
      </c>
      <c r="X786" s="13" t="s">
        <v>3178</v>
      </c>
    </row>
    <row r="787" ht="14.25" customHeight="1">
      <c r="A787" s="13">
        <v>25313.0</v>
      </c>
      <c r="B787" s="13" t="s">
        <v>2881</v>
      </c>
      <c r="C787" s="13">
        <v>2014.0</v>
      </c>
      <c r="D787" s="13" t="s">
        <v>3153</v>
      </c>
      <c r="E787" s="13" t="s">
        <v>3169</v>
      </c>
      <c r="F787" s="13" t="s">
        <v>3192</v>
      </c>
      <c r="G787" s="13" t="s">
        <v>3187</v>
      </c>
      <c r="H787" s="13">
        <v>25.0</v>
      </c>
      <c r="I787" s="13" t="s">
        <v>3188</v>
      </c>
      <c r="J787" s="13" t="s">
        <v>3207</v>
      </c>
      <c r="K787" s="13" t="s">
        <v>3208</v>
      </c>
      <c r="L787" s="13" t="s">
        <v>3160</v>
      </c>
      <c r="M787" s="13" t="s">
        <v>3550</v>
      </c>
      <c r="N787" s="13">
        <v>2.0</v>
      </c>
      <c r="O787" s="13" t="s">
        <v>3162</v>
      </c>
      <c r="P787" s="13" t="s">
        <v>33</v>
      </c>
      <c r="Q787" s="13" t="s">
        <v>3208</v>
      </c>
      <c r="R787" s="13" t="s">
        <v>3163</v>
      </c>
      <c r="S787" s="13" t="s">
        <v>33</v>
      </c>
      <c r="T787" s="13" t="s">
        <v>3247</v>
      </c>
      <c r="U787" s="13" t="s">
        <v>3247</v>
      </c>
      <c r="V787" s="13" t="s">
        <v>3242</v>
      </c>
      <c r="W787" s="13" t="s">
        <v>3248</v>
      </c>
      <c r="X787" s="13" t="s">
        <v>3167</v>
      </c>
    </row>
    <row r="788" ht="14.25" customHeight="1">
      <c r="A788" s="13">
        <v>25315.0</v>
      </c>
      <c r="B788" s="13" t="s">
        <v>477</v>
      </c>
      <c r="C788" s="13">
        <v>2012.0</v>
      </c>
      <c r="D788" s="13" t="s">
        <v>3153</v>
      </c>
      <c r="E788" s="13" t="s">
        <v>3179</v>
      </c>
      <c r="F788" s="13" t="s">
        <v>3192</v>
      </c>
      <c r="G788" s="13" t="s">
        <v>3187</v>
      </c>
      <c r="H788" s="13">
        <v>4.0</v>
      </c>
      <c r="I788" s="13" t="s">
        <v>3181</v>
      </c>
      <c r="J788" s="13" t="s">
        <v>3182</v>
      </c>
      <c r="K788" s="13" t="s">
        <v>3208</v>
      </c>
      <c r="L788" s="13" t="s">
        <v>3160</v>
      </c>
      <c r="M788" s="13" t="s">
        <v>3184</v>
      </c>
      <c r="N788" s="13">
        <v>1.0</v>
      </c>
      <c r="O788" s="13" t="s">
        <v>3162</v>
      </c>
      <c r="P788" s="13" t="s">
        <v>4201</v>
      </c>
      <c r="Q788" s="13" t="s">
        <v>3159</v>
      </c>
      <c r="R788" s="13" t="s">
        <v>3177</v>
      </c>
      <c r="S788" s="13" t="s">
        <v>33</v>
      </c>
      <c r="T788" s="13" t="s">
        <v>3164</v>
      </c>
      <c r="U788" s="13" t="s">
        <v>3165</v>
      </c>
      <c r="V788" s="13" t="s">
        <v>3166</v>
      </c>
      <c r="W788" s="13" t="s">
        <v>3167</v>
      </c>
      <c r="X788" s="13" t="s">
        <v>3178</v>
      </c>
    </row>
    <row r="789" ht="14.25" customHeight="1">
      <c r="A789" s="13">
        <v>25317.0</v>
      </c>
      <c r="B789" s="13" t="s">
        <v>2465</v>
      </c>
      <c r="C789" s="13">
        <v>2013.0</v>
      </c>
      <c r="D789" s="13" t="s">
        <v>3153</v>
      </c>
      <c r="E789" s="13" t="s">
        <v>3395</v>
      </c>
      <c r="F789" s="13" t="s">
        <v>3170</v>
      </c>
      <c r="G789" s="13" t="s">
        <v>3156</v>
      </c>
      <c r="H789" s="13" t="s">
        <v>33</v>
      </c>
      <c r="I789" s="13" t="s">
        <v>3261</v>
      </c>
      <c r="J789" s="13" t="s">
        <v>3182</v>
      </c>
      <c r="K789" s="13" t="s">
        <v>3159</v>
      </c>
      <c r="L789" s="13" t="s">
        <v>3160</v>
      </c>
      <c r="M789" s="13" t="s">
        <v>3213</v>
      </c>
      <c r="N789" s="13">
        <v>1.0</v>
      </c>
      <c r="O789" s="13" t="s">
        <v>3162</v>
      </c>
      <c r="P789" s="13" t="s">
        <v>33</v>
      </c>
      <c r="Q789" s="13" t="s">
        <v>3183</v>
      </c>
      <c r="R789" s="13" t="s">
        <v>3163</v>
      </c>
      <c r="S789" s="13" t="s">
        <v>4202</v>
      </c>
      <c r="T789" s="13" t="s">
        <v>3164</v>
      </c>
      <c r="U789" s="13" t="s">
        <v>3164</v>
      </c>
      <c r="V789" s="13" t="s">
        <v>3166</v>
      </c>
      <c r="W789" s="13" t="s">
        <v>3167</v>
      </c>
      <c r="X789" s="13" t="s">
        <v>3216</v>
      </c>
    </row>
    <row r="790" ht="14.25" customHeight="1">
      <c r="A790" s="13">
        <v>25324.0</v>
      </c>
      <c r="B790" s="13" t="s">
        <v>877</v>
      </c>
      <c r="C790" s="13">
        <v>2008.0</v>
      </c>
      <c r="D790" s="13" t="s">
        <v>3153</v>
      </c>
      <c r="E790" s="13" t="s">
        <v>3179</v>
      </c>
      <c r="F790" s="13" t="s">
        <v>3170</v>
      </c>
      <c r="G790" s="13" t="s">
        <v>3156</v>
      </c>
      <c r="H790" s="13" t="s">
        <v>33</v>
      </c>
      <c r="I790" s="13" t="s">
        <v>3249</v>
      </c>
      <c r="J790" s="13" t="s">
        <v>3199</v>
      </c>
      <c r="K790" s="13" t="s">
        <v>3208</v>
      </c>
      <c r="L790" s="13" t="s">
        <v>3160</v>
      </c>
      <c r="M790" s="13" t="s">
        <v>4203</v>
      </c>
      <c r="N790" s="13">
        <v>3.0</v>
      </c>
      <c r="O790" s="13" t="s">
        <v>3162</v>
      </c>
      <c r="P790" s="13" t="s">
        <v>33</v>
      </c>
      <c r="Q790" s="13" t="s">
        <v>3208</v>
      </c>
      <c r="R790" s="13" t="s">
        <v>3163</v>
      </c>
      <c r="S790" s="13" t="s">
        <v>33</v>
      </c>
      <c r="T790" s="13" t="s">
        <v>3165</v>
      </c>
      <c r="U790" s="13" t="s">
        <v>3247</v>
      </c>
      <c r="V790" s="13" t="s">
        <v>3242</v>
      </c>
      <c r="W790" s="13" t="s">
        <v>4204</v>
      </c>
      <c r="X790" s="13" t="s">
        <v>3167</v>
      </c>
    </row>
    <row r="791" ht="14.25" customHeight="1">
      <c r="A791" s="13">
        <v>25327.0</v>
      </c>
      <c r="B791" s="13" t="s">
        <v>2716</v>
      </c>
      <c r="C791" s="13">
        <v>2016.0</v>
      </c>
      <c r="D791" s="13" t="s">
        <v>3153</v>
      </c>
      <c r="E791" s="13" t="s">
        <v>3169</v>
      </c>
      <c r="F791" s="13" t="s">
        <v>3170</v>
      </c>
      <c r="G791" s="13" t="s">
        <v>33</v>
      </c>
      <c r="H791" s="13" t="s">
        <v>33</v>
      </c>
      <c r="I791" s="13" t="s">
        <v>3188</v>
      </c>
      <c r="J791" s="13" t="s">
        <v>3189</v>
      </c>
      <c r="K791" s="13" t="s">
        <v>3159</v>
      </c>
      <c r="L791" s="13" t="s">
        <v>3177</v>
      </c>
      <c r="M791" s="13" t="s">
        <v>3494</v>
      </c>
      <c r="N791" s="13">
        <v>1.0</v>
      </c>
      <c r="O791" s="13" t="s">
        <v>3162</v>
      </c>
      <c r="P791" s="13" t="s">
        <v>33</v>
      </c>
      <c r="Q791" s="13" t="s">
        <v>3287</v>
      </c>
      <c r="R791" s="13" t="s">
        <v>3177</v>
      </c>
      <c r="S791" s="13" t="s">
        <v>33</v>
      </c>
      <c r="T791" s="13" t="s">
        <v>3164</v>
      </c>
      <c r="U791" s="13" t="s">
        <v>3164</v>
      </c>
      <c r="V791" s="13" t="s">
        <v>3166</v>
      </c>
      <c r="W791" s="13" t="s">
        <v>3167</v>
      </c>
      <c r="X791" s="13" t="s">
        <v>3178</v>
      </c>
    </row>
    <row r="792" ht="14.25" customHeight="1">
      <c r="A792" s="13">
        <v>25336.0</v>
      </c>
      <c r="B792" s="13" t="s">
        <v>1666</v>
      </c>
      <c r="C792" s="13">
        <v>2018.0</v>
      </c>
      <c r="D792" s="13" t="s">
        <v>3153</v>
      </c>
      <c r="E792" s="13" t="s">
        <v>3179</v>
      </c>
      <c r="F792" s="13" t="s">
        <v>3170</v>
      </c>
      <c r="G792" s="13" t="s">
        <v>3156</v>
      </c>
      <c r="H792" s="13" t="s">
        <v>33</v>
      </c>
      <c r="I792" s="13" t="s">
        <v>3249</v>
      </c>
      <c r="J792" s="13" t="s">
        <v>3199</v>
      </c>
      <c r="K792" s="13" t="s">
        <v>3190</v>
      </c>
      <c r="L792" s="13" t="s">
        <v>3160</v>
      </c>
      <c r="M792" s="13" t="s">
        <v>4205</v>
      </c>
      <c r="N792" s="13">
        <v>2.0</v>
      </c>
      <c r="O792" s="13" t="s">
        <v>3162</v>
      </c>
      <c r="P792" s="13" t="s">
        <v>33</v>
      </c>
      <c r="Q792" s="13" t="s">
        <v>3190</v>
      </c>
      <c r="R792" s="13" t="s">
        <v>3163</v>
      </c>
      <c r="S792" s="13" t="s">
        <v>33</v>
      </c>
      <c r="T792" s="13" t="s">
        <v>3164</v>
      </c>
      <c r="U792" s="13" t="s">
        <v>3164</v>
      </c>
      <c r="V792" s="13" t="s">
        <v>3166</v>
      </c>
      <c r="W792" s="13" t="s">
        <v>3167</v>
      </c>
      <c r="X792" s="13" t="s">
        <v>3178</v>
      </c>
    </row>
    <row r="793" ht="14.25" customHeight="1">
      <c r="A793" s="13">
        <v>25337.0</v>
      </c>
      <c r="B793" s="13" t="s">
        <v>1049</v>
      </c>
      <c r="C793" s="13">
        <v>2015.0</v>
      </c>
      <c r="D793" s="13" t="s">
        <v>3153</v>
      </c>
      <c r="E793" s="13" t="s">
        <v>3154</v>
      </c>
      <c r="F793" s="13" t="s">
        <v>3155</v>
      </c>
      <c r="G793" s="13" t="s">
        <v>3156</v>
      </c>
      <c r="H793" s="13" t="s">
        <v>33</v>
      </c>
      <c r="I793" s="13" t="s">
        <v>3157</v>
      </c>
      <c r="J793" s="13" t="s">
        <v>3348</v>
      </c>
      <c r="K793" s="13" t="s">
        <v>3159</v>
      </c>
      <c r="L793" s="13" t="s">
        <v>3160</v>
      </c>
      <c r="M793" s="13" t="s">
        <v>3690</v>
      </c>
      <c r="N793" s="13">
        <v>1.0</v>
      </c>
      <c r="O793" s="13" t="s">
        <v>3162</v>
      </c>
      <c r="P793" s="13" t="s">
        <v>33</v>
      </c>
      <c r="Q793" s="13" t="s">
        <v>3159</v>
      </c>
      <c r="R793" s="13" t="s">
        <v>3163</v>
      </c>
      <c r="S793" s="13" t="s">
        <v>33</v>
      </c>
      <c r="T793" s="13" t="s">
        <v>3215</v>
      </c>
      <c r="U793" s="13" t="s">
        <v>3215</v>
      </c>
      <c r="V793" s="13" t="s">
        <v>3166</v>
      </c>
      <c r="W793" s="13" t="s">
        <v>3167</v>
      </c>
      <c r="X793" s="13" t="s">
        <v>3225</v>
      </c>
    </row>
    <row r="794" ht="14.25" customHeight="1">
      <c r="A794" s="13">
        <v>25350.0</v>
      </c>
      <c r="B794" s="13" t="s">
        <v>3086</v>
      </c>
      <c r="C794" s="13">
        <v>2018.0</v>
      </c>
      <c r="D794" s="13" t="s">
        <v>3153</v>
      </c>
      <c r="E794" s="13" t="s">
        <v>3169</v>
      </c>
      <c r="F794" s="13" t="s">
        <v>3170</v>
      </c>
      <c r="G794" s="13" t="s">
        <v>3156</v>
      </c>
      <c r="H794" s="13" t="s">
        <v>33</v>
      </c>
      <c r="I794" s="13" t="s">
        <v>3157</v>
      </c>
      <c r="J794" s="13" t="s">
        <v>3570</v>
      </c>
      <c r="K794" s="13" t="s">
        <v>3159</v>
      </c>
      <c r="L794" s="13" t="s">
        <v>3160</v>
      </c>
      <c r="M794" s="13" t="s">
        <v>3161</v>
      </c>
      <c r="N794" s="13">
        <v>1.0</v>
      </c>
      <c r="O794" s="13" t="s">
        <v>3162</v>
      </c>
      <c r="P794" s="13" t="s">
        <v>33</v>
      </c>
      <c r="Q794" s="13" t="s">
        <v>3159</v>
      </c>
      <c r="R794" s="13" t="s">
        <v>3163</v>
      </c>
      <c r="S794" s="13" t="s">
        <v>33</v>
      </c>
      <c r="T794" s="13" t="s">
        <v>3164</v>
      </c>
      <c r="U794" s="13" t="s">
        <v>3164</v>
      </c>
      <c r="V794" s="13" t="s">
        <v>3166</v>
      </c>
      <c r="W794" s="13" t="s">
        <v>3167</v>
      </c>
      <c r="X794" s="13" t="s">
        <v>3216</v>
      </c>
    </row>
    <row r="795" ht="14.25" customHeight="1">
      <c r="A795" s="13">
        <v>25349.0</v>
      </c>
      <c r="B795" s="13" t="s">
        <v>922</v>
      </c>
      <c r="C795" s="13">
        <v>2018.0</v>
      </c>
      <c r="D795" s="13" t="s">
        <v>3153</v>
      </c>
      <c r="E795" s="13" t="s">
        <v>3154</v>
      </c>
      <c r="F795" s="13" t="s">
        <v>3192</v>
      </c>
      <c r="G795" s="13" t="s">
        <v>3202</v>
      </c>
      <c r="H795" s="13">
        <v>30.0</v>
      </c>
      <c r="I795" s="13" t="s">
        <v>3244</v>
      </c>
      <c r="J795" s="13" t="s">
        <v>3289</v>
      </c>
      <c r="K795" s="13" t="s">
        <v>3159</v>
      </c>
      <c r="L795" s="13" t="s">
        <v>3160</v>
      </c>
      <c r="M795" s="13" t="s">
        <v>4206</v>
      </c>
      <c r="N795" s="13">
        <v>3.0</v>
      </c>
      <c r="O795" s="13" t="s">
        <v>3267</v>
      </c>
      <c r="P795" s="13" t="s">
        <v>33</v>
      </c>
      <c r="Q795" s="13" t="s">
        <v>3680</v>
      </c>
      <c r="R795" s="13" t="s">
        <v>3163</v>
      </c>
      <c r="S795" s="13" t="s">
        <v>33</v>
      </c>
      <c r="T795" s="13" t="s">
        <v>3165</v>
      </c>
      <c r="U795" s="13" t="s">
        <v>3165</v>
      </c>
      <c r="V795" s="13" t="s">
        <v>3166</v>
      </c>
      <c r="W795" s="13" t="s">
        <v>3167</v>
      </c>
      <c r="X795" s="13" t="s">
        <v>3324</v>
      </c>
    </row>
    <row r="796" ht="14.25" customHeight="1">
      <c r="A796" s="13">
        <v>25352.0</v>
      </c>
      <c r="B796" s="13" t="s">
        <v>922</v>
      </c>
      <c r="C796" s="13">
        <v>2019.0</v>
      </c>
      <c r="D796" s="13" t="s">
        <v>3153</v>
      </c>
      <c r="E796" s="13" t="s">
        <v>3169</v>
      </c>
      <c r="F796" s="13" t="s">
        <v>3192</v>
      </c>
      <c r="G796" s="13" t="s">
        <v>33</v>
      </c>
      <c r="H796" s="13" t="s">
        <v>33</v>
      </c>
      <c r="I796" s="13" t="s">
        <v>3244</v>
      </c>
      <c r="J796" s="13" t="s">
        <v>3289</v>
      </c>
      <c r="K796" s="13" t="s">
        <v>3201</v>
      </c>
      <c r="L796" s="13" t="s">
        <v>3160</v>
      </c>
      <c r="M796" s="13" t="s">
        <v>3161</v>
      </c>
      <c r="N796" s="13">
        <v>1.0</v>
      </c>
      <c r="O796" s="13" t="s">
        <v>3162</v>
      </c>
      <c r="P796" s="13" t="s">
        <v>33</v>
      </c>
      <c r="Q796" s="13" t="s">
        <v>3335</v>
      </c>
      <c r="R796" s="13" t="s">
        <v>3163</v>
      </c>
      <c r="S796" s="13" t="s">
        <v>3323</v>
      </c>
      <c r="T796" s="13" t="s">
        <v>3195</v>
      </c>
      <c r="U796" s="13" t="s">
        <v>3195</v>
      </c>
      <c r="V796" s="13" t="s">
        <v>3195</v>
      </c>
      <c r="W796" s="13" t="s">
        <v>3167</v>
      </c>
      <c r="X796" s="13" t="s">
        <v>3167</v>
      </c>
    </row>
    <row r="797" ht="14.25" customHeight="1">
      <c r="A797" s="13">
        <v>25355.0</v>
      </c>
      <c r="B797" s="13" t="s">
        <v>2329</v>
      </c>
      <c r="C797" s="13">
        <v>2016.0</v>
      </c>
      <c r="D797" s="13" t="s">
        <v>3153</v>
      </c>
      <c r="E797" s="13" t="s">
        <v>3395</v>
      </c>
      <c r="F797" s="13" t="s">
        <v>3211</v>
      </c>
      <c r="G797" s="13" t="s">
        <v>3180</v>
      </c>
      <c r="H797" s="13">
        <v>1.0</v>
      </c>
      <c r="I797" s="13" t="s">
        <v>3188</v>
      </c>
      <c r="J797" s="13" t="s">
        <v>4207</v>
      </c>
      <c r="K797" s="13" t="s">
        <v>3257</v>
      </c>
      <c r="L797" s="13" t="s">
        <v>3177</v>
      </c>
      <c r="M797" s="13" t="s">
        <v>4208</v>
      </c>
      <c r="N797" s="13">
        <v>3.0</v>
      </c>
      <c r="O797" s="13" t="s">
        <v>3162</v>
      </c>
      <c r="P797" s="13" t="s">
        <v>3167</v>
      </c>
      <c r="Q797" s="13" t="s">
        <v>3338</v>
      </c>
      <c r="R797" s="13" t="s">
        <v>3260</v>
      </c>
      <c r="S797" s="13" t="s">
        <v>4209</v>
      </c>
      <c r="T797" s="13" t="s">
        <v>3197</v>
      </c>
      <c r="U797" s="13" t="s">
        <v>3197</v>
      </c>
      <c r="V797" s="13" t="s">
        <v>3242</v>
      </c>
      <c r="W797" s="13" t="s">
        <v>3481</v>
      </c>
      <c r="X797" s="13" t="s">
        <v>3167</v>
      </c>
    </row>
    <row r="798" ht="14.25" customHeight="1">
      <c r="A798" s="13">
        <v>25361.0</v>
      </c>
      <c r="B798" s="13" t="s">
        <v>2592</v>
      </c>
      <c r="C798" s="13">
        <v>2015.0</v>
      </c>
      <c r="D798" s="13" t="s">
        <v>3153</v>
      </c>
      <c r="E798" s="13" t="s">
        <v>3169</v>
      </c>
      <c r="F798" s="13" t="s">
        <v>3192</v>
      </c>
      <c r="G798" s="13" t="s">
        <v>3156</v>
      </c>
      <c r="H798" s="13" t="s">
        <v>33</v>
      </c>
      <c r="I798" s="13" t="s">
        <v>3188</v>
      </c>
      <c r="J798" s="13" t="s">
        <v>3189</v>
      </c>
      <c r="K798" s="13" t="s">
        <v>3183</v>
      </c>
      <c r="L798" s="13" t="s">
        <v>3160</v>
      </c>
      <c r="M798" s="13" t="s">
        <v>3391</v>
      </c>
      <c r="N798" s="13">
        <v>1.0</v>
      </c>
      <c r="O798" s="13" t="s">
        <v>3162</v>
      </c>
      <c r="P798" s="13" t="s">
        <v>4210</v>
      </c>
      <c r="Q798" s="13" t="s">
        <v>3183</v>
      </c>
      <c r="R798" s="13" t="s">
        <v>3163</v>
      </c>
      <c r="S798" s="13" t="s">
        <v>4211</v>
      </c>
      <c r="T798" s="13" t="s">
        <v>3164</v>
      </c>
      <c r="U798" s="13" t="s">
        <v>3164</v>
      </c>
      <c r="V798" s="13" t="s">
        <v>3166</v>
      </c>
      <c r="W798" s="13" t="s">
        <v>3167</v>
      </c>
      <c r="X798" s="13" t="s">
        <v>3178</v>
      </c>
    </row>
    <row r="799" ht="14.25" customHeight="1">
      <c r="A799" s="13">
        <v>25365.0</v>
      </c>
      <c r="B799" s="13" t="s">
        <v>1344</v>
      </c>
      <c r="C799" s="13">
        <v>2020.0</v>
      </c>
      <c r="D799" s="13" t="s">
        <v>3315</v>
      </c>
      <c r="E799" s="13" t="s">
        <v>3169</v>
      </c>
      <c r="F799" s="13" t="s">
        <v>3217</v>
      </c>
      <c r="G799" s="13" t="s">
        <v>3156</v>
      </c>
      <c r="H799" s="13" t="s">
        <v>33</v>
      </c>
      <c r="I799" s="13" t="s">
        <v>3167</v>
      </c>
      <c r="J799" s="13" t="s">
        <v>3167</v>
      </c>
      <c r="K799" s="13" t="s">
        <v>3173</v>
      </c>
      <c r="L799" s="13" t="s">
        <v>3177</v>
      </c>
      <c r="M799" s="13" t="s">
        <v>3391</v>
      </c>
      <c r="N799" s="13">
        <v>1.0</v>
      </c>
      <c r="O799" s="13" t="s">
        <v>3162</v>
      </c>
      <c r="P799" s="13" t="s">
        <v>33</v>
      </c>
      <c r="Q799" s="13" t="s">
        <v>3346</v>
      </c>
      <c r="R799" s="13" t="s">
        <v>3163</v>
      </c>
      <c r="S799" s="13" t="s">
        <v>33</v>
      </c>
      <c r="T799" s="13" t="s">
        <v>3232</v>
      </c>
      <c r="U799" s="13" t="s">
        <v>3232</v>
      </c>
      <c r="V799" s="13" t="s">
        <v>3166</v>
      </c>
      <c r="W799" s="13" t="s">
        <v>3167</v>
      </c>
      <c r="X799" s="13" t="s">
        <v>3178</v>
      </c>
    </row>
    <row r="800" ht="14.25" customHeight="1">
      <c r="A800" s="13">
        <v>25369.0</v>
      </c>
      <c r="B800" s="13" t="s">
        <v>1402</v>
      </c>
      <c r="C800" s="13">
        <v>2018.0</v>
      </c>
      <c r="D800" s="13" t="s">
        <v>3153</v>
      </c>
      <c r="E800" s="13" t="s">
        <v>3169</v>
      </c>
      <c r="F800" s="13" t="s">
        <v>3170</v>
      </c>
      <c r="G800" s="13" t="s">
        <v>3156</v>
      </c>
      <c r="H800" s="13" t="s">
        <v>33</v>
      </c>
      <c r="I800" s="13" t="s">
        <v>3188</v>
      </c>
      <c r="J800" s="13" t="s">
        <v>3483</v>
      </c>
      <c r="K800" s="13" t="s">
        <v>4212</v>
      </c>
      <c r="L800" s="13" t="s">
        <v>3160</v>
      </c>
      <c r="M800" s="13" t="s">
        <v>4213</v>
      </c>
      <c r="N800" s="13">
        <v>3.0</v>
      </c>
      <c r="O800" s="13" t="s">
        <v>3162</v>
      </c>
      <c r="P800" s="13" t="s">
        <v>33</v>
      </c>
      <c r="Q800" s="13" t="s">
        <v>3333</v>
      </c>
      <c r="R800" s="13" t="s">
        <v>3163</v>
      </c>
      <c r="S800" s="13" t="s">
        <v>33</v>
      </c>
      <c r="T800" s="13" t="s">
        <v>3164</v>
      </c>
      <c r="U800" s="13" t="s">
        <v>3164</v>
      </c>
      <c r="V800" s="13" t="s">
        <v>3166</v>
      </c>
      <c r="W800" s="13" t="s">
        <v>3167</v>
      </c>
      <c r="X800" s="13" t="s">
        <v>3178</v>
      </c>
    </row>
    <row r="801" ht="14.25" customHeight="1">
      <c r="A801" s="13">
        <v>25371.0</v>
      </c>
      <c r="B801" s="13" t="s">
        <v>99</v>
      </c>
      <c r="C801" s="13">
        <v>2006.0</v>
      </c>
      <c r="D801" s="13" t="s">
        <v>3153</v>
      </c>
      <c r="E801" s="13" t="s">
        <v>3179</v>
      </c>
      <c r="F801" s="13" t="s">
        <v>3155</v>
      </c>
      <c r="G801" s="13" t="s">
        <v>3311</v>
      </c>
      <c r="H801" s="13" t="s">
        <v>3311</v>
      </c>
      <c r="I801" s="13" t="s">
        <v>3264</v>
      </c>
      <c r="J801" s="13" t="s">
        <v>4214</v>
      </c>
      <c r="K801" s="13" t="s">
        <v>3173</v>
      </c>
      <c r="L801" s="13" t="s">
        <v>3177</v>
      </c>
      <c r="M801" s="13" t="s">
        <v>3342</v>
      </c>
      <c r="N801" s="13">
        <v>1.0</v>
      </c>
      <c r="O801" s="13" t="s">
        <v>3162</v>
      </c>
      <c r="P801" s="13" t="s">
        <v>4215</v>
      </c>
      <c r="Q801" s="13" t="s">
        <v>3173</v>
      </c>
      <c r="R801" s="13" t="s">
        <v>3231</v>
      </c>
      <c r="S801" s="13" t="s">
        <v>33</v>
      </c>
      <c r="T801" s="13" t="s">
        <v>3197</v>
      </c>
      <c r="U801" s="13" t="s">
        <v>3197</v>
      </c>
      <c r="V801" s="13" t="s">
        <v>3166</v>
      </c>
      <c r="W801" s="13" t="s">
        <v>3167</v>
      </c>
      <c r="X801" s="13" t="s">
        <v>3255</v>
      </c>
    </row>
    <row r="802" ht="14.25" customHeight="1">
      <c r="A802" s="13">
        <v>25372.0</v>
      </c>
      <c r="B802" s="13" t="s">
        <v>625</v>
      </c>
      <c r="C802" s="13">
        <v>2016.0</v>
      </c>
      <c r="D802" s="13" t="s">
        <v>3153</v>
      </c>
      <c r="E802" s="13" t="s">
        <v>3169</v>
      </c>
      <c r="F802" s="13" t="s">
        <v>3217</v>
      </c>
      <c r="G802" s="13" t="s">
        <v>33</v>
      </c>
      <c r="H802" s="13" t="s">
        <v>33</v>
      </c>
      <c r="I802" s="13" t="s">
        <v>3167</v>
      </c>
      <c r="J802" s="13" t="s">
        <v>3167</v>
      </c>
      <c r="K802" s="13" t="s">
        <v>3338</v>
      </c>
      <c r="L802" s="13" t="s">
        <v>3177</v>
      </c>
      <c r="M802" s="13" t="s">
        <v>3391</v>
      </c>
      <c r="N802" s="13">
        <v>1.0</v>
      </c>
      <c r="O802" s="13" t="s">
        <v>3162</v>
      </c>
      <c r="P802" s="13" t="s">
        <v>3397</v>
      </c>
      <c r="Q802" s="13" t="s">
        <v>3338</v>
      </c>
      <c r="R802" s="13" t="s">
        <v>3177</v>
      </c>
      <c r="S802" s="13" t="s">
        <v>33</v>
      </c>
      <c r="T802" s="13" t="s">
        <v>3232</v>
      </c>
      <c r="U802" s="13" t="s">
        <v>3232</v>
      </c>
      <c r="V802" s="13" t="s">
        <v>3166</v>
      </c>
      <c r="W802" s="13" t="s">
        <v>3167</v>
      </c>
      <c r="X802" s="13" t="s">
        <v>3178</v>
      </c>
    </row>
    <row r="803" ht="14.25" customHeight="1">
      <c r="A803" s="13">
        <v>25374.0</v>
      </c>
      <c r="B803" s="13" t="s">
        <v>1702</v>
      </c>
      <c r="C803" s="13">
        <v>2016.0</v>
      </c>
      <c r="D803" s="13" t="s">
        <v>3153</v>
      </c>
      <c r="E803" s="13" t="s">
        <v>3179</v>
      </c>
      <c r="F803" s="13" t="s">
        <v>3155</v>
      </c>
      <c r="G803" s="13" t="s">
        <v>3180</v>
      </c>
      <c r="H803" s="13">
        <v>1.0</v>
      </c>
      <c r="I803" s="13" t="s">
        <v>3865</v>
      </c>
      <c r="J803" s="13" t="s">
        <v>3204</v>
      </c>
      <c r="K803" s="13" t="s">
        <v>3173</v>
      </c>
      <c r="L803" s="13" t="s">
        <v>3177</v>
      </c>
      <c r="M803" s="13" t="s">
        <v>3342</v>
      </c>
      <c r="N803" s="13">
        <v>1.0</v>
      </c>
      <c r="O803" s="13" t="s">
        <v>3162</v>
      </c>
      <c r="P803" s="13" t="s">
        <v>4216</v>
      </c>
      <c r="Q803" s="13" t="s">
        <v>3173</v>
      </c>
      <c r="R803" s="13" t="s">
        <v>3177</v>
      </c>
      <c r="S803" s="13" t="s">
        <v>33</v>
      </c>
      <c r="T803" s="13" t="s">
        <v>3228</v>
      </c>
      <c r="U803" s="13" t="s">
        <v>3228</v>
      </c>
      <c r="V803" s="13" t="s">
        <v>3166</v>
      </c>
      <c r="W803" s="13" t="s">
        <v>3167</v>
      </c>
      <c r="X803" s="13" t="s">
        <v>3216</v>
      </c>
    </row>
    <row r="804" ht="14.25" customHeight="1">
      <c r="A804" s="13" t="s">
        <v>2050</v>
      </c>
      <c r="B804" s="13" t="s">
        <v>2051</v>
      </c>
      <c r="C804" s="13">
        <v>2018.0</v>
      </c>
      <c r="D804" s="13" t="s">
        <v>3153</v>
      </c>
      <c r="E804" s="13" t="s">
        <v>3169</v>
      </c>
      <c r="F804" s="13" t="s">
        <v>3217</v>
      </c>
      <c r="G804" s="13" t="s">
        <v>3156</v>
      </c>
      <c r="H804" s="13" t="s">
        <v>33</v>
      </c>
      <c r="I804" s="13" t="s">
        <v>3167</v>
      </c>
      <c r="J804" s="13" t="s">
        <v>3167</v>
      </c>
      <c r="K804" s="13" t="s">
        <v>3183</v>
      </c>
      <c r="L804" s="13" t="s">
        <v>3177</v>
      </c>
      <c r="M804" s="13" t="s">
        <v>3480</v>
      </c>
      <c r="N804" s="13">
        <v>1.0</v>
      </c>
      <c r="O804" s="13" t="s">
        <v>3162</v>
      </c>
      <c r="P804" s="13" t="s">
        <v>4217</v>
      </c>
      <c r="Q804" s="13" t="s">
        <v>3335</v>
      </c>
      <c r="R804" s="13" t="s">
        <v>3163</v>
      </c>
      <c r="S804" s="13" t="s">
        <v>3937</v>
      </c>
      <c r="T804" s="13" t="s">
        <v>3195</v>
      </c>
      <c r="U804" s="13" t="s">
        <v>3195</v>
      </c>
      <c r="V804" s="13" t="s">
        <v>3195</v>
      </c>
      <c r="W804" s="13" t="s">
        <v>3167</v>
      </c>
      <c r="X804" s="13" t="s">
        <v>3167</v>
      </c>
    </row>
    <row r="805" ht="14.25" customHeight="1">
      <c r="A805" s="13">
        <v>25381.0</v>
      </c>
      <c r="B805" s="13" t="s">
        <v>95</v>
      </c>
      <c r="C805" s="13">
        <v>2004.0</v>
      </c>
      <c r="D805" s="13" t="s">
        <v>3153</v>
      </c>
      <c r="E805" s="13" t="s">
        <v>3169</v>
      </c>
      <c r="F805" s="13" t="s">
        <v>3211</v>
      </c>
      <c r="G805" s="13" t="s">
        <v>3366</v>
      </c>
      <c r="H805" s="13">
        <v>1.0</v>
      </c>
      <c r="I805" s="13" t="s">
        <v>3171</v>
      </c>
      <c r="J805" s="13" t="s">
        <v>4218</v>
      </c>
      <c r="K805" s="13" t="s">
        <v>3186</v>
      </c>
      <c r="L805" s="13" t="s">
        <v>3160</v>
      </c>
      <c r="M805" s="13" t="s">
        <v>3161</v>
      </c>
      <c r="N805" s="13">
        <v>1.0</v>
      </c>
      <c r="O805" s="13" t="s">
        <v>3162</v>
      </c>
      <c r="P805" s="13" t="s">
        <v>33</v>
      </c>
      <c r="Q805" s="13" t="s">
        <v>3186</v>
      </c>
      <c r="R805" s="13" t="s">
        <v>3163</v>
      </c>
      <c r="S805" s="13" t="s">
        <v>33</v>
      </c>
      <c r="T805" s="13" t="s">
        <v>3164</v>
      </c>
      <c r="U805" s="13" t="s">
        <v>3228</v>
      </c>
      <c r="V805" s="13" t="s">
        <v>3166</v>
      </c>
      <c r="W805" s="13" t="s">
        <v>3167</v>
      </c>
      <c r="X805" s="13" t="s">
        <v>3168</v>
      </c>
    </row>
    <row r="806" ht="14.25" customHeight="1">
      <c r="A806" s="13">
        <v>25384.0</v>
      </c>
      <c r="B806" s="13" t="s">
        <v>480</v>
      </c>
      <c r="C806" s="13">
        <v>2016.0</v>
      </c>
      <c r="D806" s="13" t="s">
        <v>3153</v>
      </c>
      <c r="E806" s="13" t="s">
        <v>3169</v>
      </c>
      <c r="F806" s="13" t="s">
        <v>3192</v>
      </c>
      <c r="G806" s="13" t="s">
        <v>33</v>
      </c>
      <c r="H806" s="13" t="s">
        <v>33</v>
      </c>
      <c r="I806" s="13" t="s">
        <v>3222</v>
      </c>
      <c r="J806" s="13" t="s">
        <v>3229</v>
      </c>
      <c r="K806" s="13" t="s">
        <v>3208</v>
      </c>
      <c r="L806" s="13" t="s">
        <v>3160</v>
      </c>
      <c r="M806" s="13" t="s">
        <v>3484</v>
      </c>
      <c r="N806" s="13">
        <v>1.0</v>
      </c>
      <c r="O806" s="13" t="s">
        <v>3162</v>
      </c>
      <c r="P806" s="13" t="s">
        <v>33</v>
      </c>
      <c r="Q806" s="13" t="s">
        <v>3186</v>
      </c>
      <c r="R806" s="13" t="s">
        <v>3177</v>
      </c>
      <c r="S806" s="13" t="s">
        <v>33</v>
      </c>
      <c r="T806" s="13" t="s">
        <v>3252</v>
      </c>
      <c r="U806" s="13" t="s">
        <v>3252</v>
      </c>
      <c r="V806" s="13" t="s">
        <v>3253</v>
      </c>
      <c r="W806" s="13" t="s">
        <v>3294</v>
      </c>
      <c r="X806" s="13" t="s">
        <v>4219</v>
      </c>
    </row>
    <row r="807" ht="14.25" customHeight="1">
      <c r="A807" s="13">
        <v>25390.0</v>
      </c>
      <c r="B807" s="13" t="s">
        <v>499</v>
      </c>
      <c r="C807" s="13">
        <v>2015.0</v>
      </c>
      <c r="D807" s="13" t="s">
        <v>3153</v>
      </c>
      <c r="E807" s="13" t="s">
        <v>3169</v>
      </c>
      <c r="F807" s="13" t="s">
        <v>3211</v>
      </c>
      <c r="G807" s="13" t="s">
        <v>3202</v>
      </c>
      <c r="H807" s="13">
        <v>30.0</v>
      </c>
      <c r="I807" s="13" t="s">
        <v>3171</v>
      </c>
      <c r="J807" s="13" t="s">
        <v>4220</v>
      </c>
      <c r="K807" s="13" t="s">
        <v>3208</v>
      </c>
      <c r="L807" s="13" t="s">
        <v>3160</v>
      </c>
      <c r="M807" s="13" t="s">
        <v>3605</v>
      </c>
      <c r="N807" s="13">
        <v>3.0</v>
      </c>
      <c r="O807" s="13" t="s">
        <v>3267</v>
      </c>
      <c r="P807" s="13" t="s">
        <v>33</v>
      </c>
      <c r="Q807" s="13" t="s">
        <v>3208</v>
      </c>
      <c r="R807" s="13" t="s">
        <v>3163</v>
      </c>
      <c r="S807" s="13" t="s">
        <v>33</v>
      </c>
      <c r="T807" s="13" t="s">
        <v>3247</v>
      </c>
      <c r="U807" s="13" t="s">
        <v>3247</v>
      </c>
      <c r="V807" s="13" t="s">
        <v>3242</v>
      </c>
      <c r="W807" s="13" t="s">
        <v>3496</v>
      </c>
      <c r="X807" s="13" t="s">
        <v>3167</v>
      </c>
    </row>
    <row r="808" ht="14.25" customHeight="1">
      <c r="A808" s="13">
        <v>25391.0</v>
      </c>
      <c r="B808" s="13" t="s">
        <v>1973</v>
      </c>
      <c r="C808" s="13">
        <v>2012.0</v>
      </c>
      <c r="D808" s="13" t="s">
        <v>3153</v>
      </c>
      <c r="E808" s="13" t="s">
        <v>3169</v>
      </c>
      <c r="F808" s="13" t="s">
        <v>3192</v>
      </c>
      <c r="G808" s="13" t="s">
        <v>3156</v>
      </c>
      <c r="H808" s="13" t="s">
        <v>33</v>
      </c>
      <c r="I808" s="13" t="s">
        <v>3157</v>
      </c>
      <c r="J808" s="13" t="s">
        <v>3199</v>
      </c>
      <c r="K808" s="13" t="s">
        <v>3208</v>
      </c>
      <c r="L808" s="13" t="s">
        <v>3177</v>
      </c>
      <c r="M808" s="13" t="s">
        <v>3722</v>
      </c>
      <c r="N808" s="13">
        <v>1.0</v>
      </c>
      <c r="O808" s="13" t="s">
        <v>3162</v>
      </c>
      <c r="P808" s="13" t="s">
        <v>33</v>
      </c>
      <c r="Q808" s="13" t="s">
        <v>3159</v>
      </c>
      <c r="R808" s="13" t="s">
        <v>3163</v>
      </c>
      <c r="S808" s="13" t="s">
        <v>33</v>
      </c>
      <c r="T808" s="13" t="s">
        <v>3164</v>
      </c>
      <c r="U808" s="13" t="s">
        <v>3164</v>
      </c>
      <c r="V808" s="13" t="s">
        <v>3166</v>
      </c>
      <c r="W808" s="13" t="s">
        <v>3167</v>
      </c>
      <c r="X808" s="13" t="s">
        <v>3224</v>
      </c>
    </row>
    <row r="809" ht="14.25" customHeight="1">
      <c r="A809" s="13">
        <v>25392.0</v>
      </c>
      <c r="B809" s="13" t="s">
        <v>1973</v>
      </c>
      <c r="C809" s="13">
        <v>2014.0</v>
      </c>
      <c r="D809" s="13" t="s">
        <v>3153</v>
      </c>
      <c r="E809" s="13" t="s">
        <v>3169</v>
      </c>
      <c r="F809" s="13" t="s">
        <v>3217</v>
      </c>
      <c r="G809" s="13" t="s">
        <v>33</v>
      </c>
      <c r="H809" s="13" t="s">
        <v>33</v>
      </c>
      <c r="I809" s="13" t="s">
        <v>3167</v>
      </c>
      <c r="J809" s="13" t="s">
        <v>3167</v>
      </c>
      <c r="K809" s="13" t="s">
        <v>3183</v>
      </c>
      <c r="L809" s="13" t="s">
        <v>3177</v>
      </c>
      <c r="M809" s="13" t="s">
        <v>4221</v>
      </c>
      <c r="N809" s="13">
        <v>6.0</v>
      </c>
      <c r="O809" s="13" t="s">
        <v>3162</v>
      </c>
      <c r="P809" s="13" t="s">
        <v>3397</v>
      </c>
      <c r="Q809" s="13" t="s">
        <v>3183</v>
      </c>
      <c r="R809" s="13" t="s">
        <v>3177</v>
      </c>
      <c r="S809" s="13" t="s">
        <v>3397</v>
      </c>
      <c r="T809" s="13" t="s">
        <v>3232</v>
      </c>
      <c r="U809" s="13" t="s">
        <v>3197</v>
      </c>
      <c r="V809" s="13" t="s">
        <v>3166</v>
      </c>
      <c r="W809" s="13" t="s">
        <v>3167</v>
      </c>
      <c r="X809" s="13" t="s">
        <v>3877</v>
      </c>
    </row>
    <row r="810" ht="14.25" customHeight="1">
      <c r="A810" s="13">
        <v>25393.0</v>
      </c>
      <c r="B810" s="13" t="s">
        <v>1973</v>
      </c>
      <c r="C810" s="13">
        <v>2014.0</v>
      </c>
      <c r="D810" s="13" t="s">
        <v>3153</v>
      </c>
      <c r="E810" s="13" t="s">
        <v>3169</v>
      </c>
      <c r="F810" s="13" t="s">
        <v>3155</v>
      </c>
      <c r="G810" s="13" t="s">
        <v>3187</v>
      </c>
      <c r="H810" s="13">
        <v>1.0</v>
      </c>
      <c r="I810" s="13" t="s">
        <v>3157</v>
      </c>
      <c r="J810" s="13" t="s">
        <v>3199</v>
      </c>
      <c r="K810" s="13" t="s">
        <v>3381</v>
      </c>
      <c r="L810" s="13" t="s">
        <v>3160</v>
      </c>
      <c r="M810" s="13" t="s">
        <v>4222</v>
      </c>
      <c r="N810" s="13">
        <v>4.0</v>
      </c>
      <c r="O810" s="13" t="s">
        <v>3162</v>
      </c>
      <c r="P810" s="13" t="s">
        <v>3689</v>
      </c>
      <c r="Q810" s="13" t="s">
        <v>3210</v>
      </c>
      <c r="R810" s="13" t="s">
        <v>3163</v>
      </c>
      <c r="S810" s="13" t="s">
        <v>33</v>
      </c>
      <c r="T810" s="13" t="s">
        <v>3195</v>
      </c>
      <c r="U810" s="13" t="s">
        <v>3195</v>
      </c>
      <c r="V810" s="13" t="s">
        <v>3195</v>
      </c>
      <c r="W810" s="13" t="s">
        <v>3167</v>
      </c>
      <c r="X810" s="13" t="s">
        <v>3167</v>
      </c>
    </row>
    <row r="811" ht="14.25" customHeight="1">
      <c r="A811" s="13">
        <v>25400.0</v>
      </c>
      <c r="B811" s="13" t="s">
        <v>309</v>
      </c>
      <c r="C811" s="13">
        <v>2017.0</v>
      </c>
      <c r="D811" s="13" t="s">
        <v>3153</v>
      </c>
      <c r="E811" s="13" t="s">
        <v>3154</v>
      </c>
      <c r="F811" s="13" t="s">
        <v>3211</v>
      </c>
      <c r="G811" s="13" t="s">
        <v>3520</v>
      </c>
      <c r="H811" s="13">
        <v>5.0</v>
      </c>
      <c r="I811" s="13" t="s">
        <v>3157</v>
      </c>
      <c r="J811" s="13" t="s">
        <v>4223</v>
      </c>
      <c r="K811" s="13" t="s">
        <v>3186</v>
      </c>
      <c r="L811" s="13" t="s">
        <v>3177</v>
      </c>
      <c r="M811" s="13" t="s">
        <v>3161</v>
      </c>
      <c r="N811" s="13">
        <v>1.0</v>
      </c>
      <c r="O811" s="13" t="s">
        <v>3162</v>
      </c>
      <c r="P811" s="13" t="s">
        <v>33</v>
      </c>
      <c r="Q811" s="13" t="s">
        <v>3335</v>
      </c>
      <c r="R811" s="13" t="s">
        <v>3163</v>
      </c>
      <c r="S811" s="13" t="s">
        <v>4224</v>
      </c>
      <c r="T811" s="13" t="s">
        <v>3247</v>
      </c>
      <c r="U811" s="13" t="s">
        <v>3247</v>
      </c>
      <c r="V811" s="13" t="s">
        <v>3242</v>
      </c>
      <c r="W811" s="13" t="s">
        <v>3634</v>
      </c>
      <c r="X811" s="13" t="s">
        <v>3167</v>
      </c>
    </row>
    <row r="812" ht="14.25" customHeight="1">
      <c r="A812" s="13">
        <v>25402.0</v>
      </c>
      <c r="B812" s="13" t="s">
        <v>1863</v>
      </c>
      <c r="C812" s="13">
        <v>2012.0</v>
      </c>
      <c r="D812" s="13" t="s">
        <v>3153</v>
      </c>
      <c r="E812" s="13" t="s">
        <v>3169</v>
      </c>
      <c r="F812" s="13" t="s">
        <v>3217</v>
      </c>
      <c r="G812" s="13" t="s">
        <v>3187</v>
      </c>
      <c r="H812" s="13">
        <v>1.0</v>
      </c>
      <c r="I812" s="13" t="s">
        <v>3167</v>
      </c>
      <c r="J812" s="13" t="s">
        <v>3167</v>
      </c>
      <c r="K812" s="13" t="s">
        <v>3183</v>
      </c>
      <c r="L812" s="13" t="s">
        <v>3177</v>
      </c>
      <c r="M812" s="13" t="s">
        <v>4225</v>
      </c>
      <c r="N812" s="13">
        <v>5.0</v>
      </c>
      <c r="O812" s="13" t="s">
        <v>3175</v>
      </c>
      <c r="P812" s="13" t="s">
        <v>4226</v>
      </c>
      <c r="Q812" s="13" t="s">
        <v>3335</v>
      </c>
      <c r="R812" s="13" t="s">
        <v>3163</v>
      </c>
      <c r="S812" s="13" t="s">
        <v>4227</v>
      </c>
      <c r="T812" s="13" t="s">
        <v>3195</v>
      </c>
      <c r="U812" s="13" t="s">
        <v>3195</v>
      </c>
      <c r="V812" s="13" t="s">
        <v>3195</v>
      </c>
      <c r="W812" s="13" t="s">
        <v>3167</v>
      </c>
      <c r="X812" s="13" t="s">
        <v>3167</v>
      </c>
    </row>
    <row r="813" ht="14.25" customHeight="1">
      <c r="A813" s="13">
        <v>25405.0</v>
      </c>
      <c r="B813" s="13" t="s">
        <v>2786</v>
      </c>
      <c r="C813" s="13">
        <v>2009.0</v>
      </c>
      <c r="D813" s="13" t="s">
        <v>3153</v>
      </c>
      <c r="E813" s="13" t="s">
        <v>3169</v>
      </c>
      <c r="F813" s="13" t="s">
        <v>3155</v>
      </c>
      <c r="G813" s="13" t="s">
        <v>33</v>
      </c>
      <c r="H813" s="13" t="s">
        <v>33</v>
      </c>
      <c r="I813" s="13" t="s">
        <v>3157</v>
      </c>
      <c r="J813" s="13" t="s">
        <v>3199</v>
      </c>
      <c r="K813" s="13" t="s">
        <v>3183</v>
      </c>
      <c r="L813" s="13" t="s">
        <v>3160</v>
      </c>
      <c r="M813" s="13" t="s">
        <v>4228</v>
      </c>
      <c r="N813" s="13">
        <v>2.0</v>
      </c>
      <c r="O813" s="13" t="s">
        <v>3162</v>
      </c>
      <c r="P813" s="13" t="s">
        <v>4229</v>
      </c>
      <c r="Q813" s="13" t="s">
        <v>3183</v>
      </c>
      <c r="R813" s="13" t="s">
        <v>3163</v>
      </c>
      <c r="S813" s="13" t="s">
        <v>3724</v>
      </c>
      <c r="T813" s="13" t="s">
        <v>3164</v>
      </c>
      <c r="U813" s="13" t="s">
        <v>3164</v>
      </c>
      <c r="V813" s="13" t="s">
        <v>3166</v>
      </c>
      <c r="W813" s="13" t="s">
        <v>3167</v>
      </c>
      <c r="X813" s="13" t="s">
        <v>3224</v>
      </c>
    </row>
    <row r="814" ht="14.25" customHeight="1">
      <c r="A814" s="13">
        <v>25407.0</v>
      </c>
      <c r="B814" s="13" t="s">
        <v>2191</v>
      </c>
      <c r="C814" s="13">
        <v>2014.0</v>
      </c>
      <c r="D814" s="13" t="s">
        <v>3153</v>
      </c>
      <c r="E814" s="13" t="s">
        <v>3179</v>
      </c>
      <c r="F814" s="13" t="s">
        <v>3284</v>
      </c>
      <c r="G814" s="13" t="s">
        <v>3180</v>
      </c>
      <c r="H814" s="13">
        <v>5.0</v>
      </c>
      <c r="I814" s="13" t="s">
        <v>4070</v>
      </c>
      <c r="J814" s="13" t="s">
        <v>3167</v>
      </c>
      <c r="K814" s="13" t="s">
        <v>3183</v>
      </c>
      <c r="L814" s="13" t="s">
        <v>3177</v>
      </c>
      <c r="M814" s="13" t="s">
        <v>3342</v>
      </c>
      <c r="N814" s="13">
        <v>1.0</v>
      </c>
      <c r="O814" s="13" t="s">
        <v>3162</v>
      </c>
      <c r="P814" s="13" t="s">
        <v>4230</v>
      </c>
      <c r="Q814" s="13" t="s">
        <v>3208</v>
      </c>
      <c r="R814" s="13" t="s">
        <v>3177</v>
      </c>
      <c r="S814" s="13" t="s">
        <v>33</v>
      </c>
      <c r="T814" s="13" t="s">
        <v>3164</v>
      </c>
      <c r="U814" s="13" t="s">
        <v>3164</v>
      </c>
      <c r="V814" s="13" t="s">
        <v>3166</v>
      </c>
      <c r="W814" s="13" t="s">
        <v>3167</v>
      </c>
      <c r="X814" s="13" t="s">
        <v>3216</v>
      </c>
    </row>
    <row r="815" ht="14.25" customHeight="1">
      <c r="A815" s="13">
        <v>25409.0</v>
      </c>
      <c r="B815" s="13" t="s">
        <v>1783</v>
      </c>
      <c r="C815" s="13">
        <v>2011.0</v>
      </c>
      <c r="D815" s="13" t="s">
        <v>3153</v>
      </c>
      <c r="E815" s="13" t="s">
        <v>3169</v>
      </c>
      <c r="F815" s="13" t="s">
        <v>3170</v>
      </c>
      <c r="G815" s="13" t="s">
        <v>3202</v>
      </c>
      <c r="H815" s="13">
        <v>100.0</v>
      </c>
      <c r="I815" s="13" t="s">
        <v>3203</v>
      </c>
      <c r="J815" s="13" t="s">
        <v>3204</v>
      </c>
      <c r="K815" s="13" t="s">
        <v>3159</v>
      </c>
      <c r="L815" s="13" t="s">
        <v>3160</v>
      </c>
      <c r="M815" s="13" t="s">
        <v>3230</v>
      </c>
      <c r="N815" s="13">
        <v>1.0</v>
      </c>
      <c r="O815" s="13" t="s">
        <v>3162</v>
      </c>
      <c r="P815" s="13" t="s">
        <v>33</v>
      </c>
      <c r="Q815" s="13" t="s">
        <v>3186</v>
      </c>
      <c r="R815" s="13" t="s">
        <v>3177</v>
      </c>
      <c r="S815" s="13" t="s">
        <v>33</v>
      </c>
      <c r="T815" s="13" t="s">
        <v>3164</v>
      </c>
      <c r="U815" s="13" t="s">
        <v>3164</v>
      </c>
      <c r="V815" s="13" t="s">
        <v>3166</v>
      </c>
      <c r="W815" s="13" t="s">
        <v>3167</v>
      </c>
      <c r="X815" s="13" t="s">
        <v>3178</v>
      </c>
    </row>
    <row r="816" ht="14.25" customHeight="1">
      <c r="A816" s="13">
        <v>25410.0</v>
      </c>
      <c r="B816" s="13" t="s">
        <v>1783</v>
      </c>
      <c r="C816" s="13">
        <v>2012.0</v>
      </c>
      <c r="D816" s="13" t="s">
        <v>3153</v>
      </c>
      <c r="E816" s="13" t="s">
        <v>3169</v>
      </c>
      <c r="F816" s="13" t="s">
        <v>3170</v>
      </c>
      <c r="G816" s="13" t="s">
        <v>3156</v>
      </c>
      <c r="H816" s="13" t="s">
        <v>33</v>
      </c>
      <c r="I816" s="13" t="s">
        <v>3203</v>
      </c>
      <c r="J816" s="13" t="s">
        <v>3204</v>
      </c>
      <c r="K816" s="13" t="s">
        <v>3159</v>
      </c>
      <c r="L816" s="13" t="s">
        <v>3160</v>
      </c>
      <c r="M816" s="13" t="s">
        <v>3230</v>
      </c>
      <c r="N816" s="13">
        <v>1.0</v>
      </c>
      <c r="O816" s="13" t="s">
        <v>3162</v>
      </c>
      <c r="P816" s="13" t="s">
        <v>33</v>
      </c>
      <c r="Q816" s="13" t="s">
        <v>3201</v>
      </c>
      <c r="R816" s="13" t="s">
        <v>3163</v>
      </c>
      <c r="S816" s="13" t="s">
        <v>33</v>
      </c>
      <c r="T816" s="13" t="s">
        <v>3164</v>
      </c>
      <c r="U816" s="13" t="s">
        <v>3164</v>
      </c>
      <c r="V816" s="13" t="s">
        <v>3166</v>
      </c>
      <c r="W816" s="13" t="s">
        <v>3167</v>
      </c>
      <c r="X816" s="13" t="s">
        <v>3178</v>
      </c>
    </row>
    <row r="817" ht="14.25" customHeight="1">
      <c r="A817" s="13">
        <v>25411.0</v>
      </c>
      <c r="B817" s="13" t="s">
        <v>2241</v>
      </c>
      <c r="C817" s="13">
        <v>2010.0</v>
      </c>
      <c r="D817" s="13" t="s">
        <v>3153</v>
      </c>
      <c r="E817" s="13" t="s">
        <v>3169</v>
      </c>
      <c r="F817" s="13" t="s">
        <v>3155</v>
      </c>
      <c r="G817" s="13" t="s">
        <v>3156</v>
      </c>
      <c r="H817" s="13" t="s">
        <v>3311</v>
      </c>
      <c r="I817" s="13" t="s">
        <v>3171</v>
      </c>
      <c r="J817" s="13" t="s">
        <v>3454</v>
      </c>
      <c r="K817" s="13" t="s">
        <v>3186</v>
      </c>
      <c r="L817" s="13" t="s">
        <v>3160</v>
      </c>
      <c r="M817" s="13" t="s">
        <v>4231</v>
      </c>
      <c r="N817" s="13">
        <v>4.0</v>
      </c>
      <c r="O817" s="13" t="s">
        <v>3175</v>
      </c>
      <c r="P817" s="13" t="s">
        <v>3167</v>
      </c>
      <c r="Q817" s="13" t="s">
        <v>3335</v>
      </c>
      <c r="R817" s="13" t="s">
        <v>3231</v>
      </c>
      <c r="S817" s="13" t="s">
        <v>4232</v>
      </c>
      <c r="T817" s="13" t="s">
        <v>3195</v>
      </c>
      <c r="U817" s="13" t="s">
        <v>3195</v>
      </c>
      <c r="V817" s="13" t="s">
        <v>3195</v>
      </c>
      <c r="W817" s="13" t="s">
        <v>3167</v>
      </c>
      <c r="X817" s="13" t="s">
        <v>3167</v>
      </c>
    </row>
    <row r="818" ht="14.25" customHeight="1">
      <c r="A818" s="13">
        <v>25413.0</v>
      </c>
      <c r="B818" s="13" t="s">
        <v>1294</v>
      </c>
      <c r="C818" s="13">
        <v>2018.0</v>
      </c>
      <c r="D818" s="13" t="s">
        <v>3153</v>
      </c>
      <c r="E818" s="13" t="s">
        <v>3465</v>
      </c>
      <c r="F818" s="13" t="s">
        <v>3155</v>
      </c>
      <c r="G818" s="13" t="s">
        <v>3180</v>
      </c>
      <c r="H818" s="13">
        <v>0.5</v>
      </c>
      <c r="I818" s="13" t="s">
        <v>3244</v>
      </c>
      <c r="J818" s="13" t="s">
        <v>3245</v>
      </c>
      <c r="K818" s="13" t="s">
        <v>3218</v>
      </c>
      <c r="L818" s="13" t="s">
        <v>3177</v>
      </c>
      <c r="M818" s="13" t="s">
        <v>4233</v>
      </c>
      <c r="N818" s="13">
        <v>5.0</v>
      </c>
      <c r="O818" s="13" t="s">
        <v>3175</v>
      </c>
      <c r="P818" s="13" t="s">
        <v>4234</v>
      </c>
      <c r="Q818" s="13" t="s">
        <v>3338</v>
      </c>
      <c r="R818" s="13" t="s">
        <v>3260</v>
      </c>
      <c r="S818" s="13" t="s">
        <v>33</v>
      </c>
      <c r="T818" s="13" t="s">
        <v>3232</v>
      </c>
      <c r="U818" s="13" t="s">
        <v>3232</v>
      </c>
      <c r="V818" s="13" t="s">
        <v>3166</v>
      </c>
      <c r="W818" s="13" t="s">
        <v>3167</v>
      </c>
      <c r="X818" s="13" t="s">
        <v>3324</v>
      </c>
    </row>
    <row r="819" ht="14.25" customHeight="1">
      <c r="A819" s="13">
        <v>25416.0</v>
      </c>
      <c r="B819" s="13" t="s">
        <v>1393</v>
      </c>
      <c r="C819" s="13">
        <v>2019.0</v>
      </c>
      <c r="D819" s="13" t="s">
        <v>3153</v>
      </c>
      <c r="E819" s="13" t="s">
        <v>3169</v>
      </c>
      <c r="F819" s="13" t="s">
        <v>3211</v>
      </c>
      <c r="G819" s="13" t="s">
        <v>3187</v>
      </c>
      <c r="H819" s="13">
        <v>1.0</v>
      </c>
      <c r="I819" s="13" t="s">
        <v>3244</v>
      </c>
      <c r="J819" s="13" t="s">
        <v>4235</v>
      </c>
      <c r="K819" s="13" t="s">
        <v>3265</v>
      </c>
      <c r="L819" s="13" t="s">
        <v>3160</v>
      </c>
      <c r="M819" s="13" t="s">
        <v>4228</v>
      </c>
      <c r="N819" s="13">
        <v>2.0</v>
      </c>
      <c r="O819" s="13" t="s">
        <v>3162</v>
      </c>
      <c r="P819" s="13" t="s">
        <v>33</v>
      </c>
      <c r="Q819" s="13" t="s">
        <v>3186</v>
      </c>
      <c r="R819" s="13" t="s">
        <v>3177</v>
      </c>
      <c r="S819" s="13" t="s">
        <v>33</v>
      </c>
      <c r="T819" s="13" t="s">
        <v>3164</v>
      </c>
      <c r="U819" s="13" t="s">
        <v>3164</v>
      </c>
      <c r="V819" s="13" t="s">
        <v>3166</v>
      </c>
      <c r="W819" s="13" t="s">
        <v>3167</v>
      </c>
      <c r="X819" s="13" t="s">
        <v>3178</v>
      </c>
    </row>
    <row r="820" ht="14.25" customHeight="1">
      <c r="A820" s="13">
        <v>25417.0</v>
      </c>
      <c r="B820" s="13" t="s">
        <v>1393</v>
      </c>
      <c r="C820" s="13">
        <v>2020.0</v>
      </c>
      <c r="D820" s="13" t="s">
        <v>3153</v>
      </c>
      <c r="E820" s="13" t="s">
        <v>3169</v>
      </c>
      <c r="F820" s="13" t="s">
        <v>3211</v>
      </c>
      <c r="G820" s="13" t="s">
        <v>3187</v>
      </c>
      <c r="H820" s="13">
        <v>1.0</v>
      </c>
      <c r="I820" s="13" t="s">
        <v>3244</v>
      </c>
      <c r="J820" s="13" t="s">
        <v>4084</v>
      </c>
      <c r="K820" s="13" t="s">
        <v>3186</v>
      </c>
      <c r="L820" s="13" t="s">
        <v>3177</v>
      </c>
      <c r="M820" s="13" t="s">
        <v>4236</v>
      </c>
      <c r="N820" s="13">
        <v>2.0</v>
      </c>
      <c r="O820" s="13" t="s">
        <v>3162</v>
      </c>
      <c r="P820" s="13" t="s">
        <v>4237</v>
      </c>
      <c r="Q820" s="13" t="s">
        <v>3381</v>
      </c>
      <c r="R820" s="13" t="s">
        <v>3260</v>
      </c>
      <c r="S820" s="13" t="s">
        <v>3689</v>
      </c>
      <c r="T820" s="13" t="s">
        <v>3232</v>
      </c>
      <c r="U820" s="13" t="s">
        <v>3232</v>
      </c>
      <c r="V820" s="13" t="s">
        <v>3166</v>
      </c>
      <c r="W820" s="13" t="s">
        <v>3167</v>
      </c>
      <c r="X820" s="13" t="s">
        <v>3178</v>
      </c>
    </row>
    <row r="821" ht="14.25" customHeight="1">
      <c r="A821" s="13">
        <v>25419.0</v>
      </c>
      <c r="B821" s="13" t="s">
        <v>1408</v>
      </c>
      <c r="C821" s="13">
        <v>2019.0</v>
      </c>
      <c r="D821" s="13" t="s">
        <v>3153</v>
      </c>
      <c r="E821" s="13" t="s">
        <v>3169</v>
      </c>
      <c r="F821" s="13" t="s">
        <v>3170</v>
      </c>
      <c r="G821" s="13" t="s">
        <v>3156</v>
      </c>
      <c r="H821" s="13" t="s">
        <v>33</v>
      </c>
      <c r="I821" s="13" t="s">
        <v>3222</v>
      </c>
      <c r="J821" s="13" t="s">
        <v>3262</v>
      </c>
      <c r="K821" s="13" t="s">
        <v>3214</v>
      </c>
      <c r="L821" s="13" t="s">
        <v>3160</v>
      </c>
      <c r="M821" s="13" t="s">
        <v>3161</v>
      </c>
      <c r="N821" s="13">
        <v>1.0</v>
      </c>
      <c r="O821" s="13" t="s">
        <v>3162</v>
      </c>
      <c r="P821" s="13" t="s">
        <v>33</v>
      </c>
      <c r="Q821" s="13" t="s">
        <v>3173</v>
      </c>
      <c r="R821" s="13" t="s">
        <v>3163</v>
      </c>
      <c r="S821" s="13" t="s">
        <v>33</v>
      </c>
      <c r="T821" s="13" t="s">
        <v>3197</v>
      </c>
      <c r="U821" s="13" t="s">
        <v>3197</v>
      </c>
      <c r="V821" s="13" t="s">
        <v>3166</v>
      </c>
      <c r="W821" s="13" t="s">
        <v>3167</v>
      </c>
      <c r="X821" s="13" t="s">
        <v>3276</v>
      </c>
    </row>
    <row r="822" ht="14.25" customHeight="1">
      <c r="A822" s="13">
        <v>25420.0</v>
      </c>
      <c r="B822" s="13" t="s">
        <v>2682</v>
      </c>
      <c r="C822" s="13">
        <v>2018.0</v>
      </c>
      <c r="D822" s="13" t="s">
        <v>3153</v>
      </c>
      <c r="E822" s="13" t="s">
        <v>3465</v>
      </c>
      <c r="F822" s="13" t="s">
        <v>3192</v>
      </c>
      <c r="G822" s="13" t="s">
        <v>3156</v>
      </c>
      <c r="H822" s="13" t="s">
        <v>33</v>
      </c>
      <c r="I822" s="13" t="s">
        <v>3222</v>
      </c>
      <c r="J822" s="13" t="s">
        <v>3262</v>
      </c>
      <c r="K822" s="13" t="s">
        <v>3159</v>
      </c>
      <c r="L822" s="13" t="s">
        <v>3160</v>
      </c>
      <c r="M822" s="13" t="s">
        <v>3161</v>
      </c>
      <c r="N822" s="13">
        <v>1.0</v>
      </c>
      <c r="O822" s="13" t="s">
        <v>3162</v>
      </c>
      <c r="P822" s="13" t="s">
        <v>33</v>
      </c>
      <c r="Q822" s="13" t="s">
        <v>3159</v>
      </c>
      <c r="R822" s="13" t="s">
        <v>3163</v>
      </c>
      <c r="S822" s="13" t="s">
        <v>33</v>
      </c>
      <c r="T822" s="13" t="s">
        <v>3164</v>
      </c>
      <c r="U822" s="13" t="s">
        <v>3164</v>
      </c>
      <c r="V822" s="13" t="s">
        <v>3166</v>
      </c>
      <c r="W822" s="13" t="s">
        <v>3167</v>
      </c>
      <c r="X822" s="13" t="s">
        <v>3324</v>
      </c>
    </row>
    <row r="823" ht="14.25" customHeight="1">
      <c r="A823" s="13">
        <v>25422.0</v>
      </c>
      <c r="B823" s="13" t="s">
        <v>2365</v>
      </c>
      <c r="C823" s="13">
        <v>2013.0</v>
      </c>
      <c r="D823" s="13" t="s">
        <v>3153</v>
      </c>
      <c r="E823" s="13" t="s">
        <v>3169</v>
      </c>
      <c r="F823" s="13" t="s">
        <v>3170</v>
      </c>
      <c r="G823" s="13" t="s">
        <v>3156</v>
      </c>
      <c r="H823" s="13" t="s">
        <v>33</v>
      </c>
      <c r="I823" s="13" t="s">
        <v>3157</v>
      </c>
      <c r="J823" s="13" t="s">
        <v>3307</v>
      </c>
      <c r="K823" s="13" t="s">
        <v>3159</v>
      </c>
      <c r="L823" s="13" t="s">
        <v>3160</v>
      </c>
      <c r="M823" s="13" t="s">
        <v>3331</v>
      </c>
      <c r="N823" s="13">
        <v>1.0</v>
      </c>
      <c r="O823" s="13" t="s">
        <v>3162</v>
      </c>
      <c r="P823" s="13" t="s">
        <v>33</v>
      </c>
      <c r="Q823" s="13" t="s">
        <v>3159</v>
      </c>
      <c r="R823" s="13" t="s">
        <v>3163</v>
      </c>
      <c r="S823" s="13" t="s">
        <v>33</v>
      </c>
      <c r="T823" s="13" t="s">
        <v>3164</v>
      </c>
      <c r="U823" s="13" t="s">
        <v>3228</v>
      </c>
      <c r="V823" s="13" t="s">
        <v>3166</v>
      </c>
      <c r="W823" s="13" t="s">
        <v>3167</v>
      </c>
      <c r="X823" s="13" t="s">
        <v>3178</v>
      </c>
    </row>
    <row r="824" ht="14.25" customHeight="1">
      <c r="A824" s="13">
        <v>25431.0</v>
      </c>
      <c r="B824" s="13" t="s">
        <v>1155</v>
      </c>
      <c r="C824" s="13">
        <v>2019.0</v>
      </c>
      <c r="D824" s="13" t="s">
        <v>3153</v>
      </c>
      <c r="E824" s="13" t="s">
        <v>3179</v>
      </c>
      <c r="F824" s="13" t="s">
        <v>3155</v>
      </c>
      <c r="G824" s="13" t="s">
        <v>3187</v>
      </c>
      <c r="H824" s="13">
        <v>1.0</v>
      </c>
      <c r="I824" s="13" t="s">
        <v>3264</v>
      </c>
      <c r="J824" s="13" t="s">
        <v>3625</v>
      </c>
      <c r="K824" s="13" t="s">
        <v>3183</v>
      </c>
      <c r="L824" s="13" t="s">
        <v>3160</v>
      </c>
      <c r="M824" s="13" t="s">
        <v>3342</v>
      </c>
      <c r="N824" s="13">
        <v>1.0</v>
      </c>
      <c r="O824" s="13" t="s">
        <v>3162</v>
      </c>
      <c r="P824" s="13" t="s">
        <v>3724</v>
      </c>
      <c r="Q824" s="13" t="s">
        <v>3186</v>
      </c>
      <c r="R824" s="13" t="s">
        <v>3231</v>
      </c>
      <c r="S824" s="13" t="s">
        <v>33</v>
      </c>
      <c r="T824" s="13" t="s">
        <v>3247</v>
      </c>
      <c r="U824" s="13" t="s">
        <v>3247</v>
      </c>
      <c r="V824" s="13" t="s">
        <v>3166</v>
      </c>
      <c r="W824" s="13" t="s">
        <v>3167</v>
      </c>
      <c r="X824" s="13" t="s">
        <v>3597</v>
      </c>
    </row>
    <row r="825" ht="14.25" customHeight="1">
      <c r="A825" s="13">
        <v>25435.0</v>
      </c>
      <c r="B825" s="13" t="s">
        <v>2314</v>
      </c>
      <c r="C825" s="13">
        <v>2019.0</v>
      </c>
      <c r="D825" s="13" t="s">
        <v>3153</v>
      </c>
      <c r="E825" s="13" t="s">
        <v>3179</v>
      </c>
      <c r="F825" s="13" t="s">
        <v>3192</v>
      </c>
      <c r="G825" s="13" t="s">
        <v>3156</v>
      </c>
      <c r="H825" s="13" t="s">
        <v>33</v>
      </c>
      <c r="I825" s="13" t="s">
        <v>3249</v>
      </c>
      <c r="J825" s="13" t="s">
        <v>3199</v>
      </c>
      <c r="K825" s="13" t="s">
        <v>3159</v>
      </c>
      <c r="L825" s="13" t="s">
        <v>3160</v>
      </c>
      <c r="M825" s="13" t="s">
        <v>3196</v>
      </c>
      <c r="N825" s="13">
        <v>1.0</v>
      </c>
      <c r="O825" s="13" t="s">
        <v>3162</v>
      </c>
      <c r="P825" s="13" t="s">
        <v>33</v>
      </c>
      <c r="Q825" s="13" t="s">
        <v>3210</v>
      </c>
      <c r="R825" s="13" t="s">
        <v>3163</v>
      </c>
      <c r="S825" s="13" t="s">
        <v>4238</v>
      </c>
      <c r="T825" s="13" t="s">
        <v>3195</v>
      </c>
      <c r="U825" s="13" t="s">
        <v>3195</v>
      </c>
      <c r="V825" s="13" t="s">
        <v>3195</v>
      </c>
      <c r="W825" s="13" t="s">
        <v>3167</v>
      </c>
      <c r="X825" s="13" t="s">
        <v>3167</v>
      </c>
    </row>
    <row r="826" ht="14.25" customHeight="1">
      <c r="A826" s="13">
        <v>25437.0</v>
      </c>
      <c r="B826" s="13" t="s">
        <v>893</v>
      </c>
      <c r="C826" s="13">
        <v>2006.0</v>
      </c>
      <c r="D826" s="13" t="s">
        <v>3153</v>
      </c>
      <c r="E826" s="13" t="s">
        <v>3169</v>
      </c>
      <c r="F826" s="13" t="s">
        <v>3170</v>
      </c>
      <c r="G826" s="13" t="s">
        <v>3202</v>
      </c>
      <c r="H826" s="13">
        <v>100.0</v>
      </c>
      <c r="I826" s="13" t="s">
        <v>3157</v>
      </c>
      <c r="J826" s="13" t="s">
        <v>3240</v>
      </c>
      <c r="K826" s="13" t="s">
        <v>3183</v>
      </c>
      <c r="L826" s="13" t="s">
        <v>3160</v>
      </c>
      <c r="M826" s="13" t="s">
        <v>3161</v>
      </c>
      <c r="N826" s="13">
        <v>1.0</v>
      </c>
      <c r="O826" s="13" t="s">
        <v>3162</v>
      </c>
      <c r="P826" s="13" t="s">
        <v>4239</v>
      </c>
      <c r="Q826" s="13" t="s">
        <v>3183</v>
      </c>
      <c r="R826" s="13" t="s">
        <v>3231</v>
      </c>
      <c r="S826" s="13" t="s">
        <v>4239</v>
      </c>
      <c r="T826" s="13" t="s">
        <v>3164</v>
      </c>
      <c r="U826" s="13" t="s">
        <v>3164</v>
      </c>
      <c r="V826" s="13" t="s">
        <v>3166</v>
      </c>
      <c r="W826" s="13" t="s">
        <v>3167</v>
      </c>
      <c r="X826" s="13" t="s">
        <v>3178</v>
      </c>
    </row>
    <row r="827" ht="14.25" customHeight="1">
      <c r="A827" s="13">
        <v>25438.0</v>
      </c>
      <c r="B827" s="13" t="s">
        <v>2244</v>
      </c>
      <c r="C827" s="13">
        <v>2020.0</v>
      </c>
      <c r="D827" s="13" t="s">
        <v>3153</v>
      </c>
      <c r="E827" s="13" t="s">
        <v>3169</v>
      </c>
      <c r="F827" s="13" t="s">
        <v>3155</v>
      </c>
      <c r="G827" s="13" t="s">
        <v>3156</v>
      </c>
      <c r="H827" s="13" t="s">
        <v>33</v>
      </c>
      <c r="I827" s="13" t="s">
        <v>3157</v>
      </c>
      <c r="J827" s="13" t="s">
        <v>3307</v>
      </c>
      <c r="K827" s="13" t="s">
        <v>3186</v>
      </c>
      <c r="L827" s="13" t="s">
        <v>3177</v>
      </c>
      <c r="M827" s="13" t="s">
        <v>3230</v>
      </c>
      <c r="N827" s="13">
        <v>1.0</v>
      </c>
      <c r="O827" s="13" t="s">
        <v>3162</v>
      </c>
      <c r="P827" s="13" t="s">
        <v>4240</v>
      </c>
      <c r="Q827" s="13" t="s">
        <v>3338</v>
      </c>
      <c r="R827" s="13" t="s">
        <v>3163</v>
      </c>
      <c r="S827" s="13" t="s">
        <v>4240</v>
      </c>
      <c r="T827" s="13" t="s">
        <v>3164</v>
      </c>
      <c r="U827" s="13" t="s">
        <v>3164</v>
      </c>
      <c r="V827" s="13" t="s">
        <v>3166</v>
      </c>
      <c r="W827" s="13" t="s">
        <v>3167</v>
      </c>
      <c r="X827" s="13" t="s">
        <v>3178</v>
      </c>
    </row>
    <row r="828" ht="14.25" customHeight="1">
      <c r="A828" s="13">
        <v>25442.0</v>
      </c>
      <c r="B828" s="13" t="s">
        <v>2173</v>
      </c>
      <c r="C828" s="13">
        <v>2008.0</v>
      </c>
      <c r="D828" s="13" t="s">
        <v>3153</v>
      </c>
      <c r="E828" s="13" t="s">
        <v>3169</v>
      </c>
      <c r="F828" s="13" t="s">
        <v>3155</v>
      </c>
      <c r="G828" s="13" t="s">
        <v>3156</v>
      </c>
      <c r="H828" s="13" t="s">
        <v>33</v>
      </c>
      <c r="I828" s="13" t="s">
        <v>3157</v>
      </c>
      <c r="J828" s="13" t="s">
        <v>3240</v>
      </c>
      <c r="K828" s="13" t="s">
        <v>3159</v>
      </c>
      <c r="L828" s="13" t="s">
        <v>3177</v>
      </c>
      <c r="M828" s="13" t="s">
        <v>3161</v>
      </c>
      <c r="N828" s="13">
        <v>1.0</v>
      </c>
      <c r="O828" s="13" t="s">
        <v>3162</v>
      </c>
      <c r="P828" s="13" t="s">
        <v>33</v>
      </c>
      <c r="Q828" s="13" t="s">
        <v>3159</v>
      </c>
      <c r="R828" s="13" t="s">
        <v>3163</v>
      </c>
      <c r="S828" s="13" t="s">
        <v>33</v>
      </c>
      <c r="T828" s="13" t="s">
        <v>3164</v>
      </c>
      <c r="U828" s="13" t="s">
        <v>3164</v>
      </c>
      <c r="V828" s="13" t="s">
        <v>3166</v>
      </c>
      <c r="W828" s="13" t="s">
        <v>3167</v>
      </c>
      <c r="X828" s="13" t="s">
        <v>3178</v>
      </c>
    </row>
    <row r="829" ht="14.25" customHeight="1">
      <c r="A829" s="13">
        <v>25443.0</v>
      </c>
      <c r="B829" s="13" t="s">
        <v>2892</v>
      </c>
      <c r="C829" s="13">
        <v>2016.0</v>
      </c>
      <c r="D829" s="13" t="s">
        <v>3153</v>
      </c>
      <c r="E829" s="13" t="s">
        <v>3169</v>
      </c>
      <c r="F829" s="13" t="s">
        <v>3170</v>
      </c>
      <c r="G829" s="13" t="s">
        <v>3156</v>
      </c>
      <c r="H829" s="13" t="s">
        <v>33</v>
      </c>
      <c r="I829" s="13" t="s">
        <v>3188</v>
      </c>
      <c r="J829" s="13" t="s">
        <v>3913</v>
      </c>
      <c r="K829" s="13" t="s">
        <v>3186</v>
      </c>
      <c r="L829" s="13" t="s">
        <v>3160</v>
      </c>
      <c r="M829" s="13" t="s">
        <v>4241</v>
      </c>
      <c r="N829" s="13">
        <v>3.0</v>
      </c>
      <c r="O829" s="13" t="s">
        <v>3162</v>
      </c>
      <c r="P829" s="13" t="s">
        <v>33</v>
      </c>
      <c r="Q829" s="13" t="s">
        <v>3159</v>
      </c>
      <c r="R829" s="13" t="s">
        <v>3163</v>
      </c>
      <c r="S829" s="13" t="s">
        <v>33</v>
      </c>
      <c r="T829" s="13" t="s">
        <v>3164</v>
      </c>
      <c r="U829" s="13" t="s">
        <v>3164</v>
      </c>
      <c r="V829" s="13" t="s">
        <v>3166</v>
      </c>
      <c r="W829" s="13" t="s">
        <v>3167</v>
      </c>
      <c r="X829" s="13" t="s">
        <v>3178</v>
      </c>
    </row>
    <row r="830" ht="14.25" customHeight="1">
      <c r="A830" s="13">
        <v>25444.0</v>
      </c>
      <c r="B830" s="13" t="s">
        <v>1743</v>
      </c>
      <c r="C830" s="13">
        <v>2003.0</v>
      </c>
      <c r="D830" s="13" t="s">
        <v>3153</v>
      </c>
      <c r="E830" s="13" t="s">
        <v>3465</v>
      </c>
      <c r="F830" s="13" t="s">
        <v>3170</v>
      </c>
      <c r="G830" s="13" t="s">
        <v>33</v>
      </c>
      <c r="H830" s="13" t="s">
        <v>33</v>
      </c>
      <c r="I830" s="13" t="s">
        <v>3188</v>
      </c>
      <c r="J830" s="13" t="s">
        <v>3207</v>
      </c>
      <c r="K830" s="13" t="s">
        <v>3208</v>
      </c>
      <c r="L830" s="13" t="s">
        <v>3160</v>
      </c>
      <c r="M830" s="13" t="s">
        <v>4181</v>
      </c>
      <c r="N830" s="13">
        <v>3.0</v>
      </c>
      <c r="O830" s="13" t="s">
        <v>3162</v>
      </c>
      <c r="P830" s="13" t="s">
        <v>33</v>
      </c>
      <c r="Q830" s="13" t="s">
        <v>3208</v>
      </c>
      <c r="R830" s="13" t="s">
        <v>3163</v>
      </c>
      <c r="S830" s="13" t="s">
        <v>33</v>
      </c>
      <c r="T830" s="13" t="s">
        <v>3197</v>
      </c>
      <c r="U830" s="13" t="s">
        <v>3197</v>
      </c>
      <c r="V830" s="13" t="s">
        <v>3242</v>
      </c>
      <c r="W830" s="13" t="s">
        <v>3481</v>
      </c>
      <c r="X830" s="13" t="s">
        <v>3167</v>
      </c>
    </row>
    <row r="831" ht="14.25" customHeight="1">
      <c r="A831" s="13">
        <v>25447.0</v>
      </c>
      <c r="B831" s="13" t="s">
        <v>1684</v>
      </c>
      <c r="C831" s="13">
        <v>2018.0</v>
      </c>
      <c r="D831" s="13" t="s">
        <v>3153</v>
      </c>
      <c r="E831" s="13" t="s">
        <v>3154</v>
      </c>
      <c r="F831" s="13" t="s">
        <v>3192</v>
      </c>
      <c r="G831" s="13" t="s">
        <v>3156</v>
      </c>
      <c r="H831" s="13" t="s">
        <v>33</v>
      </c>
      <c r="I831" s="13" t="s">
        <v>3244</v>
      </c>
      <c r="J831" s="13" t="s">
        <v>3289</v>
      </c>
      <c r="K831" s="13" t="s">
        <v>3159</v>
      </c>
      <c r="L831" s="13" t="s">
        <v>3160</v>
      </c>
      <c r="M831" s="13" t="s">
        <v>3161</v>
      </c>
      <c r="N831" s="13">
        <v>1.0</v>
      </c>
      <c r="O831" s="13" t="s">
        <v>3162</v>
      </c>
      <c r="P831" s="13" t="s">
        <v>33</v>
      </c>
      <c r="Q831" s="13" t="s">
        <v>3159</v>
      </c>
      <c r="R831" s="13" t="s">
        <v>3163</v>
      </c>
      <c r="S831" s="13" t="s">
        <v>33</v>
      </c>
      <c r="T831" s="13" t="s">
        <v>3164</v>
      </c>
      <c r="U831" s="13" t="s">
        <v>3164</v>
      </c>
      <c r="V831" s="13" t="s">
        <v>3166</v>
      </c>
      <c r="W831" s="13" t="s">
        <v>3167</v>
      </c>
      <c r="X831" s="13" t="s">
        <v>3225</v>
      </c>
    </row>
    <row r="832" ht="14.25" customHeight="1">
      <c r="A832" s="13">
        <v>25449.0</v>
      </c>
      <c r="B832" s="13" t="s">
        <v>909</v>
      </c>
      <c r="C832" s="13">
        <v>2018.0</v>
      </c>
      <c r="D832" s="13" t="s">
        <v>3153</v>
      </c>
      <c r="E832" s="13" t="s">
        <v>3179</v>
      </c>
      <c r="F832" s="13" t="s">
        <v>3192</v>
      </c>
      <c r="G832" s="13" t="s">
        <v>3187</v>
      </c>
      <c r="H832" s="13">
        <v>289.0</v>
      </c>
      <c r="I832" s="13" t="s">
        <v>3181</v>
      </c>
      <c r="J832" s="13" t="s">
        <v>3182</v>
      </c>
      <c r="K832" s="13" t="s">
        <v>3183</v>
      </c>
      <c r="L832" s="13" t="s">
        <v>3177</v>
      </c>
      <c r="M832" s="13" t="s">
        <v>3342</v>
      </c>
      <c r="N832" s="13">
        <v>1.0</v>
      </c>
      <c r="O832" s="13" t="s">
        <v>3162</v>
      </c>
      <c r="P832" s="13" t="s">
        <v>4242</v>
      </c>
      <c r="Q832" s="13" t="s">
        <v>3159</v>
      </c>
      <c r="R832" s="13" t="s">
        <v>3163</v>
      </c>
      <c r="S832" s="13" t="s">
        <v>33</v>
      </c>
      <c r="T832" s="13" t="s">
        <v>3164</v>
      </c>
      <c r="U832" s="13" t="s">
        <v>3232</v>
      </c>
      <c r="V832" s="13" t="s">
        <v>3166</v>
      </c>
      <c r="W832" s="13" t="s">
        <v>3167</v>
      </c>
      <c r="X832" s="13" t="s">
        <v>3168</v>
      </c>
    </row>
    <row r="833" ht="14.25" customHeight="1">
      <c r="A833" s="13">
        <v>25454.0</v>
      </c>
      <c r="B833" s="13" t="s">
        <v>1786</v>
      </c>
      <c r="C833" s="13">
        <v>2012.0</v>
      </c>
      <c r="D833" s="13" t="s">
        <v>3153</v>
      </c>
      <c r="E833" s="13" t="s">
        <v>3179</v>
      </c>
      <c r="F833" s="13" t="s">
        <v>3170</v>
      </c>
      <c r="G833" s="13" t="s">
        <v>3156</v>
      </c>
      <c r="H833" s="13" t="s">
        <v>33</v>
      </c>
      <c r="I833" s="13" t="s">
        <v>3181</v>
      </c>
      <c r="J833" s="13" t="s">
        <v>3182</v>
      </c>
      <c r="K833" s="13" t="s">
        <v>3186</v>
      </c>
      <c r="L833" s="13" t="s">
        <v>3177</v>
      </c>
      <c r="M833" s="13" t="s">
        <v>4243</v>
      </c>
      <c r="N833" s="13">
        <v>2.0</v>
      </c>
      <c r="O833" s="13" t="s">
        <v>3162</v>
      </c>
      <c r="P833" s="13" t="s">
        <v>33</v>
      </c>
      <c r="Q833" s="13" t="s">
        <v>3186</v>
      </c>
      <c r="R833" s="13" t="s">
        <v>3177</v>
      </c>
      <c r="S833" s="13" t="s">
        <v>33</v>
      </c>
      <c r="T833" s="13" t="s">
        <v>3164</v>
      </c>
      <c r="U833" s="13" t="s">
        <v>3232</v>
      </c>
      <c r="V833" s="13" t="s">
        <v>3166</v>
      </c>
      <c r="W833" s="13" t="s">
        <v>3167</v>
      </c>
      <c r="X833" s="13" t="s">
        <v>3225</v>
      </c>
    </row>
    <row r="834" ht="14.25" customHeight="1">
      <c r="A834" s="13">
        <v>25461.0</v>
      </c>
      <c r="B834" s="13" t="s">
        <v>1194</v>
      </c>
      <c r="C834" s="13">
        <v>2008.0</v>
      </c>
      <c r="D834" s="13" t="s">
        <v>3153</v>
      </c>
      <c r="E834" s="13" t="s">
        <v>3169</v>
      </c>
      <c r="F834" s="13" t="s">
        <v>3192</v>
      </c>
      <c r="G834" s="13" t="s">
        <v>3187</v>
      </c>
      <c r="H834" s="13">
        <v>20.0</v>
      </c>
      <c r="I834" s="13" t="s">
        <v>3244</v>
      </c>
      <c r="J834" s="13" t="s">
        <v>3463</v>
      </c>
      <c r="K834" s="13" t="s">
        <v>3333</v>
      </c>
      <c r="L834" s="13" t="s">
        <v>3177</v>
      </c>
      <c r="M834" s="13" t="s">
        <v>3391</v>
      </c>
      <c r="N834" s="13">
        <v>1.0</v>
      </c>
      <c r="O834" s="13" t="s">
        <v>3162</v>
      </c>
      <c r="P834" s="13" t="s">
        <v>33</v>
      </c>
      <c r="Q834" s="13" t="s">
        <v>3173</v>
      </c>
      <c r="R834" s="13" t="s">
        <v>3177</v>
      </c>
      <c r="S834" s="13" t="s">
        <v>33</v>
      </c>
      <c r="T834" s="13" t="s">
        <v>3164</v>
      </c>
      <c r="U834" s="13" t="s">
        <v>3164</v>
      </c>
      <c r="V834" s="13" t="s">
        <v>3166</v>
      </c>
      <c r="W834" s="13" t="s">
        <v>3167</v>
      </c>
      <c r="X834" s="13" t="s">
        <v>3178</v>
      </c>
    </row>
    <row r="835" ht="14.25" customHeight="1">
      <c r="A835" s="13">
        <v>25464.0</v>
      </c>
      <c r="B835" s="13" t="s">
        <v>456</v>
      </c>
      <c r="C835" s="13">
        <v>2013.0</v>
      </c>
      <c r="D835" s="13" t="s">
        <v>3153</v>
      </c>
      <c r="E835" s="13" t="s">
        <v>3179</v>
      </c>
      <c r="F835" s="13" t="s">
        <v>3170</v>
      </c>
      <c r="G835" s="13" t="s">
        <v>3156</v>
      </c>
      <c r="H835" s="13" t="s">
        <v>3167</v>
      </c>
      <c r="I835" s="13" t="s">
        <v>3261</v>
      </c>
      <c r="J835" s="13" t="s">
        <v>4244</v>
      </c>
      <c r="K835" s="13" t="s">
        <v>3159</v>
      </c>
      <c r="L835" s="13" t="s">
        <v>3177</v>
      </c>
      <c r="M835" s="13" t="s">
        <v>3342</v>
      </c>
      <c r="N835" s="13">
        <v>1.0</v>
      </c>
      <c r="O835" s="13" t="s">
        <v>3162</v>
      </c>
      <c r="P835" s="13" t="s">
        <v>3167</v>
      </c>
      <c r="Q835" s="13" t="s">
        <v>3159</v>
      </c>
      <c r="R835" s="13" t="s">
        <v>3260</v>
      </c>
      <c r="S835" s="13" t="s">
        <v>33</v>
      </c>
      <c r="T835" s="13" t="s">
        <v>3164</v>
      </c>
      <c r="U835" s="13" t="s">
        <v>3247</v>
      </c>
      <c r="V835" s="13" t="s">
        <v>3166</v>
      </c>
      <c r="W835" s="13" t="s">
        <v>3167</v>
      </c>
      <c r="X835" s="13" t="s">
        <v>3620</v>
      </c>
    </row>
    <row r="836" ht="14.25" customHeight="1">
      <c r="A836" s="13">
        <v>25469.0</v>
      </c>
      <c r="B836" s="13" t="s">
        <v>1391</v>
      </c>
      <c r="C836" s="13">
        <v>2017.0</v>
      </c>
      <c r="D836" s="13" t="s">
        <v>3153</v>
      </c>
      <c r="E836" s="13" t="s">
        <v>3179</v>
      </c>
      <c r="F836" s="13" t="s">
        <v>3192</v>
      </c>
      <c r="G836" s="13" t="s">
        <v>3187</v>
      </c>
      <c r="H836" s="13">
        <v>4500.0</v>
      </c>
      <c r="I836" s="13" t="s">
        <v>3181</v>
      </c>
      <c r="J836" s="13" t="s">
        <v>3182</v>
      </c>
      <c r="K836" s="13" t="s">
        <v>3183</v>
      </c>
      <c r="L836" s="13" t="s">
        <v>3177</v>
      </c>
      <c r="M836" s="13" t="s">
        <v>3342</v>
      </c>
      <c r="N836" s="13">
        <v>2.0</v>
      </c>
      <c r="O836" s="13" t="s">
        <v>3162</v>
      </c>
      <c r="P836" s="13" t="s">
        <v>4245</v>
      </c>
      <c r="Q836" s="13" t="s">
        <v>3183</v>
      </c>
      <c r="R836" s="13" t="s">
        <v>3177</v>
      </c>
      <c r="S836" s="13" t="s">
        <v>4245</v>
      </c>
      <c r="T836" s="13" t="s">
        <v>3164</v>
      </c>
      <c r="U836" s="13" t="s">
        <v>3247</v>
      </c>
      <c r="V836" s="13" t="s">
        <v>3166</v>
      </c>
      <c r="W836" s="13" t="s">
        <v>3167</v>
      </c>
      <c r="X836" s="13" t="s">
        <v>4246</v>
      </c>
    </row>
    <row r="837" ht="14.25" customHeight="1">
      <c r="A837" s="13">
        <v>25470.0</v>
      </c>
      <c r="B837" s="13" t="s">
        <v>1391</v>
      </c>
      <c r="C837" s="13">
        <v>2020.0</v>
      </c>
      <c r="D837" s="13" t="s">
        <v>3153</v>
      </c>
      <c r="E837" s="13" t="s">
        <v>3179</v>
      </c>
      <c r="F837" s="13" t="s">
        <v>3192</v>
      </c>
      <c r="G837" s="13" t="s">
        <v>3187</v>
      </c>
      <c r="H837" s="13">
        <v>25.0</v>
      </c>
      <c r="I837" s="13" t="s">
        <v>3181</v>
      </c>
      <c r="J837" s="13" t="s">
        <v>3182</v>
      </c>
      <c r="K837" s="13" t="s">
        <v>3183</v>
      </c>
      <c r="L837" s="13" t="s">
        <v>3177</v>
      </c>
      <c r="M837" s="13" t="s">
        <v>4247</v>
      </c>
      <c r="N837" s="13">
        <v>2.0</v>
      </c>
      <c r="O837" s="13" t="s">
        <v>3162</v>
      </c>
      <c r="P837" s="13" t="s">
        <v>4248</v>
      </c>
      <c r="Q837" s="13" t="s">
        <v>3183</v>
      </c>
      <c r="R837" s="13" t="s">
        <v>3163</v>
      </c>
      <c r="S837" s="13" t="s">
        <v>3774</v>
      </c>
      <c r="T837" s="13" t="s">
        <v>3165</v>
      </c>
      <c r="U837" s="13" t="s">
        <v>3165</v>
      </c>
      <c r="V837" s="13" t="s">
        <v>3166</v>
      </c>
      <c r="W837" s="13" t="s">
        <v>3167</v>
      </c>
      <c r="X837" s="13" t="s">
        <v>3178</v>
      </c>
    </row>
    <row r="838" ht="14.25" customHeight="1">
      <c r="A838" s="13">
        <v>25473.0</v>
      </c>
      <c r="B838" s="13" t="s">
        <v>2381</v>
      </c>
      <c r="C838" s="13">
        <v>2013.0</v>
      </c>
      <c r="D838" s="13" t="s">
        <v>3153</v>
      </c>
      <c r="E838" s="13" t="s">
        <v>3169</v>
      </c>
      <c r="F838" s="13" t="s">
        <v>3170</v>
      </c>
      <c r="G838" s="13" t="s">
        <v>3156</v>
      </c>
      <c r="H838" s="13" t="s">
        <v>3202</v>
      </c>
      <c r="I838" s="13" t="s">
        <v>3157</v>
      </c>
      <c r="J838" s="13" t="s">
        <v>3570</v>
      </c>
      <c r="K838" s="13" t="s">
        <v>3381</v>
      </c>
      <c r="L838" s="13" t="s">
        <v>3177</v>
      </c>
      <c r="M838" s="13" t="s">
        <v>3230</v>
      </c>
      <c r="N838" s="13">
        <v>1.0</v>
      </c>
      <c r="O838" s="13" t="s">
        <v>3162</v>
      </c>
      <c r="P838" s="13" t="s">
        <v>3167</v>
      </c>
      <c r="Q838" s="13" t="s">
        <v>3159</v>
      </c>
      <c r="R838" s="13" t="s">
        <v>3260</v>
      </c>
      <c r="S838" s="13" t="s">
        <v>33</v>
      </c>
      <c r="T838" s="13" t="s">
        <v>3164</v>
      </c>
      <c r="U838" s="13" t="s">
        <v>3164</v>
      </c>
      <c r="V838" s="13" t="s">
        <v>3166</v>
      </c>
      <c r="W838" s="13" t="s">
        <v>3167</v>
      </c>
      <c r="X838" s="13" t="s">
        <v>3224</v>
      </c>
    </row>
    <row r="839" ht="14.25" customHeight="1">
      <c r="A839" s="13">
        <v>25474.0</v>
      </c>
      <c r="B839" s="13" t="s">
        <v>2381</v>
      </c>
      <c r="C839" s="13">
        <v>2013.0</v>
      </c>
      <c r="D839" s="13" t="s">
        <v>3153</v>
      </c>
      <c r="E839" s="13" t="s">
        <v>3169</v>
      </c>
      <c r="F839" s="13" t="s">
        <v>3192</v>
      </c>
      <c r="G839" s="13" t="s">
        <v>3156</v>
      </c>
      <c r="H839" s="13" t="s">
        <v>3202</v>
      </c>
      <c r="I839" s="13" t="s">
        <v>3157</v>
      </c>
      <c r="J839" s="13" t="s">
        <v>3570</v>
      </c>
      <c r="K839" s="13" t="s">
        <v>3381</v>
      </c>
      <c r="L839" s="13" t="s">
        <v>3177</v>
      </c>
      <c r="M839" s="13" t="s">
        <v>3331</v>
      </c>
      <c r="N839" s="13">
        <v>1.0</v>
      </c>
      <c r="O839" s="13" t="s">
        <v>3162</v>
      </c>
      <c r="P839" s="13" t="s">
        <v>3724</v>
      </c>
      <c r="Q839" s="13" t="s">
        <v>3183</v>
      </c>
      <c r="R839" s="13" t="s">
        <v>3231</v>
      </c>
      <c r="S839" s="13" t="s">
        <v>33</v>
      </c>
      <c r="T839" s="13" t="s">
        <v>3164</v>
      </c>
      <c r="U839" s="13" t="s">
        <v>3228</v>
      </c>
      <c r="V839" s="13" t="s">
        <v>3166</v>
      </c>
      <c r="W839" s="13" t="s">
        <v>3167</v>
      </c>
      <c r="X839" s="13" t="s">
        <v>3178</v>
      </c>
    </row>
    <row r="840" ht="14.25" customHeight="1">
      <c r="A840" s="13">
        <v>25482.0</v>
      </c>
      <c r="B840" s="13" t="s">
        <v>2861</v>
      </c>
      <c r="C840" s="13">
        <v>2011.0</v>
      </c>
      <c r="D840" s="13" t="s">
        <v>3153</v>
      </c>
      <c r="E840" s="13" t="s">
        <v>3169</v>
      </c>
      <c r="F840" s="13" t="s">
        <v>3170</v>
      </c>
      <c r="G840" s="13" t="s">
        <v>3156</v>
      </c>
      <c r="H840" s="13" t="s">
        <v>33</v>
      </c>
      <c r="I840" s="13" t="s">
        <v>3244</v>
      </c>
      <c r="J840" s="13" t="s">
        <v>3289</v>
      </c>
      <c r="K840" s="13" t="s">
        <v>3159</v>
      </c>
      <c r="L840" s="13" t="s">
        <v>3177</v>
      </c>
      <c r="M840" s="13" t="s">
        <v>3426</v>
      </c>
      <c r="N840" s="13">
        <v>1.0</v>
      </c>
      <c r="O840" s="13" t="s">
        <v>3162</v>
      </c>
      <c r="P840" s="13" t="s">
        <v>33</v>
      </c>
      <c r="Q840" s="13" t="s">
        <v>3159</v>
      </c>
      <c r="R840" s="13" t="s">
        <v>3177</v>
      </c>
      <c r="S840" s="13" t="s">
        <v>33</v>
      </c>
      <c r="T840" s="13" t="s">
        <v>3164</v>
      </c>
      <c r="U840" s="13" t="s">
        <v>3232</v>
      </c>
      <c r="V840" s="13" t="s">
        <v>3242</v>
      </c>
      <c r="W840" s="13" t="s">
        <v>3377</v>
      </c>
      <c r="X840" s="13" t="s">
        <v>3167</v>
      </c>
    </row>
    <row r="841" ht="14.25" customHeight="1">
      <c r="A841" s="13">
        <v>25487.0</v>
      </c>
      <c r="B841" s="13" t="s">
        <v>280</v>
      </c>
      <c r="C841" s="13">
        <v>2015.0</v>
      </c>
      <c r="D841" s="13" t="s">
        <v>3153</v>
      </c>
      <c r="E841" s="13" t="s">
        <v>3154</v>
      </c>
      <c r="F841" s="13" t="s">
        <v>3170</v>
      </c>
      <c r="G841" s="13" t="s">
        <v>3156</v>
      </c>
      <c r="H841" s="13" t="s">
        <v>33</v>
      </c>
      <c r="I841" s="13" t="s">
        <v>3157</v>
      </c>
      <c r="J841" s="13" t="s">
        <v>3924</v>
      </c>
      <c r="K841" s="13" t="s">
        <v>3159</v>
      </c>
      <c r="L841" s="13" t="s">
        <v>3160</v>
      </c>
      <c r="M841" s="13" t="s">
        <v>3161</v>
      </c>
      <c r="N841" s="13">
        <v>1.0</v>
      </c>
      <c r="O841" s="13" t="s">
        <v>3162</v>
      </c>
      <c r="P841" s="13" t="s">
        <v>33</v>
      </c>
      <c r="Q841" s="13" t="s">
        <v>3159</v>
      </c>
      <c r="R841" s="13" t="s">
        <v>3163</v>
      </c>
      <c r="S841" s="13" t="s">
        <v>33</v>
      </c>
      <c r="T841" s="13" t="s">
        <v>3165</v>
      </c>
      <c r="U841" s="13" t="s">
        <v>3165</v>
      </c>
      <c r="V841" s="13" t="s">
        <v>3166</v>
      </c>
      <c r="W841" s="13" t="s">
        <v>3167</v>
      </c>
      <c r="X841" s="13" t="s">
        <v>3324</v>
      </c>
    </row>
    <row r="842" ht="14.25" customHeight="1">
      <c r="A842" s="13">
        <v>25488.0</v>
      </c>
      <c r="B842" s="13" t="s">
        <v>280</v>
      </c>
      <c r="C842" s="13">
        <v>2019.0</v>
      </c>
      <c r="D842" s="13" t="s">
        <v>3153</v>
      </c>
      <c r="E842" s="13" t="s">
        <v>3465</v>
      </c>
      <c r="F842" s="13" t="s">
        <v>3217</v>
      </c>
      <c r="G842" s="13" t="s">
        <v>3156</v>
      </c>
      <c r="H842" s="13" t="s">
        <v>33</v>
      </c>
      <c r="I842" s="13" t="s">
        <v>3167</v>
      </c>
      <c r="J842" s="13" t="s">
        <v>3167</v>
      </c>
      <c r="K842" s="13" t="s">
        <v>3370</v>
      </c>
      <c r="L842" s="13" t="s">
        <v>3160</v>
      </c>
      <c r="M842" s="13" t="s">
        <v>3161</v>
      </c>
      <c r="N842" s="13">
        <v>1.0</v>
      </c>
      <c r="O842" s="13" t="s">
        <v>3162</v>
      </c>
      <c r="P842" s="13" t="s">
        <v>33</v>
      </c>
      <c r="Q842" s="13" t="s">
        <v>3370</v>
      </c>
      <c r="R842" s="13" t="s">
        <v>3163</v>
      </c>
      <c r="S842" s="13" t="s">
        <v>33</v>
      </c>
      <c r="T842" s="13" t="s">
        <v>3232</v>
      </c>
      <c r="U842" s="13" t="s">
        <v>3232</v>
      </c>
      <c r="V842" s="13" t="s">
        <v>3166</v>
      </c>
      <c r="W842" s="13" t="s">
        <v>3167</v>
      </c>
      <c r="X842" s="13" t="s">
        <v>3324</v>
      </c>
    </row>
    <row r="843" ht="14.25" customHeight="1">
      <c r="A843" s="13">
        <v>25493.0</v>
      </c>
      <c r="B843" s="13" t="s">
        <v>2234</v>
      </c>
      <c r="C843" s="13">
        <v>2013.0</v>
      </c>
      <c r="D843" s="13" t="s">
        <v>3153</v>
      </c>
      <c r="E843" s="13" t="s">
        <v>3154</v>
      </c>
      <c r="F843" s="13" t="s">
        <v>3284</v>
      </c>
      <c r="G843" s="13" t="s">
        <v>3156</v>
      </c>
      <c r="H843" s="13" t="s">
        <v>33</v>
      </c>
      <c r="I843" s="13" t="s">
        <v>3157</v>
      </c>
      <c r="J843" s="13" t="s">
        <v>3167</v>
      </c>
      <c r="K843" s="13" t="s">
        <v>3381</v>
      </c>
      <c r="L843" s="13" t="s">
        <v>3177</v>
      </c>
      <c r="M843" s="13" t="s">
        <v>4249</v>
      </c>
      <c r="N843" s="13">
        <v>2.0</v>
      </c>
      <c r="O843" s="13" t="s">
        <v>3175</v>
      </c>
      <c r="P843" s="13" t="s">
        <v>4250</v>
      </c>
      <c r="Q843" s="13" t="s">
        <v>3183</v>
      </c>
      <c r="R843" s="13" t="s">
        <v>3177</v>
      </c>
      <c r="S843" s="13" t="s">
        <v>4250</v>
      </c>
      <c r="T843" s="13" t="s">
        <v>3197</v>
      </c>
      <c r="U843" s="13" t="s">
        <v>3197</v>
      </c>
      <c r="V843" s="13" t="s">
        <v>3166</v>
      </c>
      <c r="W843" s="13" t="s">
        <v>3167</v>
      </c>
      <c r="X843" s="13" t="s">
        <v>3255</v>
      </c>
    </row>
    <row r="844" ht="14.25" customHeight="1">
      <c r="A844" s="13">
        <v>25496.0</v>
      </c>
      <c r="B844" s="13" t="s">
        <v>1470</v>
      </c>
      <c r="C844" s="13">
        <v>2016.0</v>
      </c>
      <c r="D844" s="13" t="s">
        <v>3315</v>
      </c>
      <c r="E844" s="13" t="s">
        <v>3179</v>
      </c>
      <c r="F844" s="13" t="s">
        <v>3217</v>
      </c>
      <c r="G844" s="13" t="s">
        <v>3156</v>
      </c>
      <c r="H844" s="13" t="s">
        <v>33</v>
      </c>
      <c r="I844" s="13" t="s">
        <v>3167</v>
      </c>
      <c r="J844" s="13" t="s">
        <v>3167</v>
      </c>
      <c r="K844" s="13" t="s">
        <v>3173</v>
      </c>
      <c r="L844" s="13" t="s">
        <v>3160</v>
      </c>
      <c r="M844" s="13" t="s">
        <v>4251</v>
      </c>
      <c r="N844" s="13">
        <v>10.0</v>
      </c>
      <c r="O844" s="13" t="s">
        <v>3175</v>
      </c>
      <c r="P844" s="13" t="s">
        <v>33</v>
      </c>
      <c r="Q844" s="13" t="s">
        <v>3173</v>
      </c>
      <c r="R844" s="13" t="s">
        <v>3163</v>
      </c>
      <c r="S844" s="13" t="s">
        <v>33</v>
      </c>
      <c r="T844" s="13" t="s">
        <v>3164</v>
      </c>
      <c r="U844" s="13" t="s">
        <v>3164</v>
      </c>
      <c r="V844" s="13" t="s">
        <v>3166</v>
      </c>
      <c r="W844" s="13" t="s">
        <v>3167</v>
      </c>
      <c r="X844" s="13" t="s">
        <v>3168</v>
      </c>
    </row>
    <row r="845" ht="14.25" customHeight="1">
      <c r="A845" s="13">
        <v>25499.0</v>
      </c>
      <c r="B845" s="13" t="s">
        <v>1680</v>
      </c>
      <c r="C845" s="13">
        <v>2007.0</v>
      </c>
      <c r="D845" s="13" t="s">
        <v>3153</v>
      </c>
      <c r="E845" s="13" t="s">
        <v>3154</v>
      </c>
      <c r="F845" s="13" t="s">
        <v>3211</v>
      </c>
      <c r="G845" s="13" t="s">
        <v>3156</v>
      </c>
      <c r="H845" s="13" t="s">
        <v>3167</v>
      </c>
      <c r="I845" s="13" t="s">
        <v>3157</v>
      </c>
      <c r="J845" s="13" t="s">
        <v>3500</v>
      </c>
      <c r="K845" s="13" t="s">
        <v>3159</v>
      </c>
      <c r="L845" s="13" t="s">
        <v>3177</v>
      </c>
      <c r="M845" s="13" t="s">
        <v>3161</v>
      </c>
      <c r="N845" s="13">
        <v>1.0</v>
      </c>
      <c r="O845" s="13" t="s">
        <v>3162</v>
      </c>
      <c r="P845" s="13" t="s">
        <v>3167</v>
      </c>
      <c r="Q845" s="13" t="s">
        <v>3159</v>
      </c>
      <c r="R845" s="13" t="s">
        <v>3260</v>
      </c>
      <c r="S845" s="13" t="s">
        <v>33</v>
      </c>
      <c r="T845" s="13" t="s">
        <v>3164</v>
      </c>
      <c r="U845" s="13" t="s">
        <v>3164</v>
      </c>
      <c r="V845" s="13" t="s">
        <v>3166</v>
      </c>
      <c r="W845" s="13" t="s">
        <v>3167</v>
      </c>
      <c r="X845" s="13" t="s">
        <v>3324</v>
      </c>
    </row>
    <row r="846" ht="14.25" customHeight="1">
      <c r="A846" s="13">
        <v>25507.0</v>
      </c>
      <c r="B846" s="13" t="s">
        <v>2960</v>
      </c>
      <c r="C846" s="13">
        <v>2016.0</v>
      </c>
      <c r="D846" s="13" t="s">
        <v>3153</v>
      </c>
      <c r="E846" s="13" t="s">
        <v>3169</v>
      </c>
      <c r="F846" s="13" t="s">
        <v>3170</v>
      </c>
      <c r="G846" s="13" t="s">
        <v>3156</v>
      </c>
      <c r="H846" s="13" t="s">
        <v>33</v>
      </c>
      <c r="I846" s="13" t="s">
        <v>3171</v>
      </c>
      <c r="J846" s="13" t="s">
        <v>3385</v>
      </c>
      <c r="K846" s="13" t="s">
        <v>3159</v>
      </c>
      <c r="L846" s="13" t="s">
        <v>3177</v>
      </c>
      <c r="M846" s="13" t="s">
        <v>4252</v>
      </c>
      <c r="N846" s="13">
        <v>2.0</v>
      </c>
      <c r="O846" s="13" t="s">
        <v>3162</v>
      </c>
      <c r="P846" s="13" t="s">
        <v>33</v>
      </c>
      <c r="Q846" s="13" t="s">
        <v>3159</v>
      </c>
      <c r="R846" s="13" t="s">
        <v>3177</v>
      </c>
      <c r="S846" s="13" t="s">
        <v>33</v>
      </c>
      <c r="T846" s="13" t="s">
        <v>3164</v>
      </c>
      <c r="U846" s="13" t="s">
        <v>3232</v>
      </c>
      <c r="V846" s="13" t="s">
        <v>3166</v>
      </c>
      <c r="W846" s="13" t="s">
        <v>3167</v>
      </c>
      <c r="X846" s="13" t="s">
        <v>3178</v>
      </c>
    </row>
    <row r="847" ht="14.25" customHeight="1">
      <c r="A847" s="13">
        <v>25511.0</v>
      </c>
      <c r="B847" s="13" t="s">
        <v>471</v>
      </c>
      <c r="C847" s="13">
        <v>2020.0</v>
      </c>
      <c r="D847" s="13" t="s">
        <v>3153</v>
      </c>
      <c r="E847" s="13" t="s">
        <v>3169</v>
      </c>
      <c r="F847" s="13" t="s">
        <v>3170</v>
      </c>
      <c r="G847" s="13" t="s">
        <v>33</v>
      </c>
      <c r="H847" s="13" t="s">
        <v>33</v>
      </c>
      <c r="I847" s="13" t="s">
        <v>3171</v>
      </c>
      <c r="J847" s="13" t="s">
        <v>3385</v>
      </c>
      <c r="K847" s="13" t="s">
        <v>3208</v>
      </c>
      <c r="L847" s="13" t="s">
        <v>3160</v>
      </c>
      <c r="M847" s="13" t="s">
        <v>4253</v>
      </c>
      <c r="N847" s="13">
        <v>3.0</v>
      </c>
      <c r="O847" s="13" t="s">
        <v>3162</v>
      </c>
      <c r="P847" s="13" t="s">
        <v>33</v>
      </c>
      <c r="Q847" s="13" t="s">
        <v>3208</v>
      </c>
      <c r="R847" s="13" t="s">
        <v>3163</v>
      </c>
      <c r="S847" s="13" t="s">
        <v>33</v>
      </c>
      <c r="T847" s="13" t="s">
        <v>3247</v>
      </c>
      <c r="U847" s="13" t="s">
        <v>3247</v>
      </c>
      <c r="V847" s="13" t="s">
        <v>3242</v>
      </c>
      <c r="W847" s="13" t="s">
        <v>4204</v>
      </c>
      <c r="X847" s="13" t="s">
        <v>3167</v>
      </c>
    </row>
    <row r="848" ht="14.25" customHeight="1">
      <c r="A848" s="13">
        <v>25512.0</v>
      </c>
      <c r="B848" s="13" t="s">
        <v>1321</v>
      </c>
      <c r="C848" s="13">
        <v>2014.0</v>
      </c>
      <c r="D848" s="13" t="s">
        <v>3315</v>
      </c>
      <c r="E848" s="13" t="s">
        <v>3179</v>
      </c>
      <c r="F848" s="13" t="s">
        <v>3217</v>
      </c>
      <c r="G848" s="13" t="s">
        <v>33</v>
      </c>
      <c r="H848" s="13" t="s">
        <v>33</v>
      </c>
      <c r="I848" s="13" t="s">
        <v>3167</v>
      </c>
      <c r="J848" s="13" t="s">
        <v>3167</v>
      </c>
      <c r="K848" s="13" t="s">
        <v>3173</v>
      </c>
      <c r="L848" s="13" t="s">
        <v>3177</v>
      </c>
      <c r="M848" s="13" t="s">
        <v>3196</v>
      </c>
      <c r="N848" s="13">
        <v>1.0</v>
      </c>
      <c r="O848" s="13" t="s">
        <v>3162</v>
      </c>
      <c r="P848" s="13" t="s">
        <v>33</v>
      </c>
      <c r="Q848" s="13" t="s">
        <v>3173</v>
      </c>
      <c r="R848" s="13" t="s">
        <v>3163</v>
      </c>
      <c r="S848" s="13" t="s">
        <v>33</v>
      </c>
      <c r="T848" s="13" t="s">
        <v>3165</v>
      </c>
      <c r="U848" s="13" t="s">
        <v>3165</v>
      </c>
      <c r="V848" s="13" t="s">
        <v>3166</v>
      </c>
      <c r="W848" s="13" t="s">
        <v>3167</v>
      </c>
      <c r="X848" s="13" t="s">
        <v>3216</v>
      </c>
    </row>
    <row r="849" ht="14.25" customHeight="1">
      <c r="A849" s="13">
        <v>25513.0</v>
      </c>
      <c r="B849" s="13" t="s">
        <v>1412</v>
      </c>
      <c r="C849" s="13">
        <v>2010.0</v>
      </c>
      <c r="D849" s="13" t="s">
        <v>3153</v>
      </c>
      <c r="E849" s="13" t="s">
        <v>3169</v>
      </c>
      <c r="F849" s="13" t="s">
        <v>3192</v>
      </c>
      <c r="G849" s="13" t="s">
        <v>33</v>
      </c>
      <c r="H849" s="13" t="s">
        <v>33</v>
      </c>
      <c r="I849" s="13" t="s">
        <v>3222</v>
      </c>
      <c r="J849" s="13" t="s">
        <v>3182</v>
      </c>
      <c r="K849" s="13" t="s">
        <v>3381</v>
      </c>
      <c r="L849" s="13" t="s">
        <v>3160</v>
      </c>
      <c r="M849" s="13" t="s">
        <v>4254</v>
      </c>
      <c r="N849" s="13">
        <v>3.0</v>
      </c>
      <c r="O849" s="13" t="s">
        <v>3175</v>
      </c>
      <c r="P849" s="13" t="s">
        <v>3689</v>
      </c>
      <c r="Q849" s="13" t="s">
        <v>3287</v>
      </c>
      <c r="R849" s="13" t="s">
        <v>3163</v>
      </c>
      <c r="S849" s="13" t="s">
        <v>33</v>
      </c>
      <c r="T849" s="13" t="s">
        <v>3164</v>
      </c>
      <c r="U849" s="13" t="s">
        <v>3164</v>
      </c>
      <c r="V849" s="13" t="s">
        <v>3166</v>
      </c>
      <c r="W849" s="13" t="s">
        <v>3167</v>
      </c>
      <c r="X849" s="13" t="s">
        <v>3178</v>
      </c>
    </row>
    <row r="850" ht="14.25" customHeight="1">
      <c r="A850" s="13">
        <v>25515.0</v>
      </c>
      <c r="B850" s="13" t="s">
        <v>252</v>
      </c>
      <c r="C850" s="13">
        <v>2016.0</v>
      </c>
      <c r="D850" s="13" t="s">
        <v>3153</v>
      </c>
      <c r="E850" s="13" t="s">
        <v>3169</v>
      </c>
      <c r="F850" s="13" t="s">
        <v>3192</v>
      </c>
      <c r="G850" s="13" t="s">
        <v>33</v>
      </c>
      <c r="H850" s="13" t="s">
        <v>33</v>
      </c>
      <c r="I850" s="13" t="s">
        <v>3157</v>
      </c>
      <c r="J850" s="13" t="s">
        <v>3307</v>
      </c>
      <c r="K850" s="13" t="s">
        <v>3159</v>
      </c>
      <c r="L850" s="13" t="s">
        <v>3177</v>
      </c>
      <c r="M850" s="13" t="s">
        <v>3161</v>
      </c>
      <c r="N850" s="13">
        <v>1.0</v>
      </c>
      <c r="O850" s="13" t="s">
        <v>3162</v>
      </c>
      <c r="P850" s="13" t="s">
        <v>33</v>
      </c>
      <c r="Q850" s="13" t="s">
        <v>3437</v>
      </c>
      <c r="R850" s="13" t="s">
        <v>3163</v>
      </c>
      <c r="S850" s="13" t="s">
        <v>33</v>
      </c>
      <c r="T850" s="13" t="s">
        <v>3164</v>
      </c>
      <c r="U850" s="13" t="s">
        <v>3164</v>
      </c>
      <c r="V850" s="13" t="s">
        <v>3242</v>
      </c>
      <c r="W850" s="13" t="s">
        <v>3433</v>
      </c>
      <c r="X850" s="13" t="s">
        <v>3167</v>
      </c>
    </row>
    <row r="851" ht="14.25" customHeight="1">
      <c r="A851" s="13">
        <v>25516.0</v>
      </c>
      <c r="B851" s="13" t="s">
        <v>2605</v>
      </c>
      <c r="C851" s="13">
        <v>2011.0</v>
      </c>
      <c r="D851" s="13" t="s">
        <v>3153</v>
      </c>
      <c r="E851" s="13" t="s">
        <v>3169</v>
      </c>
      <c r="F851" s="13" t="s">
        <v>3170</v>
      </c>
      <c r="G851" s="13" t="s">
        <v>3156</v>
      </c>
      <c r="H851" s="13" t="s">
        <v>33</v>
      </c>
      <c r="I851" s="13" t="s">
        <v>3157</v>
      </c>
      <c r="J851" s="13" t="s">
        <v>3307</v>
      </c>
      <c r="K851" s="13" t="s">
        <v>3183</v>
      </c>
      <c r="L851" s="13" t="s">
        <v>3160</v>
      </c>
      <c r="M851" s="13" t="s">
        <v>3565</v>
      </c>
      <c r="N851" s="13">
        <v>2.0</v>
      </c>
      <c r="O851" s="13" t="s">
        <v>3162</v>
      </c>
      <c r="P851" s="13" t="s">
        <v>3693</v>
      </c>
      <c r="Q851" s="13" t="s">
        <v>3186</v>
      </c>
      <c r="R851" s="13" t="s">
        <v>3177</v>
      </c>
      <c r="S851" s="13" t="s">
        <v>33</v>
      </c>
      <c r="T851" s="13" t="s">
        <v>3164</v>
      </c>
      <c r="U851" s="13" t="s">
        <v>3247</v>
      </c>
      <c r="V851" s="13" t="s">
        <v>3166</v>
      </c>
      <c r="W851" s="13" t="s">
        <v>3167</v>
      </c>
      <c r="X851" s="13" t="s">
        <v>4255</v>
      </c>
    </row>
    <row r="852" ht="14.25" customHeight="1">
      <c r="A852" s="13">
        <v>25518.0</v>
      </c>
      <c r="B852" s="13" t="s">
        <v>950</v>
      </c>
      <c r="C852" s="13">
        <v>2011.0</v>
      </c>
      <c r="D852" s="13" t="s">
        <v>3153</v>
      </c>
      <c r="E852" s="13" t="s">
        <v>3169</v>
      </c>
      <c r="F852" s="13" t="s">
        <v>3192</v>
      </c>
      <c r="G852" s="13" t="s">
        <v>3156</v>
      </c>
      <c r="H852" s="13" t="s">
        <v>33</v>
      </c>
      <c r="I852" s="13" t="s">
        <v>3203</v>
      </c>
      <c r="J852" s="13" t="s">
        <v>3204</v>
      </c>
      <c r="K852" s="13" t="s">
        <v>3173</v>
      </c>
      <c r="L852" s="13" t="s">
        <v>3160</v>
      </c>
      <c r="M852" s="13" t="s">
        <v>3223</v>
      </c>
      <c r="N852" s="13">
        <v>1.0</v>
      </c>
      <c r="O852" s="13" t="s">
        <v>3162</v>
      </c>
      <c r="P852" s="13" t="s">
        <v>33</v>
      </c>
      <c r="Q852" s="13" t="s">
        <v>3159</v>
      </c>
      <c r="R852" s="13" t="s">
        <v>3163</v>
      </c>
      <c r="S852" s="13" t="s">
        <v>33</v>
      </c>
      <c r="T852" s="13" t="s">
        <v>3164</v>
      </c>
      <c r="U852" s="13" t="s">
        <v>3164</v>
      </c>
      <c r="V852" s="13" t="s">
        <v>3166</v>
      </c>
      <c r="W852" s="13" t="s">
        <v>3167</v>
      </c>
      <c r="X852" s="13" t="s">
        <v>3178</v>
      </c>
    </row>
    <row r="853" ht="14.25" customHeight="1">
      <c r="A853" s="13">
        <v>25520.0</v>
      </c>
      <c r="B853" s="13" t="s">
        <v>526</v>
      </c>
      <c r="C853" s="13">
        <v>2018.0</v>
      </c>
      <c r="D853" s="13" t="s">
        <v>3153</v>
      </c>
      <c r="E853" s="13" t="s">
        <v>3169</v>
      </c>
      <c r="F853" s="13" t="s">
        <v>3192</v>
      </c>
      <c r="G853" s="13" t="s">
        <v>3156</v>
      </c>
      <c r="H853" s="13" t="s">
        <v>33</v>
      </c>
      <c r="I853" s="13" t="s">
        <v>3157</v>
      </c>
      <c r="J853" s="13" t="s">
        <v>3400</v>
      </c>
      <c r="K853" s="13" t="s">
        <v>3183</v>
      </c>
      <c r="L853" s="13" t="s">
        <v>3160</v>
      </c>
      <c r="M853" s="13" t="s">
        <v>3230</v>
      </c>
      <c r="N853" s="13">
        <v>1.0</v>
      </c>
      <c r="O853" s="13" t="s">
        <v>3162</v>
      </c>
      <c r="P853" s="13" t="s">
        <v>4256</v>
      </c>
      <c r="Q853" s="13" t="s">
        <v>3183</v>
      </c>
      <c r="R853" s="13" t="s">
        <v>3163</v>
      </c>
      <c r="S853" s="13" t="s">
        <v>4256</v>
      </c>
      <c r="T853" s="13" t="s">
        <v>3164</v>
      </c>
      <c r="U853" s="13" t="s">
        <v>3164</v>
      </c>
      <c r="V853" s="13" t="s">
        <v>3166</v>
      </c>
      <c r="W853" s="13" t="s">
        <v>3167</v>
      </c>
      <c r="X853" s="13" t="s">
        <v>3178</v>
      </c>
    </row>
    <row r="854" ht="14.25" customHeight="1">
      <c r="A854" s="13">
        <v>25521.0</v>
      </c>
      <c r="B854" s="13" t="s">
        <v>1521</v>
      </c>
      <c r="C854" s="13">
        <v>2015.0</v>
      </c>
      <c r="D854" s="13" t="s">
        <v>3153</v>
      </c>
      <c r="E854" s="13" t="s">
        <v>3169</v>
      </c>
      <c r="F854" s="13" t="s">
        <v>3170</v>
      </c>
      <c r="G854" s="13" t="s">
        <v>3202</v>
      </c>
      <c r="H854" s="13">
        <v>10.0</v>
      </c>
      <c r="I854" s="13" t="s">
        <v>3222</v>
      </c>
      <c r="J854" s="13" t="s">
        <v>3182</v>
      </c>
      <c r="K854" s="13" t="s">
        <v>3208</v>
      </c>
      <c r="L854" s="13" t="s">
        <v>3160</v>
      </c>
      <c r="M854" s="13" t="s">
        <v>4257</v>
      </c>
      <c r="N854" s="13">
        <v>2.0</v>
      </c>
      <c r="O854" s="13" t="s">
        <v>3162</v>
      </c>
      <c r="P854" s="13" t="s">
        <v>33</v>
      </c>
      <c r="Q854" s="13" t="s">
        <v>3186</v>
      </c>
      <c r="R854" s="13" t="s">
        <v>3177</v>
      </c>
      <c r="S854" s="13" t="s">
        <v>33</v>
      </c>
      <c r="T854" s="13" t="s">
        <v>3164</v>
      </c>
      <c r="U854" s="13" t="s">
        <v>3164</v>
      </c>
      <c r="V854" s="13" t="s">
        <v>3166</v>
      </c>
      <c r="W854" s="13" t="s">
        <v>3167</v>
      </c>
      <c r="X854" s="13" t="s">
        <v>3178</v>
      </c>
    </row>
    <row r="855" ht="14.25" customHeight="1">
      <c r="A855" s="13">
        <v>25523.0</v>
      </c>
      <c r="B855" s="13" t="s">
        <v>2198</v>
      </c>
      <c r="C855" s="13">
        <v>2005.0</v>
      </c>
      <c r="D855" s="13" t="s">
        <v>3153</v>
      </c>
      <c r="E855" s="13" t="s">
        <v>3169</v>
      </c>
      <c r="F855" s="13" t="s">
        <v>3192</v>
      </c>
      <c r="G855" s="13" t="s">
        <v>3156</v>
      </c>
      <c r="H855" s="13" t="s">
        <v>33</v>
      </c>
      <c r="I855" s="13" t="s">
        <v>3157</v>
      </c>
      <c r="J855" s="13" t="s">
        <v>3791</v>
      </c>
      <c r="K855" s="13" t="s">
        <v>3183</v>
      </c>
      <c r="L855" s="13" t="s">
        <v>3160</v>
      </c>
      <c r="M855" s="13" t="s">
        <v>3230</v>
      </c>
      <c r="N855" s="13">
        <v>1.0</v>
      </c>
      <c r="O855" s="13" t="s">
        <v>3162</v>
      </c>
      <c r="P855" s="13" t="s">
        <v>3724</v>
      </c>
      <c r="Q855" s="13" t="s">
        <v>3183</v>
      </c>
      <c r="R855" s="13" t="s">
        <v>3163</v>
      </c>
      <c r="S855" s="13" t="s">
        <v>3724</v>
      </c>
      <c r="T855" s="13" t="s">
        <v>3164</v>
      </c>
      <c r="U855" s="13" t="s">
        <v>3164</v>
      </c>
      <c r="V855" s="13" t="s">
        <v>3166</v>
      </c>
      <c r="W855" s="13" t="s">
        <v>3167</v>
      </c>
      <c r="X855" s="13" t="s">
        <v>3178</v>
      </c>
    </row>
    <row r="856" ht="14.25" customHeight="1">
      <c r="A856" s="13">
        <v>25524.0</v>
      </c>
      <c r="B856" s="13" t="s">
        <v>697</v>
      </c>
      <c r="C856" s="13">
        <v>2016.0</v>
      </c>
      <c r="D856" s="13" t="s">
        <v>3153</v>
      </c>
      <c r="E856" s="13" t="s">
        <v>3169</v>
      </c>
      <c r="F856" s="13" t="s">
        <v>3211</v>
      </c>
      <c r="G856" s="13" t="s">
        <v>3156</v>
      </c>
      <c r="H856" s="13" t="s">
        <v>33</v>
      </c>
      <c r="I856" s="13" t="s">
        <v>3188</v>
      </c>
      <c r="J856" s="13" t="s">
        <v>4258</v>
      </c>
      <c r="K856" s="13" t="s">
        <v>3183</v>
      </c>
      <c r="L856" s="13" t="s">
        <v>3177</v>
      </c>
      <c r="M856" s="13" t="s">
        <v>3223</v>
      </c>
      <c r="N856" s="13">
        <v>1.0</v>
      </c>
      <c r="O856" s="13" t="s">
        <v>3162</v>
      </c>
      <c r="P856" s="13" t="s">
        <v>4259</v>
      </c>
      <c r="Q856" s="13" t="s">
        <v>3159</v>
      </c>
      <c r="R856" s="13" t="s">
        <v>3163</v>
      </c>
      <c r="S856" s="13" t="s">
        <v>33</v>
      </c>
      <c r="T856" s="13" t="s">
        <v>3164</v>
      </c>
      <c r="U856" s="13" t="s">
        <v>3164</v>
      </c>
      <c r="V856" s="13" t="s">
        <v>3242</v>
      </c>
      <c r="W856" s="13" t="s">
        <v>3433</v>
      </c>
      <c r="X856" s="13" t="s">
        <v>3167</v>
      </c>
    </row>
    <row r="857" ht="14.25" customHeight="1">
      <c r="A857" s="13">
        <v>25525.0</v>
      </c>
      <c r="B857" s="13" t="s">
        <v>487</v>
      </c>
      <c r="C857" s="13">
        <v>2013.0</v>
      </c>
      <c r="D857" s="13" t="s">
        <v>3153</v>
      </c>
      <c r="E857" s="13" t="s">
        <v>3169</v>
      </c>
      <c r="F857" s="13" t="s">
        <v>3192</v>
      </c>
      <c r="G857" s="13" t="s">
        <v>3156</v>
      </c>
      <c r="H857" s="13" t="s">
        <v>33</v>
      </c>
      <c r="I857" s="13" t="s">
        <v>3188</v>
      </c>
      <c r="J857" s="13" t="s">
        <v>3432</v>
      </c>
      <c r="K857" s="13" t="s">
        <v>3159</v>
      </c>
      <c r="L857" s="13" t="s">
        <v>3160</v>
      </c>
      <c r="M857" s="13" t="s">
        <v>3227</v>
      </c>
      <c r="N857" s="13">
        <v>1.0</v>
      </c>
      <c r="O857" s="13" t="s">
        <v>3162</v>
      </c>
      <c r="P857" s="13" t="s">
        <v>33</v>
      </c>
      <c r="Q857" s="13" t="s">
        <v>3159</v>
      </c>
      <c r="R857" s="13" t="s">
        <v>3163</v>
      </c>
      <c r="S857" s="13" t="s">
        <v>33</v>
      </c>
      <c r="T857" s="13" t="s">
        <v>3164</v>
      </c>
      <c r="U857" s="13" t="s">
        <v>3164</v>
      </c>
      <c r="V857" s="13" t="s">
        <v>3166</v>
      </c>
      <c r="W857" s="13" t="s">
        <v>3167</v>
      </c>
      <c r="X857" s="13" t="s">
        <v>3178</v>
      </c>
    </row>
    <row r="858" ht="14.25" customHeight="1">
      <c r="A858" s="13">
        <v>25526.0</v>
      </c>
      <c r="B858" s="13" t="s">
        <v>487</v>
      </c>
      <c r="C858" s="13">
        <v>2015.0</v>
      </c>
      <c r="D858" s="13" t="s">
        <v>3153</v>
      </c>
      <c r="E858" s="13" t="s">
        <v>3465</v>
      </c>
      <c r="F858" s="13" t="s">
        <v>3211</v>
      </c>
      <c r="G858" s="13" t="s">
        <v>3156</v>
      </c>
      <c r="H858" s="13" t="s">
        <v>33</v>
      </c>
      <c r="I858" s="13" t="s">
        <v>3171</v>
      </c>
      <c r="J858" s="13" t="s">
        <v>4260</v>
      </c>
      <c r="K858" s="13" t="s">
        <v>3159</v>
      </c>
      <c r="L858" s="13" t="s">
        <v>3160</v>
      </c>
      <c r="M858" s="13" t="s">
        <v>3161</v>
      </c>
      <c r="N858" s="13">
        <v>1.0</v>
      </c>
      <c r="O858" s="13" t="s">
        <v>3162</v>
      </c>
      <c r="P858" s="13" t="s">
        <v>33</v>
      </c>
      <c r="Q858" s="13" t="s">
        <v>3680</v>
      </c>
      <c r="R858" s="13" t="s">
        <v>3163</v>
      </c>
      <c r="S858" s="13" t="s">
        <v>3323</v>
      </c>
      <c r="T858" s="13" t="s">
        <v>3232</v>
      </c>
      <c r="U858" s="13" t="s">
        <v>3232</v>
      </c>
      <c r="V858" s="13" t="s">
        <v>3166</v>
      </c>
      <c r="W858" s="13" t="s">
        <v>3167</v>
      </c>
      <c r="X858" s="13" t="s">
        <v>3324</v>
      </c>
    </row>
    <row r="859" ht="14.25" customHeight="1">
      <c r="A859" s="13">
        <v>25529.0</v>
      </c>
      <c r="B859" s="13" t="s">
        <v>136</v>
      </c>
      <c r="C859" s="13">
        <v>2009.0</v>
      </c>
      <c r="D859" s="13" t="s">
        <v>3153</v>
      </c>
      <c r="E859" s="13" t="s">
        <v>3179</v>
      </c>
      <c r="F859" s="13" t="s">
        <v>3192</v>
      </c>
      <c r="G859" s="13" t="s">
        <v>3187</v>
      </c>
      <c r="H859" s="13">
        <v>0.01</v>
      </c>
      <c r="I859" s="13" t="s">
        <v>3181</v>
      </c>
      <c r="J859" s="13" t="s">
        <v>3730</v>
      </c>
      <c r="K859" s="13" t="s">
        <v>3183</v>
      </c>
      <c r="L859" s="13" t="s">
        <v>3177</v>
      </c>
      <c r="M859" s="13" t="s">
        <v>4261</v>
      </c>
      <c r="N859" s="13">
        <v>10.0</v>
      </c>
      <c r="O859" s="13" t="s">
        <v>3175</v>
      </c>
      <c r="P859" s="13" t="s">
        <v>3689</v>
      </c>
      <c r="Q859" s="13" t="s">
        <v>3183</v>
      </c>
      <c r="R859" s="13" t="s">
        <v>3163</v>
      </c>
      <c r="S859" s="13" t="s">
        <v>3774</v>
      </c>
      <c r="T859" s="13" t="s">
        <v>3232</v>
      </c>
      <c r="U859" s="13" t="s">
        <v>3232</v>
      </c>
      <c r="V859" s="13" t="s">
        <v>3166</v>
      </c>
      <c r="W859" s="13" t="s">
        <v>3167</v>
      </c>
      <c r="X859" s="13" t="s">
        <v>3168</v>
      </c>
    </row>
    <row r="860" ht="14.25" customHeight="1">
      <c r="A860" s="13">
        <v>25530.0</v>
      </c>
      <c r="B860" s="13" t="s">
        <v>1000</v>
      </c>
      <c r="C860" s="13">
        <v>2013.0</v>
      </c>
      <c r="D860" s="13" t="s">
        <v>3457</v>
      </c>
      <c r="E860" s="13" t="s">
        <v>3154</v>
      </c>
      <c r="F860" s="13" t="s">
        <v>3170</v>
      </c>
      <c r="G860" s="13" t="s">
        <v>3156</v>
      </c>
      <c r="H860" s="13" t="s">
        <v>33</v>
      </c>
      <c r="I860" s="13" t="s">
        <v>3222</v>
      </c>
      <c r="J860" s="13" t="s">
        <v>3182</v>
      </c>
      <c r="K860" s="13" t="s">
        <v>3159</v>
      </c>
      <c r="L860" s="13" t="s">
        <v>3160</v>
      </c>
      <c r="M860" s="13" t="s">
        <v>3494</v>
      </c>
      <c r="N860" s="13">
        <v>1.0</v>
      </c>
      <c r="O860" s="13" t="s">
        <v>3162</v>
      </c>
      <c r="P860" s="13" t="s">
        <v>33</v>
      </c>
      <c r="Q860" s="13" t="s">
        <v>3159</v>
      </c>
      <c r="R860" s="13" t="s">
        <v>3163</v>
      </c>
      <c r="S860" s="13" t="s">
        <v>33</v>
      </c>
      <c r="T860" s="13" t="s">
        <v>3164</v>
      </c>
      <c r="U860" s="13" t="s">
        <v>3164</v>
      </c>
      <c r="V860" s="13" t="s">
        <v>3166</v>
      </c>
      <c r="W860" s="13" t="s">
        <v>3167</v>
      </c>
      <c r="X860" s="13" t="s">
        <v>3216</v>
      </c>
    </row>
    <row r="861" ht="14.25" customHeight="1">
      <c r="A861" s="13">
        <v>25531.0</v>
      </c>
      <c r="B861" s="13" t="s">
        <v>377</v>
      </c>
      <c r="C861" s="13">
        <v>2014.0</v>
      </c>
      <c r="D861" s="13" t="s">
        <v>3153</v>
      </c>
      <c r="E861" s="13" t="s">
        <v>3169</v>
      </c>
      <c r="F861" s="13" t="s">
        <v>3170</v>
      </c>
      <c r="G861" s="13" t="s">
        <v>33</v>
      </c>
      <c r="H861" s="13" t="s">
        <v>33</v>
      </c>
      <c r="I861" s="13" t="s">
        <v>3188</v>
      </c>
      <c r="J861" s="13" t="s">
        <v>3207</v>
      </c>
      <c r="K861" s="13" t="s">
        <v>3208</v>
      </c>
      <c r="L861" s="13" t="s">
        <v>3160</v>
      </c>
      <c r="M861" s="13" t="s">
        <v>3349</v>
      </c>
      <c r="N861" s="13">
        <v>2.0</v>
      </c>
      <c r="O861" s="13" t="s">
        <v>3162</v>
      </c>
      <c r="P861" s="13" t="s">
        <v>33</v>
      </c>
      <c r="Q861" s="13" t="s">
        <v>3273</v>
      </c>
      <c r="R861" s="13" t="s">
        <v>3163</v>
      </c>
      <c r="S861" s="13" t="s">
        <v>33</v>
      </c>
      <c r="T861" s="13" t="s">
        <v>3247</v>
      </c>
      <c r="U861" s="13" t="s">
        <v>3247</v>
      </c>
      <c r="V861" s="13" t="s">
        <v>3242</v>
      </c>
      <c r="W861" s="13" t="s">
        <v>3496</v>
      </c>
      <c r="X861" s="13" t="s">
        <v>3167</v>
      </c>
    </row>
    <row r="862" ht="14.25" customHeight="1">
      <c r="A862" s="13">
        <v>25535.0</v>
      </c>
      <c r="B862" s="13" t="s">
        <v>3014</v>
      </c>
      <c r="C862" s="13">
        <v>2020.0</v>
      </c>
      <c r="D862" s="13" t="s">
        <v>3153</v>
      </c>
      <c r="E862" s="13" t="s">
        <v>3169</v>
      </c>
      <c r="F862" s="13" t="s">
        <v>3192</v>
      </c>
      <c r="G862" s="13" t="s">
        <v>3202</v>
      </c>
      <c r="H862" s="13">
        <v>30.0</v>
      </c>
      <c r="I862" s="13" t="s">
        <v>3244</v>
      </c>
      <c r="J862" s="13" t="s">
        <v>3278</v>
      </c>
      <c r="K862" s="13" t="s">
        <v>3186</v>
      </c>
      <c r="L862" s="13" t="s">
        <v>3160</v>
      </c>
      <c r="M862" s="13" t="s">
        <v>3484</v>
      </c>
      <c r="N862" s="13">
        <v>1.0</v>
      </c>
      <c r="O862" s="13" t="s">
        <v>3267</v>
      </c>
      <c r="P862" s="13" t="s">
        <v>33</v>
      </c>
      <c r="Q862" s="13" t="s">
        <v>3173</v>
      </c>
      <c r="R862" s="13" t="s">
        <v>3163</v>
      </c>
      <c r="S862" s="13" t="s">
        <v>33</v>
      </c>
      <c r="T862" s="13" t="s">
        <v>3164</v>
      </c>
      <c r="U862" s="13" t="s">
        <v>3164</v>
      </c>
      <c r="V862" s="13" t="s">
        <v>3166</v>
      </c>
      <c r="W862" s="13" t="s">
        <v>3167</v>
      </c>
      <c r="X862" s="13" t="s">
        <v>3178</v>
      </c>
    </row>
    <row r="863" ht="14.25" customHeight="1">
      <c r="A863" s="13">
        <v>25539.0</v>
      </c>
      <c r="B863" s="13" t="s">
        <v>902</v>
      </c>
      <c r="C863" s="13">
        <v>2019.0</v>
      </c>
      <c r="D863" s="13" t="s">
        <v>3153</v>
      </c>
      <c r="E863" s="13" t="s">
        <v>3169</v>
      </c>
      <c r="F863" s="13" t="s">
        <v>3192</v>
      </c>
      <c r="G863" s="13" t="s">
        <v>3156</v>
      </c>
      <c r="H863" s="13" t="s">
        <v>3167</v>
      </c>
      <c r="I863" s="13" t="s">
        <v>3157</v>
      </c>
      <c r="J863" s="13" t="s">
        <v>3240</v>
      </c>
      <c r="K863" s="13" t="s">
        <v>3183</v>
      </c>
      <c r="L863" s="13" t="s">
        <v>3160</v>
      </c>
      <c r="M863" s="13" t="s">
        <v>4262</v>
      </c>
      <c r="N863" s="13">
        <v>1.0</v>
      </c>
      <c r="O863" s="13" t="s">
        <v>3162</v>
      </c>
      <c r="P863" s="13" t="s">
        <v>3689</v>
      </c>
      <c r="Q863" s="13" t="s">
        <v>3183</v>
      </c>
      <c r="R863" s="13" t="s">
        <v>3231</v>
      </c>
      <c r="S863" s="13" t="s">
        <v>3689</v>
      </c>
      <c r="T863" s="13" t="s">
        <v>3164</v>
      </c>
      <c r="U863" s="13" t="s">
        <v>3164</v>
      </c>
      <c r="V863" s="13" t="s">
        <v>3166</v>
      </c>
      <c r="W863" s="13" t="s">
        <v>3167</v>
      </c>
      <c r="X863" s="13" t="s">
        <v>3178</v>
      </c>
    </row>
    <row r="864" ht="14.25" customHeight="1">
      <c r="A864" s="13">
        <v>25542.0</v>
      </c>
      <c r="B864" s="13" t="s">
        <v>3097</v>
      </c>
      <c r="C864" s="13">
        <v>2019.0</v>
      </c>
      <c r="D864" s="13" t="s">
        <v>3153</v>
      </c>
      <c r="E864" s="13" t="s">
        <v>3169</v>
      </c>
      <c r="F864" s="13" t="s">
        <v>3170</v>
      </c>
      <c r="G864" s="13" t="s">
        <v>3156</v>
      </c>
      <c r="H864" s="13" t="s">
        <v>33</v>
      </c>
      <c r="I864" s="13" t="s">
        <v>3171</v>
      </c>
      <c r="J864" s="13" t="s">
        <v>3378</v>
      </c>
      <c r="K864" s="13" t="s">
        <v>3159</v>
      </c>
      <c r="L864" s="13" t="s">
        <v>3160</v>
      </c>
      <c r="M864" s="13" t="s">
        <v>3391</v>
      </c>
      <c r="N864" s="13">
        <v>1.0</v>
      </c>
      <c r="O864" s="13" t="s">
        <v>3162</v>
      </c>
      <c r="P864" s="13" t="s">
        <v>33</v>
      </c>
      <c r="Q864" s="13" t="s">
        <v>3159</v>
      </c>
      <c r="R864" s="13" t="s">
        <v>3163</v>
      </c>
      <c r="S864" s="13" t="s">
        <v>33</v>
      </c>
      <c r="T864" s="13" t="s">
        <v>3164</v>
      </c>
      <c r="U864" s="13" t="s">
        <v>3165</v>
      </c>
      <c r="V864" s="13" t="s">
        <v>3166</v>
      </c>
      <c r="W864" s="13" t="s">
        <v>3167</v>
      </c>
      <c r="X864" s="13" t="s">
        <v>3178</v>
      </c>
    </row>
    <row r="865" ht="14.25" customHeight="1">
      <c r="A865" s="13">
        <v>25543.0</v>
      </c>
      <c r="B865" s="13" t="s">
        <v>1622</v>
      </c>
      <c r="C865" s="13">
        <v>2017.0</v>
      </c>
      <c r="D865" s="13" t="s">
        <v>3153</v>
      </c>
      <c r="E865" s="13" t="s">
        <v>3169</v>
      </c>
      <c r="F865" s="13" t="s">
        <v>3155</v>
      </c>
      <c r="G865" s="13" t="s">
        <v>3187</v>
      </c>
      <c r="H865" s="13">
        <v>1.0</v>
      </c>
      <c r="I865" s="13" t="s">
        <v>3157</v>
      </c>
      <c r="J865" s="13" t="s">
        <v>3199</v>
      </c>
      <c r="K865" s="13" t="s">
        <v>3183</v>
      </c>
      <c r="L865" s="13" t="s">
        <v>3177</v>
      </c>
      <c r="M865" s="13" t="s">
        <v>3161</v>
      </c>
      <c r="N865" s="13">
        <v>1.0</v>
      </c>
      <c r="O865" s="13" t="s">
        <v>3162</v>
      </c>
      <c r="P865" s="13" t="s">
        <v>4263</v>
      </c>
      <c r="Q865" s="13" t="s">
        <v>3381</v>
      </c>
      <c r="R865" s="13" t="s">
        <v>3231</v>
      </c>
      <c r="S865" s="13" t="s">
        <v>4264</v>
      </c>
      <c r="T865" s="13" t="s">
        <v>3164</v>
      </c>
      <c r="U865" s="13" t="s">
        <v>3164</v>
      </c>
      <c r="V865" s="13" t="s">
        <v>3242</v>
      </c>
      <c r="W865" s="13" t="s">
        <v>3433</v>
      </c>
      <c r="X865" s="13" t="s">
        <v>3167</v>
      </c>
    </row>
    <row r="866" ht="14.25" customHeight="1">
      <c r="A866" s="13">
        <v>25551.0</v>
      </c>
      <c r="B866" s="13" t="s">
        <v>2157</v>
      </c>
      <c r="C866" s="13">
        <v>2018.0</v>
      </c>
      <c r="D866" s="13" t="s">
        <v>3153</v>
      </c>
      <c r="E866" s="13" t="s">
        <v>3179</v>
      </c>
      <c r="F866" s="13" t="s">
        <v>3192</v>
      </c>
      <c r="G866" s="13" t="s">
        <v>3538</v>
      </c>
      <c r="H866" s="13">
        <v>1500.0</v>
      </c>
      <c r="I866" s="13" t="s">
        <v>3392</v>
      </c>
      <c r="J866" s="13" t="s">
        <v>3204</v>
      </c>
      <c r="K866" s="13" t="s">
        <v>3159</v>
      </c>
      <c r="L866" s="13" t="s">
        <v>3160</v>
      </c>
      <c r="M866" s="13" t="s">
        <v>3213</v>
      </c>
      <c r="N866" s="13">
        <v>1.0</v>
      </c>
      <c r="O866" s="13" t="s">
        <v>3162</v>
      </c>
      <c r="P866" s="13" t="s">
        <v>33</v>
      </c>
      <c r="Q866" s="13" t="s">
        <v>3159</v>
      </c>
      <c r="R866" s="13" t="s">
        <v>3163</v>
      </c>
      <c r="S866" s="13" t="s">
        <v>33</v>
      </c>
      <c r="T866" s="13" t="s">
        <v>3228</v>
      </c>
      <c r="U866" s="13" t="s">
        <v>3228</v>
      </c>
      <c r="V866" s="13" t="s">
        <v>3166</v>
      </c>
      <c r="W866" s="13" t="s">
        <v>3167</v>
      </c>
      <c r="X866" s="13" t="s">
        <v>3225</v>
      </c>
    </row>
    <row r="867" ht="14.25" customHeight="1">
      <c r="A867" s="13">
        <v>25559.0</v>
      </c>
      <c r="B867" s="13" t="s">
        <v>2161</v>
      </c>
      <c r="C867" s="13">
        <v>2018.0</v>
      </c>
      <c r="D867" s="13" t="s">
        <v>3153</v>
      </c>
      <c r="E867" s="13" t="s">
        <v>3169</v>
      </c>
      <c r="F867" s="13" t="s">
        <v>3192</v>
      </c>
      <c r="G867" s="13" t="s">
        <v>33</v>
      </c>
      <c r="H867" s="13" t="s">
        <v>33</v>
      </c>
      <c r="I867" s="13" t="s">
        <v>3188</v>
      </c>
      <c r="J867" s="13" t="s">
        <v>3483</v>
      </c>
      <c r="K867" s="13" t="s">
        <v>3208</v>
      </c>
      <c r="L867" s="13" t="s">
        <v>3160</v>
      </c>
      <c r="M867" s="13" t="s">
        <v>4265</v>
      </c>
      <c r="N867" s="13">
        <v>3.0</v>
      </c>
      <c r="O867" s="13" t="s">
        <v>3162</v>
      </c>
      <c r="P867" s="13" t="s">
        <v>33</v>
      </c>
      <c r="Q867" s="13" t="s">
        <v>3210</v>
      </c>
      <c r="R867" s="13" t="s">
        <v>3163</v>
      </c>
      <c r="S867" s="13" t="s">
        <v>33</v>
      </c>
      <c r="T867" s="13" t="s">
        <v>3195</v>
      </c>
      <c r="U867" s="13" t="s">
        <v>3195</v>
      </c>
      <c r="V867" s="13" t="s">
        <v>3195</v>
      </c>
      <c r="W867" s="13" t="s">
        <v>3167</v>
      </c>
      <c r="X867" s="13" t="s">
        <v>3167</v>
      </c>
    </row>
    <row r="868" ht="14.25" customHeight="1">
      <c r="A868" s="13">
        <v>25560.0</v>
      </c>
      <c r="B868" s="13" t="s">
        <v>2161</v>
      </c>
      <c r="C868" s="13">
        <v>2020.0</v>
      </c>
      <c r="D868" s="13" t="s">
        <v>3153</v>
      </c>
      <c r="E868" s="13" t="s">
        <v>3169</v>
      </c>
      <c r="F868" s="13" t="s">
        <v>3155</v>
      </c>
      <c r="G868" s="13" t="s">
        <v>3156</v>
      </c>
      <c r="H868" s="13" t="s">
        <v>33</v>
      </c>
      <c r="I868" s="13" t="s">
        <v>3188</v>
      </c>
      <c r="J868" s="13" t="s">
        <v>3483</v>
      </c>
      <c r="K868" s="13" t="s">
        <v>3208</v>
      </c>
      <c r="L868" s="13" t="s">
        <v>3160</v>
      </c>
      <c r="M868" s="13" t="s">
        <v>4182</v>
      </c>
      <c r="N868" s="13">
        <v>2.0</v>
      </c>
      <c r="O868" s="13" t="s">
        <v>3162</v>
      </c>
      <c r="P868" s="13" t="s">
        <v>33</v>
      </c>
      <c r="Q868" s="13" t="s">
        <v>3201</v>
      </c>
      <c r="R868" s="13" t="s">
        <v>3163</v>
      </c>
      <c r="S868" s="13" t="s">
        <v>33</v>
      </c>
      <c r="T868" s="13" t="s">
        <v>3164</v>
      </c>
      <c r="U868" s="13" t="s">
        <v>3164</v>
      </c>
      <c r="V868" s="13" t="s">
        <v>3166</v>
      </c>
      <c r="W868" s="13" t="s">
        <v>3167</v>
      </c>
      <c r="X868" s="13" t="s">
        <v>3178</v>
      </c>
    </row>
    <row r="869" ht="14.25" customHeight="1">
      <c r="A869" s="13">
        <v>25565.0</v>
      </c>
      <c r="B869" s="13" t="s">
        <v>4266</v>
      </c>
      <c r="C869" s="13">
        <v>2008.0</v>
      </c>
      <c r="D869" s="13" t="s">
        <v>3153</v>
      </c>
      <c r="E869" s="13" t="s">
        <v>3179</v>
      </c>
      <c r="F869" s="13" t="s">
        <v>3170</v>
      </c>
      <c r="G869" s="13" t="s">
        <v>3180</v>
      </c>
      <c r="H869" s="13">
        <v>1.0E-4</v>
      </c>
      <c r="I869" s="13" t="s">
        <v>3181</v>
      </c>
      <c r="J869" s="13" t="s">
        <v>3262</v>
      </c>
      <c r="K869" s="13" t="s">
        <v>3190</v>
      </c>
      <c r="L869" s="13" t="s">
        <v>3160</v>
      </c>
      <c r="M869" s="13" t="s">
        <v>3342</v>
      </c>
      <c r="N869" s="13">
        <v>1.0</v>
      </c>
      <c r="O869" s="13" t="s">
        <v>3162</v>
      </c>
      <c r="P869" s="13" t="s">
        <v>33</v>
      </c>
      <c r="Q869" s="13" t="s">
        <v>3190</v>
      </c>
      <c r="R869" s="13" t="s">
        <v>3163</v>
      </c>
      <c r="S869" s="13" t="s">
        <v>33</v>
      </c>
      <c r="T869" s="13" t="s">
        <v>3247</v>
      </c>
      <c r="U869" s="13" t="s">
        <v>3247</v>
      </c>
      <c r="V869" s="13" t="s">
        <v>3166</v>
      </c>
      <c r="W869" s="13" t="s">
        <v>3167</v>
      </c>
      <c r="X869" s="13" t="s">
        <v>4267</v>
      </c>
    </row>
    <row r="870" ht="14.25" customHeight="1">
      <c r="A870" s="13">
        <v>25567.0</v>
      </c>
      <c r="B870" s="13" t="s">
        <v>3112</v>
      </c>
      <c r="C870" s="13">
        <v>2015.0</v>
      </c>
      <c r="D870" s="13" t="s">
        <v>3153</v>
      </c>
      <c r="E870" s="13" t="s">
        <v>3169</v>
      </c>
      <c r="F870" s="13" t="s">
        <v>3192</v>
      </c>
      <c r="G870" s="13" t="s">
        <v>33</v>
      </c>
      <c r="H870" s="13" t="s">
        <v>33</v>
      </c>
      <c r="I870" s="13" t="s">
        <v>3222</v>
      </c>
      <c r="J870" s="13" t="s">
        <v>3182</v>
      </c>
      <c r="K870" s="13" t="s">
        <v>3381</v>
      </c>
      <c r="L870" s="13" t="s">
        <v>3177</v>
      </c>
      <c r="M870" s="13" t="s">
        <v>3230</v>
      </c>
      <c r="N870" s="13">
        <v>1.0</v>
      </c>
      <c r="O870" s="13" t="s">
        <v>3162</v>
      </c>
      <c r="P870" s="13" t="s">
        <v>4268</v>
      </c>
      <c r="Q870" s="13" t="s">
        <v>3183</v>
      </c>
      <c r="R870" s="13" t="s">
        <v>3177</v>
      </c>
      <c r="S870" s="13" t="s">
        <v>4268</v>
      </c>
      <c r="T870" s="13" t="s">
        <v>3228</v>
      </c>
      <c r="U870" s="13" t="s">
        <v>3228</v>
      </c>
      <c r="V870" s="13" t="s">
        <v>3166</v>
      </c>
      <c r="W870" s="13" t="s">
        <v>3167</v>
      </c>
      <c r="X870" s="13" t="s">
        <v>3178</v>
      </c>
    </row>
    <row r="871" ht="14.25" customHeight="1">
      <c r="A871" s="13">
        <v>25574.0</v>
      </c>
      <c r="B871" s="13" t="s">
        <v>2879</v>
      </c>
      <c r="C871" s="13">
        <v>2018.0</v>
      </c>
      <c r="D871" s="13" t="s">
        <v>3153</v>
      </c>
      <c r="E871" s="13" t="s">
        <v>3179</v>
      </c>
      <c r="F871" s="13" t="s">
        <v>3217</v>
      </c>
      <c r="G871" s="13" t="s">
        <v>33</v>
      </c>
      <c r="H871" s="13" t="s">
        <v>33</v>
      </c>
      <c r="I871" s="13" t="s">
        <v>3167</v>
      </c>
      <c r="J871" s="13" t="s">
        <v>3167</v>
      </c>
      <c r="K871" s="13" t="s">
        <v>3370</v>
      </c>
      <c r="L871" s="13" t="s">
        <v>3160</v>
      </c>
      <c r="M871" s="13" t="s">
        <v>3342</v>
      </c>
      <c r="N871" s="13">
        <v>1.0</v>
      </c>
      <c r="O871" s="13" t="s">
        <v>3162</v>
      </c>
      <c r="P871" s="13" t="s">
        <v>33</v>
      </c>
      <c r="Q871" s="13" t="s">
        <v>3370</v>
      </c>
      <c r="R871" s="13" t="s">
        <v>3163</v>
      </c>
      <c r="S871" s="13" t="s">
        <v>33</v>
      </c>
      <c r="T871" s="13" t="s">
        <v>3247</v>
      </c>
      <c r="U871" s="13" t="s">
        <v>3247</v>
      </c>
      <c r="V871" s="13" t="s">
        <v>3166</v>
      </c>
      <c r="W871" s="13" t="s">
        <v>3167</v>
      </c>
      <c r="X871" s="13" t="s">
        <v>4269</v>
      </c>
    </row>
    <row r="872" ht="14.25" customHeight="1">
      <c r="A872" s="13">
        <v>25575.0</v>
      </c>
      <c r="B872" s="13" t="s">
        <v>1503</v>
      </c>
      <c r="C872" s="13">
        <v>2019.0</v>
      </c>
      <c r="D872" s="13" t="s">
        <v>3153</v>
      </c>
      <c r="E872" s="13" t="s">
        <v>3684</v>
      </c>
      <c r="F872" s="13" t="s">
        <v>3170</v>
      </c>
      <c r="G872" s="13" t="s">
        <v>3202</v>
      </c>
      <c r="H872" s="13">
        <v>500.0</v>
      </c>
      <c r="I872" s="13" t="s">
        <v>3188</v>
      </c>
      <c r="J872" s="13" t="s">
        <v>3207</v>
      </c>
      <c r="K872" s="13" t="s">
        <v>3208</v>
      </c>
      <c r="L872" s="13" t="s">
        <v>3160</v>
      </c>
      <c r="M872" s="13" t="s">
        <v>4270</v>
      </c>
      <c r="N872" s="13">
        <v>2.0</v>
      </c>
      <c r="O872" s="13" t="s">
        <v>3162</v>
      </c>
      <c r="P872" s="13" t="s">
        <v>33</v>
      </c>
      <c r="Q872" s="13" t="s">
        <v>3208</v>
      </c>
      <c r="R872" s="13" t="s">
        <v>3163</v>
      </c>
      <c r="S872" s="13" t="s">
        <v>33</v>
      </c>
      <c r="T872" s="13" t="s">
        <v>3197</v>
      </c>
      <c r="U872" s="13" t="s">
        <v>3197</v>
      </c>
      <c r="V872" s="13" t="s">
        <v>3242</v>
      </c>
      <c r="W872" s="13" t="s">
        <v>3481</v>
      </c>
      <c r="X872" s="13" t="s">
        <v>3167</v>
      </c>
    </row>
    <row r="873" ht="14.25" customHeight="1">
      <c r="A873" s="13">
        <v>25577.0</v>
      </c>
      <c r="B873" s="13" t="s">
        <v>1756</v>
      </c>
      <c r="C873" s="13">
        <v>2013.0</v>
      </c>
      <c r="D873" s="13" t="s">
        <v>3153</v>
      </c>
      <c r="E873" s="13" t="s">
        <v>3169</v>
      </c>
      <c r="F873" s="13" t="s">
        <v>3192</v>
      </c>
      <c r="G873" s="13" t="s">
        <v>33</v>
      </c>
      <c r="H873" s="13" t="s">
        <v>33</v>
      </c>
      <c r="I873" s="13" t="s">
        <v>3188</v>
      </c>
      <c r="J873" s="13" t="s">
        <v>3423</v>
      </c>
      <c r="K873" s="13" t="s">
        <v>3208</v>
      </c>
      <c r="L873" s="13" t="s">
        <v>3160</v>
      </c>
      <c r="M873" s="13" t="s">
        <v>3484</v>
      </c>
      <c r="N873" s="13">
        <v>1.0</v>
      </c>
      <c r="O873" s="13" t="s">
        <v>3267</v>
      </c>
      <c r="P873" s="13" t="s">
        <v>33</v>
      </c>
      <c r="Q873" s="13" t="s">
        <v>3273</v>
      </c>
      <c r="R873" s="13" t="s">
        <v>3163</v>
      </c>
      <c r="S873" s="13" t="s">
        <v>33</v>
      </c>
      <c r="T873" s="13" t="s">
        <v>3247</v>
      </c>
      <c r="U873" s="13" t="s">
        <v>3247</v>
      </c>
      <c r="V873" s="13" t="s">
        <v>3242</v>
      </c>
      <c r="W873" s="13" t="s">
        <v>3572</v>
      </c>
      <c r="X873" s="13" t="s">
        <v>3167</v>
      </c>
    </row>
    <row r="874" ht="14.25" customHeight="1">
      <c r="A874" s="13">
        <v>25582.0</v>
      </c>
      <c r="B874" s="13" t="s">
        <v>1056</v>
      </c>
      <c r="C874" s="13">
        <v>2020.0</v>
      </c>
      <c r="D874" s="13" t="s">
        <v>3153</v>
      </c>
      <c r="E874" s="13" t="s">
        <v>3169</v>
      </c>
      <c r="F874" s="13" t="s">
        <v>3170</v>
      </c>
      <c r="G874" s="13" t="s">
        <v>3156</v>
      </c>
      <c r="H874" s="13" t="s">
        <v>33</v>
      </c>
      <c r="I874" s="13" t="s">
        <v>3222</v>
      </c>
      <c r="J874" s="13" t="s">
        <v>3229</v>
      </c>
      <c r="K874" s="13" t="s">
        <v>3159</v>
      </c>
      <c r="L874" s="13" t="s">
        <v>3160</v>
      </c>
      <c r="M874" s="13" t="s">
        <v>3161</v>
      </c>
      <c r="N874" s="13">
        <v>1.0</v>
      </c>
      <c r="O874" s="13" t="s">
        <v>3162</v>
      </c>
      <c r="P874" s="13" t="s">
        <v>33</v>
      </c>
      <c r="Q874" s="13" t="s">
        <v>3210</v>
      </c>
      <c r="R874" s="13" t="s">
        <v>3163</v>
      </c>
      <c r="S874" s="13" t="s">
        <v>33</v>
      </c>
      <c r="T874" s="13" t="s">
        <v>3195</v>
      </c>
      <c r="U874" s="13" t="s">
        <v>3195</v>
      </c>
      <c r="V874" s="13" t="s">
        <v>3195</v>
      </c>
      <c r="W874" s="13" t="s">
        <v>3167</v>
      </c>
      <c r="X874" s="13" t="s">
        <v>3167</v>
      </c>
    </row>
    <row r="875" ht="14.25" customHeight="1">
      <c r="A875" s="13">
        <v>25585.0</v>
      </c>
      <c r="B875" s="13" t="s">
        <v>1205</v>
      </c>
      <c r="C875" s="13">
        <v>2019.0</v>
      </c>
      <c r="D875" s="13" t="s">
        <v>3153</v>
      </c>
      <c r="E875" s="13" t="s">
        <v>3169</v>
      </c>
      <c r="F875" s="13" t="s">
        <v>3192</v>
      </c>
      <c r="G875" s="13" t="s">
        <v>3156</v>
      </c>
      <c r="H875" s="13" t="s">
        <v>33</v>
      </c>
      <c r="I875" s="13" t="s">
        <v>3203</v>
      </c>
      <c r="J875" s="13" t="s">
        <v>3204</v>
      </c>
      <c r="K875" s="13" t="s">
        <v>3159</v>
      </c>
      <c r="L875" s="13" t="s">
        <v>3160</v>
      </c>
      <c r="M875" s="13" t="s">
        <v>3200</v>
      </c>
      <c r="N875" s="13">
        <v>1.0</v>
      </c>
      <c r="O875" s="13" t="s">
        <v>3162</v>
      </c>
      <c r="P875" s="13" t="s">
        <v>33</v>
      </c>
      <c r="Q875" s="13" t="s">
        <v>3159</v>
      </c>
      <c r="R875" s="13" t="s">
        <v>3163</v>
      </c>
      <c r="S875" s="13" t="s">
        <v>33</v>
      </c>
      <c r="T875" s="13" t="s">
        <v>3164</v>
      </c>
      <c r="U875" s="13" t="s">
        <v>3164</v>
      </c>
      <c r="V875" s="13" t="s">
        <v>3242</v>
      </c>
      <c r="W875" s="13" t="s">
        <v>4271</v>
      </c>
      <c r="X875" s="13" t="s">
        <v>3167</v>
      </c>
    </row>
    <row r="876" ht="14.25" customHeight="1">
      <c r="A876" s="13">
        <v>25588.0</v>
      </c>
      <c r="B876" s="13" t="s">
        <v>197</v>
      </c>
      <c r="C876" s="13">
        <v>2014.0</v>
      </c>
      <c r="D876" s="13" t="s">
        <v>3153</v>
      </c>
      <c r="E876" s="13" t="s">
        <v>3169</v>
      </c>
      <c r="F876" s="13" t="s">
        <v>3192</v>
      </c>
      <c r="G876" s="13" t="s">
        <v>33</v>
      </c>
      <c r="H876" s="13" t="s">
        <v>33</v>
      </c>
      <c r="I876" s="13" t="s">
        <v>3157</v>
      </c>
      <c r="J876" s="13" t="s">
        <v>3570</v>
      </c>
      <c r="K876" s="13" t="s">
        <v>3333</v>
      </c>
      <c r="L876" s="13" t="s">
        <v>3177</v>
      </c>
      <c r="M876" s="13" t="s">
        <v>3363</v>
      </c>
      <c r="N876" s="13">
        <v>1.0</v>
      </c>
      <c r="O876" s="13" t="s">
        <v>3162</v>
      </c>
      <c r="P876" s="13" t="s">
        <v>33</v>
      </c>
      <c r="Q876" s="13" t="s">
        <v>3287</v>
      </c>
      <c r="R876" s="13" t="s">
        <v>3163</v>
      </c>
      <c r="S876" s="13" t="s">
        <v>33</v>
      </c>
      <c r="T876" s="13" t="s">
        <v>3164</v>
      </c>
      <c r="U876" s="13" t="s">
        <v>3164</v>
      </c>
      <c r="V876" s="13" t="s">
        <v>3166</v>
      </c>
      <c r="W876" s="13" t="s">
        <v>3167</v>
      </c>
      <c r="X876" s="13" t="s">
        <v>3224</v>
      </c>
    </row>
    <row r="877" ht="14.25" customHeight="1">
      <c r="A877" s="13">
        <v>25589.0</v>
      </c>
      <c r="B877" s="13" t="s">
        <v>197</v>
      </c>
      <c r="C877" s="13">
        <v>2018.0</v>
      </c>
      <c r="D877" s="13" t="s">
        <v>3153</v>
      </c>
      <c r="E877" s="13" t="s">
        <v>3169</v>
      </c>
      <c r="F877" s="13" t="s">
        <v>3170</v>
      </c>
      <c r="G877" s="13" t="s">
        <v>3187</v>
      </c>
      <c r="H877" s="13">
        <v>0.5</v>
      </c>
      <c r="I877" s="13" t="s">
        <v>3244</v>
      </c>
      <c r="J877" s="13" t="s">
        <v>3289</v>
      </c>
      <c r="K877" s="13" t="s">
        <v>3159</v>
      </c>
      <c r="L877" s="13" t="s">
        <v>3160</v>
      </c>
      <c r="M877" s="13" t="s">
        <v>3161</v>
      </c>
      <c r="N877" s="13">
        <v>1.0</v>
      </c>
      <c r="O877" s="13" t="s">
        <v>3162</v>
      </c>
      <c r="P877" s="13" t="s">
        <v>33</v>
      </c>
      <c r="Q877" s="13" t="s">
        <v>3437</v>
      </c>
      <c r="R877" s="13" t="s">
        <v>3163</v>
      </c>
      <c r="S877" s="13" t="s">
        <v>33</v>
      </c>
      <c r="T877" s="13" t="s">
        <v>3232</v>
      </c>
      <c r="U877" s="13" t="s">
        <v>3232</v>
      </c>
      <c r="V877" s="13" t="s">
        <v>3166</v>
      </c>
      <c r="W877" s="13" t="s">
        <v>3167</v>
      </c>
      <c r="X877" s="13" t="s">
        <v>3178</v>
      </c>
    </row>
    <row r="878" ht="14.25" customHeight="1">
      <c r="A878" s="13">
        <v>25591.0</v>
      </c>
      <c r="B878" s="13" t="s">
        <v>197</v>
      </c>
      <c r="C878" s="13">
        <v>2020.0</v>
      </c>
      <c r="D878" s="13" t="s">
        <v>3153</v>
      </c>
      <c r="E878" s="13" t="s">
        <v>3169</v>
      </c>
      <c r="F878" s="13" t="s">
        <v>3170</v>
      </c>
      <c r="G878" s="13" t="s">
        <v>3202</v>
      </c>
      <c r="H878" s="13">
        <v>200.0</v>
      </c>
      <c r="I878" s="13" t="s">
        <v>3188</v>
      </c>
      <c r="J878" s="13" t="s">
        <v>3402</v>
      </c>
      <c r="K878" s="13" t="s">
        <v>3159</v>
      </c>
      <c r="L878" s="13" t="s">
        <v>3160</v>
      </c>
      <c r="M878" s="13" t="s">
        <v>3230</v>
      </c>
      <c r="N878" s="13">
        <v>1.0</v>
      </c>
      <c r="O878" s="13" t="s">
        <v>3162</v>
      </c>
      <c r="P878" s="13" t="s">
        <v>33</v>
      </c>
      <c r="Q878" s="13" t="s">
        <v>3159</v>
      </c>
      <c r="R878" s="13" t="s">
        <v>3163</v>
      </c>
      <c r="S878" s="13" t="s">
        <v>33</v>
      </c>
      <c r="T878" s="13" t="s">
        <v>3165</v>
      </c>
      <c r="U878" s="13" t="s">
        <v>3197</v>
      </c>
      <c r="V878" s="13" t="s">
        <v>3166</v>
      </c>
      <c r="W878" s="13" t="s">
        <v>3167</v>
      </c>
      <c r="X878" s="13" t="s">
        <v>3367</v>
      </c>
    </row>
    <row r="879" ht="14.25" customHeight="1">
      <c r="A879" s="13">
        <v>25593.0</v>
      </c>
      <c r="B879" s="13" t="s">
        <v>945</v>
      </c>
      <c r="C879" s="13">
        <v>2012.0</v>
      </c>
      <c r="D879" s="13" t="s">
        <v>3153</v>
      </c>
      <c r="E879" s="13" t="s">
        <v>3169</v>
      </c>
      <c r="F879" s="13" t="s">
        <v>3211</v>
      </c>
      <c r="G879" s="13" t="s">
        <v>3156</v>
      </c>
      <c r="H879" s="13" t="s">
        <v>33</v>
      </c>
      <c r="I879" s="13" t="s">
        <v>3244</v>
      </c>
      <c r="J879" s="13" t="s">
        <v>4272</v>
      </c>
      <c r="K879" s="13" t="s">
        <v>3580</v>
      </c>
      <c r="L879" s="13" t="s">
        <v>3160</v>
      </c>
      <c r="M879" s="13" t="s">
        <v>3161</v>
      </c>
      <c r="N879" s="13">
        <v>1.0</v>
      </c>
      <c r="O879" s="13" t="s">
        <v>3162</v>
      </c>
      <c r="P879" s="13" t="s">
        <v>33</v>
      </c>
      <c r="Q879" s="13" t="s">
        <v>3159</v>
      </c>
      <c r="R879" s="13" t="s">
        <v>3163</v>
      </c>
      <c r="S879" s="13" t="s">
        <v>33</v>
      </c>
      <c r="T879" s="13" t="s">
        <v>3164</v>
      </c>
      <c r="U879" s="13" t="s">
        <v>3164</v>
      </c>
      <c r="V879" s="13" t="s">
        <v>3166</v>
      </c>
      <c r="W879" s="13" t="s">
        <v>3167</v>
      </c>
      <c r="X879" s="13" t="s">
        <v>3178</v>
      </c>
    </row>
    <row r="880" ht="14.25" customHeight="1">
      <c r="A880" s="13">
        <v>25598.0</v>
      </c>
      <c r="B880" s="13" t="s">
        <v>566</v>
      </c>
      <c r="C880" s="13">
        <v>2019.0</v>
      </c>
      <c r="D880" s="13" t="s">
        <v>3153</v>
      </c>
      <c r="E880" s="13" t="s">
        <v>3517</v>
      </c>
      <c r="F880" s="13" t="s">
        <v>3170</v>
      </c>
      <c r="G880" s="13" t="s">
        <v>3156</v>
      </c>
      <c r="H880" s="13" t="s">
        <v>33</v>
      </c>
      <c r="I880" s="13" t="s">
        <v>3171</v>
      </c>
      <c r="J880" s="13" t="s">
        <v>3378</v>
      </c>
      <c r="K880" s="13" t="s">
        <v>3580</v>
      </c>
      <c r="L880" s="13" t="s">
        <v>3160</v>
      </c>
      <c r="M880" s="13" t="s">
        <v>3342</v>
      </c>
      <c r="N880" s="13">
        <v>1.0</v>
      </c>
      <c r="O880" s="13" t="s">
        <v>3162</v>
      </c>
      <c r="P880" s="13" t="s">
        <v>33</v>
      </c>
      <c r="Q880" s="13" t="s">
        <v>3580</v>
      </c>
      <c r="R880" s="13" t="s">
        <v>3163</v>
      </c>
      <c r="S880" s="13" t="s">
        <v>33</v>
      </c>
      <c r="T880" s="13" t="s">
        <v>3232</v>
      </c>
      <c r="U880" s="13" t="s">
        <v>3232</v>
      </c>
      <c r="V880" s="13" t="s">
        <v>3166</v>
      </c>
      <c r="W880" s="13" t="s">
        <v>3167</v>
      </c>
      <c r="X880" s="13" t="s">
        <v>3168</v>
      </c>
    </row>
    <row r="881" ht="14.25" customHeight="1">
      <c r="A881" s="13">
        <v>25600.0</v>
      </c>
      <c r="B881" s="13" t="s">
        <v>1312</v>
      </c>
      <c r="C881" s="13">
        <v>2009.0</v>
      </c>
      <c r="D881" s="13" t="s">
        <v>3153</v>
      </c>
      <c r="E881" s="13" t="s">
        <v>3169</v>
      </c>
      <c r="F881" s="13" t="s">
        <v>3170</v>
      </c>
      <c r="G881" s="13" t="s">
        <v>33</v>
      </c>
      <c r="H881" s="13" t="s">
        <v>33</v>
      </c>
      <c r="I881" s="13" t="s">
        <v>3188</v>
      </c>
      <c r="J881" s="13" t="s">
        <v>3207</v>
      </c>
      <c r="K881" s="13" t="s">
        <v>3208</v>
      </c>
      <c r="L881" s="13" t="s">
        <v>3160</v>
      </c>
      <c r="M881" s="13" t="s">
        <v>4273</v>
      </c>
      <c r="N881" s="13">
        <v>2.0</v>
      </c>
      <c r="O881" s="13" t="s">
        <v>3162</v>
      </c>
      <c r="P881" s="13" t="s">
        <v>33</v>
      </c>
      <c r="Q881" s="13" t="s">
        <v>3273</v>
      </c>
      <c r="R881" s="13" t="s">
        <v>3163</v>
      </c>
      <c r="S881" s="13" t="s">
        <v>33</v>
      </c>
      <c r="T881" s="13" t="s">
        <v>3247</v>
      </c>
      <c r="U881" s="13" t="s">
        <v>3247</v>
      </c>
      <c r="V881" s="13" t="s">
        <v>3242</v>
      </c>
      <c r="W881" s="13" t="s">
        <v>3572</v>
      </c>
      <c r="X881" s="13" t="s">
        <v>3167</v>
      </c>
    </row>
    <row r="882" ht="14.25" customHeight="1">
      <c r="A882" s="13">
        <v>25601.0</v>
      </c>
      <c r="B882" s="13" t="s">
        <v>1312</v>
      </c>
      <c r="C882" s="13">
        <v>2017.0</v>
      </c>
      <c r="D882" s="13" t="s">
        <v>3153</v>
      </c>
      <c r="E882" s="13" t="s">
        <v>3169</v>
      </c>
      <c r="F882" s="13" t="s">
        <v>3170</v>
      </c>
      <c r="G882" s="13" t="s">
        <v>33</v>
      </c>
      <c r="H882" s="13" t="s">
        <v>33</v>
      </c>
      <c r="I882" s="13" t="s">
        <v>3188</v>
      </c>
      <c r="J882" s="13" t="s">
        <v>3207</v>
      </c>
      <c r="K882" s="13" t="s">
        <v>3208</v>
      </c>
      <c r="L882" s="13" t="s">
        <v>3160</v>
      </c>
      <c r="M882" s="13" t="s">
        <v>3605</v>
      </c>
      <c r="N882" s="13">
        <v>2.0</v>
      </c>
      <c r="O882" s="13" t="s">
        <v>3267</v>
      </c>
      <c r="P882" s="13" t="s">
        <v>33</v>
      </c>
      <c r="Q882" s="13" t="s">
        <v>3273</v>
      </c>
      <c r="R882" s="13" t="s">
        <v>3163</v>
      </c>
      <c r="S882" s="13" t="s">
        <v>33</v>
      </c>
      <c r="T882" s="13" t="s">
        <v>3247</v>
      </c>
      <c r="U882" s="13" t="s">
        <v>3247</v>
      </c>
      <c r="V882" s="13" t="s">
        <v>3242</v>
      </c>
      <c r="W882" s="13" t="s">
        <v>3496</v>
      </c>
      <c r="X882" s="13" t="s">
        <v>3167</v>
      </c>
    </row>
    <row r="883" ht="14.25" customHeight="1">
      <c r="A883" s="13">
        <v>25607.0</v>
      </c>
      <c r="B883" s="13" t="s">
        <v>2512</v>
      </c>
      <c r="C883" s="13">
        <v>2019.0</v>
      </c>
      <c r="D883" s="13" t="s">
        <v>3153</v>
      </c>
      <c r="E883" s="13" t="s">
        <v>3179</v>
      </c>
      <c r="F883" s="13" t="s">
        <v>3192</v>
      </c>
      <c r="G883" s="13" t="s">
        <v>3156</v>
      </c>
      <c r="H883" s="13" t="s">
        <v>33</v>
      </c>
      <c r="I883" s="13" t="s">
        <v>3249</v>
      </c>
      <c r="J883" s="13" t="s">
        <v>3600</v>
      </c>
      <c r="K883" s="13" t="s">
        <v>3186</v>
      </c>
      <c r="L883" s="13" t="s">
        <v>3160</v>
      </c>
      <c r="M883" s="13" t="s">
        <v>3342</v>
      </c>
      <c r="N883" s="13">
        <v>1.0</v>
      </c>
      <c r="O883" s="13" t="s">
        <v>3162</v>
      </c>
      <c r="P883" s="13" t="s">
        <v>33</v>
      </c>
      <c r="Q883" s="13" t="s">
        <v>3159</v>
      </c>
      <c r="R883" s="13" t="s">
        <v>3163</v>
      </c>
      <c r="S883" s="13" t="s">
        <v>33</v>
      </c>
      <c r="T883" s="13" t="s">
        <v>3232</v>
      </c>
      <c r="U883" s="13" t="s">
        <v>3232</v>
      </c>
      <c r="V883" s="13" t="s">
        <v>3166</v>
      </c>
      <c r="W883" s="13" t="s">
        <v>3167</v>
      </c>
      <c r="X883" s="13" t="s">
        <v>3225</v>
      </c>
    </row>
    <row r="884" ht="14.25" customHeight="1">
      <c r="A884" s="13">
        <v>25614.0</v>
      </c>
      <c r="B884" s="13" t="s">
        <v>4274</v>
      </c>
      <c r="C884" s="13">
        <v>2015.0</v>
      </c>
      <c r="D884" s="13" t="s">
        <v>3153</v>
      </c>
      <c r="E884" s="13" t="s">
        <v>3169</v>
      </c>
      <c r="F884" s="13" t="s">
        <v>3192</v>
      </c>
      <c r="G884" s="13" t="s">
        <v>3156</v>
      </c>
      <c r="H884" s="13" t="s">
        <v>33</v>
      </c>
      <c r="I884" s="13" t="s">
        <v>3222</v>
      </c>
      <c r="J884" s="13" t="s">
        <v>3182</v>
      </c>
      <c r="K884" s="13" t="s">
        <v>3159</v>
      </c>
      <c r="L884" s="13" t="s">
        <v>3160</v>
      </c>
      <c r="M884" s="13" t="s">
        <v>3161</v>
      </c>
      <c r="N884" s="13">
        <v>1.0</v>
      </c>
      <c r="O884" s="13" t="s">
        <v>3162</v>
      </c>
      <c r="P884" s="13" t="s">
        <v>33</v>
      </c>
      <c r="Q884" s="13" t="s">
        <v>3335</v>
      </c>
      <c r="R884" s="13" t="s">
        <v>3163</v>
      </c>
      <c r="S884" s="13" t="s">
        <v>4275</v>
      </c>
      <c r="T884" s="13" t="s">
        <v>3195</v>
      </c>
      <c r="U884" s="13" t="s">
        <v>3195</v>
      </c>
      <c r="V884" s="13" t="s">
        <v>3195</v>
      </c>
      <c r="W884" s="13" t="s">
        <v>3167</v>
      </c>
      <c r="X884" s="13" t="s">
        <v>3167</v>
      </c>
    </row>
    <row r="885" ht="14.25" customHeight="1">
      <c r="A885" s="13">
        <v>25618.0</v>
      </c>
      <c r="B885" s="13" t="s">
        <v>1640</v>
      </c>
      <c r="C885" s="13">
        <v>2018.0</v>
      </c>
      <c r="D885" s="13" t="s">
        <v>3153</v>
      </c>
      <c r="E885" s="13" t="s">
        <v>3169</v>
      </c>
      <c r="F885" s="13" t="s">
        <v>3192</v>
      </c>
      <c r="G885" s="13" t="s">
        <v>33</v>
      </c>
      <c r="H885" s="13" t="s">
        <v>33</v>
      </c>
      <c r="I885" s="13" t="s">
        <v>3188</v>
      </c>
      <c r="J885" s="13" t="s">
        <v>3189</v>
      </c>
      <c r="K885" s="13" t="s">
        <v>3333</v>
      </c>
      <c r="L885" s="13" t="s">
        <v>3177</v>
      </c>
      <c r="M885" s="13" t="s">
        <v>4276</v>
      </c>
      <c r="N885" s="13">
        <v>5.0</v>
      </c>
      <c r="O885" s="13" t="s">
        <v>3175</v>
      </c>
      <c r="P885" s="13" t="s">
        <v>33</v>
      </c>
      <c r="Q885" s="13" t="s">
        <v>4277</v>
      </c>
      <c r="R885" s="13" t="s">
        <v>3177</v>
      </c>
      <c r="S885" s="13" t="s">
        <v>33</v>
      </c>
      <c r="T885" s="13" t="s">
        <v>3197</v>
      </c>
      <c r="U885" s="13" t="s">
        <v>3197</v>
      </c>
      <c r="V885" s="13" t="s">
        <v>3253</v>
      </c>
      <c r="W885" s="13" t="s">
        <v>4278</v>
      </c>
      <c r="X885" s="13" t="s">
        <v>4279</v>
      </c>
    </row>
    <row r="886" ht="14.25" customHeight="1">
      <c r="A886" s="13">
        <v>25619.0</v>
      </c>
      <c r="B886" s="13" t="s">
        <v>1985</v>
      </c>
      <c r="C886" s="13">
        <v>2020.0</v>
      </c>
      <c r="D886" s="13" t="s">
        <v>3153</v>
      </c>
      <c r="E886" s="13" t="s">
        <v>3169</v>
      </c>
      <c r="F886" s="13" t="s">
        <v>3155</v>
      </c>
      <c r="G886" s="13" t="s">
        <v>3156</v>
      </c>
      <c r="H886" s="13" t="s">
        <v>33</v>
      </c>
      <c r="I886" s="13" t="s">
        <v>3157</v>
      </c>
      <c r="J886" s="13" t="s">
        <v>3307</v>
      </c>
      <c r="K886" s="13" t="s">
        <v>3381</v>
      </c>
      <c r="L886" s="13" t="s">
        <v>3160</v>
      </c>
      <c r="M886" s="13" t="s">
        <v>4280</v>
      </c>
      <c r="N886" s="13">
        <v>2.0</v>
      </c>
      <c r="O886" s="13" t="s">
        <v>3162</v>
      </c>
      <c r="P886" s="13" t="s">
        <v>3689</v>
      </c>
      <c r="Q886" s="13" t="s">
        <v>3186</v>
      </c>
      <c r="R886" s="13" t="s">
        <v>3163</v>
      </c>
      <c r="S886" s="13" t="s">
        <v>33</v>
      </c>
      <c r="T886" s="13" t="s">
        <v>3164</v>
      </c>
      <c r="U886" s="13" t="s">
        <v>3164</v>
      </c>
      <c r="V886" s="13" t="s">
        <v>3166</v>
      </c>
      <c r="W886" s="13" t="s">
        <v>3167</v>
      </c>
      <c r="X886" s="13" t="s">
        <v>3224</v>
      </c>
    </row>
    <row r="887" ht="14.25" customHeight="1">
      <c r="A887" s="13">
        <v>25628.0</v>
      </c>
      <c r="B887" s="13" t="s">
        <v>3037</v>
      </c>
      <c r="C887" s="13">
        <v>2020.0</v>
      </c>
      <c r="D887" s="13" t="s">
        <v>3153</v>
      </c>
      <c r="E887" s="13" t="s">
        <v>3179</v>
      </c>
      <c r="F887" s="13" t="s">
        <v>3192</v>
      </c>
      <c r="G887" s="13" t="s">
        <v>3202</v>
      </c>
      <c r="H887" s="13">
        <v>100.0</v>
      </c>
      <c r="I887" s="13" t="s">
        <v>3264</v>
      </c>
      <c r="J887" s="13" t="s">
        <v>3204</v>
      </c>
      <c r="K887" s="13" t="s">
        <v>3173</v>
      </c>
      <c r="L887" s="13" t="s">
        <v>3160</v>
      </c>
      <c r="M887" s="13" t="s">
        <v>3184</v>
      </c>
      <c r="N887" s="13">
        <v>1.0</v>
      </c>
      <c r="O887" s="13" t="s">
        <v>3162</v>
      </c>
      <c r="P887" s="13" t="s">
        <v>33</v>
      </c>
      <c r="Q887" s="13" t="s">
        <v>3702</v>
      </c>
      <c r="R887" s="13" t="s">
        <v>3177</v>
      </c>
      <c r="S887" s="13" t="s">
        <v>33</v>
      </c>
      <c r="T887" s="13" t="s">
        <v>3164</v>
      </c>
      <c r="U887" s="13" t="s">
        <v>3164</v>
      </c>
      <c r="V887" s="13" t="s">
        <v>3166</v>
      </c>
      <c r="W887" s="13" t="s">
        <v>3167</v>
      </c>
      <c r="X887" s="13" t="s">
        <v>3178</v>
      </c>
    </row>
    <row r="888" ht="14.25" customHeight="1">
      <c r="A888" s="13">
        <v>25622.0</v>
      </c>
      <c r="B888" s="13" t="s">
        <v>2177</v>
      </c>
      <c r="C888" s="13">
        <v>2014.0</v>
      </c>
      <c r="D888" s="13" t="s">
        <v>3153</v>
      </c>
      <c r="E888" s="13" t="s">
        <v>3169</v>
      </c>
      <c r="F888" s="13" t="s">
        <v>3170</v>
      </c>
      <c r="G888" s="13" t="s">
        <v>3202</v>
      </c>
      <c r="H888" s="13">
        <v>30.0</v>
      </c>
      <c r="I888" s="13" t="s">
        <v>3222</v>
      </c>
      <c r="J888" s="13" t="s">
        <v>3182</v>
      </c>
      <c r="K888" s="13" t="s">
        <v>3186</v>
      </c>
      <c r="L888" s="13" t="s">
        <v>3177</v>
      </c>
      <c r="M888" s="13" t="s">
        <v>4281</v>
      </c>
      <c r="N888" s="13">
        <v>4.0</v>
      </c>
      <c r="O888" s="13" t="s">
        <v>3175</v>
      </c>
      <c r="P888" s="13" t="s">
        <v>33</v>
      </c>
      <c r="Q888" s="13" t="s">
        <v>3201</v>
      </c>
      <c r="R888" s="13" t="s">
        <v>3177</v>
      </c>
      <c r="S888" s="13" t="s">
        <v>33</v>
      </c>
      <c r="T888" s="13" t="s">
        <v>3164</v>
      </c>
      <c r="U888" s="13" t="s">
        <v>3164</v>
      </c>
      <c r="V888" s="13" t="s">
        <v>3166</v>
      </c>
      <c r="W888" s="13" t="s">
        <v>3167</v>
      </c>
      <c r="X888" s="13" t="s">
        <v>3224</v>
      </c>
    </row>
    <row r="889" ht="14.25" customHeight="1">
      <c r="A889" s="13">
        <v>25625.0</v>
      </c>
      <c r="B889" s="13" t="s">
        <v>2177</v>
      </c>
      <c r="C889" s="13">
        <v>2017.0</v>
      </c>
      <c r="D889" s="13" t="s">
        <v>3153</v>
      </c>
      <c r="E889" s="13" t="s">
        <v>3169</v>
      </c>
      <c r="F889" s="13" t="s">
        <v>3170</v>
      </c>
      <c r="G889" s="13" t="s">
        <v>3156</v>
      </c>
      <c r="H889" s="13" t="s">
        <v>33</v>
      </c>
      <c r="I889" s="13" t="s">
        <v>3222</v>
      </c>
      <c r="J889" s="13" t="s">
        <v>3182</v>
      </c>
      <c r="K889" s="13" t="s">
        <v>3159</v>
      </c>
      <c r="L889" s="13" t="s">
        <v>3160</v>
      </c>
      <c r="M889" s="13" t="s">
        <v>3331</v>
      </c>
      <c r="N889" s="13">
        <v>1.0</v>
      </c>
      <c r="O889" s="13" t="s">
        <v>3162</v>
      </c>
      <c r="P889" s="13" t="s">
        <v>33</v>
      </c>
      <c r="Q889" s="13" t="s">
        <v>3159</v>
      </c>
      <c r="R889" s="13" t="s">
        <v>3163</v>
      </c>
      <c r="S889" s="13" t="s">
        <v>33</v>
      </c>
      <c r="T889" s="13" t="s">
        <v>3164</v>
      </c>
      <c r="U889" s="13" t="s">
        <v>3164</v>
      </c>
      <c r="V889" s="13" t="s">
        <v>3166</v>
      </c>
      <c r="W889" s="13" t="s">
        <v>3167</v>
      </c>
      <c r="X889" s="13" t="s">
        <v>3224</v>
      </c>
    </row>
    <row r="890" ht="14.25" customHeight="1">
      <c r="A890" s="13">
        <v>25629.0</v>
      </c>
      <c r="B890" s="13" t="s">
        <v>79</v>
      </c>
      <c r="C890" s="13">
        <v>2015.0</v>
      </c>
      <c r="D890" s="13" t="s">
        <v>3153</v>
      </c>
      <c r="E890" s="13" t="s">
        <v>3179</v>
      </c>
      <c r="F890" s="13" t="s">
        <v>3192</v>
      </c>
      <c r="G890" s="13" t="s">
        <v>3156</v>
      </c>
      <c r="H890" s="13" t="s">
        <v>33</v>
      </c>
      <c r="I890" s="13" t="s">
        <v>3261</v>
      </c>
      <c r="J890" s="13" t="s">
        <v>3900</v>
      </c>
      <c r="K890" s="13" t="s">
        <v>3218</v>
      </c>
      <c r="L890" s="13" t="s">
        <v>3177</v>
      </c>
      <c r="M890" s="13" t="s">
        <v>4282</v>
      </c>
      <c r="N890" s="13">
        <v>3.0</v>
      </c>
      <c r="O890" s="13" t="s">
        <v>3175</v>
      </c>
      <c r="P890" s="13" t="s">
        <v>4283</v>
      </c>
      <c r="Q890" s="13" t="s">
        <v>3201</v>
      </c>
      <c r="R890" s="13" t="s">
        <v>3163</v>
      </c>
      <c r="S890" s="13" t="s">
        <v>33</v>
      </c>
      <c r="T890" s="13" t="s">
        <v>3197</v>
      </c>
      <c r="U890" s="13" t="s">
        <v>3197</v>
      </c>
      <c r="V890" s="13" t="s">
        <v>3166</v>
      </c>
      <c r="W890" s="13" t="s">
        <v>3167</v>
      </c>
      <c r="X890" s="13" t="s">
        <v>3255</v>
      </c>
    </row>
    <row r="891" ht="14.25" customHeight="1">
      <c r="A891" s="13">
        <v>25630.0</v>
      </c>
      <c r="B891" s="13" t="s">
        <v>2611</v>
      </c>
      <c r="C891" s="13">
        <v>2011.0</v>
      </c>
      <c r="D891" s="13" t="s">
        <v>3153</v>
      </c>
      <c r="E891" s="13" t="s">
        <v>3169</v>
      </c>
      <c r="F891" s="13" t="s">
        <v>3170</v>
      </c>
      <c r="G891" s="13" t="s">
        <v>3156</v>
      </c>
      <c r="H891" s="13" t="s">
        <v>33</v>
      </c>
      <c r="I891" s="13" t="s">
        <v>3222</v>
      </c>
      <c r="J891" s="13" t="s">
        <v>3182</v>
      </c>
      <c r="K891" s="13" t="s">
        <v>3159</v>
      </c>
      <c r="L891" s="13" t="s">
        <v>3160</v>
      </c>
      <c r="M891" s="13" t="s">
        <v>3161</v>
      </c>
      <c r="N891" s="13">
        <v>1.0</v>
      </c>
      <c r="O891" s="13" t="s">
        <v>3162</v>
      </c>
      <c r="P891" s="13" t="s">
        <v>33</v>
      </c>
      <c r="Q891" s="13" t="s">
        <v>3210</v>
      </c>
      <c r="R891" s="13" t="s">
        <v>3163</v>
      </c>
      <c r="S891" s="13" t="s">
        <v>33</v>
      </c>
      <c r="T891" s="13" t="s">
        <v>3195</v>
      </c>
      <c r="U891" s="13" t="s">
        <v>3195</v>
      </c>
      <c r="V891" s="13" t="s">
        <v>3195</v>
      </c>
      <c r="W891" s="13" t="s">
        <v>3167</v>
      </c>
      <c r="X891" s="13" t="s">
        <v>3167</v>
      </c>
    </row>
    <row r="892" ht="14.25" customHeight="1">
      <c r="A892" s="13">
        <v>25633.0</v>
      </c>
      <c r="B892" s="13" t="s">
        <v>2568</v>
      </c>
      <c r="C892" s="13">
        <v>2014.0</v>
      </c>
      <c r="D892" s="13" t="s">
        <v>3153</v>
      </c>
      <c r="E892" s="13" t="s">
        <v>3169</v>
      </c>
      <c r="F892" s="13" t="s">
        <v>3170</v>
      </c>
      <c r="G892" s="13" t="s">
        <v>3156</v>
      </c>
      <c r="H892" s="13" t="s">
        <v>33</v>
      </c>
      <c r="I892" s="13" t="s">
        <v>3188</v>
      </c>
      <c r="J892" s="13" t="s">
        <v>3432</v>
      </c>
      <c r="K892" s="13" t="s">
        <v>3183</v>
      </c>
      <c r="L892" s="13" t="s">
        <v>3160</v>
      </c>
      <c r="M892" s="13" t="s">
        <v>3391</v>
      </c>
      <c r="N892" s="13">
        <v>1.0</v>
      </c>
      <c r="O892" s="13" t="s">
        <v>3162</v>
      </c>
      <c r="P892" s="13" t="s">
        <v>4284</v>
      </c>
      <c r="Q892" s="13" t="s">
        <v>3186</v>
      </c>
      <c r="R892" s="13" t="s">
        <v>3177</v>
      </c>
      <c r="S892" s="13" t="s">
        <v>33</v>
      </c>
      <c r="T892" s="13" t="s">
        <v>3164</v>
      </c>
      <c r="U892" s="13" t="s">
        <v>3165</v>
      </c>
      <c r="V892" s="13" t="s">
        <v>3166</v>
      </c>
      <c r="W892" s="13" t="s">
        <v>3167</v>
      </c>
      <c r="X892" s="13" t="s">
        <v>3178</v>
      </c>
    </row>
    <row r="893" ht="14.25" customHeight="1">
      <c r="A893" s="13">
        <v>25636.0</v>
      </c>
      <c r="B893" s="13" t="s">
        <v>2764</v>
      </c>
      <c r="C893" s="13">
        <v>2019.0</v>
      </c>
      <c r="D893" s="13" t="s">
        <v>3153</v>
      </c>
      <c r="E893" s="13" t="s">
        <v>3169</v>
      </c>
      <c r="F893" s="13" t="s">
        <v>3170</v>
      </c>
      <c r="G893" s="13" t="s">
        <v>3156</v>
      </c>
      <c r="H893" s="13" t="s">
        <v>33</v>
      </c>
      <c r="I893" s="13" t="s">
        <v>3171</v>
      </c>
      <c r="J893" s="13" t="s">
        <v>4285</v>
      </c>
      <c r="K893" s="13" t="s">
        <v>3173</v>
      </c>
      <c r="L893" s="13" t="s">
        <v>3160</v>
      </c>
      <c r="M893" s="13" t="s">
        <v>4286</v>
      </c>
      <c r="N893" s="13">
        <v>5.0</v>
      </c>
      <c r="O893" s="13" t="s">
        <v>3162</v>
      </c>
      <c r="P893" s="13" t="s">
        <v>33</v>
      </c>
      <c r="Q893" s="13" t="s">
        <v>3159</v>
      </c>
      <c r="R893" s="13" t="s">
        <v>3163</v>
      </c>
      <c r="S893" s="13" t="s">
        <v>33</v>
      </c>
      <c r="T893" s="13" t="s">
        <v>3164</v>
      </c>
      <c r="U893" s="13" t="s">
        <v>3232</v>
      </c>
      <c r="V893" s="13" t="s">
        <v>3166</v>
      </c>
      <c r="W893" s="13" t="s">
        <v>3167</v>
      </c>
      <c r="X893" s="13" t="s">
        <v>3178</v>
      </c>
    </row>
    <row r="894" ht="14.25" customHeight="1">
      <c r="A894" s="13">
        <v>25640.0</v>
      </c>
      <c r="B894" s="13" t="s">
        <v>4287</v>
      </c>
      <c r="C894" s="13">
        <v>2006.0</v>
      </c>
      <c r="D894" s="13" t="s">
        <v>3153</v>
      </c>
      <c r="E894" s="13" t="s">
        <v>3169</v>
      </c>
      <c r="F894" s="13" t="s">
        <v>3192</v>
      </c>
      <c r="G894" s="13" t="s">
        <v>3202</v>
      </c>
      <c r="H894" s="13" t="s">
        <v>3202</v>
      </c>
      <c r="I894" s="13" t="s">
        <v>3188</v>
      </c>
      <c r="J894" s="13" t="s">
        <v>3394</v>
      </c>
      <c r="K894" s="13" t="s">
        <v>4212</v>
      </c>
      <c r="L894" s="13" t="s">
        <v>3160</v>
      </c>
      <c r="M894" s="13" t="s">
        <v>4288</v>
      </c>
      <c r="N894" s="13">
        <v>4.0</v>
      </c>
      <c r="O894" s="13" t="s">
        <v>3267</v>
      </c>
      <c r="P894" s="13" t="s">
        <v>3167</v>
      </c>
      <c r="Q894" s="13" t="s">
        <v>3273</v>
      </c>
      <c r="R894" s="13" t="s">
        <v>3231</v>
      </c>
      <c r="S894" s="13" t="s">
        <v>33</v>
      </c>
      <c r="T894" s="13" t="s">
        <v>3247</v>
      </c>
      <c r="U894" s="13" t="s">
        <v>3247</v>
      </c>
      <c r="V894" s="13" t="s">
        <v>3242</v>
      </c>
      <c r="W894" s="13" t="s">
        <v>3248</v>
      </c>
      <c r="X894" s="13" t="s">
        <v>3167</v>
      </c>
    </row>
    <row r="895" ht="14.25" customHeight="1">
      <c r="A895" s="13">
        <v>25642.0</v>
      </c>
      <c r="B895" s="13" t="s">
        <v>1212</v>
      </c>
      <c r="C895" s="13">
        <v>2016.0</v>
      </c>
      <c r="D895" s="13" t="s">
        <v>3153</v>
      </c>
      <c r="E895" s="13" t="s">
        <v>3169</v>
      </c>
      <c r="F895" s="13" t="s">
        <v>3170</v>
      </c>
      <c r="G895" s="13" t="s">
        <v>3156</v>
      </c>
      <c r="H895" s="13" t="s">
        <v>3167</v>
      </c>
      <c r="I895" s="13" t="s">
        <v>3171</v>
      </c>
      <c r="J895" s="13" t="s">
        <v>4289</v>
      </c>
      <c r="K895" s="13" t="s">
        <v>3159</v>
      </c>
      <c r="L895" s="13" t="s">
        <v>3160</v>
      </c>
      <c r="M895" s="13" t="s">
        <v>3288</v>
      </c>
      <c r="N895" s="13">
        <v>3.0</v>
      </c>
      <c r="O895" s="13" t="s">
        <v>3162</v>
      </c>
      <c r="P895" s="13" t="s">
        <v>4290</v>
      </c>
      <c r="Q895" s="13" t="s">
        <v>3159</v>
      </c>
      <c r="R895" s="13" t="s">
        <v>3260</v>
      </c>
      <c r="S895" s="13" t="s">
        <v>33</v>
      </c>
      <c r="T895" s="13" t="s">
        <v>3164</v>
      </c>
      <c r="U895" s="13" t="s">
        <v>3164</v>
      </c>
      <c r="V895" s="13" t="s">
        <v>3166</v>
      </c>
      <c r="W895" s="13" t="s">
        <v>3167</v>
      </c>
      <c r="X895" s="13" t="s">
        <v>3178</v>
      </c>
    </row>
    <row r="896" ht="14.25" customHeight="1">
      <c r="A896" s="13">
        <v>25643.0</v>
      </c>
      <c r="B896" s="13" t="s">
        <v>888</v>
      </c>
      <c r="C896" s="13">
        <v>2012.0</v>
      </c>
      <c r="D896" s="13" t="s">
        <v>3153</v>
      </c>
      <c r="E896" s="13" t="s">
        <v>3684</v>
      </c>
      <c r="F896" s="13" t="s">
        <v>3217</v>
      </c>
      <c r="G896" s="13" t="s">
        <v>3156</v>
      </c>
      <c r="H896" s="13" t="s">
        <v>33</v>
      </c>
      <c r="I896" s="13" t="s">
        <v>3167</v>
      </c>
      <c r="J896" s="13" t="s">
        <v>3167</v>
      </c>
      <c r="K896" s="13" t="s">
        <v>3195</v>
      </c>
      <c r="L896" s="13" t="s">
        <v>3160</v>
      </c>
      <c r="M896" s="13" t="s">
        <v>4291</v>
      </c>
      <c r="N896" s="13">
        <v>2.0</v>
      </c>
      <c r="O896" s="13" t="s">
        <v>3162</v>
      </c>
      <c r="P896" s="13" t="s">
        <v>33</v>
      </c>
      <c r="Q896" s="13" t="s">
        <v>3195</v>
      </c>
      <c r="R896" s="13" t="s">
        <v>3163</v>
      </c>
      <c r="S896" s="13" t="s">
        <v>33</v>
      </c>
      <c r="T896" s="13" t="s">
        <v>3247</v>
      </c>
      <c r="U896" s="13" t="s">
        <v>3247</v>
      </c>
      <c r="V896" s="13" t="s">
        <v>3166</v>
      </c>
      <c r="W896" s="13" t="s">
        <v>3167</v>
      </c>
      <c r="X896" s="13" t="s">
        <v>4292</v>
      </c>
    </row>
    <row r="897" ht="14.25" customHeight="1">
      <c r="A897" s="13">
        <v>25645.0</v>
      </c>
      <c r="B897" s="13" t="s">
        <v>1740</v>
      </c>
      <c r="C897" s="13">
        <v>2019.0</v>
      </c>
      <c r="D897" s="13" t="s">
        <v>3153</v>
      </c>
      <c r="E897" s="13" t="s">
        <v>3465</v>
      </c>
      <c r="F897" s="13" t="s">
        <v>3170</v>
      </c>
      <c r="G897" s="13" t="s">
        <v>3202</v>
      </c>
      <c r="H897" s="13">
        <v>500.0</v>
      </c>
      <c r="I897" s="13" t="s">
        <v>3188</v>
      </c>
      <c r="J897" s="13" t="s">
        <v>3194</v>
      </c>
      <c r="K897" s="13" t="s">
        <v>3208</v>
      </c>
      <c r="L897" s="13" t="s">
        <v>3160</v>
      </c>
      <c r="M897" s="13" t="s">
        <v>4265</v>
      </c>
      <c r="N897" s="13">
        <v>3.0</v>
      </c>
      <c r="O897" s="13" t="s">
        <v>3267</v>
      </c>
      <c r="P897" s="13" t="s">
        <v>3167</v>
      </c>
      <c r="Q897" s="13" t="s">
        <v>3379</v>
      </c>
      <c r="R897" s="13" t="s">
        <v>3231</v>
      </c>
      <c r="S897" s="13" t="s">
        <v>33</v>
      </c>
      <c r="T897" s="13" t="s">
        <v>3247</v>
      </c>
      <c r="U897" s="13" t="s">
        <v>3247</v>
      </c>
      <c r="V897" s="13" t="s">
        <v>3242</v>
      </c>
      <c r="W897" s="13" t="s">
        <v>3248</v>
      </c>
      <c r="X897" s="13" t="s">
        <v>3167</v>
      </c>
    </row>
    <row r="898" ht="14.25" customHeight="1">
      <c r="A898" s="13">
        <v>25646.0</v>
      </c>
      <c r="B898" s="13" t="s">
        <v>694</v>
      </c>
      <c r="C898" s="13">
        <v>2020.0</v>
      </c>
      <c r="D898" s="13" t="s">
        <v>3153</v>
      </c>
      <c r="E898" s="13" t="s">
        <v>3169</v>
      </c>
      <c r="F898" s="13" t="s">
        <v>3284</v>
      </c>
      <c r="G898" s="13" t="s">
        <v>3180</v>
      </c>
      <c r="H898" s="13">
        <v>0.5</v>
      </c>
      <c r="I898" s="13" t="s">
        <v>4293</v>
      </c>
      <c r="J898" s="13" t="s">
        <v>3167</v>
      </c>
      <c r="K898" s="13" t="s">
        <v>3183</v>
      </c>
      <c r="L898" s="13" t="s">
        <v>3177</v>
      </c>
      <c r="M898" s="13" t="s">
        <v>3578</v>
      </c>
      <c r="N898" s="13">
        <v>2.0</v>
      </c>
      <c r="O898" s="13" t="s">
        <v>3267</v>
      </c>
      <c r="P898" s="13" t="s">
        <v>4259</v>
      </c>
      <c r="Q898" s="13" t="s">
        <v>3183</v>
      </c>
      <c r="R898" s="13" t="s">
        <v>3177</v>
      </c>
      <c r="S898" s="13" t="s">
        <v>33</v>
      </c>
      <c r="T898" s="13" t="s">
        <v>3165</v>
      </c>
      <c r="U898" s="13" t="s">
        <v>3165</v>
      </c>
      <c r="V898" s="13" t="s">
        <v>3166</v>
      </c>
      <c r="W898" s="13" t="s">
        <v>3167</v>
      </c>
      <c r="X898" s="13" t="s">
        <v>3168</v>
      </c>
    </row>
    <row r="899" ht="14.25" customHeight="1">
      <c r="A899" s="13">
        <v>25651.0</v>
      </c>
      <c r="B899" s="13" t="s">
        <v>897</v>
      </c>
      <c r="C899" s="13">
        <v>2019.0</v>
      </c>
      <c r="D899" s="13" t="s">
        <v>3153</v>
      </c>
      <c r="E899" s="13" t="s">
        <v>3179</v>
      </c>
      <c r="F899" s="13" t="s">
        <v>3170</v>
      </c>
      <c r="G899" s="13" t="s">
        <v>3156</v>
      </c>
      <c r="H899" s="13" t="s">
        <v>33</v>
      </c>
      <c r="I899" s="13" t="s">
        <v>3261</v>
      </c>
      <c r="J899" s="13" t="s">
        <v>3570</v>
      </c>
      <c r="K899" s="13" t="s">
        <v>3159</v>
      </c>
      <c r="L899" s="13" t="s">
        <v>3160</v>
      </c>
      <c r="M899" s="13" t="s">
        <v>3342</v>
      </c>
      <c r="N899" s="13">
        <v>1.0</v>
      </c>
      <c r="O899" s="13" t="s">
        <v>3162</v>
      </c>
      <c r="P899" s="13" t="s">
        <v>33</v>
      </c>
      <c r="Q899" s="13" t="s">
        <v>3159</v>
      </c>
      <c r="R899" s="13" t="s">
        <v>3163</v>
      </c>
      <c r="S899" s="13" t="s">
        <v>33</v>
      </c>
      <c r="T899" s="13" t="s">
        <v>3164</v>
      </c>
      <c r="U899" s="13" t="s">
        <v>3164</v>
      </c>
      <c r="V899" s="13" t="s">
        <v>3166</v>
      </c>
      <c r="W899" s="13" t="s">
        <v>3167</v>
      </c>
      <c r="X899" s="13" t="s">
        <v>3168</v>
      </c>
    </row>
    <row r="900" ht="14.25" customHeight="1">
      <c r="A900" s="13">
        <v>25654.0</v>
      </c>
      <c r="B900" s="13" t="s">
        <v>283</v>
      </c>
      <c r="C900" s="13">
        <v>2020.0</v>
      </c>
      <c r="D900" s="13" t="s">
        <v>3153</v>
      </c>
      <c r="E900" s="13" t="s">
        <v>3169</v>
      </c>
      <c r="F900" s="13" t="s">
        <v>3211</v>
      </c>
      <c r="G900" s="13" t="s">
        <v>3156</v>
      </c>
      <c r="H900" s="13" t="s">
        <v>33</v>
      </c>
      <c r="I900" s="13" t="s">
        <v>4138</v>
      </c>
      <c r="J900" s="13" t="s">
        <v>4294</v>
      </c>
      <c r="K900" s="13" t="s">
        <v>3159</v>
      </c>
      <c r="L900" s="13" t="s">
        <v>3160</v>
      </c>
      <c r="M900" s="13" t="s">
        <v>3230</v>
      </c>
      <c r="N900" s="13">
        <v>1.0</v>
      </c>
      <c r="O900" s="13" t="s">
        <v>3162</v>
      </c>
      <c r="P900" s="13" t="s">
        <v>33</v>
      </c>
      <c r="Q900" s="13" t="s">
        <v>3159</v>
      </c>
      <c r="R900" s="13" t="s">
        <v>3163</v>
      </c>
      <c r="S900" s="13" t="s">
        <v>33</v>
      </c>
      <c r="T900" s="13" t="s">
        <v>3232</v>
      </c>
      <c r="U900" s="13" t="s">
        <v>3232</v>
      </c>
      <c r="V900" s="13" t="s">
        <v>3166</v>
      </c>
      <c r="W900" s="13" t="s">
        <v>3167</v>
      </c>
      <c r="X900" s="13" t="s">
        <v>3178</v>
      </c>
    </row>
    <row r="901" ht="14.25" customHeight="1">
      <c r="A901" s="13">
        <v>25656.0</v>
      </c>
      <c r="B901" s="13" t="s">
        <v>1160</v>
      </c>
      <c r="C901" s="13">
        <v>2016.0</v>
      </c>
      <c r="D901" s="13" t="s">
        <v>3153</v>
      </c>
      <c r="E901" s="13" t="s">
        <v>3169</v>
      </c>
      <c r="F901" s="13" t="s">
        <v>3211</v>
      </c>
      <c r="G901" s="13" t="s">
        <v>3156</v>
      </c>
      <c r="H901" s="13" t="s">
        <v>33</v>
      </c>
      <c r="I901" s="13" t="s">
        <v>3157</v>
      </c>
      <c r="J901" s="13" t="s">
        <v>4295</v>
      </c>
      <c r="K901" s="13" t="s">
        <v>3159</v>
      </c>
      <c r="L901" s="13" t="s">
        <v>3160</v>
      </c>
      <c r="M901" s="13" t="s">
        <v>3161</v>
      </c>
      <c r="N901" s="13">
        <v>1.0</v>
      </c>
      <c r="O901" s="13" t="s">
        <v>3162</v>
      </c>
      <c r="P901" s="13" t="s">
        <v>33</v>
      </c>
      <c r="Q901" s="13" t="s">
        <v>3159</v>
      </c>
      <c r="R901" s="13" t="s">
        <v>3163</v>
      </c>
      <c r="S901" s="13" t="s">
        <v>33</v>
      </c>
      <c r="T901" s="13" t="s">
        <v>3232</v>
      </c>
      <c r="U901" s="13" t="s">
        <v>3232</v>
      </c>
      <c r="V901" s="13" t="s">
        <v>3166</v>
      </c>
      <c r="W901" s="13" t="s">
        <v>3167</v>
      </c>
      <c r="X901" s="13" t="s">
        <v>3324</v>
      </c>
    </row>
    <row r="902" ht="14.25" customHeight="1">
      <c r="A902" s="13">
        <v>25664.0</v>
      </c>
      <c r="B902" s="13" t="s">
        <v>65</v>
      </c>
      <c r="C902" s="13">
        <v>2017.0</v>
      </c>
      <c r="D902" s="13" t="s">
        <v>3315</v>
      </c>
      <c r="E902" s="13" t="s">
        <v>3169</v>
      </c>
      <c r="F902" s="13" t="s">
        <v>3284</v>
      </c>
      <c r="G902" s="13" t="s">
        <v>3156</v>
      </c>
      <c r="H902" s="13" t="s">
        <v>33</v>
      </c>
      <c r="I902" s="13" t="s">
        <v>3244</v>
      </c>
      <c r="J902" s="13" t="s">
        <v>3262</v>
      </c>
      <c r="K902" s="13" t="s">
        <v>3173</v>
      </c>
      <c r="L902" s="13" t="s">
        <v>3160</v>
      </c>
      <c r="M902" s="13" t="s">
        <v>3391</v>
      </c>
      <c r="N902" s="13">
        <v>1.0</v>
      </c>
      <c r="O902" s="13" t="s">
        <v>3162</v>
      </c>
      <c r="P902" s="13" t="s">
        <v>33</v>
      </c>
      <c r="Q902" s="13" t="s">
        <v>3173</v>
      </c>
      <c r="R902" s="13" t="s">
        <v>3177</v>
      </c>
      <c r="S902" s="13" t="s">
        <v>33</v>
      </c>
      <c r="T902" s="13" t="s">
        <v>3232</v>
      </c>
      <c r="U902" s="13" t="s">
        <v>3232</v>
      </c>
      <c r="V902" s="13" t="s">
        <v>3166</v>
      </c>
      <c r="W902" s="13" t="s">
        <v>3167</v>
      </c>
      <c r="X902" s="13" t="s">
        <v>3224</v>
      </c>
    </row>
    <row r="903" ht="14.25" customHeight="1">
      <c r="A903" s="13">
        <v>25671.0</v>
      </c>
      <c r="B903" s="13" t="s">
        <v>2254</v>
      </c>
      <c r="C903" s="13">
        <v>2013.0</v>
      </c>
      <c r="D903" s="13" t="s">
        <v>3153</v>
      </c>
      <c r="E903" s="13" t="s">
        <v>3154</v>
      </c>
      <c r="F903" s="13" t="s">
        <v>3211</v>
      </c>
      <c r="G903" s="13" t="s">
        <v>33</v>
      </c>
      <c r="H903" s="13" t="s">
        <v>33</v>
      </c>
      <c r="I903" s="13" t="s">
        <v>3244</v>
      </c>
      <c r="J903" s="13" t="s">
        <v>4296</v>
      </c>
      <c r="K903" s="13" t="s">
        <v>3265</v>
      </c>
      <c r="L903" s="13" t="s">
        <v>3160</v>
      </c>
      <c r="M903" s="13" t="s">
        <v>3288</v>
      </c>
      <c r="N903" s="13">
        <v>3.0</v>
      </c>
      <c r="O903" s="13" t="s">
        <v>3162</v>
      </c>
      <c r="P903" s="13" t="s">
        <v>33</v>
      </c>
      <c r="Q903" s="13" t="s">
        <v>3186</v>
      </c>
      <c r="R903" s="13" t="s">
        <v>3177</v>
      </c>
      <c r="S903" s="13" t="s">
        <v>33</v>
      </c>
      <c r="T903" s="13" t="s">
        <v>3232</v>
      </c>
      <c r="U903" s="13" t="s">
        <v>3232</v>
      </c>
      <c r="V903" s="13" t="s">
        <v>3166</v>
      </c>
      <c r="W903" s="13" t="s">
        <v>3167</v>
      </c>
      <c r="X903" s="13" t="s">
        <v>3224</v>
      </c>
    </row>
    <row r="904" ht="14.25" customHeight="1">
      <c r="A904" s="13">
        <v>25674.0</v>
      </c>
      <c r="B904" s="13" t="s">
        <v>2904</v>
      </c>
      <c r="C904" s="13">
        <v>2010.0</v>
      </c>
      <c r="D904" s="13" t="s">
        <v>3153</v>
      </c>
      <c r="E904" s="13" t="s">
        <v>3179</v>
      </c>
      <c r="F904" s="13" t="s">
        <v>3192</v>
      </c>
      <c r="G904" s="13" t="s">
        <v>3156</v>
      </c>
      <c r="H904" s="13" t="s">
        <v>33</v>
      </c>
      <c r="I904" s="13" t="s">
        <v>3261</v>
      </c>
      <c r="J904" s="13" t="s">
        <v>3240</v>
      </c>
      <c r="K904" s="13" t="s">
        <v>3159</v>
      </c>
      <c r="L904" s="13" t="s">
        <v>3160</v>
      </c>
      <c r="M904" s="13" t="s">
        <v>3342</v>
      </c>
      <c r="N904" s="13">
        <v>1.0</v>
      </c>
      <c r="O904" s="13" t="s">
        <v>3162</v>
      </c>
      <c r="P904" s="13" t="s">
        <v>33</v>
      </c>
      <c r="Q904" s="13" t="s">
        <v>3186</v>
      </c>
      <c r="R904" s="13" t="s">
        <v>3177</v>
      </c>
      <c r="S904" s="13" t="s">
        <v>33</v>
      </c>
      <c r="T904" s="13" t="s">
        <v>3164</v>
      </c>
      <c r="U904" s="13" t="s">
        <v>3247</v>
      </c>
      <c r="V904" s="13" t="s">
        <v>3166</v>
      </c>
      <c r="W904" s="13" t="s">
        <v>3167</v>
      </c>
      <c r="X904" s="13" t="s">
        <v>4297</v>
      </c>
    </row>
    <row r="905" ht="14.25" customHeight="1">
      <c r="A905" s="13">
        <v>25676.0</v>
      </c>
      <c r="B905" s="13" t="s">
        <v>2310</v>
      </c>
      <c r="C905" s="13">
        <v>2015.0</v>
      </c>
      <c r="D905" s="13" t="s">
        <v>3153</v>
      </c>
      <c r="E905" s="13" t="s">
        <v>3179</v>
      </c>
      <c r="F905" s="13" t="s">
        <v>3155</v>
      </c>
      <c r="G905" s="13" t="s">
        <v>3187</v>
      </c>
      <c r="H905" s="13">
        <v>31.0</v>
      </c>
      <c r="I905" s="13" t="s">
        <v>3261</v>
      </c>
      <c r="J905" s="13" t="s">
        <v>3400</v>
      </c>
      <c r="K905" s="13" t="s">
        <v>3186</v>
      </c>
      <c r="L905" s="13" t="s">
        <v>3177</v>
      </c>
      <c r="M905" s="13" t="s">
        <v>3342</v>
      </c>
      <c r="N905" s="13">
        <v>1.0</v>
      </c>
      <c r="O905" s="13" t="s">
        <v>3162</v>
      </c>
      <c r="P905" s="13" t="s">
        <v>33</v>
      </c>
      <c r="Q905" s="13" t="s">
        <v>3186</v>
      </c>
      <c r="R905" s="13" t="s">
        <v>3177</v>
      </c>
      <c r="S905" s="13" t="s">
        <v>33</v>
      </c>
      <c r="T905" s="13" t="s">
        <v>3252</v>
      </c>
      <c r="U905" s="13" t="s">
        <v>3252</v>
      </c>
      <c r="V905" s="13" t="s">
        <v>3253</v>
      </c>
      <c r="W905" s="13" t="s">
        <v>3496</v>
      </c>
      <c r="X905" s="13" t="s">
        <v>3632</v>
      </c>
    </row>
    <row r="906" ht="14.25" customHeight="1">
      <c r="A906" s="13">
        <v>25675.0</v>
      </c>
      <c r="B906" s="13" t="s">
        <v>2121</v>
      </c>
      <c r="C906" s="13">
        <v>2009.0</v>
      </c>
      <c r="D906" s="13" t="s">
        <v>3153</v>
      </c>
      <c r="E906" s="13" t="s">
        <v>3179</v>
      </c>
      <c r="F906" s="13" t="s">
        <v>3170</v>
      </c>
      <c r="G906" s="13" t="s">
        <v>3202</v>
      </c>
      <c r="H906" s="13">
        <v>50.0</v>
      </c>
      <c r="I906" s="13" t="s">
        <v>3249</v>
      </c>
      <c r="J906" s="13" t="s">
        <v>3199</v>
      </c>
      <c r="K906" s="13" t="s">
        <v>3159</v>
      </c>
      <c r="L906" s="13" t="s">
        <v>3177</v>
      </c>
      <c r="M906" s="13" t="s">
        <v>3342</v>
      </c>
      <c r="N906" s="13">
        <v>1.0</v>
      </c>
      <c r="O906" s="13" t="s">
        <v>3162</v>
      </c>
      <c r="P906" s="13" t="s">
        <v>33</v>
      </c>
      <c r="Q906" s="13" t="s">
        <v>3159</v>
      </c>
      <c r="R906" s="13" t="s">
        <v>3177</v>
      </c>
      <c r="S906" s="13" t="s">
        <v>33</v>
      </c>
      <c r="T906" s="13" t="s">
        <v>3197</v>
      </c>
      <c r="U906" s="13" t="s">
        <v>3252</v>
      </c>
      <c r="V906" s="13" t="s">
        <v>3253</v>
      </c>
      <c r="W906" s="13" t="s">
        <v>3254</v>
      </c>
      <c r="X906" s="13" t="s">
        <v>3255</v>
      </c>
    </row>
    <row r="907" ht="14.25" customHeight="1">
      <c r="A907" s="13">
        <v>25679.0</v>
      </c>
      <c r="B907" s="13" t="s">
        <v>794</v>
      </c>
      <c r="C907" s="13">
        <v>2016.0</v>
      </c>
      <c r="D907" s="13" t="s">
        <v>3153</v>
      </c>
      <c r="E907" s="13" t="s">
        <v>3169</v>
      </c>
      <c r="F907" s="13" t="s">
        <v>3284</v>
      </c>
      <c r="G907" s="13" t="s">
        <v>3187</v>
      </c>
      <c r="H907" s="13">
        <v>2500.0</v>
      </c>
      <c r="I907" s="13" t="s">
        <v>3222</v>
      </c>
      <c r="J907" s="13" t="s">
        <v>3167</v>
      </c>
      <c r="K907" s="13" t="s">
        <v>3183</v>
      </c>
      <c r="L907" s="13" t="s">
        <v>3177</v>
      </c>
      <c r="M907" s="13" t="s">
        <v>3213</v>
      </c>
      <c r="N907" s="13">
        <v>1.0</v>
      </c>
      <c r="O907" s="13" t="s">
        <v>3162</v>
      </c>
      <c r="P907" s="13" t="s">
        <v>3579</v>
      </c>
      <c r="Q907" s="13" t="s">
        <v>3381</v>
      </c>
      <c r="R907" s="13" t="s">
        <v>3163</v>
      </c>
      <c r="S907" s="13" t="s">
        <v>4298</v>
      </c>
      <c r="T907" s="13" t="s">
        <v>3232</v>
      </c>
      <c r="U907" s="13" t="s">
        <v>3232</v>
      </c>
      <c r="V907" s="13" t="s">
        <v>3166</v>
      </c>
      <c r="W907" s="13" t="s">
        <v>3167</v>
      </c>
      <c r="X907" s="13" t="s">
        <v>3224</v>
      </c>
    </row>
    <row r="908" ht="14.25" customHeight="1">
      <c r="A908" s="13">
        <v>25680.0</v>
      </c>
      <c r="B908" s="13" t="s">
        <v>2549</v>
      </c>
      <c r="C908" s="13">
        <v>2017.0</v>
      </c>
      <c r="D908" s="13" t="s">
        <v>3153</v>
      </c>
      <c r="E908" s="13" t="s">
        <v>3179</v>
      </c>
      <c r="F908" s="13" t="s">
        <v>3170</v>
      </c>
      <c r="G908" s="13" t="s">
        <v>3538</v>
      </c>
      <c r="H908" s="13">
        <v>100.0</v>
      </c>
      <c r="I908" s="13" t="s">
        <v>3261</v>
      </c>
      <c r="J908" s="13" t="s">
        <v>3240</v>
      </c>
      <c r="K908" s="13" t="s">
        <v>3159</v>
      </c>
      <c r="L908" s="13" t="s">
        <v>3177</v>
      </c>
      <c r="M908" s="13" t="s">
        <v>3342</v>
      </c>
      <c r="N908" s="13">
        <v>1.0</v>
      </c>
      <c r="O908" s="13" t="s">
        <v>3162</v>
      </c>
      <c r="P908" s="13" t="s">
        <v>33</v>
      </c>
      <c r="Q908" s="13" t="s">
        <v>3159</v>
      </c>
      <c r="R908" s="13" t="s">
        <v>3163</v>
      </c>
      <c r="S908" s="13" t="s">
        <v>33</v>
      </c>
      <c r="T908" s="13" t="s">
        <v>3232</v>
      </c>
      <c r="U908" s="13" t="s">
        <v>3232</v>
      </c>
      <c r="V908" s="13" t="s">
        <v>3166</v>
      </c>
      <c r="W908" s="13" t="s">
        <v>3167</v>
      </c>
      <c r="X908" s="13" t="s">
        <v>3168</v>
      </c>
    </row>
    <row r="909" ht="14.25" customHeight="1">
      <c r="A909" s="13">
        <v>25682.0</v>
      </c>
      <c r="B909" s="13" t="s">
        <v>2901</v>
      </c>
      <c r="C909" s="13">
        <v>2013.0</v>
      </c>
      <c r="D909" s="13" t="s">
        <v>3153</v>
      </c>
      <c r="E909" s="13" t="s">
        <v>3169</v>
      </c>
      <c r="F909" s="13" t="s">
        <v>3217</v>
      </c>
      <c r="G909" s="13" t="s">
        <v>33</v>
      </c>
      <c r="H909" s="13" t="s">
        <v>33</v>
      </c>
      <c r="I909" s="13" t="s">
        <v>3167</v>
      </c>
      <c r="J909" s="13" t="s">
        <v>3167</v>
      </c>
      <c r="K909" s="13" t="s">
        <v>3183</v>
      </c>
      <c r="L909" s="13" t="s">
        <v>3160</v>
      </c>
      <c r="M909" s="13" t="s">
        <v>3789</v>
      </c>
      <c r="N909" s="13">
        <v>2.0</v>
      </c>
      <c r="O909" s="13" t="s">
        <v>3175</v>
      </c>
      <c r="P909" s="13" t="s">
        <v>4078</v>
      </c>
      <c r="Q909" s="13" t="s">
        <v>3183</v>
      </c>
      <c r="R909" s="13" t="s">
        <v>3163</v>
      </c>
      <c r="S909" s="13" t="s">
        <v>4078</v>
      </c>
      <c r="T909" s="13" t="s">
        <v>3232</v>
      </c>
      <c r="U909" s="13" t="s">
        <v>3232</v>
      </c>
      <c r="V909" s="13" t="s">
        <v>3166</v>
      </c>
      <c r="W909" s="13" t="s">
        <v>3167</v>
      </c>
      <c r="X909" s="13" t="s">
        <v>3224</v>
      </c>
    </row>
    <row r="910" ht="14.25" customHeight="1">
      <c r="A910" s="13">
        <v>25684.0</v>
      </c>
      <c r="B910" s="13" t="s">
        <v>672</v>
      </c>
      <c r="C910" s="13">
        <v>2010.0</v>
      </c>
      <c r="D910" s="13" t="s">
        <v>3153</v>
      </c>
      <c r="E910" s="13" t="s">
        <v>3179</v>
      </c>
      <c r="F910" s="13" t="s">
        <v>3284</v>
      </c>
      <c r="G910" s="13" t="s">
        <v>3187</v>
      </c>
      <c r="H910" s="13">
        <v>1.0</v>
      </c>
      <c r="I910" s="13" t="s">
        <v>4299</v>
      </c>
      <c r="J910" s="13" t="s">
        <v>3167</v>
      </c>
      <c r="K910" s="13" t="s">
        <v>3173</v>
      </c>
      <c r="L910" s="13" t="s">
        <v>3177</v>
      </c>
      <c r="M910" s="13" t="s">
        <v>3342</v>
      </c>
      <c r="N910" s="13">
        <v>1.0</v>
      </c>
      <c r="O910" s="13" t="s">
        <v>3162</v>
      </c>
      <c r="P910" s="13" t="s">
        <v>33</v>
      </c>
      <c r="Q910" s="13" t="s">
        <v>3173</v>
      </c>
      <c r="R910" s="13" t="s">
        <v>3163</v>
      </c>
      <c r="S910" s="13" t="s">
        <v>33</v>
      </c>
      <c r="T910" s="13" t="s">
        <v>3197</v>
      </c>
      <c r="U910" s="13" t="s">
        <v>3197</v>
      </c>
      <c r="V910" s="13" t="s">
        <v>3166</v>
      </c>
      <c r="W910" s="13" t="s">
        <v>3167</v>
      </c>
      <c r="X910" s="13" t="s">
        <v>3255</v>
      </c>
    </row>
    <row r="911" ht="14.25" customHeight="1">
      <c r="A911" s="13">
        <v>25686.0</v>
      </c>
      <c r="B911" s="13" t="s">
        <v>1866</v>
      </c>
      <c r="C911" s="13">
        <v>2018.0</v>
      </c>
      <c r="D911" s="13" t="s">
        <v>3153</v>
      </c>
      <c r="E911" s="13" t="s">
        <v>3179</v>
      </c>
      <c r="F911" s="13" t="s">
        <v>3217</v>
      </c>
      <c r="G911" s="13" t="s">
        <v>3187</v>
      </c>
      <c r="H911" s="13">
        <v>5.0</v>
      </c>
      <c r="I911" s="13" t="s">
        <v>3167</v>
      </c>
      <c r="J911" s="13" t="s">
        <v>3167</v>
      </c>
      <c r="K911" s="13" t="s">
        <v>3186</v>
      </c>
      <c r="L911" s="13" t="s">
        <v>3177</v>
      </c>
      <c r="M911" s="13" t="s">
        <v>4300</v>
      </c>
      <c r="N911" s="13">
        <v>8.0</v>
      </c>
      <c r="O911" s="13" t="s">
        <v>3175</v>
      </c>
      <c r="P911" s="13" t="s">
        <v>33</v>
      </c>
      <c r="Q911" s="13" t="s">
        <v>3186</v>
      </c>
      <c r="R911" s="13" t="s">
        <v>3177</v>
      </c>
      <c r="S911" s="13" t="s">
        <v>33</v>
      </c>
      <c r="T911" s="13" t="s">
        <v>3252</v>
      </c>
      <c r="U911" s="13" t="s">
        <v>3252</v>
      </c>
      <c r="V911" s="13" t="s">
        <v>3253</v>
      </c>
      <c r="W911" s="13" t="s">
        <v>3755</v>
      </c>
      <c r="X911" s="13" t="s">
        <v>3755</v>
      </c>
    </row>
    <row r="912" ht="14.25" customHeight="1">
      <c r="A912" s="13">
        <v>25687.0</v>
      </c>
      <c r="B912" s="13" t="s">
        <v>1866</v>
      </c>
      <c r="C912" s="13">
        <v>2018.0</v>
      </c>
      <c r="D912" s="13" t="s">
        <v>3153</v>
      </c>
      <c r="E912" s="13" t="s">
        <v>3179</v>
      </c>
      <c r="F912" s="13" t="s">
        <v>3192</v>
      </c>
      <c r="G912" s="13" t="s">
        <v>3156</v>
      </c>
      <c r="H912" s="13" t="s">
        <v>33</v>
      </c>
      <c r="I912" s="13" t="s">
        <v>3181</v>
      </c>
      <c r="J912" s="13" t="s">
        <v>3182</v>
      </c>
      <c r="K912" s="13" t="s">
        <v>3218</v>
      </c>
      <c r="L912" s="13" t="s">
        <v>3177</v>
      </c>
      <c r="M912" s="13" t="s">
        <v>4132</v>
      </c>
      <c r="N912" s="13">
        <v>9.0</v>
      </c>
      <c r="O912" s="13" t="s">
        <v>3175</v>
      </c>
      <c r="P912" s="13" t="s">
        <v>4301</v>
      </c>
      <c r="Q912" s="13" t="s">
        <v>3183</v>
      </c>
      <c r="R912" s="13" t="s">
        <v>3177</v>
      </c>
      <c r="S912" s="13" t="s">
        <v>4302</v>
      </c>
      <c r="T912" s="13" t="s">
        <v>3197</v>
      </c>
      <c r="U912" s="13" t="s">
        <v>3197</v>
      </c>
      <c r="V912" s="13" t="s">
        <v>3166</v>
      </c>
      <c r="W912" s="13" t="s">
        <v>3167</v>
      </c>
      <c r="X912" s="13" t="s">
        <v>3255</v>
      </c>
    </row>
    <row r="913" ht="14.25" customHeight="1">
      <c r="A913" s="13">
        <v>25688.0</v>
      </c>
      <c r="B913" s="13" t="s">
        <v>37</v>
      </c>
      <c r="C913" s="13">
        <v>2017.0</v>
      </c>
      <c r="D913" s="13" t="s">
        <v>3153</v>
      </c>
      <c r="E913" s="13" t="s">
        <v>3169</v>
      </c>
      <c r="F913" s="13" t="s">
        <v>3170</v>
      </c>
      <c r="G913" s="13" t="s">
        <v>3202</v>
      </c>
      <c r="H913" s="13">
        <v>0.5</v>
      </c>
      <c r="I913" s="13" t="s">
        <v>3157</v>
      </c>
      <c r="J913" s="13" t="s">
        <v>3924</v>
      </c>
      <c r="K913" s="13" t="s">
        <v>3287</v>
      </c>
      <c r="L913" s="13" t="s">
        <v>3160</v>
      </c>
      <c r="M913" s="13" t="s">
        <v>4303</v>
      </c>
      <c r="N913" s="13">
        <v>6.0</v>
      </c>
      <c r="O913" s="13" t="s">
        <v>3162</v>
      </c>
      <c r="P913" s="13" t="s">
        <v>33</v>
      </c>
      <c r="Q913" s="13" t="s">
        <v>3335</v>
      </c>
      <c r="R913" s="13" t="s">
        <v>3163</v>
      </c>
      <c r="S913" s="13" t="s">
        <v>3601</v>
      </c>
      <c r="T913" s="13" t="s">
        <v>3195</v>
      </c>
      <c r="U913" s="13" t="s">
        <v>3195</v>
      </c>
      <c r="V913" s="13" t="s">
        <v>3195</v>
      </c>
      <c r="W913" s="13" t="s">
        <v>3167</v>
      </c>
      <c r="X913" s="13" t="s">
        <v>3167</v>
      </c>
    </row>
    <row r="914" ht="14.25" customHeight="1">
      <c r="A914" s="13" t="s">
        <v>2346</v>
      </c>
      <c r="B914" s="13" t="s">
        <v>2347</v>
      </c>
      <c r="C914" s="13">
        <v>2013.0</v>
      </c>
      <c r="D914" s="13" t="s">
        <v>3153</v>
      </c>
      <c r="E914" s="13" t="s">
        <v>3169</v>
      </c>
      <c r="F914" s="13" t="s">
        <v>3211</v>
      </c>
      <c r="G914" s="13" t="s">
        <v>3156</v>
      </c>
      <c r="H914" s="13" t="s">
        <v>33</v>
      </c>
      <c r="I914" s="13" t="s">
        <v>3188</v>
      </c>
      <c r="J914" s="13" t="s">
        <v>4304</v>
      </c>
      <c r="K914" s="13" t="s">
        <v>3183</v>
      </c>
      <c r="L914" s="13" t="s">
        <v>3160</v>
      </c>
      <c r="M914" s="13" t="s">
        <v>3391</v>
      </c>
      <c r="N914" s="13">
        <v>1.0</v>
      </c>
      <c r="O914" s="13" t="s">
        <v>3162</v>
      </c>
      <c r="P914" s="13" t="s">
        <v>3689</v>
      </c>
      <c r="Q914" s="13" t="s">
        <v>3183</v>
      </c>
      <c r="R914" s="13" t="s">
        <v>3163</v>
      </c>
      <c r="S914" s="13" t="s">
        <v>3689</v>
      </c>
      <c r="T914" s="13" t="s">
        <v>3164</v>
      </c>
      <c r="U914" s="13" t="s">
        <v>3164</v>
      </c>
      <c r="V914" s="13" t="s">
        <v>3166</v>
      </c>
      <c r="W914" s="13" t="s">
        <v>3167</v>
      </c>
      <c r="X914" s="13" t="s">
        <v>3178</v>
      </c>
    </row>
    <row r="915" ht="14.25" customHeight="1">
      <c r="A915" s="13">
        <v>25692.0</v>
      </c>
      <c r="B915" s="13" t="s">
        <v>72</v>
      </c>
      <c r="C915" s="13">
        <v>2015.0</v>
      </c>
      <c r="D915" s="13" t="s">
        <v>3153</v>
      </c>
      <c r="E915" s="13" t="s">
        <v>3179</v>
      </c>
      <c r="F915" s="13" t="s">
        <v>3192</v>
      </c>
      <c r="G915" s="13" t="s">
        <v>33</v>
      </c>
      <c r="H915" s="13" t="s">
        <v>33</v>
      </c>
      <c r="I915" s="13" t="s">
        <v>3261</v>
      </c>
      <c r="J915" s="13" t="s">
        <v>3229</v>
      </c>
      <c r="K915" s="13" t="s">
        <v>3183</v>
      </c>
      <c r="L915" s="13" t="s">
        <v>3177</v>
      </c>
      <c r="M915" s="13" t="s">
        <v>3342</v>
      </c>
      <c r="N915" s="13">
        <v>1.0</v>
      </c>
      <c r="O915" s="13" t="s">
        <v>3162</v>
      </c>
      <c r="P915" s="13" t="s">
        <v>4305</v>
      </c>
      <c r="Q915" s="13" t="s">
        <v>3159</v>
      </c>
      <c r="R915" s="13" t="s">
        <v>3163</v>
      </c>
      <c r="S915" s="13" t="s">
        <v>33</v>
      </c>
      <c r="T915" s="13" t="s">
        <v>3247</v>
      </c>
      <c r="U915" s="13" t="s">
        <v>3247</v>
      </c>
      <c r="V915" s="13" t="s">
        <v>3166</v>
      </c>
      <c r="W915" s="13" t="s">
        <v>3167</v>
      </c>
      <c r="X915" s="13" t="s">
        <v>4055</v>
      </c>
    </row>
    <row r="916" ht="14.25" customHeight="1">
      <c r="A916" s="13">
        <v>25695.0</v>
      </c>
      <c r="B916" s="13" t="s">
        <v>1104</v>
      </c>
      <c r="C916" s="13">
        <v>2017.0</v>
      </c>
      <c r="D916" s="13" t="s">
        <v>3153</v>
      </c>
      <c r="E916" s="13" t="s">
        <v>3169</v>
      </c>
      <c r="F916" s="13" t="s">
        <v>3170</v>
      </c>
      <c r="G916" s="13" t="s">
        <v>33</v>
      </c>
      <c r="H916" s="13" t="s">
        <v>33</v>
      </c>
      <c r="I916" s="13" t="s">
        <v>3222</v>
      </c>
      <c r="J916" s="13" t="s">
        <v>4306</v>
      </c>
      <c r="K916" s="13" t="s">
        <v>3159</v>
      </c>
      <c r="L916" s="13" t="s">
        <v>3160</v>
      </c>
      <c r="M916" s="13" t="s">
        <v>3161</v>
      </c>
      <c r="N916" s="13">
        <v>1.0</v>
      </c>
      <c r="O916" s="13" t="s">
        <v>3162</v>
      </c>
      <c r="P916" s="13" t="s">
        <v>33</v>
      </c>
      <c r="Q916" s="13" t="s">
        <v>3159</v>
      </c>
      <c r="R916" s="13" t="s">
        <v>3163</v>
      </c>
      <c r="S916" s="13" t="s">
        <v>33</v>
      </c>
      <c r="T916" s="13" t="s">
        <v>3164</v>
      </c>
      <c r="U916" s="13" t="s">
        <v>3164</v>
      </c>
      <c r="V916" s="13" t="s">
        <v>3166</v>
      </c>
      <c r="W916" s="13" t="s">
        <v>3167</v>
      </c>
      <c r="X916" s="13" t="s">
        <v>3216</v>
      </c>
    </row>
    <row r="917" ht="14.25" customHeight="1">
      <c r="A917" s="13">
        <v>25696.0</v>
      </c>
      <c r="B917" s="13" t="s">
        <v>466</v>
      </c>
      <c r="C917" s="13">
        <v>2010.0</v>
      </c>
      <c r="D917" s="13" t="s">
        <v>3153</v>
      </c>
      <c r="E917" s="13" t="s">
        <v>3169</v>
      </c>
      <c r="F917" s="13" t="s">
        <v>3155</v>
      </c>
      <c r="G917" s="13" t="s">
        <v>3187</v>
      </c>
      <c r="H917" s="13">
        <v>5.0</v>
      </c>
      <c r="I917" s="13" t="s">
        <v>3157</v>
      </c>
      <c r="J917" s="13" t="s">
        <v>3368</v>
      </c>
      <c r="K917" s="13" t="s">
        <v>3183</v>
      </c>
      <c r="L917" s="13" t="s">
        <v>3177</v>
      </c>
      <c r="M917" s="13" t="s">
        <v>3161</v>
      </c>
      <c r="N917" s="13">
        <v>1.0</v>
      </c>
      <c r="O917" s="13" t="s">
        <v>3162</v>
      </c>
      <c r="P917" s="13" t="s">
        <v>3689</v>
      </c>
      <c r="Q917" s="13" t="s">
        <v>3183</v>
      </c>
      <c r="R917" s="13" t="s">
        <v>3177</v>
      </c>
      <c r="S917" s="13" t="s">
        <v>3689</v>
      </c>
      <c r="T917" s="13" t="s">
        <v>3164</v>
      </c>
      <c r="U917" s="13" t="s">
        <v>3164</v>
      </c>
      <c r="V917" s="13" t="s">
        <v>3166</v>
      </c>
      <c r="W917" s="13" t="s">
        <v>3167</v>
      </c>
      <c r="X917" s="13" t="s">
        <v>3224</v>
      </c>
    </row>
    <row r="918" ht="14.25" customHeight="1">
      <c r="A918" s="13">
        <v>25697.0</v>
      </c>
      <c r="B918" s="13" t="s">
        <v>258</v>
      </c>
      <c r="C918" s="13">
        <v>2018.0</v>
      </c>
      <c r="D918" s="13" t="s">
        <v>3153</v>
      </c>
      <c r="E918" s="13" t="s">
        <v>3169</v>
      </c>
      <c r="F918" s="13" t="s">
        <v>3192</v>
      </c>
      <c r="G918" s="13" t="s">
        <v>3156</v>
      </c>
      <c r="H918" s="13" t="s">
        <v>3167</v>
      </c>
      <c r="I918" s="13" t="s">
        <v>3188</v>
      </c>
      <c r="J918" s="13" t="s">
        <v>3189</v>
      </c>
      <c r="K918" s="13" t="s">
        <v>3190</v>
      </c>
      <c r="L918" s="13" t="s">
        <v>3177</v>
      </c>
      <c r="M918" s="13" t="s">
        <v>3391</v>
      </c>
      <c r="N918" s="13">
        <v>1.0</v>
      </c>
      <c r="O918" s="13" t="s">
        <v>3162</v>
      </c>
      <c r="P918" s="13" t="s">
        <v>3167</v>
      </c>
      <c r="Q918" s="13" t="s">
        <v>3190</v>
      </c>
      <c r="R918" s="13" t="s">
        <v>3231</v>
      </c>
      <c r="S918" s="13" t="s">
        <v>33</v>
      </c>
      <c r="T918" s="13" t="s">
        <v>3164</v>
      </c>
      <c r="U918" s="13" t="s">
        <v>3164</v>
      </c>
      <c r="V918" s="13" t="s">
        <v>3166</v>
      </c>
      <c r="W918" s="13" t="s">
        <v>3167</v>
      </c>
      <c r="X918" s="13" t="s">
        <v>3178</v>
      </c>
    </row>
    <row r="919" ht="14.25" customHeight="1">
      <c r="A919" s="13">
        <v>25709.0</v>
      </c>
      <c r="B919" s="13" t="s">
        <v>1168</v>
      </c>
      <c r="C919" s="13">
        <v>2017.0</v>
      </c>
      <c r="D919" s="13" t="s">
        <v>3153</v>
      </c>
      <c r="E919" s="13" t="s">
        <v>3154</v>
      </c>
      <c r="F919" s="13" t="s">
        <v>3192</v>
      </c>
      <c r="G919" s="13" t="s">
        <v>3156</v>
      </c>
      <c r="H919" s="13" t="s">
        <v>33</v>
      </c>
      <c r="I919" s="13" t="s">
        <v>3244</v>
      </c>
      <c r="J919" s="13" t="s">
        <v>3289</v>
      </c>
      <c r="K919" s="13" t="s">
        <v>3190</v>
      </c>
      <c r="L919" s="13" t="s">
        <v>3160</v>
      </c>
      <c r="M919" s="13" t="s">
        <v>3391</v>
      </c>
      <c r="N919" s="13">
        <v>1.0</v>
      </c>
      <c r="O919" s="13" t="s">
        <v>3162</v>
      </c>
      <c r="P919" s="13" t="s">
        <v>33</v>
      </c>
      <c r="Q919" s="13" t="s">
        <v>3190</v>
      </c>
      <c r="R919" s="13" t="s">
        <v>3163</v>
      </c>
      <c r="S919" s="13" t="s">
        <v>33</v>
      </c>
      <c r="T919" s="13" t="s">
        <v>3164</v>
      </c>
      <c r="U919" s="13" t="s">
        <v>3164</v>
      </c>
      <c r="V919" s="13" t="s">
        <v>3166</v>
      </c>
      <c r="W919" s="13" t="s">
        <v>3167</v>
      </c>
      <c r="X919" s="13" t="s">
        <v>3216</v>
      </c>
    </row>
    <row r="920" ht="14.25" customHeight="1">
      <c r="A920" s="13">
        <v>25711.0</v>
      </c>
      <c r="B920" s="13" t="s">
        <v>2871</v>
      </c>
      <c r="C920" s="13">
        <v>2010.0</v>
      </c>
      <c r="D920" s="13" t="s">
        <v>3153</v>
      </c>
      <c r="E920" s="13" t="s">
        <v>3179</v>
      </c>
      <c r="F920" s="13" t="s">
        <v>3217</v>
      </c>
      <c r="G920" s="13" t="s">
        <v>3180</v>
      </c>
      <c r="H920" s="13">
        <v>0.5</v>
      </c>
      <c r="I920" s="13" t="s">
        <v>3167</v>
      </c>
      <c r="J920" s="13" t="s">
        <v>3167</v>
      </c>
      <c r="K920" s="13" t="s">
        <v>3183</v>
      </c>
      <c r="L920" s="13" t="s">
        <v>3177</v>
      </c>
      <c r="M920" s="13" t="s">
        <v>3342</v>
      </c>
      <c r="N920" s="13">
        <v>1.0</v>
      </c>
      <c r="O920" s="13" t="s">
        <v>3162</v>
      </c>
      <c r="P920" s="13" t="s">
        <v>4307</v>
      </c>
      <c r="Q920" s="13" t="s">
        <v>3381</v>
      </c>
      <c r="R920" s="13" t="s">
        <v>3163</v>
      </c>
      <c r="S920" s="13" t="s">
        <v>4308</v>
      </c>
      <c r="T920" s="13" t="s">
        <v>3197</v>
      </c>
      <c r="U920" s="13" t="s">
        <v>3197</v>
      </c>
      <c r="V920" s="13" t="s">
        <v>3166</v>
      </c>
      <c r="W920" s="13" t="s">
        <v>3167</v>
      </c>
      <c r="X920" s="13" t="s">
        <v>3255</v>
      </c>
    </row>
    <row r="921" ht="14.25" customHeight="1">
      <c r="A921" s="13" t="s">
        <v>2679</v>
      </c>
      <c r="B921" s="13" t="s">
        <v>2680</v>
      </c>
      <c r="C921" s="13">
        <v>2019.0</v>
      </c>
      <c r="D921" s="13" t="s">
        <v>3153</v>
      </c>
      <c r="E921" s="13" t="s">
        <v>3179</v>
      </c>
      <c r="F921" s="13" t="s">
        <v>3217</v>
      </c>
      <c r="G921" s="13" t="s">
        <v>33</v>
      </c>
      <c r="H921" s="13" t="s">
        <v>33</v>
      </c>
      <c r="I921" s="13" t="s">
        <v>3167</v>
      </c>
      <c r="J921" s="13" t="s">
        <v>3167</v>
      </c>
      <c r="K921" s="13" t="s">
        <v>3183</v>
      </c>
      <c r="L921" s="13" t="s">
        <v>3177</v>
      </c>
      <c r="M921" s="13" t="s">
        <v>3342</v>
      </c>
      <c r="N921" s="13">
        <v>1.0</v>
      </c>
      <c r="O921" s="13" t="s">
        <v>3162</v>
      </c>
      <c r="P921" s="13" t="s">
        <v>3724</v>
      </c>
      <c r="Q921" s="13" t="s">
        <v>3183</v>
      </c>
      <c r="R921" s="13" t="s">
        <v>3163</v>
      </c>
      <c r="S921" s="13" t="s">
        <v>4309</v>
      </c>
      <c r="T921" s="13" t="s">
        <v>3197</v>
      </c>
      <c r="U921" s="13" t="s">
        <v>3197</v>
      </c>
      <c r="V921" s="13" t="s">
        <v>3166</v>
      </c>
      <c r="W921" s="13" t="s">
        <v>3167</v>
      </c>
      <c r="X921" s="13" t="s">
        <v>3255</v>
      </c>
    </row>
    <row r="922" ht="14.25" customHeight="1">
      <c r="A922" s="13">
        <v>25712.0</v>
      </c>
      <c r="B922" s="13" t="s">
        <v>725</v>
      </c>
      <c r="C922" s="13">
        <v>2018.0</v>
      </c>
      <c r="D922" s="13" t="s">
        <v>3153</v>
      </c>
      <c r="E922" s="13" t="s">
        <v>3169</v>
      </c>
      <c r="F922" s="13" t="s">
        <v>3192</v>
      </c>
      <c r="G922" s="13" t="s">
        <v>33</v>
      </c>
      <c r="H922" s="13" t="s">
        <v>33</v>
      </c>
      <c r="I922" s="13" t="s">
        <v>3188</v>
      </c>
      <c r="J922" s="13" t="s">
        <v>3189</v>
      </c>
      <c r="K922" s="13" t="s">
        <v>3186</v>
      </c>
      <c r="L922" s="13" t="s">
        <v>3160</v>
      </c>
      <c r="M922" s="13" t="s">
        <v>3391</v>
      </c>
      <c r="N922" s="13">
        <v>1.0</v>
      </c>
      <c r="O922" s="13" t="s">
        <v>3162</v>
      </c>
      <c r="P922" s="13" t="s">
        <v>33</v>
      </c>
      <c r="Q922" s="13" t="s">
        <v>3183</v>
      </c>
      <c r="R922" s="13" t="s">
        <v>3163</v>
      </c>
      <c r="S922" s="13" t="s">
        <v>33</v>
      </c>
      <c r="T922" s="13" t="s">
        <v>3164</v>
      </c>
      <c r="U922" s="13" t="s">
        <v>3232</v>
      </c>
      <c r="V922" s="13" t="s">
        <v>3166</v>
      </c>
      <c r="W922" s="13" t="s">
        <v>3167</v>
      </c>
      <c r="X922" s="13" t="s">
        <v>3224</v>
      </c>
    </row>
    <row r="923" ht="14.25" customHeight="1">
      <c r="A923" s="13">
        <v>25713.0</v>
      </c>
      <c r="B923" s="13" t="s">
        <v>785</v>
      </c>
      <c r="C923" s="13">
        <v>2007.0</v>
      </c>
      <c r="D923" s="13" t="s">
        <v>3153</v>
      </c>
      <c r="E923" s="13" t="s">
        <v>3169</v>
      </c>
      <c r="F923" s="13" t="s">
        <v>3192</v>
      </c>
      <c r="G923" s="13" t="s">
        <v>3187</v>
      </c>
      <c r="H923" s="13">
        <v>1.0</v>
      </c>
      <c r="I923" s="13" t="s">
        <v>3222</v>
      </c>
      <c r="J923" s="13" t="s">
        <v>3182</v>
      </c>
      <c r="K923" s="13" t="s">
        <v>3282</v>
      </c>
      <c r="L923" s="13" t="s">
        <v>3160</v>
      </c>
      <c r="M923" s="13" t="s">
        <v>4310</v>
      </c>
      <c r="N923" s="13">
        <v>2.0</v>
      </c>
      <c r="O923" s="13" t="s">
        <v>3162</v>
      </c>
      <c r="P923" s="13" t="s">
        <v>3724</v>
      </c>
      <c r="Q923" s="13" t="s">
        <v>3208</v>
      </c>
      <c r="R923" s="13" t="s">
        <v>3163</v>
      </c>
      <c r="S923" s="13" t="s">
        <v>33</v>
      </c>
      <c r="T923" s="13" t="s">
        <v>3247</v>
      </c>
      <c r="U923" s="13" t="s">
        <v>3247</v>
      </c>
      <c r="V923" s="13" t="s">
        <v>3242</v>
      </c>
      <c r="W923" s="13" t="s">
        <v>4311</v>
      </c>
      <c r="X923" s="13" t="s">
        <v>3167</v>
      </c>
    </row>
    <row r="924" ht="14.25" customHeight="1">
      <c r="A924" s="13">
        <v>25714.0</v>
      </c>
      <c r="B924" s="13" t="s">
        <v>785</v>
      </c>
      <c r="C924" s="13">
        <v>2009.0</v>
      </c>
      <c r="D924" s="13" t="s">
        <v>3153</v>
      </c>
      <c r="E924" s="13" t="s">
        <v>3169</v>
      </c>
      <c r="F924" s="13" t="s">
        <v>3211</v>
      </c>
      <c r="G924" s="13" t="s">
        <v>3187</v>
      </c>
      <c r="H924" s="13">
        <v>225.0</v>
      </c>
      <c r="I924" s="13" t="s">
        <v>3249</v>
      </c>
      <c r="J924" s="13" t="s">
        <v>4312</v>
      </c>
      <c r="K924" s="13" t="s">
        <v>3208</v>
      </c>
      <c r="L924" s="13" t="s">
        <v>3160</v>
      </c>
      <c r="M924" s="13" t="s">
        <v>3399</v>
      </c>
      <c r="N924" s="13">
        <v>1.0</v>
      </c>
      <c r="O924" s="13" t="s">
        <v>3162</v>
      </c>
      <c r="P924" s="13" t="s">
        <v>33</v>
      </c>
      <c r="Q924" s="13" t="s">
        <v>3208</v>
      </c>
      <c r="R924" s="13" t="s">
        <v>3163</v>
      </c>
      <c r="S924" s="13" t="s">
        <v>33</v>
      </c>
      <c r="T924" s="13" t="s">
        <v>3247</v>
      </c>
      <c r="U924" s="13" t="s">
        <v>3247</v>
      </c>
      <c r="V924" s="13" t="s">
        <v>3242</v>
      </c>
      <c r="W924" s="13" t="s">
        <v>4313</v>
      </c>
      <c r="X924" s="13" t="s">
        <v>3167</v>
      </c>
    </row>
    <row r="925" ht="14.25" customHeight="1">
      <c r="A925" s="13">
        <v>25716.0</v>
      </c>
      <c r="B925" s="13" t="s">
        <v>1531</v>
      </c>
      <c r="C925" s="13">
        <v>2019.0</v>
      </c>
      <c r="D925" s="13" t="s">
        <v>3153</v>
      </c>
      <c r="E925" s="13" t="s">
        <v>3169</v>
      </c>
      <c r="F925" s="13" t="s">
        <v>3170</v>
      </c>
      <c r="G925" s="13" t="s">
        <v>3187</v>
      </c>
      <c r="H925" s="13">
        <v>1.0</v>
      </c>
      <c r="I925" s="13" t="s">
        <v>3188</v>
      </c>
      <c r="J925" s="13" t="s">
        <v>4314</v>
      </c>
      <c r="K925" s="13" t="s">
        <v>3159</v>
      </c>
      <c r="L925" s="13" t="s">
        <v>3177</v>
      </c>
      <c r="M925" s="13" t="s">
        <v>3391</v>
      </c>
      <c r="N925" s="13">
        <v>1.0</v>
      </c>
      <c r="O925" s="13" t="s">
        <v>3162</v>
      </c>
      <c r="P925" s="13" t="s">
        <v>33</v>
      </c>
      <c r="Q925" s="13" t="s">
        <v>3159</v>
      </c>
      <c r="R925" s="13" t="s">
        <v>3177</v>
      </c>
      <c r="S925" s="13" t="s">
        <v>33</v>
      </c>
      <c r="T925" s="13" t="s">
        <v>3164</v>
      </c>
      <c r="U925" s="13" t="s">
        <v>3164</v>
      </c>
      <c r="V925" s="13" t="s">
        <v>3166</v>
      </c>
      <c r="W925" s="13" t="s">
        <v>3167</v>
      </c>
      <c r="X925" s="13" t="s">
        <v>3178</v>
      </c>
    </row>
    <row r="926" ht="14.25" customHeight="1">
      <c r="A926" s="13">
        <v>25717.0</v>
      </c>
      <c r="B926" s="13" t="s">
        <v>2188</v>
      </c>
      <c r="C926" s="13">
        <v>2009.0</v>
      </c>
      <c r="D926" s="13" t="s">
        <v>3153</v>
      </c>
      <c r="E926" s="13" t="s">
        <v>3169</v>
      </c>
      <c r="F926" s="13" t="s">
        <v>3192</v>
      </c>
      <c r="G926" s="13" t="s">
        <v>3180</v>
      </c>
      <c r="H926" s="13">
        <v>0.5</v>
      </c>
      <c r="I926" s="13" t="s">
        <v>3203</v>
      </c>
      <c r="J926" s="13" t="s">
        <v>3204</v>
      </c>
      <c r="K926" s="13" t="s">
        <v>3159</v>
      </c>
      <c r="L926" s="13" t="s">
        <v>3160</v>
      </c>
      <c r="M926" s="13" t="s">
        <v>3391</v>
      </c>
      <c r="N926" s="13">
        <v>1.0</v>
      </c>
      <c r="O926" s="13" t="s">
        <v>3162</v>
      </c>
      <c r="P926" s="13" t="s">
        <v>33</v>
      </c>
      <c r="Q926" s="13" t="s">
        <v>3381</v>
      </c>
      <c r="R926" s="13" t="s">
        <v>3163</v>
      </c>
      <c r="S926" s="13" t="s">
        <v>4315</v>
      </c>
      <c r="T926" s="13" t="s">
        <v>3232</v>
      </c>
      <c r="U926" s="13" t="s">
        <v>3232</v>
      </c>
      <c r="V926" s="13" t="s">
        <v>3166</v>
      </c>
      <c r="W926" s="13" t="s">
        <v>3167</v>
      </c>
      <c r="X926" s="13" t="s">
        <v>3224</v>
      </c>
    </row>
    <row r="927" ht="14.25" customHeight="1">
      <c r="A927" s="13">
        <v>25724.0</v>
      </c>
      <c r="B927" s="13" t="s">
        <v>507</v>
      </c>
      <c r="C927" s="13">
        <v>2020.0</v>
      </c>
      <c r="D927" s="13" t="s">
        <v>3153</v>
      </c>
      <c r="E927" s="13" t="s">
        <v>3169</v>
      </c>
      <c r="F927" s="13" t="s">
        <v>3170</v>
      </c>
      <c r="G927" s="13" t="s">
        <v>3202</v>
      </c>
      <c r="H927" s="13">
        <v>30.0</v>
      </c>
      <c r="I927" s="13" t="s">
        <v>3188</v>
      </c>
      <c r="J927" s="13" t="s">
        <v>3207</v>
      </c>
      <c r="K927" s="13" t="s">
        <v>3208</v>
      </c>
      <c r="L927" s="13" t="s">
        <v>3160</v>
      </c>
      <c r="M927" s="13" t="s">
        <v>3605</v>
      </c>
      <c r="N927" s="13">
        <v>2.0</v>
      </c>
      <c r="O927" s="13" t="s">
        <v>3267</v>
      </c>
      <c r="P927" s="13" t="s">
        <v>33</v>
      </c>
      <c r="Q927" s="13" t="s">
        <v>3273</v>
      </c>
      <c r="R927" s="13" t="s">
        <v>3163</v>
      </c>
      <c r="S927" s="13" t="s">
        <v>33</v>
      </c>
      <c r="T927" s="13" t="s">
        <v>3247</v>
      </c>
      <c r="U927" s="13" t="s">
        <v>3247</v>
      </c>
      <c r="V927" s="13" t="s">
        <v>3242</v>
      </c>
      <c r="W927" s="13" t="s">
        <v>3572</v>
      </c>
      <c r="X927" s="13" t="s">
        <v>3167</v>
      </c>
    </row>
    <row r="928" ht="14.25" customHeight="1">
      <c r="A928" s="13">
        <v>25726.0</v>
      </c>
      <c r="B928" s="13" t="s">
        <v>717</v>
      </c>
      <c r="C928" s="13">
        <v>2019.0</v>
      </c>
      <c r="D928" s="13" t="s">
        <v>3153</v>
      </c>
      <c r="E928" s="13" t="s">
        <v>3154</v>
      </c>
      <c r="F928" s="13" t="s">
        <v>3192</v>
      </c>
      <c r="G928" s="13" t="s">
        <v>3156</v>
      </c>
      <c r="H928" s="13" t="s">
        <v>33</v>
      </c>
      <c r="I928" s="13" t="s">
        <v>3157</v>
      </c>
      <c r="J928" s="13" t="s">
        <v>3791</v>
      </c>
      <c r="K928" s="13" t="s">
        <v>3183</v>
      </c>
      <c r="L928" s="13" t="s">
        <v>3160</v>
      </c>
      <c r="M928" s="13" t="s">
        <v>3291</v>
      </c>
      <c r="N928" s="13">
        <v>1.0</v>
      </c>
      <c r="O928" s="13" t="s">
        <v>3162</v>
      </c>
      <c r="P928" s="13" t="s">
        <v>4316</v>
      </c>
      <c r="Q928" s="13" t="s">
        <v>3183</v>
      </c>
      <c r="R928" s="13" t="s">
        <v>3163</v>
      </c>
      <c r="S928" s="13" t="s">
        <v>4317</v>
      </c>
      <c r="T928" s="13" t="s">
        <v>3164</v>
      </c>
      <c r="U928" s="13" t="s">
        <v>3164</v>
      </c>
      <c r="V928" s="13" t="s">
        <v>3166</v>
      </c>
      <c r="W928" s="13" t="s">
        <v>3167</v>
      </c>
      <c r="X928" s="13" t="s">
        <v>3225</v>
      </c>
    </row>
    <row r="929" ht="14.25" customHeight="1">
      <c r="A929" s="13">
        <v>25732.0</v>
      </c>
      <c r="B929" s="13" t="s">
        <v>1920</v>
      </c>
      <c r="C929" s="13">
        <v>2016.0</v>
      </c>
      <c r="D929" s="13" t="s">
        <v>3153</v>
      </c>
      <c r="E929" s="13" t="s">
        <v>3179</v>
      </c>
      <c r="F929" s="13" t="s">
        <v>3155</v>
      </c>
      <c r="G929" s="13" t="s">
        <v>3156</v>
      </c>
      <c r="H929" s="13" t="s">
        <v>3167</v>
      </c>
      <c r="I929" s="13" t="s">
        <v>3763</v>
      </c>
      <c r="J929" s="13" t="s">
        <v>3764</v>
      </c>
      <c r="K929" s="13" t="s">
        <v>3195</v>
      </c>
      <c r="L929" s="13" t="s">
        <v>3160</v>
      </c>
      <c r="M929" s="13" t="s">
        <v>3342</v>
      </c>
      <c r="N929" s="13">
        <v>1.0</v>
      </c>
      <c r="O929" s="13" t="s">
        <v>3162</v>
      </c>
      <c r="P929" s="13" t="s">
        <v>3689</v>
      </c>
      <c r="Q929" s="13" t="s">
        <v>3208</v>
      </c>
      <c r="R929" s="13" t="s">
        <v>3231</v>
      </c>
      <c r="S929" s="13" t="s">
        <v>33</v>
      </c>
      <c r="T929" s="13" t="s">
        <v>3164</v>
      </c>
      <c r="U929" s="13" t="s">
        <v>3165</v>
      </c>
      <c r="V929" s="13" t="s">
        <v>3166</v>
      </c>
      <c r="W929" s="13" t="s">
        <v>3167</v>
      </c>
      <c r="X929" s="13" t="s">
        <v>3224</v>
      </c>
    </row>
    <row r="930" ht="14.25" customHeight="1">
      <c r="A930" s="13">
        <v>25734.0</v>
      </c>
      <c r="B930" s="13" t="s">
        <v>2637</v>
      </c>
      <c r="C930" s="13">
        <v>2017.0</v>
      </c>
      <c r="D930" s="13" t="s">
        <v>3153</v>
      </c>
      <c r="E930" s="13" t="s">
        <v>3169</v>
      </c>
      <c r="F930" s="13" t="s">
        <v>3192</v>
      </c>
      <c r="G930" s="13" t="s">
        <v>3202</v>
      </c>
      <c r="H930" s="13">
        <v>100.0</v>
      </c>
      <c r="I930" s="13" t="s">
        <v>3244</v>
      </c>
      <c r="J930" s="13" t="s">
        <v>3345</v>
      </c>
      <c r="K930" s="13" t="s">
        <v>3183</v>
      </c>
      <c r="L930" s="13" t="s">
        <v>3177</v>
      </c>
      <c r="M930" s="13" t="s">
        <v>3235</v>
      </c>
      <c r="N930" s="13">
        <v>7.0</v>
      </c>
      <c r="O930" s="13" t="s">
        <v>3175</v>
      </c>
      <c r="P930" s="13" t="s">
        <v>3689</v>
      </c>
      <c r="Q930" s="13" t="s">
        <v>3210</v>
      </c>
      <c r="R930" s="13" t="s">
        <v>3163</v>
      </c>
      <c r="S930" s="13" t="s">
        <v>33</v>
      </c>
      <c r="T930" s="13" t="s">
        <v>3195</v>
      </c>
      <c r="U930" s="13" t="s">
        <v>3195</v>
      </c>
      <c r="V930" s="13" t="s">
        <v>3195</v>
      </c>
      <c r="W930" s="13" t="s">
        <v>3167</v>
      </c>
      <c r="X930" s="13" t="s">
        <v>3167</v>
      </c>
    </row>
    <row r="931" ht="14.25" customHeight="1">
      <c r="A931" s="13">
        <v>25737.0</v>
      </c>
      <c r="B931" s="13" t="s">
        <v>2552</v>
      </c>
      <c r="C931" s="13">
        <v>2013.0</v>
      </c>
      <c r="D931" s="13" t="s">
        <v>3153</v>
      </c>
      <c r="E931" s="13" t="s">
        <v>3465</v>
      </c>
      <c r="F931" s="13" t="s">
        <v>3155</v>
      </c>
      <c r="G931" s="13" t="s">
        <v>3156</v>
      </c>
      <c r="H931" s="13" t="s">
        <v>33</v>
      </c>
      <c r="I931" s="13" t="s">
        <v>3171</v>
      </c>
      <c r="J931" s="13" t="s">
        <v>3378</v>
      </c>
      <c r="K931" s="13" t="s">
        <v>3159</v>
      </c>
      <c r="L931" s="13" t="s">
        <v>3177</v>
      </c>
      <c r="M931" s="13" t="s">
        <v>3161</v>
      </c>
      <c r="N931" s="13">
        <v>1.0</v>
      </c>
      <c r="O931" s="13" t="s">
        <v>3162</v>
      </c>
      <c r="P931" s="13" t="s">
        <v>33</v>
      </c>
      <c r="Q931" s="13" t="s">
        <v>3159</v>
      </c>
      <c r="R931" s="13" t="s">
        <v>3163</v>
      </c>
      <c r="S931" s="13" t="s">
        <v>33</v>
      </c>
      <c r="T931" s="13" t="s">
        <v>3165</v>
      </c>
      <c r="U931" s="13" t="s">
        <v>3165</v>
      </c>
      <c r="V931" s="13" t="s">
        <v>3166</v>
      </c>
      <c r="W931" s="13" t="s">
        <v>3167</v>
      </c>
      <c r="X931" s="13" t="s">
        <v>3324</v>
      </c>
    </row>
    <row r="932" ht="14.25" customHeight="1">
      <c r="A932" s="13">
        <v>25740.0</v>
      </c>
      <c r="B932" s="13" t="s">
        <v>1624</v>
      </c>
      <c r="C932" s="13">
        <v>2018.0</v>
      </c>
      <c r="D932" s="13" t="s">
        <v>3153</v>
      </c>
      <c r="E932" s="13" t="s">
        <v>3154</v>
      </c>
      <c r="F932" s="13" t="s">
        <v>3192</v>
      </c>
      <c r="G932" s="13" t="s">
        <v>3156</v>
      </c>
      <c r="H932" s="13" t="s">
        <v>33</v>
      </c>
      <c r="I932" s="13" t="s">
        <v>3222</v>
      </c>
      <c r="J932" s="13" t="s">
        <v>3182</v>
      </c>
      <c r="K932" s="13" t="s">
        <v>3183</v>
      </c>
      <c r="L932" s="13" t="s">
        <v>3160</v>
      </c>
      <c r="M932" s="13" t="s">
        <v>3291</v>
      </c>
      <c r="N932" s="13">
        <v>1.0</v>
      </c>
      <c r="O932" s="13" t="s">
        <v>3162</v>
      </c>
      <c r="P932" s="13" t="s">
        <v>3724</v>
      </c>
      <c r="Q932" s="13" t="s">
        <v>3270</v>
      </c>
      <c r="R932" s="13" t="s">
        <v>3163</v>
      </c>
      <c r="S932" s="13" t="s">
        <v>4318</v>
      </c>
      <c r="T932" s="13" t="s">
        <v>3164</v>
      </c>
      <c r="U932" s="13" t="s">
        <v>3164</v>
      </c>
      <c r="V932" s="13" t="s">
        <v>3166</v>
      </c>
      <c r="W932" s="13" t="s">
        <v>3167</v>
      </c>
      <c r="X932" s="13" t="s">
        <v>3225</v>
      </c>
    </row>
    <row r="933" ht="14.25" customHeight="1">
      <c r="A933" s="13">
        <v>25745.0</v>
      </c>
      <c r="B933" s="13" t="s">
        <v>2835</v>
      </c>
      <c r="C933" s="13">
        <v>2020.0</v>
      </c>
      <c r="D933" s="13" t="s">
        <v>3153</v>
      </c>
      <c r="E933" s="13" t="s">
        <v>3169</v>
      </c>
      <c r="F933" s="13" t="s">
        <v>3192</v>
      </c>
      <c r="G933" s="13" t="s">
        <v>3187</v>
      </c>
      <c r="H933" s="13">
        <v>100.0</v>
      </c>
      <c r="I933" s="13" t="s">
        <v>3157</v>
      </c>
      <c r="J933" s="13" t="s">
        <v>3199</v>
      </c>
      <c r="K933" s="13" t="s">
        <v>3208</v>
      </c>
      <c r="L933" s="13" t="s">
        <v>3160</v>
      </c>
      <c r="M933" s="13" t="s">
        <v>4319</v>
      </c>
      <c r="N933" s="13">
        <v>4.0</v>
      </c>
      <c r="O933" s="13" t="s">
        <v>3162</v>
      </c>
      <c r="P933" s="13" t="s">
        <v>33</v>
      </c>
      <c r="Q933" s="13" t="s">
        <v>3208</v>
      </c>
      <c r="R933" s="13" t="s">
        <v>3163</v>
      </c>
      <c r="S933" s="13" t="s">
        <v>33</v>
      </c>
      <c r="T933" s="13" t="s">
        <v>3247</v>
      </c>
      <c r="U933" s="13" t="s">
        <v>3247</v>
      </c>
      <c r="V933" s="13" t="s">
        <v>3242</v>
      </c>
      <c r="W933" s="13" t="s">
        <v>3248</v>
      </c>
      <c r="X933" s="13" t="s">
        <v>3167</v>
      </c>
    </row>
    <row r="934" ht="14.25" customHeight="1">
      <c r="A934" s="13">
        <v>25751.0</v>
      </c>
      <c r="B934" s="13" t="s">
        <v>727</v>
      </c>
      <c r="C934" s="13">
        <v>2017.0</v>
      </c>
      <c r="D934" s="13" t="s">
        <v>3153</v>
      </c>
      <c r="E934" s="13" t="s">
        <v>3169</v>
      </c>
      <c r="F934" s="13" t="s">
        <v>3170</v>
      </c>
      <c r="G934" s="13" t="s">
        <v>3187</v>
      </c>
      <c r="H934" s="13">
        <v>5.0</v>
      </c>
      <c r="I934" s="13" t="s">
        <v>3188</v>
      </c>
      <c r="J934" s="13" t="s">
        <v>3483</v>
      </c>
      <c r="K934" s="13" t="s">
        <v>3208</v>
      </c>
      <c r="L934" s="13" t="s">
        <v>3160</v>
      </c>
      <c r="M934" s="13" t="s">
        <v>3477</v>
      </c>
      <c r="N934" s="13">
        <v>1.0</v>
      </c>
      <c r="O934" s="13" t="s">
        <v>3162</v>
      </c>
      <c r="P934" s="13" t="s">
        <v>33</v>
      </c>
      <c r="Q934" s="13" t="s">
        <v>3437</v>
      </c>
      <c r="R934" s="13" t="s">
        <v>3163</v>
      </c>
      <c r="S934" s="13" t="s">
        <v>33</v>
      </c>
      <c r="T934" s="13" t="s">
        <v>3164</v>
      </c>
      <c r="U934" s="13" t="s">
        <v>3232</v>
      </c>
      <c r="V934" s="13" t="s">
        <v>3166</v>
      </c>
      <c r="W934" s="13" t="s">
        <v>3167</v>
      </c>
      <c r="X934" s="13" t="s">
        <v>3178</v>
      </c>
    </row>
    <row r="935" ht="14.25" customHeight="1">
      <c r="A935" s="13">
        <v>25753.0</v>
      </c>
      <c r="B935" s="13" t="s">
        <v>563</v>
      </c>
      <c r="C935" s="13">
        <v>2019.0</v>
      </c>
      <c r="D935" s="13" t="s">
        <v>3153</v>
      </c>
      <c r="E935" s="13" t="s">
        <v>3169</v>
      </c>
      <c r="F935" s="13" t="s">
        <v>3211</v>
      </c>
      <c r="G935" s="13" t="s">
        <v>3187</v>
      </c>
      <c r="H935" s="13">
        <v>400.0</v>
      </c>
      <c r="I935" s="13" t="s">
        <v>3157</v>
      </c>
      <c r="J935" s="13" t="s">
        <v>4320</v>
      </c>
      <c r="K935" s="13" t="s">
        <v>3186</v>
      </c>
      <c r="L935" s="13" t="s">
        <v>3177</v>
      </c>
      <c r="M935" s="13" t="s">
        <v>3331</v>
      </c>
      <c r="N935" s="13">
        <v>1.0</v>
      </c>
      <c r="O935" s="13" t="s">
        <v>3162</v>
      </c>
      <c r="P935" s="13" t="s">
        <v>33</v>
      </c>
      <c r="Q935" s="13" t="s">
        <v>3265</v>
      </c>
      <c r="R935" s="13" t="s">
        <v>3177</v>
      </c>
      <c r="S935" s="13" t="s">
        <v>33</v>
      </c>
      <c r="T935" s="13" t="s">
        <v>3164</v>
      </c>
      <c r="U935" s="13" t="s">
        <v>3164</v>
      </c>
      <c r="V935" s="13" t="s">
        <v>3166</v>
      </c>
      <c r="W935" s="13" t="s">
        <v>3167</v>
      </c>
      <c r="X935" s="13" t="s">
        <v>3224</v>
      </c>
    </row>
    <row r="936" ht="14.25" customHeight="1">
      <c r="A936" s="13">
        <v>25754.0</v>
      </c>
      <c r="B936" s="13" t="s">
        <v>2899</v>
      </c>
      <c r="C936" s="13">
        <v>2018.0</v>
      </c>
      <c r="D936" s="13" t="s">
        <v>3153</v>
      </c>
      <c r="E936" s="13" t="s">
        <v>3169</v>
      </c>
      <c r="F936" s="13" t="s">
        <v>3170</v>
      </c>
      <c r="G936" s="13" t="s">
        <v>3202</v>
      </c>
      <c r="H936" s="13">
        <v>30.0</v>
      </c>
      <c r="I936" s="13" t="s">
        <v>3188</v>
      </c>
      <c r="J936" s="13" t="s">
        <v>3432</v>
      </c>
      <c r="K936" s="13" t="s">
        <v>3208</v>
      </c>
      <c r="L936" s="13" t="s">
        <v>3160</v>
      </c>
      <c r="M936" s="13" t="s">
        <v>3743</v>
      </c>
      <c r="N936" s="13">
        <v>3.0</v>
      </c>
      <c r="O936" s="13" t="s">
        <v>3162</v>
      </c>
      <c r="P936" s="13" t="s">
        <v>33</v>
      </c>
      <c r="Q936" s="13" t="s">
        <v>3335</v>
      </c>
      <c r="R936" s="13" t="s">
        <v>3163</v>
      </c>
      <c r="S936" s="13" t="s">
        <v>3323</v>
      </c>
      <c r="T936" s="13" t="s">
        <v>3195</v>
      </c>
      <c r="U936" s="13" t="s">
        <v>3195</v>
      </c>
      <c r="V936" s="13" t="s">
        <v>3195</v>
      </c>
      <c r="W936" s="13" t="s">
        <v>3167</v>
      </c>
      <c r="X936" s="13" t="s">
        <v>3167</v>
      </c>
    </row>
    <row r="937" ht="14.25" customHeight="1">
      <c r="A937" s="13">
        <v>25755.0</v>
      </c>
      <c r="B937" s="13" t="s">
        <v>1018</v>
      </c>
      <c r="C937" s="13">
        <v>2017.0</v>
      </c>
      <c r="D937" s="13" t="s">
        <v>3153</v>
      </c>
      <c r="E937" s="13" t="s">
        <v>3169</v>
      </c>
      <c r="F937" s="13" t="s">
        <v>3170</v>
      </c>
      <c r="G937" s="13" t="s">
        <v>3156</v>
      </c>
      <c r="H937" s="13" t="s">
        <v>33</v>
      </c>
      <c r="I937" s="13" t="s">
        <v>3222</v>
      </c>
      <c r="J937" s="13" t="s">
        <v>3182</v>
      </c>
      <c r="K937" s="13" t="s">
        <v>3159</v>
      </c>
      <c r="L937" s="13" t="s">
        <v>3160</v>
      </c>
      <c r="M937" s="13" t="s">
        <v>4321</v>
      </c>
      <c r="N937" s="13">
        <v>2.0</v>
      </c>
      <c r="O937" s="13" t="s">
        <v>3162</v>
      </c>
      <c r="P937" s="13" t="s">
        <v>33</v>
      </c>
      <c r="Q937" s="13" t="s">
        <v>3159</v>
      </c>
      <c r="R937" s="13" t="s">
        <v>3163</v>
      </c>
      <c r="S937" s="13" t="s">
        <v>33</v>
      </c>
      <c r="T937" s="13" t="s">
        <v>3164</v>
      </c>
      <c r="U937" s="13" t="s">
        <v>3164</v>
      </c>
      <c r="V937" s="13" t="s">
        <v>3166</v>
      </c>
      <c r="W937" s="13" t="s">
        <v>3167</v>
      </c>
      <c r="X937" s="13" t="s">
        <v>3216</v>
      </c>
    </row>
    <row r="938" ht="14.25" customHeight="1">
      <c r="A938" s="13">
        <v>25757.0</v>
      </c>
      <c r="B938" s="13" t="s">
        <v>2205</v>
      </c>
      <c r="C938" s="13">
        <v>2020.0</v>
      </c>
      <c r="D938" s="13" t="s">
        <v>3153</v>
      </c>
      <c r="E938" s="13" t="s">
        <v>3179</v>
      </c>
      <c r="F938" s="13" t="s">
        <v>3192</v>
      </c>
      <c r="G938" s="13" t="s">
        <v>3202</v>
      </c>
      <c r="H938" s="13">
        <v>50.0</v>
      </c>
      <c r="I938" s="13" t="s">
        <v>3264</v>
      </c>
      <c r="J938" s="13" t="s">
        <v>3204</v>
      </c>
      <c r="K938" s="13" t="s">
        <v>3186</v>
      </c>
      <c r="L938" s="13" t="s">
        <v>3177</v>
      </c>
      <c r="M938" s="13" t="s">
        <v>3342</v>
      </c>
      <c r="N938" s="13">
        <v>1.0</v>
      </c>
      <c r="O938" s="13" t="s">
        <v>3162</v>
      </c>
      <c r="P938" s="13" t="s">
        <v>33</v>
      </c>
      <c r="Q938" s="13" t="s">
        <v>3210</v>
      </c>
      <c r="R938" s="13" t="s">
        <v>3163</v>
      </c>
      <c r="S938" s="13" t="s">
        <v>33</v>
      </c>
      <c r="T938" s="13" t="s">
        <v>3195</v>
      </c>
      <c r="U938" s="13" t="s">
        <v>3195</v>
      </c>
      <c r="V938" s="13" t="s">
        <v>3195</v>
      </c>
      <c r="W938" s="13" t="s">
        <v>3167</v>
      </c>
      <c r="X938" s="13" t="s">
        <v>3167</v>
      </c>
    </row>
    <row r="939" ht="14.25" customHeight="1">
      <c r="A939" s="13">
        <v>25761.0</v>
      </c>
      <c r="B939" s="13" t="s">
        <v>2676</v>
      </c>
      <c r="C939" s="13">
        <v>2014.0</v>
      </c>
      <c r="D939" s="13" t="s">
        <v>3153</v>
      </c>
      <c r="E939" s="13" t="s">
        <v>3179</v>
      </c>
      <c r="F939" s="13" t="s">
        <v>3211</v>
      </c>
      <c r="G939" s="13" t="s">
        <v>3156</v>
      </c>
      <c r="H939" s="13" t="s">
        <v>33</v>
      </c>
      <c r="I939" s="13" t="s">
        <v>3392</v>
      </c>
      <c r="J939" s="13" t="s">
        <v>4322</v>
      </c>
      <c r="K939" s="13" t="s">
        <v>3183</v>
      </c>
      <c r="L939" s="13" t="s">
        <v>3160</v>
      </c>
      <c r="M939" s="13" t="s">
        <v>3342</v>
      </c>
      <c r="N939" s="13">
        <v>1.0</v>
      </c>
      <c r="O939" s="13" t="s">
        <v>3162</v>
      </c>
      <c r="P939" s="13" t="s">
        <v>4323</v>
      </c>
      <c r="Q939" s="13" t="s">
        <v>3287</v>
      </c>
      <c r="R939" s="13" t="s">
        <v>3163</v>
      </c>
      <c r="S939" s="13" t="s">
        <v>33</v>
      </c>
      <c r="T939" s="13" t="s">
        <v>3164</v>
      </c>
      <c r="U939" s="13" t="s">
        <v>3164</v>
      </c>
      <c r="V939" s="13" t="s">
        <v>3166</v>
      </c>
      <c r="W939" s="13" t="s">
        <v>3167</v>
      </c>
      <c r="X939" s="13" t="s">
        <v>3224</v>
      </c>
    </row>
    <row r="940" ht="14.25" customHeight="1">
      <c r="A940" s="13">
        <v>25766.0</v>
      </c>
      <c r="B940" s="13" t="s">
        <v>2805</v>
      </c>
      <c r="C940" s="13">
        <v>2020.0</v>
      </c>
      <c r="D940" s="13" t="s">
        <v>3153</v>
      </c>
      <c r="E940" s="13" t="s">
        <v>3154</v>
      </c>
      <c r="F940" s="13" t="s">
        <v>3192</v>
      </c>
      <c r="G940" s="13" t="s">
        <v>3202</v>
      </c>
      <c r="H940" s="13">
        <v>30.0</v>
      </c>
      <c r="I940" s="13" t="s">
        <v>3171</v>
      </c>
      <c r="J940" s="13" t="s">
        <v>3172</v>
      </c>
      <c r="K940" s="13" t="s">
        <v>3208</v>
      </c>
      <c r="L940" s="13" t="s">
        <v>3160</v>
      </c>
      <c r="M940" s="13" t="s">
        <v>4324</v>
      </c>
      <c r="N940" s="13">
        <v>3.0</v>
      </c>
      <c r="O940" s="13" t="s">
        <v>3162</v>
      </c>
      <c r="P940" s="13" t="s">
        <v>33</v>
      </c>
      <c r="Q940" s="13" t="s">
        <v>3210</v>
      </c>
      <c r="R940" s="13" t="s">
        <v>3163</v>
      </c>
      <c r="S940" s="13" t="s">
        <v>33</v>
      </c>
      <c r="T940" s="13" t="s">
        <v>3195</v>
      </c>
      <c r="U940" s="13" t="s">
        <v>3195</v>
      </c>
      <c r="V940" s="13" t="s">
        <v>3195</v>
      </c>
      <c r="W940" s="13" t="s">
        <v>3167</v>
      </c>
      <c r="X940" s="13" t="s">
        <v>3167</v>
      </c>
    </row>
    <row r="941" ht="14.25" customHeight="1">
      <c r="A941" s="13">
        <v>25767.0</v>
      </c>
      <c r="B941" s="13" t="s">
        <v>2400</v>
      </c>
      <c r="C941" s="13">
        <v>2005.0</v>
      </c>
      <c r="D941" s="13" t="s">
        <v>3153</v>
      </c>
      <c r="E941" s="13" t="s">
        <v>3169</v>
      </c>
      <c r="F941" s="13" t="s">
        <v>3170</v>
      </c>
      <c r="G941" s="13" t="s">
        <v>33</v>
      </c>
      <c r="H941" s="13" t="s">
        <v>33</v>
      </c>
      <c r="I941" s="13" t="s">
        <v>3188</v>
      </c>
      <c r="J941" s="13" t="s">
        <v>4314</v>
      </c>
      <c r="K941" s="13" t="s">
        <v>3208</v>
      </c>
      <c r="L941" s="13" t="s">
        <v>3160</v>
      </c>
      <c r="M941" s="13" t="s">
        <v>3993</v>
      </c>
      <c r="N941" s="13">
        <v>2.0</v>
      </c>
      <c r="O941" s="13" t="s">
        <v>3162</v>
      </c>
      <c r="P941" s="13" t="s">
        <v>33</v>
      </c>
      <c r="Q941" s="13" t="s">
        <v>3208</v>
      </c>
      <c r="R941" s="13" t="s">
        <v>3163</v>
      </c>
      <c r="S941" s="13" t="s">
        <v>33</v>
      </c>
      <c r="T941" s="13" t="s">
        <v>3247</v>
      </c>
      <c r="U941" s="13" t="s">
        <v>3247</v>
      </c>
      <c r="V941" s="13" t="s">
        <v>3242</v>
      </c>
      <c r="W941" s="13" t="s">
        <v>3248</v>
      </c>
      <c r="X941" s="13" t="s">
        <v>3167</v>
      </c>
    </row>
    <row r="942" ht="14.25" customHeight="1">
      <c r="A942" s="13">
        <v>25781.0</v>
      </c>
      <c r="B942" s="13" t="s">
        <v>1281</v>
      </c>
      <c r="C942" s="13">
        <v>2019.0</v>
      </c>
      <c r="D942" s="13" t="s">
        <v>3153</v>
      </c>
      <c r="E942" s="13" t="s">
        <v>3169</v>
      </c>
      <c r="F942" s="13" t="s">
        <v>3155</v>
      </c>
      <c r="G942" s="13" t="s">
        <v>33</v>
      </c>
      <c r="H942" s="13" t="s">
        <v>33</v>
      </c>
      <c r="I942" s="13" t="s">
        <v>3203</v>
      </c>
      <c r="J942" s="13" t="s">
        <v>3204</v>
      </c>
      <c r="K942" s="13" t="s">
        <v>3190</v>
      </c>
      <c r="L942" s="13" t="s">
        <v>3160</v>
      </c>
      <c r="M942" s="13" t="s">
        <v>4325</v>
      </c>
      <c r="N942" s="13">
        <v>3.0</v>
      </c>
      <c r="O942" s="13" t="s">
        <v>3162</v>
      </c>
      <c r="P942" s="13" t="s">
        <v>33</v>
      </c>
      <c r="Q942" s="13" t="s">
        <v>3173</v>
      </c>
      <c r="R942" s="13" t="s">
        <v>3177</v>
      </c>
      <c r="S942" s="13" t="s">
        <v>33</v>
      </c>
      <c r="T942" s="13" t="s">
        <v>3165</v>
      </c>
      <c r="U942" s="13" t="s">
        <v>3165</v>
      </c>
      <c r="V942" s="13" t="s">
        <v>3166</v>
      </c>
      <c r="W942" s="13" t="s">
        <v>3167</v>
      </c>
      <c r="X942" s="13" t="s">
        <v>3216</v>
      </c>
    </row>
    <row r="943" ht="14.25" customHeight="1">
      <c r="A943" s="13">
        <v>25784.0</v>
      </c>
      <c r="B943" s="13" t="s">
        <v>2276</v>
      </c>
      <c r="C943" s="13">
        <v>2017.0</v>
      </c>
      <c r="D943" s="13" t="s">
        <v>3153</v>
      </c>
      <c r="E943" s="13" t="s">
        <v>3169</v>
      </c>
      <c r="F943" s="13" t="s">
        <v>3211</v>
      </c>
      <c r="G943" s="13" t="s">
        <v>3156</v>
      </c>
      <c r="H943" s="13" t="s">
        <v>3167</v>
      </c>
      <c r="I943" s="13" t="s">
        <v>3171</v>
      </c>
      <c r="J943" s="13" t="s">
        <v>4326</v>
      </c>
      <c r="K943" s="13" t="s">
        <v>3208</v>
      </c>
      <c r="L943" s="13" t="s">
        <v>3160</v>
      </c>
      <c r="M943" s="13" t="s">
        <v>3477</v>
      </c>
      <c r="N943" s="13">
        <v>1.0</v>
      </c>
      <c r="O943" s="13" t="s">
        <v>3162</v>
      </c>
      <c r="P943" s="13" t="s">
        <v>3167</v>
      </c>
      <c r="Q943" s="13" t="s">
        <v>3273</v>
      </c>
      <c r="R943" s="13" t="s">
        <v>3231</v>
      </c>
      <c r="S943" s="13" t="s">
        <v>3449</v>
      </c>
      <c r="T943" s="13" t="s">
        <v>3195</v>
      </c>
      <c r="U943" s="13" t="s">
        <v>3195</v>
      </c>
      <c r="V943" s="13" t="s">
        <v>3195</v>
      </c>
      <c r="W943" s="13" t="s">
        <v>3167</v>
      </c>
      <c r="X943" s="13" t="s">
        <v>3167</v>
      </c>
    </row>
    <row r="944" ht="14.25" customHeight="1">
      <c r="A944" s="13">
        <v>25796.0</v>
      </c>
      <c r="B944" s="13" t="s">
        <v>3063</v>
      </c>
      <c r="C944" s="13">
        <v>2015.0</v>
      </c>
      <c r="D944" s="13" t="s">
        <v>3153</v>
      </c>
      <c r="E944" s="13" t="s">
        <v>3179</v>
      </c>
      <c r="F944" s="13" t="s">
        <v>3211</v>
      </c>
      <c r="G944" s="13" t="s">
        <v>3180</v>
      </c>
      <c r="H944" s="13" t="s">
        <v>3180</v>
      </c>
      <c r="I944" s="13" t="s">
        <v>3533</v>
      </c>
      <c r="J944" s="13" t="s">
        <v>3289</v>
      </c>
      <c r="K944" s="13" t="s">
        <v>3183</v>
      </c>
      <c r="L944" s="13" t="s">
        <v>3160</v>
      </c>
      <c r="M944" s="13" t="s">
        <v>3342</v>
      </c>
      <c r="N944" s="13">
        <v>1.0</v>
      </c>
      <c r="O944" s="13" t="s">
        <v>3162</v>
      </c>
      <c r="P944" s="13" t="s">
        <v>3167</v>
      </c>
      <c r="Q944" s="13" t="s">
        <v>3287</v>
      </c>
      <c r="R944" s="13" t="s">
        <v>3260</v>
      </c>
      <c r="S944" s="13" t="s">
        <v>33</v>
      </c>
      <c r="T944" s="13" t="s">
        <v>3164</v>
      </c>
      <c r="U944" s="13" t="s">
        <v>3164</v>
      </c>
      <c r="V944" s="13" t="s">
        <v>3166</v>
      </c>
      <c r="W944" s="13" t="s">
        <v>3167</v>
      </c>
      <c r="X944" s="13" t="s">
        <v>3225</v>
      </c>
    </row>
    <row r="945" ht="14.25" customHeight="1">
      <c r="A945" s="13">
        <v>25798.0</v>
      </c>
      <c r="B945" s="13" t="s">
        <v>2378</v>
      </c>
      <c r="C945" s="13">
        <v>2009.0</v>
      </c>
      <c r="D945" s="13" t="s">
        <v>3153</v>
      </c>
      <c r="E945" s="13" t="s">
        <v>3169</v>
      </c>
      <c r="F945" s="13" t="s">
        <v>3170</v>
      </c>
      <c r="G945" s="13" t="s">
        <v>3156</v>
      </c>
      <c r="H945" s="13" t="s">
        <v>33</v>
      </c>
      <c r="I945" s="13" t="s">
        <v>3171</v>
      </c>
      <c r="J945" s="13" t="s">
        <v>3172</v>
      </c>
      <c r="K945" s="13" t="s">
        <v>3173</v>
      </c>
      <c r="L945" s="13" t="s">
        <v>3160</v>
      </c>
      <c r="M945" s="13" t="s">
        <v>3391</v>
      </c>
      <c r="N945" s="13">
        <v>1.0</v>
      </c>
      <c r="O945" s="13" t="s">
        <v>3162</v>
      </c>
      <c r="P945" s="13" t="s">
        <v>33</v>
      </c>
      <c r="Q945" s="13" t="s">
        <v>3437</v>
      </c>
      <c r="R945" s="13" t="s">
        <v>3163</v>
      </c>
      <c r="S945" s="13" t="s">
        <v>33</v>
      </c>
      <c r="T945" s="13" t="s">
        <v>3232</v>
      </c>
      <c r="U945" s="13" t="s">
        <v>3232</v>
      </c>
      <c r="V945" s="13" t="s">
        <v>3166</v>
      </c>
      <c r="W945" s="13" t="s">
        <v>3167</v>
      </c>
      <c r="X945" s="13" t="s">
        <v>3178</v>
      </c>
    </row>
    <row r="946" ht="14.25" customHeight="1">
      <c r="A946" s="13">
        <v>25802.0</v>
      </c>
      <c r="B946" s="13" t="s">
        <v>2336</v>
      </c>
      <c r="C946" s="13">
        <v>2012.0</v>
      </c>
      <c r="D946" s="13" t="s">
        <v>3153</v>
      </c>
      <c r="E946" s="13" t="s">
        <v>3169</v>
      </c>
      <c r="F946" s="13" t="s">
        <v>3170</v>
      </c>
      <c r="G946" s="13" t="s">
        <v>33</v>
      </c>
      <c r="H946" s="13" t="s">
        <v>33</v>
      </c>
      <c r="I946" s="13" t="s">
        <v>3244</v>
      </c>
      <c r="J946" s="13" t="s">
        <v>3350</v>
      </c>
      <c r="K946" s="13" t="s">
        <v>3208</v>
      </c>
      <c r="L946" s="13" t="s">
        <v>3160</v>
      </c>
      <c r="M946" s="13" t="s">
        <v>4327</v>
      </c>
      <c r="N946" s="13">
        <v>3.0</v>
      </c>
      <c r="O946" s="13" t="s">
        <v>3162</v>
      </c>
      <c r="P946" s="13" t="s">
        <v>33</v>
      </c>
      <c r="Q946" s="13" t="s">
        <v>3287</v>
      </c>
      <c r="R946" s="13" t="s">
        <v>3163</v>
      </c>
      <c r="S946" s="13" t="s">
        <v>33</v>
      </c>
      <c r="T946" s="13" t="s">
        <v>3197</v>
      </c>
      <c r="U946" s="13" t="s">
        <v>3197</v>
      </c>
      <c r="V946" s="13" t="s">
        <v>3242</v>
      </c>
      <c r="W946" s="13" t="s">
        <v>3294</v>
      </c>
      <c r="X946" s="13" t="s">
        <v>3167</v>
      </c>
    </row>
    <row r="947" ht="14.25" customHeight="1">
      <c r="A947" s="13">
        <v>25803.0</v>
      </c>
      <c r="B947" s="13" t="s">
        <v>1962</v>
      </c>
      <c r="C947" s="13">
        <v>2019.0</v>
      </c>
      <c r="D947" s="13" t="s">
        <v>3153</v>
      </c>
      <c r="E947" s="13" t="s">
        <v>3169</v>
      </c>
      <c r="F947" s="13" t="s">
        <v>3211</v>
      </c>
      <c r="G947" s="13" t="s">
        <v>3187</v>
      </c>
      <c r="H947" s="13">
        <v>100.0</v>
      </c>
      <c r="I947" s="13" t="s">
        <v>3222</v>
      </c>
      <c r="J947" s="13" t="s">
        <v>3775</v>
      </c>
      <c r="K947" s="13" t="s">
        <v>3381</v>
      </c>
      <c r="L947" s="13" t="s">
        <v>3177</v>
      </c>
      <c r="M947" s="13" t="s">
        <v>4082</v>
      </c>
      <c r="N947" s="13">
        <v>1.0</v>
      </c>
      <c r="O947" s="13" t="s">
        <v>3162</v>
      </c>
      <c r="P947" s="13" t="s">
        <v>4328</v>
      </c>
      <c r="Q947" s="13" t="s">
        <v>3381</v>
      </c>
      <c r="R947" s="13" t="s">
        <v>3177</v>
      </c>
      <c r="S947" s="13" t="s">
        <v>33</v>
      </c>
      <c r="T947" s="13" t="s">
        <v>3164</v>
      </c>
      <c r="U947" s="13" t="s">
        <v>3164</v>
      </c>
      <c r="V947" s="13" t="s">
        <v>3166</v>
      </c>
      <c r="W947" s="13" t="s">
        <v>3167</v>
      </c>
      <c r="X947" s="13" t="s">
        <v>3168</v>
      </c>
    </row>
    <row r="948" ht="14.25" customHeight="1">
      <c r="A948" s="13">
        <v>25805.0</v>
      </c>
      <c r="B948" s="13" t="s">
        <v>554</v>
      </c>
      <c r="C948" s="13">
        <v>2008.0</v>
      </c>
      <c r="D948" s="13" t="s">
        <v>3153</v>
      </c>
      <c r="E948" s="13" t="s">
        <v>3179</v>
      </c>
      <c r="F948" s="13" t="s">
        <v>3192</v>
      </c>
      <c r="G948" s="13" t="s">
        <v>3187</v>
      </c>
      <c r="H948" s="13">
        <v>50.0</v>
      </c>
      <c r="I948" s="13" t="s">
        <v>3264</v>
      </c>
      <c r="J948" s="13" t="s">
        <v>4329</v>
      </c>
      <c r="K948" s="13" t="s">
        <v>3183</v>
      </c>
      <c r="L948" s="13" t="s">
        <v>3160</v>
      </c>
      <c r="M948" s="13" t="s">
        <v>3342</v>
      </c>
      <c r="N948" s="13">
        <v>1.0</v>
      </c>
      <c r="O948" s="13" t="s">
        <v>3162</v>
      </c>
      <c r="P948" s="13" t="s">
        <v>3167</v>
      </c>
      <c r="Q948" s="13" t="s">
        <v>3159</v>
      </c>
      <c r="R948" s="13" t="s">
        <v>3260</v>
      </c>
      <c r="S948" s="13" t="s">
        <v>33</v>
      </c>
      <c r="T948" s="13" t="s">
        <v>3164</v>
      </c>
      <c r="U948" s="13" t="s">
        <v>3164</v>
      </c>
      <c r="V948" s="13" t="s">
        <v>3166</v>
      </c>
      <c r="W948" s="13" t="s">
        <v>3167</v>
      </c>
      <c r="X948" s="13" t="s">
        <v>3224</v>
      </c>
    </row>
    <row r="949" ht="14.25" customHeight="1">
      <c r="A949" s="13">
        <v>25806.0</v>
      </c>
      <c r="B949" s="13" t="s">
        <v>554</v>
      </c>
      <c r="C949" s="13">
        <v>2011.0</v>
      </c>
      <c r="D949" s="13" t="s">
        <v>3153</v>
      </c>
      <c r="E949" s="13" t="s">
        <v>3179</v>
      </c>
      <c r="F949" s="13" t="s">
        <v>3217</v>
      </c>
      <c r="G949" s="13" t="s">
        <v>3180</v>
      </c>
      <c r="H949" s="13">
        <v>5.0</v>
      </c>
      <c r="I949" s="13" t="s">
        <v>3167</v>
      </c>
      <c r="J949" s="13" t="s">
        <v>3167</v>
      </c>
      <c r="K949" s="13" t="s">
        <v>3381</v>
      </c>
      <c r="L949" s="13" t="s">
        <v>3177</v>
      </c>
      <c r="M949" s="13" t="s">
        <v>4330</v>
      </c>
      <c r="N949" s="13">
        <v>2.0</v>
      </c>
      <c r="O949" s="13" t="s">
        <v>3162</v>
      </c>
      <c r="P949" s="13" t="s">
        <v>3689</v>
      </c>
      <c r="Q949" s="13" t="s">
        <v>3173</v>
      </c>
      <c r="R949" s="13" t="s">
        <v>3177</v>
      </c>
      <c r="S949" s="13" t="s">
        <v>33</v>
      </c>
      <c r="T949" s="13" t="s">
        <v>3165</v>
      </c>
      <c r="U949" s="13" t="s">
        <v>3165</v>
      </c>
      <c r="V949" s="13" t="s">
        <v>3166</v>
      </c>
      <c r="W949" s="13" t="s">
        <v>3167</v>
      </c>
      <c r="X949" s="13" t="s">
        <v>3225</v>
      </c>
    </row>
    <row r="950" ht="14.25" customHeight="1">
      <c r="A950" s="13">
        <v>25808.0</v>
      </c>
      <c r="B950" s="13" t="s">
        <v>183</v>
      </c>
      <c r="C950" s="13">
        <v>2006.0</v>
      </c>
      <c r="D950" s="13" t="s">
        <v>3153</v>
      </c>
      <c r="E950" s="13" t="s">
        <v>3169</v>
      </c>
      <c r="F950" s="13" t="s">
        <v>3211</v>
      </c>
      <c r="G950" s="13" t="s">
        <v>3156</v>
      </c>
      <c r="H950" s="13" t="s">
        <v>33</v>
      </c>
      <c r="I950" s="13" t="s">
        <v>3171</v>
      </c>
      <c r="J950" s="13" t="s">
        <v>4331</v>
      </c>
      <c r="K950" s="13" t="s">
        <v>3190</v>
      </c>
      <c r="L950" s="13" t="s">
        <v>3160</v>
      </c>
      <c r="M950" s="13" t="s">
        <v>4332</v>
      </c>
      <c r="N950" s="13">
        <v>4.0</v>
      </c>
      <c r="O950" s="13" t="s">
        <v>3162</v>
      </c>
      <c r="P950" s="13" t="s">
        <v>33</v>
      </c>
      <c r="Q950" s="13" t="s">
        <v>3190</v>
      </c>
      <c r="R950" s="13" t="s">
        <v>3163</v>
      </c>
      <c r="S950" s="13" t="s">
        <v>33</v>
      </c>
      <c r="T950" s="13" t="s">
        <v>3164</v>
      </c>
      <c r="U950" s="13" t="s">
        <v>3232</v>
      </c>
      <c r="V950" s="13" t="s">
        <v>3166</v>
      </c>
      <c r="W950" s="13" t="s">
        <v>3167</v>
      </c>
      <c r="X950" s="13" t="s">
        <v>3178</v>
      </c>
    </row>
    <row r="951" ht="14.25" customHeight="1">
      <c r="A951" s="13">
        <v>25813.0</v>
      </c>
      <c r="B951" s="13" t="s">
        <v>2998</v>
      </c>
      <c r="C951" s="13">
        <v>2019.0</v>
      </c>
      <c r="D951" s="13" t="s">
        <v>3153</v>
      </c>
      <c r="E951" s="13" t="s">
        <v>3179</v>
      </c>
      <c r="F951" s="13" t="s">
        <v>3155</v>
      </c>
      <c r="G951" s="13" t="s">
        <v>3187</v>
      </c>
      <c r="H951" s="13">
        <v>16.0</v>
      </c>
      <c r="I951" s="13" t="s">
        <v>3261</v>
      </c>
      <c r="J951" s="13" t="s">
        <v>4333</v>
      </c>
      <c r="K951" s="13" t="s">
        <v>3183</v>
      </c>
      <c r="L951" s="13" t="s">
        <v>3177</v>
      </c>
      <c r="M951" s="13" t="s">
        <v>4334</v>
      </c>
      <c r="N951" s="13">
        <v>6.0</v>
      </c>
      <c r="O951" s="13" t="s">
        <v>3175</v>
      </c>
      <c r="P951" s="13" t="s">
        <v>3689</v>
      </c>
      <c r="Q951" s="13" t="s">
        <v>4335</v>
      </c>
      <c r="R951" s="13" t="s">
        <v>3177</v>
      </c>
      <c r="S951" s="13" t="s">
        <v>33</v>
      </c>
      <c r="T951" s="13" t="s">
        <v>3197</v>
      </c>
      <c r="U951" s="13" t="s">
        <v>3197</v>
      </c>
      <c r="V951" s="13" t="s">
        <v>3166</v>
      </c>
      <c r="W951" s="13" t="s">
        <v>3167</v>
      </c>
      <c r="X951" s="13" t="s">
        <v>3198</v>
      </c>
    </row>
    <row r="952" ht="14.25" customHeight="1">
      <c r="A952" s="13">
        <v>25820.0</v>
      </c>
      <c r="B952" s="13" t="s">
        <v>2054</v>
      </c>
      <c r="C952" s="13">
        <v>2018.0</v>
      </c>
      <c r="D952" s="13" t="s">
        <v>3153</v>
      </c>
      <c r="E952" s="13" t="s">
        <v>3154</v>
      </c>
      <c r="F952" s="13" t="s">
        <v>3284</v>
      </c>
      <c r="G952" s="13" t="s">
        <v>3156</v>
      </c>
      <c r="H952" s="13" t="s">
        <v>3167</v>
      </c>
      <c r="I952" s="13" t="s">
        <v>3157</v>
      </c>
      <c r="J952" s="13" t="s">
        <v>3167</v>
      </c>
      <c r="K952" s="13" t="s">
        <v>3183</v>
      </c>
      <c r="L952" s="13" t="s">
        <v>3177</v>
      </c>
      <c r="M952" s="13" t="s">
        <v>3161</v>
      </c>
      <c r="N952" s="13">
        <v>1.0</v>
      </c>
      <c r="O952" s="13" t="s">
        <v>3162</v>
      </c>
      <c r="P952" s="13" t="s">
        <v>4336</v>
      </c>
      <c r="Q952" s="13" t="s">
        <v>3183</v>
      </c>
      <c r="R952" s="13" t="s">
        <v>3260</v>
      </c>
      <c r="S952" s="13" t="s">
        <v>33</v>
      </c>
      <c r="T952" s="13" t="s">
        <v>3197</v>
      </c>
      <c r="U952" s="13" t="s">
        <v>3197</v>
      </c>
      <c r="V952" s="13" t="s">
        <v>3166</v>
      </c>
      <c r="W952" s="13" t="s">
        <v>3167</v>
      </c>
      <c r="X952" s="13" t="s">
        <v>3255</v>
      </c>
    </row>
    <row r="953" ht="14.25" customHeight="1">
      <c r="A953" s="13">
        <v>25821.0</v>
      </c>
      <c r="B953" s="13" t="s">
        <v>597</v>
      </c>
      <c r="C953" s="13">
        <v>2020.0</v>
      </c>
      <c r="D953" s="13" t="s">
        <v>3153</v>
      </c>
      <c r="E953" s="13" t="s">
        <v>3154</v>
      </c>
      <c r="F953" s="13" t="s">
        <v>3192</v>
      </c>
      <c r="G953" s="13" t="s">
        <v>3156</v>
      </c>
      <c r="H953" s="13" t="s">
        <v>33</v>
      </c>
      <c r="I953" s="13" t="s">
        <v>3222</v>
      </c>
      <c r="J953" s="13" t="s">
        <v>3182</v>
      </c>
      <c r="K953" s="13" t="s">
        <v>3218</v>
      </c>
      <c r="L953" s="13" t="s">
        <v>3160</v>
      </c>
      <c r="M953" s="13" t="s">
        <v>4337</v>
      </c>
      <c r="N953" s="13">
        <v>6.0</v>
      </c>
      <c r="O953" s="13" t="s">
        <v>3175</v>
      </c>
      <c r="P953" s="13" t="s">
        <v>4338</v>
      </c>
      <c r="Q953" s="13" t="s">
        <v>3173</v>
      </c>
      <c r="R953" s="13" t="s">
        <v>3177</v>
      </c>
      <c r="S953" s="13" t="s">
        <v>33</v>
      </c>
      <c r="T953" s="13" t="s">
        <v>3197</v>
      </c>
      <c r="U953" s="13" t="s">
        <v>3197</v>
      </c>
      <c r="V953" s="13" t="s">
        <v>3166</v>
      </c>
      <c r="W953" s="13" t="s">
        <v>3167</v>
      </c>
      <c r="X953" s="13" t="s">
        <v>3255</v>
      </c>
    </row>
    <row r="954" ht="14.25" customHeight="1">
      <c r="A954" s="13">
        <v>25824.0</v>
      </c>
      <c r="B954" s="13" t="s">
        <v>4339</v>
      </c>
      <c r="C954" s="13">
        <v>2013.0</v>
      </c>
      <c r="D954" s="13" t="s">
        <v>3153</v>
      </c>
      <c r="E954" s="13" t="s">
        <v>3169</v>
      </c>
      <c r="F954" s="13" t="s">
        <v>3170</v>
      </c>
      <c r="G954" s="13" t="s">
        <v>33</v>
      </c>
      <c r="H954" s="13" t="s">
        <v>33</v>
      </c>
      <c r="I954" s="13" t="s">
        <v>3222</v>
      </c>
      <c r="J954" s="13" t="s">
        <v>3182</v>
      </c>
      <c r="K954" s="13" t="s">
        <v>3186</v>
      </c>
      <c r="L954" s="13" t="s">
        <v>3177</v>
      </c>
      <c r="M954" s="13" t="s">
        <v>3722</v>
      </c>
      <c r="N954" s="13">
        <v>1.0</v>
      </c>
      <c r="O954" s="13" t="s">
        <v>3162</v>
      </c>
      <c r="P954" s="13" t="s">
        <v>33</v>
      </c>
      <c r="Q954" s="13" t="s">
        <v>3201</v>
      </c>
      <c r="R954" s="13" t="s">
        <v>3177</v>
      </c>
      <c r="S954" s="13" t="s">
        <v>33</v>
      </c>
      <c r="T954" s="13" t="s">
        <v>3232</v>
      </c>
      <c r="U954" s="13" t="s">
        <v>3232</v>
      </c>
      <c r="V954" s="13" t="s">
        <v>3166</v>
      </c>
      <c r="W954" s="13" t="s">
        <v>3167</v>
      </c>
      <c r="X954" s="13" t="s">
        <v>3224</v>
      </c>
    </row>
    <row r="955" ht="14.25" customHeight="1">
      <c r="A955" s="13">
        <v>25826.0</v>
      </c>
      <c r="B955" s="13" t="s">
        <v>2110</v>
      </c>
      <c r="C955" s="13">
        <v>2017.0</v>
      </c>
      <c r="D955" s="13" t="s">
        <v>3153</v>
      </c>
      <c r="E955" s="13" t="s">
        <v>3169</v>
      </c>
      <c r="F955" s="13" t="s">
        <v>3217</v>
      </c>
      <c r="G955" s="13" t="s">
        <v>3156</v>
      </c>
      <c r="H955" s="13" t="s">
        <v>33</v>
      </c>
      <c r="I955" s="13" t="s">
        <v>3167</v>
      </c>
      <c r="J955" s="13" t="s">
        <v>3167</v>
      </c>
      <c r="K955" s="13" t="s">
        <v>3183</v>
      </c>
      <c r="L955" s="13" t="s">
        <v>3160</v>
      </c>
      <c r="M955" s="13" t="s">
        <v>4340</v>
      </c>
      <c r="N955" s="13">
        <v>5.0</v>
      </c>
      <c r="O955" s="13" t="s">
        <v>3267</v>
      </c>
      <c r="P955" s="13" t="s">
        <v>3397</v>
      </c>
      <c r="Q955" s="13" t="s">
        <v>3183</v>
      </c>
      <c r="R955" s="13" t="s">
        <v>3177</v>
      </c>
      <c r="S955" s="13" t="s">
        <v>33</v>
      </c>
      <c r="T955" s="13" t="s">
        <v>3232</v>
      </c>
      <c r="U955" s="13" t="s">
        <v>3197</v>
      </c>
      <c r="V955" s="13" t="s">
        <v>3166</v>
      </c>
      <c r="W955" s="13" t="s">
        <v>3167</v>
      </c>
      <c r="X955" s="13" t="s">
        <v>4341</v>
      </c>
    </row>
    <row r="956" ht="14.25" customHeight="1">
      <c r="A956" s="13">
        <v>25830.0</v>
      </c>
      <c r="B956" s="13" t="s">
        <v>2006</v>
      </c>
      <c r="C956" s="13">
        <v>2018.0</v>
      </c>
      <c r="D956" s="13" t="s">
        <v>3153</v>
      </c>
      <c r="E956" s="13" t="s">
        <v>3169</v>
      </c>
      <c r="F956" s="13" t="s">
        <v>3217</v>
      </c>
      <c r="G956" s="13" t="s">
        <v>3187</v>
      </c>
      <c r="H956" s="13">
        <v>1.0</v>
      </c>
      <c r="I956" s="13" t="s">
        <v>3167</v>
      </c>
      <c r="J956" s="13" t="s">
        <v>3167</v>
      </c>
      <c r="K956" s="13" t="s">
        <v>3218</v>
      </c>
      <c r="L956" s="13" t="s">
        <v>3177</v>
      </c>
      <c r="M956" s="13" t="s">
        <v>3235</v>
      </c>
      <c r="N956" s="13">
        <v>7.0</v>
      </c>
      <c r="O956" s="13" t="s">
        <v>3175</v>
      </c>
      <c r="P956" s="13" t="s">
        <v>4342</v>
      </c>
      <c r="Q956" s="13" t="s">
        <v>3282</v>
      </c>
      <c r="R956" s="13" t="s">
        <v>3163</v>
      </c>
      <c r="S956" s="13" t="s">
        <v>4343</v>
      </c>
      <c r="T956" s="13" t="s">
        <v>3232</v>
      </c>
      <c r="U956" s="13" t="s">
        <v>3232</v>
      </c>
      <c r="V956" s="13" t="s">
        <v>3166</v>
      </c>
      <c r="W956" s="13" t="s">
        <v>3167</v>
      </c>
      <c r="X956" s="13" t="s">
        <v>3178</v>
      </c>
    </row>
    <row r="957" ht="14.25" customHeight="1">
      <c r="A957" s="13">
        <v>25832.0</v>
      </c>
      <c r="B957" s="13" t="s">
        <v>1795</v>
      </c>
      <c r="C957" s="13">
        <v>2020.0</v>
      </c>
      <c r="D957" s="13" t="s">
        <v>3153</v>
      </c>
      <c r="E957" s="13" t="s">
        <v>3179</v>
      </c>
      <c r="F957" s="13" t="s">
        <v>3155</v>
      </c>
      <c r="G957" s="13" t="s">
        <v>3180</v>
      </c>
      <c r="H957" s="13">
        <v>0.5</v>
      </c>
      <c r="I957" s="13" t="s">
        <v>4015</v>
      </c>
      <c r="J957" s="13" t="s">
        <v>3204</v>
      </c>
      <c r="K957" s="13" t="s">
        <v>3183</v>
      </c>
      <c r="L957" s="13" t="s">
        <v>3177</v>
      </c>
      <c r="M957" s="13" t="s">
        <v>3342</v>
      </c>
      <c r="N957" s="13">
        <v>1.0</v>
      </c>
      <c r="O957" s="13" t="s">
        <v>3162</v>
      </c>
      <c r="P957" s="13" t="s">
        <v>3689</v>
      </c>
      <c r="Q957" s="13" t="s">
        <v>3183</v>
      </c>
      <c r="R957" s="13" t="s">
        <v>3177</v>
      </c>
      <c r="S957" s="13" t="s">
        <v>3689</v>
      </c>
      <c r="T957" s="13" t="s">
        <v>3232</v>
      </c>
      <c r="U957" s="13" t="s">
        <v>3232</v>
      </c>
      <c r="V957" s="13" t="s">
        <v>3166</v>
      </c>
      <c r="W957" s="13" t="s">
        <v>3167</v>
      </c>
      <c r="X957" s="13" t="s">
        <v>3178</v>
      </c>
    </row>
    <row r="958" ht="14.25" customHeight="1">
      <c r="A958" s="13">
        <v>25833.0</v>
      </c>
      <c r="B958" s="13" t="s">
        <v>1795</v>
      </c>
      <c r="C958" s="13">
        <v>2020.0</v>
      </c>
      <c r="D958" s="13" t="s">
        <v>3153</v>
      </c>
      <c r="E958" s="13" t="s">
        <v>3179</v>
      </c>
      <c r="F958" s="13" t="s">
        <v>3217</v>
      </c>
      <c r="G958" s="13" t="s">
        <v>3156</v>
      </c>
      <c r="H958" s="13" t="s">
        <v>3187</v>
      </c>
      <c r="I958" s="13" t="s">
        <v>3167</v>
      </c>
      <c r="J958" s="13" t="s">
        <v>3167</v>
      </c>
      <c r="K958" s="13" t="s">
        <v>3173</v>
      </c>
      <c r="L958" s="13" t="s">
        <v>3177</v>
      </c>
      <c r="M958" s="13" t="s">
        <v>4344</v>
      </c>
      <c r="N958" s="13">
        <v>8.0</v>
      </c>
      <c r="O958" s="13" t="s">
        <v>3175</v>
      </c>
      <c r="P958" s="13" t="s">
        <v>4345</v>
      </c>
      <c r="Q958" s="13" t="s">
        <v>3173</v>
      </c>
      <c r="R958" s="13" t="s">
        <v>3260</v>
      </c>
      <c r="S958" s="13" t="s">
        <v>4345</v>
      </c>
      <c r="T958" s="13" t="s">
        <v>3252</v>
      </c>
      <c r="U958" s="13" t="s">
        <v>3252</v>
      </c>
      <c r="V958" s="13" t="s">
        <v>3253</v>
      </c>
      <c r="W958" s="13" t="s">
        <v>3755</v>
      </c>
      <c r="X958" s="13" t="s">
        <v>3755</v>
      </c>
    </row>
    <row r="959" ht="14.25" customHeight="1">
      <c r="A959" s="13">
        <v>25837.0</v>
      </c>
      <c r="B959" s="13" t="s">
        <v>1941</v>
      </c>
      <c r="C959" s="13">
        <v>2018.0</v>
      </c>
      <c r="D959" s="13" t="s">
        <v>3153</v>
      </c>
      <c r="E959" s="13" t="s">
        <v>3179</v>
      </c>
      <c r="F959" s="13" t="s">
        <v>3170</v>
      </c>
      <c r="G959" s="13" t="s">
        <v>3156</v>
      </c>
      <c r="H959" s="13" t="s">
        <v>3167</v>
      </c>
      <c r="I959" s="13" t="s">
        <v>3249</v>
      </c>
      <c r="J959" s="13" t="s">
        <v>3307</v>
      </c>
      <c r="K959" s="13" t="s">
        <v>3159</v>
      </c>
      <c r="L959" s="13" t="s">
        <v>3160</v>
      </c>
      <c r="M959" s="13" t="s">
        <v>3196</v>
      </c>
      <c r="N959" s="13">
        <v>1.0</v>
      </c>
      <c r="O959" s="13" t="s">
        <v>3162</v>
      </c>
      <c r="P959" s="13" t="s">
        <v>3167</v>
      </c>
      <c r="Q959" s="13" t="s">
        <v>3214</v>
      </c>
      <c r="R959" s="13" t="s">
        <v>3231</v>
      </c>
      <c r="S959" s="13" t="s">
        <v>33</v>
      </c>
      <c r="T959" s="13" t="s">
        <v>3247</v>
      </c>
      <c r="U959" s="13" t="s">
        <v>3247</v>
      </c>
      <c r="V959" s="13" t="s">
        <v>3166</v>
      </c>
      <c r="W959" s="13" t="s">
        <v>3167</v>
      </c>
      <c r="X959" s="13" t="s">
        <v>3168</v>
      </c>
    </row>
    <row r="960" ht="14.25" customHeight="1">
      <c r="A960" s="13">
        <v>25838.0</v>
      </c>
      <c r="B960" s="13" t="s">
        <v>4346</v>
      </c>
      <c r="C960" s="13">
        <v>2006.0</v>
      </c>
      <c r="D960" s="13" t="s">
        <v>3153</v>
      </c>
      <c r="E960" s="13" t="s">
        <v>3517</v>
      </c>
      <c r="F960" s="13" t="s">
        <v>3192</v>
      </c>
      <c r="G960" s="13" t="s">
        <v>3202</v>
      </c>
      <c r="H960" s="13">
        <v>30.0</v>
      </c>
      <c r="I960" s="13" t="s">
        <v>3171</v>
      </c>
      <c r="J960" s="13" t="s">
        <v>4108</v>
      </c>
      <c r="K960" s="13" t="s">
        <v>3208</v>
      </c>
      <c r="L960" s="13" t="s">
        <v>3160</v>
      </c>
      <c r="M960" s="13" t="s">
        <v>4347</v>
      </c>
      <c r="N960" s="13">
        <v>2.0</v>
      </c>
      <c r="O960" s="13" t="s">
        <v>3162</v>
      </c>
      <c r="P960" s="13" t="s">
        <v>33</v>
      </c>
      <c r="Q960" s="13" t="s">
        <v>3208</v>
      </c>
      <c r="R960" s="13" t="s">
        <v>3163</v>
      </c>
      <c r="S960" s="13" t="s">
        <v>33</v>
      </c>
      <c r="T960" s="13" t="s">
        <v>3247</v>
      </c>
      <c r="U960" s="13" t="s">
        <v>3247</v>
      </c>
      <c r="V960" s="13" t="s">
        <v>3242</v>
      </c>
      <c r="W960" s="13" t="s">
        <v>4348</v>
      </c>
      <c r="X960" s="13" t="s">
        <v>3167</v>
      </c>
    </row>
    <row r="961" ht="14.25" customHeight="1">
      <c r="A961" s="13">
        <v>25846.0</v>
      </c>
      <c r="B961" s="13" t="s">
        <v>1617</v>
      </c>
      <c r="C961" s="13">
        <v>2011.0</v>
      </c>
      <c r="D961" s="13" t="s">
        <v>3153</v>
      </c>
      <c r="E961" s="13" t="s">
        <v>3169</v>
      </c>
      <c r="F961" s="13" t="s">
        <v>3192</v>
      </c>
      <c r="G961" s="13" t="s">
        <v>3202</v>
      </c>
      <c r="H961" s="13" t="s">
        <v>3202</v>
      </c>
      <c r="I961" s="13" t="s">
        <v>3222</v>
      </c>
      <c r="J961" s="13" t="s">
        <v>3182</v>
      </c>
      <c r="K961" s="13" t="s">
        <v>3901</v>
      </c>
      <c r="L961" s="13" t="s">
        <v>3177</v>
      </c>
      <c r="M961" s="13" t="s">
        <v>4349</v>
      </c>
      <c r="N961" s="13">
        <v>14.0</v>
      </c>
      <c r="O961" s="13" t="s">
        <v>3175</v>
      </c>
      <c r="P961" s="13" t="s">
        <v>4350</v>
      </c>
      <c r="Q961" s="13" t="s">
        <v>3370</v>
      </c>
      <c r="R961" s="13" t="s">
        <v>3231</v>
      </c>
      <c r="S961" s="13" t="s">
        <v>33</v>
      </c>
      <c r="T961" s="13" t="s">
        <v>3247</v>
      </c>
      <c r="U961" s="13" t="s">
        <v>3247</v>
      </c>
      <c r="V961" s="13" t="s">
        <v>3166</v>
      </c>
      <c r="W961" s="13" t="s">
        <v>3167</v>
      </c>
      <c r="X961" s="13" t="s">
        <v>4351</v>
      </c>
    </row>
    <row r="962" ht="14.25" customHeight="1">
      <c r="A962" s="13" t="s">
        <v>852</v>
      </c>
      <c r="B962" s="13" t="s">
        <v>853</v>
      </c>
      <c r="C962" s="13">
        <v>2008.0</v>
      </c>
      <c r="D962" s="13" t="s">
        <v>3153</v>
      </c>
      <c r="E962" s="13" t="s">
        <v>3169</v>
      </c>
      <c r="F962" s="13" t="s">
        <v>3192</v>
      </c>
      <c r="G962" s="13" t="s">
        <v>3202</v>
      </c>
      <c r="H962" s="13">
        <v>1000.0</v>
      </c>
      <c r="I962" s="13" t="s">
        <v>3188</v>
      </c>
      <c r="J962" s="13" t="s">
        <v>3189</v>
      </c>
      <c r="K962" s="13" t="s">
        <v>3208</v>
      </c>
      <c r="L962" s="13" t="s">
        <v>3160</v>
      </c>
      <c r="M962" s="13" t="s">
        <v>4352</v>
      </c>
      <c r="N962" s="13">
        <v>10.0</v>
      </c>
      <c r="O962" s="13" t="s">
        <v>3162</v>
      </c>
      <c r="P962" s="13" t="s">
        <v>33</v>
      </c>
      <c r="Q962" s="13" t="s">
        <v>3282</v>
      </c>
      <c r="R962" s="13" t="s">
        <v>3177</v>
      </c>
      <c r="S962" s="13" t="s">
        <v>33</v>
      </c>
      <c r="T962" s="13" t="s">
        <v>3228</v>
      </c>
      <c r="U962" s="13" t="s">
        <v>3252</v>
      </c>
      <c r="V962" s="13" t="s">
        <v>3253</v>
      </c>
      <c r="W962" s="13" t="s">
        <v>4353</v>
      </c>
      <c r="X962" s="13" t="s">
        <v>3178</v>
      </c>
    </row>
    <row r="963" ht="14.25" customHeight="1">
      <c r="A963" s="13">
        <v>25850.0</v>
      </c>
      <c r="B963" s="13" t="s">
        <v>1958</v>
      </c>
      <c r="C963" s="13">
        <v>2018.0</v>
      </c>
      <c r="D963" s="13" t="s">
        <v>3153</v>
      </c>
      <c r="E963" s="13" t="s">
        <v>3169</v>
      </c>
      <c r="F963" s="13" t="s">
        <v>3170</v>
      </c>
      <c r="G963" s="13" t="s">
        <v>3187</v>
      </c>
      <c r="H963" s="13">
        <v>1.0</v>
      </c>
      <c r="I963" s="13" t="s">
        <v>3157</v>
      </c>
      <c r="J963" s="13" t="s">
        <v>3307</v>
      </c>
      <c r="K963" s="13" t="s">
        <v>3183</v>
      </c>
      <c r="L963" s="13" t="s">
        <v>3160</v>
      </c>
      <c r="M963" s="13" t="s">
        <v>3399</v>
      </c>
      <c r="N963" s="13">
        <v>1.0</v>
      </c>
      <c r="O963" s="13" t="s">
        <v>3162</v>
      </c>
      <c r="P963" s="13" t="s">
        <v>3724</v>
      </c>
      <c r="Q963" s="13" t="s">
        <v>3183</v>
      </c>
      <c r="R963" s="13" t="s">
        <v>3163</v>
      </c>
      <c r="S963" s="13" t="s">
        <v>3724</v>
      </c>
      <c r="T963" s="13" t="s">
        <v>3247</v>
      </c>
      <c r="U963" s="13" t="s">
        <v>3247</v>
      </c>
      <c r="V963" s="13" t="s">
        <v>3242</v>
      </c>
      <c r="W963" s="13" t="s">
        <v>3248</v>
      </c>
      <c r="X963" s="13" t="s">
        <v>3167</v>
      </c>
    </row>
    <row r="964" ht="14.25" customHeight="1">
      <c r="A964" s="13">
        <v>25856.0</v>
      </c>
      <c r="B964" s="13" t="s">
        <v>4354</v>
      </c>
      <c r="C964" s="13">
        <v>2016.0</v>
      </c>
      <c r="D964" s="13" t="s">
        <v>3153</v>
      </c>
      <c r="E964" s="13" t="s">
        <v>3169</v>
      </c>
      <c r="F964" s="13" t="s">
        <v>3170</v>
      </c>
      <c r="G964" s="13" t="s">
        <v>3187</v>
      </c>
      <c r="H964" s="13">
        <v>1.0</v>
      </c>
      <c r="I964" s="13" t="s">
        <v>3222</v>
      </c>
      <c r="J964" s="13" t="s">
        <v>3182</v>
      </c>
      <c r="K964" s="13" t="s">
        <v>3159</v>
      </c>
      <c r="L964" s="13" t="s">
        <v>3177</v>
      </c>
      <c r="M964" s="13" t="s">
        <v>3448</v>
      </c>
      <c r="N964" s="13">
        <v>1.0</v>
      </c>
      <c r="O964" s="13" t="s">
        <v>3162</v>
      </c>
      <c r="P964" s="13" t="s">
        <v>33</v>
      </c>
      <c r="Q964" s="13" t="s">
        <v>3210</v>
      </c>
      <c r="R964" s="13" t="s">
        <v>3163</v>
      </c>
      <c r="S964" s="13" t="s">
        <v>33</v>
      </c>
      <c r="T964" s="13" t="s">
        <v>3195</v>
      </c>
      <c r="U964" s="13" t="s">
        <v>3195</v>
      </c>
      <c r="V964" s="13" t="s">
        <v>3195</v>
      </c>
      <c r="W964" s="13" t="s">
        <v>3167</v>
      </c>
      <c r="X964" s="13" t="s">
        <v>3167</v>
      </c>
    </row>
    <row r="965" ht="14.25" customHeight="1">
      <c r="A965" s="13">
        <v>25857.0</v>
      </c>
      <c r="B965" s="13" t="s">
        <v>843</v>
      </c>
      <c r="C965" s="13">
        <v>2020.0</v>
      </c>
      <c r="D965" s="13" t="s">
        <v>3153</v>
      </c>
      <c r="E965" s="13" t="s">
        <v>3169</v>
      </c>
      <c r="F965" s="13" t="s">
        <v>3170</v>
      </c>
      <c r="G965" s="13" t="s">
        <v>3156</v>
      </c>
      <c r="H965" s="13" t="s">
        <v>3187</v>
      </c>
      <c r="I965" s="13" t="s">
        <v>3222</v>
      </c>
      <c r="J965" s="13" t="s">
        <v>3182</v>
      </c>
      <c r="K965" s="13" t="s">
        <v>4355</v>
      </c>
      <c r="L965" s="13" t="s">
        <v>3177</v>
      </c>
      <c r="M965" s="13" t="s">
        <v>3448</v>
      </c>
      <c r="N965" s="13">
        <v>1.0</v>
      </c>
      <c r="O965" s="13" t="s">
        <v>3162</v>
      </c>
      <c r="P965" s="13" t="s">
        <v>4356</v>
      </c>
      <c r="Q965" s="13" t="s">
        <v>3210</v>
      </c>
      <c r="R965" s="13" t="s">
        <v>3231</v>
      </c>
      <c r="S965" s="13" t="s">
        <v>33</v>
      </c>
      <c r="T965" s="13" t="s">
        <v>3195</v>
      </c>
      <c r="U965" s="13" t="s">
        <v>3195</v>
      </c>
      <c r="V965" s="13" t="s">
        <v>3195</v>
      </c>
      <c r="W965" s="13" t="s">
        <v>3167</v>
      </c>
      <c r="X965" s="13" t="s">
        <v>3167</v>
      </c>
    </row>
    <row r="966" ht="14.25" customHeight="1">
      <c r="A966" s="13">
        <v>25865.0</v>
      </c>
      <c r="B966" s="13" t="s">
        <v>2713</v>
      </c>
      <c r="C966" s="13">
        <v>2018.0</v>
      </c>
      <c r="D966" s="13" t="s">
        <v>3153</v>
      </c>
      <c r="E966" s="13" t="s">
        <v>3169</v>
      </c>
      <c r="F966" s="13" t="s">
        <v>3170</v>
      </c>
      <c r="G966" s="13" t="s">
        <v>3156</v>
      </c>
      <c r="H966" s="13" t="s">
        <v>3167</v>
      </c>
      <c r="I966" s="13" t="s">
        <v>3244</v>
      </c>
      <c r="J966" s="13" t="s">
        <v>4357</v>
      </c>
      <c r="K966" s="13" t="s">
        <v>3580</v>
      </c>
      <c r="L966" s="13" t="s">
        <v>3160</v>
      </c>
      <c r="M966" s="13" t="s">
        <v>4358</v>
      </c>
      <c r="N966" s="13">
        <v>11.0</v>
      </c>
      <c r="O966" s="13" t="s">
        <v>3162</v>
      </c>
      <c r="P966" s="13" t="s">
        <v>3167</v>
      </c>
      <c r="Q966" s="13" t="s">
        <v>3159</v>
      </c>
      <c r="R966" s="13" t="s">
        <v>3231</v>
      </c>
      <c r="S966" s="13" t="s">
        <v>33</v>
      </c>
      <c r="T966" s="13" t="s">
        <v>3164</v>
      </c>
      <c r="U966" s="13" t="s">
        <v>3252</v>
      </c>
      <c r="V966" s="13" t="s">
        <v>3253</v>
      </c>
      <c r="W966" s="13" t="s">
        <v>4359</v>
      </c>
      <c r="X966" s="13" t="s">
        <v>4113</v>
      </c>
    </row>
    <row r="967" ht="14.25" customHeight="1">
      <c r="A967" s="13">
        <v>25866.0</v>
      </c>
      <c r="B967" s="13" t="s">
        <v>2060</v>
      </c>
      <c r="C967" s="13">
        <v>2018.0</v>
      </c>
      <c r="D967" s="13" t="s">
        <v>3153</v>
      </c>
      <c r="E967" s="13" t="s">
        <v>3179</v>
      </c>
      <c r="F967" s="13" t="s">
        <v>3211</v>
      </c>
      <c r="G967" s="13" t="s">
        <v>33</v>
      </c>
      <c r="H967" s="13" t="s">
        <v>33</v>
      </c>
      <c r="I967" s="13" t="s">
        <v>3261</v>
      </c>
      <c r="J967" s="13" t="s">
        <v>4360</v>
      </c>
      <c r="K967" s="13" t="s">
        <v>3290</v>
      </c>
      <c r="L967" s="13" t="s">
        <v>3177</v>
      </c>
      <c r="M967" s="13" t="s">
        <v>3342</v>
      </c>
      <c r="N967" s="13">
        <v>1.0</v>
      </c>
      <c r="O967" s="13" t="s">
        <v>3162</v>
      </c>
      <c r="P967" s="13" t="s">
        <v>33</v>
      </c>
      <c r="Q967" s="13" t="s">
        <v>3335</v>
      </c>
      <c r="R967" s="13" t="s">
        <v>3163</v>
      </c>
      <c r="S967" s="13" t="s">
        <v>3601</v>
      </c>
      <c r="T967" s="13" t="s">
        <v>3195</v>
      </c>
      <c r="U967" s="13" t="s">
        <v>3195</v>
      </c>
      <c r="V967" s="13" t="s">
        <v>3195</v>
      </c>
      <c r="W967" s="13" t="s">
        <v>3167</v>
      </c>
      <c r="X967" s="13" t="s">
        <v>3167</v>
      </c>
    </row>
    <row r="968" ht="14.25" customHeight="1">
      <c r="A968" s="13">
        <v>25858.0</v>
      </c>
      <c r="B968" s="13" t="s">
        <v>1087</v>
      </c>
      <c r="C968" s="13">
        <v>2015.0</v>
      </c>
      <c r="D968" s="13" t="s">
        <v>3153</v>
      </c>
      <c r="E968" s="13" t="s">
        <v>3169</v>
      </c>
      <c r="F968" s="13" t="s">
        <v>3211</v>
      </c>
      <c r="G968" s="13" t="s">
        <v>3156</v>
      </c>
      <c r="H968" s="13" t="s">
        <v>4183</v>
      </c>
      <c r="I968" s="13" t="s">
        <v>3171</v>
      </c>
      <c r="J968" s="13" t="s">
        <v>4361</v>
      </c>
      <c r="K968" s="13" t="s">
        <v>3190</v>
      </c>
      <c r="L968" s="13" t="s">
        <v>3160</v>
      </c>
      <c r="M968" s="13" t="s">
        <v>3715</v>
      </c>
      <c r="N968" s="13">
        <v>1.0</v>
      </c>
      <c r="O968" s="13" t="s">
        <v>3162</v>
      </c>
      <c r="P968" s="13" t="s">
        <v>3167</v>
      </c>
      <c r="Q968" s="13" t="s">
        <v>3186</v>
      </c>
      <c r="R968" s="13" t="s">
        <v>3231</v>
      </c>
      <c r="S968" s="13" t="s">
        <v>33</v>
      </c>
      <c r="T968" s="13" t="s">
        <v>3164</v>
      </c>
      <c r="U968" s="13" t="s">
        <v>3165</v>
      </c>
      <c r="V968" s="13" t="s">
        <v>3242</v>
      </c>
      <c r="W968" s="13" t="s">
        <v>3377</v>
      </c>
      <c r="X968" s="13" t="s">
        <v>3167</v>
      </c>
    </row>
    <row r="969" ht="14.25" customHeight="1">
      <c r="A969" s="13">
        <v>25862.0</v>
      </c>
      <c r="B969" s="13" t="s">
        <v>1087</v>
      </c>
      <c r="C969" s="13">
        <v>2015.0</v>
      </c>
      <c r="D969" s="13" t="s">
        <v>3153</v>
      </c>
      <c r="E969" s="13" t="s">
        <v>3169</v>
      </c>
      <c r="F969" s="13" t="s">
        <v>3211</v>
      </c>
      <c r="G969" s="13" t="s">
        <v>3202</v>
      </c>
      <c r="H969" s="13">
        <v>900.0</v>
      </c>
      <c r="I969" s="13" t="s">
        <v>3171</v>
      </c>
      <c r="J969" s="13" t="s">
        <v>4362</v>
      </c>
      <c r="K969" s="13" t="s">
        <v>3183</v>
      </c>
      <c r="L969" s="13" t="s">
        <v>3177</v>
      </c>
      <c r="M969" s="13" t="s">
        <v>4181</v>
      </c>
      <c r="N969" s="13">
        <v>3.0</v>
      </c>
      <c r="O969" s="13" t="s">
        <v>3175</v>
      </c>
      <c r="P969" s="13" t="s">
        <v>4363</v>
      </c>
      <c r="Q969" s="13" t="s">
        <v>3379</v>
      </c>
      <c r="R969" s="13" t="s">
        <v>3163</v>
      </c>
      <c r="S969" s="13" t="s">
        <v>4364</v>
      </c>
      <c r="T969" s="13" t="s">
        <v>3247</v>
      </c>
      <c r="U969" s="13" t="s">
        <v>3247</v>
      </c>
      <c r="V969" s="13" t="s">
        <v>3242</v>
      </c>
      <c r="W969" s="13" t="s">
        <v>3496</v>
      </c>
      <c r="X969" s="13" t="s">
        <v>3167</v>
      </c>
    </row>
    <row r="970" ht="14.25" customHeight="1">
      <c r="A970" s="13">
        <v>25870.0</v>
      </c>
      <c r="B970" s="13" t="s">
        <v>1087</v>
      </c>
      <c r="C970" s="13">
        <v>2017.0</v>
      </c>
      <c r="D970" s="13" t="s">
        <v>3457</v>
      </c>
      <c r="E970" s="13" t="s">
        <v>3169</v>
      </c>
      <c r="F970" s="13" t="s">
        <v>3170</v>
      </c>
      <c r="G970" s="13" t="s">
        <v>3156</v>
      </c>
      <c r="H970" s="13" t="s">
        <v>33</v>
      </c>
      <c r="I970" s="13" t="s">
        <v>3222</v>
      </c>
      <c r="J970" s="13" t="s">
        <v>3182</v>
      </c>
      <c r="K970" s="13" t="s">
        <v>3159</v>
      </c>
      <c r="L970" s="13" t="s">
        <v>3160</v>
      </c>
      <c r="M970" s="13" t="s">
        <v>4365</v>
      </c>
      <c r="N970" s="13">
        <v>1.0</v>
      </c>
      <c r="O970" s="13" t="s">
        <v>3162</v>
      </c>
      <c r="P970" s="13" t="s">
        <v>33</v>
      </c>
      <c r="Q970" s="13" t="s">
        <v>3159</v>
      </c>
      <c r="R970" s="13" t="s">
        <v>3163</v>
      </c>
      <c r="S970" s="13" t="s">
        <v>33</v>
      </c>
      <c r="T970" s="13" t="s">
        <v>3164</v>
      </c>
      <c r="U970" s="13" t="s">
        <v>3164</v>
      </c>
      <c r="V970" s="13" t="s">
        <v>3166</v>
      </c>
      <c r="W970" s="13" t="s">
        <v>3167</v>
      </c>
      <c r="X970" s="13" t="s">
        <v>3224</v>
      </c>
    </row>
    <row r="971" ht="14.25" customHeight="1">
      <c r="A971" s="13">
        <v>25874.0</v>
      </c>
      <c r="B971" s="13" t="s">
        <v>1087</v>
      </c>
      <c r="C971" s="13">
        <v>2018.0</v>
      </c>
      <c r="D971" s="13" t="s">
        <v>3153</v>
      </c>
      <c r="E971" s="13" t="s">
        <v>3169</v>
      </c>
      <c r="F971" s="13" t="s">
        <v>3284</v>
      </c>
      <c r="G971" s="13" t="s">
        <v>3156</v>
      </c>
      <c r="H971" s="13" t="s">
        <v>33</v>
      </c>
      <c r="I971" s="13" t="s">
        <v>3244</v>
      </c>
      <c r="J971" s="13" t="s">
        <v>3167</v>
      </c>
      <c r="K971" s="13" t="s">
        <v>3183</v>
      </c>
      <c r="L971" s="13" t="s">
        <v>3160</v>
      </c>
      <c r="M971" s="13" t="s">
        <v>4366</v>
      </c>
      <c r="N971" s="13">
        <v>6.0</v>
      </c>
      <c r="O971" s="13" t="s">
        <v>3175</v>
      </c>
      <c r="P971" s="13" t="s">
        <v>4367</v>
      </c>
      <c r="Q971" s="13" t="s">
        <v>3183</v>
      </c>
      <c r="R971" s="13" t="s">
        <v>3163</v>
      </c>
      <c r="S971" s="13" t="s">
        <v>33</v>
      </c>
      <c r="T971" s="13" t="s">
        <v>3164</v>
      </c>
      <c r="U971" s="13" t="s">
        <v>3197</v>
      </c>
      <c r="V971" s="13" t="s">
        <v>3242</v>
      </c>
      <c r="W971" s="13" t="s">
        <v>4368</v>
      </c>
      <c r="X971" s="13" t="s">
        <v>3167</v>
      </c>
    </row>
    <row r="972" ht="14.25" customHeight="1">
      <c r="A972" s="13">
        <v>25875.0</v>
      </c>
      <c r="B972" s="13" t="s">
        <v>2258</v>
      </c>
      <c r="C972" s="13">
        <v>2009.0</v>
      </c>
      <c r="D972" s="13" t="s">
        <v>3153</v>
      </c>
      <c r="E972" s="13" t="s">
        <v>3179</v>
      </c>
      <c r="F972" s="13" t="s">
        <v>3192</v>
      </c>
      <c r="G972" s="13" t="s">
        <v>3180</v>
      </c>
      <c r="H972" s="13">
        <v>5.0</v>
      </c>
      <c r="I972" s="13" t="s">
        <v>3261</v>
      </c>
      <c r="J972" s="13" t="s">
        <v>3182</v>
      </c>
      <c r="K972" s="13" t="s">
        <v>3381</v>
      </c>
      <c r="L972" s="13" t="s">
        <v>3177</v>
      </c>
      <c r="M972" s="13" t="s">
        <v>3184</v>
      </c>
      <c r="N972" s="13">
        <v>1.0</v>
      </c>
      <c r="O972" s="13" t="s">
        <v>3162</v>
      </c>
      <c r="P972" s="13" t="s">
        <v>4369</v>
      </c>
      <c r="Q972" s="13" t="s">
        <v>3287</v>
      </c>
      <c r="R972" s="13" t="s">
        <v>3177</v>
      </c>
      <c r="S972" s="13" t="s">
        <v>33</v>
      </c>
      <c r="T972" s="13" t="s">
        <v>3164</v>
      </c>
      <c r="U972" s="13" t="s">
        <v>3164</v>
      </c>
      <c r="V972" s="13" t="s">
        <v>3166</v>
      </c>
      <c r="W972" s="13" t="s">
        <v>3167</v>
      </c>
      <c r="X972" s="13" t="s">
        <v>3178</v>
      </c>
    </row>
    <row r="973" ht="14.25" customHeight="1">
      <c r="A973" s="13">
        <v>25877.0</v>
      </c>
      <c r="B973" s="13" t="s">
        <v>2270</v>
      </c>
      <c r="C973" s="13">
        <v>2007.0</v>
      </c>
      <c r="D973" s="13" t="s">
        <v>3153</v>
      </c>
      <c r="E973" s="13" t="s">
        <v>3169</v>
      </c>
      <c r="F973" s="13" t="s">
        <v>3170</v>
      </c>
      <c r="G973" s="13" t="s">
        <v>33</v>
      </c>
      <c r="H973" s="13" t="s">
        <v>33</v>
      </c>
      <c r="I973" s="13" t="s">
        <v>3171</v>
      </c>
      <c r="J973" s="13" t="s">
        <v>4289</v>
      </c>
      <c r="K973" s="13" t="s">
        <v>3381</v>
      </c>
      <c r="L973" s="13" t="s">
        <v>3177</v>
      </c>
      <c r="M973" s="13" t="s">
        <v>4370</v>
      </c>
      <c r="N973" s="13">
        <v>5.0</v>
      </c>
      <c r="O973" s="13" t="s">
        <v>3175</v>
      </c>
      <c r="P973" s="13" t="s">
        <v>3689</v>
      </c>
      <c r="Q973" s="13" t="s">
        <v>3210</v>
      </c>
      <c r="R973" s="13" t="s">
        <v>3163</v>
      </c>
      <c r="S973" s="13" t="s">
        <v>33</v>
      </c>
      <c r="T973" s="13" t="s">
        <v>3195</v>
      </c>
      <c r="U973" s="13" t="s">
        <v>3195</v>
      </c>
      <c r="V973" s="13" t="s">
        <v>3195</v>
      </c>
      <c r="W973" s="13" t="s">
        <v>3167</v>
      </c>
      <c r="X973" s="13" t="s">
        <v>3167</v>
      </c>
    </row>
    <row r="974" ht="14.25" customHeight="1">
      <c r="A974" s="13">
        <v>25878.0</v>
      </c>
      <c r="B974" s="13" t="s">
        <v>2616</v>
      </c>
      <c r="C974" s="13">
        <v>2017.0</v>
      </c>
      <c r="D974" s="13" t="s">
        <v>3153</v>
      </c>
      <c r="E974" s="13" t="s">
        <v>3169</v>
      </c>
      <c r="F974" s="13" t="s">
        <v>3170</v>
      </c>
      <c r="G974" s="13" t="s">
        <v>3156</v>
      </c>
      <c r="H974" s="13" t="s">
        <v>33</v>
      </c>
      <c r="I974" s="13" t="s">
        <v>3157</v>
      </c>
      <c r="J974" s="13" t="s">
        <v>3368</v>
      </c>
      <c r="K974" s="13" t="s">
        <v>3159</v>
      </c>
      <c r="L974" s="13" t="s">
        <v>3177</v>
      </c>
      <c r="M974" s="13" t="s">
        <v>4371</v>
      </c>
      <c r="N974" s="13">
        <v>2.0</v>
      </c>
      <c r="O974" s="13" t="s">
        <v>3162</v>
      </c>
      <c r="P974" s="13" t="s">
        <v>33</v>
      </c>
      <c r="Q974" s="13" t="s">
        <v>3159</v>
      </c>
      <c r="R974" s="13" t="s">
        <v>3163</v>
      </c>
      <c r="S974" s="13" t="s">
        <v>33</v>
      </c>
      <c r="T974" s="13" t="s">
        <v>3164</v>
      </c>
      <c r="U974" s="13" t="s">
        <v>3247</v>
      </c>
      <c r="V974" s="13" t="s">
        <v>3166</v>
      </c>
      <c r="W974" s="13" t="s">
        <v>3167</v>
      </c>
      <c r="X974" s="13" t="s">
        <v>4372</v>
      </c>
    </row>
    <row r="975" ht="14.25" customHeight="1">
      <c r="A975" s="13">
        <v>25879.0</v>
      </c>
      <c r="B975" s="13" t="s">
        <v>350</v>
      </c>
      <c r="C975" s="13">
        <v>2017.0</v>
      </c>
      <c r="D975" s="13" t="s">
        <v>3153</v>
      </c>
      <c r="E975" s="13" t="s">
        <v>3169</v>
      </c>
      <c r="F975" s="13" t="s">
        <v>3170</v>
      </c>
      <c r="G975" s="13" t="s">
        <v>3202</v>
      </c>
      <c r="H975" s="13">
        <v>25.0</v>
      </c>
      <c r="I975" s="13" t="s">
        <v>3171</v>
      </c>
      <c r="J975" s="13" t="s">
        <v>3325</v>
      </c>
      <c r="K975" s="13" t="s">
        <v>3201</v>
      </c>
      <c r="L975" s="13" t="s">
        <v>3177</v>
      </c>
      <c r="M975" s="13" t="s">
        <v>4373</v>
      </c>
      <c r="N975" s="13">
        <v>2.0</v>
      </c>
      <c r="O975" s="13" t="s">
        <v>3162</v>
      </c>
      <c r="P975" s="13" t="s">
        <v>3167</v>
      </c>
      <c r="Q975" s="13" t="s">
        <v>3159</v>
      </c>
      <c r="R975" s="13" t="s">
        <v>3231</v>
      </c>
      <c r="S975" s="13" t="s">
        <v>33</v>
      </c>
      <c r="T975" s="13" t="s">
        <v>3232</v>
      </c>
      <c r="U975" s="13" t="s">
        <v>3232</v>
      </c>
      <c r="V975" s="13" t="s">
        <v>3166</v>
      </c>
      <c r="W975" s="13" t="s">
        <v>3167</v>
      </c>
      <c r="X975" s="13" t="s">
        <v>3178</v>
      </c>
    </row>
    <row r="976" ht="14.25" customHeight="1">
      <c r="A976" s="13">
        <v>25880.0</v>
      </c>
      <c r="B976" s="13" t="s">
        <v>2855</v>
      </c>
      <c r="C976" s="13">
        <v>2018.0</v>
      </c>
      <c r="D976" s="13" t="s">
        <v>3153</v>
      </c>
      <c r="E976" s="13" t="s">
        <v>3169</v>
      </c>
      <c r="F976" s="13" t="s">
        <v>3170</v>
      </c>
      <c r="G976" s="13" t="s">
        <v>3156</v>
      </c>
      <c r="H976" s="13" t="s">
        <v>33</v>
      </c>
      <c r="I976" s="13" t="s">
        <v>3157</v>
      </c>
      <c r="J976" s="13" t="s">
        <v>3158</v>
      </c>
      <c r="K976" s="13" t="s">
        <v>3159</v>
      </c>
      <c r="L976" s="13" t="s">
        <v>3160</v>
      </c>
      <c r="M976" s="13" t="s">
        <v>3161</v>
      </c>
      <c r="N976" s="13">
        <v>1.0</v>
      </c>
      <c r="O976" s="13" t="s">
        <v>3162</v>
      </c>
      <c r="P976" s="13" t="s">
        <v>33</v>
      </c>
      <c r="Q976" s="13" t="s">
        <v>3335</v>
      </c>
      <c r="R976" s="13" t="s">
        <v>3163</v>
      </c>
      <c r="S976" s="13" t="s">
        <v>3601</v>
      </c>
      <c r="T976" s="13" t="s">
        <v>3195</v>
      </c>
      <c r="U976" s="13" t="s">
        <v>3195</v>
      </c>
      <c r="V976" s="13" t="s">
        <v>3195</v>
      </c>
      <c r="W976" s="13" t="s">
        <v>3167</v>
      </c>
      <c r="X976" s="13" t="s">
        <v>3167</v>
      </c>
    </row>
    <row r="977" ht="14.25" customHeight="1">
      <c r="A977" s="13">
        <v>25884.0</v>
      </c>
      <c r="B977" s="13" t="s">
        <v>620</v>
      </c>
      <c r="C977" s="13">
        <v>2019.0</v>
      </c>
      <c r="D977" s="13" t="s">
        <v>3153</v>
      </c>
      <c r="E977" s="13" t="s">
        <v>3179</v>
      </c>
      <c r="F977" s="13" t="s">
        <v>3192</v>
      </c>
      <c r="G977" s="13" t="s">
        <v>3156</v>
      </c>
      <c r="H977" s="13" t="s">
        <v>3167</v>
      </c>
      <c r="I977" s="13" t="s">
        <v>3249</v>
      </c>
      <c r="J977" s="13" t="s">
        <v>3307</v>
      </c>
      <c r="K977" s="13" t="s">
        <v>3159</v>
      </c>
      <c r="L977" s="13" t="s">
        <v>3160</v>
      </c>
      <c r="M977" s="13" t="s">
        <v>3342</v>
      </c>
      <c r="N977" s="13">
        <v>1.0</v>
      </c>
      <c r="O977" s="13" t="s">
        <v>3162</v>
      </c>
      <c r="P977" s="13" t="s">
        <v>3167</v>
      </c>
      <c r="Q977" s="13" t="s">
        <v>3159</v>
      </c>
      <c r="R977" s="13" t="s">
        <v>3231</v>
      </c>
      <c r="S977" s="13" t="s">
        <v>33</v>
      </c>
      <c r="T977" s="13" t="s">
        <v>3197</v>
      </c>
      <c r="U977" s="13" t="s">
        <v>3197</v>
      </c>
      <c r="V977" s="13" t="s">
        <v>3166</v>
      </c>
      <c r="W977" s="13" t="s">
        <v>3167</v>
      </c>
      <c r="X977" s="13" t="s">
        <v>3738</v>
      </c>
    </row>
    <row r="978" ht="14.25" customHeight="1">
      <c r="A978" s="13">
        <v>25888.0</v>
      </c>
      <c r="B978" s="13" t="s">
        <v>34</v>
      </c>
      <c r="C978" s="13">
        <v>2016.0</v>
      </c>
      <c r="D978" s="13" t="s">
        <v>3153</v>
      </c>
      <c r="E978" s="13" t="s">
        <v>3169</v>
      </c>
      <c r="F978" s="13" t="s">
        <v>3211</v>
      </c>
      <c r="G978" s="13" t="s">
        <v>3156</v>
      </c>
      <c r="H978" s="13" t="s">
        <v>33</v>
      </c>
      <c r="I978" s="13" t="s">
        <v>3157</v>
      </c>
      <c r="J978" s="13" t="s">
        <v>4374</v>
      </c>
      <c r="K978" s="13" t="s">
        <v>3381</v>
      </c>
      <c r="L978" s="13" t="s">
        <v>3177</v>
      </c>
      <c r="M978" s="13" t="s">
        <v>3331</v>
      </c>
      <c r="N978" s="13">
        <v>1.0</v>
      </c>
      <c r="O978" s="13" t="s">
        <v>3162</v>
      </c>
      <c r="P978" s="13" t="s">
        <v>3724</v>
      </c>
      <c r="Q978" s="13" t="s">
        <v>3183</v>
      </c>
      <c r="R978" s="13" t="s">
        <v>3163</v>
      </c>
      <c r="S978" s="13" t="s">
        <v>33</v>
      </c>
      <c r="T978" s="13" t="s">
        <v>3164</v>
      </c>
      <c r="U978" s="13" t="s">
        <v>3164</v>
      </c>
      <c r="V978" s="13" t="s">
        <v>3166</v>
      </c>
      <c r="W978" s="13" t="s">
        <v>3167</v>
      </c>
      <c r="X978" s="13" t="s">
        <v>3224</v>
      </c>
    </row>
    <row r="979" ht="14.25" customHeight="1">
      <c r="A979" s="13">
        <v>25889.0</v>
      </c>
      <c r="B979" s="13" t="s">
        <v>34</v>
      </c>
      <c r="C979" s="13">
        <v>2017.0</v>
      </c>
      <c r="D979" s="13" t="s">
        <v>3153</v>
      </c>
      <c r="E979" s="13" t="s">
        <v>3169</v>
      </c>
      <c r="F979" s="13" t="s">
        <v>3211</v>
      </c>
      <c r="G979" s="13" t="s">
        <v>3156</v>
      </c>
      <c r="H979" s="13" t="s">
        <v>33</v>
      </c>
      <c r="I979" s="13" t="s">
        <v>3157</v>
      </c>
      <c r="J979" s="13" t="s">
        <v>4374</v>
      </c>
      <c r="K979" s="13" t="s">
        <v>3381</v>
      </c>
      <c r="L979" s="13" t="s">
        <v>3177</v>
      </c>
      <c r="M979" s="13" t="s">
        <v>3331</v>
      </c>
      <c r="N979" s="13">
        <v>1.0</v>
      </c>
      <c r="O979" s="13" t="s">
        <v>3162</v>
      </c>
      <c r="P979" s="13" t="s">
        <v>3724</v>
      </c>
      <c r="Q979" s="13" t="s">
        <v>3183</v>
      </c>
      <c r="R979" s="13" t="s">
        <v>3163</v>
      </c>
      <c r="S979" s="13" t="s">
        <v>33</v>
      </c>
      <c r="T979" s="13" t="s">
        <v>3164</v>
      </c>
      <c r="U979" s="13" t="s">
        <v>3164</v>
      </c>
      <c r="V979" s="13" t="s">
        <v>3166</v>
      </c>
      <c r="W979" s="13" t="s">
        <v>3167</v>
      </c>
      <c r="X979" s="13" t="s">
        <v>3224</v>
      </c>
    </row>
    <row r="980" ht="14.25" customHeight="1">
      <c r="A980" s="13">
        <v>25891.0</v>
      </c>
      <c r="B980" s="13" t="s">
        <v>175</v>
      </c>
      <c r="C980" s="13">
        <v>2015.0</v>
      </c>
      <c r="D980" s="13" t="s">
        <v>3153</v>
      </c>
      <c r="E980" s="13" t="s">
        <v>3169</v>
      </c>
      <c r="F980" s="13" t="s">
        <v>3155</v>
      </c>
      <c r="G980" s="13" t="s">
        <v>3156</v>
      </c>
      <c r="H980" s="13" t="s">
        <v>33</v>
      </c>
      <c r="I980" s="13" t="s">
        <v>3157</v>
      </c>
      <c r="J980" s="13" t="s">
        <v>4375</v>
      </c>
      <c r="K980" s="13" t="s">
        <v>3208</v>
      </c>
      <c r="L980" s="13" t="s">
        <v>3160</v>
      </c>
      <c r="M980" s="13" t="s">
        <v>3246</v>
      </c>
      <c r="N980" s="13">
        <v>1.0</v>
      </c>
      <c r="O980" s="13" t="s">
        <v>3162</v>
      </c>
      <c r="P980" s="13" t="s">
        <v>33</v>
      </c>
      <c r="Q980" s="13" t="s">
        <v>3183</v>
      </c>
      <c r="R980" s="13" t="s">
        <v>3163</v>
      </c>
      <c r="S980" s="13" t="s">
        <v>4376</v>
      </c>
      <c r="T980" s="13" t="s">
        <v>3164</v>
      </c>
      <c r="U980" s="13" t="s">
        <v>3228</v>
      </c>
      <c r="V980" s="13" t="s">
        <v>3166</v>
      </c>
      <c r="W980" s="13" t="s">
        <v>3167</v>
      </c>
      <c r="X980" s="13" t="s">
        <v>3216</v>
      </c>
    </row>
    <row r="981" ht="14.25" customHeight="1">
      <c r="A981" s="13">
        <v>25892.0</v>
      </c>
      <c r="B981" s="13" t="s">
        <v>2886</v>
      </c>
      <c r="C981" s="13">
        <v>2017.0</v>
      </c>
      <c r="D981" s="13" t="s">
        <v>3153</v>
      </c>
      <c r="E981" s="13" t="s">
        <v>3169</v>
      </c>
      <c r="F981" s="13" t="s">
        <v>3217</v>
      </c>
      <c r="G981" s="13" t="s">
        <v>3180</v>
      </c>
      <c r="H981" s="13">
        <v>1.0</v>
      </c>
      <c r="I981" s="13" t="s">
        <v>3167</v>
      </c>
      <c r="J981" s="13" t="s">
        <v>3167</v>
      </c>
      <c r="K981" s="13" t="s">
        <v>3183</v>
      </c>
      <c r="L981" s="13" t="s">
        <v>3177</v>
      </c>
      <c r="M981" s="13" t="s">
        <v>4377</v>
      </c>
      <c r="N981" s="13">
        <v>3.0</v>
      </c>
      <c r="O981" s="13" t="s">
        <v>3267</v>
      </c>
      <c r="P981" s="13" t="s">
        <v>3689</v>
      </c>
      <c r="Q981" s="13" t="s">
        <v>3353</v>
      </c>
      <c r="R981" s="13" t="s">
        <v>3163</v>
      </c>
      <c r="S981" s="13" t="s">
        <v>4378</v>
      </c>
      <c r="T981" s="13" t="s">
        <v>3197</v>
      </c>
      <c r="U981" s="13" t="s">
        <v>3197</v>
      </c>
      <c r="V981" s="13" t="s">
        <v>3166</v>
      </c>
      <c r="W981" s="13" t="s">
        <v>3167</v>
      </c>
      <c r="X981" s="13" t="s">
        <v>3239</v>
      </c>
    </row>
    <row r="982" ht="14.25" customHeight="1">
      <c r="A982" s="13">
        <v>25894.0</v>
      </c>
      <c r="B982" s="13" t="s">
        <v>2375</v>
      </c>
      <c r="C982" s="13">
        <v>2020.0</v>
      </c>
      <c r="D982" s="13" t="s">
        <v>3153</v>
      </c>
      <c r="E982" s="13" t="s">
        <v>3169</v>
      </c>
      <c r="F982" s="13" t="s">
        <v>3155</v>
      </c>
      <c r="G982" s="13" t="s">
        <v>3187</v>
      </c>
      <c r="H982" s="13">
        <v>100.0</v>
      </c>
      <c r="I982" s="13" t="s">
        <v>3157</v>
      </c>
      <c r="J982" s="13" t="s">
        <v>3199</v>
      </c>
      <c r="K982" s="13" t="s">
        <v>3338</v>
      </c>
      <c r="L982" s="13" t="s">
        <v>3177</v>
      </c>
      <c r="M982" s="13" t="s">
        <v>3200</v>
      </c>
      <c r="N982" s="13">
        <v>1.0</v>
      </c>
      <c r="O982" s="13" t="s">
        <v>3162</v>
      </c>
      <c r="P982" s="13" t="s">
        <v>4379</v>
      </c>
      <c r="Q982" s="13" t="s">
        <v>3173</v>
      </c>
      <c r="R982" s="13" t="s">
        <v>3177</v>
      </c>
      <c r="S982" s="13" t="s">
        <v>33</v>
      </c>
      <c r="T982" s="13" t="s">
        <v>3232</v>
      </c>
      <c r="U982" s="13" t="s">
        <v>3197</v>
      </c>
      <c r="V982" s="13" t="s">
        <v>3166</v>
      </c>
      <c r="W982" s="13" t="s">
        <v>3167</v>
      </c>
      <c r="X982" s="13" t="s">
        <v>4380</v>
      </c>
    </row>
    <row r="983" ht="14.25" customHeight="1">
      <c r="A983" s="13">
        <v>25896.0</v>
      </c>
      <c r="B983" s="13" t="s">
        <v>1482</v>
      </c>
      <c r="C983" s="13">
        <v>2012.0</v>
      </c>
      <c r="D983" s="13" t="s">
        <v>3315</v>
      </c>
      <c r="E983" s="13" t="s">
        <v>3169</v>
      </c>
      <c r="F983" s="13" t="s">
        <v>3155</v>
      </c>
      <c r="G983" s="13" t="s">
        <v>3156</v>
      </c>
      <c r="H983" s="13" t="s">
        <v>3167</v>
      </c>
      <c r="I983" s="13" t="s">
        <v>3188</v>
      </c>
      <c r="J983" s="13" t="s">
        <v>3207</v>
      </c>
      <c r="K983" s="13" t="s">
        <v>3173</v>
      </c>
      <c r="L983" s="13" t="s">
        <v>3177</v>
      </c>
      <c r="M983" s="13" t="s">
        <v>3391</v>
      </c>
      <c r="N983" s="13">
        <v>1.0</v>
      </c>
      <c r="O983" s="13" t="s">
        <v>3162</v>
      </c>
      <c r="P983" s="13" t="s">
        <v>3167</v>
      </c>
      <c r="Q983" s="13" t="s">
        <v>3173</v>
      </c>
      <c r="R983" s="13" t="s">
        <v>3260</v>
      </c>
      <c r="S983" s="13" t="s">
        <v>33</v>
      </c>
      <c r="T983" s="13" t="s">
        <v>3197</v>
      </c>
      <c r="U983" s="13" t="s">
        <v>3197</v>
      </c>
      <c r="V983" s="13" t="s">
        <v>3166</v>
      </c>
      <c r="W983" s="13" t="s">
        <v>3167</v>
      </c>
      <c r="X983" s="13" t="s">
        <v>3276</v>
      </c>
    </row>
    <row r="984" ht="14.25" customHeight="1">
      <c r="A984" s="13">
        <v>25901.0</v>
      </c>
      <c r="B984" s="13" t="s">
        <v>3053</v>
      </c>
      <c r="C984" s="13">
        <v>2013.0</v>
      </c>
      <c r="D984" s="13" t="s">
        <v>3153</v>
      </c>
      <c r="E984" s="13" t="s">
        <v>3179</v>
      </c>
      <c r="F984" s="13" t="s">
        <v>3192</v>
      </c>
      <c r="G984" s="13" t="s">
        <v>3156</v>
      </c>
      <c r="H984" s="13" t="s">
        <v>33</v>
      </c>
      <c r="I984" s="13" t="s">
        <v>3249</v>
      </c>
      <c r="J984" s="13" t="s">
        <v>3307</v>
      </c>
      <c r="K984" s="13" t="s">
        <v>3159</v>
      </c>
      <c r="L984" s="13" t="s">
        <v>3160</v>
      </c>
      <c r="M984" s="13" t="s">
        <v>4381</v>
      </c>
      <c r="N984" s="13">
        <v>2.0</v>
      </c>
      <c r="O984" s="13" t="s">
        <v>3162</v>
      </c>
      <c r="P984" s="13" t="s">
        <v>33</v>
      </c>
      <c r="Q984" s="13" t="s">
        <v>3159</v>
      </c>
      <c r="R984" s="13" t="s">
        <v>3163</v>
      </c>
      <c r="S984" s="13" t="s">
        <v>33</v>
      </c>
      <c r="T984" s="13" t="s">
        <v>3228</v>
      </c>
      <c r="U984" s="13" t="s">
        <v>3165</v>
      </c>
      <c r="V984" s="13" t="s">
        <v>3166</v>
      </c>
      <c r="W984" s="13" t="s">
        <v>3167</v>
      </c>
      <c r="X984" s="13" t="s">
        <v>3225</v>
      </c>
    </row>
    <row r="985" ht="14.25" customHeight="1">
      <c r="A985" s="13">
        <v>25903.0</v>
      </c>
      <c r="B985" s="13" t="s">
        <v>1327</v>
      </c>
      <c r="C985" s="13">
        <v>2019.0</v>
      </c>
      <c r="D985" s="13" t="s">
        <v>3153</v>
      </c>
      <c r="E985" s="13" t="s">
        <v>3179</v>
      </c>
      <c r="F985" s="13" t="s">
        <v>3217</v>
      </c>
      <c r="G985" s="13" t="s">
        <v>3180</v>
      </c>
      <c r="H985" s="13">
        <v>0.5</v>
      </c>
      <c r="I985" s="13" t="s">
        <v>3167</v>
      </c>
      <c r="J985" s="13" t="s">
        <v>3167</v>
      </c>
      <c r="K985" s="13" t="s">
        <v>3183</v>
      </c>
      <c r="L985" s="13" t="s">
        <v>3177</v>
      </c>
      <c r="M985" s="13" t="s">
        <v>3317</v>
      </c>
      <c r="N985" s="13">
        <v>1.0</v>
      </c>
      <c r="O985" s="13" t="s">
        <v>3162</v>
      </c>
      <c r="P985" s="13" t="s">
        <v>4382</v>
      </c>
      <c r="Q985" s="13" t="s">
        <v>3183</v>
      </c>
      <c r="R985" s="13" t="s">
        <v>3177</v>
      </c>
      <c r="S985" s="13" t="s">
        <v>4383</v>
      </c>
      <c r="T985" s="13" t="s">
        <v>3252</v>
      </c>
      <c r="U985" s="13" t="s">
        <v>3252</v>
      </c>
      <c r="V985" s="13" t="s">
        <v>3253</v>
      </c>
      <c r="W985" s="13" t="s">
        <v>3298</v>
      </c>
      <c r="X985" s="13" t="s">
        <v>4384</v>
      </c>
    </row>
    <row r="986" ht="14.25" customHeight="1">
      <c r="A986" s="13">
        <v>25904.0</v>
      </c>
      <c r="B986" s="13" t="s">
        <v>771</v>
      </c>
      <c r="C986" s="13">
        <v>2002.0</v>
      </c>
      <c r="D986" s="13" t="s">
        <v>3153</v>
      </c>
      <c r="E986" s="13" t="s">
        <v>3169</v>
      </c>
      <c r="F986" s="13" t="s">
        <v>3192</v>
      </c>
      <c r="G986" s="13" t="s">
        <v>3156</v>
      </c>
      <c r="H986" s="13" t="s">
        <v>33</v>
      </c>
      <c r="I986" s="13" t="s">
        <v>3188</v>
      </c>
      <c r="J986" s="13" t="s">
        <v>3207</v>
      </c>
      <c r="K986" s="13" t="s">
        <v>3186</v>
      </c>
      <c r="L986" s="13" t="s">
        <v>3160</v>
      </c>
      <c r="M986" s="13" t="s">
        <v>3605</v>
      </c>
      <c r="N986" s="13">
        <v>2.0</v>
      </c>
      <c r="O986" s="13" t="s">
        <v>3175</v>
      </c>
      <c r="P986" s="13" t="s">
        <v>33</v>
      </c>
      <c r="Q986" s="13" t="s">
        <v>3186</v>
      </c>
      <c r="R986" s="13" t="s">
        <v>3163</v>
      </c>
      <c r="S986" s="13" t="s">
        <v>33</v>
      </c>
      <c r="T986" s="13" t="s">
        <v>3164</v>
      </c>
      <c r="U986" s="13" t="s">
        <v>3164</v>
      </c>
      <c r="V986" s="13" t="s">
        <v>3166</v>
      </c>
      <c r="W986" s="13" t="s">
        <v>3167</v>
      </c>
      <c r="X986" s="13" t="s">
        <v>3178</v>
      </c>
    </row>
    <row r="987" ht="14.25" customHeight="1">
      <c r="A987" s="13">
        <v>25908.0</v>
      </c>
      <c r="B987" s="13" t="s">
        <v>1370</v>
      </c>
      <c r="C987" s="13">
        <v>2020.0</v>
      </c>
      <c r="D987" s="13" t="s">
        <v>3153</v>
      </c>
      <c r="E987" s="13" t="s">
        <v>3169</v>
      </c>
      <c r="F987" s="13" t="s">
        <v>3284</v>
      </c>
      <c r="G987" s="13" t="s">
        <v>3180</v>
      </c>
      <c r="H987" s="13">
        <v>0.5</v>
      </c>
      <c r="I987" s="13" t="s">
        <v>4385</v>
      </c>
      <c r="J987" s="13" t="s">
        <v>3167</v>
      </c>
      <c r="K987" s="13" t="s">
        <v>3183</v>
      </c>
      <c r="L987" s="13" t="s">
        <v>3160</v>
      </c>
      <c r="M987" s="13" t="s">
        <v>4386</v>
      </c>
      <c r="N987" s="13">
        <v>2.0</v>
      </c>
      <c r="O987" s="13" t="s">
        <v>3162</v>
      </c>
      <c r="P987" s="13" t="s">
        <v>4387</v>
      </c>
      <c r="Q987" s="13" t="s">
        <v>3183</v>
      </c>
      <c r="R987" s="13" t="s">
        <v>3163</v>
      </c>
      <c r="S987" s="13" t="s">
        <v>3864</v>
      </c>
      <c r="T987" s="13" t="s">
        <v>3165</v>
      </c>
      <c r="U987" s="13" t="s">
        <v>3165</v>
      </c>
      <c r="V987" s="13" t="s">
        <v>3166</v>
      </c>
      <c r="W987" s="13" t="s">
        <v>3167</v>
      </c>
      <c r="X987" s="13" t="s">
        <v>3224</v>
      </c>
    </row>
    <row r="988" ht="14.25" customHeight="1">
      <c r="A988" s="13">
        <v>25911.0</v>
      </c>
      <c r="B988" s="13" t="s">
        <v>589</v>
      </c>
      <c r="C988" s="13">
        <v>2017.0</v>
      </c>
      <c r="D988" s="13" t="s">
        <v>3153</v>
      </c>
      <c r="E988" s="13" t="s">
        <v>3169</v>
      </c>
      <c r="F988" s="13" t="s">
        <v>3217</v>
      </c>
      <c r="G988" s="13" t="s">
        <v>3187</v>
      </c>
      <c r="H988" s="13">
        <v>12100.0</v>
      </c>
      <c r="I988" s="13" t="s">
        <v>3167</v>
      </c>
      <c r="J988" s="13" t="s">
        <v>3167</v>
      </c>
      <c r="K988" s="13" t="s">
        <v>3333</v>
      </c>
      <c r="L988" s="13" t="s">
        <v>3177</v>
      </c>
      <c r="M988" s="13" t="s">
        <v>3477</v>
      </c>
      <c r="N988" s="13">
        <v>1.0</v>
      </c>
      <c r="O988" s="13" t="s">
        <v>3162</v>
      </c>
      <c r="P988" s="13" t="s">
        <v>33</v>
      </c>
      <c r="Q988" s="13" t="s">
        <v>3183</v>
      </c>
      <c r="R988" s="13" t="s">
        <v>3163</v>
      </c>
      <c r="S988" s="13" t="s">
        <v>4388</v>
      </c>
      <c r="T988" s="13" t="s">
        <v>3247</v>
      </c>
      <c r="U988" s="13" t="s">
        <v>3252</v>
      </c>
      <c r="V988" s="13" t="s">
        <v>3253</v>
      </c>
      <c r="W988" s="13" t="s">
        <v>3294</v>
      </c>
      <c r="X988" s="13" t="s">
        <v>3295</v>
      </c>
    </row>
    <row r="989" ht="14.25" customHeight="1">
      <c r="A989" s="13">
        <v>25912.0</v>
      </c>
      <c r="B989" s="13" t="s">
        <v>744</v>
      </c>
      <c r="C989" s="13">
        <v>2020.0</v>
      </c>
      <c r="D989" s="13" t="s">
        <v>3457</v>
      </c>
      <c r="E989" s="13" t="s">
        <v>3169</v>
      </c>
      <c r="F989" s="13" t="s">
        <v>3192</v>
      </c>
      <c r="G989" s="13" t="s">
        <v>3156</v>
      </c>
      <c r="H989" s="13" t="s">
        <v>33</v>
      </c>
      <c r="I989" s="13" t="s">
        <v>3157</v>
      </c>
      <c r="J989" s="13" t="s">
        <v>3791</v>
      </c>
      <c r="K989" s="13" t="s">
        <v>3159</v>
      </c>
      <c r="L989" s="13" t="s">
        <v>3160</v>
      </c>
      <c r="M989" s="13" t="s">
        <v>3497</v>
      </c>
      <c r="N989" s="13">
        <v>1.0</v>
      </c>
      <c r="O989" s="13" t="s">
        <v>3162</v>
      </c>
      <c r="P989" s="13" t="s">
        <v>33</v>
      </c>
      <c r="Q989" s="13" t="s">
        <v>3159</v>
      </c>
      <c r="R989" s="13" t="s">
        <v>3163</v>
      </c>
      <c r="S989" s="13" t="s">
        <v>33</v>
      </c>
      <c r="T989" s="13" t="s">
        <v>3232</v>
      </c>
      <c r="U989" s="13" t="s">
        <v>3232</v>
      </c>
      <c r="V989" s="13" t="s">
        <v>3166</v>
      </c>
      <c r="W989" s="13" t="s">
        <v>3167</v>
      </c>
      <c r="X989" s="13" t="s">
        <v>3224</v>
      </c>
    </row>
    <row r="990" ht="14.25" customHeight="1">
      <c r="A990" s="13">
        <v>25913.0</v>
      </c>
      <c r="B990" s="13" t="s">
        <v>3007</v>
      </c>
      <c r="C990" s="13">
        <v>2020.0</v>
      </c>
      <c r="D990" s="13" t="s">
        <v>3153</v>
      </c>
      <c r="E990" s="13" t="s">
        <v>3179</v>
      </c>
      <c r="F990" s="13" t="s">
        <v>3211</v>
      </c>
      <c r="G990" s="13" t="s">
        <v>3156</v>
      </c>
      <c r="H990" s="13" t="s">
        <v>33</v>
      </c>
      <c r="I990" s="13" t="s">
        <v>3193</v>
      </c>
      <c r="J990" s="13" t="s">
        <v>4389</v>
      </c>
      <c r="K990" s="13" t="s">
        <v>3296</v>
      </c>
      <c r="L990" s="13" t="s">
        <v>3160</v>
      </c>
      <c r="M990" s="13" t="s">
        <v>3342</v>
      </c>
      <c r="N990" s="13">
        <v>1.0</v>
      </c>
      <c r="O990" s="13" t="s">
        <v>3162</v>
      </c>
      <c r="P990" s="13" t="s">
        <v>33</v>
      </c>
      <c r="Q990" s="13" t="s">
        <v>3545</v>
      </c>
      <c r="R990" s="13" t="s">
        <v>3177</v>
      </c>
      <c r="S990" s="13" t="s">
        <v>4390</v>
      </c>
      <c r="T990" s="13" t="s">
        <v>3164</v>
      </c>
      <c r="U990" s="13" t="s">
        <v>3165</v>
      </c>
      <c r="V990" s="13" t="s">
        <v>3166</v>
      </c>
      <c r="W990" s="13" t="s">
        <v>3167</v>
      </c>
      <c r="X990" s="13" t="s">
        <v>3178</v>
      </c>
    </row>
    <row r="991" ht="14.25" customHeight="1">
      <c r="A991" s="13">
        <v>25925.0</v>
      </c>
      <c r="B991" s="13" t="s">
        <v>1171</v>
      </c>
      <c r="C991" s="13">
        <v>2012.0</v>
      </c>
      <c r="D991" s="13" t="s">
        <v>3153</v>
      </c>
      <c r="E991" s="13" t="s">
        <v>3169</v>
      </c>
      <c r="F991" s="13" t="s">
        <v>3192</v>
      </c>
      <c r="G991" s="13" t="s">
        <v>3202</v>
      </c>
      <c r="H991" s="13">
        <v>100.0</v>
      </c>
      <c r="I991" s="13" t="s">
        <v>3157</v>
      </c>
      <c r="J991" s="13" t="s">
        <v>3348</v>
      </c>
      <c r="K991" s="13" t="s">
        <v>3183</v>
      </c>
      <c r="L991" s="13" t="s">
        <v>3177</v>
      </c>
      <c r="M991" s="13" t="s">
        <v>3405</v>
      </c>
      <c r="N991" s="13">
        <v>3.0</v>
      </c>
      <c r="O991" s="13" t="s">
        <v>3162</v>
      </c>
      <c r="P991" s="13" t="s">
        <v>4391</v>
      </c>
      <c r="Q991" s="13" t="s">
        <v>3186</v>
      </c>
      <c r="R991" s="13" t="s">
        <v>3177</v>
      </c>
      <c r="S991" s="13" t="s">
        <v>33</v>
      </c>
      <c r="T991" s="13" t="s">
        <v>3252</v>
      </c>
      <c r="U991" s="13" t="s">
        <v>3252</v>
      </c>
      <c r="V991" s="13" t="s">
        <v>3253</v>
      </c>
      <c r="W991" s="13" t="s">
        <v>3294</v>
      </c>
      <c r="X991" s="13" t="s">
        <v>3276</v>
      </c>
    </row>
    <row r="992" ht="14.25" customHeight="1">
      <c r="A992" s="13">
        <v>25926.0</v>
      </c>
      <c r="B992" s="13" t="s">
        <v>4392</v>
      </c>
      <c r="C992" s="13">
        <v>2013.0</v>
      </c>
      <c r="D992" s="13" t="s">
        <v>3153</v>
      </c>
      <c r="E992" s="13" t="s">
        <v>3169</v>
      </c>
      <c r="F992" s="13" t="s">
        <v>3170</v>
      </c>
      <c r="G992" s="13" t="s">
        <v>3187</v>
      </c>
      <c r="H992" s="13">
        <v>1.0</v>
      </c>
      <c r="I992" s="13" t="s">
        <v>3188</v>
      </c>
      <c r="J992" s="13" t="s">
        <v>3402</v>
      </c>
      <c r="K992" s="13" t="s">
        <v>3159</v>
      </c>
      <c r="L992" s="13" t="s">
        <v>3177</v>
      </c>
      <c r="M992" s="13" t="s">
        <v>4393</v>
      </c>
      <c r="N992" s="13">
        <v>4.0</v>
      </c>
      <c r="O992" s="13" t="s">
        <v>3175</v>
      </c>
      <c r="P992" s="13" t="s">
        <v>33</v>
      </c>
      <c r="Q992" s="13" t="s">
        <v>3159</v>
      </c>
      <c r="R992" s="13" t="s">
        <v>3163</v>
      </c>
      <c r="S992" s="13" t="s">
        <v>33</v>
      </c>
      <c r="T992" s="13" t="s">
        <v>3164</v>
      </c>
      <c r="U992" s="13" t="s">
        <v>3228</v>
      </c>
      <c r="V992" s="13" t="s">
        <v>3166</v>
      </c>
      <c r="W992" s="13" t="s">
        <v>3167</v>
      </c>
      <c r="X992" s="13" t="s">
        <v>3178</v>
      </c>
    </row>
    <row r="993" ht="14.25" customHeight="1">
      <c r="A993" s="13">
        <v>25930.0</v>
      </c>
      <c r="B993" s="13" t="s">
        <v>1832</v>
      </c>
      <c r="C993" s="13">
        <v>2018.0</v>
      </c>
      <c r="D993" s="13" t="s">
        <v>3153</v>
      </c>
      <c r="E993" s="13" t="s">
        <v>3169</v>
      </c>
      <c r="F993" s="13" t="s">
        <v>3192</v>
      </c>
      <c r="G993" s="13" t="s">
        <v>3187</v>
      </c>
      <c r="H993" s="13">
        <v>1.0</v>
      </c>
      <c r="I993" s="13" t="s">
        <v>3203</v>
      </c>
      <c r="J993" s="13" t="s">
        <v>3204</v>
      </c>
      <c r="K993" s="13" t="s">
        <v>3183</v>
      </c>
      <c r="L993" s="13" t="s">
        <v>3160</v>
      </c>
      <c r="M993" s="13" t="s">
        <v>3230</v>
      </c>
      <c r="N993" s="13">
        <v>1.0</v>
      </c>
      <c r="O993" s="13" t="s">
        <v>3162</v>
      </c>
      <c r="P993" s="13" t="s">
        <v>4394</v>
      </c>
      <c r="Q993" s="13" t="s">
        <v>3183</v>
      </c>
      <c r="R993" s="13" t="s">
        <v>3163</v>
      </c>
      <c r="S993" s="13" t="s">
        <v>4394</v>
      </c>
      <c r="T993" s="13" t="s">
        <v>3164</v>
      </c>
      <c r="U993" s="13" t="s">
        <v>3164</v>
      </c>
      <c r="V993" s="13" t="s">
        <v>3166</v>
      </c>
      <c r="W993" s="13" t="s">
        <v>3167</v>
      </c>
      <c r="X993" s="13" t="s">
        <v>3178</v>
      </c>
    </row>
    <row r="994" ht="14.25" customHeight="1">
      <c r="A994" s="13">
        <v>25933.0</v>
      </c>
      <c r="B994" s="13" t="s">
        <v>4395</v>
      </c>
      <c r="C994" s="13">
        <v>2007.0</v>
      </c>
      <c r="D994" s="13" t="s">
        <v>3457</v>
      </c>
      <c r="E994" s="13" t="s">
        <v>3154</v>
      </c>
      <c r="F994" s="13" t="s">
        <v>3192</v>
      </c>
      <c r="G994" s="13" t="s">
        <v>3156</v>
      </c>
      <c r="H994" s="13" t="s">
        <v>33</v>
      </c>
      <c r="I994" s="13" t="s">
        <v>3222</v>
      </c>
      <c r="J994" s="13" t="s">
        <v>3182</v>
      </c>
      <c r="K994" s="13" t="s">
        <v>3287</v>
      </c>
      <c r="L994" s="13" t="s">
        <v>3160</v>
      </c>
      <c r="M994" s="13" t="s">
        <v>4396</v>
      </c>
      <c r="N994" s="13">
        <v>3.0</v>
      </c>
      <c r="O994" s="13" t="s">
        <v>3162</v>
      </c>
      <c r="P994" s="13" t="s">
        <v>33</v>
      </c>
      <c r="Q994" s="13" t="s">
        <v>3270</v>
      </c>
      <c r="R994" s="13" t="s">
        <v>3163</v>
      </c>
      <c r="S994" s="13" t="s">
        <v>33</v>
      </c>
      <c r="T994" s="13" t="s">
        <v>3164</v>
      </c>
      <c r="U994" s="13" t="s">
        <v>3164</v>
      </c>
      <c r="V994" s="13" t="s">
        <v>3166</v>
      </c>
      <c r="W994" s="13" t="s">
        <v>3167</v>
      </c>
      <c r="X994" s="13" t="s">
        <v>3324</v>
      </c>
    </row>
    <row r="995" ht="14.25" customHeight="1">
      <c r="A995" s="13">
        <v>25934.0</v>
      </c>
      <c r="B995" s="13" t="s">
        <v>918</v>
      </c>
      <c r="C995" s="13">
        <v>2017.0</v>
      </c>
      <c r="D995" s="13" t="s">
        <v>3153</v>
      </c>
      <c r="E995" s="13" t="s">
        <v>3465</v>
      </c>
      <c r="F995" s="13" t="s">
        <v>3211</v>
      </c>
      <c r="G995" s="13" t="s">
        <v>3156</v>
      </c>
      <c r="H995" s="13" t="s">
        <v>33</v>
      </c>
      <c r="I995" s="13" t="s">
        <v>3157</v>
      </c>
      <c r="J995" s="13" t="s">
        <v>4397</v>
      </c>
      <c r="K995" s="13" t="s">
        <v>3173</v>
      </c>
      <c r="L995" s="13" t="s">
        <v>3160</v>
      </c>
      <c r="M995" s="13" t="s">
        <v>3161</v>
      </c>
      <c r="N995" s="13">
        <v>1.0</v>
      </c>
      <c r="O995" s="13" t="s">
        <v>3162</v>
      </c>
      <c r="P995" s="13" t="s">
        <v>33</v>
      </c>
      <c r="Q995" s="13" t="s">
        <v>3173</v>
      </c>
      <c r="R995" s="13" t="s">
        <v>3163</v>
      </c>
      <c r="S995" s="13" t="s">
        <v>33</v>
      </c>
      <c r="T995" s="13" t="s">
        <v>3232</v>
      </c>
      <c r="U995" s="13" t="s">
        <v>3232</v>
      </c>
      <c r="V995" s="13" t="s">
        <v>3166</v>
      </c>
      <c r="W995" s="13" t="s">
        <v>3167</v>
      </c>
      <c r="X995" s="13" t="s">
        <v>3324</v>
      </c>
    </row>
    <row r="996" ht="14.25" customHeight="1">
      <c r="A996" s="13">
        <v>25936.0</v>
      </c>
      <c r="B996" s="13" t="s">
        <v>1367</v>
      </c>
      <c r="C996" s="13">
        <v>2010.0</v>
      </c>
      <c r="D996" s="13" t="s">
        <v>3153</v>
      </c>
      <c r="E996" s="13" t="s">
        <v>3154</v>
      </c>
      <c r="F996" s="13" t="s">
        <v>3217</v>
      </c>
      <c r="G996" s="13" t="s">
        <v>3180</v>
      </c>
      <c r="H996" s="13">
        <v>0.5</v>
      </c>
      <c r="I996" s="13" t="s">
        <v>3167</v>
      </c>
      <c r="J996" s="13" t="s">
        <v>3167</v>
      </c>
      <c r="K996" s="13" t="s">
        <v>3381</v>
      </c>
      <c r="L996" s="13" t="s">
        <v>3177</v>
      </c>
      <c r="M996" s="13" t="s">
        <v>4398</v>
      </c>
      <c r="N996" s="13">
        <v>12.0</v>
      </c>
      <c r="O996" s="13" t="s">
        <v>3175</v>
      </c>
      <c r="P996" s="13" t="s">
        <v>3689</v>
      </c>
      <c r="Q996" s="13" t="s">
        <v>3186</v>
      </c>
      <c r="R996" s="13" t="s">
        <v>3163</v>
      </c>
      <c r="S996" s="13" t="s">
        <v>33</v>
      </c>
      <c r="T996" s="13" t="s">
        <v>3252</v>
      </c>
      <c r="U996" s="13" t="s">
        <v>3252</v>
      </c>
      <c r="V996" s="13" t="s">
        <v>3253</v>
      </c>
      <c r="W996" s="13" t="s">
        <v>3356</v>
      </c>
      <c r="X996" s="13" t="s">
        <v>3755</v>
      </c>
    </row>
    <row r="997" ht="14.25" customHeight="1">
      <c r="A997" s="13">
        <v>25942.0</v>
      </c>
      <c r="B997" s="13" t="s">
        <v>1241</v>
      </c>
      <c r="C997" s="13">
        <v>2005.0</v>
      </c>
      <c r="D997" s="13" t="s">
        <v>3153</v>
      </c>
      <c r="E997" s="13" t="s">
        <v>3169</v>
      </c>
      <c r="F997" s="13" t="s">
        <v>3170</v>
      </c>
      <c r="G997" s="13" t="s">
        <v>3156</v>
      </c>
      <c r="H997" s="13" t="s">
        <v>33</v>
      </c>
      <c r="I997" s="13" t="s">
        <v>3188</v>
      </c>
      <c r="J997" s="13" t="s">
        <v>3207</v>
      </c>
      <c r="K997" s="13" t="s">
        <v>3208</v>
      </c>
      <c r="L997" s="13" t="s">
        <v>3160</v>
      </c>
      <c r="M997" s="13" t="s">
        <v>3605</v>
      </c>
      <c r="N997" s="13">
        <v>2.0</v>
      </c>
      <c r="O997" s="13" t="s">
        <v>3175</v>
      </c>
      <c r="P997" s="13" t="s">
        <v>33</v>
      </c>
      <c r="Q997" s="13" t="s">
        <v>3210</v>
      </c>
      <c r="R997" s="13" t="s">
        <v>3163</v>
      </c>
      <c r="S997" s="13" t="s">
        <v>33</v>
      </c>
      <c r="T997" s="13" t="s">
        <v>3195</v>
      </c>
      <c r="U997" s="13" t="s">
        <v>3195</v>
      </c>
      <c r="V997" s="13" t="s">
        <v>3195</v>
      </c>
      <c r="W997" s="13" t="s">
        <v>3167</v>
      </c>
      <c r="X997" s="13" t="s">
        <v>3167</v>
      </c>
    </row>
    <row r="998" ht="14.25" customHeight="1">
      <c r="A998" s="13">
        <v>25944.0</v>
      </c>
      <c r="B998" s="13" t="s">
        <v>1378</v>
      </c>
      <c r="C998" s="13">
        <v>2019.0</v>
      </c>
      <c r="D998" s="13" t="s">
        <v>3153</v>
      </c>
      <c r="E998" s="13" t="s">
        <v>3169</v>
      </c>
      <c r="F998" s="13" t="s">
        <v>3170</v>
      </c>
      <c r="G998" s="13" t="s">
        <v>3202</v>
      </c>
      <c r="H998" s="13">
        <v>500.0</v>
      </c>
      <c r="I998" s="13" t="s">
        <v>3157</v>
      </c>
      <c r="J998" s="13" t="s">
        <v>4399</v>
      </c>
      <c r="K998" s="13" t="s">
        <v>3270</v>
      </c>
      <c r="L998" s="13" t="s">
        <v>3177</v>
      </c>
      <c r="M998" s="13" t="s">
        <v>3161</v>
      </c>
      <c r="N998" s="13">
        <v>1.0</v>
      </c>
      <c r="O998" s="13" t="s">
        <v>3162</v>
      </c>
      <c r="P998" s="13" t="s">
        <v>4400</v>
      </c>
      <c r="Q998" s="13" t="s">
        <v>3335</v>
      </c>
      <c r="R998" s="13" t="s">
        <v>3231</v>
      </c>
      <c r="S998" s="13" t="s">
        <v>4401</v>
      </c>
      <c r="T998" s="13" t="s">
        <v>3195</v>
      </c>
      <c r="U998" s="13" t="s">
        <v>3195</v>
      </c>
      <c r="V998" s="13" t="s">
        <v>3195</v>
      </c>
      <c r="W998" s="13" t="s">
        <v>3167</v>
      </c>
      <c r="X998" s="13" t="s">
        <v>3167</v>
      </c>
    </row>
    <row r="999" ht="14.25" customHeight="1">
      <c r="A999" s="13">
        <v>25948.0</v>
      </c>
      <c r="B999" s="13" t="s">
        <v>2290</v>
      </c>
      <c r="C999" s="13">
        <v>2020.0</v>
      </c>
      <c r="D999" s="13" t="s">
        <v>3153</v>
      </c>
      <c r="E999" s="13" t="s">
        <v>3169</v>
      </c>
      <c r="F999" s="13" t="s">
        <v>3170</v>
      </c>
      <c r="G999" s="13" t="s">
        <v>3156</v>
      </c>
      <c r="H999" s="13" t="s">
        <v>33</v>
      </c>
      <c r="I999" s="13" t="s">
        <v>3222</v>
      </c>
      <c r="J999" s="13" t="s">
        <v>3182</v>
      </c>
      <c r="K999" s="13" t="s">
        <v>3208</v>
      </c>
      <c r="L999" s="13" t="s">
        <v>3160</v>
      </c>
      <c r="M999" s="13" t="s">
        <v>3317</v>
      </c>
      <c r="N999" s="13">
        <v>1.0</v>
      </c>
      <c r="O999" s="13" t="s">
        <v>3162</v>
      </c>
      <c r="P999" s="13" t="s">
        <v>33</v>
      </c>
      <c r="Q999" s="13" t="s">
        <v>3173</v>
      </c>
      <c r="R999" s="13" t="s">
        <v>3163</v>
      </c>
      <c r="S999" s="13" t="s">
        <v>33</v>
      </c>
      <c r="T999" s="13" t="s">
        <v>3164</v>
      </c>
      <c r="U999" s="13" t="s">
        <v>3164</v>
      </c>
      <c r="V999" s="13" t="s">
        <v>3166</v>
      </c>
      <c r="W999" s="13" t="s">
        <v>3167</v>
      </c>
      <c r="X999" s="13" t="s">
        <v>3224</v>
      </c>
    </row>
    <row r="1000" ht="14.25" customHeight="1">
      <c r="A1000" s="13">
        <v>25952.0</v>
      </c>
      <c r="B1000" s="13" t="s">
        <v>1330</v>
      </c>
      <c r="C1000" s="13">
        <v>2011.0</v>
      </c>
      <c r="D1000" s="13" t="s">
        <v>3153</v>
      </c>
      <c r="E1000" s="13" t="s">
        <v>3179</v>
      </c>
      <c r="F1000" s="13" t="s">
        <v>3217</v>
      </c>
      <c r="G1000" s="13" t="s">
        <v>3156</v>
      </c>
      <c r="H1000" s="13" t="s">
        <v>33</v>
      </c>
      <c r="I1000" s="13" t="s">
        <v>3167</v>
      </c>
      <c r="J1000" s="13" t="s">
        <v>3167</v>
      </c>
      <c r="K1000" s="13" t="s">
        <v>3296</v>
      </c>
      <c r="L1000" s="13" t="s">
        <v>3160</v>
      </c>
      <c r="M1000" s="13" t="s">
        <v>4402</v>
      </c>
      <c r="N1000" s="13">
        <v>4.0</v>
      </c>
      <c r="O1000" s="13" t="s">
        <v>3175</v>
      </c>
      <c r="P1000" s="13" t="s">
        <v>33</v>
      </c>
      <c r="Q1000" s="13" t="s">
        <v>3183</v>
      </c>
      <c r="R1000" s="13" t="s">
        <v>3163</v>
      </c>
      <c r="S1000" s="13" t="s">
        <v>4403</v>
      </c>
      <c r="T1000" s="13" t="s">
        <v>3164</v>
      </c>
      <c r="U1000" s="13" t="s">
        <v>3165</v>
      </c>
      <c r="V1000" s="13" t="s">
        <v>3166</v>
      </c>
      <c r="W1000" s="13" t="s">
        <v>3167</v>
      </c>
      <c r="X1000" s="13" t="s">
        <v>3216</v>
      </c>
    </row>
    <row r="1001" ht="14.25" customHeight="1">
      <c r="A1001" s="13">
        <v>25953.0</v>
      </c>
      <c r="B1001" s="13" t="s">
        <v>1330</v>
      </c>
      <c r="C1001" s="13">
        <v>2013.0</v>
      </c>
      <c r="D1001" s="13" t="s">
        <v>3153</v>
      </c>
      <c r="E1001" s="13" t="s">
        <v>3179</v>
      </c>
      <c r="F1001" s="13" t="s">
        <v>3217</v>
      </c>
      <c r="G1001" s="13" t="s">
        <v>3156</v>
      </c>
      <c r="H1001" s="13" t="s">
        <v>33</v>
      </c>
      <c r="I1001" s="13" t="s">
        <v>3167</v>
      </c>
      <c r="J1001" s="13" t="s">
        <v>3167</v>
      </c>
      <c r="K1001" s="13" t="s">
        <v>3338</v>
      </c>
      <c r="L1001" s="13" t="s">
        <v>3177</v>
      </c>
      <c r="M1001" s="13" t="s">
        <v>3342</v>
      </c>
      <c r="N1001" s="13">
        <v>1.0</v>
      </c>
      <c r="O1001" s="13" t="s">
        <v>3162</v>
      </c>
      <c r="P1001" s="13" t="s">
        <v>33</v>
      </c>
      <c r="Q1001" s="13" t="s">
        <v>3338</v>
      </c>
      <c r="R1001" s="13" t="s">
        <v>3163</v>
      </c>
      <c r="S1001" s="13" t="s">
        <v>33</v>
      </c>
      <c r="T1001" s="13" t="s">
        <v>3164</v>
      </c>
      <c r="U1001" s="13" t="s">
        <v>3165</v>
      </c>
      <c r="V1001" s="13" t="s">
        <v>3166</v>
      </c>
      <c r="W1001" s="13" t="s">
        <v>3167</v>
      </c>
      <c r="X1001" s="13" t="s">
        <v>3216</v>
      </c>
    </row>
    <row r="1002" ht="14.25" customHeight="1">
      <c r="A1002" s="13">
        <v>25957.0</v>
      </c>
      <c r="B1002" s="13" t="s">
        <v>871</v>
      </c>
      <c r="C1002" s="13">
        <v>2018.0</v>
      </c>
      <c r="D1002" s="13" t="s">
        <v>3153</v>
      </c>
      <c r="E1002" s="13" t="s">
        <v>3169</v>
      </c>
      <c r="F1002" s="13" t="s">
        <v>3192</v>
      </c>
      <c r="G1002" s="13" t="s">
        <v>3202</v>
      </c>
      <c r="H1002" s="13">
        <v>90.0</v>
      </c>
      <c r="I1002" s="13" t="s">
        <v>3222</v>
      </c>
      <c r="J1002" s="13" t="s">
        <v>3182</v>
      </c>
      <c r="K1002" s="13" t="s">
        <v>3186</v>
      </c>
      <c r="L1002" s="13" t="s">
        <v>3177</v>
      </c>
      <c r="M1002" s="13" t="s">
        <v>4404</v>
      </c>
      <c r="N1002" s="13">
        <v>10.0</v>
      </c>
      <c r="O1002" s="13" t="s">
        <v>3175</v>
      </c>
      <c r="P1002" s="13" t="s">
        <v>33</v>
      </c>
      <c r="Q1002" s="13" t="s">
        <v>3381</v>
      </c>
      <c r="R1002" s="13" t="s">
        <v>3177</v>
      </c>
      <c r="S1002" s="13" t="s">
        <v>4405</v>
      </c>
      <c r="T1002" s="13" t="s">
        <v>3252</v>
      </c>
      <c r="U1002" s="13" t="s">
        <v>3252</v>
      </c>
      <c r="V1002" s="13" t="s">
        <v>3253</v>
      </c>
      <c r="W1002" s="13" t="s">
        <v>3496</v>
      </c>
      <c r="X1002" s="13" t="s">
        <v>3276</v>
      </c>
    </row>
    <row r="1003" ht="14.25" customHeight="1">
      <c r="A1003" s="13">
        <v>25959.0</v>
      </c>
      <c r="B1003" s="13" t="s">
        <v>1157</v>
      </c>
      <c r="C1003" s="13">
        <v>2015.0</v>
      </c>
      <c r="D1003" s="13" t="s">
        <v>3153</v>
      </c>
      <c r="E1003" s="13" t="s">
        <v>3179</v>
      </c>
      <c r="F1003" s="13" t="s">
        <v>3192</v>
      </c>
      <c r="G1003" s="13" t="s">
        <v>3156</v>
      </c>
      <c r="H1003" s="13" t="s">
        <v>33</v>
      </c>
      <c r="I1003" s="13" t="s">
        <v>3264</v>
      </c>
      <c r="J1003" s="13" t="s">
        <v>3204</v>
      </c>
      <c r="K1003" s="13" t="s">
        <v>3208</v>
      </c>
      <c r="L1003" s="13" t="s">
        <v>3160</v>
      </c>
      <c r="M1003" s="13" t="s">
        <v>3792</v>
      </c>
      <c r="N1003" s="13">
        <v>1.0</v>
      </c>
      <c r="O1003" s="13" t="s">
        <v>3162</v>
      </c>
      <c r="P1003" s="13" t="s">
        <v>33</v>
      </c>
      <c r="Q1003" s="13" t="s">
        <v>3335</v>
      </c>
      <c r="R1003" s="13" t="s">
        <v>3163</v>
      </c>
      <c r="S1003" s="13" t="s">
        <v>4406</v>
      </c>
      <c r="T1003" s="13" t="s">
        <v>3195</v>
      </c>
      <c r="U1003" s="13" t="s">
        <v>3195</v>
      </c>
      <c r="V1003" s="13" t="s">
        <v>3195</v>
      </c>
      <c r="W1003" s="13" t="s">
        <v>3167</v>
      </c>
      <c r="X1003" s="13" t="s">
        <v>3167</v>
      </c>
    </row>
    <row r="1004" ht="14.25" customHeight="1">
      <c r="A1004" s="13">
        <v>25960.0</v>
      </c>
      <c r="B1004" s="13" t="s">
        <v>791</v>
      </c>
      <c r="C1004" s="13">
        <v>2013.0</v>
      </c>
      <c r="D1004" s="13" t="s">
        <v>3153</v>
      </c>
      <c r="E1004" s="13" t="s">
        <v>3169</v>
      </c>
      <c r="F1004" s="13" t="s">
        <v>3155</v>
      </c>
      <c r="G1004" s="13" t="s">
        <v>3202</v>
      </c>
      <c r="H1004" s="13">
        <v>250.0</v>
      </c>
      <c r="I1004" s="13" t="s">
        <v>3157</v>
      </c>
      <c r="J1004" s="13" t="s">
        <v>3898</v>
      </c>
      <c r="K1004" s="13" t="s">
        <v>3333</v>
      </c>
      <c r="L1004" s="13" t="s">
        <v>3177</v>
      </c>
      <c r="M1004" s="13" t="s">
        <v>4407</v>
      </c>
      <c r="N1004" s="13">
        <v>3.0</v>
      </c>
      <c r="O1004" s="13" t="s">
        <v>3267</v>
      </c>
      <c r="P1004" s="13" t="s">
        <v>3167</v>
      </c>
      <c r="Q1004" s="13" t="s">
        <v>3335</v>
      </c>
      <c r="R1004" s="13" t="s">
        <v>3231</v>
      </c>
      <c r="S1004" s="13" t="s">
        <v>4408</v>
      </c>
      <c r="T1004" s="13" t="s">
        <v>3195</v>
      </c>
      <c r="U1004" s="13" t="s">
        <v>3195</v>
      </c>
      <c r="V1004" s="13" t="s">
        <v>3195</v>
      </c>
      <c r="W1004" s="13" t="s">
        <v>3167</v>
      </c>
      <c r="X1004" s="13" t="s">
        <v>3167</v>
      </c>
    </row>
    <row r="1005" ht="14.25" customHeight="1">
      <c r="A1005" s="13">
        <v>25970.0</v>
      </c>
      <c r="B1005" s="13" t="s">
        <v>2864</v>
      </c>
      <c r="C1005" s="13">
        <v>2017.0</v>
      </c>
      <c r="D1005" s="13" t="s">
        <v>3153</v>
      </c>
      <c r="E1005" s="13" t="s">
        <v>3169</v>
      </c>
      <c r="F1005" s="13" t="s">
        <v>3155</v>
      </c>
      <c r="G1005" s="13" t="s">
        <v>3520</v>
      </c>
      <c r="H1005" s="13">
        <v>2.5</v>
      </c>
      <c r="I1005" s="13" t="s">
        <v>3188</v>
      </c>
      <c r="J1005" s="13" t="s">
        <v>3432</v>
      </c>
      <c r="K1005" s="13" t="s">
        <v>3381</v>
      </c>
      <c r="L1005" s="13" t="s">
        <v>3160</v>
      </c>
      <c r="M1005" s="13" t="s">
        <v>3715</v>
      </c>
      <c r="N1005" s="13">
        <v>1.0</v>
      </c>
      <c r="O1005" s="13" t="s">
        <v>3175</v>
      </c>
      <c r="P1005" s="13" t="s">
        <v>33</v>
      </c>
      <c r="Q1005" s="13" t="s">
        <v>3183</v>
      </c>
      <c r="R1005" s="13" t="s">
        <v>3163</v>
      </c>
      <c r="S1005" s="13" t="s">
        <v>3724</v>
      </c>
      <c r="T1005" s="13" t="s">
        <v>3247</v>
      </c>
      <c r="U1005" s="13" t="s">
        <v>3247</v>
      </c>
      <c r="V1005" s="13" t="s">
        <v>3242</v>
      </c>
      <c r="W1005" s="13" t="s">
        <v>3634</v>
      </c>
      <c r="X1005" s="13" t="s">
        <v>3167</v>
      </c>
    </row>
    <row r="1006" ht="14.25" customHeight="1">
      <c r="A1006" s="13">
        <v>25973.0</v>
      </c>
      <c r="B1006" s="13" t="s">
        <v>2564</v>
      </c>
      <c r="C1006" s="13">
        <v>2020.0</v>
      </c>
      <c r="D1006" s="13" t="s">
        <v>3153</v>
      </c>
      <c r="E1006" s="13" t="s">
        <v>3169</v>
      </c>
      <c r="F1006" s="13" t="s">
        <v>3192</v>
      </c>
      <c r="G1006" s="13" t="s">
        <v>3156</v>
      </c>
      <c r="H1006" s="13" t="s">
        <v>33</v>
      </c>
      <c r="I1006" s="13" t="s">
        <v>3188</v>
      </c>
      <c r="J1006" s="13" t="s">
        <v>3432</v>
      </c>
      <c r="K1006" s="13" t="s">
        <v>3183</v>
      </c>
      <c r="L1006" s="13" t="s">
        <v>3160</v>
      </c>
      <c r="M1006" s="13" t="s">
        <v>3258</v>
      </c>
      <c r="N1006" s="13">
        <v>1.0</v>
      </c>
      <c r="O1006" s="13" t="s">
        <v>3162</v>
      </c>
      <c r="P1006" s="13" t="s">
        <v>3724</v>
      </c>
      <c r="Q1006" s="13" t="s">
        <v>4409</v>
      </c>
      <c r="R1006" s="13" t="s">
        <v>3163</v>
      </c>
      <c r="S1006" s="13" t="s">
        <v>4410</v>
      </c>
      <c r="T1006" s="13" t="s">
        <v>3164</v>
      </c>
      <c r="U1006" s="13" t="s">
        <v>3164</v>
      </c>
      <c r="V1006" s="13" t="s">
        <v>3166</v>
      </c>
      <c r="W1006" s="13" t="s">
        <v>3167</v>
      </c>
      <c r="X1006" s="13" t="s">
        <v>3178</v>
      </c>
    </row>
    <row r="1007" ht="14.25" customHeight="1">
      <c r="A1007" s="13">
        <v>25978.0</v>
      </c>
      <c r="B1007" s="13" t="s">
        <v>720</v>
      </c>
      <c r="C1007" s="13">
        <v>2008.0</v>
      </c>
      <c r="D1007" s="13" t="s">
        <v>3153</v>
      </c>
      <c r="E1007" s="13" t="s">
        <v>3169</v>
      </c>
      <c r="F1007" s="13" t="s">
        <v>3211</v>
      </c>
      <c r="G1007" s="13" t="s">
        <v>3156</v>
      </c>
      <c r="H1007" s="13" t="s">
        <v>33</v>
      </c>
      <c r="I1007" s="13" t="s">
        <v>3171</v>
      </c>
      <c r="J1007" s="13" t="s">
        <v>3718</v>
      </c>
      <c r="K1007" s="13" t="s">
        <v>3159</v>
      </c>
      <c r="L1007" s="13" t="s">
        <v>3160</v>
      </c>
      <c r="M1007" s="13" t="s">
        <v>3391</v>
      </c>
      <c r="N1007" s="13">
        <v>1.0</v>
      </c>
      <c r="O1007" s="13" t="s">
        <v>3162</v>
      </c>
      <c r="P1007" s="13" t="s">
        <v>33</v>
      </c>
      <c r="Q1007" s="13" t="s">
        <v>3159</v>
      </c>
      <c r="R1007" s="13" t="s">
        <v>3163</v>
      </c>
      <c r="S1007" s="13" t="s">
        <v>33</v>
      </c>
      <c r="T1007" s="13" t="s">
        <v>3164</v>
      </c>
      <c r="U1007" s="13" t="s">
        <v>3164</v>
      </c>
      <c r="V1007" s="13" t="s">
        <v>3166</v>
      </c>
      <c r="W1007" s="13" t="s">
        <v>3167</v>
      </c>
      <c r="X1007" s="13" t="s">
        <v>3178</v>
      </c>
    </row>
    <row r="1008" ht="14.25" customHeight="1">
      <c r="A1008" s="13">
        <v>25980.0</v>
      </c>
      <c r="B1008" s="13" t="s">
        <v>1454</v>
      </c>
      <c r="C1008" s="13">
        <v>2015.0</v>
      </c>
      <c r="D1008" s="13" t="s">
        <v>3153</v>
      </c>
      <c r="E1008" s="13" t="s">
        <v>3169</v>
      </c>
      <c r="F1008" s="13" t="s">
        <v>3192</v>
      </c>
      <c r="G1008" s="13" t="s">
        <v>33</v>
      </c>
      <c r="H1008" s="13" t="s">
        <v>33</v>
      </c>
      <c r="I1008" s="13" t="s">
        <v>3171</v>
      </c>
      <c r="J1008" s="13" t="s">
        <v>4411</v>
      </c>
      <c r="K1008" s="13" t="s">
        <v>3208</v>
      </c>
      <c r="L1008" s="13" t="s">
        <v>3160</v>
      </c>
      <c r="M1008" s="13" t="s">
        <v>4412</v>
      </c>
      <c r="N1008" s="13">
        <v>3.0</v>
      </c>
      <c r="O1008" s="13" t="s">
        <v>3175</v>
      </c>
      <c r="P1008" s="13" t="s">
        <v>33</v>
      </c>
      <c r="Q1008" s="13" t="s">
        <v>3273</v>
      </c>
      <c r="R1008" s="13" t="s">
        <v>3163</v>
      </c>
      <c r="S1008" s="13" t="s">
        <v>33</v>
      </c>
      <c r="T1008" s="13" t="s">
        <v>3247</v>
      </c>
      <c r="U1008" s="13" t="s">
        <v>3247</v>
      </c>
      <c r="V1008" s="13" t="s">
        <v>3242</v>
      </c>
      <c r="W1008" s="13" t="s">
        <v>3496</v>
      </c>
      <c r="X1008" s="13" t="s">
        <v>3167</v>
      </c>
    </row>
    <row r="1009" ht="14.25" customHeight="1">
      <c r="A1009" s="13">
        <v>25986.0</v>
      </c>
      <c r="B1009" s="13" t="s">
        <v>2982</v>
      </c>
      <c r="C1009" s="13">
        <v>2018.0</v>
      </c>
      <c r="D1009" s="13" t="s">
        <v>3153</v>
      </c>
      <c r="E1009" s="13" t="s">
        <v>3179</v>
      </c>
      <c r="F1009" s="13" t="s">
        <v>3284</v>
      </c>
      <c r="G1009" s="13" t="s">
        <v>3156</v>
      </c>
      <c r="H1009" s="13" t="s">
        <v>33</v>
      </c>
      <c r="I1009" s="13" t="s">
        <v>3392</v>
      </c>
      <c r="J1009" s="13" t="s">
        <v>3167</v>
      </c>
      <c r="K1009" s="13" t="s">
        <v>3208</v>
      </c>
      <c r="L1009" s="13" t="s">
        <v>3160</v>
      </c>
      <c r="M1009" s="13" t="s">
        <v>3342</v>
      </c>
      <c r="N1009" s="13">
        <v>1.0</v>
      </c>
      <c r="O1009" s="13" t="s">
        <v>3162</v>
      </c>
      <c r="P1009" s="13" t="s">
        <v>33</v>
      </c>
      <c r="Q1009" s="13" t="s">
        <v>3208</v>
      </c>
      <c r="R1009" s="13" t="s">
        <v>3163</v>
      </c>
      <c r="S1009" s="13" t="s">
        <v>33</v>
      </c>
      <c r="T1009" s="13" t="s">
        <v>3164</v>
      </c>
      <c r="U1009" s="13" t="s">
        <v>3164</v>
      </c>
      <c r="V1009" s="13" t="s">
        <v>3166</v>
      </c>
      <c r="W1009" s="13" t="s">
        <v>3167</v>
      </c>
      <c r="X1009" s="13" t="s">
        <v>3224</v>
      </c>
    </row>
    <row r="1010" ht="14.25" customHeight="1">
      <c r="A1010" s="13">
        <v>25988.0</v>
      </c>
      <c r="B1010" s="13" t="s">
        <v>1457</v>
      </c>
      <c r="C1010" s="13">
        <v>2018.0</v>
      </c>
      <c r="D1010" s="13" t="s">
        <v>3153</v>
      </c>
      <c r="E1010" s="13" t="s">
        <v>3169</v>
      </c>
      <c r="F1010" s="13" t="s">
        <v>3217</v>
      </c>
      <c r="G1010" s="13" t="s">
        <v>33</v>
      </c>
      <c r="H1010" s="13" t="s">
        <v>33</v>
      </c>
      <c r="I1010" s="13" t="s">
        <v>3167</v>
      </c>
      <c r="J1010" s="13" t="s">
        <v>3167</v>
      </c>
      <c r="K1010" s="13" t="s">
        <v>3381</v>
      </c>
      <c r="L1010" s="13" t="s">
        <v>3177</v>
      </c>
      <c r="M1010" s="13" t="s">
        <v>3477</v>
      </c>
      <c r="N1010" s="13">
        <v>1.0</v>
      </c>
      <c r="O1010" s="13" t="s">
        <v>3162</v>
      </c>
      <c r="P1010" s="13" t="s">
        <v>33</v>
      </c>
      <c r="Q1010" s="13" t="s">
        <v>3335</v>
      </c>
      <c r="R1010" s="13" t="s">
        <v>3163</v>
      </c>
      <c r="S1010" s="13" t="s">
        <v>3449</v>
      </c>
      <c r="T1010" s="13" t="s">
        <v>3195</v>
      </c>
      <c r="U1010" s="13" t="s">
        <v>3195</v>
      </c>
      <c r="V1010" s="13" t="s">
        <v>3195</v>
      </c>
      <c r="W1010" s="13" t="s">
        <v>3167</v>
      </c>
      <c r="X1010" s="13" t="s">
        <v>3167</v>
      </c>
    </row>
    <row r="1011" ht="14.25" customHeight="1">
      <c r="A1011" s="13">
        <v>25991.0</v>
      </c>
      <c r="B1011" s="13" t="s">
        <v>3065</v>
      </c>
      <c r="C1011" s="13">
        <v>2011.0</v>
      </c>
      <c r="D1011" s="13" t="s">
        <v>3153</v>
      </c>
      <c r="E1011" s="13" t="s">
        <v>3179</v>
      </c>
      <c r="F1011" s="13" t="s">
        <v>3170</v>
      </c>
      <c r="G1011" s="13" t="s">
        <v>3156</v>
      </c>
      <c r="H1011" s="13" t="s">
        <v>33</v>
      </c>
      <c r="I1011" s="13" t="s">
        <v>3533</v>
      </c>
      <c r="J1011" s="13" t="s">
        <v>4413</v>
      </c>
      <c r="K1011" s="13" t="s">
        <v>3159</v>
      </c>
      <c r="L1011" s="13" t="s">
        <v>3160</v>
      </c>
      <c r="M1011" s="13" t="s">
        <v>3342</v>
      </c>
      <c r="N1011" s="13">
        <v>1.0</v>
      </c>
      <c r="O1011" s="13" t="s">
        <v>3162</v>
      </c>
      <c r="P1011" s="13" t="s">
        <v>33</v>
      </c>
      <c r="Q1011" s="13" t="s">
        <v>3214</v>
      </c>
      <c r="R1011" s="13" t="s">
        <v>3163</v>
      </c>
      <c r="S1011" s="13" t="s">
        <v>33</v>
      </c>
      <c r="T1011" s="13" t="s">
        <v>3164</v>
      </c>
      <c r="U1011" s="13" t="s">
        <v>3164</v>
      </c>
      <c r="V1011" s="13" t="s">
        <v>3166</v>
      </c>
      <c r="W1011" s="13" t="s">
        <v>3167</v>
      </c>
      <c r="X1011" s="13" t="s">
        <v>3178</v>
      </c>
    </row>
    <row r="1012" ht="14.25" customHeight="1">
      <c r="A1012" s="13">
        <v>25997.0</v>
      </c>
      <c r="B1012" s="13" t="s">
        <v>1499</v>
      </c>
      <c r="C1012" s="13">
        <v>2000.0</v>
      </c>
      <c r="D1012" s="13" t="s">
        <v>3153</v>
      </c>
      <c r="E1012" s="13" t="s">
        <v>3169</v>
      </c>
      <c r="F1012" s="13" t="s">
        <v>3192</v>
      </c>
      <c r="G1012" s="13" t="s">
        <v>3366</v>
      </c>
      <c r="H1012" s="13">
        <v>15.0</v>
      </c>
      <c r="I1012" s="13" t="s">
        <v>3171</v>
      </c>
      <c r="J1012" s="13" t="s">
        <v>3378</v>
      </c>
      <c r="K1012" s="13" t="s">
        <v>3208</v>
      </c>
      <c r="L1012" s="13" t="s">
        <v>3160</v>
      </c>
      <c r="M1012" s="13" t="s">
        <v>4414</v>
      </c>
      <c r="N1012" s="13">
        <v>6.0</v>
      </c>
      <c r="O1012" s="13" t="s">
        <v>3175</v>
      </c>
      <c r="P1012" s="13" t="s">
        <v>33</v>
      </c>
      <c r="Q1012" s="13" t="s">
        <v>3173</v>
      </c>
      <c r="R1012" s="13" t="s">
        <v>3163</v>
      </c>
      <c r="S1012" s="13" t="s">
        <v>33</v>
      </c>
      <c r="T1012" s="13" t="s">
        <v>3252</v>
      </c>
      <c r="U1012" s="13" t="s">
        <v>3252</v>
      </c>
      <c r="V1012" s="13" t="s">
        <v>3166</v>
      </c>
      <c r="W1012" s="13" t="s">
        <v>3634</v>
      </c>
      <c r="X1012" s="13" t="s">
        <v>4415</v>
      </c>
    </row>
    <row r="1013" ht="14.25" customHeight="1">
      <c r="A1013" s="13">
        <v>25998.0</v>
      </c>
      <c r="B1013" s="13" t="s">
        <v>1499</v>
      </c>
      <c r="C1013" s="13">
        <v>2003.0</v>
      </c>
      <c r="D1013" s="13" t="s">
        <v>3153</v>
      </c>
      <c r="E1013" s="13" t="s">
        <v>3169</v>
      </c>
      <c r="F1013" s="13" t="s">
        <v>3192</v>
      </c>
      <c r="G1013" s="13" t="s">
        <v>3187</v>
      </c>
      <c r="H1013" s="13">
        <v>700.0</v>
      </c>
      <c r="I1013" s="13" t="s">
        <v>3171</v>
      </c>
      <c r="J1013" s="13" t="s">
        <v>3378</v>
      </c>
      <c r="K1013" s="13" t="s">
        <v>3208</v>
      </c>
      <c r="L1013" s="13" t="s">
        <v>3177</v>
      </c>
      <c r="M1013" s="13" t="s">
        <v>3279</v>
      </c>
      <c r="N1013" s="13">
        <v>1.0</v>
      </c>
      <c r="O1013" s="13" t="s">
        <v>3162</v>
      </c>
      <c r="P1013" s="13" t="s">
        <v>33</v>
      </c>
      <c r="Q1013" s="13" t="s">
        <v>3183</v>
      </c>
      <c r="R1013" s="13" t="s">
        <v>3177</v>
      </c>
      <c r="S1013" s="13" t="s">
        <v>3689</v>
      </c>
      <c r="T1013" s="13" t="s">
        <v>3252</v>
      </c>
      <c r="U1013" s="13" t="s">
        <v>3252</v>
      </c>
      <c r="V1013" s="13" t="s">
        <v>3166</v>
      </c>
      <c r="W1013" s="13" t="s">
        <v>3634</v>
      </c>
      <c r="X1013" s="13" t="s">
        <v>4415</v>
      </c>
    </row>
    <row r="1014" ht="14.25" customHeight="1">
      <c r="A1014" s="13">
        <v>26001.0</v>
      </c>
      <c r="B1014" s="13" t="s">
        <v>2662</v>
      </c>
      <c r="C1014" s="13">
        <v>2018.0</v>
      </c>
      <c r="D1014" s="13" t="s">
        <v>3153</v>
      </c>
      <c r="E1014" s="13" t="s">
        <v>3169</v>
      </c>
      <c r="F1014" s="13" t="s">
        <v>3192</v>
      </c>
      <c r="G1014" s="13" t="s">
        <v>3156</v>
      </c>
      <c r="H1014" s="13" t="s">
        <v>33</v>
      </c>
      <c r="I1014" s="13" t="s">
        <v>3244</v>
      </c>
      <c r="J1014" s="13" t="s">
        <v>3289</v>
      </c>
      <c r="K1014" s="13" t="s">
        <v>3173</v>
      </c>
      <c r="L1014" s="13" t="s">
        <v>3177</v>
      </c>
      <c r="M1014" s="13" t="s">
        <v>3399</v>
      </c>
      <c r="N1014" s="13">
        <v>1.0</v>
      </c>
      <c r="O1014" s="13" t="s">
        <v>3162</v>
      </c>
      <c r="P1014" s="13" t="s">
        <v>33</v>
      </c>
      <c r="Q1014" s="13" t="s">
        <v>3335</v>
      </c>
      <c r="R1014" s="13" t="s">
        <v>3160</v>
      </c>
      <c r="S1014" s="13" t="s">
        <v>33</v>
      </c>
      <c r="T1014" s="13" t="s">
        <v>3195</v>
      </c>
      <c r="U1014" s="13" t="s">
        <v>3195</v>
      </c>
      <c r="V1014" s="13" t="s">
        <v>3195</v>
      </c>
      <c r="W1014" s="13" t="s">
        <v>3167</v>
      </c>
      <c r="X1014" s="13" t="s">
        <v>3167</v>
      </c>
    </row>
    <row r="1015" ht="14.25" customHeight="1">
      <c r="A1015" s="13">
        <v>26002.0</v>
      </c>
      <c r="B1015" s="13" t="s">
        <v>2012</v>
      </c>
      <c r="C1015" s="13">
        <v>2016.0</v>
      </c>
      <c r="D1015" s="13" t="s">
        <v>3153</v>
      </c>
      <c r="E1015" s="13" t="s">
        <v>3179</v>
      </c>
      <c r="F1015" s="13" t="s">
        <v>3170</v>
      </c>
      <c r="G1015" s="13" t="s">
        <v>3156</v>
      </c>
      <c r="H1015" s="13" t="s">
        <v>3167</v>
      </c>
      <c r="I1015" s="13" t="s">
        <v>3533</v>
      </c>
      <c r="J1015" s="13" t="s">
        <v>3194</v>
      </c>
      <c r="K1015" s="13" t="s">
        <v>3580</v>
      </c>
      <c r="L1015" s="13" t="s">
        <v>3177</v>
      </c>
      <c r="M1015" s="13" t="s">
        <v>3342</v>
      </c>
      <c r="N1015" s="13">
        <v>1.0</v>
      </c>
      <c r="O1015" s="13" t="s">
        <v>3162</v>
      </c>
      <c r="P1015" s="13" t="s">
        <v>3167</v>
      </c>
      <c r="Q1015" s="13" t="s">
        <v>3580</v>
      </c>
      <c r="R1015" s="13" t="s">
        <v>3260</v>
      </c>
      <c r="S1015" s="13" t="s">
        <v>33</v>
      </c>
      <c r="T1015" s="13" t="s">
        <v>3164</v>
      </c>
      <c r="U1015" s="13" t="s">
        <v>3164</v>
      </c>
      <c r="V1015" s="13" t="s">
        <v>3166</v>
      </c>
      <c r="W1015" s="13" t="s">
        <v>3167</v>
      </c>
      <c r="X1015" s="13" t="s">
        <v>3178</v>
      </c>
    </row>
    <row r="1016" ht="14.25" customHeight="1">
      <c r="A1016" s="13">
        <v>26006.0</v>
      </c>
      <c r="B1016" s="13" t="s">
        <v>2392</v>
      </c>
      <c r="C1016" s="13">
        <v>2017.0</v>
      </c>
      <c r="D1016" s="13" t="s">
        <v>3153</v>
      </c>
      <c r="E1016" s="13" t="s">
        <v>3169</v>
      </c>
      <c r="F1016" s="13" t="s">
        <v>3284</v>
      </c>
      <c r="G1016" s="13" t="s">
        <v>3156</v>
      </c>
      <c r="H1016" s="13" t="s">
        <v>33</v>
      </c>
      <c r="I1016" s="13" t="s">
        <v>3244</v>
      </c>
      <c r="J1016" s="13" t="s">
        <v>3167</v>
      </c>
      <c r="K1016" s="13" t="s">
        <v>3214</v>
      </c>
      <c r="L1016" s="13" t="s">
        <v>3160</v>
      </c>
      <c r="M1016" s="13" t="s">
        <v>3391</v>
      </c>
      <c r="N1016" s="13">
        <v>1.0</v>
      </c>
      <c r="O1016" s="13" t="s">
        <v>3162</v>
      </c>
      <c r="P1016" s="13" t="s">
        <v>33</v>
      </c>
      <c r="Q1016" s="13" t="s">
        <v>3214</v>
      </c>
      <c r="R1016" s="13" t="s">
        <v>3163</v>
      </c>
      <c r="S1016" s="13" t="s">
        <v>33</v>
      </c>
      <c r="T1016" s="13" t="s">
        <v>3164</v>
      </c>
      <c r="U1016" s="13" t="s">
        <v>3164</v>
      </c>
      <c r="V1016" s="13" t="s">
        <v>3166</v>
      </c>
      <c r="W1016" s="13" t="s">
        <v>3167</v>
      </c>
      <c r="X1016" s="13" t="s">
        <v>3224</v>
      </c>
    </row>
    <row r="1017" ht="14.25" customHeight="1">
      <c r="A1017" s="13">
        <v>26011.0</v>
      </c>
      <c r="B1017" s="13" t="s">
        <v>1970</v>
      </c>
      <c r="C1017" s="13">
        <v>2011.0</v>
      </c>
      <c r="D1017" s="13" t="s">
        <v>3153</v>
      </c>
      <c r="E1017" s="13" t="s">
        <v>3179</v>
      </c>
      <c r="F1017" s="13" t="s">
        <v>3192</v>
      </c>
      <c r="G1017" s="13" t="s">
        <v>3156</v>
      </c>
      <c r="H1017" s="13" t="s">
        <v>33</v>
      </c>
      <c r="I1017" s="13" t="s">
        <v>3261</v>
      </c>
      <c r="J1017" s="13" t="s">
        <v>3182</v>
      </c>
      <c r="K1017" s="13" t="s">
        <v>3265</v>
      </c>
      <c r="L1017" s="13" t="s">
        <v>3160</v>
      </c>
      <c r="M1017" s="13" t="s">
        <v>3184</v>
      </c>
      <c r="N1017" s="13">
        <v>1.0</v>
      </c>
      <c r="O1017" s="13" t="s">
        <v>3162</v>
      </c>
      <c r="P1017" s="13" t="s">
        <v>33</v>
      </c>
      <c r="Q1017" s="13" t="s">
        <v>3210</v>
      </c>
      <c r="R1017" s="13" t="s">
        <v>3163</v>
      </c>
      <c r="S1017" s="13" t="s">
        <v>33</v>
      </c>
      <c r="T1017" s="13" t="s">
        <v>3195</v>
      </c>
      <c r="U1017" s="13" t="s">
        <v>3195</v>
      </c>
      <c r="V1017" s="13" t="s">
        <v>3195</v>
      </c>
      <c r="W1017" s="13" t="s">
        <v>3167</v>
      </c>
      <c r="X1017" s="13" t="s">
        <v>3167</v>
      </c>
    </row>
    <row r="1018" ht="14.25" customHeight="1">
      <c r="A1018" s="13">
        <v>26214.0</v>
      </c>
      <c r="B1018" s="13" t="s">
        <v>4416</v>
      </c>
      <c r="C1018" s="13">
        <v>2017.0</v>
      </c>
      <c r="D1018" s="13" t="s">
        <v>3153</v>
      </c>
      <c r="E1018" s="13" t="s">
        <v>3179</v>
      </c>
      <c r="F1018" s="13" t="s">
        <v>3192</v>
      </c>
      <c r="G1018" s="13" t="s">
        <v>3187</v>
      </c>
      <c r="H1018" s="13">
        <v>1.0</v>
      </c>
      <c r="I1018" s="13" t="s">
        <v>3181</v>
      </c>
      <c r="J1018" s="13" t="s">
        <v>3341</v>
      </c>
      <c r="K1018" s="13" t="s">
        <v>3201</v>
      </c>
      <c r="L1018" s="13" t="s">
        <v>3160</v>
      </c>
      <c r="M1018" s="13" t="s">
        <v>3184</v>
      </c>
      <c r="N1018" s="13">
        <v>1.0</v>
      </c>
      <c r="O1018" s="13" t="s">
        <v>3162</v>
      </c>
      <c r="P1018" s="13" t="s">
        <v>33</v>
      </c>
      <c r="Q1018" s="13" t="s">
        <v>3159</v>
      </c>
      <c r="R1018" s="13" t="s">
        <v>3177</v>
      </c>
      <c r="S1018" s="13" t="s">
        <v>33</v>
      </c>
      <c r="T1018" s="13" t="s">
        <v>3164</v>
      </c>
      <c r="U1018" s="13" t="s">
        <v>3164</v>
      </c>
      <c r="V1018" s="13" t="s">
        <v>3166</v>
      </c>
      <c r="W1018" s="13" t="s">
        <v>3167</v>
      </c>
      <c r="X1018" s="13" t="s">
        <v>3178</v>
      </c>
    </row>
    <row r="1019" ht="14.25" customHeight="1">
      <c r="A1019" s="13">
        <v>26015.0</v>
      </c>
      <c r="B1019" s="13" t="s">
        <v>1988</v>
      </c>
      <c r="C1019" s="13">
        <v>2010.0</v>
      </c>
      <c r="D1019" s="13" t="s">
        <v>3153</v>
      </c>
      <c r="E1019" s="13" t="s">
        <v>3179</v>
      </c>
      <c r="F1019" s="13" t="s">
        <v>3192</v>
      </c>
      <c r="G1019" s="13" t="s">
        <v>3187</v>
      </c>
      <c r="H1019" s="13">
        <v>25.0</v>
      </c>
      <c r="I1019" s="13" t="s">
        <v>3181</v>
      </c>
      <c r="J1019" s="13" t="s">
        <v>3229</v>
      </c>
      <c r="K1019" s="13" t="s">
        <v>3265</v>
      </c>
      <c r="L1019" s="13" t="s">
        <v>3177</v>
      </c>
      <c r="M1019" s="13" t="s">
        <v>3184</v>
      </c>
      <c r="N1019" s="13">
        <v>1.0</v>
      </c>
      <c r="O1019" s="13" t="s">
        <v>3162</v>
      </c>
      <c r="P1019" s="13" t="s">
        <v>33</v>
      </c>
      <c r="Q1019" s="13" t="s">
        <v>3214</v>
      </c>
      <c r="R1019" s="13" t="s">
        <v>3177</v>
      </c>
      <c r="S1019" s="13" t="s">
        <v>33</v>
      </c>
      <c r="T1019" s="13" t="s">
        <v>3164</v>
      </c>
      <c r="U1019" s="13" t="s">
        <v>3165</v>
      </c>
      <c r="V1019" s="13" t="s">
        <v>3166</v>
      </c>
      <c r="W1019" s="13" t="s">
        <v>3167</v>
      </c>
      <c r="X1019" s="13" t="s">
        <v>3178</v>
      </c>
    </row>
    <row r="1020" ht="14.25" customHeight="1">
      <c r="A1020" s="13">
        <v>26016.0</v>
      </c>
      <c r="B1020" s="13" t="s">
        <v>1917</v>
      </c>
      <c r="C1020" s="13">
        <v>2011.0</v>
      </c>
      <c r="D1020" s="13" t="s">
        <v>3153</v>
      </c>
      <c r="E1020" s="13" t="s">
        <v>3179</v>
      </c>
      <c r="F1020" s="13" t="s">
        <v>3192</v>
      </c>
      <c r="G1020" s="13" t="s">
        <v>3187</v>
      </c>
      <c r="H1020" s="13">
        <v>25.0</v>
      </c>
      <c r="I1020" s="13" t="s">
        <v>3181</v>
      </c>
      <c r="J1020" s="13" t="s">
        <v>3229</v>
      </c>
      <c r="K1020" s="13" t="s">
        <v>3201</v>
      </c>
      <c r="L1020" s="13" t="s">
        <v>3177</v>
      </c>
      <c r="M1020" s="13" t="s">
        <v>3196</v>
      </c>
      <c r="N1020" s="13">
        <v>1.0</v>
      </c>
      <c r="O1020" s="13" t="s">
        <v>3162</v>
      </c>
      <c r="P1020" s="13" t="s">
        <v>33</v>
      </c>
      <c r="Q1020" s="13" t="s">
        <v>3159</v>
      </c>
      <c r="R1020" s="13" t="s">
        <v>3177</v>
      </c>
      <c r="S1020" s="13" t="s">
        <v>33</v>
      </c>
      <c r="T1020" s="13" t="s">
        <v>3164</v>
      </c>
      <c r="U1020" s="13" t="s">
        <v>3232</v>
      </c>
      <c r="V1020" s="13" t="s">
        <v>3166</v>
      </c>
      <c r="W1020" s="13" t="s">
        <v>3167</v>
      </c>
      <c r="X1020" s="13" t="s">
        <v>3178</v>
      </c>
    </row>
    <row r="1021" ht="14.25" customHeight="1">
      <c r="A1021" s="13">
        <v>26017.0</v>
      </c>
      <c r="B1021" s="13" t="s">
        <v>1917</v>
      </c>
      <c r="C1021" s="13">
        <v>2014.0</v>
      </c>
      <c r="D1021" s="13" t="s">
        <v>3153</v>
      </c>
      <c r="E1021" s="13" t="s">
        <v>3169</v>
      </c>
      <c r="F1021" s="13" t="s">
        <v>3284</v>
      </c>
      <c r="G1021" s="13" t="s">
        <v>3156</v>
      </c>
      <c r="H1021" s="13" t="s">
        <v>33</v>
      </c>
      <c r="I1021" s="13" t="s">
        <v>3171</v>
      </c>
      <c r="J1021" s="13" t="s">
        <v>3167</v>
      </c>
      <c r="K1021" s="13" t="s">
        <v>3214</v>
      </c>
      <c r="L1021" s="13" t="s">
        <v>3177</v>
      </c>
      <c r="M1021" s="13" t="s">
        <v>3391</v>
      </c>
      <c r="N1021" s="13">
        <v>1.0</v>
      </c>
      <c r="O1021" s="13" t="s">
        <v>3162</v>
      </c>
      <c r="P1021" s="13" t="s">
        <v>33</v>
      </c>
      <c r="Q1021" s="13" t="s">
        <v>3214</v>
      </c>
      <c r="R1021" s="13" t="s">
        <v>3177</v>
      </c>
      <c r="S1021" s="13" t="s">
        <v>33</v>
      </c>
      <c r="T1021" s="13" t="s">
        <v>3232</v>
      </c>
      <c r="U1021" s="13" t="s">
        <v>3232</v>
      </c>
      <c r="V1021" s="13" t="s">
        <v>3166</v>
      </c>
      <c r="W1021" s="13" t="s">
        <v>3167</v>
      </c>
      <c r="X1021" s="13" t="s">
        <v>3224</v>
      </c>
    </row>
    <row r="1022" ht="14.25" customHeight="1">
      <c r="A1022" s="13">
        <v>26032.0</v>
      </c>
      <c r="B1022" s="13" t="s">
        <v>103</v>
      </c>
      <c r="C1022" s="13">
        <v>2012.0</v>
      </c>
      <c r="D1022" s="13" t="s">
        <v>3153</v>
      </c>
      <c r="E1022" s="13" t="s">
        <v>3154</v>
      </c>
      <c r="F1022" s="13" t="s">
        <v>3192</v>
      </c>
      <c r="G1022" s="13" t="s">
        <v>33</v>
      </c>
      <c r="H1022" s="13" t="s">
        <v>33</v>
      </c>
      <c r="I1022" s="13" t="s">
        <v>3222</v>
      </c>
      <c r="J1022" s="13" t="s">
        <v>3182</v>
      </c>
      <c r="K1022" s="13" t="s">
        <v>3381</v>
      </c>
      <c r="L1022" s="13" t="s">
        <v>3160</v>
      </c>
      <c r="M1022" s="13" t="s">
        <v>4417</v>
      </c>
      <c r="N1022" s="13">
        <v>2.0</v>
      </c>
      <c r="O1022" s="13" t="s">
        <v>3162</v>
      </c>
      <c r="P1022" s="13" t="s">
        <v>3689</v>
      </c>
      <c r="Q1022" s="13" t="s">
        <v>3183</v>
      </c>
      <c r="R1022" s="13" t="s">
        <v>3163</v>
      </c>
      <c r="S1022" s="13" t="s">
        <v>3689</v>
      </c>
      <c r="T1022" s="13" t="s">
        <v>3228</v>
      </c>
      <c r="U1022" s="13" t="s">
        <v>3228</v>
      </c>
      <c r="V1022" s="13" t="s">
        <v>3166</v>
      </c>
      <c r="W1022" s="13" t="s">
        <v>3167</v>
      </c>
      <c r="X1022" s="13" t="s">
        <v>3225</v>
      </c>
    </row>
    <row r="1023" ht="14.25" customHeight="1">
      <c r="A1023" s="13">
        <v>26033.0</v>
      </c>
      <c r="B1023" s="13" t="s">
        <v>103</v>
      </c>
      <c r="C1023" s="13">
        <v>2014.0</v>
      </c>
      <c r="D1023" s="13" t="s">
        <v>3153</v>
      </c>
      <c r="E1023" s="13" t="s">
        <v>3154</v>
      </c>
      <c r="F1023" s="13" t="s">
        <v>3192</v>
      </c>
      <c r="G1023" s="13" t="s">
        <v>3156</v>
      </c>
      <c r="H1023" s="13" t="s">
        <v>33</v>
      </c>
      <c r="I1023" s="13" t="s">
        <v>3222</v>
      </c>
      <c r="J1023" s="13" t="s">
        <v>3182</v>
      </c>
      <c r="K1023" s="13" t="s">
        <v>3381</v>
      </c>
      <c r="L1023" s="13" t="s">
        <v>3160</v>
      </c>
      <c r="M1023" s="13" t="s">
        <v>4417</v>
      </c>
      <c r="N1023" s="13">
        <v>2.0</v>
      </c>
      <c r="O1023" s="13" t="s">
        <v>3162</v>
      </c>
      <c r="P1023" s="13" t="s">
        <v>3689</v>
      </c>
      <c r="Q1023" s="13" t="s">
        <v>3183</v>
      </c>
      <c r="R1023" s="13" t="s">
        <v>3163</v>
      </c>
      <c r="S1023" s="13" t="s">
        <v>3689</v>
      </c>
      <c r="T1023" s="13" t="s">
        <v>3164</v>
      </c>
      <c r="U1023" s="13" t="s">
        <v>3164</v>
      </c>
      <c r="V1023" s="13" t="s">
        <v>3166</v>
      </c>
      <c r="W1023" s="13" t="s">
        <v>3167</v>
      </c>
      <c r="X1023" s="13" t="s">
        <v>3324</v>
      </c>
    </row>
    <row r="1024" ht="14.25" customHeight="1">
      <c r="A1024" s="13">
        <v>26036.0</v>
      </c>
      <c r="B1024" s="13" t="s">
        <v>570</v>
      </c>
      <c r="C1024" s="13">
        <v>2016.0</v>
      </c>
      <c r="D1024" s="13" t="s">
        <v>3153</v>
      </c>
      <c r="E1024" s="13" t="s">
        <v>3154</v>
      </c>
      <c r="F1024" s="13" t="s">
        <v>3211</v>
      </c>
      <c r="G1024" s="13" t="s">
        <v>3156</v>
      </c>
      <c r="H1024" s="13" t="s">
        <v>33</v>
      </c>
      <c r="I1024" s="13" t="s">
        <v>4418</v>
      </c>
      <c r="J1024" s="13" t="s">
        <v>4419</v>
      </c>
      <c r="K1024" s="13" t="s">
        <v>3183</v>
      </c>
      <c r="L1024" s="13" t="s">
        <v>3160</v>
      </c>
      <c r="M1024" s="13" t="s">
        <v>3291</v>
      </c>
      <c r="N1024" s="13">
        <v>1.0</v>
      </c>
      <c r="O1024" s="13" t="s">
        <v>3162</v>
      </c>
      <c r="P1024" s="13" t="s">
        <v>3689</v>
      </c>
      <c r="Q1024" s="13" t="s">
        <v>3183</v>
      </c>
      <c r="R1024" s="13" t="s">
        <v>3177</v>
      </c>
      <c r="S1024" s="13" t="s">
        <v>3397</v>
      </c>
      <c r="T1024" s="13" t="s">
        <v>3197</v>
      </c>
      <c r="U1024" s="13" t="s">
        <v>3197</v>
      </c>
      <c r="V1024" s="13" t="s">
        <v>3166</v>
      </c>
      <c r="W1024" s="13" t="s">
        <v>3167</v>
      </c>
      <c r="X1024" s="13" t="s">
        <v>3255</v>
      </c>
    </row>
    <row r="1025" ht="14.25" customHeight="1">
      <c r="A1025" s="13">
        <v>26042.0</v>
      </c>
      <c r="B1025" s="13" t="s">
        <v>130</v>
      </c>
      <c r="C1025" s="13">
        <v>2017.0</v>
      </c>
      <c r="D1025" s="13" t="s">
        <v>3153</v>
      </c>
      <c r="E1025" s="13" t="s">
        <v>3179</v>
      </c>
      <c r="F1025" s="13" t="s">
        <v>3170</v>
      </c>
      <c r="G1025" s="13" t="s">
        <v>3156</v>
      </c>
      <c r="H1025" s="13" t="s">
        <v>33</v>
      </c>
      <c r="I1025" s="13" t="s">
        <v>3249</v>
      </c>
      <c r="J1025" s="13" t="s">
        <v>4420</v>
      </c>
      <c r="K1025" s="13" t="s">
        <v>3159</v>
      </c>
      <c r="L1025" s="13" t="s">
        <v>3160</v>
      </c>
      <c r="M1025" s="13" t="s">
        <v>4421</v>
      </c>
      <c r="N1025" s="13">
        <v>5.0</v>
      </c>
      <c r="O1025" s="13" t="s">
        <v>3162</v>
      </c>
      <c r="P1025" s="13" t="s">
        <v>33</v>
      </c>
      <c r="Q1025" s="13" t="s">
        <v>3159</v>
      </c>
      <c r="R1025" s="13" t="s">
        <v>3163</v>
      </c>
      <c r="S1025" s="13" t="s">
        <v>33</v>
      </c>
      <c r="T1025" s="13" t="s">
        <v>3232</v>
      </c>
      <c r="U1025" s="13" t="s">
        <v>3232</v>
      </c>
      <c r="V1025" s="13" t="s">
        <v>3242</v>
      </c>
      <c r="W1025" s="13" t="s">
        <v>3254</v>
      </c>
      <c r="X1025" s="13" t="s">
        <v>3167</v>
      </c>
    </row>
    <row r="1026" ht="14.25" customHeight="1">
      <c r="A1026" s="13">
        <v>26044.0</v>
      </c>
      <c r="B1026" s="13" t="s">
        <v>216</v>
      </c>
      <c r="C1026" s="13">
        <v>2007.0</v>
      </c>
      <c r="D1026" s="13" t="s">
        <v>3153</v>
      </c>
      <c r="E1026" s="13" t="s">
        <v>3179</v>
      </c>
      <c r="F1026" s="13" t="s">
        <v>3211</v>
      </c>
      <c r="G1026" s="13" t="s">
        <v>3187</v>
      </c>
      <c r="H1026" s="13">
        <v>9.0</v>
      </c>
      <c r="I1026" s="13" t="s">
        <v>3261</v>
      </c>
      <c r="J1026" s="13" t="s">
        <v>3412</v>
      </c>
      <c r="K1026" s="13" t="s">
        <v>3208</v>
      </c>
      <c r="L1026" s="13" t="s">
        <v>3177</v>
      </c>
      <c r="M1026" s="13" t="s">
        <v>3342</v>
      </c>
      <c r="N1026" s="13">
        <v>1.0</v>
      </c>
      <c r="O1026" s="13" t="s">
        <v>3162</v>
      </c>
      <c r="P1026" s="13" t="s">
        <v>33</v>
      </c>
      <c r="Q1026" s="13" t="s">
        <v>3208</v>
      </c>
      <c r="R1026" s="13" t="s">
        <v>3163</v>
      </c>
      <c r="S1026" s="13" t="s">
        <v>33</v>
      </c>
      <c r="T1026" s="13" t="s">
        <v>3197</v>
      </c>
      <c r="U1026" s="13" t="s">
        <v>3197</v>
      </c>
      <c r="V1026" s="13" t="s">
        <v>3166</v>
      </c>
      <c r="W1026" s="13" t="s">
        <v>3167</v>
      </c>
      <c r="X1026" s="13" t="s">
        <v>3255</v>
      </c>
    </row>
    <row r="1027" ht="14.25" customHeight="1">
      <c r="A1027" s="13">
        <v>26047.0</v>
      </c>
      <c r="B1027" s="13" t="s">
        <v>218</v>
      </c>
      <c r="C1027" s="13">
        <v>2007.0</v>
      </c>
      <c r="D1027" s="13" t="s">
        <v>3153</v>
      </c>
      <c r="E1027" s="13" t="s">
        <v>3169</v>
      </c>
      <c r="F1027" s="13" t="s">
        <v>3155</v>
      </c>
      <c r="G1027" s="13" t="s">
        <v>3156</v>
      </c>
      <c r="H1027" s="13" t="s">
        <v>33</v>
      </c>
      <c r="I1027" s="13" t="s">
        <v>3171</v>
      </c>
      <c r="J1027" s="13" t="s">
        <v>3704</v>
      </c>
      <c r="K1027" s="13" t="s">
        <v>4355</v>
      </c>
      <c r="L1027" s="13" t="s">
        <v>3177</v>
      </c>
      <c r="M1027" s="13" t="s">
        <v>4422</v>
      </c>
      <c r="N1027" s="13">
        <v>3.0</v>
      </c>
      <c r="O1027" s="13" t="s">
        <v>3162</v>
      </c>
      <c r="P1027" s="13" t="s">
        <v>4423</v>
      </c>
      <c r="Q1027" s="13" t="s">
        <v>3173</v>
      </c>
      <c r="R1027" s="13" t="s">
        <v>3163</v>
      </c>
      <c r="S1027" s="13" t="s">
        <v>33</v>
      </c>
      <c r="T1027" s="13" t="s">
        <v>3164</v>
      </c>
      <c r="U1027" s="13" t="s">
        <v>3215</v>
      </c>
      <c r="V1027" s="13" t="s">
        <v>3242</v>
      </c>
      <c r="W1027" s="13" t="s">
        <v>3377</v>
      </c>
      <c r="X1027" s="13" t="s">
        <v>3167</v>
      </c>
    </row>
    <row r="1028" ht="14.25" customHeight="1">
      <c r="A1028" s="13">
        <v>26049.0</v>
      </c>
      <c r="B1028" s="13" t="s">
        <v>1448</v>
      </c>
      <c r="C1028" s="13">
        <v>2018.0</v>
      </c>
      <c r="D1028" s="13" t="s">
        <v>3153</v>
      </c>
      <c r="E1028" s="13" t="s">
        <v>3169</v>
      </c>
      <c r="F1028" s="13" t="s">
        <v>3155</v>
      </c>
      <c r="G1028" s="13" t="s">
        <v>3156</v>
      </c>
      <c r="H1028" s="13" t="s">
        <v>3167</v>
      </c>
      <c r="I1028" s="13" t="s">
        <v>3203</v>
      </c>
      <c r="J1028" s="13" t="s">
        <v>3204</v>
      </c>
      <c r="K1028" s="13" t="s">
        <v>3333</v>
      </c>
      <c r="L1028" s="13" t="s">
        <v>3177</v>
      </c>
      <c r="M1028" s="13" t="s">
        <v>3161</v>
      </c>
      <c r="N1028" s="13">
        <v>1.0</v>
      </c>
      <c r="O1028" s="13" t="s">
        <v>3162</v>
      </c>
      <c r="P1028" s="13" t="s">
        <v>3167</v>
      </c>
      <c r="Q1028" s="13" t="s">
        <v>3173</v>
      </c>
      <c r="R1028" s="13" t="s">
        <v>3260</v>
      </c>
      <c r="S1028" s="13" t="s">
        <v>33</v>
      </c>
      <c r="T1028" s="13" t="s">
        <v>3232</v>
      </c>
      <c r="U1028" s="13" t="s">
        <v>3232</v>
      </c>
      <c r="V1028" s="13" t="s">
        <v>3166</v>
      </c>
      <c r="W1028" s="13" t="s">
        <v>3167</v>
      </c>
      <c r="X1028" s="13" t="s">
        <v>3216</v>
      </c>
    </row>
    <row r="1029" ht="14.25" customHeight="1">
      <c r="A1029" s="13">
        <v>26050.0</v>
      </c>
      <c r="B1029" s="13" t="s">
        <v>293</v>
      </c>
      <c r="C1029" s="13">
        <v>2018.0</v>
      </c>
      <c r="D1029" s="13" t="s">
        <v>3153</v>
      </c>
      <c r="E1029" s="13" t="s">
        <v>3169</v>
      </c>
      <c r="F1029" s="13" t="s">
        <v>3192</v>
      </c>
      <c r="G1029" s="13" t="s">
        <v>3202</v>
      </c>
      <c r="H1029" s="13">
        <v>1.0</v>
      </c>
      <c r="I1029" s="13" t="s">
        <v>3222</v>
      </c>
      <c r="J1029" s="13" t="s">
        <v>3182</v>
      </c>
      <c r="K1029" s="13" t="s">
        <v>3208</v>
      </c>
      <c r="L1029" s="13" t="s">
        <v>3160</v>
      </c>
      <c r="M1029" s="13" t="s">
        <v>4424</v>
      </c>
      <c r="N1029" s="13">
        <v>5.0</v>
      </c>
      <c r="O1029" s="13" t="s">
        <v>3162</v>
      </c>
      <c r="P1029" s="13" t="s">
        <v>3167</v>
      </c>
      <c r="Q1029" s="13" t="s">
        <v>3173</v>
      </c>
      <c r="R1029" s="13" t="s">
        <v>3231</v>
      </c>
      <c r="S1029" s="13" t="s">
        <v>33</v>
      </c>
      <c r="T1029" s="13" t="s">
        <v>3164</v>
      </c>
      <c r="U1029" s="13" t="s">
        <v>3164</v>
      </c>
      <c r="V1029" s="13" t="s">
        <v>3166</v>
      </c>
      <c r="W1029" s="13" t="s">
        <v>3167</v>
      </c>
      <c r="X1029" s="13" t="s">
        <v>3216</v>
      </c>
    </row>
    <row r="1030" ht="14.25" customHeight="1">
      <c r="A1030" s="13" t="s">
        <v>2508</v>
      </c>
      <c r="B1030" s="13" t="s">
        <v>2509</v>
      </c>
      <c r="C1030" s="13">
        <v>2019.0</v>
      </c>
      <c r="D1030" s="13" t="s">
        <v>3153</v>
      </c>
      <c r="E1030" s="13" t="s">
        <v>3169</v>
      </c>
      <c r="F1030" s="13" t="s">
        <v>3217</v>
      </c>
      <c r="G1030" s="13" t="s">
        <v>3156</v>
      </c>
      <c r="H1030" s="13" t="s">
        <v>33</v>
      </c>
      <c r="I1030" s="13" t="s">
        <v>3167</v>
      </c>
      <c r="J1030" s="13" t="s">
        <v>3167</v>
      </c>
      <c r="K1030" s="13" t="s">
        <v>3183</v>
      </c>
      <c r="L1030" s="13" t="s">
        <v>3177</v>
      </c>
      <c r="M1030" s="13" t="s">
        <v>3391</v>
      </c>
      <c r="N1030" s="13">
        <v>1.0</v>
      </c>
      <c r="O1030" s="13" t="s">
        <v>3162</v>
      </c>
      <c r="P1030" s="13" t="s">
        <v>3689</v>
      </c>
      <c r="Q1030" s="13" t="s">
        <v>3183</v>
      </c>
      <c r="R1030" s="13" t="s">
        <v>3163</v>
      </c>
      <c r="S1030" s="13" t="s">
        <v>4425</v>
      </c>
      <c r="T1030" s="13" t="s">
        <v>3164</v>
      </c>
      <c r="U1030" s="13" t="s">
        <v>3164</v>
      </c>
      <c r="V1030" s="13" t="s">
        <v>3166</v>
      </c>
      <c r="W1030" s="13" t="s">
        <v>3167</v>
      </c>
      <c r="X1030" s="13" t="s">
        <v>3178</v>
      </c>
    </row>
    <row r="1031" ht="14.25" customHeight="1">
      <c r="A1031" s="13">
        <v>26053.0</v>
      </c>
      <c r="B1031" s="13" t="s">
        <v>2480</v>
      </c>
      <c r="C1031" s="13">
        <v>2018.0</v>
      </c>
      <c r="D1031" s="13" t="s">
        <v>3153</v>
      </c>
      <c r="E1031" s="13" t="s">
        <v>3179</v>
      </c>
      <c r="F1031" s="13" t="s">
        <v>3192</v>
      </c>
      <c r="G1031" s="13" t="s">
        <v>33</v>
      </c>
      <c r="H1031" s="13" t="s">
        <v>33</v>
      </c>
      <c r="I1031" s="13" t="s">
        <v>3527</v>
      </c>
      <c r="J1031" s="13" t="s">
        <v>3229</v>
      </c>
      <c r="K1031" s="13" t="s">
        <v>3183</v>
      </c>
      <c r="L1031" s="13" t="s">
        <v>3177</v>
      </c>
      <c r="M1031" s="13" t="s">
        <v>3184</v>
      </c>
      <c r="N1031" s="13">
        <v>1.0</v>
      </c>
      <c r="O1031" s="13" t="s">
        <v>3162</v>
      </c>
      <c r="P1031" s="13" t="s">
        <v>4426</v>
      </c>
      <c r="Q1031" s="13" t="s">
        <v>3159</v>
      </c>
      <c r="R1031" s="13" t="s">
        <v>3163</v>
      </c>
      <c r="S1031" s="13" t="s">
        <v>33</v>
      </c>
      <c r="T1031" s="13" t="s">
        <v>3232</v>
      </c>
      <c r="U1031" s="13" t="s">
        <v>3232</v>
      </c>
      <c r="V1031" s="13" t="s">
        <v>3166</v>
      </c>
      <c r="W1031" s="13" t="s">
        <v>3167</v>
      </c>
      <c r="X1031" s="13" t="s">
        <v>3224</v>
      </c>
    </row>
    <row r="1032" ht="14.25" customHeight="1">
      <c r="A1032" s="13">
        <v>26054.0</v>
      </c>
      <c r="B1032" s="13" t="s">
        <v>1592</v>
      </c>
      <c r="C1032" s="13">
        <v>2013.0</v>
      </c>
      <c r="D1032" s="13" t="s">
        <v>3153</v>
      </c>
      <c r="E1032" s="13" t="s">
        <v>3169</v>
      </c>
      <c r="F1032" s="13" t="s">
        <v>3192</v>
      </c>
      <c r="G1032" s="13" t="s">
        <v>3156</v>
      </c>
      <c r="H1032" s="13" t="s">
        <v>33</v>
      </c>
      <c r="I1032" s="13" t="s">
        <v>3188</v>
      </c>
      <c r="J1032" s="13" t="s">
        <v>3233</v>
      </c>
      <c r="K1032" s="13" t="s">
        <v>3159</v>
      </c>
      <c r="L1032" s="13" t="s">
        <v>3160</v>
      </c>
      <c r="M1032" s="13" t="s">
        <v>3426</v>
      </c>
      <c r="N1032" s="13">
        <v>1.0</v>
      </c>
      <c r="O1032" s="13" t="s">
        <v>3162</v>
      </c>
      <c r="P1032" s="13" t="s">
        <v>33</v>
      </c>
      <c r="Q1032" s="13" t="s">
        <v>3335</v>
      </c>
      <c r="R1032" s="13" t="s">
        <v>3163</v>
      </c>
      <c r="S1032" s="13" t="s">
        <v>3323</v>
      </c>
      <c r="T1032" s="13" t="s">
        <v>3165</v>
      </c>
      <c r="U1032" s="13" t="s">
        <v>3165</v>
      </c>
      <c r="V1032" s="13" t="s">
        <v>3166</v>
      </c>
      <c r="W1032" s="13" t="s">
        <v>3167</v>
      </c>
      <c r="X1032" s="13" t="s">
        <v>3168</v>
      </c>
    </row>
    <row r="1033" ht="14.25" customHeight="1">
      <c r="A1033" s="13">
        <v>26057.0</v>
      </c>
      <c r="B1033" s="13" t="s">
        <v>62</v>
      </c>
      <c r="C1033" s="13">
        <v>2019.0</v>
      </c>
      <c r="D1033" s="13" t="s">
        <v>3153</v>
      </c>
      <c r="E1033" s="13" t="s">
        <v>3169</v>
      </c>
      <c r="F1033" s="13" t="s">
        <v>3155</v>
      </c>
      <c r="G1033" s="13" t="s">
        <v>3156</v>
      </c>
      <c r="H1033" s="13" t="s">
        <v>33</v>
      </c>
      <c r="I1033" s="13" t="s">
        <v>3203</v>
      </c>
      <c r="J1033" s="13" t="s">
        <v>3204</v>
      </c>
      <c r="K1033" s="13" t="s">
        <v>3173</v>
      </c>
      <c r="L1033" s="13" t="s">
        <v>3160</v>
      </c>
      <c r="M1033" s="13" t="s">
        <v>4427</v>
      </c>
      <c r="N1033" s="13">
        <v>6.0</v>
      </c>
      <c r="O1033" s="13" t="s">
        <v>3162</v>
      </c>
      <c r="P1033" s="13" t="s">
        <v>33</v>
      </c>
      <c r="Q1033" s="13" t="s">
        <v>3173</v>
      </c>
      <c r="R1033" s="13" t="s">
        <v>3177</v>
      </c>
      <c r="S1033" s="13" t="s">
        <v>33</v>
      </c>
      <c r="T1033" s="13" t="s">
        <v>3228</v>
      </c>
      <c r="U1033" s="13" t="s">
        <v>3228</v>
      </c>
      <c r="V1033" s="13" t="s">
        <v>3242</v>
      </c>
      <c r="W1033" s="13" t="s">
        <v>3254</v>
      </c>
      <c r="X1033" s="13" t="s">
        <v>3167</v>
      </c>
    </row>
    <row r="1034" ht="14.25" customHeight="1">
      <c r="A1034" s="13">
        <v>26060.0</v>
      </c>
      <c r="B1034" s="13" t="s">
        <v>861</v>
      </c>
      <c r="C1034" s="13">
        <v>2016.0</v>
      </c>
      <c r="D1034" s="13" t="s">
        <v>3153</v>
      </c>
      <c r="E1034" s="13" t="s">
        <v>3169</v>
      </c>
      <c r="F1034" s="13" t="s">
        <v>3155</v>
      </c>
      <c r="G1034" s="13" t="s">
        <v>3180</v>
      </c>
      <c r="H1034" s="13">
        <v>0.5</v>
      </c>
      <c r="I1034" s="13" t="s">
        <v>3188</v>
      </c>
      <c r="J1034" s="13" t="s">
        <v>3432</v>
      </c>
      <c r="K1034" s="13" t="s">
        <v>3183</v>
      </c>
      <c r="L1034" s="13" t="s">
        <v>3160</v>
      </c>
      <c r="M1034" s="13" t="s">
        <v>3213</v>
      </c>
      <c r="N1034" s="13">
        <v>1.0</v>
      </c>
      <c r="O1034" s="13" t="s">
        <v>3162</v>
      </c>
      <c r="P1034" s="13" t="s">
        <v>3724</v>
      </c>
      <c r="Q1034" s="13" t="s">
        <v>3183</v>
      </c>
      <c r="R1034" s="13" t="s">
        <v>3163</v>
      </c>
      <c r="S1034" s="13" t="s">
        <v>3689</v>
      </c>
      <c r="T1034" s="13" t="s">
        <v>3165</v>
      </c>
      <c r="U1034" s="13" t="s">
        <v>3165</v>
      </c>
      <c r="V1034" s="13" t="s">
        <v>3166</v>
      </c>
      <c r="W1034" s="13" t="s">
        <v>3167</v>
      </c>
      <c r="X1034" s="13" t="s">
        <v>3216</v>
      </c>
    </row>
    <row r="1035" ht="14.25" customHeight="1">
      <c r="A1035" s="13">
        <v>26063.0</v>
      </c>
      <c r="B1035" s="13" t="s">
        <v>966</v>
      </c>
      <c r="C1035" s="13">
        <v>2020.0</v>
      </c>
      <c r="D1035" s="13" t="s">
        <v>3153</v>
      </c>
      <c r="E1035" s="13" t="s">
        <v>3169</v>
      </c>
      <c r="F1035" s="13" t="s">
        <v>3211</v>
      </c>
      <c r="G1035" s="13" t="s">
        <v>3202</v>
      </c>
      <c r="H1035" s="13">
        <v>30.0</v>
      </c>
      <c r="I1035" s="13" t="s">
        <v>3188</v>
      </c>
      <c r="J1035" s="13" t="s">
        <v>4428</v>
      </c>
      <c r="K1035" s="13" t="s">
        <v>3208</v>
      </c>
      <c r="L1035" s="13" t="s">
        <v>3160</v>
      </c>
      <c r="M1035" s="13" t="s">
        <v>4265</v>
      </c>
      <c r="N1035" s="13">
        <v>3.0</v>
      </c>
      <c r="O1035" s="13" t="s">
        <v>3162</v>
      </c>
      <c r="P1035" s="13" t="s">
        <v>33</v>
      </c>
      <c r="Q1035" s="13" t="s">
        <v>3208</v>
      </c>
      <c r="R1035" s="13" t="s">
        <v>3163</v>
      </c>
      <c r="S1035" s="13" t="s">
        <v>33</v>
      </c>
      <c r="T1035" s="13" t="s">
        <v>3247</v>
      </c>
      <c r="U1035" s="13" t="s">
        <v>3247</v>
      </c>
      <c r="V1035" s="13" t="s">
        <v>3242</v>
      </c>
      <c r="W1035" s="13" t="s">
        <v>3572</v>
      </c>
      <c r="X1035" s="13" t="s">
        <v>3167</v>
      </c>
    </row>
    <row r="1036" ht="14.25" customHeight="1">
      <c r="A1036" s="13" t="s">
        <v>2847</v>
      </c>
      <c r="B1036" s="13" t="s">
        <v>1238</v>
      </c>
      <c r="C1036" s="13">
        <v>2016.0</v>
      </c>
      <c r="D1036" s="13" t="s">
        <v>3153</v>
      </c>
      <c r="E1036" s="13" t="s">
        <v>3169</v>
      </c>
      <c r="F1036" s="13" t="s">
        <v>3211</v>
      </c>
      <c r="G1036" s="13" t="s">
        <v>33</v>
      </c>
      <c r="H1036" s="13" t="s">
        <v>33</v>
      </c>
      <c r="I1036" s="13" t="s">
        <v>3188</v>
      </c>
      <c r="J1036" s="13" t="s">
        <v>4429</v>
      </c>
      <c r="K1036" s="13" t="s">
        <v>3173</v>
      </c>
      <c r="L1036" s="13" t="s">
        <v>3160</v>
      </c>
      <c r="M1036" s="13" t="s">
        <v>3230</v>
      </c>
      <c r="N1036" s="13">
        <v>1.0</v>
      </c>
      <c r="O1036" s="13" t="s">
        <v>3162</v>
      </c>
      <c r="P1036" s="13" t="s">
        <v>33</v>
      </c>
      <c r="Q1036" s="13" t="s">
        <v>3173</v>
      </c>
      <c r="R1036" s="13" t="s">
        <v>3163</v>
      </c>
      <c r="S1036" s="13" t="s">
        <v>33</v>
      </c>
      <c r="T1036" s="13" t="s">
        <v>3164</v>
      </c>
      <c r="U1036" s="13" t="s">
        <v>3164</v>
      </c>
      <c r="V1036" s="13" t="s">
        <v>3166</v>
      </c>
      <c r="W1036" s="13" t="s">
        <v>3167</v>
      </c>
      <c r="X1036" s="13" t="s">
        <v>3178</v>
      </c>
    </row>
    <row r="1037" ht="14.25" customHeight="1">
      <c r="A1037" s="13" t="s">
        <v>3016</v>
      </c>
      <c r="B1037" s="13" t="s">
        <v>1238</v>
      </c>
      <c r="C1037" s="13">
        <v>2017.0</v>
      </c>
      <c r="D1037" s="13" t="s">
        <v>3153</v>
      </c>
      <c r="E1037" s="13" t="s">
        <v>3169</v>
      </c>
      <c r="F1037" s="13" t="s">
        <v>3192</v>
      </c>
      <c r="G1037" s="13" t="s">
        <v>3156</v>
      </c>
      <c r="H1037" s="13" t="s">
        <v>33</v>
      </c>
      <c r="I1037" s="13" t="s">
        <v>3188</v>
      </c>
      <c r="J1037" s="13" t="s">
        <v>3189</v>
      </c>
      <c r="K1037" s="13" t="s">
        <v>3186</v>
      </c>
      <c r="L1037" s="13" t="s">
        <v>3177</v>
      </c>
      <c r="M1037" s="13" t="s">
        <v>4430</v>
      </c>
      <c r="N1037" s="13">
        <v>3.0</v>
      </c>
      <c r="O1037" s="13" t="s">
        <v>3175</v>
      </c>
      <c r="P1037" s="13" t="s">
        <v>33</v>
      </c>
      <c r="Q1037" s="13" t="s">
        <v>3379</v>
      </c>
      <c r="R1037" s="13" t="s">
        <v>3163</v>
      </c>
      <c r="S1037" s="13" t="s">
        <v>4431</v>
      </c>
      <c r="T1037" s="13" t="s">
        <v>3197</v>
      </c>
      <c r="U1037" s="13" t="s">
        <v>3197</v>
      </c>
      <c r="V1037" s="13" t="s">
        <v>3242</v>
      </c>
      <c r="W1037" s="13" t="s">
        <v>3248</v>
      </c>
      <c r="X1037" s="13" t="s">
        <v>3167</v>
      </c>
    </row>
    <row r="1038" ht="14.25" customHeight="1">
      <c r="A1038" s="13" t="s">
        <v>1544</v>
      </c>
      <c r="B1038" s="13" t="s">
        <v>1238</v>
      </c>
      <c r="C1038" s="13">
        <v>2014.0</v>
      </c>
      <c r="D1038" s="13" t="s">
        <v>3153</v>
      </c>
      <c r="E1038" s="13" t="s">
        <v>3179</v>
      </c>
      <c r="F1038" s="13" t="s">
        <v>3155</v>
      </c>
      <c r="G1038" s="13" t="s">
        <v>3156</v>
      </c>
      <c r="H1038" s="13" t="s">
        <v>33</v>
      </c>
      <c r="I1038" s="13" t="s">
        <v>3181</v>
      </c>
      <c r="J1038" s="13" t="s">
        <v>3423</v>
      </c>
      <c r="K1038" s="13" t="s">
        <v>3338</v>
      </c>
      <c r="L1038" s="13" t="s">
        <v>3160</v>
      </c>
      <c r="M1038" s="13" t="s">
        <v>3342</v>
      </c>
      <c r="N1038" s="13">
        <v>1.0</v>
      </c>
      <c r="O1038" s="13" t="s">
        <v>3162</v>
      </c>
      <c r="P1038" s="13" t="s">
        <v>33</v>
      </c>
      <c r="Q1038" s="13" t="s">
        <v>3338</v>
      </c>
      <c r="R1038" s="13" t="s">
        <v>3163</v>
      </c>
      <c r="S1038" s="13" t="s">
        <v>33</v>
      </c>
      <c r="T1038" s="13" t="s">
        <v>3164</v>
      </c>
      <c r="U1038" s="13" t="s">
        <v>3164</v>
      </c>
      <c r="V1038" s="13" t="s">
        <v>3166</v>
      </c>
      <c r="W1038" s="13" t="s">
        <v>3167</v>
      </c>
      <c r="X1038" s="13" t="s">
        <v>3168</v>
      </c>
    </row>
    <row r="1039" ht="14.25" customHeight="1">
      <c r="A1039" s="13" t="s">
        <v>1237</v>
      </c>
      <c r="B1039" s="13" t="s">
        <v>1238</v>
      </c>
      <c r="C1039" s="13">
        <v>2016.0</v>
      </c>
      <c r="D1039" s="13" t="s">
        <v>3153</v>
      </c>
      <c r="E1039" s="13" t="s">
        <v>3169</v>
      </c>
      <c r="F1039" s="13" t="s">
        <v>3170</v>
      </c>
      <c r="G1039" s="13" t="s">
        <v>3156</v>
      </c>
      <c r="H1039" s="13" t="s">
        <v>33</v>
      </c>
      <c r="I1039" s="13" t="s">
        <v>3222</v>
      </c>
      <c r="J1039" s="13" t="s">
        <v>3262</v>
      </c>
      <c r="K1039" s="13" t="s">
        <v>3208</v>
      </c>
      <c r="L1039" s="13" t="s">
        <v>3160</v>
      </c>
      <c r="M1039" s="13" t="s">
        <v>4432</v>
      </c>
      <c r="N1039" s="13">
        <v>2.0</v>
      </c>
      <c r="O1039" s="13" t="s">
        <v>3162</v>
      </c>
      <c r="P1039" s="13" t="s">
        <v>33</v>
      </c>
      <c r="Q1039" s="13" t="s">
        <v>3210</v>
      </c>
      <c r="R1039" s="13" t="s">
        <v>3163</v>
      </c>
      <c r="S1039" s="13" t="s">
        <v>33</v>
      </c>
      <c r="T1039" s="13" t="s">
        <v>3164</v>
      </c>
      <c r="U1039" s="13" t="s">
        <v>3164</v>
      </c>
      <c r="V1039" s="13" t="s">
        <v>3166</v>
      </c>
      <c r="W1039" s="13" t="s">
        <v>3167</v>
      </c>
      <c r="X1039" s="13" t="s">
        <v>3168</v>
      </c>
    </row>
    <row r="1040" ht="14.25" customHeight="1">
      <c r="A1040" s="13" t="s">
        <v>2098</v>
      </c>
      <c r="B1040" s="13" t="s">
        <v>2099</v>
      </c>
      <c r="C1040" s="13">
        <v>2013.0</v>
      </c>
      <c r="D1040" s="13" t="s">
        <v>3153</v>
      </c>
      <c r="E1040" s="13" t="s">
        <v>3169</v>
      </c>
      <c r="F1040" s="13" t="s">
        <v>3170</v>
      </c>
      <c r="G1040" s="13" t="s">
        <v>33</v>
      </c>
      <c r="H1040" s="13" t="s">
        <v>33</v>
      </c>
      <c r="I1040" s="13" t="s">
        <v>3188</v>
      </c>
      <c r="J1040" s="13" t="s">
        <v>3189</v>
      </c>
      <c r="K1040" s="13" t="s">
        <v>4355</v>
      </c>
      <c r="L1040" s="13" t="s">
        <v>3160</v>
      </c>
      <c r="M1040" s="13" t="s">
        <v>4433</v>
      </c>
      <c r="N1040" s="13">
        <v>4.0</v>
      </c>
      <c r="O1040" s="13" t="s">
        <v>3162</v>
      </c>
      <c r="P1040" s="13" t="s">
        <v>3724</v>
      </c>
      <c r="Q1040" s="13" t="s">
        <v>3210</v>
      </c>
      <c r="R1040" s="13" t="s">
        <v>3163</v>
      </c>
      <c r="S1040" s="13" t="s">
        <v>33</v>
      </c>
      <c r="T1040" s="13" t="s">
        <v>3195</v>
      </c>
      <c r="U1040" s="13" t="s">
        <v>3195</v>
      </c>
      <c r="V1040" s="13" t="s">
        <v>3195</v>
      </c>
      <c r="W1040" s="13" t="s">
        <v>3167</v>
      </c>
      <c r="X1040" s="13" t="s">
        <v>3167</v>
      </c>
    </row>
    <row r="1041" ht="14.25" customHeight="1">
      <c r="A1041" s="13">
        <v>26067.0</v>
      </c>
      <c r="B1041" s="13" t="s">
        <v>1396</v>
      </c>
      <c r="C1041" s="13">
        <v>2017.0</v>
      </c>
      <c r="D1041" s="13" t="s">
        <v>3153</v>
      </c>
      <c r="E1041" s="13" t="s">
        <v>3179</v>
      </c>
      <c r="F1041" s="13" t="s">
        <v>3192</v>
      </c>
      <c r="G1041" s="13" t="s">
        <v>3187</v>
      </c>
      <c r="H1041" s="13">
        <v>1.0</v>
      </c>
      <c r="I1041" s="13" t="s">
        <v>3261</v>
      </c>
      <c r="J1041" s="13" t="s">
        <v>3182</v>
      </c>
      <c r="K1041" s="13" t="s">
        <v>3381</v>
      </c>
      <c r="L1041" s="13" t="s">
        <v>3177</v>
      </c>
      <c r="M1041" s="13" t="s">
        <v>4434</v>
      </c>
      <c r="N1041" s="13">
        <v>16.0</v>
      </c>
      <c r="O1041" s="13" t="s">
        <v>3175</v>
      </c>
      <c r="P1041" s="13" t="s">
        <v>3689</v>
      </c>
      <c r="Q1041" s="13" t="s">
        <v>3183</v>
      </c>
      <c r="R1041" s="13" t="s">
        <v>3177</v>
      </c>
      <c r="S1041" s="13" t="s">
        <v>3689</v>
      </c>
      <c r="T1041" s="13" t="s">
        <v>3252</v>
      </c>
      <c r="U1041" s="13" t="s">
        <v>3252</v>
      </c>
      <c r="V1041" s="13" t="s">
        <v>3253</v>
      </c>
      <c r="W1041" s="13" t="s">
        <v>3356</v>
      </c>
      <c r="X1041" s="13" t="s">
        <v>3755</v>
      </c>
    </row>
    <row r="1042" ht="14.25" customHeight="1">
      <c r="A1042" s="13">
        <v>26068.0</v>
      </c>
      <c r="B1042" s="13" t="s">
        <v>993</v>
      </c>
      <c r="C1042" s="13">
        <v>2018.0</v>
      </c>
      <c r="D1042" s="13" t="s">
        <v>3153</v>
      </c>
      <c r="E1042" s="13" t="s">
        <v>3169</v>
      </c>
      <c r="F1042" s="13" t="s">
        <v>3170</v>
      </c>
      <c r="G1042" s="13" t="s">
        <v>3156</v>
      </c>
      <c r="H1042" s="13" t="s">
        <v>33</v>
      </c>
      <c r="I1042" s="13" t="s">
        <v>3244</v>
      </c>
      <c r="J1042" s="13" t="s">
        <v>3278</v>
      </c>
      <c r="K1042" s="13" t="s">
        <v>3159</v>
      </c>
      <c r="L1042" s="13" t="s">
        <v>3160</v>
      </c>
      <c r="M1042" s="13" t="s">
        <v>4435</v>
      </c>
      <c r="N1042" s="13">
        <v>2.0</v>
      </c>
      <c r="O1042" s="13" t="s">
        <v>3162</v>
      </c>
      <c r="P1042" s="13" t="s">
        <v>33</v>
      </c>
      <c r="Q1042" s="13" t="s">
        <v>3159</v>
      </c>
      <c r="R1042" s="13" t="s">
        <v>3177</v>
      </c>
      <c r="S1042" s="13" t="s">
        <v>33</v>
      </c>
      <c r="T1042" s="13" t="s">
        <v>3232</v>
      </c>
      <c r="U1042" s="13" t="s">
        <v>3232</v>
      </c>
      <c r="V1042" s="13" t="s">
        <v>3166</v>
      </c>
      <c r="W1042" s="13" t="s">
        <v>3167</v>
      </c>
      <c r="X1042" s="13" t="s">
        <v>3178</v>
      </c>
    </row>
    <row r="1043" ht="14.25" customHeight="1">
      <c r="A1043" s="13">
        <v>26074.0</v>
      </c>
      <c r="B1043" s="13" t="s">
        <v>729</v>
      </c>
      <c r="C1043" s="13">
        <v>2018.0</v>
      </c>
      <c r="D1043" s="13" t="s">
        <v>3153</v>
      </c>
      <c r="E1043" s="13" t="s">
        <v>3169</v>
      </c>
      <c r="F1043" s="13" t="s">
        <v>3170</v>
      </c>
      <c r="G1043" s="13" t="s">
        <v>3202</v>
      </c>
      <c r="H1043" s="13">
        <v>0.5</v>
      </c>
      <c r="I1043" s="13" t="s">
        <v>3157</v>
      </c>
      <c r="J1043" s="13" t="s">
        <v>3600</v>
      </c>
      <c r="K1043" s="13" t="s">
        <v>3208</v>
      </c>
      <c r="L1043" s="13" t="s">
        <v>3160</v>
      </c>
      <c r="M1043" s="13" t="s">
        <v>4436</v>
      </c>
      <c r="N1043" s="13">
        <v>4.0</v>
      </c>
      <c r="O1043" s="13" t="s">
        <v>3162</v>
      </c>
      <c r="P1043" s="13" t="s">
        <v>33</v>
      </c>
      <c r="Q1043" s="13" t="s">
        <v>3210</v>
      </c>
      <c r="R1043" s="13" t="s">
        <v>3163</v>
      </c>
      <c r="S1043" s="13" t="s">
        <v>33</v>
      </c>
      <c r="T1043" s="13" t="s">
        <v>3195</v>
      </c>
      <c r="U1043" s="13" t="s">
        <v>3195</v>
      </c>
      <c r="V1043" s="13" t="s">
        <v>3195</v>
      </c>
      <c r="W1043" s="13" t="s">
        <v>3167</v>
      </c>
      <c r="X1043" s="13" t="s">
        <v>3167</v>
      </c>
    </row>
    <row r="1044" ht="14.25" customHeight="1">
      <c r="A1044" s="13">
        <v>26076.0</v>
      </c>
      <c r="B1044" s="13" t="s">
        <v>1594</v>
      </c>
      <c r="C1044" s="13">
        <v>2016.0</v>
      </c>
      <c r="D1044" s="13" t="s">
        <v>3153</v>
      </c>
      <c r="E1044" s="13" t="s">
        <v>3169</v>
      </c>
      <c r="F1044" s="13" t="s">
        <v>3155</v>
      </c>
      <c r="G1044" s="13" t="s">
        <v>3180</v>
      </c>
      <c r="H1044" s="13">
        <v>0.5</v>
      </c>
      <c r="I1044" s="13" t="s">
        <v>3188</v>
      </c>
      <c r="J1044" s="13" t="s">
        <v>3432</v>
      </c>
      <c r="K1044" s="13" t="s">
        <v>3183</v>
      </c>
      <c r="L1044" s="13" t="s">
        <v>3177</v>
      </c>
      <c r="M1044" s="13" t="s">
        <v>3213</v>
      </c>
      <c r="N1044" s="13">
        <v>1.0</v>
      </c>
      <c r="O1044" s="13" t="s">
        <v>3162</v>
      </c>
      <c r="P1044" s="13" t="s">
        <v>4437</v>
      </c>
      <c r="Q1044" s="13" t="s">
        <v>3173</v>
      </c>
      <c r="R1044" s="13" t="s">
        <v>3163</v>
      </c>
      <c r="S1044" s="13" t="s">
        <v>33</v>
      </c>
      <c r="T1044" s="13" t="s">
        <v>3232</v>
      </c>
      <c r="U1044" s="13" t="s">
        <v>3247</v>
      </c>
      <c r="V1044" s="13" t="s">
        <v>3242</v>
      </c>
      <c r="W1044" s="13" t="s">
        <v>3496</v>
      </c>
      <c r="X1044" s="13" t="s">
        <v>3167</v>
      </c>
    </row>
    <row r="1045" ht="14.25" customHeight="1">
      <c r="A1045" s="13">
        <v>26078.0</v>
      </c>
      <c r="B1045" s="13" t="s">
        <v>1594</v>
      </c>
      <c r="C1045" s="13">
        <v>2019.0</v>
      </c>
      <c r="D1045" s="13" t="s">
        <v>3153</v>
      </c>
      <c r="E1045" s="13" t="s">
        <v>3169</v>
      </c>
      <c r="F1045" s="13" t="s">
        <v>3192</v>
      </c>
      <c r="G1045" s="13" t="s">
        <v>3202</v>
      </c>
      <c r="H1045" s="13">
        <v>30.0</v>
      </c>
      <c r="I1045" s="13" t="s">
        <v>3188</v>
      </c>
      <c r="J1045" s="13" t="s">
        <v>3432</v>
      </c>
      <c r="K1045" s="13" t="s">
        <v>3208</v>
      </c>
      <c r="L1045" s="13" t="s">
        <v>3160</v>
      </c>
      <c r="M1045" s="13" t="s">
        <v>4438</v>
      </c>
      <c r="N1045" s="13">
        <v>3.0</v>
      </c>
      <c r="O1045" s="13" t="s">
        <v>3162</v>
      </c>
      <c r="P1045" s="13" t="s">
        <v>33</v>
      </c>
      <c r="Q1045" s="13" t="s">
        <v>3208</v>
      </c>
      <c r="R1045" s="13" t="s">
        <v>3163</v>
      </c>
      <c r="S1045" s="13" t="s">
        <v>33</v>
      </c>
      <c r="T1045" s="13" t="s">
        <v>3247</v>
      </c>
      <c r="U1045" s="13" t="s">
        <v>3247</v>
      </c>
      <c r="V1045" s="13" t="s">
        <v>3242</v>
      </c>
      <c r="W1045" s="13" t="s">
        <v>3572</v>
      </c>
      <c r="X1045" s="13" t="s">
        <v>3167</v>
      </c>
    </row>
    <row r="1046" ht="14.25" customHeight="1">
      <c r="A1046" s="13">
        <v>26080.0</v>
      </c>
      <c r="B1046" s="13" t="s">
        <v>334</v>
      </c>
      <c r="C1046" s="13">
        <v>2011.0</v>
      </c>
      <c r="D1046" s="13" t="s">
        <v>3153</v>
      </c>
      <c r="E1046" s="13" t="s">
        <v>3169</v>
      </c>
      <c r="F1046" s="13" t="s">
        <v>3284</v>
      </c>
      <c r="G1046" s="13" t="s">
        <v>3187</v>
      </c>
      <c r="H1046" s="13">
        <v>2500.0</v>
      </c>
      <c r="I1046" s="13" t="s">
        <v>4439</v>
      </c>
      <c r="J1046" s="13" t="s">
        <v>3167</v>
      </c>
      <c r="K1046" s="13" t="s">
        <v>4440</v>
      </c>
      <c r="L1046" s="13" t="s">
        <v>3160</v>
      </c>
      <c r="M1046" s="13" t="s">
        <v>4132</v>
      </c>
      <c r="N1046" s="13">
        <v>9.0</v>
      </c>
      <c r="O1046" s="13" t="s">
        <v>3175</v>
      </c>
      <c r="P1046" s="13" t="s">
        <v>4441</v>
      </c>
      <c r="Q1046" s="13" t="s">
        <v>3173</v>
      </c>
      <c r="R1046" s="13" t="s">
        <v>3163</v>
      </c>
      <c r="S1046" s="13" t="s">
        <v>33</v>
      </c>
      <c r="T1046" s="13" t="s">
        <v>3164</v>
      </c>
      <c r="U1046" s="13" t="s">
        <v>3232</v>
      </c>
      <c r="V1046" s="13" t="s">
        <v>3166</v>
      </c>
      <c r="W1046" s="13" t="s">
        <v>3167</v>
      </c>
      <c r="X1046" s="13" t="s">
        <v>3178</v>
      </c>
    </row>
    <row r="1047" ht="14.25" customHeight="1">
      <c r="A1047" s="13">
        <v>26081.0</v>
      </c>
      <c r="B1047" s="13" t="s">
        <v>2706</v>
      </c>
      <c r="C1047" s="13">
        <v>2020.0</v>
      </c>
      <c r="D1047" s="13" t="s">
        <v>3153</v>
      </c>
      <c r="E1047" s="13" t="s">
        <v>3169</v>
      </c>
      <c r="F1047" s="13" t="s">
        <v>3170</v>
      </c>
      <c r="G1047" s="13" t="s">
        <v>3156</v>
      </c>
      <c r="H1047" s="13" t="s">
        <v>3202</v>
      </c>
      <c r="I1047" s="13" t="s">
        <v>3188</v>
      </c>
      <c r="J1047" s="13" t="s">
        <v>3207</v>
      </c>
      <c r="K1047" s="13" t="s">
        <v>3290</v>
      </c>
      <c r="L1047" s="13" t="s">
        <v>3160</v>
      </c>
      <c r="M1047" s="13" t="s">
        <v>4181</v>
      </c>
      <c r="N1047" s="13">
        <v>3.0</v>
      </c>
      <c r="O1047" s="13" t="s">
        <v>3267</v>
      </c>
      <c r="P1047" s="13" t="s">
        <v>3167</v>
      </c>
      <c r="Q1047" s="13" t="s">
        <v>3173</v>
      </c>
      <c r="R1047" s="13" t="s">
        <v>3231</v>
      </c>
      <c r="S1047" s="13" t="s">
        <v>33</v>
      </c>
      <c r="T1047" s="13" t="s">
        <v>3164</v>
      </c>
      <c r="U1047" s="13" t="s">
        <v>3164</v>
      </c>
      <c r="V1047" s="13" t="s">
        <v>3166</v>
      </c>
      <c r="W1047" s="13" t="s">
        <v>3167</v>
      </c>
      <c r="X1047" s="13" t="s">
        <v>3178</v>
      </c>
    </row>
    <row r="1048" ht="14.25" customHeight="1">
      <c r="A1048" s="13">
        <v>26084.0</v>
      </c>
      <c r="B1048" s="13" t="s">
        <v>2247</v>
      </c>
      <c r="C1048" s="13">
        <v>2017.0</v>
      </c>
      <c r="D1048" s="13" t="s">
        <v>3153</v>
      </c>
      <c r="E1048" s="13" t="s">
        <v>3154</v>
      </c>
      <c r="F1048" s="13" t="s">
        <v>3170</v>
      </c>
      <c r="G1048" s="13" t="s">
        <v>3156</v>
      </c>
      <c r="H1048" s="13" t="s">
        <v>33</v>
      </c>
      <c r="I1048" s="13" t="s">
        <v>3188</v>
      </c>
      <c r="J1048" s="13" t="s">
        <v>3432</v>
      </c>
      <c r="K1048" s="13" t="s">
        <v>3159</v>
      </c>
      <c r="L1048" s="13" t="s">
        <v>3160</v>
      </c>
      <c r="M1048" s="13" t="s">
        <v>3291</v>
      </c>
      <c r="N1048" s="13">
        <v>1.0</v>
      </c>
      <c r="O1048" s="13" t="s">
        <v>3162</v>
      </c>
      <c r="P1048" s="13" t="s">
        <v>33</v>
      </c>
      <c r="Q1048" s="13" t="s">
        <v>3159</v>
      </c>
      <c r="R1048" s="13" t="s">
        <v>3163</v>
      </c>
      <c r="S1048" s="13" t="s">
        <v>33</v>
      </c>
      <c r="T1048" s="13" t="s">
        <v>3247</v>
      </c>
      <c r="U1048" s="13" t="s">
        <v>3247</v>
      </c>
      <c r="V1048" s="13" t="s">
        <v>3166</v>
      </c>
      <c r="W1048" s="13" t="s">
        <v>3167</v>
      </c>
      <c r="X1048" s="13" t="s">
        <v>4442</v>
      </c>
    </row>
    <row r="1049" ht="14.25" customHeight="1">
      <c r="A1049" s="13">
        <v>26086.0</v>
      </c>
      <c r="B1049" s="13" t="s">
        <v>2247</v>
      </c>
      <c r="C1049" s="13">
        <v>2019.0</v>
      </c>
      <c r="D1049" s="13" t="s">
        <v>3153</v>
      </c>
      <c r="E1049" s="13" t="s">
        <v>3169</v>
      </c>
      <c r="F1049" s="13" t="s">
        <v>3192</v>
      </c>
      <c r="G1049" s="13" t="s">
        <v>3202</v>
      </c>
      <c r="H1049" s="13">
        <v>30.0</v>
      </c>
      <c r="I1049" s="13" t="s">
        <v>3188</v>
      </c>
      <c r="J1049" s="13" t="s">
        <v>3432</v>
      </c>
      <c r="K1049" s="13" t="s">
        <v>3208</v>
      </c>
      <c r="L1049" s="13" t="s">
        <v>3160</v>
      </c>
      <c r="M1049" s="13" t="s">
        <v>4443</v>
      </c>
      <c r="N1049" s="13">
        <v>3.0</v>
      </c>
      <c r="O1049" s="13" t="s">
        <v>3162</v>
      </c>
      <c r="P1049" s="13" t="s">
        <v>33</v>
      </c>
      <c r="Q1049" s="13" t="s">
        <v>3210</v>
      </c>
      <c r="R1049" s="13" t="s">
        <v>3163</v>
      </c>
      <c r="S1049" s="13" t="s">
        <v>33</v>
      </c>
      <c r="T1049" s="13" t="s">
        <v>3195</v>
      </c>
      <c r="U1049" s="13" t="s">
        <v>3195</v>
      </c>
      <c r="V1049" s="13" t="s">
        <v>3195</v>
      </c>
      <c r="W1049" s="13" t="s">
        <v>3167</v>
      </c>
      <c r="X1049" s="13" t="s">
        <v>3167</v>
      </c>
    </row>
    <row r="1050" ht="14.25" customHeight="1">
      <c r="A1050" s="13">
        <v>26089.0</v>
      </c>
      <c r="B1050" s="13" t="s">
        <v>418</v>
      </c>
      <c r="C1050" s="13">
        <v>2015.0</v>
      </c>
      <c r="D1050" s="13" t="s">
        <v>3153</v>
      </c>
      <c r="E1050" s="13" t="s">
        <v>3169</v>
      </c>
      <c r="F1050" s="13" t="s">
        <v>3192</v>
      </c>
      <c r="G1050" s="13" t="s">
        <v>3202</v>
      </c>
      <c r="H1050" s="13">
        <v>30.0</v>
      </c>
      <c r="I1050" s="13" t="s">
        <v>3188</v>
      </c>
      <c r="J1050" s="13" t="s">
        <v>3432</v>
      </c>
      <c r="K1050" s="13" t="s">
        <v>3208</v>
      </c>
      <c r="L1050" s="13" t="s">
        <v>3160</v>
      </c>
      <c r="M1050" s="13" t="s">
        <v>4444</v>
      </c>
      <c r="N1050" s="13">
        <v>4.0</v>
      </c>
      <c r="O1050" s="13" t="s">
        <v>3175</v>
      </c>
      <c r="P1050" s="13" t="s">
        <v>33</v>
      </c>
      <c r="Q1050" s="13" t="s">
        <v>3205</v>
      </c>
      <c r="R1050" s="13" t="s">
        <v>3163</v>
      </c>
      <c r="S1050" s="13" t="s">
        <v>3449</v>
      </c>
      <c r="T1050" s="13" t="s">
        <v>3195</v>
      </c>
      <c r="U1050" s="13" t="s">
        <v>3195</v>
      </c>
      <c r="V1050" s="13" t="s">
        <v>3195</v>
      </c>
      <c r="W1050" s="13" t="s">
        <v>3167</v>
      </c>
      <c r="X1050" s="13" t="s">
        <v>3167</v>
      </c>
    </row>
    <row r="1051" ht="14.25" customHeight="1">
      <c r="A1051" s="13">
        <v>26090.0</v>
      </c>
      <c r="B1051" s="13" t="s">
        <v>2193</v>
      </c>
      <c r="C1051" s="13">
        <v>2010.0</v>
      </c>
      <c r="D1051" s="13" t="s">
        <v>3153</v>
      </c>
      <c r="E1051" s="13" t="s">
        <v>3179</v>
      </c>
      <c r="F1051" s="13" t="s">
        <v>3217</v>
      </c>
      <c r="G1051" s="13" t="s">
        <v>3156</v>
      </c>
      <c r="H1051" s="13" t="s">
        <v>33</v>
      </c>
      <c r="I1051" s="13" t="s">
        <v>3167</v>
      </c>
      <c r="J1051" s="13" t="s">
        <v>3167</v>
      </c>
      <c r="K1051" s="13" t="s">
        <v>3183</v>
      </c>
      <c r="L1051" s="13" t="s">
        <v>3160</v>
      </c>
      <c r="M1051" s="13" t="s">
        <v>3241</v>
      </c>
      <c r="N1051" s="13">
        <v>1.0</v>
      </c>
      <c r="O1051" s="13" t="s">
        <v>3162</v>
      </c>
      <c r="P1051" s="13" t="s">
        <v>4445</v>
      </c>
      <c r="Q1051" s="13" t="s">
        <v>3183</v>
      </c>
      <c r="R1051" s="13" t="s">
        <v>3163</v>
      </c>
      <c r="S1051" s="13" t="s">
        <v>4445</v>
      </c>
      <c r="T1051" s="13" t="s">
        <v>3232</v>
      </c>
      <c r="U1051" s="13" t="s">
        <v>3232</v>
      </c>
      <c r="V1051" s="13" t="s">
        <v>3166</v>
      </c>
      <c r="W1051" s="13" t="s">
        <v>3167</v>
      </c>
      <c r="X1051" s="13" t="s">
        <v>3168</v>
      </c>
    </row>
    <row r="1052" ht="14.25" customHeight="1">
      <c r="A1052" s="13">
        <v>26092.0</v>
      </c>
      <c r="B1052" s="13" t="s">
        <v>2640</v>
      </c>
      <c r="C1052" s="13">
        <v>2020.0</v>
      </c>
      <c r="D1052" s="13" t="s">
        <v>3153</v>
      </c>
      <c r="E1052" s="13" t="s">
        <v>3169</v>
      </c>
      <c r="F1052" s="13" t="s">
        <v>3192</v>
      </c>
      <c r="G1052" s="13" t="s">
        <v>3187</v>
      </c>
      <c r="H1052" s="13">
        <v>1.0</v>
      </c>
      <c r="I1052" s="13" t="s">
        <v>3188</v>
      </c>
      <c r="J1052" s="13" t="s">
        <v>3432</v>
      </c>
      <c r="K1052" s="13" t="s">
        <v>3381</v>
      </c>
      <c r="L1052" s="13" t="s">
        <v>3177</v>
      </c>
      <c r="M1052" s="13" t="s">
        <v>4446</v>
      </c>
      <c r="N1052" s="13">
        <v>6.0</v>
      </c>
      <c r="O1052" s="13" t="s">
        <v>3175</v>
      </c>
      <c r="P1052" s="13" t="s">
        <v>3689</v>
      </c>
      <c r="Q1052" s="13" t="s">
        <v>3335</v>
      </c>
      <c r="R1052" s="13" t="s">
        <v>3231</v>
      </c>
      <c r="S1052" s="13" t="s">
        <v>33</v>
      </c>
      <c r="T1052" s="13" t="s">
        <v>3195</v>
      </c>
      <c r="U1052" s="13" t="s">
        <v>3195</v>
      </c>
      <c r="V1052" s="13" t="s">
        <v>3195</v>
      </c>
      <c r="W1052" s="13" t="s">
        <v>3167</v>
      </c>
      <c r="X1052" s="13" t="s">
        <v>3167</v>
      </c>
    </row>
    <row r="1053" ht="14.25" customHeight="1">
      <c r="A1053" s="13">
        <v>26094.0</v>
      </c>
      <c r="B1053" s="13" t="s">
        <v>1291</v>
      </c>
      <c r="C1053" s="13">
        <v>2011.0</v>
      </c>
      <c r="D1053" s="13" t="s">
        <v>3153</v>
      </c>
      <c r="E1053" s="13" t="s">
        <v>3169</v>
      </c>
      <c r="F1053" s="13" t="s">
        <v>3170</v>
      </c>
      <c r="G1053" s="13" t="s">
        <v>3156</v>
      </c>
      <c r="H1053" s="13" t="s">
        <v>33</v>
      </c>
      <c r="I1053" s="13" t="s">
        <v>3222</v>
      </c>
      <c r="J1053" s="13" t="s">
        <v>3182</v>
      </c>
      <c r="K1053" s="13" t="s">
        <v>3296</v>
      </c>
      <c r="L1053" s="13" t="s">
        <v>3160</v>
      </c>
      <c r="M1053" s="13" t="s">
        <v>3715</v>
      </c>
      <c r="N1053" s="13">
        <v>1.0</v>
      </c>
      <c r="O1053" s="13" t="s">
        <v>3162</v>
      </c>
      <c r="P1053" s="13" t="s">
        <v>33</v>
      </c>
      <c r="Q1053" s="13" t="s">
        <v>3190</v>
      </c>
      <c r="R1053" s="13" t="s">
        <v>3163</v>
      </c>
      <c r="S1053" s="13" t="s">
        <v>33</v>
      </c>
      <c r="T1053" s="13" t="s">
        <v>3164</v>
      </c>
      <c r="U1053" s="13" t="s">
        <v>3164</v>
      </c>
      <c r="V1053" s="13" t="s">
        <v>3242</v>
      </c>
      <c r="W1053" s="13" t="s">
        <v>3377</v>
      </c>
      <c r="X1053" s="13" t="s">
        <v>3167</v>
      </c>
    </row>
    <row r="1054" ht="14.25" customHeight="1">
      <c r="A1054" s="13">
        <v>26096.0</v>
      </c>
      <c r="B1054" s="13" t="s">
        <v>1180</v>
      </c>
      <c r="C1054" s="13">
        <v>2001.0</v>
      </c>
      <c r="D1054" s="13" t="s">
        <v>3153</v>
      </c>
      <c r="E1054" s="13" t="s">
        <v>3465</v>
      </c>
      <c r="F1054" s="13" t="s">
        <v>3192</v>
      </c>
      <c r="G1054" s="13" t="s">
        <v>3156</v>
      </c>
      <c r="H1054" s="13" t="s">
        <v>33</v>
      </c>
      <c r="I1054" s="13" t="s">
        <v>3188</v>
      </c>
      <c r="J1054" s="13" t="s">
        <v>3432</v>
      </c>
      <c r="K1054" s="13" t="s">
        <v>3159</v>
      </c>
      <c r="L1054" s="13" t="s">
        <v>3160</v>
      </c>
      <c r="M1054" s="13" t="s">
        <v>4447</v>
      </c>
      <c r="N1054" s="13">
        <v>3.0</v>
      </c>
      <c r="O1054" s="13" t="s">
        <v>3162</v>
      </c>
      <c r="P1054" s="13" t="s">
        <v>33</v>
      </c>
      <c r="Q1054" s="13" t="s">
        <v>3159</v>
      </c>
      <c r="R1054" s="13" t="s">
        <v>3163</v>
      </c>
      <c r="S1054" s="13" t="s">
        <v>33</v>
      </c>
      <c r="T1054" s="13" t="s">
        <v>3164</v>
      </c>
      <c r="U1054" s="13" t="s">
        <v>3197</v>
      </c>
      <c r="V1054" s="13" t="s">
        <v>3242</v>
      </c>
      <c r="W1054" s="13" t="s">
        <v>4448</v>
      </c>
      <c r="X1054" s="13" t="s">
        <v>3167</v>
      </c>
    </row>
    <row r="1055" ht="14.25" customHeight="1">
      <c r="A1055" s="13">
        <v>26098.0</v>
      </c>
      <c r="B1055" s="13" t="s">
        <v>1180</v>
      </c>
      <c r="C1055" s="13">
        <v>2020.0</v>
      </c>
      <c r="D1055" s="13" t="s">
        <v>3153</v>
      </c>
      <c r="E1055" s="13" t="s">
        <v>3465</v>
      </c>
      <c r="F1055" s="13" t="s">
        <v>3211</v>
      </c>
      <c r="G1055" s="13" t="s">
        <v>3187</v>
      </c>
      <c r="H1055" s="13">
        <v>1.0</v>
      </c>
      <c r="I1055" s="13" t="s">
        <v>3188</v>
      </c>
      <c r="J1055" s="13" t="s">
        <v>4449</v>
      </c>
      <c r="K1055" s="13" t="s">
        <v>3183</v>
      </c>
      <c r="L1055" s="13" t="s">
        <v>3160</v>
      </c>
      <c r="M1055" s="13" t="s">
        <v>4450</v>
      </c>
      <c r="N1055" s="13">
        <v>2.0</v>
      </c>
      <c r="O1055" s="13" t="s">
        <v>3267</v>
      </c>
      <c r="P1055" s="13" t="s">
        <v>4451</v>
      </c>
      <c r="Q1055" s="13" t="s">
        <v>3381</v>
      </c>
      <c r="R1055" s="13" t="s">
        <v>3163</v>
      </c>
      <c r="S1055" s="13" t="s">
        <v>33</v>
      </c>
      <c r="T1055" s="13" t="s">
        <v>3228</v>
      </c>
      <c r="U1055" s="13" t="s">
        <v>3247</v>
      </c>
      <c r="V1055" s="13" t="s">
        <v>3242</v>
      </c>
      <c r="W1055" s="13" t="s">
        <v>4452</v>
      </c>
      <c r="X1055" s="13" t="s">
        <v>3167</v>
      </c>
    </row>
    <row r="1056" ht="14.25" customHeight="1">
      <c r="A1056" s="13">
        <v>26102.0</v>
      </c>
      <c r="B1056" s="13" t="s">
        <v>2249</v>
      </c>
      <c r="C1056" s="13">
        <v>2014.0</v>
      </c>
      <c r="D1056" s="13" t="s">
        <v>3153</v>
      </c>
      <c r="E1056" s="13" t="s">
        <v>3169</v>
      </c>
      <c r="F1056" s="13" t="s">
        <v>3192</v>
      </c>
      <c r="G1056" s="13" t="s">
        <v>3187</v>
      </c>
      <c r="H1056" s="13">
        <v>100.0</v>
      </c>
      <c r="I1056" s="13" t="s">
        <v>3188</v>
      </c>
      <c r="J1056" s="13" t="s">
        <v>3207</v>
      </c>
      <c r="K1056" s="13" t="s">
        <v>3208</v>
      </c>
      <c r="L1056" s="13" t="s">
        <v>3160</v>
      </c>
      <c r="M1056" s="13" t="s">
        <v>3349</v>
      </c>
      <c r="N1056" s="13">
        <v>2.0</v>
      </c>
      <c r="O1056" s="13" t="s">
        <v>3162</v>
      </c>
      <c r="P1056" s="13" t="s">
        <v>33</v>
      </c>
      <c r="Q1056" s="13" t="s">
        <v>3159</v>
      </c>
      <c r="R1056" s="13" t="s">
        <v>3163</v>
      </c>
      <c r="S1056" s="13" t="s">
        <v>33</v>
      </c>
      <c r="T1056" s="13" t="s">
        <v>3164</v>
      </c>
      <c r="U1056" s="13" t="s">
        <v>3164</v>
      </c>
      <c r="V1056" s="13" t="s">
        <v>3166</v>
      </c>
      <c r="W1056" s="13" t="s">
        <v>3167</v>
      </c>
      <c r="X1056" s="13" t="s">
        <v>3178</v>
      </c>
    </row>
    <row r="1057" ht="14.25" customHeight="1">
      <c r="A1057" s="13">
        <v>26103.0</v>
      </c>
      <c r="B1057" s="13" t="s">
        <v>2491</v>
      </c>
      <c r="C1057" s="13">
        <v>2005.0</v>
      </c>
      <c r="D1057" s="13" t="s">
        <v>3153</v>
      </c>
      <c r="E1057" s="13" t="s">
        <v>3179</v>
      </c>
      <c r="F1057" s="13" t="s">
        <v>3192</v>
      </c>
      <c r="G1057" s="13" t="s">
        <v>33</v>
      </c>
      <c r="H1057" s="13" t="s">
        <v>33</v>
      </c>
      <c r="I1057" s="13" t="s">
        <v>3181</v>
      </c>
      <c r="J1057" s="13" t="s">
        <v>3229</v>
      </c>
      <c r="K1057" s="13" t="s">
        <v>3173</v>
      </c>
      <c r="L1057" s="13" t="s">
        <v>3160</v>
      </c>
      <c r="M1057" s="13" t="s">
        <v>4453</v>
      </c>
      <c r="N1057" s="13">
        <v>3.0</v>
      </c>
      <c r="O1057" s="13" t="s">
        <v>3162</v>
      </c>
      <c r="P1057" s="13" t="s">
        <v>33</v>
      </c>
      <c r="Q1057" s="13" t="s">
        <v>3173</v>
      </c>
      <c r="R1057" s="13" t="s">
        <v>3163</v>
      </c>
      <c r="S1057" s="13" t="s">
        <v>33</v>
      </c>
      <c r="T1057" s="13" t="s">
        <v>3164</v>
      </c>
      <c r="U1057" s="13" t="s">
        <v>3165</v>
      </c>
      <c r="V1057" s="13" t="s">
        <v>3166</v>
      </c>
      <c r="W1057" s="13" t="s">
        <v>3167</v>
      </c>
      <c r="X1057" s="13" t="s">
        <v>3178</v>
      </c>
    </row>
    <row r="1058" ht="14.25" customHeight="1">
      <c r="A1058" s="13">
        <v>26104.0</v>
      </c>
      <c r="B1058" s="13" t="s">
        <v>890</v>
      </c>
      <c r="C1058" s="13">
        <v>2010.0</v>
      </c>
      <c r="D1058" s="13" t="s">
        <v>3153</v>
      </c>
      <c r="E1058" s="13" t="s">
        <v>3169</v>
      </c>
      <c r="F1058" s="13" t="s">
        <v>3170</v>
      </c>
      <c r="G1058" s="13" t="s">
        <v>3187</v>
      </c>
      <c r="H1058" s="13">
        <v>1.0</v>
      </c>
      <c r="I1058" s="13" t="s">
        <v>3171</v>
      </c>
      <c r="J1058" s="13" t="s">
        <v>4454</v>
      </c>
      <c r="K1058" s="13" t="s">
        <v>3173</v>
      </c>
      <c r="L1058" s="13" t="s">
        <v>3160</v>
      </c>
      <c r="M1058" s="13" t="s">
        <v>4455</v>
      </c>
      <c r="N1058" s="13">
        <v>5.0</v>
      </c>
      <c r="O1058" s="13" t="s">
        <v>3162</v>
      </c>
      <c r="P1058" s="13" t="s">
        <v>3167</v>
      </c>
      <c r="Q1058" s="13" t="s">
        <v>3338</v>
      </c>
      <c r="R1058" s="13" t="s">
        <v>3231</v>
      </c>
      <c r="S1058" s="13" t="s">
        <v>33</v>
      </c>
      <c r="T1058" s="13" t="s">
        <v>3252</v>
      </c>
      <c r="U1058" s="13" t="s">
        <v>3252</v>
      </c>
      <c r="V1058" s="13" t="s">
        <v>3253</v>
      </c>
      <c r="W1058" s="13" t="s">
        <v>4456</v>
      </c>
      <c r="X1058" s="13" t="s">
        <v>3893</v>
      </c>
    </row>
    <row r="1059" ht="14.25" customHeight="1">
      <c r="A1059" s="13">
        <v>26111.0</v>
      </c>
      <c r="B1059" s="13" t="s">
        <v>1283</v>
      </c>
      <c r="C1059" s="13">
        <v>2013.0</v>
      </c>
      <c r="D1059" s="13" t="s">
        <v>3153</v>
      </c>
      <c r="E1059" s="13" t="s">
        <v>3154</v>
      </c>
      <c r="F1059" s="13" t="s">
        <v>3155</v>
      </c>
      <c r="G1059" s="13" t="s">
        <v>3156</v>
      </c>
      <c r="H1059" s="13" t="s">
        <v>33</v>
      </c>
      <c r="I1059" s="13" t="s">
        <v>3157</v>
      </c>
      <c r="J1059" s="13" t="s">
        <v>3307</v>
      </c>
      <c r="K1059" s="13" t="s">
        <v>3159</v>
      </c>
      <c r="L1059" s="13" t="s">
        <v>3160</v>
      </c>
      <c r="M1059" s="13" t="s">
        <v>3161</v>
      </c>
      <c r="N1059" s="13">
        <v>1.0</v>
      </c>
      <c r="O1059" s="13" t="s">
        <v>3162</v>
      </c>
      <c r="P1059" s="13" t="s">
        <v>33</v>
      </c>
      <c r="Q1059" s="13" t="s">
        <v>3159</v>
      </c>
      <c r="R1059" s="13" t="s">
        <v>3163</v>
      </c>
      <c r="S1059" s="13" t="s">
        <v>33</v>
      </c>
      <c r="T1059" s="13" t="s">
        <v>3164</v>
      </c>
      <c r="U1059" s="13" t="s">
        <v>3232</v>
      </c>
      <c r="V1059" s="13" t="s">
        <v>3166</v>
      </c>
      <c r="W1059" s="13" t="s">
        <v>3167</v>
      </c>
      <c r="X1059" s="13" t="s">
        <v>3324</v>
      </c>
    </row>
    <row r="1060" ht="14.25" customHeight="1">
      <c r="A1060" s="13">
        <v>26112.0</v>
      </c>
      <c r="B1060" s="13" t="s">
        <v>1819</v>
      </c>
      <c r="C1060" s="13">
        <v>2009.0</v>
      </c>
      <c r="D1060" s="13" t="s">
        <v>3153</v>
      </c>
      <c r="E1060" s="13" t="s">
        <v>3169</v>
      </c>
      <c r="F1060" s="13" t="s">
        <v>3170</v>
      </c>
      <c r="G1060" s="13" t="s">
        <v>3156</v>
      </c>
      <c r="H1060" s="13" t="s">
        <v>3167</v>
      </c>
      <c r="I1060" s="13" t="s">
        <v>3244</v>
      </c>
      <c r="J1060" s="13" t="s">
        <v>3345</v>
      </c>
      <c r="K1060" s="13" t="s">
        <v>3580</v>
      </c>
      <c r="L1060" s="13" t="s">
        <v>3160</v>
      </c>
      <c r="M1060" s="13" t="s">
        <v>3391</v>
      </c>
      <c r="N1060" s="13">
        <v>1.0</v>
      </c>
      <c r="O1060" s="13" t="s">
        <v>3162</v>
      </c>
      <c r="P1060" s="13" t="s">
        <v>3167</v>
      </c>
      <c r="Q1060" s="13" t="s">
        <v>3159</v>
      </c>
      <c r="R1060" s="13" t="s">
        <v>3231</v>
      </c>
      <c r="S1060" s="13" t="s">
        <v>33</v>
      </c>
      <c r="T1060" s="13" t="s">
        <v>3232</v>
      </c>
      <c r="U1060" s="13" t="s">
        <v>3232</v>
      </c>
      <c r="V1060" s="13" t="s">
        <v>3166</v>
      </c>
      <c r="W1060" s="13" t="s">
        <v>3167</v>
      </c>
      <c r="X1060" s="13" t="s">
        <v>3178</v>
      </c>
    </row>
    <row r="1061" ht="14.25" customHeight="1">
      <c r="A1061" s="13">
        <v>26117.0</v>
      </c>
      <c r="B1061" s="13" t="s">
        <v>2442</v>
      </c>
      <c r="C1061" s="13">
        <v>2012.0</v>
      </c>
      <c r="D1061" s="13" t="s">
        <v>3153</v>
      </c>
      <c r="E1061" s="13" t="s">
        <v>3169</v>
      </c>
      <c r="F1061" s="13" t="s">
        <v>3170</v>
      </c>
      <c r="G1061" s="13" t="s">
        <v>3202</v>
      </c>
      <c r="H1061" s="13">
        <v>10.0</v>
      </c>
      <c r="I1061" s="13" t="s">
        <v>3188</v>
      </c>
      <c r="J1061" s="13" t="s">
        <v>3432</v>
      </c>
      <c r="K1061" s="13" t="s">
        <v>3208</v>
      </c>
      <c r="L1061" s="13" t="s">
        <v>3160</v>
      </c>
      <c r="M1061" s="13" t="s">
        <v>3279</v>
      </c>
      <c r="N1061" s="13">
        <v>2.0</v>
      </c>
      <c r="O1061" s="13" t="s">
        <v>3162</v>
      </c>
      <c r="P1061" s="13" t="s">
        <v>33</v>
      </c>
      <c r="Q1061" s="13" t="s">
        <v>3208</v>
      </c>
      <c r="R1061" s="13" t="s">
        <v>3163</v>
      </c>
      <c r="S1061" s="13" t="s">
        <v>33</v>
      </c>
      <c r="T1061" s="13" t="s">
        <v>3197</v>
      </c>
      <c r="U1061" s="13" t="s">
        <v>3197</v>
      </c>
      <c r="V1061" s="13" t="s">
        <v>3242</v>
      </c>
      <c r="W1061" s="13" t="s">
        <v>3248</v>
      </c>
      <c r="X1061" s="13" t="s">
        <v>3167</v>
      </c>
    </row>
    <row r="1062" ht="14.25" customHeight="1">
      <c r="A1062" s="13">
        <v>26127.0</v>
      </c>
      <c r="B1062" s="13" t="s">
        <v>2995</v>
      </c>
      <c r="C1062" s="13">
        <v>2019.0</v>
      </c>
      <c r="D1062" s="13" t="s">
        <v>3153</v>
      </c>
      <c r="E1062" s="13" t="s">
        <v>3179</v>
      </c>
      <c r="F1062" s="13" t="s">
        <v>3217</v>
      </c>
      <c r="G1062" s="13" t="s">
        <v>3187</v>
      </c>
      <c r="H1062" s="13">
        <v>1.0</v>
      </c>
      <c r="I1062" s="13" t="s">
        <v>3167</v>
      </c>
      <c r="J1062" s="13" t="s">
        <v>3167</v>
      </c>
      <c r="K1062" s="13" t="s">
        <v>4457</v>
      </c>
      <c r="L1062" s="13" t="s">
        <v>3177</v>
      </c>
      <c r="M1062" s="13" t="s">
        <v>4458</v>
      </c>
      <c r="N1062" s="13">
        <v>11.0</v>
      </c>
      <c r="O1062" s="13" t="s">
        <v>3162</v>
      </c>
      <c r="P1062" s="13" t="s">
        <v>3167</v>
      </c>
      <c r="Q1062" s="13" t="s">
        <v>3370</v>
      </c>
      <c r="R1062" s="13" t="s">
        <v>3231</v>
      </c>
      <c r="S1062" s="13" t="s">
        <v>33</v>
      </c>
      <c r="T1062" s="13" t="s">
        <v>3215</v>
      </c>
      <c r="U1062" s="13" t="s">
        <v>3215</v>
      </c>
      <c r="V1062" s="13" t="s">
        <v>3166</v>
      </c>
      <c r="W1062" s="13" t="s">
        <v>3167</v>
      </c>
      <c r="X1062" s="13" t="s">
        <v>3225</v>
      </c>
    </row>
    <row r="1063" ht="14.25" customHeight="1">
      <c r="A1063" s="13">
        <v>26120.0</v>
      </c>
      <c r="B1063" s="13" t="s">
        <v>1143</v>
      </c>
      <c r="C1063" s="13">
        <v>2007.0</v>
      </c>
      <c r="D1063" s="13" t="s">
        <v>3153</v>
      </c>
      <c r="E1063" s="13" t="s">
        <v>3169</v>
      </c>
      <c r="F1063" s="13" t="s">
        <v>3170</v>
      </c>
      <c r="G1063" s="13" t="s">
        <v>3202</v>
      </c>
      <c r="H1063" s="13">
        <v>30.0</v>
      </c>
      <c r="I1063" s="13" t="s">
        <v>3188</v>
      </c>
      <c r="J1063" s="13" t="s">
        <v>3432</v>
      </c>
      <c r="K1063" s="13" t="s">
        <v>3186</v>
      </c>
      <c r="L1063" s="13" t="s">
        <v>3177</v>
      </c>
      <c r="M1063" s="13" t="s">
        <v>3230</v>
      </c>
      <c r="N1063" s="13">
        <v>1.0</v>
      </c>
      <c r="O1063" s="13" t="s">
        <v>3175</v>
      </c>
      <c r="P1063" s="13" t="s">
        <v>33</v>
      </c>
      <c r="Q1063" s="13" t="s">
        <v>3159</v>
      </c>
      <c r="R1063" s="13" t="s">
        <v>3177</v>
      </c>
      <c r="S1063" s="13" t="s">
        <v>33</v>
      </c>
      <c r="T1063" s="13" t="s">
        <v>3164</v>
      </c>
      <c r="U1063" s="13" t="s">
        <v>3164</v>
      </c>
      <c r="V1063" s="13" t="s">
        <v>3166</v>
      </c>
      <c r="W1063" s="13" t="s">
        <v>3167</v>
      </c>
      <c r="X1063" s="13" t="s">
        <v>3178</v>
      </c>
    </row>
    <row r="1064" ht="14.25" customHeight="1">
      <c r="A1064" s="13">
        <v>26131.0</v>
      </c>
      <c r="B1064" s="13" t="s">
        <v>2303</v>
      </c>
      <c r="C1064" s="13">
        <v>2020.0</v>
      </c>
      <c r="D1064" s="13" t="s">
        <v>3153</v>
      </c>
      <c r="E1064" s="13" t="s">
        <v>3169</v>
      </c>
      <c r="F1064" s="13" t="s">
        <v>3192</v>
      </c>
      <c r="G1064" s="13" t="s">
        <v>3156</v>
      </c>
      <c r="H1064" s="13" t="s">
        <v>3167</v>
      </c>
      <c r="I1064" s="13" t="s">
        <v>3188</v>
      </c>
      <c r="J1064" s="13" t="s">
        <v>3432</v>
      </c>
      <c r="K1064" s="13" t="s">
        <v>3159</v>
      </c>
      <c r="L1064" s="13" t="s">
        <v>3177</v>
      </c>
      <c r="M1064" s="13" t="s">
        <v>3369</v>
      </c>
      <c r="N1064" s="13">
        <v>1.0</v>
      </c>
      <c r="O1064" s="13" t="s">
        <v>3162</v>
      </c>
      <c r="P1064" s="13" t="s">
        <v>3167</v>
      </c>
      <c r="Q1064" s="13" t="s">
        <v>3159</v>
      </c>
      <c r="R1064" s="13" t="s">
        <v>3260</v>
      </c>
      <c r="S1064" s="13" t="s">
        <v>33</v>
      </c>
      <c r="T1064" s="13" t="s">
        <v>3164</v>
      </c>
      <c r="U1064" s="13" t="s">
        <v>3164</v>
      </c>
      <c r="V1064" s="13" t="s">
        <v>3166</v>
      </c>
      <c r="W1064" s="13" t="s">
        <v>3167</v>
      </c>
      <c r="X1064" s="13" t="s">
        <v>3178</v>
      </c>
    </row>
    <row r="1065" ht="14.25" customHeight="1">
      <c r="A1065" s="13">
        <v>26135.0</v>
      </c>
      <c r="B1065" s="13" t="s">
        <v>2817</v>
      </c>
      <c r="C1065" s="13">
        <v>2019.0</v>
      </c>
      <c r="D1065" s="13" t="s">
        <v>3153</v>
      </c>
      <c r="E1065" s="13" t="s">
        <v>3169</v>
      </c>
      <c r="F1065" s="13" t="s">
        <v>3155</v>
      </c>
      <c r="G1065" s="13" t="s">
        <v>3187</v>
      </c>
      <c r="H1065" s="13">
        <v>1.0</v>
      </c>
      <c r="I1065" s="13" t="s">
        <v>3188</v>
      </c>
      <c r="J1065" s="13" t="s">
        <v>3432</v>
      </c>
      <c r="K1065" s="13" t="s">
        <v>4459</v>
      </c>
      <c r="L1065" s="13" t="s">
        <v>3160</v>
      </c>
      <c r="M1065" s="13" t="s">
        <v>3722</v>
      </c>
      <c r="N1065" s="13">
        <v>1.0</v>
      </c>
      <c r="O1065" s="13" t="s">
        <v>3162</v>
      </c>
      <c r="P1065" s="13" t="s">
        <v>4460</v>
      </c>
      <c r="Q1065" s="13" t="s">
        <v>3210</v>
      </c>
      <c r="R1065" s="13" t="s">
        <v>3231</v>
      </c>
      <c r="S1065" s="13" t="s">
        <v>33</v>
      </c>
      <c r="T1065" s="13" t="s">
        <v>3195</v>
      </c>
      <c r="U1065" s="13" t="s">
        <v>3195</v>
      </c>
      <c r="V1065" s="13" t="s">
        <v>3195</v>
      </c>
      <c r="W1065" s="13" t="s">
        <v>3167</v>
      </c>
      <c r="X1065" s="13" t="s">
        <v>3167</v>
      </c>
    </row>
    <row r="1066" ht="14.25" customHeight="1">
      <c r="A1066" s="13">
        <v>26137.0</v>
      </c>
      <c r="B1066" s="13" t="s">
        <v>1855</v>
      </c>
      <c r="C1066" s="13">
        <v>2016.0</v>
      </c>
      <c r="D1066" s="13" t="s">
        <v>3153</v>
      </c>
      <c r="E1066" s="13" t="s">
        <v>3169</v>
      </c>
      <c r="F1066" s="13" t="s">
        <v>3211</v>
      </c>
      <c r="G1066" s="13" t="s">
        <v>3187</v>
      </c>
      <c r="H1066" s="13">
        <v>1.0</v>
      </c>
      <c r="I1066" s="13" t="s">
        <v>3171</v>
      </c>
      <c r="J1066" s="13" t="s">
        <v>4461</v>
      </c>
      <c r="K1066" s="13" t="s">
        <v>3333</v>
      </c>
      <c r="L1066" s="13" t="s">
        <v>3177</v>
      </c>
      <c r="M1066" s="13" t="s">
        <v>3391</v>
      </c>
      <c r="N1066" s="13">
        <v>1.0</v>
      </c>
      <c r="O1066" s="13" t="s">
        <v>3162</v>
      </c>
      <c r="P1066" s="13" t="s">
        <v>33</v>
      </c>
      <c r="Q1066" s="13" t="s">
        <v>3173</v>
      </c>
      <c r="R1066" s="13" t="s">
        <v>3163</v>
      </c>
      <c r="S1066" s="13" t="s">
        <v>33</v>
      </c>
      <c r="T1066" s="13" t="s">
        <v>3247</v>
      </c>
      <c r="U1066" s="13" t="s">
        <v>3247</v>
      </c>
      <c r="V1066" s="13" t="s">
        <v>3166</v>
      </c>
      <c r="W1066" s="13" t="s">
        <v>3167</v>
      </c>
      <c r="X1066" s="13" t="s">
        <v>3632</v>
      </c>
    </row>
    <row r="1067" ht="14.25" customHeight="1">
      <c r="A1067" s="13">
        <v>26140.0</v>
      </c>
      <c r="B1067" s="13" t="s">
        <v>687</v>
      </c>
      <c r="C1067" s="13">
        <v>2020.0</v>
      </c>
      <c r="D1067" s="13" t="s">
        <v>3315</v>
      </c>
      <c r="E1067" s="13" t="s">
        <v>3465</v>
      </c>
      <c r="F1067" s="13" t="s">
        <v>3284</v>
      </c>
      <c r="G1067" s="13" t="s">
        <v>3187</v>
      </c>
      <c r="H1067" s="13">
        <v>1.0</v>
      </c>
      <c r="I1067" s="13" t="s">
        <v>3171</v>
      </c>
      <c r="J1067" s="13" t="s">
        <v>3167</v>
      </c>
      <c r="K1067" s="13" t="s">
        <v>3173</v>
      </c>
      <c r="L1067" s="13" t="s">
        <v>3160</v>
      </c>
      <c r="M1067" s="13" t="s">
        <v>3161</v>
      </c>
      <c r="N1067" s="13">
        <v>1.0</v>
      </c>
      <c r="O1067" s="13" t="s">
        <v>3162</v>
      </c>
      <c r="P1067" s="13" t="s">
        <v>3167</v>
      </c>
      <c r="Q1067" s="13" t="s">
        <v>3173</v>
      </c>
      <c r="R1067" s="13" t="s">
        <v>3231</v>
      </c>
      <c r="S1067" s="13" t="s">
        <v>33</v>
      </c>
      <c r="T1067" s="13" t="s">
        <v>3232</v>
      </c>
      <c r="U1067" s="13" t="s">
        <v>3232</v>
      </c>
      <c r="V1067" s="13" t="s">
        <v>3166</v>
      </c>
      <c r="W1067" s="13" t="s">
        <v>3167</v>
      </c>
      <c r="X1067" s="13" t="s">
        <v>3324</v>
      </c>
    </row>
    <row r="1068" ht="14.25" customHeight="1">
      <c r="A1068" s="13">
        <v>26141.0</v>
      </c>
      <c r="B1068" s="13" t="s">
        <v>1956</v>
      </c>
      <c r="C1068" s="13">
        <v>2018.0</v>
      </c>
      <c r="D1068" s="13" t="s">
        <v>3153</v>
      </c>
      <c r="E1068" s="13" t="s">
        <v>3154</v>
      </c>
      <c r="F1068" s="13" t="s">
        <v>3170</v>
      </c>
      <c r="G1068" s="13" t="s">
        <v>33</v>
      </c>
      <c r="H1068" s="13" t="s">
        <v>33</v>
      </c>
      <c r="I1068" s="13" t="s">
        <v>3157</v>
      </c>
      <c r="J1068" s="13" t="s">
        <v>3400</v>
      </c>
      <c r="K1068" s="13" t="s">
        <v>3159</v>
      </c>
      <c r="L1068" s="13" t="s">
        <v>3177</v>
      </c>
      <c r="M1068" s="13" t="s">
        <v>3494</v>
      </c>
      <c r="N1068" s="13">
        <v>1.0</v>
      </c>
      <c r="O1068" s="13" t="s">
        <v>3162</v>
      </c>
      <c r="P1068" s="13" t="s">
        <v>33</v>
      </c>
      <c r="Q1068" s="13" t="s">
        <v>3186</v>
      </c>
      <c r="R1068" s="13" t="s">
        <v>3177</v>
      </c>
      <c r="S1068" s="13" t="s">
        <v>33</v>
      </c>
      <c r="T1068" s="13" t="s">
        <v>3164</v>
      </c>
      <c r="U1068" s="13" t="s">
        <v>3164</v>
      </c>
      <c r="V1068" s="13" t="s">
        <v>3166</v>
      </c>
      <c r="W1068" s="13" t="s">
        <v>3167</v>
      </c>
      <c r="X1068" s="13" t="s">
        <v>3225</v>
      </c>
    </row>
    <row r="1069" ht="14.25" customHeight="1">
      <c r="A1069" s="13">
        <v>26142.0</v>
      </c>
      <c r="B1069" s="13" t="s">
        <v>1095</v>
      </c>
      <c r="C1069" s="13">
        <v>2014.0</v>
      </c>
      <c r="D1069" s="13" t="s">
        <v>3153</v>
      </c>
      <c r="E1069" s="13" t="s">
        <v>3169</v>
      </c>
      <c r="F1069" s="13" t="s">
        <v>3211</v>
      </c>
      <c r="G1069" s="13" t="s">
        <v>3187</v>
      </c>
      <c r="H1069" s="13">
        <v>1.0</v>
      </c>
      <c r="I1069" s="13" t="s">
        <v>3188</v>
      </c>
      <c r="J1069" s="13" t="s">
        <v>4462</v>
      </c>
      <c r="K1069" s="13" t="s">
        <v>3183</v>
      </c>
      <c r="L1069" s="13" t="s">
        <v>3160</v>
      </c>
      <c r="M1069" s="13" t="s">
        <v>3213</v>
      </c>
      <c r="N1069" s="13">
        <v>1.0</v>
      </c>
      <c r="O1069" s="13" t="s">
        <v>3162</v>
      </c>
      <c r="P1069" s="13" t="s">
        <v>3579</v>
      </c>
      <c r="Q1069" s="13" t="s">
        <v>3210</v>
      </c>
      <c r="R1069" s="13" t="s">
        <v>3163</v>
      </c>
      <c r="S1069" s="13" t="s">
        <v>33</v>
      </c>
      <c r="T1069" s="13" t="s">
        <v>3195</v>
      </c>
      <c r="U1069" s="13" t="s">
        <v>3195</v>
      </c>
      <c r="V1069" s="13" t="s">
        <v>3195</v>
      </c>
      <c r="W1069" s="13" t="s">
        <v>3167</v>
      </c>
      <c r="X1069" s="13" t="s">
        <v>3167</v>
      </c>
    </row>
    <row r="1070" ht="14.25" customHeight="1">
      <c r="A1070" s="13">
        <v>26145.0</v>
      </c>
      <c r="B1070" s="13" t="s">
        <v>628</v>
      </c>
      <c r="C1070" s="13">
        <v>2009.0</v>
      </c>
      <c r="D1070" s="13" t="s">
        <v>3315</v>
      </c>
      <c r="E1070" s="13" t="s">
        <v>3179</v>
      </c>
      <c r="F1070" s="13" t="s">
        <v>3211</v>
      </c>
      <c r="G1070" s="13" t="s">
        <v>3156</v>
      </c>
      <c r="H1070" s="13" t="s">
        <v>33</v>
      </c>
      <c r="I1070" s="13" t="s">
        <v>3261</v>
      </c>
      <c r="J1070" s="13" t="s">
        <v>4463</v>
      </c>
      <c r="K1070" s="13" t="s">
        <v>3173</v>
      </c>
      <c r="L1070" s="13" t="s">
        <v>3160</v>
      </c>
      <c r="M1070" s="13" t="s">
        <v>3342</v>
      </c>
      <c r="N1070" s="13">
        <v>1.0</v>
      </c>
      <c r="O1070" s="13" t="s">
        <v>3162</v>
      </c>
      <c r="P1070" s="13" t="s">
        <v>33</v>
      </c>
      <c r="Q1070" s="13" t="s">
        <v>3173</v>
      </c>
      <c r="R1070" s="13" t="s">
        <v>3163</v>
      </c>
      <c r="S1070" s="13" t="s">
        <v>33</v>
      </c>
      <c r="T1070" s="13" t="s">
        <v>3232</v>
      </c>
      <c r="U1070" s="13" t="s">
        <v>3232</v>
      </c>
      <c r="V1070" s="13" t="s">
        <v>3166</v>
      </c>
      <c r="W1070" s="13" t="s">
        <v>3167</v>
      </c>
      <c r="X1070" s="13" t="s">
        <v>3224</v>
      </c>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14.25"/>
    <col customWidth="1" min="2" max="8" width="11.13"/>
    <col customWidth="1" min="9" max="9" width="16.88"/>
    <col customWidth="1" min="10" max="11" width="11.13"/>
    <col customWidth="1" min="12" max="12" width="15.0"/>
    <col customWidth="1" min="13" max="13" width="15.75"/>
    <col customWidth="1" min="14" max="14" width="11.63"/>
    <col customWidth="1" min="15" max="15" width="8.0"/>
    <col customWidth="1" min="16" max="16" width="17.5"/>
    <col customWidth="1" min="17" max="17" width="39.25"/>
    <col customWidth="1" min="18" max="24" width="11.13"/>
    <col customWidth="1" min="25" max="25" width="8.0"/>
    <col customWidth="1" min="26" max="26" width="10.13"/>
    <col customWidth="1" min="27" max="27" width="9.63"/>
    <col customWidth="1" min="28" max="30" width="8.0"/>
  </cols>
  <sheetData>
    <row r="1" ht="14.25" customHeight="1">
      <c r="A1" s="15" t="s">
        <v>4464</v>
      </c>
      <c r="B1" s="16"/>
      <c r="C1" s="16" t="s">
        <v>4465</v>
      </c>
      <c r="D1" s="16"/>
      <c r="E1" s="16"/>
      <c r="F1" s="16"/>
      <c r="G1" s="16"/>
      <c r="H1" s="16"/>
      <c r="I1" s="16"/>
      <c r="J1" s="16"/>
      <c r="K1" s="16"/>
      <c r="L1" s="16"/>
      <c r="M1" s="16"/>
      <c r="N1" s="16"/>
      <c r="O1" s="16"/>
      <c r="P1" s="17"/>
      <c r="Q1" s="16"/>
      <c r="R1" s="16"/>
      <c r="S1" s="16"/>
      <c r="T1" s="16"/>
      <c r="U1" s="16"/>
      <c r="V1" s="16"/>
      <c r="W1" s="16"/>
      <c r="X1" s="16"/>
      <c r="Y1" s="16"/>
      <c r="Z1" s="16"/>
      <c r="AA1" s="16"/>
      <c r="AB1" s="16"/>
      <c r="AC1" s="16"/>
      <c r="AD1" s="16"/>
    </row>
    <row r="2" ht="14.25" customHeight="1">
      <c r="A2" s="15"/>
      <c r="B2" s="16"/>
      <c r="C2" s="16"/>
      <c r="D2" s="16"/>
      <c r="E2" s="16"/>
      <c r="F2" s="16"/>
      <c r="G2" s="16"/>
      <c r="H2" s="16"/>
      <c r="I2" s="16"/>
      <c r="J2" s="16"/>
      <c r="K2" s="16"/>
      <c r="L2" s="16"/>
      <c r="M2" s="16"/>
      <c r="N2" s="16"/>
      <c r="O2" s="16"/>
      <c r="P2" s="17"/>
      <c r="Q2" s="16"/>
      <c r="R2" s="16"/>
      <c r="S2" s="16"/>
      <c r="T2" s="16"/>
      <c r="U2" s="16"/>
      <c r="V2" s="16"/>
      <c r="W2" s="16"/>
      <c r="X2" s="16"/>
      <c r="Y2" s="16"/>
      <c r="Z2" s="16"/>
      <c r="AA2" s="16"/>
      <c r="AB2" s="16"/>
      <c r="AC2" s="16"/>
      <c r="AD2" s="16"/>
    </row>
    <row r="3" ht="14.25" customHeight="1">
      <c r="A3" s="15" t="s">
        <v>4466</v>
      </c>
      <c r="B3" s="17">
        <v>1.1</v>
      </c>
      <c r="C3" s="17" t="s">
        <v>4467</v>
      </c>
      <c r="D3" s="17" t="s">
        <v>4468</v>
      </c>
      <c r="E3" s="17" t="s">
        <v>4469</v>
      </c>
      <c r="F3" s="17" t="s">
        <v>4470</v>
      </c>
      <c r="G3" s="17" t="s">
        <v>4471</v>
      </c>
      <c r="H3" s="17" t="s">
        <v>4472</v>
      </c>
      <c r="I3" s="17" t="s">
        <v>4473</v>
      </c>
      <c r="J3" s="17" t="s">
        <v>4474</v>
      </c>
      <c r="K3" s="17" t="s">
        <v>4475</v>
      </c>
      <c r="L3" s="17" t="s">
        <v>4476</v>
      </c>
      <c r="M3" s="17" t="s">
        <v>4477</v>
      </c>
      <c r="N3" s="16">
        <v>4.2</v>
      </c>
      <c r="O3" s="17" t="s">
        <v>4478</v>
      </c>
      <c r="P3" s="16">
        <v>4.4</v>
      </c>
      <c r="Q3" s="17"/>
      <c r="R3" s="17" t="s">
        <v>4479</v>
      </c>
      <c r="S3" s="16">
        <v>4.6</v>
      </c>
      <c r="T3" s="17" t="s">
        <v>4480</v>
      </c>
      <c r="U3" s="17" t="s">
        <v>4481</v>
      </c>
      <c r="V3" s="17" t="s">
        <v>4482</v>
      </c>
      <c r="W3" s="17" t="s">
        <v>4483</v>
      </c>
      <c r="X3" s="17" t="s">
        <v>4484</v>
      </c>
      <c r="Y3" s="17" t="s">
        <v>4485</v>
      </c>
      <c r="Z3" s="17" t="s">
        <v>4486</v>
      </c>
      <c r="AA3" s="16">
        <v>5.8</v>
      </c>
      <c r="AB3" s="16">
        <v>6.0</v>
      </c>
      <c r="AC3" s="16"/>
      <c r="AD3" s="16"/>
    </row>
    <row r="4" ht="14.25" customHeight="1">
      <c r="A4" s="18" t="s">
        <v>4487</v>
      </c>
      <c r="B4" s="19" t="s">
        <v>4488</v>
      </c>
      <c r="C4" s="19" t="s">
        <v>4489</v>
      </c>
      <c r="D4" s="19" t="s">
        <v>4490</v>
      </c>
      <c r="E4" s="19" t="s">
        <v>4491</v>
      </c>
      <c r="F4" s="19" t="s">
        <v>3132</v>
      </c>
      <c r="G4" s="19" t="s">
        <v>3133</v>
      </c>
      <c r="H4" s="19" t="s">
        <v>4492</v>
      </c>
      <c r="I4" s="19" t="s">
        <v>3135</v>
      </c>
      <c r="J4" s="19" t="s">
        <v>3136</v>
      </c>
      <c r="K4" s="19" t="s">
        <v>3137</v>
      </c>
      <c r="L4" s="19" t="s">
        <v>3138</v>
      </c>
      <c r="M4" s="19" t="s">
        <v>3139</v>
      </c>
      <c r="N4" s="19" t="s">
        <v>3140</v>
      </c>
      <c r="O4" s="19" t="s">
        <v>4493</v>
      </c>
      <c r="P4" s="20" t="s">
        <v>3141</v>
      </c>
      <c r="Q4" s="19"/>
      <c r="R4" s="19" t="s">
        <v>3142</v>
      </c>
      <c r="S4" s="19" t="s">
        <v>3143</v>
      </c>
      <c r="T4" s="19" t="s">
        <v>3145</v>
      </c>
      <c r="U4" s="19" t="s">
        <v>3146</v>
      </c>
      <c r="V4" s="19" t="s">
        <v>4494</v>
      </c>
      <c r="W4" s="19" t="s">
        <v>4495</v>
      </c>
      <c r="X4" s="19" t="s">
        <v>4496</v>
      </c>
      <c r="Y4" s="19" t="s">
        <v>4497</v>
      </c>
      <c r="Z4" s="19" t="s">
        <v>4498</v>
      </c>
      <c r="AA4" s="19" t="s">
        <v>4499</v>
      </c>
      <c r="AB4" s="19" t="s">
        <v>4500</v>
      </c>
      <c r="AC4" s="19"/>
      <c r="AD4" s="19"/>
    </row>
    <row r="5" ht="14.25" customHeight="1">
      <c r="A5" s="18" t="s">
        <v>4501</v>
      </c>
      <c r="B5" s="16" t="s">
        <v>4502</v>
      </c>
      <c r="C5" s="16" t="s">
        <v>4503</v>
      </c>
      <c r="D5" s="16" t="s">
        <v>4504</v>
      </c>
      <c r="E5" s="16" t="s">
        <v>4505</v>
      </c>
      <c r="F5" s="16" t="s">
        <v>4504</v>
      </c>
      <c r="G5" s="16" t="s">
        <v>4504</v>
      </c>
      <c r="H5" s="16" t="s">
        <v>4504</v>
      </c>
      <c r="I5" s="16" t="s">
        <v>4504</v>
      </c>
      <c r="J5" s="16" t="s">
        <v>4506</v>
      </c>
      <c r="K5" s="16" t="s">
        <v>4502</v>
      </c>
      <c r="L5" s="16" t="s">
        <v>4502</v>
      </c>
      <c r="M5" s="16" t="s">
        <v>4502</v>
      </c>
      <c r="N5" s="19" t="s">
        <v>4502</v>
      </c>
      <c r="O5" s="19" t="s">
        <v>4502</v>
      </c>
      <c r="P5" s="17" t="s">
        <v>4507</v>
      </c>
      <c r="Q5" s="16"/>
      <c r="R5" s="16" t="s">
        <v>4506</v>
      </c>
      <c r="S5" s="16" t="s">
        <v>4507</v>
      </c>
      <c r="T5" s="16" t="s">
        <v>4507</v>
      </c>
      <c r="U5" s="16" t="s">
        <v>4507</v>
      </c>
      <c r="V5" s="16" t="s">
        <v>4507</v>
      </c>
      <c r="W5" s="16" t="s">
        <v>4507</v>
      </c>
      <c r="X5" s="16" t="s">
        <v>4507</v>
      </c>
      <c r="Y5" s="16" t="s">
        <v>4507</v>
      </c>
      <c r="Z5" s="16" t="s">
        <v>4502</v>
      </c>
      <c r="AA5" s="16" t="s">
        <v>4502</v>
      </c>
      <c r="AB5" s="16" t="s">
        <v>4502</v>
      </c>
      <c r="AC5" s="16"/>
      <c r="AD5" s="16"/>
    </row>
    <row r="6" ht="39.75" customHeight="1">
      <c r="A6" s="21" t="s">
        <v>4508</v>
      </c>
      <c r="B6" s="22" t="s">
        <v>4509</v>
      </c>
      <c r="C6" s="23" t="s">
        <v>4510</v>
      </c>
      <c r="D6" s="24"/>
      <c r="E6" s="25"/>
      <c r="F6" s="26"/>
      <c r="G6" s="26"/>
      <c r="H6" s="26"/>
      <c r="I6" s="26" t="s">
        <v>4511</v>
      </c>
      <c r="J6" s="26"/>
      <c r="K6" s="26" t="s">
        <v>4512</v>
      </c>
      <c r="L6" s="26" t="s">
        <v>4513</v>
      </c>
      <c r="M6" s="26"/>
      <c r="N6" s="26"/>
      <c r="O6" s="26" t="s">
        <v>4514</v>
      </c>
      <c r="P6" s="27"/>
      <c r="Q6" s="26"/>
      <c r="R6" s="26" t="s">
        <v>4515</v>
      </c>
      <c r="S6" s="26"/>
      <c r="T6" s="26"/>
      <c r="U6" s="26"/>
      <c r="V6" s="26" t="s">
        <v>4514</v>
      </c>
      <c r="W6" s="26"/>
      <c r="X6" s="26"/>
      <c r="Y6" s="26"/>
      <c r="Z6" s="26" t="s">
        <v>3232</v>
      </c>
      <c r="AA6" s="26" t="s">
        <v>3232</v>
      </c>
      <c r="AB6" s="23" t="s">
        <v>4516</v>
      </c>
      <c r="AC6" s="25"/>
      <c r="AD6" s="28"/>
    </row>
    <row r="7" ht="39.75" customHeight="1">
      <c r="A7" s="29"/>
      <c r="B7" s="29"/>
      <c r="C7" s="29" t="s">
        <v>4517</v>
      </c>
      <c r="D7" s="29" t="s">
        <v>4518</v>
      </c>
      <c r="E7" s="29" t="s">
        <v>4519</v>
      </c>
      <c r="F7" s="29" t="s">
        <v>4520</v>
      </c>
      <c r="G7" s="29" t="s">
        <v>4521</v>
      </c>
      <c r="H7" s="29" t="s">
        <v>4522</v>
      </c>
      <c r="I7" s="29" t="s">
        <v>4523</v>
      </c>
      <c r="J7" s="29" t="s">
        <v>4524</v>
      </c>
      <c r="K7" s="29" t="s">
        <v>4525</v>
      </c>
      <c r="L7" s="29" t="s">
        <v>4526</v>
      </c>
      <c r="M7" s="29" t="s">
        <v>4527</v>
      </c>
      <c r="N7" s="29" t="s">
        <v>4528</v>
      </c>
      <c r="O7" s="29"/>
      <c r="P7" s="29" t="s">
        <v>4529</v>
      </c>
      <c r="Q7" s="30"/>
      <c r="R7" s="29" t="s">
        <v>4530</v>
      </c>
      <c r="S7" s="29" t="s">
        <v>4531</v>
      </c>
      <c r="T7" s="29" t="s">
        <v>4532</v>
      </c>
      <c r="U7" s="29" t="s">
        <v>4533</v>
      </c>
      <c r="V7" s="29"/>
      <c r="W7" s="29" t="s">
        <v>4534</v>
      </c>
      <c r="X7" s="29" t="s">
        <v>4534</v>
      </c>
      <c r="Y7" s="29"/>
      <c r="Z7" s="29" t="s">
        <v>4534</v>
      </c>
      <c r="AA7" s="29" t="s">
        <v>4534</v>
      </c>
      <c r="AB7" s="29"/>
      <c r="AC7" s="31"/>
      <c r="AD7" s="28"/>
    </row>
    <row r="8" ht="39.75" customHeight="1">
      <c r="A8" s="32"/>
      <c r="B8" s="32"/>
      <c r="C8" s="32"/>
      <c r="D8" s="32"/>
      <c r="E8" s="32"/>
      <c r="F8" s="32"/>
      <c r="G8" s="32"/>
      <c r="H8" s="32"/>
      <c r="I8" s="32"/>
      <c r="J8" s="32"/>
      <c r="K8" s="32"/>
      <c r="L8" s="32"/>
      <c r="M8" s="32"/>
      <c r="N8" s="32"/>
      <c r="O8" s="32"/>
      <c r="P8" s="32"/>
      <c r="Q8" s="30"/>
      <c r="R8" s="32"/>
      <c r="S8" s="32"/>
      <c r="T8" s="32"/>
      <c r="U8" s="32"/>
      <c r="V8" s="32"/>
      <c r="W8" s="32"/>
      <c r="X8" s="32"/>
      <c r="Y8" s="32"/>
      <c r="Z8" s="32"/>
      <c r="AA8" s="32"/>
      <c r="AB8" s="32"/>
      <c r="AC8" s="31"/>
      <c r="AD8" s="28"/>
    </row>
    <row r="9" ht="39.75" customHeight="1">
      <c r="A9" s="33"/>
      <c r="B9" s="33"/>
      <c r="C9" s="33"/>
      <c r="D9" s="33"/>
      <c r="E9" s="33"/>
      <c r="F9" s="33"/>
      <c r="G9" s="33"/>
      <c r="H9" s="33"/>
      <c r="I9" s="33"/>
      <c r="J9" s="33"/>
      <c r="K9" s="33"/>
      <c r="L9" s="33"/>
      <c r="M9" s="33"/>
      <c r="N9" s="33"/>
      <c r="O9" s="33"/>
      <c r="P9" s="33"/>
      <c r="Q9" s="30"/>
      <c r="R9" s="33"/>
      <c r="S9" s="33"/>
      <c r="T9" s="33"/>
      <c r="U9" s="33"/>
      <c r="V9" s="33"/>
      <c r="W9" s="33"/>
      <c r="X9" s="33"/>
      <c r="Y9" s="33"/>
      <c r="Z9" s="33"/>
      <c r="AA9" s="33"/>
      <c r="AB9" s="33"/>
      <c r="AC9" s="31"/>
      <c r="AD9" s="28"/>
    </row>
    <row r="10" ht="14.25" customHeight="1">
      <c r="A10" s="15" t="s">
        <v>4535</v>
      </c>
      <c r="B10" s="16"/>
      <c r="C10" s="16" t="s">
        <v>4536</v>
      </c>
      <c r="D10" s="16" t="s">
        <v>4537</v>
      </c>
      <c r="E10" s="16" t="s">
        <v>4538</v>
      </c>
      <c r="F10" s="16" t="s">
        <v>3457</v>
      </c>
      <c r="G10" s="16" t="s">
        <v>3169</v>
      </c>
      <c r="H10" s="16" t="s">
        <v>3217</v>
      </c>
      <c r="I10" s="16" t="s">
        <v>3187</v>
      </c>
      <c r="J10" s="16"/>
      <c r="K10" s="16" t="s">
        <v>4539</v>
      </c>
      <c r="L10" s="16" t="s">
        <v>3167</v>
      </c>
      <c r="M10" s="16" t="s">
        <v>4540</v>
      </c>
      <c r="N10" s="16" t="s">
        <v>3530</v>
      </c>
      <c r="O10" s="16" t="s">
        <v>4541</v>
      </c>
      <c r="P10" s="13" t="s">
        <v>3480</v>
      </c>
      <c r="Q10" s="34" t="s">
        <v>4542</v>
      </c>
      <c r="R10" s="35" t="s">
        <v>4543</v>
      </c>
      <c r="S10" s="35" t="s">
        <v>3175</v>
      </c>
      <c r="T10" s="16" t="s">
        <v>3183</v>
      </c>
      <c r="U10" s="16" t="s">
        <v>3177</v>
      </c>
      <c r="V10" s="16" t="s">
        <v>4544</v>
      </c>
      <c r="W10" s="16" t="s">
        <v>4545</v>
      </c>
      <c r="X10" s="16" t="s">
        <v>4545</v>
      </c>
      <c r="Y10" s="16" t="s">
        <v>4546</v>
      </c>
      <c r="Z10" s="16"/>
      <c r="AA10" s="16"/>
      <c r="AB10" s="16"/>
      <c r="AC10" s="16"/>
      <c r="AD10" s="16"/>
    </row>
    <row r="11" ht="14.25" customHeight="1">
      <c r="A11" s="16"/>
      <c r="B11" s="16"/>
      <c r="C11" s="16"/>
      <c r="D11" s="16" t="s">
        <v>4547</v>
      </c>
      <c r="E11" s="16" t="s">
        <v>4548</v>
      </c>
      <c r="F11" s="16" t="s">
        <v>3153</v>
      </c>
      <c r="G11" s="16" t="s">
        <v>3154</v>
      </c>
      <c r="H11" s="16" t="s">
        <v>3284</v>
      </c>
      <c r="I11" s="16" t="s">
        <v>3180</v>
      </c>
      <c r="J11" s="16"/>
      <c r="K11" s="16" t="s">
        <v>4145</v>
      </c>
      <c r="L11" s="13" t="s">
        <v>4549</v>
      </c>
      <c r="M11" s="16" t="s">
        <v>4550</v>
      </c>
      <c r="N11" s="16" t="s">
        <v>3160</v>
      </c>
      <c r="O11" s="16" t="s">
        <v>4551</v>
      </c>
      <c r="P11" s="13" t="s">
        <v>3792</v>
      </c>
      <c r="Q11" s="34" t="s">
        <v>4552</v>
      </c>
      <c r="R11" s="16"/>
      <c r="S11" s="16" t="s">
        <v>3267</v>
      </c>
      <c r="T11" s="16" t="s">
        <v>3159</v>
      </c>
      <c r="U11" s="16" t="s">
        <v>3163</v>
      </c>
      <c r="V11" s="16" t="s">
        <v>4551</v>
      </c>
      <c r="W11" s="16" t="s">
        <v>4553</v>
      </c>
      <c r="X11" s="16" t="s">
        <v>4553</v>
      </c>
      <c r="Y11" s="16" t="s">
        <v>4554</v>
      </c>
      <c r="Z11" s="16"/>
      <c r="AA11" s="16"/>
      <c r="AB11" s="16"/>
      <c r="AC11" s="16"/>
      <c r="AD11" s="16"/>
    </row>
    <row r="12" ht="14.25" customHeight="1">
      <c r="A12" s="16"/>
      <c r="B12" s="16"/>
      <c r="C12" s="16"/>
      <c r="D12" s="16"/>
      <c r="E12" s="16"/>
      <c r="F12" s="16" t="s">
        <v>3315</v>
      </c>
      <c r="G12" s="16" t="s">
        <v>3179</v>
      </c>
      <c r="H12" s="16" t="s">
        <v>3211</v>
      </c>
      <c r="I12" s="16" t="s">
        <v>3167</v>
      </c>
      <c r="J12" s="16"/>
      <c r="K12" s="16" t="s">
        <v>4555</v>
      </c>
      <c r="L12" s="13" t="s">
        <v>4556</v>
      </c>
      <c r="M12" s="16" t="s">
        <v>3183</v>
      </c>
      <c r="N12" s="16"/>
      <c r="O12" s="16"/>
      <c r="P12" s="13" t="s">
        <v>4135</v>
      </c>
      <c r="Q12" s="34" t="s">
        <v>4557</v>
      </c>
      <c r="R12" s="16"/>
      <c r="S12" s="16" t="s">
        <v>3162</v>
      </c>
      <c r="T12" s="16" t="s">
        <v>4558</v>
      </c>
      <c r="U12" s="16"/>
      <c r="V12" s="16"/>
      <c r="W12" s="16" t="s">
        <v>4559</v>
      </c>
      <c r="X12" s="16" t="s">
        <v>4559</v>
      </c>
      <c r="Y12" s="16" t="s">
        <v>3167</v>
      </c>
      <c r="Z12" s="16"/>
      <c r="AA12" s="16"/>
      <c r="AB12" s="16"/>
      <c r="AC12" s="16"/>
      <c r="AD12" s="16"/>
    </row>
    <row r="13" ht="14.25" customHeight="1">
      <c r="A13" s="16"/>
      <c r="B13" s="16"/>
      <c r="C13" s="8"/>
      <c r="D13" s="8"/>
      <c r="E13" s="8"/>
      <c r="F13" s="16"/>
      <c r="G13" s="16"/>
      <c r="H13" s="16" t="s">
        <v>3155</v>
      </c>
      <c r="I13" s="16" t="s">
        <v>3202</v>
      </c>
      <c r="J13" s="16"/>
      <c r="K13" s="16" t="s">
        <v>4560</v>
      </c>
      <c r="L13" s="13" t="s">
        <v>4561</v>
      </c>
      <c r="M13" s="16" t="s">
        <v>3173</v>
      </c>
      <c r="N13" s="16"/>
      <c r="O13" s="16"/>
      <c r="P13" s="36" t="s">
        <v>3328</v>
      </c>
      <c r="Q13" s="34" t="s">
        <v>4562</v>
      </c>
      <c r="R13" s="16"/>
      <c r="S13" s="16"/>
      <c r="T13" s="16" t="s">
        <v>4563</v>
      </c>
      <c r="U13" s="16"/>
      <c r="V13" s="16"/>
      <c r="W13" s="16" t="s">
        <v>4564</v>
      </c>
      <c r="X13" s="16" t="s">
        <v>4564</v>
      </c>
      <c r="Y13" s="16"/>
      <c r="Z13" s="16"/>
      <c r="AA13" s="16"/>
      <c r="AB13" s="16"/>
      <c r="AC13" s="16"/>
      <c r="AD13" s="16"/>
    </row>
    <row r="14" ht="14.25" customHeight="1">
      <c r="A14" s="16"/>
      <c r="B14" s="16"/>
      <c r="C14" s="8"/>
      <c r="D14" s="8"/>
      <c r="E14" s="8"/>
      <c r="F14" s="16"/>
      <c r="G14" s="16"/>
      <c r="H14" s="16" t="s">
        <v>3192</v>
      </c>
      <c r="I14" s="16" t="s">
        <v>3304</v>
      </c>
      <c r="J14" s="16"/>
      <c r="K14" s="16" t="s">
        <v>4565</v>
      </c>
      <c r="L14" s="13" t="s">
        <v>3374</v>
      </c>
      <c r="M14" s="16" t="s">
        <v>4566</v>
      </c>
      <c r="N14" s="16"/>
      <c r="O14" s="16"/>
      <c r="P14" s="13" t="s">
        <v>3477</v>
      </c>
      <c r="Q14" s="34" t="s">
        <v>4567</v>
      </c>
      <c r="R14" s="16"/>
      <c r="S14" s="16"/>
      <c r="T14" s="16" t="s">
        <v>4568</v>
      </c>
      <c r="U14" s="16"/>
      <c r="V14" s="16"/>
      <c r="W14" s="16" t="s">
        <v>4569</v>
      </c>
      <c r="X14" s="16" t="s">
        <v>4569</v>
      </c>
      <c r="Y14" s="16"/>
      <c r="Z14" s="16"/>
      <c r="AA14" s="16"/>
      <c r="AB14" s="16"/>
      <c r="AC14" s="16"/>
      <c r="AD14" s="16"/>
    </row>
    <row r="15" ht="14.25" customHeight="1">
      <c r="A15" s="16"/>
      <c r="B15" s="16"/>
      <c r="C15" s="16"/>
      <c r="D15" s="16"/>
      <c r="E15" s="16"/>
      <c r="F15" s="16"/>
      <c r="G15" s="16"/>
      <c r="H15" s="16" t="s">
        <v>3170</v>
      </c>
      <c r="I15" s="16" t="s">
        <v>3366</v>
      </c>
      <c r="J15" s="16"/>
      <c r="K15" s="16" t="s">
        <v>4570</v>
      </c>
      <c r="L15" s="13" t="s">
        <v>4571</v>
      </c>
      <c r="M15" s="16" t="s">
        <v>4572</v>
      </c>
      <c r="N15" s="16"/>
      <c r="O15" s="16"/>
      <c r="P15" s="13" t="s">
        <v>3497</v>
      </c>
      <c r="Q15" s="34" t="s">
        <v>4573</v>
      </c>
      <c r="R15" s="16"/>
      <c r="S15" s="16"/>
      <c r="T15" s="16" t="s">
        <v>4550</v>
      </c>
      <c r="U15" s="16"/>
      <c r="V15" s="16"/>
      <c r="W15" s="16" t="s">
        <v>4574</v>
      </c>
      <c r="X15" s="16" t="s">
        <v>4574</v>
      </c>
      <c r="Y15" s="16"/>
      <c r="Z15" s="16"/>
      <c r="AA15" s="16"/>
      <c r="AB15" s="16"/>
      <c r="AC15" s="16"/>
      <c r="AD15" s="16"/>
    </row>
    <row r="16" ht="14.25" customHeight="1">
      <c r="A16" s="16"/>
      <c r="B16" s="16"/>
      <c r="C16" s="16"/>
      <c r="D16" s="16"/>
      <c r="E16" s="16"/>
      <c r="F16" s="16"/>
      <c r="G16" s="16"/>
      <c r="H16" s="16"/>
      <c r="I16" s="16" t="s">
        <v>3538</v>
      </c>
      <c r="J16" s="16"/>
      <c r="K16" s="16" t="s">
        <v>4575</v>
      </c>
      <c r="L16" s="13" t="s">
        <v>4576</v>
      </c>
      <c r="M16" s="16" t="s">
        <v>4568</v>
      </c>
      <c r="N16" s="16"/>
      <c r="O16" s="16"/>
      <c r="P16" s="13" t="s">
        <v>3200</v>
      </c>
      <c r="Q16" s="34" t="s">
        <v>4577</v>
      </c>
      <c r="R16" s="16"/>
      <c r="S16" s="16"/>
      <c r="T16" s="16" t="s">
        <v>4578</v>
      </c>
      <c r="U16" s="16"/>
      <c r="V16" s="16"/>
      <c r="W16" s="16" t="s">
        <v>4579</v>
      </c>
      <c r="X16" s="16" t="s">
        <v>4579</v>
      </c>
      <c r="Y16" s="16"/>
      <c r="Z16" s="16"/>
      <c r="AA16" s="16"/>
      <c r="AB16" s="16"/>
      <c r="AC16" s="16"/>
      <c r="AD16" s="16"/>
    </row>
    <row r="17" ht="14.25" customHeight="1">
      <c r="A17" s="16"/>
      <c r="B17" s="16"/>
      <c r="C17" s="16"/>
      <c r="D17" s="16"/>
      <c r="E17" s="16"/>
      <c r="F17" s="16"/>
      <c r="G17" s="16"/>
      <c r="H17" s="16"/>
      <c r="I17" s="16" t="s">
        <v>3588</v>
      </c>
      <c r="J17" s="16"/>
      <c r="K17" s="16" t="s">
        <v>4580</v>
      </c>
      <c r="L17" s="13" t="s">
        <v>4581</v>
      </c>
      <c r="M17" s="16" t="s">
        <v>4582</v>
      </c>
      <c r="N17" s="16"/>
      <c r="O17" s="16"/>
      <c r="P17" s="13" t="s">
        <v>3373</v>
      </c>
      <c r="Q17" s="34" t="s">
        <v>4583</v>
      </c>
      <c r="R17" s="16"/>
      <c r="S17" s="16"/>
      <c r="T17" s="16" t="s">
        <v>4584</v>
      </c>
      <c r="U17" s="16"/>
      <c r="V17" s="16"/>
      <c r="W17" s="16" t="s">
        <v>4585</v>
      </c>
      <c r="X17" s="16" t="s">
        <v>4585</v>
      </c>
      <c r="Y17" s="16"/>
      <c r="Z17" s="16"/>
      <c r="AA17" s="16"/>
      <c r="AB17" s="16"/>
      <c r="AC17" s="16"/>
      <c r="AD17" s="16"/>
    </row>
    <row r="18" ht="14.25" customHeight="1">
      <c r="A18" s="16"/>
      <c r="B18" s="16"/>
      <c r="C18" s="16"/>
      <c r="D18" s="16"/>
      <c r="E18" s="16"/>
      <c r="F18" s="16"/>
      <c r="G18" s="16"/>
      <c r="H18" s="16"/>
      <c r="I18" s="16" t="s">
        <v>3793</v>
      </c>
      <c r="J18" s="16"/>
      <c r="K18" s="16" t="s">
        <v>4586</v>
      </c>
      <c r="L18" s="13" t="s">
        <v>4587</v>
      </c>
      <c r="M18" s="16"/>
      <c r="N18" s="16"/>
      <c r="O18" s="16"/>
      <c r="P18" s="13" t="s">
        <v>3484</v>
      </c>
      <c r="Q18" s="34" t="s">
        <v>4588</v>
      </c>
      <c r="R18" s="16"/>
      <c r="S18" s="16"/>
      <c r="T18" s="16" t="s">
        <v>4572</v>
      </c>
      <c r="U18" s="16"/>
      <c r="V18" s="16"/>
      <c r="W18" s="16" t="s">
        <v>3167</v>
      </c>
      <c r="X18" s="16" t="s">
        <v>3167</v>
      </c>
      <c r="Y18" s="16"/>
      <c r="Z18" s="16"/>
      <c r="AA18" s="16"/>
      <c r="AB18" s="16"/>
      <c r="AC18" s="16"/>
      <c r="AD18" s="16"/>
    </row>
    <row r="19" ht="14.25" customHeight="1">
      <c r="A19" s="16"/>
      <c r="B19" s="16"/>
      <c r="C19" s="16"/>
      <c r="D19" s="16"/>
      <c r="E19" s="16"/>
      <c r="F19" s="16"/>
      <c r="G19" s="16"/>
      <c r="H19" s="16"/>
      <c r="I19" s="16"/>
      <c r="J19" s="16"/>
      <c r="K19" s="16" t="s">
        <v>4589</v>
      </c>
      <c r="L19" s="13" t="s">
        <v>4413</v>
      </c>
      <c r="M19" s="16"/>
      <c r="N19" s="16"/>
      <c r="O19" s="16"/>
      <c r="P19" s="13" t="s">
        <v>3317</v>
      </c>
      <c r="Q19" s="34" t="s">
        <v>4590</v>
      </c>
      <c r="R19" s="16"/>
      <c r="S19" s="16"/>
      <c r="T19" s="16"/>
      <c r="U19" s="16"/>
      <c r="V19" s="16"/>
      <c r="W19" s="16"/>
      <c r="X19" s="16"/>
      <c r="Y19" s="16"/>
      <c r="Z19" s="16"/>
      <c r="AA19" s="16"/>
      <c r="AB19" s="16"/>
      <c r="AC19" s="16"/>
      <c r="AD19" s="16"/>
    </row>
    <row r="20" ht="14.25" customHeight="1">
      <c r="A20" s="16"/>
      <c r="B20" s="16"/>
      <c r="C20" s="16"/>
      <c r="D20" s="16"/>
      <c r="E20" s="16"/>
      <c r="F20" s="16"/>
      <c r="G20" s="16"/>
      <c r="H20" s="16"/>
      <c r="I20" s="16"/>
      <c r="J20" s="16"/>
      <c r="K20" s="16" t="s">
        <v>4591</v>
      </c>
      <c r="L20" s="13" t="s">
        <v>4214</v>
      </c>
      <c r="M20" s="16"/>
      <c r="N20" s="16"/>
      <c r="O20" s="16"/>
      <c r="P20" s="13" t="s">
        <v>3258</v>
      </c>
      <c r="Q20" s="34" t="s">
        <v>4592</v>
      </c>
      <c r="R20" s="16"/>
      <c r="S20" s="16"/>
      <c r="T20" s="16"/>
      <c r="U20" s="16"/>
      <c r="V20" s="16"/>
      <c r="W20" s="16"/>
      <c r="X20" s="16"/>
      <c r="Y20" s="16"/>
      <c r="Z20" s="16"/>
      <c r="AA20" s="16"/>
      <c r="AB20" s="16"/>
      <c r="AC20" s="16"/>
      <c r="AD20" s="16"/>
    </row>
    <row r="21" ht="14.25" customHeight="1">
      <c r="A21" s="16"/>
      <c r="B21" s="16"/>
      <c r="C21" s="16"/>
      <c r="D21" s="16"/>
      <c r="E21" s="16"/>
      <c r="F21" s="16"/>
      <c r="G21" s="16"/>
      <c r="H21" s="16"/>
      <c r="I21" s="16"/>
      <c r="J21" s="16"/>
      <c r="K21" s="16" t="s">
        <v>4593</v>
      </c>
      <c r="L21" s="13" t="s">
        <v>3278</v>
      </c>
      <c r="M21" s="16"/>
      <c r="N21" s="16"/>
      <c r="O21" s="16"/>
      <c r="P21" s="13" t="s">
        <v>3331</v>
      </c>
      <c r="Q21" s="34" t="s">
        <v>4594</v>
      </c>
      <c r="R21" s="16"/>
      <c r="S21" s="16"/>
      <c r="T21" s="16"/>
      <c r="U21" s="16"/>
      <c r="V21" s="16"/>
      <c r="W21" s="16"/>
      <c r="X21" s="16"/>
      <c r="Y21" s="16"/>
      <c r="Z21" s="16"/>
      <c r="AA21" s="16"/>
      <c r="AB21" s="16"/>
      <c r="AC21" s="16"/>
      <c r="AD21" s="16"/>
    </row>
    <row r="22" ht="14.25" customHeight="1">
      <c r="A22" s="16"/>
      <c r="B22" s="16"/>
      <c r="C22" s="16"/>
      <c r="D22" s="16"/>
      <c r="E22" s="16"/>
      <c r="F22" s="16"/>
      <c r="G22" s="16"/>
      <c r="H22" s="16"/>
      <c r="I22" s="16"/>
      <c r="J22" s="16"/>
      <c r="K22" s="16" t="s">
        <v>4595</v>
      </c>
      <c r="L22" s="13" t="s">
        <v>3204</v>
      </c>
      <c r="M22" s="16"/>
      <c r="N22" s="16"/>
      <c r="O22" s="16"/>
      <c r="P22" s="36" t="s">
        <v>4596</v>
      </c>
      <c r="Q22" s="34" t="s">
        <v>4597</v>
      </c>
      <c r="R22" s="16"/>
      <c r="S22" s="16"/>
      <c r="T22" s="16"/>
      <c r="U22" s="16"/>
      <c r="V22" s="16"/>
      <c r="W22" s="16"/>
      <c r="X22" s="16"/>
      <c r="Y22" s="16"/>
      <c r="Z22" s="16"/>
      <c r="AA22" s="16"/>
      <c r="AB22" s="16"/>
      <c r="AC22" s="16"/>
      <c r="AD22" s="16"/>
    </row>
    <row r="23" ht="14.25" customHeight="1">
      <c r="A23" s="16"/>
      <c r="B23" s="16"/>
      <c r="C23" s="16"/>
      <c r="D23" s="16"/>
      <c r="E23" s="16"/>
      <c r="F23" s="16"/>
      <c r="G23" s="16"/>
      <c r="H23" s="16"/>
      <c r="I23" s="16"/>
      <c r="J23" s="16"/>
      <c r="K23" s="16" t="s">
        <v>4598</v>
      </c>
      <c r="L23" s="13" t="s">
        <v>4599</v>
      </c>
      <c r="M23" s="16"/>
      <c r="N23" s="16"/>
      <c r="O23" s="16"/>
      <c r="P23" s="13" t="s">
        <v>3230</v>
      </c>
      <c r="Q23" s="34" t="s">
        <v>4600</v>
      </c>
      <c r="R23" s="16"/>
      <c r="S23" s="16"/>
      <c r="T23" s="16"/>
      <c r="U23" s="16"/>
      <c r="V23" s="16"/>
      <c r="W23" s="16"/>
      <c r="X23" s="16"/>
      <c r="Y23" s="16"/>
      <c r="Z23" s="16"/>
      <c r="AA23" s="16"/>
      <c r="AB23" s="16"/>
      <c r="AC23" s="16"/>
      <c r="AD23" s="16"/>
    </row>
    <row r="24" ht="14.25" customHeight="1">
      <c r="A24" s="16"/>
      <c r="B24" s="16"/>
      <c r="C24" s="16"/>
      <c r="D24" s="16"/>
      <c r="E24" s="16"/>
      <c r="F24" s="16"/>
      <c r="G24" s="16"/>
      <c r="H24" s="16"/>
      <c r="I24" s="16"/>
      <c r="J24" s="16"/>
      <c r="K24" s="16" t="s">
        <v>4601</v>
      </c>
      <c r="L24" s="13" t="s">
        <v>4602</v>
      </c>
      <c r="M24" s="16"/>
      <c r="N24" s="16"/>
      <c r="O24" s="16"/>
      <c r="P24" s="13" t="s">
        <v>3363</v>
      </c>
      <c r="Q24" s="34" t="s">
        <v>4603</v>
      </c>
      <c r="R24" s="16"/>
      <c r="S24" s="16"/>
      <c r="T24" s="16"/>
      <c r="U24" s="16"/>
      <c r="V24" s="16"/>
      <c r="W24" s="16"/>
      <c r="X24" s="16"/>
      <c r="Y24" s="16"/>
      <c r="Z24" s="16"/>
      <c r="AA24" s="16"/>
      <c r="AB24" s="16"/>
      <c r="AC24" s="16"/>
      <c r="AD24" s="16"/>
    </row>
    <row r="25" ht="14.25" customHeight="1">
      <c r="A25" s="16"/>
      <c r="B25" s="16"/>
      <c r="C25" s="16"/>
      <c r="D25" s="16"/>
      <c r="E25" s="16"/>
      <c r="F25" s="16"/>
      <c r="G25" s="16"/>
      <c r="H25" s="16"/>
      <c r="I25" s="16"/>
      <c r="J25" s="16"/>
      <c r="K25" s="16" t="s">
        <v>4604</v>
      </c>
      <c r="L25" s="13" t="s">
        <v>4145</v>
      </c>
      <c r="M25" s="16"/>
      <c r="N25" s="16"/>
      <c r="O25" s="16"/>
      <c r="P25" s="13" t="s">
        <v>3184</v>
      </c>
      <c r="Q25" s="34" t="s">
        <v>4605</v>
      </c>
      <c r="R25" s="16"/>
      <c r="S25" s="16"/>
      <c r="T25" s="16"/>
      <c r="U25" s="16"/>
      <c r="V25" s="16"/>
      <c r="W25" s="16"/>
      <c r="X25" s="16"/>
      <c r="Y25" s="16"/>
      <c r="Z25" s="16"/>
      <c r="AA25" s="16"/>
      <c r="AB25" s="16"/>
      <c r="AC25" s="16"/>
      <c r="AD25" s="16"/>
    </row>
    <row r="26" ht="14.25" customHeight="1">
      <c r="A26" s="16"/>
      <c r="B26" s="16"/>
      <c r="C26" s="16"/>
      <c r="D26" s="16"/>
      <c r="E26" s="16"/>
      <c r="F26" s="16"/>
      <c r="G26" s="16"/>
      <c r="H26" s="16"/>
      <c r="I26" s="16"/>
      <c r="J26" s="16"/>
      <c r="K26" s="16" t="s">
        <v>4606</v>
      </c>
      <c r="L26" s="13" t="s">
        <v>4607</v>
      </c>
      <c r="M26" s="16"/>
      <c r="N26" s="16"/>
      <c r="O26" s="16"/>
      <c r="P26" s="13" t="s">
        <v>4608</v>
      </c>
      <c r="Q26" s="34" t="s">
        <v>4609</v>
      </c>
      <c r="R26" s="16"/>
      <c r="S26" s="16"/>
      <c r="T26" s="16"/>
      <c r="U26" s="16"/>
      <c r="V26" s="16"/>
      <c r="W26" s="16"/>
      <c r="X26" s="16"/>
      <c r="Y26" s="16"/>
      <c r="Z26" s="16"/>
      <c r="AA26" s="16"/>
      <c r="AB26" s="16"/>
      <c r="AC26" s="16"/>
      <c r="AD26" s="16"/>
    </row>
    <row r="27" ht="14.25" customHeight="1">
      <c r="A27" s="16"/>
      <c r="B27" s="16"/>
      <c r="C27" s="16"/>
      <c r="D27" s="16"/>
      <c r="E27" s="16"/>
      <c r="F27" s="16"/>
      <c r="G27" s="16"/>
      <c r="H27" s="16"/>
      <c r="I27" s="16"/>
      <c r="J27" s="16"/>
      <c r="K27" s="16" t="s">
        <v>3167</v>
      </c>
      <c r="L27" s="13" t="s">
        <v>4610</v>
      </c>
      <c r="M27" s="16"/>
      <c r="N27" s="16"/>
      <c r="O27" s="16"/>
      <c r="P27" s="36" t="s">
        <v>4365</v>
      </c>
      <c r="Q27" s="34" t="s">
        <v>4611</v>
      </c>
      <c r="R27" s="16"/>
      <c r="S27" s="16"/>
      <c r="T27" s="16"/>
      <c r="U27" s="16"/>
      <c r="V27" s="16"/>
      <c r="W27" s="16"/>
      <c r="X27" s="16"/>
      <c r="Y27" s="16"/>
      <c r="Z27" s="16"/>
      <c r="AA27" s="16"/>
      <c r="AB27" s="16"/>
      <c r="AC27" s="16"/>
      <c r="AD27" s="16"/>
    </row>
    <row r="28" ht="14.25" customHeight="1">
      <c r="A28" s="16"/>
      <c r="B28" s="16"/>
      <c r="C28" s="16"/>
      <c r="D28" s="16"/>
      <c r="E28" s="16"/>
      <c r="F28" s="16"/>
      <c r="G28" s="16"/>
      <c r="H28" s="16"/>
      <c r="I28" s="16"/>
      <c r="J28" s="16"/>
      <c r="K28" s="16"/>
      <c r="L28" s="13" t="s">
        <v>4289</v>
      </c>
      <c r="M28" s="16"/>
      <c r="N28" s="16"/>
      <c r="O28" s="16"/>
      <c r="P28" s="13" t="s">
        <v>3391</v>
      </c>
      <c r="Q28" s="34" t="s">
        <v>4612</v>
      </c>
      <c r="R28" s="16"/>
      <c r="S28" s="16"/>
      <c r="T28" s="16"/>
      <c r="U28" s="16"/>
      <c r="V28" s="16"/>
      <c r="W28" s="16"/>
      <c r="X28" s="16"/>
      <c r="Y28" s="16"/>
      <c r="Z28" s="16"/>
      <c r="AA28" s="16"/>
      <c r="AB28" s="16"/>
      <c r="AC28" s="16"/>
      <c r="AD28" s="16"/>
    </row>
    <row r="29" ht="14.25" customHeight="1">
      <c r="A29" s="16"/>
      <c r="B29" s="16"/>
      <c r="C29" s="16"/>
      <c r="D29" s="16"/>
      <c r="E29" s="16"/>
      <c r="F29" s="16"/>
      <c r="G29" s="16"/>
      <c r="H29" s="16"/>
      <c r="I29" s="16"/>
      <c r="J29" s="16"/>
      <c r="K29" s="16"/>
      <c r="L29" s="13" t="s">
        <v>4306</v>
      </c>
      <c r="M29" s="16"/>
      <c r="N29" s="16"/>
      <c r="O29" s="16"/>
      <c r="P29" s="13" t="s">
        <v>3715</v>
      </c>
      <c r="Q29" s="34" t="s">
        <v>4613</v>
      </c>
      <c r="R29" s="16"/>
      <c r="S29" s="16"/>
      <c r="T29" s="16"/>
      <c r="U29" s="16"/>
      <c r="V29" s="16"/>
      <c r="W29" s="16"/>
      <c r="X29" s="16"/>
      <c r="Y29" s="16"/>
      <c r="Z29" s="16"/>
      <c r="AA29" s="16"/>
      <c r="AB29" s="16"/>
      <c r="AC29" s="16"/>
      <c r="AD29" s="16"/>
    </row>
    <row r="30" ht="14.25" customHeight="1">
      <c r="A30" s="16"/>
      <c r="B30" s="16"/>
      <c r="C30" s="16"/>
      <c r="D30" s="16"/>
      <c r="E30" s="16"/>
      <c r="F30" s="16"/>
      <c r="G30" s="16"/>
      <c r="H30" s="16"/>
      <c r="I30" s="16"/>
      <c r="J30" s="16"/>
      <c r="K30" s="16"/>
      <c r="L30" s="13" t="s">
        <v>3368</v>
      </c>
      <c r="M30" s="16"/>
      <c r="N30" s="16"/>
      <c r="O30" s="16"/>
      <c r="P30" s="13" t="s">
        <v>3426</v>
      </c>
      <c r="Q30" s="34" t="s">
        <v>4614</v>
      </c>
      <c r="R30" s="16"/>
      <c r="S30" s="16"/>
      <c r="T30" s="16"/>
      <c r="U30" s="16"/>
      <c r="V30" s="16"/>
      <c r="W30" s="16"/>
      <c r="X30" s="16"/>
      <c r="Y30" s="16"/>
      <c r="Z30" s="16"/>
      <c r="AA30" s="16"/>
      <c r="AB30" s="16"/>
      <c r="AC30" s="16"/>
      <c r="AD30" s="16"/>
    </row>
    <row r="31" ht="14.25" customHeight="1">
      <c r="A31" s="16"/>
      <c r="B31" s="16"/>
      <c r="C31" s="16"/>
      <c r="D31" s="16"/>
      <c r="E31" s="16"/>
      <c r="F31" s="16"/>
      <c r="G31" s="16"/>
      <c r="H31" s="16"/>
      <c r="I31" s="16"/>
      <c r="J31" s="16"/>
      <c r="K31" s="16"/>
      <c r="L31" s="13" t="s">
        <v>4615</v>
      </c>
      <c r="M31" s="16"/>
      <c r="N31" s="16"/>
      <c r="O31" s="16"/>
      <c r="P31" s="13" t="s">
        <v>3342</v>
      </c>
      <c r="Q31" s="34" t="s">
        <v>4616</v>
      </c>
      <c r="R31" s="16"/>
      <c r="S31" s="16"/>
      <c r="T31" s="16"/>
      <c r="U31" s="16"/>
      <c r="V31" s="16"/>
      <c r="W31" s="16"/>
      <c r="X31" s="16"/>
      <c r="Y31" s="16"/>
      <c r="Z31" s="16"/>
      <c r="AA31" s="16"/>
      <c r="AB31" s="16"/>
      <c r="AC31" s="16"/>
      <c r="AD31" s="16"/>
    </row>
    <row r="32" ht="14.25" customHeight="1">
      <c r="A32" s="16"/>
      <c r="B32" s="16"/>
      <c r="C32" s="16"/>
      <c r="D32" s="16"/>
      <c r="E32" s="16"/>
      <c r="F32" s="16"/>
      <c r="G32" s="16"/>
      <c r="H32" s="16"/>
      <c r="I32" s="16"/>
      <c r="J32" s="16"/>
      <c r="K32" s="16"/>
      <c r="L32" s="13" t="s">
        <v>3777</v>
      </c>
      <c r="M32" s="16"/>
      <c r="N32" s="16"/>
      <c r="O32" s="16"/>
      <c r="P32" s="36" t="s">
        <v>4617</v>
      </c>
      <c r="Q32" s="34" t="s">
        <v>4618</v>
      </c>
      <c r="R32" s="16"/>
      <c r="S32" s="16"/>
      <c r="T32" s="16"/>
      <c r="U32" s="16"/>
      <c r="V32" s="16"/>
      <c r="W32" s="16"/>
      <c r="X32" s="16"/>
      <c r="Y32" s="16"/>
      <c r="Z32" s="16"/>
      <c r="AA32" s="16"/>
      <c r="AB32" s="16"/>
      <c r="AC32" s="16"/>
      <c r="AD32" s="16"/>
    </row>
    <row r="33" ht="14.25" customHeight="1">
      <c r="A33" s="16"/>
      <c r="B33" s="16"/>
      <c r="C33" s="16"/>
      <c r="D33" s="16"/>
      <c r="E33" s="16"/>
      <c r="F33" s="16"/>
      <c r="G33" s="16"/>
      <c r="H33" s="16"/>
      <c r="I33" s="16"/>
      <c r="J33" s="16"/>
      <c r="K33" s="16"/>
      <c r="L33" s="13" t="s">
        <v>3277</v>
      </c>
      <c r="M33" s="16"/>
      <c r="N33" s="16"/>
      <c r="O33" s="16"/>
      <c r="P33" s="13" t="s">
        <v>3494</v>
      </c>
      <c r="Q33" s="34" t="s">
        <v>4619</v>
      </c>
      <c r="R33" s="16"/>
      <c r="S33" s="16"/>
      <c r="T33" s="16"/>
      <c r="U33" s="16"/>
      <c r="V33" s="16"/>
      <c r="W33" s="16"/>
      <c r="X33" s="16"/>
      <c r="Y33" s="16"/>
      <c r="Z33" s="16"/>
      <c r="AA33" s="16"/>
      <c r="AB33" s="16"/>
      <c r="AC33" s="16"/>
      <c r="AD33" s="16"/>
    </row>
    <row r="34" ht="14.25" customHeight="1">
      <c r="A34" s="16"/>
      <c r="B34" s="16"/>
      <c r="C34" s="16"/>
      <c r="D34" s="16"/>
      <c r="E34" s="16"/>
      <c r="F34" s="16"/>
      <c r="G34" s="16"/>
      <c r="H34" s="16"/>
      <c r="I34" s="16"/>
      <c r="J34" s="16"/>
      <c r="K34" s="16"/>
      <c r="L34" s="13" t="s">
        <v>4620</v>
      </c>
      <c r="M34" s="16"/>
      <c r="N34" s="16"/>
      <c r="O34" s="16"/>
      <c r="P34" s="13" t="s">
        <v>3246</v>
      </c>
      <c r="Q34" s="34" t="s">
        <v>4621</v>
      </c>
      <c r="R34" s="16"/>
      <c r="S34" s="16"/>
      <c r="T34" s="16"/>
      <c r="U34" s="16"/>
      <c r="V34" s="16"/>
      <c r="W34" s="16"/>
      <c r="X34" s="16"/>
      <c r="Y34" s="16"/>
      <c r="Z34" s="16"/>
      <c r="AA34" s="16"/>
      <c r="AB34" s="16"/>
      <c r="AC34" s="16"/>
      <c r="AD34" s="16"/>
    </row>
    <row r="35" ht="14.25" customHeight="1">
      <c r="A35" s="16"/>
      <c r="B35" s="16"/>
      <c r="C35" s="16"/>
      <c r="D35" s="16"/>
      <c r="E35" s="16"/>
      <c r="F35" s="16"/>
      <c r="G35" s="16"/>
      <c r="H35" s="16"/>
      <c r="I35" s="16"/>
      <c r="J35" s="16"/>
      <c r="K35" s="16"/>
      <c r="L35" s="13" t="s">
        <v>3442</v>
      </c>
      <c r="M35" s="16"/>
      <c r="N35" s="16"/>
      <c r="O35" s="16"/>
      <c r="P35" s="13" t="s">
        <v>3191</v>
      </c>
      <c r="Q35" s="34" t="s">
        <v>4622</v>
      </c>
      <c r="R35" s="16"/>
      <c r="S35" s="16"/>
      <c r="T35" s="16"/>
      <c r="U35" s="16"/>
      <c r="V35" s="16"/>
      <c r="W35" s="16"/>
      <c r="X35" s="16"/>
      <c r="Y35" s="16"/>
      <c r="Z35" s="16"/>
      <c r="AA35" s="16"/>
      <c r="AB35" s="16"/>
      <c r="AC35" s="16"/>
      <c r="AD35" s="16"/>
    </row>
    <row r="36" ht="14.25" customHeight="1">
      <c r="A36" s="16"/>
      <c r="B36" s="16"/>
      <c r="C36" s="16"/>
      <c r="D36" s="16"/>
      <c r="E36" s="16"/>
      <c r="F36" s="16"/>
      <c r="G36" s="16"/>
      <c r="H36" s="16"/>
      <c r="I36" s="16"/>
      <c r="J36" s="16"/>
      <c r="K36" s="16"/>
      <c r="L36" s="13" t="s">
        <v>3394</v>
      </c>
      <c r="M36" s="16"/>
      <c r="N36" s="16"/>
      <c r="O36" s="16"/>
      <c r="P36" s="13" t="s">
        <v>3399</v>
      </c>
      <c r="Q36" s="34" t="s">
        <v>4623</v>
      </c>
      <c r="R36" s="16"/>
      <c r="S36" s="16"/>
      <c r="T36" s="16"/>
      <c r="U36" s="16"/>
      <c r="V36" s="16"/>
      <c r="W36" s="16"/>
      <c r="X36" s="16"/>
      <c r="Y36" s="16"/>
      <c r="Z36" s="16"/>
      <c r="AA36" s="16"/>
      <c r="AB36" s="16"/>
      <c r="AC36" s="16"/>
      <c r="AD36" s="16"/>
    </row>
    <row r="37" ht="14.25" customHeight="1">
      <c r="A37" s="16"/>
      <c r="B37" s="16"/>
      <c r="C37" s="16"/>
      <c r="D37" s="16"/>
      <c r="E37" s="16"/>
      <c r="F37" s="16"/>
      <c r="G37" s="16"/>
      <c r="H37" s="16"/>
      <c r="I37" s="16"/>
      <c r="J37" s="16"/>
      <c r="K37" s="16"/>
      <c r="L37" s="13" t="s">
        <v>3714</v>
      </c>
      <c r="M37" s="16"/>
      <c r="N37" s="16"/>
      <c r="O37" s="16"/>
      <c r="P37" s="13" t="s">
        <v>3291</v>
      </c>
      <c r="Q37" s="34" t="s">
        <v>4624</v>
      </c>
      <c r="R37" s="16"/>
      <c r="S37" s="16"/>
      <c r="T37" s="16"/>
      <c r="U37" s="16"/>
      <c r="V37" s="16"/>
      <c r="W37" s="16"/>
      <c r="X37" s="16"/>
      <c r="Y37" s="16"/>
      <c r="Z37" s="16"/>
      <c r="AA37" s="16"/>
      <c r="AB37" s="16"/>
      <c r="AC37" s="16"/>
      <c r="AD37" s="16"/>
    </row>
    <row r="38" ht="14.25" customHeight="1">
      <c r="A38" s="16"/>
      <c r="B38" s="16"/>
      <c r="C38" s="16"/>
      <c r="D38" s="16"/>
      <c r="E38" s="16"/>
      <c r="F38" s="16"/>
      <c r="G38" s="16"/>
      <c r="H38" s="16"/>
      <c r="I38" s="16"/>
      <c r="J38" s="16"/>
      <c r="K38" s="16"/>
      <c r="L38" s="13" t="s">
        <v>4625</v>
      </c>
      <c r="M38" s="16"/>
      <c r="N38" s="16"/>
      <c r="O38" s="16"/>
      <c r="P38" s="13" t="s">
        <v>4626</v>
      </c>
      <c r="Q38" s="34" t="s">
        <v>4627</v>
      </c>
      <c r="R38" s="16"/>
      <c r="S38" s="16"/>
      <c r="T38" s="16"/>
      <c r="U38" s="16"/>
      <c r="V38" s="16"/>
      <c r="W38" s="16"/>
      <c r="X38" s="16"/>
      <c r="Y38" s="16"/>
      <c r="Z38" s="16"/>
      <c r="AA38" s="16"/>
      <c r="AB38" s="16"/>
      <c r="AC38" s="16"/>
      <c r="AD38" s="16"/>
    </row>
    <row r="39" ht="14.25" customHeight="1">
      <c r="A39" s="16"/>
      <c r="B39" s="16"/>
      <c r="C39" s="16"/>
      <c r="D39" s="16"/>
      <c r="E39" s="16"/>
      <c r="F39" s="16"/>
      <c r="G39" s="16"/>
      <c r="H39" s="16"/>
      <c r="I39" s="16"/>
      <c r="J39" s="16"/>
      <c r="K39" s="16"/>
      <c r="L39" s="13" t="s">
        <v>3425</v>
      </c>
      <c r="M39" s="16"/>
      <c r="N39" s="16"/>
      <c r="O39" s="16"/>
      <c r="P39" s="13" t="s">
        <v>3161</v>
      </c>
      <c r="Q39" s="34" t="s">
        <v>4628</v>
      </c>
      <c r="R39" s="16"/>
      <c r="S39" s="16"/>
      <c r="T39" s="16"/>
      <c r="U39" s="16"/>
      <c r="V39" s="16"/>
      <c r="W39" s="16"/>
      <c r="X39" s="16"/>
      <c r="Y39" s="16"/>
      <c r="Z39" s="16"/>
      <c r="AA39" s="16"/>
      <c r="AB39" s="16"/>
      <c r="AC39" s="16"/>
      <c r="AD39" s="16"/>
    </row>
    <row r="40" ht="14.25" customHeight="1">
      <c r="A40" s="16"/>
      <c r="B40" s="16"/>
      <c r="C40" s="16"/>
      <c r="D40" s="16"/>
      <c r="E40" s="16"/>
      <c r="F40" s="16"/>
      <c r="G40" s="16"/>
      <c r="H40" s="16"/>
      <c r="I40" s="16"/>
      <c r="J40" s="16"/>
      <c r="K40" s="16"/>
      <c r="L40" s="13" t="s">
        <v>3289</v>
      </c>
      <c r="M40" s="16"/>
      <c r="N40" s="16"/>
      <c r="O40" s="16"/>
      <c r="P40" s="13" t="s">
        <v>3227</v>
      </c>
      <c r="Q40" s="34" t="s">
        <v>4629</v>
      </c>
      <c r="R40" s="16"/>
      <c r="S40" s="16"/>
      <c r="T40" s="16"/>
      <c r="U40" s="16"/>
      <c r="V40" s="16"/>
      <c r="W40" s="16"/>
      <c r="X40" s="16"/>
      <c r="Y40" s="16"/>
      <c r="Z40" s="16"/>
      <c r="AA40" s="16"/>
      <c r="AB40" s="16"/>
      <c r="AC40" s="16"/>
      <c r="AD40" s="16"/>
    </row>
    <row r="41" ht="14.25" customHeight="1">
      <c r="A41" s="16"/>
      <c r="B41" s="16"/>
      <c r="C41" s="16"/>
      <c r="D41" s="16"/>
      <c r="E41" s="16"/>
      <c r="F41" s="16"/>
      <c r="G41" s="16"/>
      <c r="H41" s="16"/>
      <c r="I41" s="16"/>
      <c r="J41" s="16"/>
      <c r="K41" s="16"/>
      <c r="L41" s="13" t="s">
        <v>4630</v>
      </c>
      <c r="M41" s="16"/>
      <c r="N41" s="16"/>
      <c r="O41" s="16"/>
      <c r="P41" s="13" t="s">
        <v>4148</v>
      </c>
      <c r="Q41" s="34" t="s">
        <v>4631</v>
      </c>
      <c r="R41" s="16"/>
      <c r="S41" s="16"/>
      <c r="T41" s="16"/>
      <c r="U41" s="16"/>
      <c r="V41" s="16"/>
      <c r="W41" s="16"/>
      <c r="X41" s="16"/>
      <c r="Y41" s="16"/>
      <c r="Z41" s="16"/>
      <c r="AA41" s="16"/>
      <c r="AB41" s="16"/>
      <c r="AC41" s="16"/>
      <c r="AD41" s="16"/>
    </row>
    <row r="42" ht="14.25" customHeight="1">
      <c r="A42" s="16"/>
      <c r="B42" s="16"/>
      <c r="C42" s="16"/>
      <c r="D42" s="16"/>
      <c r="E42" s="16"/>
      <c r="F42" s="16"/>
      <c r="G42" s="16"/>
      <c r="H42" s="16"/>
      <c r="I42" s="16"/>
      <c r="J42" s="16"/>
      <c r="K42" s="16"/>
      <c r="L42" s="13" t="s">
        <v>4632</v>
      </c>
      <c r="M42" s="16"/>
      <c r="N42" s="16"/>
      <c r="O42" s="16"/>
      <c r="P42" s="13" t="s">
        <v>3690</v>
      </c>
      <c r="Q42" s="34" t="s">
        <v>4633</v>
      </c>
      <c r="R42" s="16"/>
      <c r="S42" s="16"/>
      <c r="T42" s="16"/>
      <c r="U42" s="16"/>
      <c r="V42" s="16"/>
      <c r="W42" s="16"/>
      <c r="X42" s="16"/>
      <c r="Y42" s="16"/>
      <c r="Z42" s="16"/>
      <c r="AA42" s="16"/>
      <c r="AB42" s="16"/>
      <c r="AC42" s="16"/>
      <c r="AD42" s="16"/>
    </row>
    <row r="43" ht="14.25" customHeight="1">
      <c r="A43" s="16"/>
      <c r="B43" s="16"/>
      <c r="C43" s="16"/>
      <c r="D43" s="16"/>
      <c r="E43" s="16"/>
      <c r="F43" s="16"/>
      <c r="G43" s="16"/>
      <c r="H43" s="16"/>
      <c r="I43" s="16"/>
      <c r="J43" s="16"/>
      <c r="K43" s="16"/>
      <c r="L43" s="13" t="s">
        <v>4634</v>
      </c>
      <c r="M43" s="16"/>
      <c r="N43" s="16"/>
      <c r="O43" s="16"/>
      <c r="P43" s="13" t="s">
        <v>4635</v>
      </c>
      <c r="Q43" s="34" t="s">
        <v>4636</v>
      </c>
      <c r="R43" s="16"/>
      <c r="S43" s="16"/>
      <c r="T43" s="16"/>
      <c r="U43" s="16"/>
      <c r="V43" s="16"/>
      <c r="W43" s="16"/>
      <c r="X43" s="16"/>
      <c r="Y43" s="16"/>
      <c r="Z43" s="16"/>
      <c r="AA43" s="16"/>
      <c r="AB43" s="16"/>
      <c r="AC43" s="16"/>
      <c r="AD43" s="16"/>
    </row>
    <row r="44" ht="14.25" customHeight="1">
      <c r="A44" s="16"/>
      <c r="B44" s="16"/>
      <c r="C44" s="16"/>
      <c r="D44" s="16"/>
      <c r="E44" s="16"/>
      <c r="F44" s="16"/>
      <c r="G44" s="16"/>
      <c r="H44" s="16"/>
      <c r="I44" s="16"/>
      <c r="J44" s="16"/>
      <c r="K44" s="16"/>
      <c r="L44" s="13" t="s">
        <v>4637</v>
      </c>
      <c r="M44" s="16"/>
      <c r="N44" s="16"/>
      <c r="O44" s="16"/>
      <c r="P44" s="13" t="s">
        <v>3263</v>
      </c>
      <c r="Q44" s="34" t="s">
        <v>4638</v>
      </c>
      <c r="R44" s="16"/>
      <c r="S44" s="16"/>
      <c r="T44" s="16"/>
      <c r="U44" s="16"/>
      <c r="V44" s="16"/>
      <c r="W44" s="16"/>
      <c r="X44" s="16"/>
      <c r="Y44" s="16"/>
      <c r="Z44" s="16"/>
      <c r="AA44" s="16"/>
      <c r="AB44" s="16"/>
      <c r="AC44" s="16"/>
      <c r="AD44" s="16"/>
    </row>
    <row r="45" ht="14.25" customHeight="1">
      <c r="A45" s="16"/>
      <c r="B45" s="16"/>
      <c r="C45" s="16"/>
      <c r="D45" s="16"/>
      <c r="E45" s="16"/>
      <c r="F45" s="16"/>
      <c r="G45" s="16"/>
      <c r="H45" s="16"/>
      <c r="I45" s="16"/>
      <c r="J45" s="16"/>
      <c r="K45" s="16"/>
      <c r="L45" s="13" t="s">
        <v>4639</v>
      </c>
      <c r="M45" s="16"/>
      <c r="N45" s="16"/>
      <c r="O45" s="16"/>
      <c r="P45" s="13" t="s">
        <v>3479</v>
      </c>
      <c r="Q45" s="34" t="s">
        <v>4640</v>
      </c>
      <c r="R45" s="16"/>
      <c r="S45" s="16"/>
      <c r="T45" s="16"/>
      <c r="U45" s="16"/>
      <c r="V45" s="16"/>
      <c r="W45" s="16"/>
      <c r="X45" s="16"/>
      <c r="Y45" s="16"/>
      <c r="Z45" s="16"/>
      <c r="AA45" s="16"/>
      <c r="AB45" s="16"/>
      <c r="AC45" s="16"/>
      <c r="AD45" s="16"/>
    </row>
    <row r="46" ht="14.25" customHeight="1">
      <c r="A46" s="16"/>
      <c r="B46" s="16"/>
      <c r="C46" s="16"/>
      <c r="D46" s="16"/>
      <c r="E46" s="16"/>
      <c r="F46" s="16"/>
      <c r="G46" s="16"/>
      <c r="H46" s="16"/>
      <c r="I46" s="16"/>
      <c r="J46" s="16"/>
      <c r="K46" s="16"/>
      <c r="L46" s="13" t="s">
        <v>3229</v>
      </c>
      <c r="M46" s="16"/>
      <c r="N46" s="16"/>
      <c r="O46" s="16"/>
      <c r="P46" s="13" t="s">
        <v>3369</v>
      </c>
      <c r="Q46" s="34" t="s">
        <v>4641</v>
      </c>
      <c r="R46" s="16"/>
      <c r="S46" s="16"/>
      <c r="T46" s="16"/>
      <c r="U46" s="16"/>
      <c r="V46" s="16"/>
      <c r="W46" s="16"/>
      <c r="X46" s="16"/>
      <c r="Y46" s="16"/>
      <c r="Z46" s="16"/>
      <c r="AA46" s="16"/>
      <c r="AB46" s="16"/>
      <c r="AC46" s="16"/>
      <c r="AD46" s="16"/>
    </row>
    <row r="47" ht="14.25" customHeight="1">
      <c r="A47" s="16"/>
      <c r="B47" s="16"/>
      <c r="C47" s="16"/>
      <c r="D47" s="16"/>
      <c r="E47" s="16"/>
      <c r="F47" s="16"/>
      <c r="G47" s="16"/>
      <c r="H47" s="16"/>
      <c r="I47" s="16"/>
      <c r="J47" s="16"/>
      <c r="K47" s="16"/>
      <c r="L47" s="13" t="s">
        <v>4642</v>
      </c>
      <c r="M47" s="16"/>
      <c r="N47" s="16"/>
      <c r="O47" s="16"/>
      <c r="P47" s="13" t="s">
        <v>3536</v>
      </c>
      <c r="Q47" s="34" t="s">
        <v>4643</v>
      </c>
      <c r="R47" s="16"/>
      <c r="S47" s="16"/>
      <c r="T47" s="16"/>
      <c r="U47" s="16"/>
      <c r="V47" s="16"/>
      <c r="W47" s="16"/>
      <c r="X47" s="16"/>
      <c r="Y47" s="16"/>
      <c r="Z47" s="16"/>
      <c r="AA47" s="16"/>
      <c r="AB47" s="16"/>
      <c r="AC47" s="16"/>
      <c r="AD47" s="16"/>
    </row>
    <row r="48" ht="14.25" customHeight="1">
      <c r="A48" s="16"/>
      <c r="B48" s="16"/>
      <c r="C48" s="16"/>
      <c r="D48" s="16"/>
      <c r="E48" s="16"/>
      <c r="F48" s="16"/>
      <c r="G48" s="16"/>
      <c r="H48" s="16"/>
      <c r="I48" s="16"/>
      <c r="J48" s="16"/>
      <c r="K48" s="16"/>
      <c r="L48" s="13" t="s">
        <v>4644</v>
      </c>
      <c r="M48" s="16"/>
      <c r="N48" s="16"/>
      <c r="O48" s="16"/>
      <c r="P48" s="13" t="s">
        <v>3196</v>
      </c>
      <c r="Q48" s="34" t="s">
        <v>4645</v>
      </c>
      <c r="R48" s="16"/>
      <c r="S48" s="16"/>
      <c r="T48" s="16"/>
      <c r="U48" s="16"/>
      <c r="V48" s="16"/>
      <c r="W48" s="16"/>
      <c r="X48" s="16"/>
      <c r="Y48" s="16"/>
      <c r="Z48" s="16"/>
      <c r="AA48" s="16"/>
      <c r="AB48" s="16"/>
      <c r="AC48" s="16"/>
      <c r="AD48" s="16"/>
    </row>
    <row r="49" ht="14.25" customHeight="1">
      <c r="A49" s="16"/>
      <c r="B49" s="16"/>
      <c r="C49" s="16"/>
      <c r="D49" s="16"/>
      <c r="E49" s="16"/>
      <c r="F49" s="16"/>
      <c r="G49" s="16"/>
      <c r="H49" s="16"/>
      <c r="I49" s="16"/>
      <c r="J49" s="16"/>
      <c r="K49" s="16"/>
      <c r="L49" s="13" t="s">
        <v>3554</v>
      </c>
      <c r="M49" s="16"/>
      <c r="N49" s="16"/>
      <c r="O49" s="16"/>
      <c r="P49" s="13" t="s">
        <v>3448</v>
      </c>
      <c r="Q49" s="34" t="s">
        <v>4646</v>
      </c>
      <c r="R49" s="16"/>
      <c r="S49" s="16"/>
      <c r="T49" s="16"/>
      <c r="U49" s="16"/>
      <c r="V49" s="16"/>
      <c r="W49" s="16"/>
      <c r="X49" s="16"/>
      <c r="Y49" s="16"/>
      <c r="Z49" s="16"/>
      <c r="AA49" s="16"/>
      <c r="AB49" s="16"/>
      <c r="AC49" s="16"/>
      <c r="AD49" s="16"/>
    </row>
    <row r="50" ht="14.25" customHeight="1">
      <c r="A50" s="16"/>
      <c r="B50" s="16"/>
      <c r="C50" s="16"/>
      <c r="D50" s="16"/>
      <c r="E50" s="16"/>
      <c r="F50" s="16"/>
      <c r="G50" s="16"/>
      <c r="H50" s="16"/>
      <c r="I50" s="16"/>
      <c r="J50" s="16"/>
      <c r="K50" s="16"/>
      <c r="L50" s="13" t="s">
        <v>4045</v>
      </c>
      <c r="M50" s="16"/>
      <c r="N50" s="16"/>
      <c r="O50" s="16"/>
      <c r="P50" s="13" t="s">
        <v>3722</v>
      </c>
      <c r="Q50" s="34" t="s">
        <v>4647</v>
      </c>
      <c r="R50" s="16"/>
      <c r="S50" s="16"/>
      <c r="T50" s="16"/>
      <c r="U50" s="16"/>
      <c r="V50" s="16"/>
      <c r="W50" s="16"/>
      <c r="X50" s="16"/>
      <c r="Y50" s="16"/>
      <c r="Z50" s="16"/>
      <c r="AA50" s="16"/>
      <c r="AB50" s="16"/>
      <c r="AC50" s="16"/>
      <c r="AD50" s="16"/>
    </row>
    <row r="51" ht="14.25" customHeight="1">
      <c r="A51" s="16"/>
      <c r="B51" s="16"/>
      <c r="C51" s="16"/>
      <c r="D51" s="16"/>
      <c r="E51" s="16"/>
      <c r="F51" s="16"/>
      <c r="G51" s="16"/>
      <c r="H51" s="16"/>
      <c r="I51" s="16"/>
      <c r="J51" s="16"/>
      <c r="K51" s="16"/>
      <c r="L51" s="13" t="s">
        <v>3438</v>
      </c>
      <c r="M51" s="16"/>
      <c r="N51" s="16"/>
      <c r="O51" s="16"/>
      <c r="P51" s="36" t="s">
        <v>3266</v>
      </c>
      <c r="Q51" s="34" t="s">
        <v>4648</v>
      </c>
      <c r="R51" s="16"/>
      <c r="S51" s="16"/>
      <c r="T51" s="16"/>
      <c r="U51" s="16"/>
      <c r="V51" s="16"/>
      <c r="W51" s="16"/>
      <c r="X51" s="16"/>
      <c r="Y51" s="16"/>
      <c r="Z51" s="16"/>
      <c r="AA51" s="16"/>
      <c r="AB51" s="16"/>
      <c r="AC51" s="16"/>
      <c r="AD51" s="16"/>
    </row>
    <row r="52" ht="14.25" customHeight="1">
      <c r="A52" s="16"/>
      <c r="B52" s="16"/>
      <c r="C52" s="16"/>
      <c r="D52" s="16"/>
      <c r="E52" s="16"/>
      <c r="F52" s="16"/>
      <c r="G52" s="16"/>
      <c r="H52" s="16"/>
      <c r="I52" s="16"/>
      <c r="J52" s="16"/>
      <c r="K52" s="16"/>
      <c r="L52" s="13" t="s">
        <v>3432</v>
      </c>
      <c r="M52" s="16"/>
      <c r="N52" s="16"/>
      <c r="O52" s="16"/>
      <c r="P52" s="13" t="s">
        <v>3213</v>
      </c>
      <c r="Q52" s="34" t="s">
        <v>4649</v>
      </c>
      <c r="R52" s="16"/>
      <c r="S52" s="16"/>
      <c r="T52" s="16"/>
      <c r="U52" s="16"/>
      <c r="V52" s="16"/>
      <c r="W52" s="16"/>
      <c r="X52" s="16"/>
      <c r="Y52" s="16"/>
      <c r="Z52" s="16"/>
      <c r="AA52" s="16"/>
      <c r="AB52" s="16"/>
      <c r="AC52" s="16"/>
      <c r="AD52" s="16"/>
    </row>
    <row r="53" ht="14.25" customHeight="1">
      <c r="A53" s="16"/>
      <c r="B53" s="16"/>
      <c r="C53" s="16"/>
      <c r="D53" s="16"/>
      <c r="E53" s="16"/>
      <c r="F53" s="16"/>
      <c r="G53" s="16"/>
      <c r="H53" s="16"/>
      <c r="I53" s="16"/>
      <c r="J53" s="16"/>
      <c r="K53" s="16"/>
      <c r="L53" s="13" t="s">
        <v>3321</v>
      </c>
      <c r="M53" s="16"/>
      <c r="N53" s="16"/>
      <c r="O53" s="16"/>
      <c r="P53" s="13" t="s">
        <v>3223</v>
      </c>
      <c r="Q53" s="34" t="s">
        <v>4650</v>
      </c>
      <c r="R53" s="16"/>
      <c r="S53" s="16"/>
      <c r="T53" s="16"/>
      <c r="U53" s="16"/>
      <c r="V53" s="16"/>
      <c r="W53" s="16"/>
      <c r="X53" s="16"/>
      <c r="Y53" s="16"/>
      <c r="Z53" s="16"/>
      <c r="AA53" s="16"/>
      <c r="AB53" s="16"/>
      <c r="AC53" s="16"/>
      <c r="AD53" s="16"/>
    </row>
    <row r="54" ht="14.25" customHeight="1">
      <c r="A54" s="16"/>
      <c r="B54" s="16"/>
      <c r="C54" s="16"/>
      <c r="D54" s="16"/>
      <c r="E54" s="16"/>
      <c r="F54" s="16"/>
      <c r="G54" s="16"/>
      <c r="H54" s="16"/>
      <c r="I54" s="16"/>
      <c r="J54" s="16"/>
      <c r="K54" s="16"/>
      <c r="L54" s="13" t="s">
        <v>4651</v>
      </c>
      <c r="M54" s="16"/>
      <c r="N54" s="16"/>
      <c r="O54" s="16"/>
      <c r="P54" s="13" t="s">
        <v>3241</v>
      </c>
      <c r="Q54" s="34" t="s">
        <v>4652</v>
      </c>
      <c r="R54" s="16"/>
      <c r="S54" s="16"/>
      <c r="T54" s="16"/>
      <c r="U54" s="16"/>
      <c r="V54" s="16"/>
      <c r="W54" s="16"/>
      <c r="X54" s="16"/>
      <c r="Y54" s="16"/>
      <c r="Z54" s="16"/>
      <c r="AA54" s="16"/>
      <c r="AB54" s="16"/>
      <c r="AC54" s="16"/>
      <c r="AD54" s="16"/>
    </row>
    <row r="55" ht="14.25" customHeight="1">
      <c r="A55" s="16"/>
      <c r="B55" s="16"/>
      <c r="C55" s="16"/>
      <c r="D55" s="16"/>
      <c r="E55" s="16"/>
      <c r="F55" s="16"/>
      <c r="G55" s="16"/>
      <c r="H55" s="16"/>
      <c r="I55" s="16"/>
      <c r="J55" s="16"/>
      <c r="K55" s="16"/>
      <c r="L55" s="13" t="s">
        <v>4653</v>
      </c>
      <c r="M55" s="16"/>
      <c r="N55" s="16"/>
      <c r="O55" s="16"/>
      <c r="P55" s="13" t="s">
        <v>4654</v>
      </c>
      <c r="Q55" s="34" t="s">
        <v>4655</v>
      </c>
      <c r="R55" s="16"/>
      <c r="S55" s="16"/>
      <c r="T55" s="16"/>
      <c r="U55" s="16"/>
      <c r="V55" s="16"/>
      <c r="W55" s="16"/>
      <c r="X55" s="16"/>
      <c r="Y55" s="16"/>
      <c r="Z55" s="16"/>
      <c r="AA55" s="16"/>
      <c r="AB55" s="16"/>
      <c r="AC55" s="16"/>
      <c r="AD55" s="16"/>
    </row>
    <row r="56" ht="14.25" customHeight="1">
      <c r="A56" s="16"/>
      <c r="B56" s="16"/>
      <c r="C56" s="16"/>
      <c r="D56" s="16"/>
      <c r="E56" s="16"/>
      <c r="F56" s="16"/>
      <c r="G56" s="16"/>
      <c r="H56" s="16"/>
      <c r="I56" s="16"/>
      <c r="J56" s="16"/>
      <c r="K56" s="16"/>
      <c r="L56" s="13" t="s">
        <v>3657</v>
      </c>
      <c r="M56" s="16"/>
      <c r="N56" s="16"/>
      <c r="O56" s="16"/>
      <c r="P56" s="13" t="s">
        <v>4656</v>
      </c>
      <c r="Q56" s="34" t="s">
        <v>4657</v>
      </c>
      <c r="R56" s="16"/>
      <c r="S56" s="16"/>
      <c r="T56" s="16"/>
      <c r="U56" s="16"/>
      <c r="V56" s="16"/>
      <c r="W56" s="16"/>
      <c r="X56" s="16"/>
      <c r="Y56" s="16"/>
      <c r="Z56" s="16"/>
      <c r="AA56" s="16"/>
      <c r="AB56" s="16"/>
      <c r="AC56" s="16"/>
      <c r="AD56" s="16"/>
    </row>
    <row r="57" ht="14.25" customHeight="1">
      <c r="A57" s="16"/>
      <c r="B57" s="16"/>
      <c r="C57" s="16"/>
      <c r="D57" s="16"/>
      <c r="E57" s="16"/>
      <c r="F57" s="16"/>
      <c r="G57" s="16"/>
      <c r="H57" s="16"/>
      <c r="I57" s="16"/>
      <c r="J57" s="16"/>
      <c r="K57" s="16"/>
      <c r="L57" s="13" t="s">
        <v>3825</v>
      </c>
      <c r="M57" s="16"/>
      <c r="N57" s="16"/>
      <c r="O57" s="16"/>
      <c r="P57" s="13" t="s">
        <v>4658</v>
      </c>
      <c r="Q57" s="34" t="s">
        <v>4659</v>
      </c>
      <c r="R57" s="16"/>
      <c r="S57" s="16"/>
      <c r="T57" s="16"/>
      <c r="U57" s="16"/>
      <c r="V57" s="16"/>
      <c r="W57" s="16"/>
      <c r="X57" s="16"/>
      <c r="Y57" s="16"/>
      <c r="Z57" s="16"/>
      <c r="AA57" s="16"/>
      <c r="AB57" s="16"/>
      <c r="AC57" s="16"/>
      <c r="AD57" s="16"/>
    </row>
    <row r="58" ht="14.25" customHeight="1">
      <c r="A58" s="16"/>
      <c r="B58" s="16"/>
      <c r="C58" s="16"/>
      <c r="D58" s="16"/>
      <c r="E58" s="16"/>
      <c r="F58" s="16"/>
      <c r="G58" s="16"/>
      <c r="H58" s="16"/>
      <c r="I58" s="16"/>
      <c r="J58" s="16"/>
      <c r="K58" s="16"/>
      <c r="L58" s="13" t="s">
        <v>3245</v>
      </c>
      <c r="M58" s="16"/>
      <c r="N58" s="16"/>
      <c r="O58" s="16"/>
      <c r="P58" s="17"/>
      <c r="Q58" s="16"/>
      <c r="R58" s="16"/>
      <c r="S58" s="16"/>
      <c r="T58" s="16"/>
      <c r="U58" s="16"/>
      <c r="V58" s="16"/>
      <c r="W58" s="16"/>
      <c r="X58" s="16"/>
      <c r="Y58" s="16"/>
      <c r="Z58" s="16"/>
      <c r="AA58" s="16"/>
      <c r="AB58" s="16"/>
      <c r="AC58" s="16"/>
      <c r="AD58" s="16"/>
    </row>
    <row r="59" ht="14.25" customHeight="1">
      <c r="A59" s="16"/>
      <c r="B59" s="16"/>
      <c r="C59" s="16"/>
      <c r="D59" s="16"/>
      <c r="E59" s="16"/>
      <c r="F59" s="16"/>
      <c r="G59" s="16"/>
      <c r="H59" s="16"/>
      <c r="I59" s="16"/>
      <c r="J59" s="16"/>
      <c r="K59" s="16"/>
      <c r="L59" s="13" t="s">
        <v>4660</v>
      </c>
      <c r="M59" s="16"/>
      <c r="N59" s="16"/>
      <c r="O59" s="16"/>
      <c r="P59" s="17"/>
      <c r="Q59" s="16"/>
      <c r="R59" s="16"/>
      <c r="S59" s="16"/>
      <c r="T59" s="16"/>
      <c r="U59" s="16"/>
      <c r="V59" s="16"/>
      <c r="W59" s="16"/>
      <c r="X59" s="16"/>
      <c r="Y59" s="16"/>
      <c r="Z59" s="16"/>
      <c r="AA59" s="16"/>
      <c r="AB59" s="16"/>
      <c r="AC59" s="16"/>
      <c r="AD59" s="16"/>
    </row>
    <row r="60" ht="14.25" customHeight="1">
      <c r="A60" s="16"/>
      <c r="B60" s="16"/>
      <c r="C60" s="16"/>
      <c r="D60" s="16"/>
      <c r="E60" s="16"/>
      <c r="F60" s="16"/>
      <c r="G60" s="16"/>
      <c r="H60" s="16"/>
      <c r="I60" s="16"/>
      <c r="J60" s="16"/>
      <c r="K60" s="16"/>
      <c r="L60" s="13" t="s">
        <v>3362</v>
      </c>
      <c r="M60" s="16"/>
      <c r="N60" s="16"/>
      <c r="O60" s="16"/>
      <c r="P60" s="17"/>
      <c r="Q60" s="16"/>
      <c r="R60" s="16"/>
      <c r="S60" s="16"/>
      <c r="T60" s="16"/>
      <c r="U60" s="16"/>
      <c r="V60" s="16"/>
      <c r="W60" s="16"/>
      <c r="X60" s="16"/>
      <c r="Y60" s="16"/>
      <c r="Z60" s="16"/>
      <c r="AA60" s="16"/>
      <c r="AB60" s="16"/>
      <c r="AC60" s="16"/>
      <c r="AD60" s="16"/>
    </row>
    <row r="61" ht="14.25" customHeight="1">
      <c r="A61" s="16"/>
      <c r="B61" s="16"/>
      <c r="C61" s="16"/>
      <c r="D61" s="16"/>
      <c r="E61" s="16"/>
      <c r="F61" s="16"/>
      <c r="G61" s="16"/>
      <c r="H61" s="16"/>
      <c r="I61" s="16"/>
      <c r="J61" s="16"/>
      <c r="K61" s="16"/>
      <c r="L61" s="13" t="s">
        <v>4661</v>
      </c>
      <c r="M61" s="16"/>
      <c r="N61" s="16"/>
      <c r="O61" s="16"/>
      <c r="P61" s="17"/>
      <c r="Q61" s="16"/>
      <c r="R61" s="16"/>
      <c r="S61" s="16"/>
      <c r="T61" s="16"/>
      <c r="U61" s="16"/>
      <c r="V61" s="16"/>
      <c r="W61" s="16"/>
      <c r="X61" s="16"/>
      <c r="Y61" s="16"/>
      <c r="Z61" s="16"/>
      <c r="AA61" s="16"/>
      <c r="AB61" s="16"/>
      <c r="AC61" s="16"/>
      <c r="AD61" s="16"/>
    </row>
    <row r="62" ht="14.25" customHeight="1">
      <c r="A62" s="16"/>
      <c r="B62" s="16"/>
      <c r="C62" s="16"/>
      <c r="D62" s="16"/>
      <c r="E62" s="16"/>
      <c r="F62" s="16"/>
      <c r="G62" s="16"/>
      <c r="H62" s="16"/>
      <c r="I62" s="16"/>
      <c r="J62" s="16"/>
      <c r="K62" s="16"/>
      <c r="L62" s="13" t="s">
        <v>4662</v>
      </c>
      <c r="M62" s="16"/>
      <c r="N62" s="16"/>
      <c r="O62" s="16"/>
      <c r="P62" s="17"/>
      <c r="Q62" s="16"/>
      <c r="R62" s="16"/>
      <c r="S62" s="16"/>
      <c r="T62" s="16"/>
      <c r="U62" s="16"/>
      <c r="V62" s="16"/>
      <c r="W62" s="16"/>
      <c r="X62" s="16"/>
      <c r="Y62" s="16"/>
      <c r="Z62" s="16"/>
      <c r="AA62" s="16"/>
      <c r="AB62" s="16"/>
      <c r="AC62" s="16"/>
      <c r="AD62" s="16"/>
    </row>
    <row r="63" ht="14.25" customHeight="1">
      <c r="A63" s="16"/>
      <c r="B63" s="16"/>
      <c r="C63" s="16"/>
      <c r="D63" s="16"/>
      <c r="E63" s="16"/>
      <c r="F63" s="16"/>
      <c r="G63" s="16"/>
      <c r="H63" s="16"/>
      <c r="I63" s="16"/>
      <c r="J63" s="16"/>
      <c r="K63" s="16"/>
      <c r="L63" s="13" t="s">
        <v>4663</v>
      </c>
      <c r="M63" s="16"/>
      <c r="N63" s="16"/>
      <c r="O63" s="16"/>
      <c r="P63" s="17"/>
      <c r="Q63" s="16"/>
      <c r="R63" s="16"/>
      <c r="S63" s="16"/>
      <c r="T63" s="16"/>
      <c r="U63" s="16"/>
      <c r="V63" s="16"/>
      <c r="W63" s="16"/>
      <c r="X63" s="16"/>
      <c r="Y63" s="16"/>
      <c r="Z63" s="16"/>
      <c r="AA63" s="16"/>
      <c r="AB63" s="16"/>
      <c r="AC63" s="16"/>
      <c r="AD63" s="16"/>
    </row>
    <row r="64" ht="14.25" customHeight="1">
      <c r="A64" s="16"/>
      <c r="B64" s="16"/>
      <c r="C64" s="16"/>
      <c r="D64" s="16"/>
      <c r="E64" s="16"/>
      <c r="F64" s="16"/>
      <c r="G64" s="16"/>
      <c r="H64" s="16"/>
      <c r="I64" s="16"/>
      <c r="J64" s="16"/>
      <c r="K64" s="16"/>
      <c r="L64" s="13" t="s">
        <v>4664</v>
      </c>
      <c r="M64" s="16"/>
      <c r="N64" s="16"/>
      <c r="O64" s="16"/>
      <c r="P64" s="17"/>
      <c r="Q64" s="16"/>
      <c r="R64" s="16"/>
      <c r="S64" s="16"/>
      <c r="T64" s="16"/>
      <c r="U64" s="16"/>
      <c r="V64" s="16"/>
      <c r="W64" s="16"/>
      <c r="X64" s="16"/>
      <c r="Y64" s="16"/>
      <c r="Z64" s="16"/>
      <c r="AA64" s="16"/>
      <c r="AB64" s="16"/>
      <c r="AC64" s="16"/>
      <c r="AD64" s="16"/>
    </row>
    <row r="65" ht="14.25" customHeight="1">
      <c r="A65" s="16"/>
      <c r="B65" s="16"/>
      <c r="C65" s="16"/>
      <c r="D65" s="16"/>
      <c r="E65" s="16"/>
      <c r="F65" s="16"/>
      <c r="G65" s="16"/>
      <c r="H65" s="16"/>
      <c r="I65" s="16"/>
      <c r="J65" s="16"/>
      <c r="K65" s="16"/>
      <c r="L65" s="13" t="s">
        <v>3896</v>
      </c>
      <c r="M65" s="16"/>
      <c r="N65" s="16"/>
      <c r="O65" s="16"/>
      <c r="P65" s="17"/>
      <c r="Q65" s="16"/>
      <c r="R65" s="16"/>
      <c r="S65" s="16"/>
      <c r="T65" s="16"/>
      <c r="U65" s="16"/>
      <c r="V65" s="16"/>
      <c r="W65" s="16"/>
      <c r="X65" s="16"/>
      <c r="Y65" s="16"/>
      <c r="Z65" s="16"/>
      <c r="AA65" s="16"/>
      <c r="AB65" s="16"/>
      <c r="AC65" s="16"/>
      <c r="AD65" s="16"/>
    </row>
    <row r="66" ht="14.25" customHeight="1">
      <c r="A66" s="16"/>
      <c r="B66" s="16"/>
      <c r="C66" s="16"/>
      <c r="D66" s="16"/>
      <c r="E66" s="16"/>
      <c r="F66" s="16"/>
      <c r="G66" s="16"/>
      <c r="H66" s="16"/>
      <c r="I66" s="16"/>
      <c r="J66" s="16"/>
      <c r="K66" s="16"/>
      <c r="L66" s="13" t="s">
        <v>3274</v>
      </c>
      <c r="M66" s="16"/>
      <c r="N66" s="16"/>
      <c r="O66" s="16"/>
      <c r="P66" s="17"/>
      <c r="Q66" s="16"/>
      <c r="R66" s="16"/>
      <c r="S66" s="16"/>
      <c r="T66" s="16"/>
      <c r="U66" s="16"/>
      <c r="V66" s="16"/>
      <c r="W66" s="16"/>
      <c r="X66" s="16"/>
      <c r="Y66" s="16"/>
      <c r="Z66" s="16"/>
      <c r="AA66" s="16"/>
      <c r="AB66" s="16"/>
      <c r="AC66" s="16"/>
      <c r="AD66" s="16"/>
    </row>
    <row r="67" ht="14.25" customHeight="1">
      <c r="A67" s="16"/>
      <c r="B67" s="16"/>
      <c r="C67" s="16"/>
      <c r="D67" s="16"/>
      <c r="E67" s="16"/>
      <c r="F67" s="16"/>
      <c r="G67" s="16"/>
      <c r="H67" s="16"/>
      <c r="I67" s="16"/>
      <c r="J67" s="16"/>
      <c r="K67" s="16"/>
      <c r="L67" s="13" t="s">
        <v>4665</v>
      </c>
      <c r="M67" s="16"/>
      <c r="N67" s="16"/>
      <c r="O67" s="16"/>
      <c r="P67" s="17"/>
      <c r="Q67" s="16"/>
      <c r="R67" s="16"/>
      <c r="S67" s="16"/>
      <c r="T67" s="16"/>
      <c r="U67" s="16"/>
      <c r="V67" s="16"/>
      <c r="W67" s="16"/>
      <c r="X67" s="16"/>
      <c r="Y67" s="16"/>
      <c r="Z67" s="16"/>
      <c r="AA67" s="16"/>
      <c r="AB67" s="16"/>
      <c r="AC67" s="16"/>
      <c r="AD67" s="16"/>
    </row>
    <row r="68" ht="14.25" customHeight="1">
      <c r="A68" s="16"/>
      <c r="B68" s="16"/>
      <c r="C68" s="16"/>
      <c r="D68" s="16"/>
      <c r="E68" s="16"/>
      <c r="F68" s="16"/>
      <c r="G68" s="16"/>
      <c r="H68" s="16"/>
      <c r="I68" s="16"/>
      <c r="J68" s="16"/>
      <c r="K68" s="16"/>
      <c r="L68" s="13" t="s">
        <v>4666</v>
      </c>
      <c r="M68" s="16"/>
      <c r="N68" s="16"/>
      <c r="O68" s="16"/>
      <c r="P68" s="17"/>
      <c r="Q68" s="16"/>
      <c r="R68" s="16"/>
      <c r="S68" s="16"/>
      <c r="T68" s="16"/>
      <c r="U68" s="16"/>
      <c r="V68" s="16"/>
      <c r="W68" s="16"/>
      <c r="X68" s="16"/>
      <c r="Y68" s="16"/>
      <c r="Z68" s="16"/>
      <c r="AA68" s="16"/>
      <c r="AB68" s="16"/>
      <c r="AC68" s="16"/>
      <c r="AD68" s="16"/>
    </row>
    <row r="69" ht="14.25" customHeight="1">
      <c r="A69" s="16"/>
      <c r="B69" s="16"/>
      <c r="C69" s="16"/>
      <c r="D69" s="16"/>
      <c r="E69" s="16"/>
      <c r="F69" s="16"/>
      <c r="G69" s="16"/>
      <c r="H69" s="16"/>
      <c r="I69" s="16"/>
      <c r="J69" s="16"/>
      <c r="K69" s="16"/>
      <c r="L69" s="13" t="s">
        <v>4667</v>
      </c>
      <c r="M69" s="16"/>
      <c r="N69" s="16"/>
      <c r="O69" s="16"/>
      <c r="P69" s="17"/>
      <c r="Q69" s="16"/>
      <c r="R69" s="16"/>
      <c r="S69" s="16"/>
      <c r="T69" s="16"/>
      <c r="U69" s="16"/>
      <c r="V69" s="16"/>
      <c r="W69" s="16"/>
      <c r="X69" s="16"/>
      <c r="Y69" s="16"/>
      <c r="Z69" s="16"/>
      <c r="AA69" s="16"/>
      <c r="AB69" s="16"/>
      <c r="AC69" s="16"/>
      <c r="AD69" s="16"/>
    </row>
    <row r="70" ht="14.25" customHeight="1">
      <c r="A70" s="16"/>
      <c r="B70" s="16"/>
      <c r="C70" s="16"/>
      <c r="D70" s="16"/>
      <c r="E70" s="16"/>
      <c r="F70" s="16"/>
      <c r="G70" s="16"/>
      <c r="H70" s="16"/>
      <c r="I70" s="16"/>
      <c r="J70" s="16"/>
      <c r="K70" s="16"/>
      <c r="L70" s="13" t="s">
        <v>4668</v>
      </c>
      <c r="M70" s="16"/>
      <c r="N70" s="16"/>
      <c r="O70" s="16"/>
      <c r="P70" s="17"/>
      <c r="Q70" s="16"/>
      <c r="R70" s="16"/>
      <c r="S70" s="16"/>
      <c r="T70" s="16"/>
      <c r="U70" s="16"/>
      <c r="V70" s="16"/>
      <c r="W70" s="16"/>
      <c r="X70" s="16"/>
      <c r="Y70" s="16"/>
      <c r="Z70" s="16"/>
      <c r="AA70" s="16"/>
      <c r="AB70" s="16"/>
      <c r="AC70" s="16"/>
      <c r="AD70" s="16"/>
    </row>
    <row r="71" ht="14.25" customHeight="1">
      <c r="A71" s="16"/>
      <c r="B71" s="16"/>
      <c r="C71" s="16"/>
      <c r="D71" s="16"/>
      <c r="E71" s="16"/>
      <c r="F71" s="16"/>
      <c r="G71" s="16"/>
      <c r="H71" s="16"/>
      <c r="I71" s="16"/>
      <c r="J71" s="16"/>
      <c r="K71" s="16"/>
      <c r="L71" s="13" t="s">
        <v>3345</v>
      </c>
      <c r="M71" s="16"/>
      <c r="N71" s="16"/>
      <c r="O71" s="16"/>
      <c r="P71" s="17"/>
      <c r="Q71" s="16"/>
      <c r="R71" s="16"/>
      <c r="S71" s="16"/>
      <c r="T71" s="16"/>
      <c r="U71" s="16"/>
      <c r="V71" s="16"/>
      <c r="W71" s="16"/>
      <c r="X71" s="16"/>
      <c r="Y71" s="16"/>
      <c r="Z71" s="16"/>
      <c r="AA71" s="16"/>
      <c r="AB71" s="16"/>
      <c r="AC71" s="16"/>
      <c r="AD71" s="16"/>
    </row>
    <row r="72" ht="14.25" customHeight="1">
      <c r="A72" s="16"/>
      <c r="B72" s="16"/>
      <c r="C72" s="16"/>
      <c r="D72" s="16"/>
      <c r="E72" s="16"/>
      <c r="F72" s="16"/>
      <c r="G72" s="16"/>
      <c r="H72" s="16"/>
      <c r="I72" s="16"/>
      <c r="J72" s="16"/>
      <c r="K72" s="16"/>
      <c r="L72" s="13" t="s">
        <v>4669</v>
      </c>
      <c r="M72" s="16"/>
      <c r="N72" s="16"/>
      <c r="O72" s="16"/>
      <c r="P72" s="17"/>
      <c r="Q72" s="16"/>
      <c r="R72" s="16"/>
      <c r="S72" s="16"/>
      <c r="T72" s="16"/>
      <c r="U72" s="16"/>
      <c r="V72" s="16"/>
      <c r="W72" s="16"/>
      <c r="X72" s="16"/>
      <c r="Y72" s="16"/>
      <c r="Z72" s="16"/>
      <c r="AA72" s="16"/>
      <c r="AB72" s="16"/>
      <c r="AC72" s="16"/>
      <c r="AD72" s="16"/>
    </row>
    <row r="73" ht="14.25" customHeight="1">
      <c r="A73" s="16"/>
      <c r="B73" s="16"/>
      <c r="C73" s="16"/>
      <c r="D73" s="16"/>
      <c r="E73" s="16"/>
      <c r="F73" s="16"/>
      <c r="G73" s="16"/>
      <c r="H73" s="16"/>
      <c r="I73" s="16"/>
      <c r="J73" s="16"/>
      <c r="K73" s="16"/>
      <c r="L73" s="13" t="s">
        <v>3720</v>
      </c>
      <c r="M73" s="16"/>
      <c r="N73" s="16"/>
      <c r="O73" s="16"/>
      <c r="P73" s="17"/>
      <c r="Q73" s="16"/>
      <c r="R73" s="16"/>
      <c r="S73" s="16"/>
      <c r="T73" s="16"/>
      <c r="U73" s="16"/>
      <c r="V73" s="16"/>
      <c r="W73" s="16"/>
      <c r="X73" s="16"/>
      <c r="Y73" s="16"/>
      <c r="Z73" s="16"/>
      <c r="AA73" s="16"/>
      <c r="AB73" s="16"/>
      <c r="AC73" s="16"/>
      <c r="AD73" s="16"/>
    </row>
    <row r="74" ht="14.25" customHeight="1">
      <c r="A74" s="16"/>
      <c r="B74" s="16"/>
      <c r="C74" s="16"/>
      <c r="D74" s="16"/>
      <c r="E74" s="16"/>
      <c r="F74" s="16"/>
      <c r="G74" s="16"/>
      <c r="H74" s="16"/>
      <c r="I74" s="16"/>
      <c r="J74" s="16"/>
      <c r="K74" s="16"/>
      <c r="L74" s="13" t="s">
        <v>4333</v>
      </c>
      <c r="M74" s="16"/>
      <c r="N74" s="16"/>
      <c r="O74" s="16"/>
      <c r="P74" s="17"/>
      <c r="Q74" s="16"/>
      <c r="R74" s="16"/>
      <c r="S74" s="16"/>
      <c r="T74" s="16"/>
      <c r="U74" s="16"/>
      <c r="V74" s="16"/>
      <c r="W74" s="16"/>
      <c r="X74" s="16"/>
      <c r="Y74" s="16"/>
      <c r="Z74" s="16"/>
      <c r="AA74" s="16"/>
      <c r="AB74" s="16"/>
      <c r="AC74" s="16"/>
      <c r="AD74" s="16"/>
    </row>
    <row r="75" ht="14.25" customHeight="1">
      <c r="A75" s="16"/>
      <c r="B75" s="16"/>
      <c r="C75" s="16"/>
      <c r="D75" s="16"/>
      <c r="E75" s="16"/>
      <c r="F75" s="16"/>
      <c r="G75" s="16"/>
      <c r="H75" s="16"/>
      <c r="I75" s="16"/>
      <c r="J75" s="16"/>
      <c r="K75" s="16"/>
      <c r="L75" s="13" t="s">
        <v>4670</v>
      </c>
      <c r="M75" s="16"/>
      <c r="N75" s="16"/>
      <c r="O75" s="16"/>
      <c r="P75" s="17"/>
      <c r="Q75" s="16"/>
      <c r="R75" s="16"/>
      <c r="S75" s="16"/>
      <c r="T75" s="16"/>
      <c r="U75" s="16"/>
      <c r="V75" s="16"/>
      <c r="W75" s="16"/>
      <c r="X75" s="16"/>
      <c r="Y75" s="16"/>
      <c r="Z75" s="16"/>
      <c r="AA75" s="16"/>
      <c r="AB75" s="16"/>
      <c r="AC75" s="16"/>
      <c r="AD75" s="16"/>
    </row>
    <row r="76" ht="14.25" customHeight="1">
      <c r="A76" s="16"/>
      <c r="B76" s="16"/>
      <c r="C76" s="16"/>
      <c r="D76" s="16"/>
      <c r="E76" s="16"/>
      <c r="F76" s="16"/>
      <c r="G76" s="16"/>
      <c r="H76" s="16"/>
      <c r="I76" s="16"/>
      <c r="J76" s="16"/>
      <c r="K76" s="16"/>
      <c r="L76" s="13" t="s">
        <v>4671</v>
      </c>
      <c r="M76" s="16"/>
      <c r="N76" s="16"/>
      <c r="O76" s="16"/>
      <c r="P76" s="17"/>
      <c r="Q76" s="16"/>
      <c r="R76" s="16"/>
      <c r="S76" s="16"/>
      <c r="T76" s="16"/>
      <c r="U76" s="16"/>
      <c r="V76" s="16"/>
      <c r="W76" s="16"/>
      <c r="X76" s="16"/>
      <c r="Y76" s="16"/>
      <c r="Z76" s="16"/>
      <c r="AA76" s="16"/>
      <c r="AB76" s="16"/>
      <c r="AC76" s="16"/>
      <c r="AD76" s="16"/>
    </row>
    <row r="77" ht="14.25" customHeight="1">
      <c r="A77" s="16"/>
      <c r="B77" s="16"/>
      <c r="C77" s="16"/>
      <c r="D77" s="16"/>
      <c r="E77" s="16"/>
      <c r="F77" s="16"/>
      <c r="G77" s="16"/>
      <c r="H77" s="16"/>
      <c r="I77" s="16"/>
      <c r="J77" s="16"/>
      <c r="K77" s="16"/>
      <c r="L77" s="13" t="s">
        <v>4672</v>
      </c>
      <c r="M77" s="16"/>
      <c r="N77" s="16"/>
      <c r="O77" s="16"/>
      <c r="P77" s="17"/>
      <c r="Q77" s="16"/>
      <c r="R77" s="16"/>
      <c r="S77" s="16"/>
      <c r="T77" s="16"/>
      <c r="U77" s="16"/>
      <c r="V77" s="16"/>
      <c r="W77" s="16"/>
      <c r="X77" s="16"/>
      <c r="Y77" s="16"/>
      <c r="Z77" s="16"/>
      <c r="AA77" s="16"/>
      <c r="AB77" s="16"/>
      <c r="AC77" s="16"/>
      <c r="AD77" s="16"/>
    </row>
    <row r="78" ht="14.25" customHeight="1">
      <c r="A78" s="16"/>
      <c r="B78" s="16"/>
      <c r="C78" s="16"/>
      <c r="D78" s="16"/>
      <c r="E78" s="16"/>
      <c r="F78" s="16"/>
      <c r="G78" s="16"/>
      <c r="H78" s="16"/>
      <c r="I78" s="16"/>
      <c r="J78" s="16"/>
      <c r="K78" s="16"/>
      <c r="L78" s="13" t="s">
        <v>3318</v>
      </c>
      <c r="M78" s="16"/>
      <c r="N78" s="16"/>
      <c r="O78" s="16"/>
      <c r="P78" s="17"/>
      <c r="Q78" s="16"/>
      <c r="R78" s="16"/>
      <c r="S78" s="16"/>
      <c r="T78" s="16"/>
      <c r="U78" s="16"/>
      <c r="V78" s="16"/>
      <c r="W78" s="16"/>
      <c r="X78" s="16"/>
      <c r="Y78" s="16"/>
      <c r="Z78" s="16"/>
      <c r="AA78" s="16"/>
      <c r="AB78" s="16"/>
      <c r="AC78" s="16"/>
      <c r="AD78" s="16"/>
    </row>
    <row r="79" ht="14.25" customHeight="1">
      <c r="A79" s="16"/>
      <c r="B79" s="16"/>
      <c r="C79" s="16"/>
      <c r="D79" s="16"/>
      <c r="E79" s="16"/>
      <c r="F79" s="16"/>
      <c r="G79" s="16"/>
      <c r="H79" s="16"/>
      <c r="I79" s="16"/>
      <c r="J79" s="16"/>
      <c r="K79" s="16"/>
      <c r="L79" s="13" t="s">
        <v>3158</v>
      </c>
      <c r="M79" s="16"/>
      <c r="N79" s="16"/>
      <c r="O79" s="16"/>
      <c r="P79" s="17"/>
      <c r="Q79" s="16"/>
      <c r="R79" s="16"/>
      <c r="S79" s="16"/>
      <c r="T79" s="16"/>
      <c r="U79" s="16"/>
      <c r="V79" s="16"/>
      <c r="W79" s="16"/>
      <c r="X79" s="16"/>
      <c r="Y79" s="16"/>
      <c r="Z79" s="16"/>
      <c r="AA79" s="16"/>
      <c r="AB79" s="16"/>
      <c r="AC79" s="16"/>
      <c r="AD79" s="16"/>
    </row>
    <row r="80" ht="14.25" customHeight="1">
      <c r="A80" s="16"/>
      <c r="B80" s="16"/>
      <c r="C80" s="16"/>
      <c r="D80" s="16"/>
      <c r="E80" s="16"/>
      <c r="F80" s="16"/>
      <c r="G80" s="16"/>
      <c r="H80" s="16"/>
      <c r="I80" s="16"/>
      <c r="J80" s="16"/>
      <c r="K80" s="16"/>
      <c r="L80" s="13" t="s">
        <v>4673</v>
      </c>
      <c r="M80" s="16"/>
      <c r="N80" s="16"/>
      <c r="O80" s="16"/>
      <c r="P80" s="17"/>
      <c r="Q80" s="16"/>
      <c r="R80" s="16"/>
      <c r="S80" s="16"/>
      <c r="T80" s="16"/>
      <c r="U80" s="16"/>
      <c r="V80" s="16"/>
      <c r="W80" s="16"/>
      <c r="X80" s="16"/>
      <c r="Y80" s="16"/>
      <c r="Z80" s="16"/>
      <c r="AA80" s="16"/>
      <c r="AB80" s="16"/>
      <c r="AC80" s="16"/>
      <c r="AD80" s="16"/>
    </row>
    <row r="81" ht="14.25" customHeight="1">
      <c r="A81" s="16"/>
      <c r="B81" s="16"/>
      <c r="C81" s="16"/>
      <c r="D81" s="16"/>
      <c r="E81" s="16"/>
      <c r="F81" s="16"/>
      <c r="G81" s="16"/>
      <c r="H81" s="16"/>
      <c r="I81" s="16"/>
      <c r="J81" s="16"/>
      <c r="K81" s="16"/>
      <c r="L81" s="13" t="s">
        <v>3330</v>
      </c>
      <c r="M81" s="16"/>
      <c r="N81" s="16"/>
      <c r="O81" s="16"/>
      <c r="P81" s="17"/>
      <c r="Q81" s="16"/>
      <c r="R81" s="16"/>
      <c r="S81" s="16"/>
      <c r="T81" s="16"/>
      <c r="U81" s="16"/>
      <c r="V81" s="16"/>
      <c r="W81" s="16"/>
      <c r="X81" s="16"/>
      <c r="Y81" s="16"/>
      <c r="Z81" s="16"/>
      <c r="AA81" s="16"/>
      <c r="AB81" s="16"/>
      <c r="AC81" s="16"/>
      <c r="AD81" s="16"/>
    </row>
    <row r="82" ht="14.25" customHeight="1">
      <c r="A82" s="16"/>
      <c r="B82" s="16"/>
      <c r="C82" s="16"/>
      <c r="D82" s="16"/>
      <c r="E82" s="16"/>
      <c r="F82" s="16"/>
      <c r="G82" s="16"/>
      <c r="H82" s="16"/>
      <c r="I82" s="16"/>
      <c r="J82" s="16"/>
      <c r="K82" s="16"/>
      <c r="L82" s="13" t="s">
        <v>4674</v>
      </c>
      <c r="M82" s="16"/>
      <c r="N82" s="16"/>
      <c r="O82" s="16"/>
      <c r="P82" s="17"/>
      <c r="Q82" s="16"/>
      <c r="R82" s="16"/>
      <c r="S82" s="16"/>
      <c r="T82" s="16"/>
      <c r="U82" s="16"/>
      <c r="V82" s="16"/>
      <c r="W82" s="16"/>
      <c r="X82" s="16"/>
      <c r="Y82" s="16"/>
      <c r="Z82" s="16"/>
      <c r="AA82" s="16"/>
      <c r="AB82" s="16"/>
      <c r="AC82" s="16"/>
      <c r="AD82" s="16"/>
    </row>
    <row r="83" ht="14.25" customHeight="1">
      <c r="A83" s="16"/>
      <c r="B83" s="16"/>
      <c r="C83" s="16"/>
      <c r="D83" s="16"/>
      <c r="E83" s="16"/>
      <c r="F83" s="16"/>
      <c r="G83" s="16"/>
      <c r="H83" s="16"/>
      <c r="I83" s="16"/>
      <c r="J83" s="16"/>
      <c r="K83" s="16"/>
      <c r="L83" s="13" t="s">
        <v>4675</v>
      </c>
      <c r="M83" s="16"/>
      <c r="N83" s="16"/>
      <c r="O83" s="16"/>
      <c r="P83" s="17"/>
      <c r="Q83" s="16"/>
      <c r="R83" s="16"/>
      <c r="S83" s="16"/>
      <c r="T83" s="16"/>
      <c r="U83" s="16"/>
      <c r="V83" s="16"/>
      <c r="W83" s="16"/>
      <c r="X83" s="16"/>
      <c r="Y83" s="16"/>
      <c r="Z83" s="16"/>
      <c r="AA83" s="16"/>
      <c r="AB83" s="16"/>
      <c r="AC83" s="16"/>
      <c r="AD83" s="16"/>
    </row>
    <row r="84" ht="14.25" customHeight="1">
      <c r="A84" s="16"/>
      <c r="B84" s="16"/>
      <c r="C84" s="16"/>
      <c r="D84" s="16"/>
      <c r="E84" s="16"/>
      <c r="F84" s="16"/>
      <c r="G84" s="16"/>
      <c r="H84" s="16"/>
      <c r="I84" s="16"/>
      <c r="J84" s="16"/>
      <c r="K84" s="16"/>
      <c r="L84" s="13" t="s">
        <v>4676</v>
      </c>
      <c r="M84" s="16"/>
      <c r="N84" s="16"/>
      <c r="O84" s="16"/>
      <c r="P84" s="17"/>
      <c r="Q84" s="16"/>
      <c r="R84" s="16"/>
      <c r="S84" s="16"/>
      <c r="T84" s="16"/>
      <c r="U84" s="16"/>
      <c r="V84" s="16"/>
      <c r="W84" s="16"/>
      <c r="X84" s="16"/>
      <c r="Y84" s="16"/>
      <c r="Z84" s="16"/>
      <c r="AA84" s="16"/>
      <c r="AB84" s="16"/>
      <c r="AC84" s="16"/>
      <c r="AD84" s="16"/>
    </row>
    <row r="85" ht="14.25" customHeight="1">
      <c r="A85" s="16"/>
      <c r="B85" s="16"/>
      <c r="C85" s="16"/>
      <c r="D85" s="16"/>
      <c r="E85" s="16"/>
      <c r="F85" s="16"/>
      <c r="G85" s="16"/>
      <c r="H85" s="16"/>
      <c r="I85" s="16"/>
      <c r="J85" s="16"/>
      <c r="K85" s="16"/>
      <c r="L85" s="13" t="s">
        <v>4677</v>
      </c>
      <c r="M85" s="16"/>
      <c r="N85" s="16"/>
      <c r="O85" s="16"/>
      <c r="P85" s="17"/>
      <c r="Q85" s="16"/>
      <c r="R85" s="16"/>
      <c r="S85" s="16"/>
      <c r="T85" s="16"/>
      <c r="U85" s="16"/>
      <c r="V85" s="16"/>
      <c r="W85" s="16"/>
      <c r="X85" s="16"/>
      <c r="Y85" s="16"/>
      <c r="Z85" s="16"/>
      <c r="AA85" s="16"/>
      <c r="AB85" s="16"/>
      <c r="AC85" s="16"/>
      <c r="AD85" s="16"/>
    </row>
    <row r="86" ht="14.25" customHeight="1">
      <c r="A86" s="16"/>
      <c r="B86" s="16"/>
      <c r="C86" s="16"/>
      <c r="D86" s="16"/>
      <c r="E86" s="16"/>
      <c r="F86" s="16"/>
      <c r="G86" s="16"/>
      <c r="H86" s="16"/>
      <c r="I86" s="16"/>
      <c r="J86" s="16"/>
      <c r="K86" s="16"/>
      <c r="L86" s="13" t="s">
        <v>4678</v>
      </c>
      <c r="M86" s="16"/>
      <c r="N86" s="16"/>
      <c r="O86" s="16"/>
      <c r="P86" s="17"/>
      <c r="Q86" s="16"/>
      <c r="R86" s="16"/>
      <c r="S86" s="16"/>
      <c r="T86" s="16"/>
      <c r="U86" s="16"/>
      <c r="V86" s="16"/>
      <c r="W86" s="16"/>
      <c r="X86" s="16"/>
      <c r="Y86" s="16"/>
      <c r="Z86" s="16"/>
      <c r="AA86" s="16"/>
      <c r="AB86" s="16"/>
      <c r="AC86" s="16"/>
      <c r="AD86" s="16"/>
    </row>
    <row r="87" ht="14.25" customHeight="1">
      <c r="A87" s="16"/>
      <c r="B87" s="16"/>
      <c r="C87" s="16"/>
      <c r="D87" s="16"/>
      <c r="E87" s="16"/>
      <c r="F87" s="16"/>
      <c r="G87" s="16"/>
      <c r="H87" s="16"/>
      <c r="I87" s="16"/>
      <c r="J87" s="16"/>
      <c r="K87" s="16"/>
      <c r="L87" s="13" t="s">
        <v>4679</v>
      </c>
      <c r="M87" s="16"/>
      <c r="N87" s="16"/>
      <c r="O87" s="16"/>
      <c r="P87" s="17"/>
      <c r="Q87" s="16"/>
      <c r="R87" s="16"/>
      <c r="S87" s="16"/>
      <c r="T87" s="16"/>
      <c r="U87" s="16"/>
      <c r="V87" s="16"/>
      <c r="W87" s="16"/>
      <c r="X87" s="16"/>
      <c r="Y87" s="16"/>
      <c r="Z87" s="16"/>
      <c r="AA87" s="16"/>
      <c r="AB87" s="16"/>
      <c r="AC87" s="16"/>
      <c r="AD87" s="16"/>
    </row>
    <row r="88" ht="14.25" customHeight="1">
      <c r="A88" s="16"/>
      <c r="B88" s="16"/>
      <c r="C88" s="16"/>
      <c r="D88" s="16"/>
      <c r="E88" s="16"/>
      <c r="F88" s="16"/>
      <c r="G88" s="16"/>
      <c r="H88" s="16"/>
      <c r="I88" s="16"/>
      <c r="J88" s="16"/>
      <c r="K88" s="16"/>
      <c r="L88" s="13" t="s">
        <v>3348</v>
      </c>
      <c r="M88" s="16"/>
      <c r="N88" s="16"/>
      <c r="O88" s="16"/>
      <c r="P88" s="17"/>
      <c r="Q88" s="16"/>
      <c r="R88" s="16"/>
      <c r="S88" s="16"/>
      <c r="T88" s="16"/>
      <c r="U88" s="16"/>
      <c r="V88" s="16"/>
      <c r="W88" s="16"/>
      <c r="X88" s="16"/>
      <c r="Y88" s="16"/>
      <c r="Z88" s="16"/>
      <c r="AA88" s="16"/>
      <c r="AB88" s="16"/>
      <c r="AC88" s="16"/>
      <c r="AD88" s="16"/>
    </row>
    <row r="89" ht="14.25" customHeight="1">
      <c r="A89" s="16"/>
      <c r="B89" s="16"/>
      <c r="C89" s="16"/>
      <c r="D89" s="16"/>
      <c r="E89" s="16"/>
      <c r="F89" s="16"/>
      <c r="G89" s="16"/>
      <c r="H89" s="16"/>
      <c r="I89" s="16"/>
      <c r="J89" s="16"/>
      <c r="K89" s="16"/>
      <c r="L89" s="13" t="s">
        <v>4680</v>
      </c>
      <c r="M89" s="16"/>
      <c r="N89" s="16"/>
      <c r="O89" s="16"/>
      <c r="P89" s="17"/>
      <c r="Q89" s="16"/>
      <c r="R89" s="16"/>
      <c r="S89" s="16"/>
      <c r="T89" s="16"/>
      <c r="U89" s="16"/>
      <c r="V89" s="16"/>
      <c r="W89" s="16"/>
      <c r="X89" s="16"/>
      <c r="Y89" s="16"/>
      <c r="Z89" s="16"/>
      <c r="AA89" s="16"/>
      <c r="AB89" s="16"/>
      <c r="AC89" s="16"/>
      <c r="AD89" s="16"/>
    </row>
    <row r="90" ht="14.25" customHeight="1">
      <c r="A90" s="16"/>
      <c r="B90" s="16"/>
      <c r="C90" s="16"/>
      <c r="D90" s="16"/>
      <c r="E90" s="16"/>
      <c r="F90" s="16"/>
      <c r="G90" s="16"/>
      <c r="H90" s="16"/>
      <c r="I90" s="16"/>
      <c r="J90" s="16"/>
      <c r="K90" s="16"/>
      <c r="L90" s="13" t="s">
        <v>4681</v>
      </c>
      <c r="M90" s="16"/>
      <c r="N90" s="16"/>
      <c r="O90" s="16"/>
      <c r="P90" s="17"/>
      <c r="Q90" s="16"/>
      <c r="R90" s="16"/>
      <c r="S90" s="16"/>
      <c r="T90" s="16"/>
      <c r="U90" s="16"/>
      <c r="V90" s="16"/>
      <c r="W90" s="16"/>
      <c r="X90" s="16"/>
      <c r="Y90" s="16"/>
      <c r="Z90" s="16"/>
      <c r="AA90" s="16"/>
      <c r="AB90" s="16"/>
      <c r="AC90" s="16"/>
      <c r="AD90" s="16"/>
    </row>
    <row r="91" ht="14.25" customHeight="1">
      <c r="A91" s="16"/>
      <c r="B91" s="16"/>
      <c r="C91" s="16"/>
      <c r="D91" s="16"/>
      <c r="E91" s="16"/>
      <c r="F91" s="16"/>
      <c r="G91" s="16"/>
      <c r="H91" s="16"/>
      <c r="I91" s="16"/>
      <c r="J91" s="16"/>
      <c r="K91" s="16"/>
      <c r="L91" s="13" t="s">
        <v>3325</v>
      </c>
      <c r="M91" s="16"/>
      <c r="N91" s="16"/>
      <c r="O91" s="16"/>
      <c r="P91" s="17"/>
      <c r="Q91" s="16"/>
      <c r="R91" s="16"/>
      <c r="S91" s="16"/>
      <c r="T91" s="16"/>
      <c r="U91" s="16"/>
      <c r="V91" s="16"/>
      <c r="W91" s="16"/>
      <c r="X91" s="16"/>
      <c r="Y91" s="16"/>
      <c r="Z91" s="16"/>
      <c r="AA91" s="16"/>
      <c r="AB91" s="16"/>
      <c r="AC91" s="16"/>
      <c r="AD91" s="16"/>
    </row>
    <row r="92" ht="14.25" customHeight="1">
      <c r="A92" s="16"/>
      <c r="B92" s="16"/>
      <c r="C92" s="16"/>
      <c r="D92" s="16"/>
      <c r="E92" s="16"/>
      <c r="F92" s="16"/>
      <c r="G92" s="16"/>
      <c r="H92" s="16"/>
      <c r="I92" s="16"/>
      <c r="J92" s="16"/>
      <c r="K92" s="16"/>
      <c r="L92" s="13" t="s">
        <v>4682</v>
      </c>
      <c r="M92" s="16"/>
      <c r="N92" s="16"/>
      <c r="O92" s="16"/>
      <c r="P92" s="17"/>
      <c r="Q92" s="16"/>
      <c r="R92" s="16"/>
      <c r="S92" s="16"/>
      <c r="T92" s="16"/>
      <c r="U92" s="16"/>
      <c r="V92" s="16"/>
      <c r="W92" s="16"/>
      <c r="X92" s="16"/>
      <c r="Y92" s="16"/>
      <c r="Z92" s="16"/>
      <c r="AA92" s="16"/>
      <c r="AB92" s="16"/>
      <c r="AC92" s="16"/>
      <c r="AD92" s="16"/>
    </row>
    <row r="93" ht="14.25" customHeight="1">
      <c r="A93" s="16"/>
      <c r="B93" s="16"/>
      <c r="C93" s="16"/>
      <c r="D93" s="16"/>
      <c r="E93" s="16"/>
      <c r="F93" s="16"/>
      <c r="G93" s="16"/>
      <c r="H93" s="16"/>
      <c r="I93" s="16"/>
      <c r="J93" s="16"/>
      <c r="K93" s="16"/>
      <c r="L93" s="13" t="s">
        <v>3436</v>
      </c>
      <c r="M93" s="16"/>
      <c r="N93" s="16"/>
      <c r="O93" s="16"/>
      <c r="P93" s="17"/>
      <c r="Q93" s="16"/>
      <c r="R93" s="16"/>
      <c r="S93" s="16"/>
      <c r="T93" s="16"/>
      <c r="U93" s="16"/>
      <c r="V93" s="16"/>
      <c r="W93" s="16"/>
      <c r="X93" s="16"/>
      <c r="Y93" s="16"/>
      <c r="Z93" s="16"/>
      <c r="AA93" s="16"/>
      <c r="AB93" s="16"/>
      <c r="AC93" s="16"/>
      <c r="AD93" s="16"/>
    </row>
    <row r="94" ht="14.25" customHeight="1">
      <c r="A94" s="16"/>
      <c r="B94" s="16"/>
      <c r="C94" s="16"/>
      <c r="D94" s="16"/>
      <c r="E94" s="16"/>
      <c r="F94" s="16"/>
      <c r="G94" s="16"/>
      <c r="H94" s="16"/>
      <c r="I94" s="16"/>
      <c r="J94" s="16"/>
      <c r="K94" s="16"/>
      <c r="L94" s="13" t="s">
        <v>4683</v>
      </c>
      <c r="M94" s="16"/>
      <c r="N94" s="16"/>
      <c r="O94" s="16"/>
      <c r="P94" s="17"/>
      <c r="Q94" s="16"/>
      <c r="R94" s="16"/>
      <c r="S94" s="16"/>
      <c r="T94" s="16"/>
      <c r="U94" s="16"/>
      <c r="V94" s="16"/>
      <c r="W94" s="16"/>
      <c r="X94" s="16"/>
      <c r="Y94" s="16"/>
      <c r="Z94" s="16"/>
      <c r="AA94" s="16"/>
      <c r="AB94" s="16"/>
      <c r="AC94" s="16"/>
      <c r="AD94" s="16"/>
    </row>
    <row r="95" ht="14.25" customHeight="1">
      <c r="A95" s="16"/>
      <c r="B95" s="16"/>
      <c r="C95" s="16"/>
      <c r="D95" s="16"/>
      <c r="E95" s="16"/>
      <c r="F95" s="16"/>
      <c r="G95" s="16"/>
      <c r="H95" s="16"/>
      <c r="I95" s="16"/>
      <c r="J95" s="16"/>
      <c r="K95" s="16"/>
      <c r="L95" s="13" t="s">
        <v>4684</v>
      </c>
      <c r="M95" s="16"/>
      <c r="N95" s="16"/>
      <c r="O95" s="16"/>
      <c r="P95" s="17"/>
      <c r="Q95" s="16"/>
      <c r="R95" s="16"/>
      <c r="S95" s="16"/>
      <c r="T95" s="16"/>
      <c r="U95" s="16"/>
      <c r="V95" s="16"/>
      <c r="W95" s="16"/>
      <c r="X95" s="16"/>
      <c r="Y95" s="16"/>
      <c r="Z95" s="16"/>
      <c r="AA95" s="16"/>
      <c r="AB95" s="16"/>
      <c r="AC95" s="16"/>
      <c r="AD95" s="16"/>
    </row>
    <row r="96" ht="14.25" customHeight="1">
      <c r="A96" s="16"/>
      <c r="B96" s="16"/>
      <c r="C96" s="16"/>
      <c r="D96" s="16"/>
      <c r="E96" s="16"/>
      <c r="F96" s="16"/>
      <c r="G96" s="16"/>
      <c r="H96" s="16"/>
      <c r="I96" s="16"/>
      <c r="J96" s="16"/>
      <c r="K96" s="16"/>
      <c r="L96" s="13" t="s">
        <v>4685</v>
      </c>
      <c r="M96" s="16"/>
      <c r="N96" s="16"/>
      <c r="O96" s="16"/>
      <c r="P96" s="17"/>
      <c r="Q96" s="16"/>
      <c r="R96" s="16"/>
      <c r="S96" s="16"/>
      <c r="T96" s="16"/>
      <c r="U96" s="16"/>
      <c r="V96" s="16"/>
      <c r="W96" s="16"/>
      <c r="X96" s="16"/>
      <c r="Y96" s="16"/>
      <c r="Z96" s="16"/>
      <c r="AA96" s="16"/>
      <c r="AB96" s="16"/>
      <c r="AC96" s="16"/>
      <c r="AD96" s="16"/>
    </row>
    <row r="97" ht="14.25" customHeight="1">
      <c r="A97" s="16"/>
      <c r="B97" s="16"/>
      <c r="C97" s="16"/>
      <c r="D97" s="16"/>
      <c r="E97" s="16"/>
      <c r="F97" s="16"/>
      <c r="G97" s="16"/>
      <c r="H97" s="16"/>
      <c r="I97" s="16"/>
      <c r="J97" s="16"/>
      <c r="K97" s="16"/>
      <c r="L97" s="13" t="s">
        <v>4081</v>
      </c>
      <c r="M97" s="16"/>
      <c r="N97" s="16"/>
      <c r="O97" s="16"/>
      <c r="P97" s="17"/>
      <c r="Q97" s="16"/>
      <c r="R97" s="16"/>
      <c r="S97" s="16"/>
      <c r="T97" s="16"/>
      <c r="U97" s="16"/>
      <c r="V97" s="16"/>
      <c r="W97" s="16"/>
      <c r="X97" s="16"/>
      <c r="Y97" s="16"/>
      <c r="Z97" s="16"/>
      <c r="AA97" s="16"/>
      <c r="AB97" s="16"/>
      <c r="AC97" s="16"/>
      <c r="AD97" s="16"/>
    </row>
    <row r="98" ht="14.25" customHeight="1">
      <c r="A98" s="16"/>
      <c r="B98" s="16"/>
      <c r="C98" s="16"/>
      <c r="D98" s="16"/>
      <c r="E98" s="16"/>
      <c r="F98" s="16"/>
      <c r="G98" s="16"/>
      <c r="H98" s="16"/>
      <c r="I98" s="16"/>
      <c r="J98" s="16"/>
      <c r="K98" s="16"/>
      <c r="L98" s="13" t="s">
        <v>3400</v>
      </c>
      <c r="M98" s="16"/>
      <c r="N98" s="16"/>
      <c r="O98" s="16"/>
      <c r="P98" s="17"/>
      <c r="Q98" s="16"/>
      <c r="R98" s="16"/>
      <c r="S98" s="16"/>
      <c r="T98" s="16"/>
      <c r="U98" s="16"/>
      <c r="V98" s="16"/>
      <c r="W98" s="16"/>
      <c r="X98" s="16"/>
      <c r="Y98" s="16"/>
      <c r="Z98" s="16"/>
      <c r="AA98" s="16"/>
      <c r="AB98" s="16"/>
      <c r="AC98" s="16"/>
      <c r="AD98" s="16"/>
    </row>
    <row r="99" ht="14.25" customHeight="1">
      <c r="A99" s="16"/>
      <c r="B99" s="16"/>
      <c r="C99" s="16"/>
      <c r="D99" s="16"/>
      <c r="E99" s="16"/>
      <c r="F99" s="16"/>
      <c r="G99" s="16"/>
      <c r="H99" s="16"/>
      <c r="I99" s="16"/>
      <c r="J99" s="16"/>
      <c r="K99" s="16"/>
      <c r="L99" s="13" t="s">
        <v>4686</v>
      </c>
      <c r="M99" s="16"/>
      <c r="N99" s="16"/>
      <c r="O99" s="16"/>
      <c r="P99" s="17"/>
      <c r="Q99" s="16"/>
      <c r="R99" s="16"/>
      <c r="S99" s="16"/>
      <c r="T99" s="16"/>
      <c r="U99" s="16"/>
      <c r="V99" s="16"/>
      <c r="W99" s="16"/>
      <c r="X99" s="16"/>
      <c r="Y99" s="16"/>
      <c r="Z99" s="16"/>
      <c r="AA99" s="16"/>
      <c r="AB99" s="16"/>
      <c r="AC99" s="16"/>
      <c r="AD99" s="16"/>
    </row>
    <row r="100" ht="14.25" customHeight="1">
      <c r="A100" s="16"/>
      <c r="B100" s="16"/>
      <c r="C100" s="16"/>
      <c r="D100" s="16"/>
      <c r="E100" s="16"/>
      <c r="F100" s="16"/>
      <c r="G100" s="16"/>
      <c r="H100" s="16"/>
      <c r="I100" s="16"/>
      <c r="J100" s="16"/>
      <c r="K100" s="16"/>
      <c r="L100" s="13" t="s">
        <v>4687</v>
      </c>
      <c r="M100" s="16"/>
      <c r="N100" s="16"/>
      <c r="O100" s="16"/>
      <c r="P100" s="17"/>
      <c r="Q100" s="16"/>
      <c r="R100" s="16"/>
      <c r="S100" s="16"/>
      <c r="T100" s="16"/>
      <c r="U100" s="16"/>
      <c r="V100" s="16"/>
      <c r="W100" s="16"/>
      <c r="X100" s="16"/>
      <c r="Y100" s="16"/>
      <c r="Z100" s="16"/>
      <c r="AA100" s="16"/>
      <c r="AB100" s="16"/>
      <c r="AC100" s="16"/>
      <c r="AD100" s="16"/>
    </row>
    <row r="101" ht="14.25" customHeight="1">
      <c r="A101" s="16"/>
      <c r="B101" s="16"/>
      <c r="C101" s="16"/>
      <c r="D101" s="16"/>
      <c r="E101" s="16"/>
      <c r="F101" s="16"/>
      <c r="G101" s="16"/>
      <c r="H101" s="16"/>
      <c r="I101" s="16"/>
      <c r="J101" s="16"/>
      <c r="K101" s="16"/>
      <c r="L101" s="13" t="s">
        <v>4688</v>
      </c>
      <c r="M101" s="16"/>
      <c r="N101" s="16"/>
      <c r="O101" s="16"/>
      <c r="P101" s="17"/>
      <c r="Q101" s="16"/>
      <c r="R101" s="16"/>
      <c r="S101" s="16"/>
      <c r="T101" s="16"/>
      <c r="U101" s="16"/>
      <c r="V101" s="16"/>
      <c r="W101" s="16"/>
      <c r="X101" s="16"/>
      <c r="Y101" s="16"/>
      <c r="Z101" s="16"/>
      <c r="AA101" s="16"/>
      <c r="AB101" s="16"/>
      <c r="AC101" s="16"/>
      <c r="AD101" s="16"/>
    </row>
    <row r="102" ht="14.25" customHeight="1">
      <c r="A102" s="16"/>
      <c r="B102" s="16"/>
      <c r="C102" s="16"/>
      <c r="D102" s="16"/>
      <c r="E102" s="16"/>
      <c r="F102" s="16"/>
      <c r="G102" s="16"/>
      <c r="H102" s="16"/>
      <c r="I102" s="16"/>
      <c r="J102" s="16"/>
      <c r="K102" s="16"/>
      <c r="L102" s="13" t="s">
        <v>3600</v>
      </c>
      <c r="M102" s="16"/>
      <c r="N102" s="16"/>
      <c r="O102" s="16"/>
      <c r="P102" s="17"/>
      <c r="Q102" s="16"/>
      <c r="R102" s="16"/>
      <c r="S102" s="16"/>
      <c r="T102" s="16"/>
      <c r="U102" s="16"/>
      <c r="V102" s="16"/>
      <c r="W102" s="16"/>
      <c r="X102" s="16"/>
      <c r="Y102" s="16"/>
      <c r="Z102" s="16"/>
      <c r="AA102" s="16"/>
      <c r="AB102" s="16"/>
      <c r="AC102" s="16"/>
      <c r="AD102" s="16"/>
    </row>
    <row r="103" ht="14.25" customHeight="1">
      <c r="A103" s="16"/>
      <c r="B103" s="16"/>
      <c r="C103" s="16"/>
      <c r="D103" s="16"/>
      <c r="E103" s="16"/>
      <c r="F103" s="16"/>
      <c r="G103" s="16"/>
      <c r="H103" s="16"/>
      <c r="I103" s="16"/>
      <c r="J103" s="16"/>
      <c r="K103" s="16"/>
      <c r="L103" s="13" t="s">
        <v>4689</v>
      </c>
      <c r="M103" s="16"/>
      <c r="N103" s="16"/>
      <c r="O103" s="16"/>
      <c r="P103" s="17"/>
      <c r="Q103" s="16"/>
      <c r="R103" s="16"/>
      <c r="S103" s="16"/>
      <c r="T103" s="16"/>
      <c r="U103" s="16"/>
      <c r="V103" s="16"/>
      <c r="W103" s="16"/>
      <c r="X103" s="16"/>
      <c r="Y103" s="16"/>
      <c r="Z103" s="16"/>
      <c r="AA103" s="16"/>
      <c r="AB103" s="16"/>
      <c r="AC103" s="16"/>
      <c r="AD103" s="16"/>
    </row>
    <row r="104" ht="14.25" customHeight="1">
      <c r="A104" s="16"/>
      <c r="B104" s="16"/>
      <c r="C104" s="16"/>
      <c r="D104" s="16"/>
      <c r="E104" s="16"/>
      <c r="F104" s="16"/>
      <c r="G104" s="16"/>
      <c r="H104" s="16"/>
      <c r="I104" s="16"/>
      <c r="J104" s="16"/>
      <c r="K104" s="16"/>
      <c r="L104" s="13" t="s">
        <v>4690</v>
      </c>
      <c r="M104" s="16"/>
      <c r="N104" s="16"/>
      <c r="O104" s="16"/>
      <c r="P104" s="17"/>
      <c r="Q104" s="16"/>
      <c r="R104" s="16"/>
      <c r="S104" s="16"/>
      <c r="T104" s="16"/>
      <c r="U104" s="16"/>
      <c r="V104" s="16"/>
      <c r="W104" s="16"/>
      <c r="X104" s="16"/>
      <c r="Y104" s="16"/>
      <c r="Z104" s="16"/>
      <c r="AA104" s="16"/>
      <c r="AB104" s="16"/>
      <c r="AC104" s="16"/>
      <c r="AD104" s="16"/>
    </row>
    <row r="105" ht="14.25" customHeight="1">
      <c r="A105" s="16"/>
      <c r="B105" s="16"/>
      <c r="C105" s="16"/>
      <c r="D105" s="16"/>
      <c r="E105" s="16"/>
      <c r="F105" s="16"/>
      <c r="G105" s="16"/>
      <c r="H105" s="16"/>
      <c r="I105" s="16"/>
      <c r="J105" s="16"/>
      <c r="K105" s="16"/>
      <c r="L105" s="13" t="s">
        <v>4691</v>
      </c>
      <c r="M105" s="16"/>
      <c r="N105" s="16"/>
      <c r="O105" s="16"/>
      <c r="P105" s="17"/>
      <c r="Q105" s="16"/>
      <c r="R105" s="16"/>
      <c r="S105" s="16"/>
      <c r="T105" s="16"/>
      <c r="U105" s="16"/>
      <c r="V105" s="16"/>
      <c r="W105" s="16"/>
      <c r="X105" s="16"/>
      <c r="Y105" s="16"/>
      <c r="Z105" s="16"/>
      <c r="AA105" s="16"/>
      <c r="AB105" s="16"/>
      <c r="AC105" s="16"/>
      <c r="AD105" s="16"/>
    </row>
    <row r="106" ht="14.25" customHeight="1">
      <c r="A106" s="16"/>
      <c r="B106" s="16"/>
      <c r="C106" s="16"/>
      <c r="D106" s="16"/>
      <c r="E106" s="16"/>
      <c r="F106" s="16"/>
      <c r="G106" s="16"/>
      <c r="H106" s="16"/>
      <c r="I106" s="16"/>
      <c r="J106" s="16"/>
      <c r="K106" s="16"/>
      <c r="L106" s="13" t="s">
        <v>4692</v>
      </c>
      <c r="M106" s="16"/>
      <c r="N106" s="16"/>
      <c r="O106" s="16"/>
      <c r="P106" s="17"/>
      <c r="Q106" s="16"/>
      <c r="R106" s="16"/>
      <c r="S106" s="16"/>
      <c r="T106" s="16"/>
      <c r="U106" s="16"/>
      <c r="V106" s="16"/>
      <c r="W106" s="16"/>
      <c r="X106" s="16"/>
      <c r="Y106" s="16"/>
      <c r="Z106" s="16"/>
      <c r="AA106" s="16"/>
      <c r="AB106" s="16"/>
      <c r="AC106" s="16"/>
      <c r="AD106" s="16"/>
    </row>
    <row r="107" ht="14.25" customHeight="1">
      <c r="A107" s="16"/>
      <c r="B107" s="16"/>
      <c r="C107" s="16"/>
      <c r="D107" s="16"/>
      <c r="E107" s="16"/>
      <c r="F107" s="16"/>
      <c r="G107" s="16"/>
      <c r="H107" s="16"/>
      <c r="I107" s="16"/>
      <c r="J107" s="16"/>
      <c r="K107" s="16"/>
      <c r="L107" s="13" t="s">
        <v>4693</v>
      </c>
      <c r="M107" s="16"/>
      <c r="N107" s="16"/>
      <c r="O107" s="16"/>
      <c r="P107" s="17"/>
      <c r="Q107" s="16"/>
      <c r="R107" s="16"/>
      <c r="S107" s="16"/>
      <c r="T107" s="16"/>
      <c r="U107" s="16"/>
      <c r="V107" s="16"/>
      <c r="W107" s="16"/>
      <c r="X107" s="16"/>
      <c r="Y107" s="16"/>
      <c r="Z107" s="16"/>
      <c r="AA107" s="16"/>
      <c r="AB107" s="16"/>
      <c r="AC107" s="16"/>
      <c r="AD107" s="16"/>
    </row>
    <row r="108" ht="14.25" customHeight="1">
      <c r="A108" s="16"/>
      <c r="B108" s="16"/>
      <c r="C108" s="16"/>
      <c r="D108" s="16"/>
      <c r="E108" s="16"/>
      <c r="F108" s="16"/>
      <c r="G108" s="16"/>
      <c r="H108" s="16"/>
      <c r="I108" s="16"/>
      <c r="J108" s="16"/>
      <c r="K108" s="16"/>
      <c r="L108" s="13" t="s">
        <v>4694</v>
      </c>
      <c r="M108" s="16"/>
      <c r="N108" s="16"/>
      <c r="O108" s="16"/>
      <c r="P108" s="17"/>
      <c r="Q108" s="16"/>
      <c r="R108" s="16"/>
      <c r="S108" s="16"/>
      <c r="T108" s="16"/>
      <c r="U108" s="16"/>
      <c r="V108" s="16"/>
      <c r="W108" s="16"/>
      <c r="X108" s="16"/>
      <c r="Y108" s="16"/>
      <c r="Z108" s="16"/>
      <c r="AA108" s="16"/>
      <c r="AB108" s="16"/>
      <c r="AC108" s="16"/>
      <c r="AD108" s="16"/>
    </row>
    <row r="109" ht="14.25" customHeight="1">
      <c r="A109" s="16"/>
      <c r="B109" s="16"/>
      <c r="C109" s="16"/>
      <c r="D109" s="16"/>
      <c r="E109" s="16"/>
      <c r="F109" s="16"/>
      <c r="G109" s="16"/>
      <c r="H109" s="16"/>
      <c r="I109" s="16"/>
      <c r="J109" s="16"/>
      <c r="K109" s="16"/>
      <c r="L109" s="13" t="s">
        <v>4695</v>
      </c>
      <c r="M109" s="16"/>
      <c r="N109" s="16"/>
      <c r="O109" s="16"/>
      <c r="P109" s="17"/>
      <c r="Q109" s="16"/>
      <c r="R109" s="16"/>
      <c r="S109" s="16"/>
      <c r="T109" s="16"/>
      <c r="U109" s="16"/>
      <c r="V109" s="16"/>
      <c r="W109" s="16"/>
      <c r="X109" s="16"/>
      <c r="Y109" s="16"/>
      <c r="Z109" s="16"/>
      <c r="AA109" s="16"/>
      <c r="AB109" s="16"/>
      <c r="AC109" s="16"/>
      <c r="AD109" s="16"/>
    </row>
    <row r="110" ht="14.25" customHeight="1">
      <c r="A110" s="16"/>
      <c r="B110" s="16"/>
      <c r="C110" s="16"/>
      <c r="D110" s="16"/>
      <c r="E110" s="16"/>
      <c r="F110" s="16"/>
      <c r="G110" s="16"/>
      <c r="H110" s="16"/>
      <c r="I110" s="16"/>
      <c r="J110" s="16"/>
      <c r="K110" s="16"/>
      <c r="L110" s="13" t="s">
        <v>4696</v>
      </c>
      <c r="M110" s="16"/>
      <c r="N110" s="16"/>
      <c r="O110" s="16"/>
      <c r="P110" s="17"/>
      <c r="Q110" s="16"/>
      <c r="R110" s="16"/>
      <c r="S110" s="16"/>
      <c r="T110" s="16"/>
      <c r="U110" s="16"/>
      <c r="V110" s="16"/>
      <c r="W110" s="16"/>
      <c r="X110" s="16"/>
      <c r="Y110" s="16"/>
      <c r="Z110" s="16"/>
      <c r="AA110" s="16"/>
      <c r="AB110" s="16"/>
      <c r="AC110" s="16"/>
      <c r="AD110" s="16"/>
    </row>
    <row r="111" ht="14.25" customHeight="1">
      <c r="A111" s="16"/>
      <c r="B111" s="16"/>
      <c r="C111" s="16"/>
      <c r="D111" s="16"/>
      <c r="E111" s="16"/>
      <c r="F111" s="16"/>
      <c r="G111" s="16"/>
      <c r="H111" s="16"/>
      <c r="I111" s="16"/>
      <c r="J111" s="16"/>
      <c r="K111" s="16"/>
      <c r="L111" s="13" t="s">
        <v>3992</v>
      </c>
      <c r="M111" s="16"/>
      <c r="N111" s="16"/>
      <c r="O111" s="16"/>
      <c r="P111" s="17"/>
      <c r="Q111" s="16"/>
      <c r="R111" s="16"/>
      <c r="S111" s="16"/>
      <c r="T111" s="16"/>
      <c r="U111" s="16"/>
      <c r="V111" s="16"/>
      <c r="W111" s="16"/>
      <c r="X111" s="16"/>
      <c r="Y111" s="16"/>
      <c r="Z111" s="16"/>
      <c r="AA111" s="16"/>
      <c r="AB111" s="16"/>
      <c r="AC111" s="16"/>
      <c r="AD111" s="16"/>
    </row>
    <row r="112" ht="14.25" customHeight="1">
      <c r="A112" s="16"/>
      <c r="B112" s="16"/>
      <c r="C112" s="16"/>
      <c r="D112" s="16"/>
      <c r="E112" s="16"/>
      <c r="F112" s="16"/>
      <c r="G112" s="16"/>
      <c r="H112" s="16"/>
      <c r="I112" s="16"/>
      <c r="J112" s="16"/>
      <c r="K112" s="16"/>
      <c r="L112" s="13" t="s">
        <v>4697</v>
      </c>
      <c r="M112" s="16"/>
      <c r="N112" s="16"/>
      <c r="O112" s="16"/>
      <c r="P112" s="17"/>
      <c r="Q112" s="16"/>
      <c r="R112" s="16"/>
      <c r="S112" s="16"/>
      <c r="T112" s="16"/>
      <c r="U112" s="16"/>
      <c r="V112" s="16"/>
      <c r="W112" s="16"/>
      <c r="X112" s="16"/>
      <c r="Y112" s="16"/>
      <c r="Z112" s="16"/>
      <c r="AA112" s="16"/>
      <c r="AB112" s="16"/>
      <c r="AC112" s="16"/>
      <c r="AD112" s="16"/>
    </row>
    <row r="113" ht="14.25" customHeight="1">
      <c r="A113" s="16"/>
      <c r="B113" s="16"/>
      <c r="C113" s="16"/>
      <c r="D113" s="16"/>
      <c r="E113" s="16"/>
      <c r="F113" s="16"/>
      <c r="G113" s="16"/>
      <c r="H113" s="16"/>
      <c r="I113" s="16"/>
      <c r="J113" s="16"/>
      <c r="K113" s="16"/>
      <c r="L113" s="13" t="s">
        <v>4698</v>
      </c>
      <c r="M113" s="16"/>
      <c r="N113" s="16"/>
      <c r="O113" s="16"/>
      <c r="P113" s="17"/>
      <c r="Q113" s="16"/>
      <c r="R113" s="16"/>
      <c r="S113" s="16"/>
      <c r="T113" s="16"/>
      <c r="U113" s="16"/>
      <c r="V113" s="16"/>
      <c r="W113" s="16"/>
      <c r="X113" s="16"/>
      <c r="Y113" s="16"/>
      <c r="Z113" s="16"/>
      <c r="AA113" s="16"/>
      <c r="AB113" s="16"/>
      <c r="AC113" s="16"/>
      <c r="AD113" s="16"/>
    </row>
    <row r="114" ht="14.25" customHeight="1">
      <c r="A114" s="16"/>
      <c r="B114" s="16"/>
      <c r="C114" s="16"/>
      <c r="D114" s="16"/>
      <c r="E114" s="16"/>
      <c r="F114" s="16"/>
      <c r="G114" s="16"/>
      <c r="H114" s="16"/>
      <c r="I114" s="16"/>
      <c r="J114" s="16"/>
      <c r="K114" s="16"/>
      <c r="L114" s="13" t="s">
        <v>3189</v>
      </c>
      <c r="M114" s="16"/>
      <c r="N114" s="16"/>
      <c r="O114" s="16"/>
      <c r="P114" s="17"/>
      <c r="Q114" s="16"/>
      <c r="R114" s="16"/>
      <c r="S114" s="16"/>
      <c r="T114" s="16"/>
      <c r="U114" s="16"/>
      <c r="V114" s="16"/>
      <c r="W114" s="16"/>
      <c r="X114" s="16"/>
      <c r="Y114" s="16"/>
      <c r="Z114" s="16"/>
      <c r="AA114" s="16"/>
      <c r="AB114" s="16"/>
      <c r="AC114" s="16"/>
      <c r="AD114" s="16"/>
    </row>
    <row r="115" ht="14.25" customHeight="1">
      <c r="A115" s="16"/>
      <c r="B115" s="16"/>
      <c r="C115" s="16"/>
      <c r="D115" s="16"/>
      <c r="E115" s="16"/>
      <c r="F115" s="16"/>
      <c r="G115" s="16"/>
      <c r="H115" s="16"/>
      <c r="I115" s="16"/>
      <c r="J115" s="16"/>
      <c r="K115" s="16"/>
      <c r="L115" s="13" t="s">
        <v>4699</v>
      </c>
      <c r="M115" s="16"/>
      <c r="N115" s="16"/>
      <c r="O115" s="16"/>
      <c r="P115" s="17"/>
      <c r="Q115" s="16"/>
      <c r="R115" s="16"/>
      <c r="S115" s="16"/>
      <c r="T115" s="16"/>
      <c r="U115" s="16"/>
      <c r="V115" s="16"/>
      <c r="W115" s="16"/>
      <c r="X115" s="16"/>
      <c r="Y115" s="16"/>
      <c r="Z115" s="16"/>
      <c r="AA115" s="16"/>
      <c r="AB115" s="16"/>
      <c r="AC115" s="16"/>
      <c r="AD115" s="16"/>
    </row>
    <row r="116" ht="14.25" customHeight="1">
      <c r="A116" s="16"/>
      <c r="B116" s="16"/>
      <c r="C116" s="16"/>
      <c r="D116" s="16"/>
      <c r="E116" s="16"/>
      <c r="F116" s="16"/>
      <c r="G116" s="16"/>
      <c r="H116" s="16"/>
      <c r="I116" s="16"/>
      <c r="J116" s="16"/>
      <c r="K116" s="16"/>
      <c r="L116" s="13" t="s">
        <v>3207</v>
      </c>
      <c r="M116" s="16"/>
      <c r="N116" s="16"/>
      <c r="O116" s="16"/>
      <c r="P116" s="17"/>
      <c r="Q116" s="16"/>
      <c r="R116" s="16"/>
      <c r="S116" s="16"/>
      <c r="T116" s="16"/>
      <c r="U116" s="16"/>
      <c r="V116" s="16"/>
      <c r="W116" s="16"/>
      <c r="X116" s="16"/>
      <c r="Y116" s="16"/>
      <c r="Z116" s="16"/>
      <c r="AA116" s="16"/>
      <c r="AB116" s="16"/>
      <c r="AC116" s="16"/>
      <c r="AD116" s="16"/>
    </row>
    <row r="117" ht="14.25" customHeight="1">
      <c r="A117" s="16"/>
      <c r="B117" s="16"/>
      <c r="C117" s="16"/>
      <c r="D117" s="16"/>
      <c r="E117" s="16"/>
      <c r="F117" s="16"/>
      <c r="G117" s="16"/>
      <c r="H117" s="16"/>
      <c r="I117" s="16"/>
      <c r="J117" s="16"/>
      <c r="K117" s="16"/>
      <c r="L117" s="13" t="s">
        <v>4700</v>
      </c>
      <c r="M117" s="16"/>
      <c r="N117" s="16"/>
      <c r="O117" s="16"/>
      <c r="P117" s="17"/>
      <c r="Q117" s="16"/>
      <c r="R117" s="16"/>
      <c r="S117" s="16"/>
      <c r="T117" s="16"/>
      <c r="U117" s="16"/>
      <c r="V117" s="16"/>
      <c r="W117" s="16"/>
      <c r="X117" s="16"/>
      <c r="Y117" s="16"/>
      <c r="Z117" s="16"/>
      <c r="AA117" s="16"/>
      <c r="AB117" s="16"/>
      <c r="AC117" s="16"/>
      <c r="AD117" s="16"/>
    </row>
    <row r="118" ht="14.25" customHeight="1">
      <c r="A118" s="16"/>
      <c r="B118" s="16"/>
      <c r="C118" s="16"/>
      <c r="D118" s="16"/>
      <c r="E118" s="16"/>
      <c r="F118" s="16"/>
      <c r="G118" s="16"/>
      <c r="H118" s="16"/>
      <c r="I118" s="16"/>
      <c r="J118" s="16"/>
      <c r="K118" s="16"/>
      <c r="L118" s="13" t="s">
        <v>3286</v>
      </c>
      <c r="M118" s="16"/>
      <c r="N118" s="16"/>
      <c r="O118" s="16"/>
      <c r="P118" s="17"/>
      <c r="Q118" s="16"/>
      <c r="R118" s="16"/>
      <c r="S118" s="16"/>
      <c r="T118" s="16"/>
      <c r="U118" s="16"/>
      <c r="V118" s="16"/>
      <c r="W118" s="16"/>
      <c r="X118" s="16"/>
      <c r="Y118" s="16"/>
      <c r="Z118" s="16"/>
      <c r="AA118" s="16"/>
      <c r="AB118" s="16"/>
      <c r="AC118" s="16"/>
      <c r="AD118" s="16"/>
    </row>
    <row r="119" ht="14.25" customHeight="1">
      <c r="A119" s="16"/>
      <c r="B119" s="16"/>
      <c r="C119" s="16"/>
      <c r="D119" s="16"/>
      <c r="E119" s="16"/>
      <c r="F119" s="16"/>
      <c r="G119" s="16"/>
      <c r="H119" s="16"/>
      <c r="I119" s="16"/>
      <c r="J119" s="16"/>
      <c r="K119" s="16"/>
      <c r="L119" s="13" t="s">
        <v>4420</v>
      </c>
      <c r="M119" s="16"/>
      <c r="N119" s="16"/>
      <c r="O119" s="16"/>
      <c r="P119" s="17"/>
      <c r="Q119" s="16"/>
      <c r="R119" s="16"/>
      <c r="S119" s="16"/>
      <c r="T119" s="16"/>
      <c r="U119" s="16"/>
      <c r="V119" s="16"/>
      <c r="W119" s="16"/>
      <c r="X119" s="16"/>
      <c r="Y119" s="16"/>
      <c r="Z119" s="16"/>
      <c r="AA119" s="16"/>
      <c r="AB119" s="16"/>
      <c r="AC119" s="16"/>
      <c r="AD119" s="16"/>
    </row>
    <row r="120" ht="14.25" customHeight="1">
      <c r="A120" s="16"/>
      <c r="B120" s="16"/>
      <c r="C120" s="16"/>
      <c r="D120" s="16"/>
      <c r="E120" s="16"/>
      <c r="F120" s="16"/>
      <c r="G120" s="16"/>
      <c r="H120" s="16"/>
      <c r="I120" s="16"/>
      <c r="J120" s="16"/>
      <c r="K120" s="16"/>
      <c r="L120" s="13" t="s">
        <v>3307</v>
      </c>
      <c r="M120" s="16"/>
      <c r="N120" s="16"/>
      <c r="O120" s="16"/>
      <c r="P120" s="17"/>
      <c r="Q120" s="16"/>
      <c r="R120" s="16"/>
      <c r="S120" s="16"/>
      <c r="T120" s="16"/>
      <c r="U120" s="16"/>
      <c r="V120" s="16"/>
      <c r="W120" s="16"/>
      <c r="X120" s="16"/>
      <c r="Y120" s="16"/>
      <c r="Z120" s="16"/>
      <c r="AA120" s="16"/>
      <c r="AB120" s="16"/>
      <c r="AC120" s="16"/>
      <c r="AD120" s="16"/>
    </row>
    <row r="121" ht="14.25" customHeight="1">
      <c r="A121" s="16"/>
      <c r="B121" s="16"/>
      <c r="C121" s="16"/>
      <c r="D121" s="16"/>
      <c r="E121" s="16"/>
      <c r="F121" s="16"/>
      <c r="G121" s="16"/>
      <c r="H121" s="16"/>
      <c r="I121" s="16"/>
      <c r="J121" s="16"/>
      <c r="K121" s="16"/>
      <c r="L121" s="13" t="s">
        <v>4285</v>
      </c>
      <c r="M121" s="16"/>
      <c r="N121" s="16"/>
      <c r="O121" s="16"/>
      <c r="P121" s="17"/>
      <c r="Q121" s="16"/>
      <c r="R121" s="16"/>
      <c r="S121" s="16"/>
      <c r="T121" s="16"/>
      <c r="U121" s="16"/>
      <c r="V121" s="16"/>
      <c r="W121" s="16"/>
      <c r="X121" s="16"/>
      <c r="Y121" s="16"/>
      <c r="Z121" s="16"/>
      <c r="AA121" s="16"/>
      <c r="AB121" s="16"/>
      <c r="AC121" s="16"/>
      <c r="AD121" s="16"/>
    </row>
    <row r="122" ht="14.25" customHeight="1">
      <c r="A122" s="16"/>
      <c r="B122" s="16"/>
      <c r="C122" s="16"/>
      <c r="D122" s="16"/>
      <c r="E122" s="16"/>
      <c r="F122" s="16"/>
      <c r="G122" s="16"/>
      <c r="H122" s="16"/>
      <c r="I122" s="16"/>
      <c r="J122" s="16"/>
      <c r="K122" s="16"/>
      <c r="L122" s="13" t="s">
        <v>4701</v>
      </c>
      <c r="M122" s="16"/>
      <c r="N122" s="16"/>
      <c r="O122" s="16"/>
      <c r="P122" s="17"/>
      <c r="Q122" s="16"/>
      <c r="R122" s="16"/>
      <c r="S122" s="16"/>
      <c r="T122" s="16"/>
      <c r="U122" s="16"/>
      <c r="V122" s="16"/>
      <c r="W122" s="16"/>
      <c r="X122" s="16"/>
      <c r="Y122" s="16"/>
      <c r="Z122" s="16"/>
      <c r="AA122" s="16"/>
      <c r="AB122" s="16"/>
      <c r="AC122" s="16"/>
      <c r="AD122" s="16"/>
    </row>
    <row r="123" ht="14.25" customHeight="1">
      <c r="A123" s="16"/>
      <c r="B123" s="16"/>
      <c r="C123" s="16"/>
      <c r="D123" s="16"/>
      <c r="E123" s="16"/>
      <c r="F123" s="16"/>
      <c r="G123" s="16"/>
      <c r="H123" s="16"/>
      <c r="I123" s="16"/>
      <c r="J123" s="16"/>
      <c r="K123" s="16"/>
      <c r="L123" s="13" t="s">
        <v>3913</v>
      </c>
      <c r="M123" s="16"/>
      <c r="N123" s="16"/>
      <c r="O123" s="16"/>
      <c r="P123" s="17"/>
      <c r="Q123" s="16"/>
      <c r="R123" s="16"/>
      <c r="S123" s="16"/>
      <c r="T123" s="16"/>
      <c r="U123" s="16"/>
      <c r="V123" s="16"/>
      <c r="W123" s="16"/>
      <c r="X123" s="16"/>
      <c r="Y123" s="16"/>
      <c r="Z123" s="16"/>
      <c r="AA123" s="16"/>
      <c r="AB123" s="16"/>
      <c r="AC123" s="16"/>
      <c r="AD123" s="16"/>
    </row>
    <row r="124" ht="14.25" customHeight="1">
      <c r="A124" s="16"/>
      <c r="B124" s="16"/>
      <c r="C124" s="16"/>
      <c r="D124" s="16"/>
      <c r="E124" s="16"/>
      <c r="F124" s="16"/>
      <c r="G124" s="16"/>
      <c r="H124" s="16"/>
      <c r="I124" s="16"/>
      <c r="J124" s="16"/>
      <c r="K124" s="16"/>
      <c r="L124" s="13" t="s">
        <v>4702</v>
      </c>
      <c r="M124" s="16"/>
      <c r="N124" s="16"/>
      <c r="O124" s="16"/>
      <c r="P124" s="17"/>
      <c r="Q124" s="16"/>
      <c r="R124" s="16"/>
      <c r="S124" s="16"/>
      <c r="T124" s="16"/>
      <c r="U124" s="16"/>
      <c r="V124" s="16"/>
      <c r="W124" s="16"/>
      <c r="X124" s="16"/>
      <c r="Y124" s="16"/>
      <c r="Z124" s="16"/>
      <c r="AA124" s="16"/>
      <c r="AB124" s="16"/>
      <c r="AC124" s="16"/>
      <c r="AD124" s="16"/>
    </row>
    <row r="125" ht="14.25" customHeight="1">
      <c r="A125" s="16"/>
      <c r="B125" s="16"/>
      <c r="C125" s="16"/>
      <c r="D125" s="16"/>
      <c r="E125" s="16"/>
      <c r="F125" s="16"/>
      <c r="G125" s="16"/>
      <c r="H125" s="16"/>
      <c r="I125" s="16"/>
      <c r="J125" s="16"/>
      <c r="K125" s="16"/>
      <c r="L125" s="13" t="s">
        <v>4703</v>
      </c>
      <c r="M125" s="16"/>
      <c r="N125" s="16"/>
      <c r="O125" s="16"/>
      <c r="P125" s="17"/>
      <c r="Q125" s="16"/>
      <c r="R125" s="16"/>
      <c r="S125" s="16"/>
      <c r="T125" s="16"/>
      <c r="U125" s="16"/>
      <c r="V125" s="16"/>
      <c r="W125" s="16"/>
      <c r="X125" s="16"/>
      <c r="Y125" s="16"/>
      <c r="Z125" s="16"/>
      <c r="AA125" s="16"/>
      <c r="AB125" s="16"/>
      <c r="AC125" s="16"/>
      <c r="AD125" s="16"/>
    </row>
    <row r="126" ht="14.25" customHeight="1">
      <c r="A126" s="16"/>
      <c r="B126" s="16"/>
      <c r="C126" s="16"/>
      <c r="D126" s="16"/>
      <c r="E126" s="16"/>
      <c r="F126" s="16"/>
      <c r="G126" s="16"/>
      <c r="H126" s="16"/>
      <c r="I126" s="16"/>
      <c r="J126" s="16"/>
      <c r="K126" s="16"/>
      <c r="L126" s="13" t="s">
        <v>4704</v>
      </c>
      <c r="M126" s="16"/>
      <c r="N126" s="16"/>
      <c r="O126" s="16"/>
      <c r="P126" s="17"/>
      <c r="Q126" s="16"/>
      <c r="R126" s="16"/>
      <c r="S126" s="16"/>
      <c r="T126" s="16"/>
      <c r="U126" s="16"/>
      <c r="V126" s="16"/>
      <c r="W126" s="16"/>
      <c r="X126" s="16"/>
      <c r="Y126" s="16"/>
      <c r="Z126" s="16"/>
      <c r="AA126" s="16"/>
      <c r="AB126" s="16"/>
      <c r="AC126" s="16"/>
      <c r="AD126" s="16"/>
    </row>
    <row r="127" ht="14.25" customHeight="1">
      <c r="A127" s="16"/>
      <c r="B127" s="16"/>
      <c r="C127" s="16"/>
      <c r="D127" s="16"/>
      <c r="E127" s="16"/>
      <c r="F127" s="16"/>
      <c r="G127" s="16"/>
      <c r="H127" s="16"/>
      <c r="I127" s="16"/>
      <c r="J127" s="16"/>
      <c r="K127" s="16"/>
      <c r="L127" s="13" t="s">
        <v>4705</v>
      </c>
      <c r="M127" s="16"/>
      <c r="N127" s="16"/>
      <c r="O127" s="16"/>
      <c r="P127" s="17"/>
      <c r="Q127" s="16"/>
      <c r="R127" s="16"/>
      <c r="S127" s="16"/>
      <c r="T127" s="16"/>
      <c r="U127" s="16"/>
      <c r="V127" s="16"/>
      <c r="W127" s="16"/>
      <c r="X127" s="16"/>
      <c r="Y127" s="16"/>
      <c r="Z127" s="16"/>
      <c r="AA127" s="16"/>
      <c r="AB127" s="16"/>
      <c r="AC127" s="16"/>
      <c r="AD127" s="16"/>
    </row>
    <row r="128" ht="14.25" customHeight="1">
      <c r="A128" s="16"/>
      <c r="B128" s="16"/>
      <c r="C128" s="16"/>
      <c r="D128" s="16"/>
      <c r="E128" s="16"/>
      <c r="F128" s="16"/>
      <c r="G128" s="16"/>
      <c r="H128" s="16"/>
      <c r="I128" s="16"/>
      <c r="J128" s="16"/>
      <c r="K128" s="16"/>
      <c r="L128" s="13" t="s">
        <v>4706</v>
      </c>
      <c r="M128" s="16"/>
      <c r="N128" s="16"/>
      <c r="O128" s="16"/>
      <c r="P128" s="17"/>
      <c r="Q128" s="16"/>
      <c r="R128" s="16"/>
      <c r="S128" s="16"/>
      <c r="T128" s="16"/>
      <c r="U128" s="16"/>
      <c r="V128" s="16"/>
      <c r="W128" s="16"/>
      <c r="X128" s="16"/>
      <c r="Y128" s="16"/>
      <c r="Z128" s="16"/>
      <c r="AA128" s="16"/>
      <c r="AB128" s="16"/>
      <c r="AC128" s="16"/>
      <c r="AD128" s="16"/>
    </row>
    <row r="129" ht="14.25" customHeight="1">
      <c r="A129" s="16"/>
      <c r="B129" s="16"/>
      <c r="C129" s="16"/>
      <c r="D129" s="16"/>
      <c r="E129" s="16"/>
      <c r="F129" s="16"/>
      <c r="G129" s="16"/>
      <c r="H129" s="16"/>
      <c r="I129" s="16"/>
      <c r="J129" s="16"/>
      <c r="K129" s="16"/>
      <c r="L129" s="13" t="s">
        <v>4707</v>
      </c>
      <c r="M129" s="16"/>
      <c r="N129" s="16"/>
      <c r="O129" s="16"/>
      <c r="P129" s="17"/>
      <c r="Q129" s="16"/>
      <c r="R129" s="16"/>
      <c r="S129" s="16"/>
      <c r="T129" s="16"/>
      <c r="U129" s="16"/>
      <c r="V129" s="16"/>
      <c r="W129" s="16"/>
      <c r="X129" s="16"/>
      <c r="Y129" s="16"/>
      <c r="Z129" s="16"/>
      <c r="AA129" s="16"/>
      <c r="AB129" s="16"/>
      <c r="AC129" s="16"/>
      <c r="AD129" s="16"/>
    </row>
    <row r="130" ht="14.25" customHeight="1">
      <c r="A130" s="16"/>
      <c r="B130" s="16"/>
      <c r="C130" s="16"/>
      <c r="D130" s="16"/>
      <c r="E130" s="16"/>
      <c r="F130" s="16"/>
      <c r="G130" s="16"/>
      <c r="H130" s="16"/>
      <c r="I130" s="16"/>
      <c r="J130" s="16"/>
      <c r="K130" s="16"/>
      <c r="L130" s="13" t="s">
        <v>3385</v>
      </c>
      <c r="M130" s="16"/>
      <c r="N130" s="16"/>
      <c r="O130" s="16"/>
      <c r="P130" s="17"/>
      <c r="Q130" s="16"/>
      <c r="R130" s="16"/>
      <c r="S130" s="16"/>
      <c r="T130" s="16"/>
      <c r="U130" s="16"/>
      <c r="V130" s="16"/>
      <c r="W130" s="16"/>
      <c r="X130" s="16"/>
      <c r="Y130" s="16"/>
      <c r="Z130" s="16"/>
      <c r="AA130" s="16"/>
      <c r="AB130" s="16"/>
      <c r="AC130" s="16"/>
      <c r="AD130" s="16"/>
    </row>
    <row r="131" ht="14.25" customHeight="1">
      <c r="A131" s="16"/>
      <c r="B131" s="16"/>
      <c r="C131" s="16"/>
      <c r="D131" s="16"/>
      <c r="E131" s="16"/>
      <c r="F131" s="16"/>
      <c r="G131" s="16"/>
      <c r="H131" s="16"/>
      <c r="I131" s="16"/>
      <c r="J131" s="16"/>
      <c r="K131" s="16"/>
      <c r="L131" s="13" t="s">
        <v>4708</v>
      </c>
      <c r="M131" s="16"/>
      <c r="N131" s="16"/>
      <c r="O131" s="16"/>
      <c r="P131" s="17"/>
      <c r="Q131" s="16"/>
      <c r="R131" s="16"/>
      <c r="S131" s="16"/>
      <c r="T131" s="16"/>
      <c r="U131" s="16"/>
      <c r="V131" s="16"/>
      <c r="W131" s="16"/>
      <c r="X131" s="16"/>
      <c r="Y131" s="16"/>
      <c r="Z131" s="16"/>
      <c r="AA131" s="16"/>
      <c r="AB131" s="16"/>
      <c r="AC131" s="16"/>
      <c r="AD131" s="16"/>
    </row>
    <row r="132" ht="14.25" customHeight="1">
      <c r="A132" s="16"/>
      <c r="B132" s="16"/>
      <c r="C132" s="16"/>
      <c r="D132" s="16"/>
      <c r="E132" s="16"/>
      <c r="F132" s="16"/>
      <c r="G132" s="16"/>
      <c r="H132" s="16"/>
      <c r="I132" s="16"/>
      <c r="J132" s="16"/>
      <c r="K132" s="16"/>
      <c r="L132" s="13" t="s">
        <v>4709</v>
      </c>
      <c r="M132" s="16"/>
      <c r="N132" s="16"/>
      <c r="O132" s="16"/>
      <c r="P132" s="17"/>
      <c r="Q132" s="16"/>
      <c r="R132" s="16"/>
      <c r="S132" s="16"/>
      <c r="T132" s="16"/>
      <c r="U132" s="16"/>
      <c r="V132" s="16"/>
      <c r="W132" s="16"/>
      <c r="X132" s="16"/>
      <c r="Y132" s="16"/>
      <c r="Z132" s="16"/>
      <c r="AA132" s="16"/>
      <c r="AB132" s="16"/>
      <c r="AC132" s="16"/>
      <c r="AD132" s="16"/>
    </row>
    <row r="133" ht="14.25" customHeight="1">
      <c r="A133" s="16"/>
      <c r="B133" s="16"/>
      <c r="C133" s="16"/>
      <c r="D133" s="16"/>
      <c r="E133" s="16"/>
      <c r="F133" s="16"/>
      <c r="G133" s="16"/>
      <c r="H133" s="16"/>
      <c r="I133" s="16"/>
      <c r="J133" s="16"/>
      <c r="K133" s="16"/>
      <c r="L133" s="13" t="s">
        <v>4710</v>
      </c>
      <c r="M133" s="16"/>
      <c r="N133" s="16"/>
      <c r="O133" s="16"/>
      <c r="P133" s="17"/>
      <c r="Q133" s="16"/>
      <c r="R133" s="16"/>
      <c r="S133" s="16"/>
      <c r="T133" s="16"/>
      <c r="U133" s="16"/>
      <c r="V133" s="16"/>
      <c r="W133" s="16"/>
      <c r="X133" s="16"/>
      <c r="Y133" s="16"/>
      <c r="Z133" s="16"/>
      <c r="AA133" s="16"/>
      <c r="AB133" s="16"/>
      <c r="AC133" s="16"/>
      <c r="AD133" s="16"/>
    </row>
    <row r="134" ht="14.25" customHeight="1">
      <c r="A134" s="16"/>
      <c r="B134" s="16"/>
      <c r="C134" s="16"/>
      <c r="D134" s="16"/>
      <c r="E134" s="16"/>
      <c r="F134" s="16"/>
      <c r="G134" s="16"/>
      <c r="H134" s="16"/>
      <c r="I134" s="16"/>
      <c r="J134" s="16"/>
      <c r="K134" s="16"/>
      <c r="L134" s="13" t="s">
        <v>3493</v>
      </c>
      <c r="M134" s="16"/>
      <c r="N134" s="16"/>
      <c r="O134" s="16"/>
      <c r="P134" s="17"/>
      <c r="Q134" s="16"/>
      <c r="R134" s="16"/>
      <c r="S134" s="16"/>
      <c r="T134" s="16"/>
      <c r="U134" s="16"/>
      <c r="V134" s="16"/>
      <c r="W134" s="16"/>
      <c r="X134" s="16"/>
      <c r="Y134" s="16"/>
      <c r="Z134" s="16"/>
      <c r="AA134" s="16"/>
      <c r="AB134" s="16"/>
      <c r="AC134" s="16"/>
      <c r="AD134" s="16"/>
    </row>
    <row r="135" ht="14.25" customHeight="1">
      <c r="A135" s="16"/>
      <c r="B135" s="16"/>
      <c r="C135" s="16"/>
      <c r="D135" s="16"/>
      <c r="E135" s="16"/>
      <c r="F135" s="16"/>
      <c r="G135" s="16"/>
      <c r="H135" s="16"/>
      <c r="I135" s="16"/>
      <c r="J135" s="16"/>
      <c r="K135" s="16"/>
      <c r="L135" s="13" t="s">
        <v>4711</v>
      </c>
      <c r="M135" s="16"/>
      <c r="N135" s="16"/>
      <c r="O135" s="16"/>
      <c r="P135" s="17"/>
      <c r="Q135" s="16"/>
      <c r="R135" s="16"/>
      <c r="S135" s="16"/>
      <c r="T135" s="16"/>
      <c r="U135" s="16"/>
      <c r="V135" s="16"/>
      <c r="W135" s="16"/>
      <c r="X135" s="16"/>
      <c r="Y135" s="16"/>
      <c r="Z135" s="16"/>
      <c r="AA135" s="16"/>
      <c r="AB135" s="16"/>
      <c r="AC135" s="16"/>
      <c r="AD135" s="16"/>
    </row>
    <row r="136" ht="14.25" customHeight="1">
      <c r="A136" s="16"/>
      <c r="B136" s="16"/>
      <c r="C136" s="16"/>
      <c r="D136" s="16"/>
      <c r="E136" s="16"/>
      <c r="F136" s="16"/>
      <c r="G136" s="16"/>
      <c r="H136" s="16"/>
      <c r="I136" s="16"/>
      <c r="J136" s="16"/>
      <c r="K136" s="16"/>
      <c r="L136" s="13" t="s">
        <v>4712</v>
      </c>
      <c r="M136" s="16"/>
      <c r="N136" s="16"/>
      <c r="O136" s="16"/>
      <c r="P136" s="17"/>
      <c r="Q136" s="16"/>
      <c r="R136" s="16"/>
      <c r="S136" s="16"/>
      <c r="T136" s="16"/>
      <c r="U136" s="16"/>
      <c r="V136" s="16"/>
      <c r="W136" s="16"/>
      <c r="X136" s="16"/>
      <c r="Y136" s="16"/>
      <c r="Z136" s="16"/>
      <c r="AA136" s="16"/>
      <c r="AB136" s="16"/>
      <c r="AC136" s="16"/>
      <c r="AD136" s="16"/>
    </row>
    <row r="137" ht="14.25" customHeight="1">
      <c r="A137" s="16"/>
      <c r="B137" s="16"/>
      <c r="C137" s="16"/>
      <c r="D137" s="16"/>
      <c r="E137" s="16"/>
      <c r="F137" s="16"/>
      <c r="G137" s="16"/>
      <c r="H137" s="16"/>
      <c r="I137" s="16"/>
      <c r="J137" s="16"/>
      <c r="K137" s="16"/>
      <c r="L137" s="13" t="s">
        <v>4713</v>
      </c>
      <c r="M137" s="16"/>
      <c r="N137" s="16"/>
      <c r="O137" s="16"/>
      <c r="P137" s="17"/>
      <c r="Q137" s="16"/>
      <c r="R137" s="16"/>
      <c r="S137" s="16"/>
      <c r="T137" s="16"/>
      <c r="U137" s="16"/>
      <c r="V137" s="16"/>
      <c r="W137" s="16"/>
      <c r="X137" s="16"/>
      <c r="Y137" s="16"/>
      <c r="Z137" s="16"/>
      <c r="AA137" s="16"/>
      <c r="AB137" s="16"/>
      <c r="AC137" s="16"/>
      <c r="AD137" s="16"/>
    </row>
    <row r="138" ht="14.25" customHeight="1">
      <c r="A138" s="16"/>
      <c r="B138" s="16"/>
      <c r="C138" s="16"/>
      <c r="D138" s="16"/>
      <c r="E138" s="16"/>
      <c r="F138" s="16"/>
      <c r="G138" s="16"/>
      <c r="H138" s="16"/>
      <c r="I138" s="16"/>
      <c r="J138" s="16"/>
      <c r="K138" s="16"/>
      <c r="L138" s="13" t="s">
        <v>4314</v>
      </c>
      <c r="M138" s="16"/>
      <c r="N138" s="16"/>
      <c r="O138" s="16"/>
      <c r="P138" s="17"/>
      <c r="Q138" s="16"/>
      <c r="R138" s="16"/>
      <c r="S138" s="16"/>
      <c r="T138" s="16"/>
      <c r="U138" s="16"/>
      <c r="V138" s="16"/>
      <c r="W138" s="16"/>
      <c r="X138" s="16"/>
      <c r="Y138" s="16"/>
      <c r="Z138" s="16"/>
      <c r="AA138" s="16"/>
      <c r="AB138" s="16"/>
      <c r="AC138" s="16"/>
      <c r="AD138" s="16"/>
    </row>
    <row r="139" ht="14.25" customHeight="1">
      <c r="A139" s="16"/>
      <c r="B139" s="16"/>
      <c r="C139" s="16"/>
      <c r="D139" s="16"/>
      <c r="E139" s="16"/>
      <c r="F139" s="16"/>
      <c r="G139" s="16"/>
      <c r="H139" s="16"/>
      <c r="I139" s="16"/>
      <c r="J139" s="16"/>
      <c r="K139" s="16"/>
      <c r="L139" s="13" t="s">
        <v>4714</v>
      </c>
      <c r="M139" s="16"/>
      <c r="N139" s="16"/>
      <c r="O139" s="16"/>
      <c r="P139" s="17"/>
      <c r="Q139" s="16"/>
      <c r="R139" s="16"/>
      <c r="S139" s="16"/>
      <c r="T139" s="16"/>
      <c r="U139" s="16"/>
      <c r="V139" s="16"/>
      <c r="W139" s="16"/>
      <c r="X139" s="16"/>
      <c r="Y139" s="16"/>
      <c r="Z139" s="16"/>
      <c r="AA139" s="16"/>
      <c r="AB139" s="16"/>
      <c r="AC139" s="16"/>
      <c r="AD139" s="16"/>
    </row>
    <row r="140" ht="14.25" customHeight="1">
      <c r="A140" s="16"/>
      <c r="B140" s="16"/>
      <c r="C140" s="16"/>
      <c r="D140" s="16"/>
      <c r="E140" s="16"/>
      <c r="F140" s="16"/>
      <c r="G140" s="16"/>
      <c r="H140" s="16"/>
      <c r="I140" s="16"/>
      <c r="J140" s="16"/>
      <c r="K140" s="16"/>
      <c r="L140" s="13" t="s">
        <v>4184</v>
      </c>
      <c r="M140" s="16"/>
      <c r="N140" s="16"/>
      <c r="O140" s="16"/>
      <c r="P140" s="17"/>
      <c r="Q140" s="16"/>
      <c r="R140" s="16"/>
      <c r="S140" s="16"/>
      <c r="T140" s="16"/>
      <c r="U140" s="16"/>
      <c r="V140" s="16"/>
      <c r="W140" s="16"/>
      <c r="X140" s="16"/>
      <c r="Y140" s="16"/>
      <c r="Z140" s="16"/>
      <c r="AA140" s="16"/>
      <c r="AB140" s="16"/>
      <c r="AC140" s="16"/>
      <c r="AD140" s="16"/>
    </row>
    <row r="141" ht="14.25" customHeight="1">
      <c r="A141" s="16"/>
      <c r="B141" s="16"/>
      <c r="C141" s="16"/>
      <c r="D141" s="16"/>
      <c r="E141" s="16"/>
      <c r="F141" s="16"/>
      <c r="G141" s="16"/>
      <c r="H141" s="16"/>
      <c r="I141" s="16"/>
      <c r="J141" s="16"/>
      <c r="K141" s="16"/>
      <c r="L141" s="13" t="s">
        <v>4715</v>
      </c>
      <c r="M141" s="16"/>
      <c r="N141" s="16"/>
      <c r="O141" s="16"/>
      <c r="P141" s="17"/>
      <c r="Q141" s="16"/>
      <c r="R141" s="16"/>
      <c r="S141" s="16"/>
      <c r="T141" s="16"/>
      <c r="U141" s="16"/>
      <c r="V141" s="16"/>
      <c r="W141" s="16"/>
      <c r="X141" s="16"/>
      <c r="Y141" s="16"/>
      <c r="Z141" s="16"/>
      <c r="AA141" s="16"/>
      <c r="AB141" s="16"/>
      <c r="AC141" s="16"/>
      <c r="AD141" s="16"/>
    </row>
    <row r="142" ht="14.25" customHeight="1">
      <c r="A142" s="16"/>
      <c r="B142" s="16"/>
      <c r="C142" s="16"/>
      <c r="D142" s="16"/>
      <c r="E142" s="16"/>
      <c r="F142" s="16"/>
      <c r="G142" s="16"/>
      <c r="H142" s="16"/>
      <c r="I142" s="16"/>
      <c r="J142" s="16"/>
      <c r="K142" s="16"/>
      <c r="L142" s="13" t="s">
        <v>4716</v>
      </c>
      <c r="M142" s="16"/>
      <c r="N142" s="16"/>
      <c r="O142" s="16"/>
      <c r="P142" s="17"/>
      <c r="Q142" s="16"/>
      <c r="R142" s="16"/>
      <c r="S142" s="16"/>
      <c r="T142" s="16"/>
      <c r="U142" s="16"/>
      <c r="V142" s="16"/>
      <c r="W142" s="16"/>
      <c r="X142" s="16"/>
      <c r="Y142" s="16"/>
      <c r="Z142" s="16"/>
      <c r="AA142" s="16"/>
      <c r="AB142" s="16"/>
      <c r="AC142" s="16"/>
      <c r="AD142" s="16"/>
    </row>
    <row r="143" ht="14.25" customHeight="1">
      <c r="A143" s="16"/>
      <c r="B143" s="16"/>
      <c r="C143" s="16"/>
      <c r="D143" s="16"/>
      <c r="E143" s="16"/>
      <c r="F143" s="16"/>
      <c r="G143" s="16"/>
      <c r="H143" s="16"/>
      <c r="I143" s="16"/>
      <c r="J143" s="16"/>
      <c r="K143" s="16"/>
      <c r="L143" s="13" t="s">
        <v>4717</v>
      </c>
      <c r="M143" s="16"/>
      <c r="N143" s="16"/>
      <c r="O143" s="16"/>
      <c r="P143" s="17"/>
      <c r="Q143" s="16"/>
      <c r="R143" s="16"/>
      <c r="S143" s="16"/>
      <c r="T143" s="16"/>
      <c r="U143" s="16"/>
      <c r="V143" s="16"/>
      <c r="W143" s="16"/>
      <c r="X143" s="16"/>
      <c r="Y143" s="16"/>
      <c r="Z143" s="16"/>
      <c r="AA143" s="16"/>
      <c r="AB143" s="16"/>
      <c r="AC143" s="16"/>
      <c r="AD143" s="16"/>
    </row>
    <row r="144" ht="14.25" customHeight="1">
      <c r="A144" s="16"/>
      <c r="B144" s="16"/>
      <c r="C144" s="16"/>
      <c r="D144" s="16"/>
      <c r="E144" s="16"/>
      <c r="F144" s="16"/>
      <c r="G144" s="16"/>
      <c r="H144" s="16"/>
      <c r="I144" s="16"/>
      <c r="J144" s="16"/>
      <c r="K144" s="16"/>
      <c r="L144" s="13" t="s">
        <v>4718</v>
      </c>
      <c r="M144" s="16"/>
      <c r="N144" s="16"/>
      <c r="O144" s="16"/>
      <c r="P144" s="17"/>
      <c r="Q144" s="16"/>
      <c r="R144" s="16"/>
      <c r="S144" s="16"/>
      <c r="T144" s="16"/>
      <c r="U144" s="16"/>
      <c r="V144" s="16"/>
      <c r="W144" s="16"/>
      <c r="X144" s="16"/>
      <c r="Y144" s="16"/>
      <c r="Z144" s="16"/>
      <c r="AA144" s="16"/>
      <c r="AB144" s="16"/>
      <c r="AC144" s="16"/>
      <c r="AD144" s="16"/>
    </row>
    <row r="145" ht="14.25" customHeight="1">
      <c r="A145" s="16"/>
      <c r="B145" s="16"/>
      <c r="C145" s="16"/>
      <c r="D145" s="16"/>
      <c r="E145" s="16"/>
      <c r="F145" s="16"/>
      <c r="G145" s="16"/>
      <c r="H145" s="16"/>
      <c r="I145" s="16"/>
      <c r="J145" s="16"/>
      <c r="K145" s="16"/>
      <c r="L145" s="13" t="s">
        <v>4719</v>
      </c>
      <c r="M145" s="16"/>
      <c r="N145" s="16"/>
      <c r="O145" s="16"/>
      <c r="P145" s="17"/>
      <c r="Q145" s="16"/>
      <c r="R145" s="16"/>
      <c r="S145" s="16"/>
      <c r="T145" s="16"/>
      <c r="U145" s="16"/>
      <c r="V145" s="16"/>
      <c r="W145" s="16"/>
      <c r="X145" s="16"/>
      <c r="Y145" s="16"/>
      <c r="Z145" s="16"/>
      <c r="AA145" s="16"/>
      <c r="AB145" s="16"/>
      <c r="AC145" s="16"/>
      <c r="AD145" s="16"/>
    </row>
    <row r="146" ht="14.25" customHeight="1">
      <c r="A146" s="16"/>
      <c r="B146" s="16"/>
      <c r="C146" s="16"/>
      <c r="D146" s="16"/>
      <c r="E146" s="16"/>
      <c r="F146" s="16"/>
      <c r="G146" s="16"/>
      <c r="H146" s="16"/>
      <c r="I146" s="16"/>
      <c r="J146" s="16"/>
      <c r="K146" s="16"/>
      <c r="L146" s="13" t="s">
        <v>4720</v>
      </c>
      <c r="M146" s="16"/>
      <c r="N146" s="16"/>
      <c r="O146" s="16"/>
      <c r="P146" s="17"/>
      <c r="Q146" s="16"/>
      <c r="R146" s="16"/>
      <c r="S146" s="16"/>
      <c r="T146" s="16"/>
      <c r="U146" s="16"/>
      <c r="V146" s="16"/>
      <c r="W146" s="16"/>
      <c r="X146" s="16"/>
      <c r="Y146" s="16"/>
      <c r="Z146" s="16"/>
      <c r="AA146" s="16"/>
      <c r="AB146" s="16"/>
      <c r="AC146" s="16"/>
      <c r="AD146" s="16"/>
    </row>
    <row r="147" ht="14.25" customHeight="1">
      <c r="A147" s="16"/>
      <c r="B147" s="16"/>
      <c r="C147" s="16"/>
      <c r="D147" s="16"/>
      <c r="E147" s="16"/>
      <c r="F147" s="16"/>
      <c r="G147" s="16"/>
      <c r="H147" s="16"/>
      <c r="I147" s="16"/>
      <c r="J147" s="16"/>
      <c r="K147" s="16"/>
      <c r="L147" s="13" t="s">
        <v>4721</v>
      </c>
      <c r="M147" s="16"/>
      <c r="N147" s="16"/>
      <c r="O147" s="16"/>
      <c r="P147" s="17"/>
      <c r="Q147" s="16"/>
      <c r="R147" s="16"/>
      <c r="S147" s="16"/>
      <c r="T147" s="16"/>
      <c r="U147" s="16"/>
      <c r="V147" s="16"/>
      <c r="W147" s="16"/>
      <c r="X147" s="16"/>
      <c r="Y147" s="16"/>
      <c r="Z147" s="16"/>
      <c r="AA147" s="16"/>
      <c r="AB147" s="16"/>
      <c r="AC147" s="16"/>
      <c r="AD147" s="16"/>
    </row>
    <row r="148" ht="14.25" customHeight="1">
      <c r="A148" s="16"/>
      <c r="B148" s="16"/>
      <c r="C148" s="16"/>
      <c r="D148" s="16"/>
      <c r="E148" s="16"/>
      <c r="F148" s="16"/>
      <c r="G148" s="16"/>
      <c r="H148" s="16"/>
      <c r="I148" s="16"/>
      <c r="J148" s="16"/>
      <c r="K148" s="16"/>
      <c r="L148" s="13" t="s">
        <v>3454</v>
      </c>
      <c r="M148" s="16"/>
      <c r="N148" s="16"/>
      <c r="O148" s="16"/>
      <c r="P148" s="17"/>
      <c r="Q148" s="16"/>
      <c r="R148" s="16"/>
      <c r="S148" s="16"/>
      <c r="T148" s="16"/>
      <c r="U148" s="16"/>
      <c r="V148" s="16"/>
      <c r="W148" s="16"/>
      <c r="X148" s="16"/>
      <c r="Y148" s="16"/>
      <c r="Z148" s="16"/>
      <c r="AA148" s="16"/>
      <c r="AB148" s="16"/>
      <c r="AC148" s="16"/>
      <c r="AD148" s="16"/>
    </row>
    <row r="149" ht="14.25" customHeight="1">
      <c r="A149" s="16"/>
      <c r="B149" s="16"/>
      <c r="C149" s="16"/>
      <c r="D149" s="16"/>
      <c r="E149" s="16"/>
      <c r="F149" s="16"/>
      <c r="G149" s="16"/>
      <c r="H149" s="16"/>
      <c r="I149" s="16"/>
      <c r="J149" s="16"/>
      <c r="K149" s="16"/>
      <c r="L149" s="13" t="s">
        <v>4722</v>
      </c>
      <c r="M149" s="16"/>
      <c r="N149" s="16"/>
      <c r="O149" s="16"/>
      <c r="P149" s="17"/>
      <c r="Q149" s="16"/>
      <c r="R149" s="16"/>
      <c r="S149" s="16"/>
      <c r="T149" s="16"/>
      <c r="U149" s="16"/>
      <c r="V149" s="16"/>
      <c r="W149" s="16"/>
      <c r="X149" s="16"/>
      <c r="Y149" s="16"/>
      <c r="Z149" s="16"/>
      <c r="AA149" s="16"/>
      <c r="AB149" s="16"/>
      <c r="AC149" s="16"/>
      <c r="AD149" s="16"/>
    </row>
    <row r="150" ht="14.25" customHeight="1">
      <c r="A150" s="16"/>
      <c r="B150" s="16"/>
      <c r="C150" s="16"/>
      <c r="D150" s="16"/>
      <c r="E150" s="16"/>
      <c r="F150" s="16"/>
      <c r="G150" s="16"/>
      <c r="H150" s="16"/>
      <c r="I150" s="16"/>
      <c r="J150" s="16"/>
      <c r="K150" s="16"/>
      <c r="L150" s="13" t="s">
        <v>4723</v>
      </c>
      <c r="M150" s="16"/>
      <c r="N150" s="16"/>
      <c r="O150" s="16"/>
      <c r="P150" s="17"/>
      <c r="Q150" s="16"/>
      <c r="R150" s="16"/>
      <c r="S150" s="16"/>
      <c r="T150" s="16"/>
      <c r="U150" s="16"/>
      <c r="V150" s="16"/>
      <c r="W150" s="16"/>
      <c r="X150" s="16"/>
      <c r="Y150" s="16"/>
      <c r="Z150" s="16"/>
      <c r="AA150" s="16"/>
      <c r="AB150" s="16"/>
      <c r="AC150" s="16"/>
      <c r="AD150" s="16"/>
    </row>
    <row r="151" ht="14.25" customHeight="1">
      <c r="A151" s="16"/>
      <c r="B151" s="16"/>
      <c r="C151" s="16"/>
      <c r="D151" s="16"/>
      <c r="E151" s="16"/>
      <c r="F151" s="16"/>
      <c r="G151" s="16"/>
      <c r="H151" s="16"/>
      <c r="I151" s="16"/>
      <c r="J151" s="16"/>
      <c r="K151" s="16"/>
      <c r="L151" s="13" t="s">
        <v>4724</v>
      </c>
      <c r="M151" s="16"/>
      <c r="N151" s="16"/>
      <c r="O151" s="16"/>
      <c r="P151" s="17"/>
      <c r="Q151" s="16"/>
      <c r="R151" s="16"/>
      <c r="S151" s="16"/>
      <c r="T151" s="16"/>
      <c r="U151" s="16"/>
      <c r="V151" s="16"/>
      <c r="W151" s="16"/>
      <c r="X151" s="16"/>
      <c r="Y151" s="16"/>
      <c r="Z151" s="16"/>
      <c r="AA151" s="16"/>
      <c r="AB151" s="16"/>
      <c r="AC151" s="16"/>
      <c r="AD151" s="16"/>
    </row>
    <row r="152" ht="14.25" customHeight="1">
      <c r="A152" s="16"/>
      <c r="B152" s="16"/>
      <c r="C152" s="16"/>
      <c r="D152" s="16"/>
      <c r="E152" s="16"/>
      <c r="F152" s="16"/>
      <c r="G152" s="16"/>
      <c r="H152" s="16"/>
      <c r="I152" s="16"/>
      <c r="J152" s="16"/>
      <c r="K152" s="16"/>
      <c r="L152" s="13" t="s">
        <v>4725</v>
      </c>
      <c r="M152" s="16"/>
      <c r="N152" s="16"/>
      <c r="O152" s="16"/>
      <c r="P152" s="17"/>
      <c r="Q152" s="16"/>
      <c r="R152" s="16"/>
      <c r="S152" s="16"/>
      <c r="T152" s="16"/>
      <c r="U152" s="16"/>
      <c r="V152" s="16"/>
      <c r="W152" s="16"/>
      <c r="X152" s="16"/>
      <c r="Y152" s="16"/>
      <c r="Z152" s="16"/>
      <c r="AA152" s="16"/>
      <c r="AB152" s="16"/>
      <c r="AC152" s="16"/>
      <c r="AD152" s="16"/>
    </row>
    <row r="153" ht="14.25" customHeight="1">
      <c r="A153" s="16"/>
      <c r="B153" s="16"/>
      <c r="C153" s="16"/>
      <c r="D153" s="16"/>
      <c r="E153" s="16"/>
      <c r="F153" s="16"/>
      <c r="G153" s="16"/>
      <c r="H153" s="16"/>
      <c r="I153" s="16"/>
      <c r="J153" s="16"/>
      <c r="K153" s="16"/>
      <c r="L153" s="13" t="s">
        <v>4726</v>
      </c>
      <c r="M153" s="16"/>
      <c r="N153" s="16"/>
      <c r="O153" s="16"/>
      <c r="P153" s="17"/>
      <c r="Q153" s="16"/>
      <c r="R153" s="16"/>
      <c r="S153" s="16"/>
      <c r="T153" s="16"/>
      <c r="U153" s="16"/>
      <c r="V153" s="16"/>
      <c r="W153" s="16"/>
      <c r="X153" s="16"/>
      <c r="Y153" s="16"/>
      <c r="Z153" s="16"/>
      <c r="AA153" s="16"/>
      <c r="AB153" s="16"/>
      <c r="AC153" s="16"/>
      <c r="AD153" s="16"/>
    </row>
    <row r="154" ht="14.25" customHeight="1">
      <c r="A154" s="16"/>
      <c r="B154" s="16"/>
      <c r="C154" s="16"/>
      <c r="D154" s="16"/>
      <c r="E154" s="16"/>
      <c r="F154" s="16"/>
      <c r="G154" s="16"/>
      <c r="H154" s="16"/>
      <c r="I154" s="16"/>
      <c r="J154" s="16"/>
      <c r="K154" s="16"/>
      <c r="L154" s="13" t="s">
        <v>4727</v>
      </c>
      <c r="M154" s="16"/>
      <c r="N154" s="16"/>
      <c r="O154" s="16"/>
      <c r="P154" s="17"/>
      <c r="Q154" s="16"/>
      <c r="R154" s="16"/>
      <c r="S154" s="16"/>
      <c r="T154" s="16"/>
      <c r="U154" s="16"/>
      <c r="V154" s="16"/>
      <c r="W154" s="16"/>
      <c r="X154" s="16"/>
      <c r="Y154" s="16"/>
      <c r="Z154" s="16"/>
      <c r="AA154" s="16"/>
      <c r="AB154" s="16"/>
      <c r="AC154" s="16"/>
      <c r="AD154" s="16"/>
    </row>
    <row r="155" ht="14.25" customHeight="1">
      <c r="A155" s="16"/>
      <c r="B155" s="16"/>
      <c r="C155" s="16"/>
      <c r="D155" s="16"/>
      <c r="E155" s="16"/>
      <c r="F155" s="16"/>
      <c r="G155" s="16"/>
      <c r="H155" s="16"/>
      <c r="I155" s="16"/>
      <c r="J155" s="16"/>
      <c r="K155" s="16"/>
      <c r="L155" s="13" t="s">
        <v>4180</v>
      </c>
      <c r="M155" s="16"/>
      <c r="N155" s="16"/>
      <c r="O155" s="16"/>
      <c r="P155" s="17"/>
      <c r="Q155" s="16"/>
      <c r="R155" s="16"/>
      <c r="S155" s="16"/>
      <c r="T155" s="16"/>
      <c r="U155" s="16"/>
      <c r="V155" s="16"/>
      <c r="W155" s="16"/>
      <c r="X155" s="16"/>
      <c r="Y155" s="16"/>
      <c r="Z155" s="16"/>
      <c r="AA155" s="16"/>
      <c r="AB155" s="16"/>
      <c r="AC155" s="16"/>
      <c r="AD155" s="16"/>
    </row>
    <row r="156" ht="14.25" customHeight="1">
      <c r="A156" s="16"/>
      <c r="B156" s="16"/>
      <c r="C156" s="16"/>
      <c r="D156" s="16"/>
      <c r="E156" s="16"/>
      <c r="F156" s="16"/>
      <c r="G156" s="16"/>
      <c r="H156" s="16"/>
      <c r="I156" s="16"/>
      <c r="J156" s="16"/>
      <c r="K156" s="16"/>
      <c r="L156" s="13" t="s">
        <v>4728</v>
      </c>
      <c r="M156" s="16"/>
      <c r="N156" s="16"/>
      <c r="O156" s="16"/>
      <c r="P156" s="17"/>
      <c r="Q156" s="16"/>
      <c r="R156" s="16"/>
      <c r="S156" s="16"/>
      <c r="T156" s="16"/>
      <c r="U156" s="16"/>
      <c r="V156" s="16"/>
      <c r="W156" s="16"/>
      <c r="X156" s="16"/>
      <c r="Y156" s="16"/>
      <c r="Z156" s="16"/>
      <c r="AA156" s="16"/>
      <c r="AB156" s="16"/>
      <c r="AC156" s="16"/>
      <c r="AD156" s="16"/>
    </row>
    <row r="157" ht="14.25" customHeight="1">
      <c r="A157" s="16"/>
      <c r="B157" s="16"/>
      <c r="C157" s="16"/>
      <c r="D157" s="16"/>
      <c r="E157" s="16"/>
      <c r="F157" s="16"/>
      <c r="G157" s="16"/>
      <c r="H157" s="16"/>
      <c r="I157" s="16"/>
      <c r="J157" s="16"/>
      <c r="K157" s="16"/>
      <c r="L157" s="13" t="s">
        <v>4729</v>
      </c>
      <c r="M157" s="16"/>
      <c r="N157" s="16"/>
      <c r="O157" s="16"/>
      <c r="P157" s="17"/>
      <c r="Q157" s="16"/>
      <c r="R157" s="16"/>
      <c r="S157" s="16"/>
      <c r="T157" s="16"/>
      <c r="U157" s="16"/>
      <c r="V157" s="16"/>
      <c r="W157" s="16"/>
      <c r="X157" s="16"/>
      <c r="Y157" s="16"/>
      <c r="Z157" s="16"/>
      <c r="AA157" s="16"/>
      <c r="AB157" s="16"/>
      <c r="AC157" s="16"/>
      <c r="AD157" s="16"/>
    </row>
    <row r="158" ht="14.25" customHeight="1">
      <c r="A158" s="16"/>
      <c r="B158" s="16"/>
      <c r="C158" s="16"/>
      <c r="D158" s="16"/>
      <c r="E158" s="16"/>
      <c r="F158" s="16"/>
      <c r="G158" s="16"/>
      <c r="H158" s="16"/>
      <c r="I158" s="16"/>
      <c r="J158" s="16"/>
      <c r="K158" s="16"/>
      <c r="L158" s="13" t="s">
        <v>4730</v>
      </c>
      <c r="M158" s="16"/>
      <c r="N158" s="16"/>
      <c r="O158" s="16"/>
      <c r="P158" s="17"/>
      <c r="Q158" s="16"/>
      <c r="R158" s="16"/>
      <c r="S158" s="16"/>
      <c r="T158" s="16"/>
      <c r="U158" s="16"/>
      <c r="V158" s="16"/>
      <c r="W158" s="16"/>
      <c r="X158" s="16"/>
      <c r="Y158" s="16"/>
      <c r="Z158" s="16"/>
      <c r="AA158" s="16"/>
      <c r="AB158" s="16"/>
      <c r="AC158" s="16"/>
      <c r="AD158" s="16"/>
    </row>
    <row r="159" ht="14.25" customHeight="1">
      <c r="A159" s="16"/>
      <c r="B159" s="16"/>
      <c r="C159" s="16"/>
      <c r="D159" s="16"/>
      <c r="E159" s="16"/>
      <c r="F159" s="16"/>
      <c r="G159" s="16"/>
      <c r="H159" s="16"/>
      <c r="I159" s="16"/>
      <c r="J159" s="16"/>
      <c r="K159" s="16"/>
      <c r="L159" s="13" t="s">
        <v>4731</v>
      </c>
      <c r="M159" s="16"/>
      <c r="N159" s="16"/>
      <c r="O159" s="16"/>
      <c r="P159" s="17"/>
      <c r="Q159" s="16"/>
      <c r="R159" s="16"/>
      <c r="S159" s="16"/>
      <c r="T159" s="16"/>
      <c r="U159" s="16"/>
      <c r="V159" s="16"/>
      <c r="W159" s="16"/>
      <c r="X159" s="16"/>
      <c r="Y159" s="16"/>
      <c r="Z159" s="16"/>
      <c r="AA159" s="16"/>
      <c r="AB159" s="16"/>
      <c r="AC159" s="16"/>
      <c r="AD159" s="16"/>
    </row>
    <row r="160" ht="14.25" customHeight="1">
      <c r="A160" s="16"/>
      <c r="B160" s="16"/>
      <c r="C160" s="16"/>
      <c r="D160" s="16"/>
      <c r="E160" s="16"/>
      <c r="F160" s="16"/>
      <c r="G160" s="16"/>
      <c r="H160" s="16"/>
      <c r="I160" s="16"/>
      <c r="J160" s="16"/>
      <c r="K160" s="16"/>
      <c r="L160" s="13" t="s">
        <v>3339</v>
      </c>
      <c r="M160" s="16"/>
      <c r="N160" s="16"/>
      <c r="O160" s="16"/>
      <c r="P160" s="17"/>
      <c r="Q160" s="16"/>
      <c r="R160" s="16"/>
      <c r="S160" s="16"/>
      <c r="T160" s="16"/>
      <c r="U160" s="16"/>
      <c r="V160" s="16"/>
      <c r="W160" s="16"/>
      <c r="X160" s="16"/>
      <c r="Y160" s="16"/>
      <c r="Z160" s="16"/>
      <c r="AA160" s="16"/>
      <c r="AB160" s="16"/>
      <c r="AC160" s="16"/>
      <c r="AD160" s="16"/>
    </row>
    <row r="161" ht="14.25" customHeight="1">
      <c r="A161" s="16"/>
      <c r="B161" s="16"/>
      <c r="C161" s="16"/>
      <c r="D161" s="16"/>
      <c r="E161" s="16"/>
      <c r="F161" s="16"/>
      <c r="G161" s="16"/>
      <c r="H161" s="16"/>
      <c r="I161" s="16"/>
      <c r="J161" s="16"/>
      <c r="K161" s="16"/>
      <c r="L161" s="13" t="s">
        <v>4732</v>
      </c>
      <c r="M161" s="16"/>
      <c r="N161" s="16"/>
      <c r="O161" s="16"/>
      <c r="P161" s="17"/>
      <c r="Q161" s="16"/>
      <c r="R161" s="16"/>
      <c r="S161" s="16"/>
      <c r="T161" s="16"/>
      <c r="U161" s="16"/>
      <c r="V161" s="16"/>
      <c r="W161" s="16"/>
      <c r="X161" s="16"/>
      <c r="Y161" s="16"/>
      <c r="Z161" s="16"/>
      <c r="AA161" s="16"/>
      <c r="AB161" s="16"/>
      <c r="AC161" s="16"/>
      <c r="AD161" s="16"/>
    </row>
    <row r="162" ht="14.25" customHeight="1">
      <c r="A162" s="16"/>
      <c r="B162" s="16"/>
      <c r="C162" s="16"/>
      <c r="D162" s="16"/>
      <c r="E162" s="16"/>
      <c r="F162" s="16"/>
      <c r="G162" s="16"/>
      <c r="H162" s="16"/>
      <c r="I162" s="16"/>
      <c r="J162" s="16"/>
      <c r="K162" s="16"/>
      <c r="L162" s="13" t="s">
        <v>4733</v>
      </c>
      <c r="M162" s="16"/>
      <c r="N162" s="16"/>
      <c r="O162" s="16"/>
      <c r="P162" s="17"/>
      <c r="Q162" s="16"/>
      <c r="R162" s="16"/>
      <c r="S162" s="16"/>
      <c r="T162" s="16"/>
      <c r="U162" s="16"/>
      <c r="V162" s="16"/>
      <c r="W162" s="16"/>
      <c r="X162" s="16"/>
      <c r="Y162" s="16"/>
      <c r="Z162" s="16"/>
      <c r="AA162" s="16"/>
      <c r="AB162" s="16"/>
      <c r="AC162" s="16"/>
      <c r="AD162" s="16"/>
    </row>
    <row r="163" ht="14.25" customHeight="1">
      <c r="A163" s="16"/>
      <c r="B163" s="16"/>
      <c r="C163" s="16"/>
      <c r="D163" s="16"/>
      <c r="E163" s="16"/>
      <c r="F163" s="16"/>
      <c r="G163" s="16"/>
      <c r="H163" s="16"/>
      <c r="I163" s="16"/>
      <c r="J163" s="16"/>
      <c r="K163" s="16"/>
      <c r="L163" s="13" t="s">
        <v>4734</v>
      </c>
      <c r="M163" s="16"/>
      <c r="N163" s="16"/>
      <c r="O163" s="16"/>
      <c r="P163" s="17"/>
      <c r="Q163" s="16"/>
      <c r="R163" s="16"/>
      <c r="S163" s="16"/>
      <c r="T163" s="16"/>
      <c r="U163" s="16"/>
      <c r="V163" s="16"/>
      <c r="W163" s="16"/>
      <c r="X163" s="16"/>
      <c r="Y163" s="16"/>
      <c r="Z163" s="16"/>
      <c r="AA163" s="16"/>
      <c r="AB163" s="16"/>
      <c r="AC163" s="16"/>
      <c r="AD163" s="16"/>
    </row>
    <row r="164" ht="14.25" customHeight="1">
      <c r="A164" s="16"/>
      <c r="B164" s="16"/>
      <c r="C164" s="16"/>
      <c r="D164" s="16"/>
      <c r="E164" s="16"/>
      <c r="F164" s="16"/>
      <c r="G164" s="16"/>
      <c r="H164" s="16"/>
      <c r="I164" s="16"/>
      <c r="J164" s="16"/>
      <c r="K164" s="16"/>
      <c r="L164" s="13" t="s">
        <v>4735</v>
      </c>
      <c r="M164" s="16"/>
      <c r="N164" s="16"/>
      <c r="O164" s="16"/>
      <c r="P164" s="17"/>
      <c r="Q164" s="16"/>
      <c r="R164" s="16"/>
      <c r="S164" s="16"/>
      <c r="T164" s="16"/>
      <c r="U164" s="16"/>
      <c r="V164" s="16"/>
      <c r="W164" s="16"/>
      <c r="X164" s="16"/>
      <c r="Y164" s="16"/>
      <c r="Z164" s="16"/>
      <c r="AA164" s="16"/>
      <c r="AB164" s="16"/>
      <c r="AC164" s="16"/>
      <c r="AD164" s="16"/>
    </row>
    <row r="165" ht="14.25" customHeight="1">
      <c r="A165" s="16"/>
      <c r="B165" s="16"/>
      <c r="C165" s="16"/>
      <c r="D165" s="16"/>
      <c r="E165" s="16"/>
      <c r="F165" s="16"/>
      <c r="G165" s="16"/>
      <c r="H165" s="16"/>
      <c r="I165" s="16"/>
      <c r="J165" s="16"/>
      <c r="K165" s="16"/>
      <c r="L165" s="13" t="s">
        <v>4736</v>
      </c>
      <c r="M165" s="16"/>
      <c r="N165" s="16"/>
      <c r="O165" s="16"/>
      <c r="P165" s="17"/>
      <c r="Q165" s="16"/>
      <c r="R165" s="16"/>
      <c r="S165" s="16"/>
      <c r="T165" s="16"/>
      <c r="U165" s="16"/>
      <c r="V165" s="16"/>
      <c r="W165" s="16"/>
      <c r="X165" s="16"/>
      <c r="Y165" s="16"/>
      <c r="Z165" s="16"/>
      <c r="AA165" s="16"/>
      <c r="AB165" s="16"/>
      <c r="AC165" s="16"/>
      <c r="AD165" s="16"/>
    </row>
    <row r="166" ht="14.25" customHeight="1">
      <c r="A166" s="16"/>
      <c r="B166" s="16"/>
      <c r="C166" s="16"/>
      <c r="D166" s="16"/>
      <c r="E166" s="16"/>
      <c r="F166" s="16"/>
      <c r="G166" s="16"/>
      <c r="H166" s="16"/>
      <c r="I166" s="16"/>
      <c r="J166" s="16"/>
      <c r="K166" s="16"/>
      <c r="L166" s="13" t="s">
        <v>4737</v>
      </c>
      <c r="M166" s="16"/>
      <c r="N166" s="16"/>
      <c r="O166" s="16"/>
      <c r="P166" s="17"/>
      <c r="Q166" s="16"/>
      <c r="R166" s="16"/>
      <c r="S166" s="16"/>
      <c r="T166" s="16"/>
      <c r="U166" s="16"/>
      <c r="V166" s="16"/>
      <c r="W166" s="16"/>
      <c r="X166" s="16"/>
      <c r="Y166" s="16"/>
      <c r="Z166" s="16"/>
      <c r="AA166" s="16"/>
      <c r="AB166" s="16"/>
      <c r="AC166" s="16"/>
      <c r="AD166" s="16"/>
    </row>
    <row r="167" ht="14.25" customHeight="1">
      <c r="A167" s="16"/>
      <c r="B167" s="16"/>
      <c r="C167" s="16"/>
      <c r="D167" s="16"/>
      <c r="E167" s="16"/>
      <c r="F167" s="16"/>
      <c r="G167" s="16"/>
      <c r="H167" s="16"/>
      <c r="I167" s="16"/>
      <c r="J167" s="16"/>
      <c r="K167" s="16"/>
      <c r="L167" s="13" t="s">
        <v>3262</v>
      </c>
      <c r="M167" s="16"/>
      <c r="N167" s="16"/>
      <c r="O167" s="16"/>
      <c r="P167" s="17"/>
      <c r="Q167" s="16"/>
      <c r="R167" s="16"/>
      <c r="S167" s="16"/>
      <c r="T167" s="16"/>
      <c r="U167" s="16"/>
      <c r="V167" s="16"/>
      <c r="W167" s="16"/>
      <c r="X167" s="16"/>
      <c r="Y167" s="16"/>
      <c r="Z167" s="16"/>
      <c r="AA167" s="16"/>
      <c r="AB167" s="16"/>
      <c r="AC167" s="16"/>
      <c r="AD167" s="16"/>
    </row>
    <row r="168" ht="14.25" customHeight="1">
      <c r="A168" s="16"/>
      <c r="B168" s="16"/>
      <c r="C168" s="16"/>
      <c r="D168" s="16"/>
      <c r="E168" s="16"/>
      <c r="F168" s="16"/>
      <c r="G168" s="16"/>
      <c r="H168" s="16"/>
      <c r="I168" s="16"/>
      <c r="J168" s="16"/>
      <c r="K168" s="16"/>
      <c r="L168" s="13" t="s">
        <v>3233</v>
      </c>
      <c r="M168" s="16"/>
      <c r="N168" s="16"/>
      <c r="O168" s="16"/>
      <c r="P168" s="17"/>
      <c r="Q168" s="16"/>
      <c r="R168" s="16"/>
      <c r="S168" s="16"/>
      <c r="T168" s="16"/>
      <c r="U168" s="16"/>
      <c r="V168" s="16"/>
      <c r="W168" s="16"/>
      <c r="X168" s="16"/>
      <c r="Y168" s="16"/>
      <c r="Z168" s="16"/>
      <c r="AA168" s="16"/>
      <c r="AB168" s="16"/>
      <c r="AC168" s="16"/>
      <c r="AD168" s="16"/>
    </row>
    <row r="169" ht="14.25" customHeight="1">
      <c r="A169" s="16"/>
      <c r="B169" s="16"/>
      <c r="C169" s="16"/>
      <c r="D169" s="16"/>
      <c r="E169" s="16"/>
      <c r="F169" s="16"/>
      <c r="G169" s="16"/>
      <c r="H169" s="16"/>
      <c r="I169" s="16"/>
      <c r="J169" s="16"/>
      <c r="K169" s="16"/>
      <c r="L169" s="13" t="s">
        <v>4018</v>
      </c>
      <c r="M169" s="16"/>
      <c r="N169" s="16"/>
      <c r="O169" s="16"/>
      <c r="P169" s="17"/>
      <c r="Q169" s="16"/>
      <c r="R169" s="16"/>
      <c r="S169" s="16"/>
      <c r="T169" s="16"/>
      <c r="U169" s="16"/>
      <c r="V169" s="16"/>
      <c r="W169" s="16"/>
      <c r="X169" s="16"/>
      <c r="Y169" s="16"/>
      <c r="Z169" s="16"/>
      <c r="AA169" s="16"/>
      <c r="AB169" s="16"/>
      <c r="AC169" s="16"/>
      <c r="AD169" s="16"/>
    </row>
    <row r="170" ht="14.25" customHeight="1">
      <c r="A170" s="16"/>
      <c r="B170" s="16"/>
      <c r="C170" s="16"/>
      <c r="D170" s="16"/>
      <c r="E170" s="16"/>
      <c r="F170" s="16"/>
      <c r="G170" s="16"/>
      <c r="H170" s="16"/>
      <c r="I170" s="16"/>
      <c r="J170" s="16"/>
      <c r="K170" s="16"/>
      <c r="L170" s="13" t="s">
        <v>3450</v>
      </c>
      <c r="M170" s="16"/>
      <c r="N170" s="16"/>
      <c r="O170" s="16"/>
      <c r="P170" s="17"/>
      <c r="Q170" s="16"/>
      <c r="R170" s="16"/>
      <c r="S170" s="16"/>
      <c r="T170" s="16"/>
      <c r="U170" s="16"/>
      <c r="V170" s="16"/>
      <c r="W170" s="16"/>
      <c r="X170" s="16"/>
      <c r="Y170" s="16"/>
      <c r="Z170" s="16"/>
      <c r="AA170" s="16"/>
      <c r="AB170" s="16"/>
      <c r="AC170" s="16"/>
      <c r="AD170" s="16"/>
    </row>
    <row r="171" ht="14.25" customHeight="1">
      <c r="A171" s="16"/>
      <c r="B171" s="16"/>
      <c r="C171" s="16"/>
      <c r="D171" s="16"/>
      <c r="E171" s="16"/>
      <c r="F171" s="16"/>
      <c r="G171" s="16"/>
      <c r="H171" s="16"/>
      <c r="I171" s="16"/>
      <c r="J171" s="16"/>
      <c r="K171" s="16"/>
      <c r="L171" s="13" t="s">
        <v>4738</v>
      </c>
      <c r="M171" s="16"/>
      <c r="N171" s="16"/>
      <c r="O171" s="16"/>
      <c r="P171" s="17"/>
      <c r="Q171" s="16"/>
      <c r="R171" s="16"/>
      <c r="S171" s="16"/>
      <c r="T171" s="16"/>
      <c r="U171" s="16"/>
      <c r="V171" s="16"/>
      <c r="W171" s="16"/>
      <c r="X171" s="16"/>
      <c r="Y171" s="16"/>
      <c r="Z171" s="16"/>
      <c r="AA171" s="16"/>
      <c r="AB171" s="16"/>
      <c r="AC171" s="16"/>
      <c r="AD171" s="16"/>
    </row>
    <row r="172" ht="14.25" customHeight="1">
      <c r="A172" s="16"/>
      <c r="B172" s="16"/>
      <c r="C172" s="16"/>
      <c r="D172" s="16"/>
      <c r="E172" s="16"/>
      <c r="F172" s="16"/>
      <c r="G172" s="16"/>
      <c r="H172" s="16"/>
      <c r="I172" s="16"/>
      <c r="J172" s="16"/>
      <c r="K172" s="16"/>
      <c r="L172" s="13" t="s">
        <v>4739</v>
      </c>
      <c r="M172" s="16"/>
      <c r="N172" s="16"/>
      <c r="O172" s="16"/>
      <c r="P172" s="17"/>
      <c r="Q172" s="16"/>
      <c r="R172" s="16"/>
      <c r="S172" s="16"/>
      <c r="T172" s="16"/>
      <c r="U172" s="16"/>
      <c r="V172" s="16"/>
      <c r="W172" s="16"/>
      <c r="X172" s="16"/>
      <c r="Y172" s="16"/>
      <c r="Z172" s="16"/>
      <c r="AA172" s="16"/>
      <c r="AB172" s="16"/>
      <c r="AC172" s="16"/>
      <c r="AD172" s="16"/>
    </row>
    <row r="173" ht="14.25" customHeight="1">
      <c r="A173" s="16"/>
      <c r="B173" s="16"/>
      <c r="C173" s="16"/>
      <c r="D173" s="16"/>
      <c r="E173" s="16"/>
      <c r="F173" s="16"/>
      <c r="G173" s="16"/>
      <c r="H173" s="16"/>
      <c r="I173" s="16"/>
      <c r="J173" s="16"/>
      <c r="K173" s="16"/>
      <c r="L173" s="13" t="s">
        <v>4740</v>
      </c>
      <c r="M173" s="16"/>
      <c r="N173" s="16"/>
      <c r="O173" s="16"/>
      <c r="P173" s="17"/>
      <c r="Q173" s="16"/>
      <c r="R173" s="16"/>
      <c r="S173" s="16"/>
      <c r="T173" s="16"/>
      <c r="U173" s="16"/>
      <c r="V173" s="16"/>
      <c r="W173" s="16"/>
      <c r="X173" s="16"/>
      <c r="Y173" s="16"/>
      <c r="Z173" s="16"/>
      <c r="AA173" s="16"/>
      <c r="AB173" s="16"/>
      <c r="AC173" s="16"/>
      <c r="AD173" s="16"/>
    </row>
    <row r="174" ht="14.25" customHeight="1">
      <c r="A174" s="16"/>
      <c r="B174" s="16"/>
      <c r="C174" s="16"/>
      <c r="D174" s="16"/>
      <c r="E174" s="16"/>
      <c r="F174" s="16"/>
      <c r="G174" s="16"/>
      <c r="H174" s="16"/>
      <c r="I174" s="16"/>
      <c r="J174" s="16"/>
      <c r="K174" s="16"/>
      <c r="L174" s="13" t="s">
        <v>4741</v>
      </c>
      <c r="M174" s="16"/>
      <c r="N174" s="16"/>
      <c r="O174" s="16"/>
      <c r="P174" s="17"/>
      <c r="Q174" s="16"/>
      <c r="R174" s="16"/>
      <c r="S174" s="16"/>
      <c r="T174" s="16"/>
      <c r="U174" s="16"/>
      <c r="V174" s="16"/>
      <c r="W174" s="16"/>
      <c r="X174" s="16"/>
      <c r="Y174" s="16"/>
      <c r="Z174" s="16"/>
      <c r="AA174" s="16"/>
      <c r="AB174" s="16"/>
      <c r="AC174" s="16"/>
      <c r="AD174" s="16"/>
    </row>
    <row r="175" ht="14.25" customHeight="1">
      <c r="A175" s="16"/>
      <c r="B175" s="16"/>
      <c r="C175" s="16"/>
      <c r="D175" s="16"/>
      <c r="E175" s="16"/>
      <c r="F175" s="16"/>
      <c r="G175" s="16"/>
      <c r="H175" s="16"/>
      <c r="I175" s="16"/>
      <c r="J175" s="16"/>
      <c r="K175" s="16"/>
      <c r="L175" s="13" t="s">
        <v>4108</v>
      </c>
      <c r="M175" s="16"/>
      <c r="N175" s="16"/>
      <c r="O175" s="16"/>
      <c r="P175" s="17"/>
      <c r="Q175" s="16"/>
      <c r="R175" s="16"/>
      <c r="S175" s="16"/>
      <c r="T175" s="16"/>
      <c r="U175" s="16"/>
      <c r="V175" s="16"/>
      <c r="W175" s="16"/>
      <c r="X175" s="16"/>
      <c r="Y175" s="16"/>
      <c r="Z175" s="16"/>
      <c r="AA175" s="16"/>
      <c r="AB175" s="16"/>
      <c r="AC175" s="16"/>
      <c r="AD175" s="16"/>
    </row>
    <row r="176" ht="14.25" customHeight="1">
      <c r="A176" s="16"/>
      <c r="B176" s="16"/>
      <c r="C176" s="16"/>
      <c r="D176" s="16"/>
      <c r="E176" s="16"/>
      <c r="F176" s="16"/>
      <c r="G176" s="16"/>
      <c r="H176" s="16"/>
      <c r="I176" s="16"/>
      <c r="J176" s="16"/>
      <c r="K176" s="16"/>
      <c r="L176" s="13" t="s">
        <v>3898</v>
      </c>
      <c r="M176" s="16"/>
      <c r="N176" s="16"/>
      <c r="O176" s="16"/>
      <c r="P176" s="17"/>
      <c r="Q176" s="16"/>
      <c r="R176" s="16"/>
      <c r="S176" s="16"/>
      <c r="T176" s="16"/>
      <c r="U176" s="16"/>
      <c r="V176" s="16"/>
      <c r="W176" s="16"/>
      <c r="X176" s="16"/>
      <c r="Y176" s="16"/>
      <c r="Z176" s="16"/>
      <c r="AA176" s="16"/>
      <c r="AB176" s="16"/>
      <c r="AC176" s="16"/>
      <c r="AD176" s="16"/>
    </row>
    <row r="177" ht="14.25" customHeight="1">
      <c r="A177" s="16"/>
      <c r="B177" s="16"/>
      <c r="C177" s="16"/>
      <c r="D177" s="16"/>
      <c r="E177" s="16"/>
      <c r="F177" s="16"/>
      <c r="G177" s="16"/>
      <c r="H177" s="16"/>
      <c r="I177" s="16"/>
      <c r="J177" s="16"/>
      <c r="K177" s="16"/>
      <c r="L177" s="13" t="s">
        <v>3787</v>
      </c>
      <c r="M177" s="16"/>
      <c r="N177" s="16"/>
      <c r="O177" s="16"/>
      <c r="P177" s="17"/>
      <c r="Q177" s="16"/>
      <c r="R177" s="16"/>
      <c r="S177" s="16"/>
      <c r="T177" s="16"/>
      <c r="U177" s="16"/>
      <c r="V177" s="16"/>
      <c r="W177" s="16"/>
      <c r="X177" s="16"/>
      <c r="Y177" s="16"/>
      <c r="Z177" s="16"/>
      <c r="AA177" s="16"/>
      <c r="AB177" s="16"/>
      <c r="AC177" s="16"/>
      <c r="AD177" s="16"/>
    </row>
    <row r="178" ht="14.25" customHeight="1">
      <c r="A178" s="16"/>
      <c r="B178" s="16"/>
      <c r="C178" s="16"/>
      <c r="D178" s="16"/>
      <c r="E178" s="16"/>
      <c r="F178" s="16"/>
      <c r="G178" s="16"/>
      <c r="H178" s="16"/>
      <c r="I178" s="16"/>
      <c r="J178" s="16"/>
      <c r="K178" s="16"/>
      <c r="L178" s="13" t="s">
        <v>3483</v>
      </c>
      <c r="M178" s="16"/>
      <c r="N178" s="16"/>
      <c r="O178" s="16"/>
      <c r="P178" s="17"/>
      <c r="Q178" s="16"/>
      <c r="R178" s="16"/>
      <c r="S178" s="16"/>
      <c r="T178" s="16"/>
      <c r="U178" s="16"/>
      <c r="V178" s="16"/>
      <c r="W178" s="16"/>
      <c r="X178" s="16"/>
      <c r="Y178" s="16"/>
      <c r="Z178" s="16"/>
      <c r="AA178" s="16"/>
      <c r="AB178" s="16"/>
      <c r="AC178" s="16"/>
      <c r="AD178" s="16"/>
    </row>
    <row r="179" ht="14.25" customHeight="1">
      <c r="A179" s="16"/>
      <c r="B179" s="16"/>
      <c r="C179" s="16"/>
      <c r="D179" s="16"/>
      <c r="E179" s="16"/>
      <c r="F179" s="16"/>
      <c r="G179" s="16"/>
      <c r="H179" s="16"/>
      <c r="I179" s="16"/>
      <c r="J179" s="16"/>
      <c r="K179" s="16"/>
      <c r="L179" s="13" t="s">
        <v>4742</v>
      </c>
      <c r="M179" s="16"/>
      <c r="N179" s="16"/>
      <c r="O179" s="16"/>
      <c r="P179" s="17"/>
      <c r="Q179" s="16"/>
      <c r="R179" s="16"/>
      <c r="S179" s="16"/>
      <c r="T179" s="16"/>
      <c r="U179" s="16"/>
      <c r="V179" s="16"/>
      <c r="W179" s="16"/>
      <c r="X179" s="16"/>
      <c r="Y179" s="16"/>
      <c r="Z179" s="16"/>
      <c r="AA179" s="16"/>
      <c r="AB179" s="16"/>
      <c r="AC179" s="16"/>
      <c r="AD179" s="16"/>
    </row>
    <row r="180" ht="14.25" customHeight="1">
      <c r="A180" s="16"/>
      <c r="B180" s="16"/>
      <c r="C180" s="16"/>
      <c r="D180" s="16"/>
      <c r="E180" s="16"/>
      <c r="F180" s="16"/>
      <c r="G180" s="16"/>
      <c r="H180" s="16"/>
      <c r="I180" s="16"/>
      <c r="J180" s="16"/>
      <c r="K180" s="16"/>
      <c r="L180" s="13" t="s">
        <v>4357</v>
      </c>
      <c r="M180" s="16"/>
      <c r="N180" s="16"/>
      <c r="O180" s="16"/>
      <c r="P180" s="17"/>
      <c r="Q180" s="16"/>
      <c r="R180" s="16"/>
      <c r="S180" s="16"/>
      <c r="T180" s="16"/>
      <c r="U180" s="16"/>
      <c r="V180" s="16"/>
      <c r="W180" s="16"/>
      <c r="X180" s="16"/>
      <c r="Y180" s="16"/>
      <c r="Z180" s="16"/>
      <c r="AA180" s="16"/>
      <c r="AB180" s="16"/>
      <c r="AC180" s="16"/>
      <c r="AD180" s="16"/>
    </row>
    <row r="181" ht="14.25" customHeight="1">
      <c r="A181" s="16"/>
      <c r="B181" s="16"/>
      <c r="C181" s="16"/>
      <c r="D181" s="16"/>
      <c r="E181" s="16"/>
      <c r="F181" s="16"/>
      <c r="G181" s="16"/>
      <c r="H181" s="16"/>
      <c r="I181" s="16"/>
      <c r="J181" s="16"/>
      <c r="K181" s="16"/>
      <c r="L181" s="13" t="s">
        <v>4743</v>
      </c>
      <c r="M181" s="16"/>
      <c r="N181" s="16"/>
      <c r="O181" s="16"/>
      <c r="P181" s="17"/>
      <c r="Q181" s="16"/>
      <c r="R181" s="16"/>
      <c r="S181" s="16"/>
      <c r="T181" s="16"/>
      <c r="U181" s="16"/>
      <c r="V181" s="16"/>
      <c r="W181" s="16"/>
      <c r="X181" s="16"/>
      <c r="Y181" s="16"/>
      <c r="Z181" s="16"/>
      <c r="AA181" s="16"/>
      <c r="AB181" s="16"/>
      <c r="AC181" s="16"/>
      <c r="AD181" s="16"/>
    </row>
    <row r="182" ht="14.25" customHeight="1">
      <c r="A182" s="16"/>
      <c r="B182" s="16"/>
      <c r="C182" s="16"/>
      <c r="D182" s="16"/>
      <c r="E182" s="16"/>
      <c r="F182" s="16"/>
      <c r="G182" s="16"/>
      <c r="H182" s="16"/>
      <c r="I182" s="16"/>
      <c r="J182" s="16"/>
      <c r="K182" s="16"/>
      <c r="L182" s="13" t="s">
        <v>4744</v>
      </c>
      <c r="M182" s="16"/>
      <c r="N182" s="16"/>
      <c r="O182" s="16"/>
      <c r="P182" s="17"/>
      <c r="Q182" s="16"/>
      <c r="R182" s="16"/>
      <c r="S182" s="16"/>
      <c r="T182" s="16"/>
      <c r="U182" s="16"/>
      <c r="V182" s="16"/>
      <c r="W182" s="16"/>
      <c r="X182" s="16"/>
      <c r="Y182" s="16"/>
      <c r="Z182" s="16"/>
      <c r="AA182" s="16"/>
      <c r="AB182" s="16"/>
      <c r="AC182" s="16"/>
      <c r="AD182" s="16"/>
    </row>
    <row r="183" ht="14.25" customHeight="1">
      <c r="A183" s="16"/>
      <c r="B183" s="16"/>
      <c r="C183" s="16"/>
      <c r="D183" s="16"/>
      <c r="E183" s="16"/>
      <c r="F183" s="16"/>
      <c r="G183" s="16"/>
      <c r="H183" s="16"/>
      <c r="I183" s="16"/>
      <c r="J183" s="16"/>
      <c r="K183" s="16"/>
      <c r="L183" s="13" t="s">
        <v>3625</v>
      </c>
      <c r="M183" s="16"/>
      <c r="N183" s="16"/>
      <c r="O183" s="16"/>
      <c r="P183" s="17"/>
      <c r="Q183" s="16"/>
      <c r="R183" s="16"/>
      <c r="S183" s="16"/>
      <c r="T183" s="16"/>
      <c r="U183" s="16"/>
      <c r="V183" s="16"/>
      <c r="W183" s="16"/>
      <c r="X183" s="16"/>
      <c r="Y183" s="16"/>
      <c r="Z183" s="16"/>
      <c r="AA183" s="16"/>
      <c r="AB183" s="16"/>
      <c r="AC183" s="16"/>
      <c r="AD183" s="16"/>
    </row>
    <row r="184" ht="14.25" customHeight="1">
      <c r="A184" s="16"/>
      <c r="B184" s="16"/>
      <c r="C184" s="16"/>
      <c r="D184" s="16"/>
      <c r="E184" s="16"/>
      <c r="F184" s="16"/>
      <c r="G184" s="16"/>
      <c r="H184" s="16"/>
      <c r="I184" s="16"/>
      <c r="J184" s="16"/>
      <c r="K184" s="16"/>
      <c r="L184" s="13" t="s">
        <v>4745</v>
      </c>
      <c r="M184" s="16"/>
      <c r="N184" s="16"/>
      <c r="O184" s="16"/>
      <c r="P184" s="17"/>
      <c r="Q184" s="16"/>
      <c r="R184" s="16"/>
      <c r="S184" s="16"/>
      <c r="T184" s="16"/>
      <c r="U184" s="16"/>
      <c r="V184" s="16"/>
      <c r="W184" s="16"/>
      <c r="X184" s="16"/>
      <c r="Y184" s="16"/>
      <c r="Z184" s="16"/>
      <c r="AA184" s="16"/>
      <c r="AB184" s="16"/>
      <c r="AC184" s="16"/>
      <c r="AD184" s="16"/>
    </row>
    <row r="185" ht="14.25" customHeight="1">
      <c r="A185" s="16"/>
      <c r="B185" s="16"/>
      <c r="C185" s="16"/>
      <c r="D185" s="16"/>
      <c r="E185" s="16"/>
      <c r="F185" s="16"/>
      <c r="G185" s="16"/>
      <c r="H185" s="16"/>
      <c r="I185" s="16"/>
      <c r="J185" s="16"/>
      <c r="K185" s="16"/>
      <c r="L185" s="13" t="s">
        <v>4746</v>
      </c>
      <c r="M185" s="16"/>
      <c r="N185" s="16"/>
      <c r="O185" s="16"/>
      <c r="P185" s="17"/>
      <c r="Q185" s="16"/>
      <c r="R185" s="16"/>
      <c r="S185" s="16"/>
      <c r="T185" s="16"/>
      <c r="U185" s="16"/>
      <c r="V185" s="16"/>
      <c r="W185" s="16"/>
      <c r="X185" s="16"/>
      <c r="Y185" s="16"/>
      <c r="Z185" s="16"/>
      <c r="AA185" s="16"/>
      <c r="AB185" s="16"/>
      <c r="AC185" s="16"/>
      <c r="AD185" s="16"/>
    </row>
    <row r="186" ht="14.25" customHeight="1">
      <c r="A186" s="16"/>
      <c r="B186" s="16"/>
      <c r="C186" s="16"/>
      <c r="D186" s="16"/>
      <c r="E186" s="16"/>
      <c r="F186" s="16"/>
      <c r="G186" s="16"/>
      <c r="H186" s="16"/>
      <c r="I186" s="16"/>
      <c r="J186" s="16"/>
      <c r="K186" s="16"/>
      <c r="L186" s="13" t="s">
        <v>3350</v>
      </c>
      <c r="M186" s="16"/>
      <c r="N186" s="16"/>
      <c r="O186" s="16"/>
      <c r="P186" s="17"/>
      <c r="Q186" s="16"/>
      <c r="R186" s="16"/>
      <c r="S186" s="16"/>
      <c r="T186" s="16"/>
      <c r="U186" s="16"/>
      <c r="V186" s="16"/>
      <c r="W186" s="16"/>
      <c r="X186" s="16"/>
      <c r="Y186" s="16"/>
      <c r="Z186" s="16"/>
      <c r="AA186" s="16"/>
      <c r="AB186" s="16"/>
      <c r="AC186" s="16"/>
      <c r="AD186" s="16"/>
    </row>
    <row r="187" ht="14.25" customHeight="1">
      <c r="A187" s="16"/>
      <c r="B187" s="16"/>
      <c r="C187" s="16"/>
      <c r="D187" s="16"/>
      <c r="E187" s="16"/>
      <c r="F187" s="16"/>
      <c r="G187" s="16"/>
      <c r="H187" s="16"/>
      <c r="I187" s="16"/>
      <c r="J187" s="16"/>
      <c r="K187" s="16"/>
      <c r="L187" s="13" t="s">
        <v>4747</v>
      </c>
      <c r="M187" s="16"/>
      <c r="N187" s="16"/>
      <c r="O187" s="16"/>
      <c r="P187" s="17"/>
      <c r="Q187" s="16"/>
      <c r="R187" s="16"/>
      <c r="S187" s="16"/>
      <c r="T187" s="16"/>
      <c r="U187" s="16"/>
      <c r="V187" s="16"/>
      <c r="W187" s="16"/>
      <c r="X187" s="16"/>
      <c r="Y187" s="16"/>
      <c r="Z187" s="16"/>
      <c r="AA187" s="16"/>
      <c r="AB187" s="16"/>
      <c r="AC187" s="16"/>
      <c r="AD187" s="16"/>
    </row>
    <row r="188" ht="14.25" customHeight="1">
      <c r="A188" s="16"/>
      <c r="B188" s="16"/>
      <c r="C188" s="16"/>
      <c r="D188" s="16"/>
      <c r="E188" s="16"/>
      <c r="F188" s="16"/>
      <c r="G188" s="16"/>
      <c r="H188" s="16"/>
      <c r="I188" s="16"/>
      <c r="J188" s="16"/>
      <c r="K188" s="16"/>
      <c r="L188" s="13" t="s">
        <v>4748</v>
      </c>
      <c r="M188" s="16"/>
      <c r="N188" s="16"/>
      <c r="O188" s="16"/>
      <c r="P188" s="17"/>
      <c r="Q188" s="16"/>
      <c r="R188" s="16"/>
      <c r="S188" s="16"/>
      <c r="T188" s="16"/>
      <c r="U188" s="16"/>
      <c r="V188" s="16"/>
      <c r="W188" s="16"/>
      <c r="X188" s="16"/>
      <c r="Y188" s="16"/>
      <c r="Z188" s="16"/>
      <c r="AA188" s="16"/>
      <c r="AB188" s="16"/>
      <c r="AC188" s="16"/>
      <c r="AD188" s="16"/>
    </row>
    <row r="189" ht="14.25" customHeight="1">
      <c r="A189" s="16"/>
      <c r="B189" s="16"/>
      <c r="C189" s="16"/>
      <c r="D189" s="16"/>
      <c r="E189" s="16"/>
      <c r="F189" s="16"/>
      <c r="G189" s="16"/>
      <c r="H189" s="16"/>
      <c r="I189" s="16"/>
      <c r="J189" s="16"/>
      <c r="K189" s="16"/>
      <c r="L189" s="13" t="s">
        <v>3327</v>
      </c>
      <c r="M189" s="16"/>
      <c r="N189" s="16"/>
      <c r="O189" s="16"/>
      <c r="P189" s="17"/>
      <c r="Q189" s="16"/>
      <c r="R189" s="16"/>
      <c r="S189" s="16"/>
      <c r="T189" s="16"/>
      <c r="U189" s="16"/>
      <c r="V189" s="16"/>
      <c r="W189" s="16"/>
      <c r="X189" s="16"/>
      <c r="Y189" s="16"/>
      <c r="Z189" s="16"/>
      <c r="AA189" s="16"/>
      <c r="AB189" s="16"/>
      <c r="AC189" s="16"/>
      <c r="AD189" s="16"/>
    </row>
    <row r="190" ht="14.25" customHeight="1">
      <c r="A190" s="16"/>
      <c r="B190" s="16"/>
      <c r="C190" s="16"/>
      <c r="D190" s="16"/>
      <c r="E190" s="16"/>
      <c r="F190" s="16"/>
      <c r="G190" s="16"/>
      <c r="H190" s="16"/>
      <c r="I190" s="16"/>
      <c r="J190" s="16"/>
      <c r="K190" s="16"/>
      <c r="L190" s="13" t="s">
        <v>3900</v>
      </c>
      <c r="M190" s="16"/>
      <c r="N190" s="16"/>
      <c r="O190" s="16"/>
      <c r="P190" s="17"/>
      <c r="Q190" s="16"/>
      <c r="R190" s="16"/>
      <c r="S190" s="16"/>
      <c r="T190" s="16"/>
      <c r="U190" s="16"/>
      <c r="V190" s="16"/>
      <c r="W190" s="16"/>
      <c r="X190" s="16"/>
      <c r="Y190" s="16"/>
      <c r="Z190" s="16"/>
      <c r="AA190" s="16"/>
      <c r="AB190" s="16"/>
      <c r="AC190" s="16"/>
      <c r="AD190" s="16"/>
    </row>
    <row r="191" ht="14.25" customHeight="1">
      <c r="A191" s="16"/>
      <c r="B191" s="16"/>
      <c r="C191" s="16"/>
      <c r="D191" s="16"/>
      <c r="E191" s="16"/>
      <c r="F191" s="16"/>
      <c r="G191" s="16"/>
      <c r="H191" s="16"/>
      <c r="I191" s="16"/>
      <c r="J191" s="16"/>
      <c r="K191" s="16"/>
      <c r="L191" s="13" t="s">
        <v>4749</v>
      </c>
      <c r="M191" s="16"/>
      <c r="N191" s="16"/>
      <c r="O191" s="16"/>
      <c r="P191" s="17"/>
      <c r="Q191" s="16"/>
      <c r="R191" s="16"/>
      <c r="S191" s="16"/>
      <c r="T191" s="16"/>
      <c r="U191" s="16"/>
      <c r="V191" s="16"/>
      <c r="W191" s="16"/>
      <c r="X191" s="16"/>
      <c r="Y191" s="16"/>
      <c r="Z191" s="16"/>
      <c r="AA191" s="16"/>
      <c r="AB191" s="16"/>
      <c r="AC191" s="16"/>
      <c r="AD191" s="16"/>
    </row>
    <row r="192" ht="14.25" customHeight="1">
      <c r="A192" s="16"/>
      <c r="B192" s="16"/>
      <c r="C192" s="16"/>
      <c r="D192" s="16"/>
      <c r="E192" s="16"/>
      <c r="F192" s="16"/>
      <c r="G192" s="16"/>
      <c r="H192" s="16"/>
      <c r="I192" s="16"/>
      <c r="J192" s="16"/>
      <c r="K192" s="16"/>
      <c r="L192" s="13" t="s">
        <v>3570</v>
      </c>
      <c r="M192" s="16"/>
      <c r="N192" s="16"/>
      <c r="O192" s="16"/>
      <c r="P192" s="17"/>
      <c r="Q192" s="16"/>
      <c r="R192" s="16"/>
      <c r="S192" s="16"/>
      <c r="T192" s="16"/>
      <c r="U192" s="16"/>
      <c r="V192" s="16"/>
      <c r="W192" s="16"/>
      <c r="X192" s="16"/>
      <c r="Y192" s="16"/>
      <c r="Z192" s="16"/>
      <c r="AA192" s="16"/>
      <c r="AB192" s="16"/>
      <c r="AC192" s="16"/>
      <c r="AD192" s="16"/>
    </row>
    <row r="193" ht="14.25" customHeight="1">
      <c r="A193" s="16"/>
      <c r="B193" s="16"/>
      <c r="C193" s="16"/>
      <c r="D193" s="16"/>
      <c r="E193" s="16"/>
      <c r="F193" s="16"/>
      <c r="G193" s="16"/>
      <c r="H193" s="16"/>
      <c r="I193" s="16"/>
      <c r="J193" s="16"/>
      <c r="K193" s="16"/>
      <c r="L193" s="13" t="s">
        <v>3784</v>
      </c>
      <c r="M193" s="16"/>
      <c r="N193" s="16"/>
      <c r="O193" s="16"/>
      <c r="P193" s="17"/>
      <c r="Q193" s="16"/>
      <c r="R193" s="16"/>
      <c r="S193" s="16"/>
      <c r="T193" s="16"/>
      <c r="U193" s="16"/>
      <c r="V193" s="16"/>
      <c r="W193" s="16"/>
      <c r="X193" s="16"/>
      <c r="Y193" s="16"/>
      <c r="Z193" s="16"/>
      <c r="AA193" s="16"/>
      <c r="AB193" s="16"/>
      <c r="AC193" s="16"/>
      <c r="AD193" s="16"/>
    </row>
    <row r="194" ht="14.25" customHeight="1">
      <c r="A194" s="16"/>
      <c r="B194" s="16"/>
      <c r="C194" s="16"/>
      <c r="D194" s="16"/>
      <c r="E194" s="16"/>
      <c r="F194" s="16"/>
      <c r="G194" s="16"/>
      <c r="H194" s="16"/>
      <c r="I194" s="16"/>
      <c r="J194" s="16"/>
      <c r="K194" s="16"/>
      <c r="L194" s="13" t="s">
        <v>4750</v>
      </c>
      <c r="M194" s="16"/>
      <c r="N194" s="16"/>
      <c r="O194" s="16"/>
      <c r="P194" s="17"/>
      <c r="Q194" s="16"/>
      <c r="R194" s="16"/>
      <c r="S194" s="16"/>
      <c r="T194" s="16"/>
      <c r="U194" s="16"/>
      <c r="V194" s="16"/>
      <c r="W194" s="16"/>
      <c r="X194" s="16"/>
      <c r="Y194" s="16"/>
      <c r="Z194" s="16"/>
      <c r="AA194" s="16"/>
      <c r="AB194" s="16"/>
      <c r="AC194" s="16"/>
      <c r="AD194" s="16"/>
    </row>
    <row r="195" ht="14.25" customHeight="1">
      <c r="A195" s="16"/>
      <c r="B195" s="16"/>
      <c r="C195" s="16"/>
      <c r="D195" s="16"/>
      <c r="E195" s="16"/>
      <c r="F195" s="16"/>
      <c r="G195" s="16"/>
      <c r="H195" s="16"/>
      <c r="I195" s="16"/>
      <c r="J195" s="16"/>
      <c r="K195" s="16"/>
      <c r="L195" s="13" t="s">
        <v>4751</v>
      </c>
      <c r="M195" s="16"/>
      <c r="N195" s="16"/>
      <c r="O195" s="16"/>
      <c r="P195" s="17"/>
      <c r="Q195" s="16"/>
      <c r="R195" s="16"/>
      <c r="S195" s="16"/>
      <c r="T195" s="16"/>
      <c r="U195" s="16"/>
      <c r="V195" s="16"/>
      <c r="W195" s="16"/>
      <c r="X195" s="16"/>
      <c r="Y195" s="16"/>
      <c r="Z195" s="16"/>
      <c r="AA195" s="16"/>
      <c r="AB195" s="16"/>
      <c r="AC195" s="16"/>
      <c r="AD195" s="16"/>
    </row>
    <row r="196" ht="14.25" customHeight="1">
      <c r="A196" s="16"/>
      <c r="B196" s="16"/>
      <c r="C196" s="16"/>
      <c r="D196" s="16"/>
      <c r="E196" s="16"/>
      <c r="F196" s="16"/>
      <c r="G196" s="16"/>
      <c r="H196" s="16"/>
      <c r="I196" s="16"/>
      <c r="J196" s="16"/>
      <c r="K196" s="16"/>
      <c r="L196" s="13" t="s">
        <v>4752</v>
      </c>
      <c r="M196" s="16"/>
      <c r="N196" s="16"/>
      <c r="O196" s="16"/>
      <c r="P196" s="17"/>
      <c r="Q196" s="16"/>
      <c r="R196" s="16"/>
      <c r="S196" s="16"/>
      <c r="T196" s="16"/>
      <c r="U196" s="16"/>
      <c r="V196" s="16"/>
      <c r="W196" s="16"/>
      <c r="X196" s="16"/>
      <c r="Y196" s="16"/>
      <c r="Z196" s="16"/>
      <c r="AA196" s="16"/>
      <c r="AB196" s="16"/>
      <c r="AC196" s="16"/>
      <c r="AD196" s="16"/>
    </row>
    <row r="197" ht="14.25" customHeight="1">
      <c r="A197" s="16"/>
      <c r="B197" s="16"/>
      <c r="C197" s="16"/>
      <c r="D197" s="16"/>
      <c r="E197" s="16"/>
      <c r="F197" s="16"/>
      <c r="G197" s="16"/>
      <c r="H197" s="16"/>
      <c r="I197" s="16"/>
      <c r="J197" s="16"/>
      <c r="K197" s="16"/>
      <c r="L197" s="13" t="s">
        <v>3915</v>
      </c>
      <c r="M197" s="16"/>
      <c r="N197" s="16"/>
      <c r="O197" s="16"/>
      <c r="P197" s="17"/>
      <c r="Q197" s="16"/>
      <c r="R197" s="16"/>
      <c r="S197" s="16"/>
      <c r="T197" s="16"/>
      <c r="U197" s="16"/>
      <c r="V197" s="16"/>
      <c r="W197" s="16"/>
      <c r="X197" s="16"/>
      <c r="Y197" s="16"/>
      <c r="Z197" s="16"/>
      <c r="AA197" s="16"/>
      <c r="AB197" s="16"/>
      <c r="AC197" s="16"/>
      <c r="AD197" s="16"/>
    </row>
    <row r="198" ht="14.25" customHeight="1">
      <c r="A198" s="16"/>
      <c r="B198" s="16"/>
      <c r="C198" s="16"/>
      <c r="D198" s="16"/>
      <c r="E198" s="16"/>
      <c r="F198" s="16"/>
      <c r="G198" s="16"/>
      <c r="H198" s="16"/>
      <c r="I198" s="16"/>
      <c r="J198" s="16"/>
      <c r="K198" s="16"/>
      <c r="L198" s="13" t="s">
        <v>4753</v>
      </c>
      <c r="M198" s="16"/>
      <c r="N198" s="16"/>
      <c r="O198" s="16"/>
      <c r="P198" s="17"/>
      <c r="Q198" s="16"/>
      <c r="R198" s="16"/>
      <c r="S198" s="16"/>
      <c r="T198" s="16"/>
      <c r="U198" s="16"/>
      <c r="V198" s="16"/>
      <c r="W198" s="16"/>
      <c r="X198" s="16"/>
      <c r="Y198" s="16"/>
      <c r="Z198" s="16"/>
      <c r="AA198" s="16"/>
      <c r="AB198" s="16"/>
      <c r="AC198" s="16"/>
      <c r="AD198" s="16"/>
    </row>
    <row r="199" ht="14.25" customHeight="1">
      <c r="A199" s="16"/>
      <c r="B199" s="16"/>
      <c r="C199" s="16"/>
      <c r="D199" s="16"/>
      <c r="E199" s="16"/>
      <c r="F199" s="16"/>
      <c r="G199" s="16"/>
      <c r="H199" s="16"/>
      <c r="I199" s="16"/>
      <c r="J199" s="16"/>
      <c r="K199" s="16"/>
      <c r="L199" s="13" t="s">
        <v>3924</v>
      </c>
      <c r="M199" s="16"/>
      <c r="N199" s="16"/>
      <c r="O199" s="16"/>
      <c r="P199" s="17"/>
      <c r="Q199" s="16"/>
      <c r="R199" s="16"/>
      <c r="S199" s="16"/>
      <c r="T199" s="16"/>
      <c r="U199" s="16"/>
      <c r="V199" s="16"/>
      <c r="W199" s="16"/>
      <c r="X199" s="16"/>
      <c r="Y199" s="16"/>
      <c r="Z199" s="16"/>
      <c r="AA199" s="16"/>
      <c r="AB199" s="16"/>
      <c r="AC199" s="16"/>
      <c r="AD199" s="16"/>
    </row>
    <row r="200" ht="14.25" customHeight="1">
      <c r="A200" s="16"/>
      <c r="B200" s="16"/>
      <c r="C200" s="16"/>
      <c r="D200" s="16"/>
      <c r="E200" s="16"/>
      <c r="F200" s="16"/>
      <c r="G200" s="16"/>
      <c r="H200" s="16"/>
      <c r="I200" s="16"/>
      <c r="J200" s="16"/>
      <c r="K200" s="16"/>
      <c r="L200" s="13" t="s">
        <v>3194</v>
      </c>
      <c r="M200" s="16"/>
      <c r="N200" s="16"/>
      <c r="O200" s="16"/>
      <c r="P200" s="17"/>
      <c r="Q200" s="16"/>
      <c r="R200" s="16"/>
      <c r="S200" s="16"/>
      <c r="T200" s="16"/>
      <c r="U200" s="16"/>
      <c r="V200" s="16"/>
      <c r="W200" s="16"/>
      <c r="X200" s="16"/>
      <c r="Y200" s="16"/>
      <c r="Z200" s="16"/>
      <c r="AA200" s="16"/>
      <c r="AB200" s="16"/>
      <c r="AC200" s="16"/>
      <c r="AD200" s="16"/>
    </row>
    <row r="201" ht="14.25" customHeight="1">
      <c r="A201" s="16"/>
      <c r="B201" s="16"/>
      <c r="C201" s="16"/>
      <c r="D201" s="16"/>
      <c r="E201" s="16"/>
      <c r="F201" s="16"/>
      <c r="G201" s="16"/>
      <c r="H201" s="16"/>
      <c r="I201" s="16"/>
      <c r="J201" s="16"/>
      <c r="K201" s="16"/>
      <c r="L201" s="13" t="s">
        <v>4754</v>
      </c>
      <c r="M201" s="16"/>
      <c r="N201" s="16"/>
      <c r="O201" s="16"/>
      <c r="P201" s="17"/>
      <c r="Q201" s="16"/>
      <c r="R201" s="16"/>
      <c r="S201" s="16"/>
      <c r="T201" s="16"/>
      <c r="U201" s="16"/>
      <c r="V201" s="16"/>
      <c r="W201" s="16"/>
      <c r="X201" s="16"/>
      <c r="Y201" s="16"/>
      <c r="Z201" s="16"/>
      <c r="AA201" s="16"/>
      <c r="AB201" s="16"/>
      <c r="AC201" s="16"/>
      <c r="AD201" s="16"/>
    </row>
    <row r="202" ht="14.25" customHeight="1">
      <c r="A202" s="16"/>
      <c r="B202" s="16"/>
      <c r="C202" s="16"/>
      <c r="D202" s="16"/>
      <c r="E202" s="16"/>
      <c r="F202" s="16"/>
      <c r="G202" s="16"/>
      <c r="H202" s="16"/>
      <c r="I202" s="16"/>
      <c r="J202" s="16"/>
      <c r="K202" s="16"/>
      <c r="L202" s="13" t="s">
        <v>3423</v>
      </c>
      <c r="M202" s="16"/>
      <c r="N202" s="16"/>
      <c r="O202" s="16"/>
      <c r="P202" s="17"/>
      <c r="Q202" s="16"/>
      <c r="R202" s="16"/>
      <c r="S202" s="16"/>
      <c r="T202" s="16"/>
      <c r="U202" s="16"/>
      <c r="V202" s="16"/>
      <c r="W202" s="16"/>
      <c r="X202" s="16"/>
      <c r="Y202" s="16"/>
      <c r="Z202" s="16"/>
      <c r="AA202" s="16"/>
      <c r="AB202" s="16"/>
      <c r="AC202" s="16"/>
      <c r="AD202" s="16"/>
    </row>
    <row r="203" ht="14.25" customHeight="1">
      <c r="A203" s="16"/>
      <c r="B203" s="16"/>
      <c r="C203" s="16"/>
      <c r="D203" s="16"/>
      <c r="E203" s="16"/>
      <c r="F203" s="16"/>
      <c r="G203" s="16"/>
      <c r="H203" s="16"/>
      <c r="I203" s="16"/>
      <c r="J203" s="16"/>
      <c r="K203" s="16"/>
      <c r="L203" s="13" t="s">
        <v>4072</v>
      </c>
      <c r="M203" s="16"/>
      <c r="N203" s="16"/>
      <c r="O203" s="16"/>
      <c r="P203" s="17"/>
      <c r="Q203" s="16"/>
      <c r="R203" s="16"/>
      <c r="S203" s="16"/>
      <c r="T203" s="16"/>
      <c r="U203" s="16"/>
      <c r="V203" s="16"/>
      <c r="W203" s="16"/>
      <c r="X203" s="16"/>
      <c r="Y203" s="16"/>
      <c r="Z203" s="16"/>
      <c r="AA203" s="16"/>
      <c r="AB203" s="16"/>
      <c r="AC203" s="16"/>
      <c r="AD203" s="16"/>
    </row>
    <row r="204" ht="14.25" customHeight="1">
      <c r="A204" s="16"/>
      <c r="B204" s="16"/>
      <c r="C204" s="16"/>
      <c r="D204" s="16"/>
      <c r="E204" s="16"/>
      <c r="F204" s="16"/>
      <c r="G204" s="16"/>
      <c r="H204" s="16"/>
      <c r="I204" s="16"/>
      <c r="J204" s="16"/>
      <c r="K204" s="16"/>
      <c r="L204" s="13" t="s">
        <v>3390</v>
      </c>
      <c r="M204" s="16"/>
      <c r="N204" s="16"/>
      <c r="O204" s="16"/>
      <c r="P204" s="17"/>
      <c r="Q204" s="16"/>
      <c r="R204" s="16"/>
      <c r="S204" s="16"/>
      <c r="T204" s="16"/>
      <c r="U204" s="16"/>
      <c r="V204" s="16"/>
      <c r="W204" s="16"/>
      <c r="X204" s="16"/>
      <c r="Y204" s="16"/>
      <c r="Z204" s="16"/>
      <c r="AA204" s="16"/>
      <c r="AB204" s="16"/>
      <c r="AC204" s="16"/>
      <c r="AD204" s="16"/>
    </row>
    <row r="205" ht="14.25" customHeight="1">
      <c r="A205" s="16"/>
      <c r="B205" s="16"/>
      <c r="C205" s="16"/>
      <c r="D205" s="16"/>
      <c r="E205" s="16"/>
      <c r="F205" s="16"/>
      <c r="G205" s="16"/>
      <c r="H205" s="16"/>
      <c r="I205" s="16"/>
      <c r="J205" s="16"/>
      <c r="K205" s="16"/>
      <c r="L205" s="13" t="s">
        <v>4755</v>
      </c>
      <c r="M205" s="16"/>
      <c r="N205" s="16"/>
      <c r="O205" s="16"/>
      <c r="P205" s="17"/>
      <c r="Q205" s="16"/>
      <c r="R205" s="16"/>
      <c r="S205" s="16"/>
      <c r="T205" s="16"/>
      <c r="U205" s="16"/>
      <c r="V205" s="16"/>
      <c r="W205" s="16"/>
      <c r="X205" s="16"/>
      <c r="Y205" s="16"/>
      <c r="Z205" s="16"/>
      <c r="AA205" s="16"/>
      <c r="AB205" s="16"/>
      <c r="AC205" s="16"/>
      <c r="AD205" s="16"/>
    </row>
    <row r="206" ht="14.25" customHeight="1">
      <c r="A206" s="16"/>
      <c r="B206" s="16"/>
      <c r="C206" s="16"/>
      <c r="D206" s="16"/>
      <c r="E206" s="16"/>
      <c r="F206" s="16"/>
      <c r="G206" s="16"/>
      <c r="H206" s="16"/>
      <c r="I206" s="16"/>
      <c r="J206" s="16"/>
      <c r="K206" s="16"/>
      <c r="L206" s="13" t="s">
        <v>4756</v>
      </c>
      <c r="M206" s="16"/>
      <c r="N206" s="16"/>
      <c r="O206" s="16"/>
      <c r="P206" s="17"/>
      <c r="Q206" s="16"/>
      <c r="R206" s="16"/>
      <c r="S206" s="16"/>
      <c r="T206" s="16"/>
      <c r="U206" s="16"/>
      <c r="V206" s="16"/>
      <c r="W206" s="16"/>
      <c r="X206" s="16"/>
      <c r="Y206" s="16"/>
      <c r="Z206" s="16"/>
      <c r="AA206" s="16"/>
      <c r="AB206" s="16"/>
      <c r="AC206" s="16"/>
      <c r="AD206" s="16"/>
    </row>
    <row r="207" ht="14.25" customHeight="1">
      <c r="A207" s="16"/>
      <c r="B207" s="16"/>
      <c r="C207" s="16"/>
      <c r="D207" s="16"/>
      <c r="E207" s="16"/>
      <c r="F207" s="16"/>
      <c r="G207" s="16"/>
      <c r="H207" s="16"/>
      <c r="I207" s="16"/>
      <c r="J207" s="16"/>
      <c r="K207" s="16"/>
      <c r="L207" s="13" t="s">
        <v>4757</v>
      </c>
      <c r="M207" s="16"/>
      <c r="N207" s="16"/>
      <c r="O207" s="16"/>
      <c r="P207" s="17"/>
      <c r="Q207" s="16"/>
      <c r="R207" s="16"/>
      <c r="S207" s="16"/>
      <c r="T207" s="16"/>
      <c r="U207" s="16"/>
      <c r="V207" s="16"/>
      <c r="W207" s="16"/>
      <c r="X207" s="16"/>
      <c r="Y207" s="16"/>
      <c r="Z207" s="16"/>
      <c r="AA207" s="16"/>
      <c r="AB207" s="16"/>
      <c r="AC207" s="16"/>
      <c r="AD207" s="16"/>
    </row>
    <row r="208" ht="14.25" customHeight="1">
      <c r="A208" s="16"/>
      <c r="B208" s="16"/>
      <c r="C208" s="16"/>
      <c r="D208" s="16"/>
      <c r="E208" s="16"/>
      <c r="F208" s="16"/>
      <c r="G208" s="16"/>
      <c r="H208" s="16"/>
      <c r="I208" s="16"/>
      <c r="J208" s="16"/>
      <c r="K208" s="16"/>
      <c r="L208" s="13" t="s">
        <v>3378</v>
      </c>
      <c r="M208" s="16"/>
      <c r="N208" s="16"/>
      <c r="O208" s="16"/>
      <c r="P208" s="17"/>
      <c r="Q208" s="16"/>
      <c r="R208" s="16"/>
      <c r="S208" s="16"/>
      <c r="T208" s="16"/>
      <c r="U208" s="16"/>
      <c r="V208" s="16"/>
      <c r="W208" s="16"/>
      <c r="X208" s="16"/>
      <c r="Y208" s="16"/>
      <c r="Z208" s="16"/>
      <c r="AA208" s="16"/>
      <c r="AB208" s="16"/>
      <c r="AC208" s="16"/>
      <c r="AD208" s="16"/>
    </row>
    <row r="209" ht="14.25" customHeight="1">
      <c r="A209" s="16"/>
      <c r="B209" s="16"/>
      <c r="C209" s="16"/>
      <c r="D209" s="16"/>
      <c r="E209" s="16"/>
      <c r="F209" s="16"/>
      <c r="G209" s="16"/>
      <c r="H209" s="16"/>
      <c r="I209" s="16"/>
      <c r="J209" s="16"/>
      <c r="K209" s="16"/>
      <c r="L209" s="13" t="s">
        <v>4758</v>
      </c>
      <c r="M209" s="16"/>
      <c r="N209" s="16"/>
      <c r="O209" s="16"/>
      <c r="P209" s="17"/>
      <c r="Q209" s="16"/>
      <c r="R209" s="16"/>
      <c r="S209" s="16"/>
      <c r="T209" s="16"/>
      <c r="U209" s="16"/>
      <c r="V209" s="16"/>
      <c r="W209" s="16"/>
      <c r="X209" s="16"/>
      <c r="Y209" s="16"/>
      <c r="Z209" s="16"/>
      <c r="AA209" s="16"/>
      <c r="AB209" s="16"/>
      <c r="AC209" s="16"/>
      <c r="AD209" s="16"/>
    </row>
    <row r="210" ht="14.25" customHeight="1">
      <c r="A210" s="16"/>
      <c r="B210" s="16"/>
      <c r="C210" s="16"/>
      <c r="D210" s="16"/>
      <c r="E210" s="16"/>
      <c r="F210" s="16"/>
      <c r="G210" s="16"/>
      <c r="H210" s="16"/>
      <c r="I210" s="16"/>
      <c r="J210" s="16"/>
      <c r="K210" s="16"/>
      <c r="L210" s="13" t="s">
        <v>4759</v>
      </c>
      <c r="M210" s="16"/>
      <c r="N210" s="16"/>
      <c r="O210" s="16"/>
      <c r="P210" s="17"/>
      <c r="Q210" s="16"/>
      <c r="R210" s="16"/>
      <c r="S210" s="16"/>
      <c r="T210" s="16"/>
      <c r="U210" s="16"/>
      <c r="V210" s="16"/>
      <c r="W210" s="16"/>
      <c r="X210" s="16"/>
      <c r="Y210" s="16"/>
      <c r="Z210" s="16"/>
      <c r="AA210" s="16"/>
      <c r="AB210" s="16"/>
      <c r="AC210" s="16"/>
      <c r="AD210" s="16"/>
    </row>
    <row r="211" ht="14.25" customHeight="1">
      <c r="A211" s="16"/>
      <c r="B211" s="16"/>
      <c r="C211" s="16"/>
      <c r="D211" s="16"/>
      <c r="E211" s="16"/>
      <c r="F211" s="16"/>
      <c r="G211" s="16"/>
      <c r="H211" s="16"/>
      <c r="I211" s="16"/>
      <c r="J211" s="16"/>
      <c r="K211" s="16"/>
      <c r="L211" s="13" t="s">
        <v>4760</v>
      </c>
      <c r="M211" s="16"/>
      <c r="N211" s="16"/>
      <c r="O211" s="16"/>
      <c r="P211" s="17"/>
      <c r="Q211" s="16"/>
      <c r="R211" s="16"/>
      <c r="S211" s="16"/>
      <c r="T211" s="16"/>
      <c r="U211" s="16"/>
      <c r="V211" s="16"/>
      <c r="W211" s="16"/>
      <c r="X211" s="16"/>
      <c r="Y211" s="16"/>
      <c r="Z211" s="16"/>
      <c r="AA211" s="16"/>
      <c r="AB211" s="16"/>
      <c r="AC211" s="16"/>
      <c r="AD211" s="16"/>
    </row>
    <row r="212" ht="14.25" customHeight="1">
      <c r="A212" s="16"/>
      <c r="B212" s="16"/>
      <c r="C212" s="16"/>
      <c r="D212" s="16"/>
      <c r="E212" s="16"/>
      <c r="F212" s="16"/>
      <c r="G212" s="16"/>
      <c r="H212" s="16"/>
      <c r="I212" s="16"/>
      <c r="J212" s="16"/>
      <c r="K212" s="16"/>
      <c r="L212" s="13" t="s">
        <v>4761</v>
      </c>
      <c r="M212" s="16"/>
      <c r="N212" s="16"/>
      <c r="O212" s="16"/>
      <c r="P212" s="17"/>
      <c r="Q212" s="16"/>
      <c r="R212" s="16"/>
      <c r="S212" s="16"/>
      <c r="T212" s="16"/>
      <c r="U212" s="16"/>
      <c r="V212" s="16"/>
      <c r="W212" s="16"/>
      <c r="X212" s="16"/>
      <c r="Y212" s="16"/>
      <c r="Z212" s="16"/>
      <c r="AA212" s="16"/>
      <c r="AB212" s="16"/>
      <c r="AC212" s="16"/>
      <c r="AD212" s="16"/>
    </row>
    <row r="213" ht="14.25" customHeight="1">
      <c r="A213" s="16"/>
      <c r="B213" s="16"/>
      <c r="C213" s="16"/>
      <c r="D213" s="16"/>
      <c r="E213" s="16"/>
      <c r="F213" s="16"/>
      <c r="G213" s="16"/>
      <c r="H213" s="16"/>
      <c r="I213" s="16"/>
      <c r="J213" s="16"/>
      <c r="K213" s="16"/>
      <c r="L213" s="13" t="s">
        <v>4762</v>
      </c>
      <c r="M213" s="16"/>
      <c r="N213" s="16"/>
      <c r="O213" s="16"/>
      <c r="P213" s="17"/>
      <c r="Q213" s="16"/>
      <c r="R213" s="16"/>
      <c r="S213" s="16"/>
      <c r="T213" s="16"/>
      <c r="U213" s="16"/>
      <c r="V213" s="16"/>
      <c r="W213" s="16"/>
      <c r="X213" s="16"/>
      <c r="Y213" s="16"/>
      <c r="Z213" s="16"/>
      <c r="AA213" s="16"/>
      <c r="AB213" s="16"/>
      <c r="AC213" s="16"/>
      <c r="AD213" s="16"/>
    </row>
    <row r="214" ht="14.25" customHeight="1">
      <c r="A214" s="16"/>
      <c r="B214" s="16"/>
      <c r="C214" s="16"/>
      <c r="D214" s="16"/>
      <c r="E214" s="16"/>
      <c r="F214" s="16"/>
      <c r="G214" s="16"/>
      <c r="H214" s="16"/>
      <c r="I214" s="16"/>
      <c r="J214" s="16"/>
      <c r="K214" s="16"/>
      <c r="L214" s="13" t="s">
        <v>4763</v>
      </c>
      <c r="M214" s="16"/>
      <c r="N214" s="16"/>
      <c r="O214" s="16"/>
      <c r="P214" s="17"/>
      <c r="Q214" s="16"/>
      <c r="R214" s="16"/>
      <c r="S214" s="16"/>
      <c r="T214" s="16"/>
      <c r="U214" s="16"/>
      <c r="V214" s="16"/>
      <c r="W214" s="16"/>
      <c r="X214" s="16"/>
      <c r="Y214" s="16"/>
      <c r="Z214" s="16"/>
      <c r="AA214" s="16"/>
      <c r="AB214" s="16"/>
      <c r="AC214" s="16"/>
      <c r="AD214" s="16"/>
    </row>
    <row r="215" ht="14.25" customHeight="1">
      <c r="A215" s="16"/>
      <c r="B215" s="16"/>
      <c r="C215" s="16"/>
      <c r="D215" s="16"/>
      <c r="E215" s="16"/>
      <c r="F215" s="16"/>
      <c r="G215" s="16"/>
      <c r="H215" s="16"/>
      <c r="I215" s="16"/>
      <c r="J215" s="16"/>
      <c r="K215" s="16"/>
      <c r="L215" s="13" t="s">
        <v>4764</v>
      </c>
      <c r="M215" s="16"/>
      <c r="N215" s="16"/>
      <c r="O215" s="16"/>
      <c r="P215" s="17"/>
      <c r="Q215" s="16"/>
      <c r="R215" s="16"/>
      <c r="S215" s="16"/>
      <c r="T215" s="16"/>
      <c r="U215" s="16"/>
      <c r="V215" s="16"/>
      <c r="W215" s="16"/>
      <c r="X215" s="16"/>
      <c r="Y215" s="16"/>
      <c r="Z215" s="16"/>
      <c r="AA215" s="16"/>
      <c r="AB215" s="16"/>
      <c r="AC215" s="16"/>
      <c r="AD215" s="16"/>
    </row>
    <row r="216" ht="14.25" customHeight="1">
      <c r="A216" s="16"/>
      <c r="B216" s="16"/>
      <c r="C216" s="16"/>
      <c r="D216" s="16"/>
      <c r="E216" s="16"/>
      <c r="F216" s="16"/>
      <c r="G216" s="16"/>
      <c r="H216" s="16"/>
      <c r="I216" s="16"/>
      <c r="J216" s="16"/>
      <c r="K216" s="16"/>
      <c r="L216" s="13" t="s">
        <v>3199</v>
      </c>
      <c r="M216" s="16"/>
      <c r="N216" s="16"/>
      <c r="O216" s="16"/>
      <c r="P216" s="17"/>
      <c r="Q216" s="16"/>
      <c r="R216" s="16"/>
      <c r="S216" s="16"/>
      <c r="T216" s="16"/>
      <c r="U216" s="16"/>
      <c r="V216" s="16"/>
      <c r="W216" s="16"/>
      <c r="X216" s="16"/>
      <c r="Y216" s="16"/>
      <c r="Z216" s="16"/>
      <c r="AA216" s="16"/>
      <c r="AB216" s="16"/>
      <c r="AC216" s="16"/>
      <c r="AD216" s="16"/>
    </row>
    <row r="217" ht="14.25" customHeight="1">
      <c r="A217" s="16"/>
      <c r="B217" s="16"/>
      <c r="C217" s="16"/>
      <c r="D217" s="16"/>
      <c r="E217" s="16"/>
      <c r="F217" s="16"/>
      <c r="G217" s="16"/>
      <c r="H217" s="16"/>
      <c r="I217" s="16"/>
      <c r="J217" s="16"/>
      <c r="K217" s="16"/>
      <c r="L217" s="13" t="s">
        <v>4765</v>
      </c>
      <c r="M217" s="16"/>
      <c r="N217" s="16"/>
      <c r="O217" s="16"/>
      <c r="P217" s="17"/>
      <c r="Q217" s="16"/>
      <c r="R217" s="16"/>
      <c r="S217" s="16"/>
      <c r="T217" s="16"/>
      <c r="U217" s="16"/>
      <c r="V217" s="16"/>
      <c r="W217" s="16"/>
      <c r="X217" s="16"/>
      <c r="Y217" s="16"/>
      <c r="Z217" s="16"/>
      <c r="AA217" s="16"/>
      <c r="AB217" s="16"/>
      <c r="AC217" s="16"/>
      <c r="AD217" s="16"/>
    </row>
    <row r="218" ht="14.25" customHeight="1">
      <c r="A218" s="16"/>
      <c r="B218" s="16"/>
      <c r="C218" s="16"/>
      <c r="D218" s="16"/>
      <c r="E218" s="16"/>
      <c r="F218" s="16"/>
      <c r="G218" s="16"/>
      <c r="H218" s="16"/>
      <c r="I218" s="16"/>
      <c r="J218" s="16"/>
      <c r="K218" s="16"/>
      <c r="L218" s="13" t="s">
        <v>4766</v>
      </c>
      <c r="M218" s="16"/>
      <c r="N218" s="16"/>
      <c r="O218" s="16"/>
      <c r="P218" s="17"/>
      <c r="Q218" s="16"/>
      <c r="R218" s="16"/>
      <c r="S218" s="16"/>
      <c r="T218" s="16"/>
      <c r="U218" s="16"/>
      <c r="V218" s="16"/>
      <c r="W218" s="16"/>
      <c r="X218" s="16"/>
      <c r="Y218" s="16"/>
      <c r="Z218" s="16"/>
      <c r="AA218" s="16"/>
      <c r="AB218" s="16"/>
      <c r="AC218" s="16"/>
      <c r="AD218" s="16"/>
    </row>
    <row r="219" ht="14.25" customHeight="1">
      <c r="A219" s="16"/>
      <c r="B219" s="16"/>
      <c r="C219" s="16"/>
      <c r="D219" s="16"/>
      <c r="E219" s="16"/>
      <c r="F219" s="16"/>
      <c r="G219" s="16"/>
      <c r="H219" s="16"/>
      <c r="I219" s="16"/>
      <c r="J219" s="16"/>
      <c r="K219" s="16"/>
      <c r="L219" s="13" t="s">
        <v>3602</v>
      </c>
      <c r="M219" s="16"/>
      <c r="N219" s="16"/>
      <c r="O219" s="16"/>
      <c r="P219" s="17"/>
      <c r="Q219" s="16"/>
      <c r="R219" s="16"/>
      <c r="S219" s="16"/>
      <c r="T219" s="16"/>
      <c r="U219" s="16"/>
      <c r="V219" s="16"/>
      <c r="W219" s="16"/>
      <c r="X219" s="16"/>
      <c r="Y219" s="16"/>
      <c r="Z219" s="16"/>
      <c r="AA219" s="16"/>
      <c r="AB219" s="16"/>
      <c r="AC219" s="16"/>
      <c r="AD219" s="16"/>
    </row>
    <row r="220" ht="14.25" customHeight="1">
      <c r="A220" s="16"/>
      <c r="B220" s="16"/>
      <c r="C220" s="16"/>
      <c r="D220" s="16"/>
      <c r="E220" s="16"/>
      <c r="F220" s="16"/>
      <c r="G220" s="16"/>
      <c r="H220" s="16"/>
      <c r="I220" s="16"/>
      <c r="J220" s="16"/>
      <c r="K220" s="16"/>
      <c r="L220" s="13" t="s">
        <v>4767</v>
      </c>
      <c r="M220" s="16"/>
      <c r="N220" s="16"/>
      <c r="O220" s="16"/>
      <c r="P220" s="17"/>
      <c r="Q220" s="16"/>
      <c r="R220" s="16"/>
      <c r="S220" s="16"/>
      <c r="T220" s="16"/>
      <c r="U220" s="16"/>
      <c r="V220" s="16"/>
      <c r="W220" s="16"/>
      <c r="X220" s="16"/>
      <c r="Y220" s="16"/>
      <c r="Z220" s="16"/>
      <c r="AA220" s="16"/>
      <c r="AB220" s="16"/>
      <c r="AC220" s="16"/>
      <c r="AD220" s="16"/>
    </row>
    <row r="221" ht="14.25" customHeight="1">
      <c r="A221" s="16"/>
      <c r="B221" s="16"/>
      <c r="C221" s="16"/>
      <c r="D221" s="16"/>
      <c r="E221" s="16"/>
      <c r="F221" s="16"/>
      <c r="G221" s="16"/>
      <c r="H221" s="16"/>
      <c r="I221" s="16"/>
      <c r="J221" s="16"/>
      <c r="K221" s="16"/>
      <c r="L221" s="13" t="s">
        <v>3791</v>
      </c>
      <c r="M221" s="16"/>
      <c r="N221" s="16"/>
      <c r="O221" s="16"/>
      <c r="P221" s="17"/>
      <c r="Q221" s="16"/>
      <c r="R221" s="16"/>
      <c r="S221" s="16"/>
      <c r="T221" s="16"/>
      <c r="U221" s="16"/>
      <c r="V221" s="16"/>
      <c r="W221" s="16"/>
      <c r="X221" s="16"/>
      <c r="Y221" s="16"/>
      <c r="Z221" s="16"/>
      <c r="AA221" s="16"/>
      <c r="AB221" s="16"/>
      <c r="AC221" s="16"/>
      <c r="AD221" s="16"/>
    </row>
    <row r="222" ht="14.25" customHeight="1">
      <c r="A222" s="16"/>
      <c r="B222" s="16"/>
      <c r="C222" s="16"/>
      <c r="D222" s="16"/>
      <c r="E222" s="16"/>
      <c r="F222" s="16"/>
      <c r="G222" s="16"/>
      <c r="H222" s="16"/>
      <c r="I222" s="16"/>
      <c r="J222" s="16"/>
      <c r="K222" s="16"/>
      <c r="L222" s="13" t="s">
        <v>4768</v>
      </c>
      <c r="M222" s="16"/>
      <c r="N222" s="16"/>
      <c r="O222" s="16"/>
      <c r="P222" s="17"/>
      <c r="Q222" s="16"/>
      <c r="R222" s="16"/>
      <c r="S222" s="16"/>
      <c r="T222" s="16"/>
      <c r="U222" s="16"/>
      <c r="V222" s="16"/>
      <c r="W222" s="16"/>
      <c r="X222" s="16"/>
      <c r="Y222" s="16"/>
      <c r="Z222" s="16"/>
      <c r="AA222" s="16"/>
      <c r="AB222" s="16"/>
      <c r="AC222" s="16"/>
      <c r="AD222" s="16"/>
    </row>
    <row r="223" ht="14.25" customHeight="1">
      <c r="A223" s="16"/>
      <c r="B223" s="16"/>
      <c r="C223" s="16"/>
      <c r="D223" s="16"/>
      <c r="E223" s="16"/>
      <c r="F223" s="16"/>
      <c r="G223" s="16"/>
      <c r="H223" s="16"/>
      <c r="I223" s="16"/>
      <c r="J223" s="16"/>
      <c r="K223" s="16"/>
      <c r="L223" s="13" t="s">
        <v>4769</v>
      </c>
      <c r="M223" s="16"/>
      <c r="N223" s="16"/>
      <c r="O223" s="16"/>
      <c r="P223" s="17"/>
      <c r="Q223" s="16"/>
      <c r="R223" s="16"/>
      <c r="S223" s="16"/>
      <c r="T223" s="16"/>
      <c r="U223" s="16"/>
      <c r="V223" s="16"/>
      <c r="W223" s="16"/>
      <c r="X223" s="16"/>
      <c r="Y223" s="16"/>
      <c r="Z223" s="16"/>
      <c r="AA223" s="16"/>
      <c r="AB223" s="16"/>
      <c r="AC223" s="16"/>
      <c r="AD223" s="16"/>
    </row>
    <row r="224" ht="14.25" customHeight="1">
      <c r="A224" s="16"/>
      <c r="B224" s="16"/>
      <c r="C224" s="16"/>
      <c r="D224" s="16"/>
      <c r="E224" s="16"/>
      <c r="F224" s="16"/>
      <c r="G224" s="16"/>
      <c r="H224" s="16"/>
      <c r="I224" s="16"/>
      <c r="J224" s="16"/>
      <c r="K224" s="16"/>
      <c r="L224" s="13" t="s">
        <v>3410</v>
      </c>
      <c r="M224" s="16"/>
      <c r="N224" s="16"/>
      <c r="O224" s="16"/>
      <c r="P224" s="17"/>
      <c r="Q224" s="16"/>
      <c r="R224" s="16"/>
      <c r="S224" s="16"/>
      <c r="T224" s="16"/>
      <c r="U224" s="16"/>
      <c r="V224" s="16"/>
      <c r="W224" s="16"/>
      <c r="X224" s="16"/>
      <c r="Y224" s="16"/>
      <c r="Z224" s="16"/>
      <c r="AA224" s="16"/>
      <c r="AB224" s="16"/>
      <c r="AC224" s="16"/>
      <c r="AD224" s="16"/>
    </row>
    <row r="225" ht="14.25" customHeight="1">
      <c r="A225" s="16"/>
      <c r="B225" s="16"/>
      <c r="C225" s="16"/>
      <c r="D225" s="16"/>
      <c r="E225" s="16"/>
      <c r="F225" s="16"/>
      <c r="G225" s="16"/>
      <c r="H225" s="16"/>
      <c r="I225" s="16"/>
      <c r="J225" s="16"/>
      <c r="K225" s="16"/>
      <c r="L225" s="13" t="s">
        <v>4770</v>
      </c>
      <c r="M225" s="16"/>
      <c r="N225" s="16"/>
      <c r="O225" s="16"/>
      <c r="P225" s="17"/>
      <c r="Q225" s="16"/>
      <c r="R225" s="16"/>
      <c r="S225" s="16"/>
      <c r="T225" s="16"/>
      <c r="U225" s="16"/>
      <c r="V225" s="16"/>
      <c r="W225" s="16"/>
      <c r="X225" s="16"/>
      <c r="Y225" s="16"/>
      <c r="Z225" s="16"/>
      <c r="AA225" s="16"/>
      <c r="AB225" s="16"/>
      <c r="AC225" s="16"/>
      <c r="AD225" s="16"/>
    </row>
    <row r="226" ht="14.25" customHeight="1">
      <c r="A226" s="16"/>
      <c r="B226" s="16"/>
      <c r="C226" s="16"/>
      <c r="D226" s="16"/>
      <c r="E226" s="16"/>
      <c r="F226" s="16"/>
      <c r="G226" s="16"/>
      <c r="H226" s="16"/>
      <c r="I226" s="16"/>
      <c r="J226" s="16"/>
      <c r="K226" s="16"/>
      <c r="L226" s="13" t="s">
        <v>4771</v>
      </c>
      <c r="M226" s="16"/>
      <c r="N226" s="16"/>
      <c r="O226" s="16"/>
      <c r="P226" s="17"/>
      <c r="Q226" s="16"/>
      <c r="R226" s="16"/>
      <c r="S226" s="16"/>
      <c r="T226" s="16"/>
      <c r="U226" s="16"/>
      <c r="V226" s="16"/>
      <c r="W226" s="16"/>
      <c r="X226" s="16"/>
      <c r="Y226" s="16"/>
      <c r="Z226" s="16"/>
      <c r="AA226" s="16"/>
      <c r="AB226" s="16"/>
      <c r="AC226" s="16"/>
      <c r="AD226" s="16"/>
    </row>
    <row r="227" ht="14.25" customHeight="1">
      <c r="A227" s="16"/>
      <c r="B227" s="16"/>
      <c r="C227" s="16"/>
      <c r="D227" s="16"/>
      <c r="E227" s="16"/>
      <c r="F227" s="16"/>
      <c r="G227" s="16"/>
      <c r="H227" s="16"/>
      <c r="I227" s="16"/>
      <c r="J227" s="16"/>
      <c r="K227" s="16"/>
      <c r="L227" s="13" t="s">
        <v>3402</v>
      </c>
      <c r="M227" s="16"/>
      <c r="N227" s="16"/>
      <c r="O227" s="16"/>
      <c r="P227" s="17"/>
      <c r="Q227" s="16"/>
      <c r="R227" s="16"/>
      <c r="S227" s="16"/>
      <c r="T227" s="16"/>
      <c r="U227" s="16"/>
      <c r="V227" s="16"/>
      <c r="W227" s="16"/>
      <c r="X227" s="16"/>
      <c r="Y227" s="16"/>
      <c r="Z227" s="16"/>
      <c r="AA227" s="16"/>
      <c r="AB227" s="16"/>
      <c r="AC227" s="16"/>
      <c r="AD227" s="16"/>
    </row>
    <row r="228" ht="14.25" customHeight="1">
      <c r="A228" s="16"/>
      <c r="B228" s="16"/>
      <c r="C228" s="16"/>
      <c r="D228" s="16"/>
      <c r="E228" s="16"/>
      <c r="F228" s="16"/>
      <c r="G228" s="16"/>
      <c r="H228" s="16"/>
      <c r="I228" s="16"/>
      <c r="J228" s="16"/>
      <c r="K228" s="16"/>
      <c r="L228" s="13" t="s">
        <v>4772</v>
      </c>
      <c r="M228" s="16"/>
      <c r="N228" s="16"/>
      <c r="O228" s="16"/>
      <c r="P228" s="17"/>
      <c r="Q228" s="16"/>
      <c r="R228" s="16"/>
      <c r="S228" s="16"/>
      <c r="T228" s="16"/>
      <c r="U228" s="16"/>
      <c r="V228" s="16"/>
      <c r="W228" s="16"/>
      <c r="X228" s="16"/>
      <c r="Y228" s="16"/>
      <c r="Z228" s="16"/>
      <c r="AA228" s="16"/>
      <c r="AB228" s="16"/>
      <c r="AC228" s="16"/>
      <c r="AD228" s="16"/>
    </row>
    <row r="229" ht="14.25" customHeight="1">
      <c r="A229" s="16"/>
      <c r="B229" s="16"/>
      <c r="C229" s="16"/>
      <c r="D229" s="16"/>
      <c r="E229" s="16"/>
      <c r="F229" s="16"/>
      <c r="G229" s="16"/>
      <c r="H229" s="16"/>
      <c r="I229" s="16"/>
      <c r="J229" s="16"/>
      <c r="K229" s="16"/>
      <c r="L229" s="13" t="s">
        <v>4773</v>
      </c>
      <c r="M229" s="16"/>
      <c r="N229" s="16"/>
      <c r="O229" s="16"/>
      <c r="P229" s="17"/>
      <c r="Q229" s="16"/>
      <c r="R229" s="16"/>
      <c r="S229" s="16"/>
      <c r="T229" s="16"/>
      <c r="U229" s="16"/>
      <c r="V229" s="16"/>
      <c r="W229" s="16"/>
      <c r="X229" s="16"/>
      <c r="Y229" s="16"/>
      <c r="Z229" s="16"/>
      <c r="AA229" s="16"/>
      <c r="AB229" s="16"/>
      <c r="AC229" s="16"/>
      <c r="AD229" s="16"/>
    </row>
    <row r="230" ht="14.25" customHeight="1">
      <c r="A230" s="16"/>
      <c r="B230" s="16"/>
      <c r="C230" s="16"/>
      <c r="D230" s="16"/>
      <c r="E230" s="16"/>
      <c r="F230" s="16"/>
      <c r="G230" s="16"/>
      <c r="H230" s="16"/>
      <c r="I230" s="16"/>
      <c r="J230" s="16"/>
      <c r="K230" s="16"/>
      <c r="L230" s="13" t="s">
        <v>4774</v>
      </c>
      <c r="M230" s="16"/>
      <c r="N230" s="16"/>
      <c r="O230" s="16"/>
      <c r="P230" s="17"/>
      <c r="Q230" s="16"/>
      <c r="R230" s="16"/>
      <c r="S230" s="16"/>
      <c r="T230" s="16"/>
      <c r="U230" s="16"/>
      <c r="V230" s="16"/>
      <c r="W230" s="16"/>
      <c r="X230" s="16"/>
      <c r="Y230" s="16"/>
      <c r="Z230" s="16"/>
      <c r="AA230" s="16"/>
      <c r="AB230" s="16"/>
      <c r="AC230" s="16"/>
      <c r="AD230" s="16"/>
    </row>
    <row r="231" ht="14.25" customHeight="1">
      <c r="A231" s="16"/>
      <c r="B231" s="16"/>
      <c r="C231" s="16"/>
      <c r="D231" s="16"/>
      <c r="E231" s="16"/>
      <c r="F231" s="16"/>
      <c r="G231" s="16"/>
      <c r="H231" s="16"/>
      <c r="I231" s="16"/>
      <c r="J231" s="16"/>
      <c r="K231" s="16"/>
      <c r="L231" s="13" t="s">
        <v>4775</v>
      </c>
      <c r="M231" s="16"/>
      <c r="N231" s="16"/>
      <c r="O231" s="16"/>
      <c r="P231" s="17"/>
      <c r="Q231" s="16"/>
      <c r="R231" s="16"/>
      <c r="S231" s="16"/>
      <c r="T231" s="16"/>
      <c r="U231" s="16"/>
      <c r="V231" s="16"/>
      <c r="W231" s="16"/>
      <c r="X231" s="16"/>
      <c r="Y231" s="16"/>
      <c r="Z231" s="16"/>
      <c r="AA231" s="16"/>
      <c r="AB231" s="16"/>
      <c r="AC231" s="16"/>
      <c r="AD231" s="16"/>
    </row>
    <row r="232" ht="14.25" customHeight="1">
      <c r="A232" s="16"/>
      <c r="B232" s="16"/>
      <c r="C232" s="16"/>
      <c r="D232" s="16"/>
      <c r="E232" s="16"/>
      <c r="F232" s="16"/>
      <c r="G232" s="16"/>
      <c r="H232" s="16"/>
      <c r="I232" s="16"/>
      <c r="J232" s="16"/>
      <c r="K232" s="16"/>
      <c r="L232" s="13" t="s">
        <v>3603</v>
      </c>
      <c r="M232" s="16"/>
      <c r="N232" s="16"/>
      <c r="O232" s="16"/>
      <c r="P232" s="17"/>
      <c r="Q232" s="16"/>
      <c r="R232" s="16"/>
      <c r="S232" s="16"/>
      <c r="T232" s="16"/>
      <c r="U232" s="16"/>
      <c r="V232" s="16"/>
      <c r="W232" s="16"/>
      <c r="X232" s="16"/>
      <c r="Y232" s="16"/>
      <c r="Z232" s="16"/>
      <c r="AA232" s="16"/>
      <c r="AB232" s="16"/>
      <c r="AC232" s="16"/>
      <c r="AD232" s="16"/>
    </row>
    <row r="233" ht="14.25" customHeight="1">
      <c r="A233" s="16"/>
      <c r="B233" s="16"/>
      <c r="C233" s="16"/>
      <c r="D233" s="16"/>
      <c r="E233" s="16"/>
      <c r="F233" s="16"/>
      <c r="G233" s="16"/>
      <c r="H233" s="16"/>
      <c r="I233" s="16"/>
      <c r="J233" s="16"/>
      <c r="K233" s="16"/>
      <c r="L233" s="13" t="s">
        <v>4776</v>
      </c>
      <c r="M233" s="16"/>
      <c r="N233" s="16"/>
      <c r="O233" s="16"/>
      <c r="P233" s="17"/>
      <c r="Q233" s="16"/>
      <c r="R233" s="16"/>
      <c r="S233" s="16"/>
      <c r="T233" s="16"/>
      <c r="U233" s="16"/>
      <c r="V233" s="16"/>
      <c r="W233" s="16"/>
      <c r="X233" s="16"/>
      <c r="Y233" s="16"/>
      <c r="Z233" s="16"/>
      <c r="AA233" s="16"/>
      <c r="AB233" s="16"/>
      <c r="AC233" s="16"/>
      <c r="AD233" s="16"/>
    </row>
    <row r="234" ht="14.25" customHeight="1">
      <c r="A234" s="16"/>
      <c r="B234" s="16"/>
      <c r="C234" s="16"/>
      <c r="D234" s="16"/>
      <c r="E234" s="16"/>
      <c r="F234" s="16"/>
      <c r="G234" s="16"/>
      <c r="H234" s="16"/>
      <c r="I234" s="16"/>
      <c r="J234" s="16"/>
      <c r="K234" s="16"/>
      <c r="L234" s="13" t="s">
        <v>3364</v>
      </c>
      <c r="M234" s="16"/>
      <c r="N234" s="16"/>
      <c r="O234" s="16"/>
      <c r="P234" s="17"/>
      <c r="Q234" s="16"/>
      <c r="R234" s="16"/>
      <c r="S234" s="16"/>
      <c r="T234" s="16"/>
      <c r="U234" s="16"/>
      <c r="V234" s="16"/>
      <c r="W234" s="16"/>
      <c r="X234" s="16"/>
      <c r="Y234" s="16"/>
      <c r="Z234" s="16"/>
      <c r="AA234" s="16"/>
      <c r="AB234" s="16"/>
      <c r="AC234" s="16"/>
      <c r="AD234" s="16"/>
    </row>
    <row r="235" ht="14.25" customHeight="1">
      <c r="A235" s="16"/>
      <c r="B235" s="16"/>
      <c r="C235" s="16"/>
      <c r="D235" s="16"/>
      <c r="E235" s="16"/>
      <c r="F235" s="16"/>
      <c r="G235" s="16"/>
      <c r="H235" s="16"/>
      <c r="I235" s="16"/>
      <c r="J235" s="16"/>
      <c r="K235" s="16"/>
      <c r="L235" s="13" t="s">
        <v>3404</v>
      </c>
      <c r="M235" s="16"/>
      <c r="N235" s="16"/>
      <c r="O235" s="16"/>
      <c r="P235" s="17"/>
      <c r="Q235" s="16"/>
      <c r="R235" s="16"/>
      <c r="S235" s="16"/>
      <c r="T235" s="16"/>
      <c r="U235" s="16"/>
      <c r="V235" s="16"/>
      <c r="W235" s="16"/>
      <c r="X235" s="16"/>
      <c r="Y235" s="16"/>
      <c r="Z235" s="16"/>
      <c r="AA235" s="16"/>
      <c r="AB235" s="16"/>
      <c r="AC235" s="16"/>
      <c r="AD235" s="16"/>
    </row>
    <row r="236" ht="14.25" customHeight="1">
      <c r="A236" s="16"/>
      <c r="B236" s="16"/>
      <c r="C236" s="16"/>
      <c r="D236" s="16"/>
      <c r="E236" s="16"/>
      <c r="F236" s="16"/>
      <c r="G236" s="16"/>
      <c r="H236" s="16"/>
      <c r="I236" s="16"/>
      <c r="J236" s="16"/>
      <c r="K236" s="16"/>
      <c r="L236" s="13" t="s">
        <v>4777</v>
      </c>
      <c r="M236" s="16"/>
      <c r="N236" s="16"/>
      <c r="O236" s="16"/>
      <c r="P236" s="17"/>
      <c r="Q236" s="16"/>
      <c r="R236" s="16"/>
      <c r="S236" s="16"/>
      <c r="T236" s="16"/>
      <c r="U236" s="16"/>
      <c r="V236" s="16"/>
      <c r="W236" s="16"/>
      <c r="X236" s="16"/>
      <c r="Y236" s="16"/>
      <c r="Z236" s="16"/>
      <c r="AA236" s="16"/>
      <c r="AB236" s="16"/>
      <c r="AC236" s="16"/>
      <c r="AD236" s="16"/>
    </row>
    <row r="237" ht="14.25" customHeight="1">
      <c r="A237" s="16"/>
      <c r="B237" s="16"/>
      <c r="C237" s="16"/>
      <c r="D237" s="16"/>
      <c r="E237" s="16"/>
      <c r="F237" s="16"/>
      <c r="G237" s="16"/>
      <c r="H237" s="16"/>
      <c r="I237" s="16"/>
      <c r="J237" s="16"/>
      <c r="K237" s="16"/>
      <c r="L237" s="13" t="s">
        <v>3955</v>
      </c>
      <c r="M237" s="16"/>
      <c r="N237" s="16"/>
      <c r="O237" s="16"/>
      <c r="P237" s="17"/>
      <c r="Q237" s="16"/>
      <c r="R237" s="16"/>
      <c r="S237" s="16"/>
      <c r="T237" s="16"/>
      <c r="U237" s="16"/>
      <c r="V237" s="16"/>
      <c r="W237" s="16"/>
      <c r="X237" s="16"/>
      <c r="Y237" s="16"/>
      <c r="Z237" s="16"/>
      <c r="AA237" s="16"/>
      <c r="AB237" s="16"/>
      <c r="AC237" s="16"/>
      <c r="AD237" s="16"/>
    </row>
    <row r="238" ht="14.25" customHeight="1">
      <c r="A238" s="16"/>
      <c r="B238" s="16"/>
      <c r="C238" s="16"/>
      <c r="D238" s="16"/>
      <c r="E238" s="16"/>
      <c r="F238" s="16"/>
      <c r="G238" s="16"/>
      <c r="H238" s="16"/>
      <c r="I238" s="16"/>
      <c r="J238" s="16"/>
      <c r="K238" s="16"/>
      <c r="L238" s="13" t="s">
        <v>4778</v>
      </c>
      <c r="M238" s="16"/>
      <c r="N238" s="16"/>
      <c r="O238" s="16"/>
      <c r="P238" s="17"/>
      <c r="Q238" s="16"/>
      <c r="R238" s="16"/>
      <c r="S238" s="16"/>
      <c r="T238" s="16"/>
      <c r="U238" s="16"/>
      <c r="V238" s="16"/>
      <c r="W238" s="16"/>
      <c r="X238" s="16"/>
      <c r="Y238" s="16"/>
      <c r="Z238" s="16"/>
      <c r="AA238" s="16"/>
      <c r="AB238" s="16"/>
      <c r="AC238" s="16"/>
      <c r="AD238" s="16"/>
    </row>
    <row r="239" ht="14.25" customHeight="1">
      <c r="A239" s="16"/>
      <c r="B239" s="16"/>
      <c r="C239" s="16"/>
      <c r="D239" s="16"/>
      <c r="E239" s="16"/>
      <c r="F239" s="16"/>
      <c r="G239" s="16"/>
      <c r="H239" s="16"/>
      <c r="I239" s="16"/>
      <c r="J239" s="16"/>
      <c r="K239" s="16"/>
      <c r="L239" s="13" t="s">
        <v>3172</v>
      </c>
      <c r="M239" s="16"/>
      <c r="N239" s="16"/>
      <c r="O239" s="16"/>
      <c r="P239" s="17"/>
      <c r="Q239" s="16"/>
      <c r="R239" s="16"/>
      <c r="S239" s="16"/>
      <c r="T239" s="16"/>
      <c r="U239" s="16"/>
      <c r="V239" s="16"/>
      <c r="W239" s="16"/>
      <c r="X239" s="16"/>
      <c r="Y239" s="16"/>
      <c r="Z239" s="16"/>
      <c r="AA239" s="16"/>
      <c r="AB239" s="16"/>
      <c r="AC239" s="16"/>
      <c r="AD239" s="16"/>
    </row>
    <row r="240" ht="14.25" customHeight="1">
      <c r="A240" s="16"/>
      <c r="B240" s="16"/>
      <c r="C240" s="16"/>
      <c r="D240" s="16"/>
      <c r="E240" s="16"/>
      <c r="F240" s="16"/>
      <c r="G240" s="16"/>
      <c r="H240" s="16"/>
      <c r="I240" s="16"/>
      <c r="J240" s="16"/>
      <c r="K240" s="16"/>
      <c r="L240" s="13" t="s">
        <v>3698</v>
      </c>
      <c r="M240" s="16"/>
      <c r="N240" s="16"/>
      <c r="O240" s="16"/>
      <c r="P240" s="17"/>
      <c r="Q240" s="16"/>
      <c r="R240" s="16"/>
      <c r="S240" s="16"/>
      <c r="T240" s="16"/>
      <c r="U240" s="16"/>
      <c r="V240" s="16"/>
      <c r="W240" s="16"/>
      <c r="X240" s="16"/>
      <c r="Y240" s="16"/>
      <c r="Z240" s="16"/>
      <c r="AA240" s="16"/>
      <c r="AB240" s="16"/>
      <c r="AC240" s="16"/>
      <c r="AD240" s="16"/>
    </row>
    <row r="241" ht="14.25" customHeight="1">
      <c r="A241" s="16"/>
      <c r="B241" s="16"/>
      <c r="C241" s="16"/>
      <c r="D241" s="16"/>
      <c r="E241" s="16"/>
      <c r="F241" s="16"/>
      <c r="G241" s="16"/>
      <c r="H241" s="16"/>
      <c r="I241" s="16"/>
      <c r="J241" s="16"/>
      <c r="K241" s="16"/>
      <c r="L241" s="13" t="s">
        <v>3240</v>
      </c>
      <c r="M241" s="16"/>
      <c r="N241" s="16"/>
      <c r="O241" s="16"/>
      <c r="P241" s="17"/>
      <c r="Q241" s="16"/>
      <c r="R241" s="16"/>
      <c r="S241" s="16"/>
      <c r="T241" s="16"/>
      <c r="U241" s="16"/>
      <c r="V241" s="16"/>
      <c r="W241" s="16"/>
      <c r="X241" s="16"/>
      <c r="Y241" s="16"/>
      <c r="Z241" s="16"/>
      <c r="AA241" s="16"/>
      <c r="AB241" s="16"/>
      <c r="AC241" s="16"/>
      <c r="AD241" s="16"/>
    </row>
    <row r="242" ht="14.25" customHeight="1">
      <c r="A242" s="16"/>
      <c r="B242" s="16"/>
      <c r="C242" s="16"/>
      <c r="D242" s="16"/>
      <c r="E242" s="16"/>
      <c r="F242" s="16"/>
      <c r="G242" s="16"/>
      <c r="H242" s="16"/>
      <c r="I242" s="16"/>
      <c r="J242" s="16"/>
      <c r="K242" s="16"/>
      <c r="L242" s="13" t="s">
        <v>4375</v>
      </c>
      <c r="M242" s="16"/>
      <c r="N242" s="16"/>
      <c r="O242" s="16"/>
      <c r="P242" s="17"/>
      <c r="Q242" s="16"/>
      <c r="R242" s="16"/>
      <c r="S242" s="16"/>
      <c r="T242" s="16"/>
      <c r="U242" s="16"/>
      <c r="V242" s="16"/>
      <c r="W242" s="16"/>
      <c r="X242" s="16"/>
      <c r="Y242" s="16"/>
      <c r="Z242" s="16"/>
      <c r="AA242" s="16"/>
      <c r="AB242" s="16"/>
      <c r="AC242" s="16"/>
      <c r="AD242" s="16"/>
    </row>
    <row r="243" ht="14.25" customHeight="1">
      <c r="A243" s="16"/>
      <c r="B243" s="16"/>
      <c r="C243" s="16"/>
      <c r="D243" s="16"/>
      <c r="E243" s="16"/>
      <c r="F243" s="16"/>
      <c r="G243" s="16"/>
      <c r="H243" s="16"/>
      <c r="I243" s="16"/>
      <c r="J243" s="16"/>
      <c r="K243" s="16"/>
      <c r="L243" s="13" t="s">
        <v>3182</v>
      </c>
      <c r="M243" s="16"/>
      <c r="N243" s="16"/>
      <c r="O243" s="16"/>
      <c r="P243" s="17"/>
      <c r="Q243" s="16"/>
      <c r="R243" s="16"/>
      <c r="S243" s="16"/>
      <c r="T243" s="16"/>
      <c r="U243" s="16"/>
      <c r="V243" s="16"/>
      <c r="W243" s="16"/>
      <c r="X243" s="16"/>
      <c r="Y243" s="16"/>
      <c r="Z243" s="16"/>
      <c r="AA243" s="16"/>
      <c r="AB243" s="16"/>
      <c r="AC243" s="16"/>
      <c r="AD243" s="16"/>
    </row>
    <row r="244" ht="14.25" customHeight="1">
      <c r="A244" s="16"/>
      <c r="B244" s="16"/>
      <c r="C244" s="16"/>
      <c r="D244" s="16"/>
      <c r="E244" s="16"/>
      <c r="F244" s="16"/>
      <c r="G244" s="16"/>
      <c r="H244" s="16"/>
      <c r="I244" s="16"/>
      <c r="J244" s="16"/>
      <c r="K244" s="16"/>
      <c r="L244" s="13" t="s">
        <v>3704</v>
      </c>
      <c r="M244" s="16"/>
      <c r="N244" s="16"/>
      <c r="O244" s="16"/>
      <c r="P244" s="17"/>
      <c r="Q244" s="16"/>
      <c r="R244" s="16"/>
      <c r="S244" s="16"/>
      <c r="T244" s="16"/>
      <c r="U244" s="16"/>
      <c r="V244" s="16"/>
      <c r="W244" s="16"/>
      <c r="X244" s="16"/>
      <c r="Y244" s="16"/>
      <c r="Z244" s="16"/>
      <c r="AA244" s="16"/>
      <c r="AB244" s="16"/>
      <c r="AC244" s="16"/>
      <c r="AD244" s="16"/>
    </row>
    <row r="245" ht="14.25" customHeight="1">
      <c r="A245" s="16"/>
      <c r="B245" s="16"/>
      <c r="C245" s="16"/>
      <c r="D245" s="16"/>
      <c r="E245" s="16"/>
      <c r="F245" s="16"/>
      <c r="G245" s="16"/>
      <c r="H245" s="16"/>
      <c r="I245" s="16"/>
      <c r="J245" s="16"/>
      <c r="K245" s="16"/>
      <c r="L245" s="13" t="s">
        <v>4779</v>
      </c>
      <c r="M245" s="16"/>
      <c r="N245" s="16"/>
      <c r="O245" s="16"/>
      <c r="P245" s="17"/>
      <c r="Q245" s="16"/>
      <c r="R245" s="16"/>
      <c r="S245" s="16"/>
      <c r="T245" s="16"/>
      <c r="U245" s="16"/>
      <c r="V245" s="16"/>
      <c r="W245" s="16"/>
      <c r="X245" s="16"/>
      <c r="Y245" s="16"/>
      <c r="Z245" s="16"/>
      <c r="AA245" s="16"/>
      <c r="AB245" s="16"/>
      <c r="AC245" s="16"/>
      <c r="AD245" s="16"/>
    </row>
    <row r="246" ht="14.25" customHeight="1">
      <c r="A246" s="16"/>
      <c r="B246" s="16"/>
      <c r="C246" s="16"/>
      <c r="D246" s="16"/>
      <c r="E246" s="16"/>
      <c r="F246" s="16"/>
      <c r="G246" s="16"/>
      <c r="H246" s="16"/>
      <c r="I246" s="16"/>
      <c r="J246" s="16"/>
      <c r="K246" s="16"/>
      <c r="L246" s="13" t="s">
        <v>4780</v>
      </c>
      <c r="M246" s="16"/>
      <c r="N246" s="16"/>
      <c r="O246" s="16"/>
      <c r="P246" s="17"/>
      <c r="Q246" s="16"/>
      <c r="R246" s="16"/>
      <c r="S246" s="16"/>
      <c r="T246" s="16"/>
      <c r="U246" s="16"/>
      <c r="V246" s="16"/>
      <c r="W246" s="16"/>
      <c r="X246" s="16"/>
      <c r="Y246" s="16"/>
      <c r="Z246" s="16"/>
      <c r="AA246" s="16"/>
      <c r="AB246" s="16"/>
      <c r="AC246" s="16"/>
      <c r="AD246" s="16"/>
    </row>
    <row r="247" ht="14.25" customHeight="1">
      <c r="A247" s="16"/>
      <c r="B247" s="16"/>
      <c r="C247" s="16"/>
      <c r="D247" s="16"/>
      <c r="E247" s="16"/>
      <c r="F247" s="16"/>
      <c r="G247" s="16"/>
      <c r="H247" s="16"/>
      <c r="I247" s="16"/>
      <c r="J247" s="16"/>
      <c r="K247" s="16"/>
      <c r="L247" s="13" t="s">
        <v>4781</v>
      </c>
      <c r="M247" s="16"/>
      <c r="N247" s="16"/>
      <c r="O247" s="16"/>
      <c r="P247" s="17"/>
      <c r="Q247" s="16"/>
      <c r="R247" s="16"/>
      <c r="S247" s="16"/>
      <c r="T247" s="16"/>
      <c r="U247" s="16"/>
      <c r="V247" s="16"/>
      <c r="W247" s="16"/>
      <c r="X247" s="16"/>
      <c r="Y247" s="16"/>
      <c r="Z247" s="16"/>
      <c r="AA247" s="16"/>
      <c r="AB247" s="16"/>
      <c r="AC247" s="16"/>
      <c r="AD247" s="16"/>
    </row>
    <row r="248" ht="14.25" customHeight="1">
      <c r="A248" s="16"/>
      <c r="B248" s="16"/>
      <c r="C248" s="16"/>
      <c r="D248" s="16"/>
      <c r="E248" s="16"/>
      <c r="F248" s="16"/>
      <c r="G248" s="16"/>
      <c r="H248" s="16"/>
      <c r="I248" s="16"/>
      <c r="J248" s="16"/>
      <c r="K248" s="16"/>
      <c r="L248" s="13" t="s">
        <v>3463</v>
      </c>
      <c r="M248" s="16"/>
      <c r="N248" s="16"/>
      <c r="O248" s="16"/>
      <c r="P248" s="17"/>
      <c r="Q248" s="16"/>
      <c r="R248" s="16"/>
      <c r="S248" s="16"/>
      <c r="T248" s="16"/>
      <c r="U248" s="16"/>
      <c r="V248" s="16"/>
      <c r="W248" s="16"/>
      <c r="X248" s="16"/>
      <c r="Y248" s="16"/>
      <c r="Z248" s="16"/>
      <c r="AA248" s="16"/>
      <c r="AB248" s="16"/>
      <c r="AC248" s="16"/>
      <c r="AD248" s="16"/>
    </row>
    <row r="249" ht="14.25" customHeight="1">
      <c r="A249" s="16"/>
      <c r="B249" s="16"/>
      <c r="C249" s="16"/>
      <c r="D249" s="16"/>
      <c r="E249" s="16"/>
      <c r="F249" s="16"/>
      <c r="G249" s="16"/>
      <c r="H249" s="16"/>
      <c r="I249" s="16"/>
      <c r="J249" s="16"/>
      <c r="K249" s="16"/>
      <c r="L249" s="13" t="s">
        <v>4782</v>
      </c>
      <c r="M249" s="16"/>
      <c r="N249" s="16"/>
      <c r="O249" s="16"/>
      <c r="P249" s="17"/>
      <c r="Q249" s="16"/>
      <c r="R249" s="16"/>
      <c r="S249" s="16"/>
      <c r="T249" s="16"/>
      <c r="U249" s="16"/>
      <c r="V249" s="16"/>
      <c r="W249" s="16"/>
      <c r="X249" s="16"/>
      <c r="Y249" s="16"/>
      <c r="Z249" s="16"/>
      <c r="AA249" s="16"/>
      <c r="AB249" s="16"/>
      <c r="AC249" s="16"/>
      <c r="AD249" s="16"/>
    </row>
    <row r="250" ht="14.25" customHeight="1">
      <c r="A250" s="16"/>
      <c r="B250" s="16"/>
      <c r="C250" s="16"/>
      <c r="D250" s="16"/>
      <c r="E250" s="16"/>
      <c r="F250" s="16"/>
      <c r="G250" s="16"/>
      <c r="H250" s="16"/>
      <c r="I250" s="16"/>
      <c r="J250" s="16"/>
      <c r="K250" s="16"/>
      <c r="L250" s="13" t="s">
        <v>4783</v>
      </c>
      <c r="M250" s="16"/>
      <c r="N250" s="16"/>
      <c r="O250" s="16"/>
      <c r="P250" s="17"/>
      <c r="Q250" s="16"/>
      <c r="R250" s="16"/>
      <c r="S250" s="16"/>
      <c r="T250" s="16"/>
      <c r="U250" s="16"/>
      <c r="V250" s="16"/>
      <c r="W250" s="16"/>
      <c r="X250" s="16"/>
      <c r="Y250" s="16"/>
      <c r="Z250" s="16"/>
      <c r="AA250" s="16"/>
      <c r="AB250" s="16"/>
      <c r="AC250" s="16"/>
      <c r="AD250" s="16"/>
    </row>
    <row r="251" ht="14.25" customHeight="1">
      <c r="A251" s="16"/>
      <c r="B251" s="16"/>
      <c r="C251" s="16"/>
      <c r="D251" s="16"/>
      <c r="E251" s="16"/>
      <c r="F251" s="16"/>
      <c r="G251" s="16"/>
      <c r="H251" s="16"/>
      <c r="I251" s="16"/>
      <c r="J251" s="16"/>
      <c r="K251" s="16"/>
      <c r="L251" s="13" t="s">
        <v>4784</v>
      </c>
      <c r="M251" s="16"/>
      <c r="N251" s="16"/>
      <c r="O251" s="16"/>
      <c r="P251" s="17"/>
      <c r="Q251" s="16"/>
      <c r="R251" s="16"/>
      <c r="S251" s="16"/>
      <c r="T251" s="16"/>
      <c r="U251" s="16"/>
      <c r="V251" s="16"/>
      <c r="W251" s="16"/>
      <c r="X251" s="16"/>
      <c r="Y251" s="16"/>
      <c r="Z251" s="16"/>
      <c r="AA251" s="16"/>
      <c r="AB251" s="16"/>
      <c r="AC251" s="16"/>
      <c r="AD251" s="16"/>
    </row>
    <row r="252" ht="14.25" customHeight="1">
      <c r="A252" s="16"/>
      <c r="B252" s="16"/>
      <c r="C252" s="16"/>
      <c r="D252" s="16"/>
      <c r="E252" s="16"/>
      <c r="F252" s="16"/>
      <c r="G252" s="16"/>
      <c r="H252" s="16"/>
      <c r="I252" s="16"/>
      <c r="J252" s="16"/>
      <c r="K252" s="16"/>
      <c r="L252" s="13" t="s">
        <v>3537</v>
      </c>
      <c r="M252" s="16"/>
      <c r="N252" s="16"/>
      <c r="O252" s="16"/>
      <c r="P252" s="17"/>
      <c r="Q252" s="16"/>
      <c r="R252" s="16"/>
      <c r="S252" s="16"/>
      <c r="T252" s="16"/>
      <c r="U252" s="16"/>
      <c r="V252" s="16"/>
      <c r="W252" s="16"/>
      <c r="X252" s="16"/>
      <c r="Y252" s="16"/>
      <c r="Z252" s="16"/>
      <c r="AA252" s="16"/>
      <c r="AB252" s="16"/>
      <c r="AC252" s="16"/>
      <c r="AD252" s="16"/>
    </row>
    <row r="253" ht="14.25" customHeight="1">
      <c r="A253" s="16"/>
      <c r="B253" s="16"/>
      <c r="C253" s="16"/>
      <c r="D253" s="16"/>
      <c r="E253" s="16"/>
      <c r="F253" s="16"/>
      <c r="G253" s="16"/>
      <c r="H253" s="16"/>
      <c r="I253" s="16"/>
      <c r="J253" s="16"/>
      <c r="K253" s="16"/>
      <c r="L253" s="13" t="s">
        <v>4785</v>
      </c>
      <c r="M253" s="16"/>
      <c r="N253" s="16"/>
      <c r="O253" s="16"/>
      <c r="P253" s="17"/>
      <c r="Q253" s="16"/>
      <c r="R253" s="16"/>
      <c r="S253" s="16"/>
      <c r="T253" s="16"/>
      <c r="U253" s="16"/>
      <c r="V253" s="16"/>
      <c r="W253" s="16"/>
      <c r="X253" s="16"/>
      <c r="Y253" s="16"/>
      <c r="Z253" s="16"/>
      <c r="AA253" s="16"/>
      <c r="AB253" s="16"/>
      <c r="AC253" s="16"/>
      <c r="AD253" s="16"/>
    </row>
    <row r="254" ht="14.25" customHeight="1">
      <c r="A254" s="16"/>
      <c r="B254" s="16"/>
      <c r="C254" s="16"/>
      <c r="D254" s="16"/>
      <c r="E254" s="16"/>
      <c r="F254" s="16"/>
      <c r="G254" s="16"/>
      <c r="H254" s="16"/>
      <c r="I254" s="16"/>
      <c r="J254" s="16"/>
      <c r="K254" s="16"/>
      <c r="L254" s="13" t="s">
        <v>4786</v>
      </c>
      <c r="M254" s="16"/>
      <c r="N254" s="16"/>
      <c r="O254" s="16"/>
      <c r="P254" s="17"/>
      <c r="Q254" s="16"/>
      <c r="R254" s="16"/>
      <c r="S254" s="16"/>
      <c r="T254" s="16"/>
      <c r="U254" s="16"/>
      <c r="V254" s="16"/>
      <c r="W254" s="16"/>
      <c r="X254" s="16"/>
      <c r="Y254" s="16"/>
      <c r="Z254" s="16"/>
      <c r="AA254" s="16"/>
      <c r="AB254" s="16"/>
      <c r="AC254" s="16"/>
      <c r="AD254" s="16"/>
    </row>
    <row r="255" ht="14.25" customHeight="1">
      <c r="A255" s="16"/>
      <c r="B255" s="16"/>
      <c r="C255" s="16"/>
      <c r="D255" s="16"/>
      <c r="E255" s="16"/>
      <c r="F255" s="16"/>
      <c r="G255" s="16"/>
      <c r="H255" s="16"/>
      <c r="I255" s="16"/>
      <c r="J255" s="16"/>
      <c r="K255" s="16"/>
      <c r="L255" s="13" t="s">
        <v>4787</v>
      </c>
      <c r="M255" s="16"/>
      <c r="N255" s="16"/>
      <c r="O255" s="16"/>
      <c r="P255" s="17"/>
      <c r="Q255" s="16"/>
      <c r="R255" s="16"/>
      <c r="S255" s="16"/>
      <c r="T255" s="16"/>
      <c r="U255" s="16"/>
      <c r="V255" s="16"/>
      <c r="W255" s="16"/>
      <c r="X255" s="16"/>
      <c r="Y255" s="16"/>
      <c r="Z255" s="16"/>
      <c r="AA255" s="16"/>
      <c r="AB255" s="16"/>
      <c r="AC255" s="16"/>
      <c r="AD255" s="16"/>
    </row>
    <row r="256" ht="14.25" customHeight="1">
      <c r="A256" s="16"/>
      <c r="B256" s="16"/>
      <c r="C256" s="16"/>
      <c r="D256" s="16"/>
      <c r="E256" s="16"/>
      <c r="F256" s="16"/>
      <c r="G256" s="16"/>
      <c r="H256" s="16"/>
      <c r="I256" s="16"/>
      <c r="J256" s="16"/>
      <c r="K256" s="16"/>
      <c r="L256" s="13" t="s">
        <v>4788</v>
      </c>
      <c r="M256" s="16"/>
      <c r="N256" s="16"/>
      <c r="O256" s="16"/>
      <c r="P256" s="17"/>
      <c r="Q256" s="16"/>
      <c r="R256" s="16"/>
      <c r="S256" s="16"/>
      <c r="T256" s="16"/>
      <c r="U256" s="16"/>
      <c r="V256" s="16"/>
      <c r="W256" s="16"/>
      <c r="X256" s="16"/>
      <c r="Y256" s="16"/>
      <c r="Z256" s="16"/>
      <c r="AA256" s="16"/>
      <c r="AB256" s="16"/>
      <c r="AC256" s="16"/>
      <c r="AD256" s="16"/>
    </row>
    <row r="257" ht="14.25" customHeight="1">
      <c r="A257" s="16"/>
      <c r="B257" s="16"/>
      <c r="C257" s="16"/>
      <c r="D257" s="16"/>
      <c r="E257" s="16"/>
      <c r="F257" s="16"/>
      <c r="G257" s="16"/>
      <c r="H257" s="16"/>
      <c r="I257" s="16"/>
      <c r="J257" s="16"/>
      <c r="K257" s="16"/>
      <c r="L257" s="13" t="s">
        <v>4789</v>
      </c>
      <c r="M257" s="16"/>
      <c r="N257" s="16"/>
      <c r="O257" s="16"/>
      <c r="P257" s="17"/>
      <c r="Q257" s="16"/>
      <c r="R257" s="16"/>
      <c r="S257" s="16"/>
      <c r="T257" s="16"/>
      <c r="U257" s="16"/>
      <c r="V257" s="16"/>
      <c r="W257" s="16"/>
      <c r="X257" s="16"/>
      <c r="Y257" s="16"/>
      <c r="Z257" s="16"/>
      <c r="AA257" s="16"/>
      <c r="AB257" s="16"/>
      <c r="AC257" s="16"/>
      <c r="AD257" s="16"/>
    </row>
    <row r="258" ht="14.25" customHeight="1">
      <c r="A258" s="16"/>
      <c r="B258" s="16"/>
      <c r="C258" s="16"/>
      <c r="D258" s="16"/>
      <c r="E258" s="16"/>
      <c r="F258" s="16"/>
      <c r="G258" s="16"/>
      <c r="H258" s="16"/>
      <c r="I258" s="16"/>
      <c r="J258" s="16"/>
      <c r="K258" s="16"/>
      <c r="L258" s="13" t="s">
        <v>4790</v>
      </c>
      <c r="M258" s="16"/>
      <c r="N258" s="16"/>
      <c r="O258" s="16"/>
      <c r="P258" s="17"/>
      <c r="Q258" s="16"/>
      <c r="R258" s="16"/>
      <c r="S258" s="16"/>
      <c r="T258" s="16"/>
      <c r="U258" s="16"/>
      <c r="V258" s="16"/>
      <c r="W258" s="16"/>
      <c r="X258" s="16"/>
      <c r="Y258" s="16"/>
      <c r="Z258" s="16"/>
      <c r="AA258" s="16"/>
      <c r="AB258" s="16"/>
      <c r="AC258" s="16"/>
      <c r="AD258" s="16"/>
    </row>
    <row r="259" ht="14.25" customHeight="1">
      <c r="A259" s="16"/>
      <c r="B259" s="16"/>
      <c r="C259" s="16"/>
      <c r="D259" s="16"/>
      <c r="E259" s="16"/>
      <c r="F259" s="16"/>
      <c r="G259" s="16"/>
      <c r="H259" s="16"/>
      <c r="I259" s="16"/>
      <c r="J259" s="16"/>
      <c r="K259" s="16"/>
      <c r="L259" s="13" t="s">
        <v>4791</v>
      </c>
      <c r="M259" s="16"/>
      <c r="N259" s="16"/>
      <c r="O259" s="16"/>
      <c r="P259" s="17"/>
      <c r="Q259" s="16"/>
      <c r="R259" s="16"/>
      <c r="S259" s="16"/>
      <c r="T259" s="16"/>
      <c r="U259" s="16"/>
      <c r="V259" s="16"/>
      <c r="W259" s="16"/>
      <c r="X259" s="16"/>
      <c r="Y259" s="16"/>
      <c r="Z259" s="16"/>
      <c r="AA259" s="16"/>
      <c r="AB259" s="16"/>
      <c r="AC259" s="16"/>
      <c r="AD259" s="16"/>
    </row>
    <row r="260" ht="14.25" customHeight="1">
      <c r="A260" s="16"/>
      <c r="B260" s="16"/>
      <c r="C260" s="16"/>
      <c r="D260" s="16"/>
      <c r="E260" s="16"/>
      <c r="F260" s="16"/>
      <c r="G260" s="16"/>
      <c r="H260" s="16"/>
      <c r="I260" s="16"/>
      <c r="J260" s="16"/>
      <c r="K260" s="16"/>
      <c r="L260" s="13" t="s">
        <v>4411</v>
      </c>
      <c r="M260" s="16"/>
      <c r="N260" s="16"/>
      <c r="O260" s="16"/>
      <c r="P260" s="17"/>
      <c r="Q260" s="16"/>
      <c r="R260" s="16"/>
      <c r="S260" s="16"/>
      <c r="T260" s="16"/>
      <c r="U260" s="16"/>
      <c r="V260" s="16"/>
      <c r="W260" s="16"/>
      <c r="X260" s="16"/>
      <c r="Y260" s="16"/>
      <c r="Z260" s="16"/>
      <c r="AA260" s="16"/>
      <c r="AB260" s="16"/>
      <c r="AC260" s="16"/>
      <c r="AD260" s="16"/>
    </row>
    <row r="261" ht="14.25" customHeight="1">
      <c r="A261" s="16"/>
      <c r="B261" s="16"/>
      <c r="C261" s="16"/>
      <c r="D261" s="16"/>
      <c r="E261" s="16"/>
      <c r="F261" s="16"/>
      <c r="G261" s="16"/>
      <c r="H261" s="16"/>
      <c r="I261" s="16"/>
      <c r="J261" s="16"/>
      <c r="K261" s="16"/>
      <c r="L261" s="13" t="s">
        <v>3555</v>
      </c>
      <c r="M261" s="16"/>
      <c r="N261" s="16"/>
      <c r="O261" s="16"/>
      <c r="P261" s="17"/>
      <c r="Q261" s="16"/>
      <c r="R261" s="16"/>
      <c r="S261" s="16"/>
      <c r="T261" s="16"/>
      <c r="U261" s="16"/>
      <c r="V261" s="16"/>
      <c r="W261" s="16"/>
      <c r="X261" s="16"/>
      <c r="Y261" s="16"/>
      <c r="Z261" s="16"/>
      <c r="AA261" s="16"/>
      <c r="AB261" s="16"/>
      <c r="AC261" s="16"/>
      <c r="AD261" s="16"/>
    </row>
    <row r="262" ht="14.25" customHeight="1">
      <c r="A262" s="16"/>
      <c r="B262" s="16"/>
      <c r="C262" s="16"/>
      <c r="D262" s="16"/>
      <c r="E262" s="16"/>
      <c r="F262" s="16"/>
      <c r="G262" s="16"/>
      <c r="H262" s="16"/>
      <c r="I262" s="16"/>
      <c r="J262" s="16"/>
      <c r="K262" s="16"/>
      <c r="L262" s="16"/>
      <c r="M262" s="16"/>
      <c r="N262" s="16"/>
      <c r="O262" s="16"/>
      <c r="P262" s="17"/>
      <c r="Q262" s="16"/>
      <c r="R262" s="16"/>
      <c r="S262" s="16"/>
      <c r="T262" s="16"/>
      <c r="U262" s="16"/>
      <c r="V262" s="16"/>
      <c r="W262" s="16"/>
      <c r="X262" s="16"/>
      <c r="Y262" s="16"/>
      <c r="Z262" s="16"/>
      <c r="AA262" s="16"/>
      <c r="AB262" s="16"/>
      <c r="AC262" s="16"/>
      <c r="AD262" s="16"/>
    </row>
    <row r="263" ht="14.25" customHeight="1">
      <c r="A263" s="16"/>
      <c r="B263" s="16"/>
      <c r="C263" s="16"/>
      <c r="D263" s="16"/>
      <c r="E263" s="16"/>
      <c r="F263" s="16"/>
      <c r="G263" s="16"/>
      <c r="H263" s="16"/>
      <c r="I263" s="16"/>
      <c r="J263" s="16"/>
      <c r="K263" s="16"/>
      <c r="L263" s="16"/>
      <c r="M263" s="16"/>
      <c r="N263" s="16"/>
      <c r="O263" s="16"/>
      <c r="P263" s="17"/>
      <c r="Q263" s="16"/>
      <c r="R263" s="16"/>
      <c r="S263" s="16"/>
      <c r="T263" s="16"/>
      <c r="U263" s="16"/>
      <c r="V263" s="16"/>
      <c r="W263" s="16"/>
      <c r="X263" s="16"/>
      <c r="Y263" s="16"/>
      <c r="Z263" s="16"/>
      <c r="AA263" s="16"/>
      <c r="AB263" s="16"/>
      <c r="AC263" s="16"/>
      <c r="AD263" s="16"/>
    </row>
    <row r="264" ht="14.25" customHeight="1">
      <c r="A264" s="16"/>
      <c r="B264" s="16"/>
      <c r="C264" s="16"/>
      <c r="D264" s="16"/>
      <c r="E264" s="16"/>
      <c r="F264" s="16"/>
      <c r="G264" s="16"/>
      <c r="H264" s="16"/>
      <c r="I264" s="16"/>
      <c r="J264" s="16"/>
      <c r="K264" s="16"/>
      <c r="L264" s="16"/>
      <c r="M264" s="16"/>
      <c r="N264" s="16"/>
      <c r="O264" s="16"/>
      <c r="P264" s="17"/>
      <c r="Q264" s="16"/>
      <c r="R264" s="16"/>
      <c r="S264" s="16"/>
      <c r="T264" s="16"/>
      <c r="U264" s="16"/>
      <c r="V264" s="16"/>
      <c r="W264" s="16"/>
      <c r="X264" s="16"/>
      <c r="Y264" s="16"/>
      <c r="Z264" s="16"/>
      <c r="AA264" s="16"/>
      <c r="AB264" s="16"/>
      <c r="AC264" s="16"/>
      <c r="AD264" s="16"/>
    </row>
    <row r="265" ht="14.25" customHeight="1">
      <c r="A265" s="16"/>
      <c r="B265" s="16"/>
      <c r="C265" s="16"/>
      <c r="D265" s="16"/>
      <c r="E265" s="16"/>
      <c r="F265" s="16"/>
      <c r="G265" s="16"/>
      <c r="H265" s="16"/>
      <c r="I265" s="16"/>
      <c r="J265" s="16"/>
      <c r="K265" s="16"/>
      <c r="L265" s="16"/>
      <c r="M265" s="16"/>
      <c r="N265" s="16"/>
      <c r="O265" s="16"/>
      <c r="P265" s="17"/>
      <c r="Q265" s="16"/>
      <c r="R265" s="16"/>
      <c r="S265" s="16"/>
      <c r="T265" s="16"/>
      <c r="U265" s="16"/>
      <c r="V265" s="16"/>
      <c r="W265" s="16"/>
      <c r="X265" s="16"/>
      <c r="Y265" s="16"/>
      <c r="Z265" s="16"/>
      <c r="AA265" s="16"/>
      <c r="AB265" s="16"/>
      <c r="AC265" s="16"/>
      <c r="AD265" s="16"/>
    </row>
    <row r="266" ht="14.25" customHeight="1">
      <c r="A266" s="16"/>
      <c r="B266" s="16"/>
      <c r="C266" s="16"/>
      <c r="D266" s="16"/>
      <c r="E266" s="16"/>
      <c r="F266" s="16"/>
      <c r="G266" s="16"/>
      <c r="H266" s="16"/>
      <c r="I266" s="16"/>
      <c r="J266" s="16"/>
      <c r="K266" s="16"/>
      <c r="L266" s="16"/>
      <c r="M266" s="16"/>
      <c r="N266" s="16"/>
      <c r="O266" s="16"/>
      <c r="P266" s="17"/>
      <c r="Q266" s="16"/>
      <c r="R266" s="16"/>
      <c r="S266" s="16"/>
      <c r="T266" s="16"/>
      <c r="U266" s="16"/>
      <c r="V266" s="16"/>
      <c r="W266" s="16"/>
      <c r="X266" s="16"/>
      <c r="Y266" s="16"/>
      <c r="Z266" s="16"/>
      <c r="AA266" s="16"/>
      <c r="AB266" s="16"/>
      <c r="AC266" s="16"/>
      <c r="AD266" s="16"/>
    </row>
    <row r="267" ht="14.25" customHeight="1">
      <c r="A267" s="16"/>
      <c r="B267" s="16"/>
      <c r="C267" s="16"/>
      <c r="D267" s="16"/>
      <c r="E267" s="16"/>
      <c r="F267" s="16"/>
      <c r="G267" s="16"/>
      <c r="H267" s="16"/>
      <c r="I267" s="16"/>
      <c r="J267" s="16"/>
      <c r="K267" s="16"/>
      <c r="L267" s="16"/>
      <c r="M267" s="16"/>
      <c r="N267" s="16"/>
      <c r="O267" s="16"/>
      <c r="P267" s="17"/>
      <c r="Q267" s="16"/>
      <c r="R267" s="16"/>
      <c r="S267" s="16"/>
      <c r="T267" s="16"/>
      <c r="U267" s="16"/>
      <c r="V267" s="16"/>
      <c r="W267" s="16"/>
      <c r="X267" s="16"/>
      <c r="Y267" s="16"/>
      <c r="Z267" s="16"/>
      <c r="AA267" s="16"/>
      <c r="AB267" s="16"/>
      <c r="AC267" s="16"/>
      <c r="AD267" s="16"/>
    </row>
    <row r="268" ht="14.25" customHeight="1">
      <c r="A268" s="16"/>
      <c r="B268" s="16"/>
      <c r="C268" s="16"/>
      <c r="D268" s="16"/>
      <c r="E268" s="16"/>
      <c r="F268" s="16"/>
      <c r="G268" s="16"/>
      <c r="H268" s="16"/>
      <c r="I268" s="16"/>
      <c r="J268" s="16"/>
      <c r="K268" s="16"/>
      <c r="L268" s="16"/>
      <c r="M268" s="16"/>
      <c r="N268" s="16"/>
      <c r="O268" s="16"/>
      <c r="P268" s="17"/>
      <c r="Q268" s="16"/>
      <c r="R268" s="16"/>
      <c r="S268" s="16"/>
      <c r="T268" s="16"/>
      <c r="U268" s="16"/>
      <c r="V268" s="16"/>
      <c r="W268" s="16"/>
      <c r="X268" s="16"/>
      <c r="Y268" s="16"/>
      <c r="Z268" s="16"/>
      <c r="AA268" s="16"/>
      <c r="AB268" s="16"/>
      <c r="AC268" s="16"/>
      <c r="AD268" s="16"/>
    </row>
    <row r="269" ht="14.25" customHeight="1">
      <c r="A269" s="16"/>
      <c r="B269" s="16"/>
      <c r="C269" s="16"/>
      <c r="D269" s="16"/>
      <c r="E269" s="16"/>
      <c r="F269" s="16"/>
      <c r="G269" s="16"/>
      <c r="H269" s="16"/>
      <c r="I269" s="16"/>
      <c r="J269" s="16"/>
      <c r="K269" s="16"/>
      <c r="L269" s="16"/>
      <c r="M269" s="16"/>
      <c r="N269" s="16"/>
      <c r="O269" s="16"/>
      <c r="P269" s="17"/>
      <c r="Q269" s="16"/>
      <c r="R269" s="16"/>
      <c r="S269" s="16"/>
      <c r="T269" s="16"/>
      <c r="U269" s="16"/>
      <c r="V269" s="16"/>
      <c r="W269" s="16"/>
      <c r="X269" s="16"/>
      <c r="Y269" s="16"/>
      <c r="Z269" s="16"/>
      <c r="AA269" s="16"/>
      <c r="AB269" s="16"/>
      <c r="AC269" s="16"/>
      <c r="AD269" s="16"/>
    </row>
    <row r="270" ht="14.25" customHeight="1">
      <c r="A270" s="16"/>
      <c r="B270" s="16"/>
      <c r="C270" s="16"/>
      <c r="D270" s="16"/>
      <c r="E270" s="16"/>
      <c r="F270" s="16"/>
      <c r="G270" s="16"/>
      <c r="H270" s="16"/>
      <c r="I270" s="16"/>
      <c r="J270" s="16"/>
      <c r="K270" s="16"/>
      <c r="L270" s="16"/>
      <c r="M270" s="16"/>
      <c r="N270" s="16"/>
      <c r="O270" s="16"/>
      <c r="P270" s="17"/>
      <c r="Q270" s="16"/>
      <c r="R270" s="16"/>
      <c r="S270" s="16"/>
      <c r="T270" s="16"/>
      <c r="U270" s="16"/>
      <c r="V270" s="16"/>
      <c r="W270" s="16"/>
      <c r="X270" s="16"/>
      <c r="Y270" s="16"/>
      <c r="Z270" s="16"/>
      <c r="AA270" s="16"/>
      <c r="AB270" s="16"/>
      <c r="AC270" s="16"/>
      <c r="AD270" s="16"/>
    </row>
    <row r="271" ht="14.25" customHeight="1">
      <c r="A271" s="16"/>
      <c r="B271" s="16"/>
      <c r="C271" s="16"/>
      <c r="D271" s="16"/>
      <c r="E271" s="16"/>
      <c r="F271" s="16"/>
      <c r="G271" s="16"/>
      <c r="H271" s="16"/>
      <c r="I271" s="16"/>
      <c r="J271" s="16"/>
      <c r="K271" s="16"/>
      <c r="L271" s="16"/>
      <c r="M271" s="16"/>
      <c r="N271" s="16"/>
      <c r="O271" s="16"/>
      <c r="P271" s="17"/>
      <c r="Q271" s="16"/>
      <c r="R271" s="16"/>
      <c r="S271" s="16"/>
      <c r="T271" s="16"/>
      <c r="U271" s="16"/>
      <c r="V271" s="16"/>
      <c r="W271" s="16"/>
      <c r="X271" s="16"/>
      <c r="Y271" s="16"/>
      <c r="Z271" s="16"/>
      <c r="AA271" s="16"/>
      <c r="AB271" s="16"/>
      <c r="AC271" s="16"/>
      <c r="AD271" s="16"/>
    </row>
    <row r="272" ht="14.25" customHeight="1">
      <c r="A272" s="16"/>
      <c r="B272" s="16"/>
      <c r="C272" s="16"/>
      <c r="D272" s="16"/>
      <c r="E272" s="16"/>
      <c r="F272" s="16"/>
      <c r="G272" s="16"/>
      <c r="H272" s="16"/>
      <c r="I272" s="16"/>
      <c r="J272" s="16"/>
      <c r="K272" s="16"/>
      <c r="L272" s="16"/>
      <c r="M272" s="16"/>
      <c r="N272" s="16"/>
      <c r="O272" s="16"/>
      <c r="P272" s="17"/>
      <c r="Q272" s="16"/>
      <c r="R272" s="16"/>
      <c r="S272" s="16"/>
      <c r="T272" s="16"/>
      <c r="U272" s="16"/>
      <c r="V272" s="16"/>
      <c r="W272" s="16"/>
      <c r="X272" s="16"/>
      <c r="Y272" s="16"/>
      <c r="Z272" s="16"/>
      <c r="AA272" s="16"/>
      <c r="AB272" s="16"/>
      <c r="AC272" s="16"/>
      <c r="AD272" s="16"/>
    </row>
    <row r="273" ht="14.25" customHeight="1">
      <c r="A273" s="16"/>
      <c r="B273" s="16"/>
      <c r="C273" s="16"/>
      <c r="D273" s="16"/>
      <c r="E273" s="16"/>
      <c r="F273" s="16"/>
      <c r="G273" s="16"/>
      <c r="H273" s="16"/>
      <c r="I273" s="16"/>
      <c r="J273" s="16"/>
      <c r="K273" s="16"/>
      <c r="L273" s="16"/>
      <c r="M273" s="16"/>
      <c r="N273" s="16"/>
      <c r="O273" s="16"/>
      <c r="P273" s="17"/>
      <c r="Q273" s="16"/>
      <c r="R273" s="16"/>
      <c r="S273" s="16"/>
      <c r="T273" s="16"/>
      <c r="U273" s="16"/>
      <c r="V273" s="16"/>
      <c r="W273" s="16"/>
      <c r="X273" s="16"/>
      <c r="Y273" s="16"/>
      <c r="Z273" s="16"/>
      <c r="AA273" s="16"/>
      <c r="AB273" s="16"/>
      <c r="AC273" s="16"/>
      <c r="AD273" s="16"/>
    </row>
    <row r="274" ht="14.25" customHeight="1">
      <c r="A274" s="16"/>
      <c r="B274" s="16"/>
      <c r="C274" s="16"/>
      <c r="D274" s="16"/>
      <c r="E274" s="16"/>
      <c r="F274" s="16"/>
      <c r="G274" s="16"/>
      <c r="H274" s="16"/>
      <c r="I274" s="16"/>
      <c r="J274" s="16"/>
      <c r="K274" s="16"/>
      <c r="L274" s="16"/>
      <c r="M274" s="16"/>
      <c r="N274" s="16"/>
      <c r="O274" s="16"/>
      <c r="P274" s="17"/>
      <c r="Q274" s="16"/>
      <c r="R274" s="16"/>
      <c r="S274" s="16"/>
      <c r="T274" s="16"/>
      <c r="U274" s="16"/>
      <c r="V274" s="16"/>
      <c r="W274" s="16"/>
      <c r="X274" s="16"/>
      <c r="Y274" s="16"/>
      <c r="Z274" s="16"/>
      <c r="AA274" s="16"/>
      <c r="AB274" s="16"/>
      <c r="AC274" s="16"/>
      <c r="AD274" s="16"/>
    </row>
    <row r="275" ht="14.25" customHeight="1">
      <c r="A275" s="16"/>
      <c r="B275" s="16"/>
      <c r="C275" s="16"/>
      <c r="D275" s="16"/>
      <c r="E275" s="16"/>
      <c r="F275" s="16"/>
      <c r="G275" s="16"/>
      <c r="H275" s="16"/>
      <c r="I275" s="16"/>
      <c r="J275" s="16"/>
      <c r="K275" s="16"/>
      <c r="L275" s="16"/>
      <c r="M275" s="16"/>
      <c r="N275" s="16"/>
      <c r="O275" s="16"/>
      <c r="P275" s="17"/>
      <c r="Q275" s="16"/>
      <c r="R275" s="16"/>
      <c r="S275" s="16"/>
      <c r="T275" s="16"/>
      <c r="U275" s="16"/>
      <c r="V275" s="16"/>
      <c r="W275" s="16"/>
      <c r="X275" s="16"/>
      <c r="Y275" s="16"/>
      <c r="Z275" s="16"/>
      <c r="AA275" s="16"/>
      <c r="AB275" s="16"/>
      <c r="AC275" s="16"/>
      <c r="AD275" s="16"/>
    </row>
    <row r="276" ht="14.25" customHeight="1">
      <c r="A276" s="16"/>
      <c r="B276" s="16"/>
      <c r="C276" s="16"/>
      <c r="D276" s="16"/>
      <c r="E276" s="16"/>
      <c r="F276" s="16"/>
      <c r="G276" s="16"/>
      <c r="H276" s="16"/>
      <c r="I276" s="16"/>
      <c r="J276" s="16"/>
      <c r="K276" s="16"/>
      <c r="L276" s="16"/>
      <c r="M276" s="16"/>
      <c r="N276" s="16"/>
      <c r="O276" s="16"/>
      <c r="P276" s="17"/>
      <c r="Q276" s="16"/>
      <c r="R276" s="16"/>
      <c r="S276" s="16"/>
      <c r="T276" s="16"/>
      <c r="U276" s="16"/>
      <c r="V276" s="16"/>
      <c r="W276" s="16"/>
      <c r="X276" s="16"/>
      <c r="Y276" s="16"/>
      <c r="Z276" s="16"/>
      <c r="AA276" s="16"/>
      <c r="AB276" s="16"/>
      <c r="AC276" s="16"/>
      <c r="AD276" s="16"/>
    </row>
    <row r="277" ht="14.25" customHeight="1">
      <c r="A277" s="16"/>
      <c r="B277" s="16"/>
      <c r="C277" s="16"/>
      <c r="D277" s="16"/>
      <c r="E277" s="16"/>
      <c r="F277" s="16"/>
      <c r="G277" s="16"/>
      <c r="H277" s="16"/>
      <c r="I277" s="16"/>
      <c r="J277" s="16"/>
      <c r="K277" s="16"/>
      <c r="L277" s="16"/>
      <c r="M277" s="16"/>
      <c r="N277" s="16"/>
      <c r="O277" s="16"/>
      <c r="P277" s="17"/>
      <c r="Q277" s="16"/>
      <c r="R277" s="16"/>
      <c r="S277" s="16"/>
      <c r="T277" s="16"/>
      <c r="U277" s="16"/>
      <c r="V277" s="16"/>
      <c r="W277" s="16"/>
      <c r="X277" s="16"/>
      <c r="Y277" s="16"/>
      <c r="Z277" s="16"/>
      <c r="AA277" s="16"/>
      <c r="AB277" s="16"/>
      <c r="AC277" s="16"/>
      <c r="AD277" s="16"/>
    </row>
    <row r="278" ht="14.25" customHeight="1">
      <c r="A278" s="16"/>
      <c r="B278" s="16"/>
      <c r="C278" s="16"/>
      <c r="D278" s="16"/>
      <c r="E278" s="16"/>
      <c r="F278" s="16"/>
      <c r="G278" s="16"/>
      <c r="H278" s="16"/>
      <c r="I278" s="16"/>
      <c r="J278" s="16"/>
      <c r="K278" s="16"/>
      <c r="L278" s="16"/>
      <c r="M278" s="16"/>
      <c r="N278" s="16"/>
      <c r="O278" s="16"/>
      <c r="P278" s="17"/>
      <c r="Q278" s="16"/>
      <c r="R278" s="16"/>
      <c r="S278" s="16"/>
      <c r="T278" s="16"/>
      <c r="U278" s="16"/>
      <c r="V278" s="16"/>
      <c r="W278" s="16"/>
      <c r="X278" s="16"/>
      <c r="Y278" s="16"/>
      <c r="Z278" s="16"/>
      <c r="AA278" s="16"/>
      <c r="AB278" s="16"/>
      <c r="AC278" s="16"/>
      <c r="AD278" s="16"/>
    </row>
    <row r="279" ht="14.25" customHeight="1">
      <c r="A279" s="16"/>
      <c r="B279" s="16"/>
      <c r="C279" s="16"/>
      <c r="D279" s="16"/>
      <c r="E279" s="16"/>
      <c r="F279" s="16"/>
      <c r="G279" s="16"/>
      <c r="H279" s="16"/>
      <c r="I279" s="16"/>
      <c r="J279" s="16"/>
      <c r="K279" s="16"/>
      <c r="L279" s="16"/>
      <c r="M279" s="16"/>
      <c r="N279" s="16"/>
      <c r="O279" s="16"/>
      <c r="P279" s="17"/>
      <c r="Q279" s="16"/>
      <c r="R279" s="16"/>
      <c r="S279" s="16"/>
      <c r="T279" s="16"/>
      <c r="U279" s="16"/>
      <c r="V279" s="16"/>
      <c r="W279" s="16"/>
      <c r="X279" s="16"/>
      <c r="Y279" s="16"/>
      <c r="Z279" s="16"/>
      <c r="AA279" s="16"/>
      <c r="AB279" s="16"/>
      <c r="AC279" s="16"/>
      <c r="AD279" s="16"/>
    </row>
    <row r="280" ht="14.25" customHeight="1">
      <c r="A280" s="16"/>
      <c r="B280" s="16"/>
      <c r="C280" s="16"/>
      <c r="D280" s="16"/>
      <c r="E280" s="16"/>
      <c r="F280" s="16"/>
      <c r="G280" s="16"/>
      <c r="H280" s="16"/>
      <c r="I280" s="16"/>
      <c r="J280" s="16"/>
      <c r="K280" s="16"/>
      <c r="L280" s="16"/>
      <c r="M280" s="16"/>
      <c r="N280" s="16"/>
      <c r="O280" s="16"/>
      <c r="P280" s="17"/>
      <c r="Q280" s="16"/>
      <c r="R280" s="16"/>
      <c r="S280" s="16"/>
      <c r="T280" s="16"/>
      <c r="U280" s="16"/>
      <c r="V280" s="16"/>
      <c r="W280" s="16"/>
      <c r="X280" s="16"/>
      <c r="Y280" s="16"/>
      <c r="Z280" s="16"/>
      <c r="AA280" s="16"/>
      <c r="AB280" s="16"/>
      <c r="AC280" s="16"/>
      <c r="AD280" s="16"/>
    </row>
    <row r="281" ht="14.25" customHeight="1">
      <c r="A281" s="16"/>
      <c r="B281" s="16"/>
      <c r="C281" s="16"/>
      <c r="D281" s="16"/>
      <c r="E281" s="16"/>
      <c r="F281" s="16"/>
      <c r="G281" s="16"/>
      <c r="H281" s="16"/>
      <c r="I281" s="16"/>
      <c r="J281" s="16"/>
      <c r="K281" s="16"/>
      <c r="L281" s="16"/>
      <c r="M281" s="16"/>
      <c r="N281" s="16"/>
      <c r="O281" s="16"/>
      <c r="P281" s="17"/>
      <c r="Q281" s="16"/>
      <c r="R281" s="16"/>
      <c r="S281" s="16"/>
      <c r="T281" s="16"/>
      <c r="U281" s="16"/>
      <c r="V281" s="16"/>
      <c r="W281" s="16"/>
      <c r="X281" s="16"/>
      <c r="Y281" s="16"/>
      <c r="Z281" s="16"/>
      <c r="AA281" s="16"/>
      <c r="AB281" s="16"/>
      <c r="AC281" s="16"/>
      <c r="AD281" s="16"/>
    </row>
    <row r="282" ht="14.25" customHeight="1">
      <c r="A282" s="16"/>
      <c r="B282" s="16"/>
      <c r="C282" s="16"/>
      <c r="D282" s="16"/>
      <c r="E282" s="16"/>
      <c r="F282" s="16"/>
      <c r="G282" s="16"/>
      <c r="H282" s="16"/>
      <c r="I282" s="16"/>
      <c r="J282" s="16"/>
      <c r="K282" s="16"/>
      <c r="L282" s="16"/>
      <c r="M282" s="16"/>
      <c r="N282" s="16"/>
      <c r="O282" s="16"/>
      <c r="P282" s="17"/>
      <c r="Q282" s="16"/>
      <c r="R282" s="16"/>
      <c r="S282" s="16"/>
      <c r="T282" s="16"/>
      <c r="U282" s="16"/>
      <c r="V282" s="16"/>
      <c r="W282" s="16"/>
      <c r="X282" s="16"/>
      <c r="Y282" s="16"/>
      <c r="Z282" s="16"/>
      <c r="AA282" s="16"/>
      <c r="AB282" s="16"/>
      <c r="AC282" s="16"/>
      <c r="AD282" s="16"/>
    </row>
    <row r="283" ht="14.25" customHeight="1">
      <c r="A283" s="16"/>
      <c r="B283" s="16"/>
      <c r="C283" s="16"/>
      <c r="D283" s="16"/>
      <c r="E283" s="16"/>
      <c r="F283" s="16"/>
      <c r="G283" s="16"/>
      <c r="H283" s="16"/>
      <c r="I283" s="16"/>
      <c r="J283" s="16"/>
      <c r="K283" s="16"/>
      <c r="L283" s="16"/>
      <c r="M283" s="16"/>
      <c r="N283" s="16"/>
      <c r="O283" s="16"/>
      <c r="P283" s="17"/>
      <c r="Q283" s="16"/>
      <c r="R283" s="16"/>
      <c r="S283" s="16"/>
      <c r="T283" s="16"/>
      <c r="U283" s="16"/>
      <c r="V283" s="16"/>
      <c r="W283" s="16"/>
      <c r="X283" s="16"/>
      <c r="Y283" s="16"/>
      <c r="Z283" s="16"/>
      <c r="AA283" s="16"/>
      <c r="AB283" s="16"/>
      <c r="AC283" s="16"/>
      <c r="AD283" s="16"/>
    </row>
    <row r="284" ht="14.25" customHeight="1">
      <c r="A284" s="16"/>
      <c r="B284" s="16"/>
      <c r="C284" s="16"/>
      <c r="D284" s="16"/>
      <c r="E284" s="16"/>
      <c r="F284" s="16"/>
      <c r="G284" s="16"/>
      <c r="H284" s="16"/>
      <c r="I284" s="16"/>
      <c r="J284" s="16"/>
      <c r="K284" s="16"/>
      <c r="L284" s="16"/>
      <c r="M284" s="16"/>
      <c r="N284" s="16"/>
      <c r="O284" s="16"/>
      <c r="P284" s="17"/>
      <c r="Q284" s="16"/>
      <c r="R284" s="16"/>
      <c r="S284" s="16"/>
      <c r="T284" s="16"/>
      <c r="U284" s="16"/>
      <c r="V284" s="16"/>
      <c r="W284" s="16"/>
      <c r="X284" s="16"/>
      <c r="Y284" s="16"/>
      <c r="Z284" s="16"/>
      <c r="AA284" s="16"/>
      <c r="AB284" s="16"/>
      <c r="AC284" s="16"/>
      <c r="AD284" s="16"/>
    </row>
    <row r="285" ht="14.25" customHeight="1">
      <c r="A285" s="16"/>
      <c r="B285" s="16"/>
      <c r="C285" s="16"/>
      <c r="D285" s="16"/>
      <c r="E285" s="16"/>
      <c r="F285" s="16"/>
      <c r="G285" s="16"/>
      <c r="H285" s="16"/>
      <c r="I285" s="16"/>
      <c r="J285" s="16"/>
      <c r="K285" s="16"/>
      <c r="L285" s="16"/>
      <c r="M285" s="16"/>
      <c r="N285" s="16"/>
      <c r="O285" s="16"/>
      <c r="P285" s="17"/>
      <c r="Q285" s="16"/>
      <c r="R285" s="16"/>
      <c r="S285" s="16"/>
      <c r="T285" s="16"/>
      <c r="U285" s="16"/>
      <c r="V285" s="16"/>
      <c r="W285" s="16"/>
      <c r="X285" s="16"/>
      <c r="Y285" s="16"/>
      <c r="Z285" s="16"/>
      <c r="AA285" s="16"/>
      <c r="AB285" s="16"/>
      <c r="AC285" s="16"/>
      <c r="AD285" s="16"/>
    </row>
    <row r="286" ht="14.25" customHeight="1">
      <c r="A286" s="16"/>
      <c r="B286" s="16"/>
      <c r="C286" s="16"/>
      <c r="D286" s="16"/>
      <c r="E286" s="16"/>
      <c r="F286" s="16"/>
      <c r="G286" s="16"/>
      <c r="H286" s="16"/>
      <c r="I286" s="16"/>
      <c r="J286" s="16"/>
      <c r="K286" s="16"/>
      <c r="L286" s="16"/>
      <c r="M286" s="16"/>
      <c r="N286" s="16"/>
      <c r="O286" s="16"/>
      <c r="P286" s="17"/>
      <c r="Q286" s="16"/>
      <c r="R286" s="16"/>
      <c r="S286" s="16"/>
      <c r="T286" s="16"/>
      <c r="U286" s="16"/>
      <c r="V286" s="16"/>
      <c r="W286" s="16"/>
      <c r="X286" s="16"/>
      <c r="Y286" s="16"/>
      <c r="Z286" s="16"/>
      <c r="AA286" s="16"/>
      <c r="AB286" s="16"/>
      <c r="AC286" s="16"/>
      <c r="AD286" s="16"/>
    </row>
    <row r="287" ht="14.25" customHeight="1">
      <c r="A287" s="16"/>
      <c r="B287" s="16"/>
      <c r="C287" s="16"/>
      <c r="D287" s="16"/>
      <c r="E287" s="16"/>
      <c r="F287" s="16"/>
      <c r="G287" s="16"/>
      <c r="H287" s="16"/>
      <c r="I287" s="16"/>
      <c r="J287" s="16"/>
      <c r="K287" s="16"/>
      <c r="L287" s="16"/>
      <c r="M287" s="16"/>
      <c r="N287" s="16"/>
      <c r="O287" s="16"/>
      <c r="P287" s="17"/>
      <c r="Q287" s="16"/>
      <c r="R287" s="16"/>
      <c r="S287" s="16"/>
      <c r="T287" s="16"/>
      <c r="U287" s="16"/>
      <c r="V287" s="16"/>
      <c r="W287" s="16"/>
      <c r="X287" s="16"/>
      <c r="Y287" s="16"/>
      <c r="Z287" s="16"/>
      <c r="AA287" s="16"/>
      <c r="AB287" s="16"/>
      <c r="AC287" s="16"/>
      <c r="AD287" s="16"/>
    </row>
    <row r="288" ht="14.25" customHeight="1">
      <c r="A288" s="16"/>
      <c r="B288" s="16"/>
      <c r="C288" s="16"/>
      <c r="D288" s="16"/>
      <c r="E288" s="16"/>
      <c r="F288" s="16"/>
      <c r="G288" s="16"/>
      <c r="H288" s="16"/>
      <c r="I288" s="16"/>
      <c r="J288" s="16"/>
      <c r="K288" s="16"/>
      <c r="L288" s="16"/>
      <c r="M288" s="16"/>
      <c r="N288" s="16"/>
      <c r="O288" s="16"/>
      <c r="P288" s="17"/>
      <c r="Q288" s="16"/>
      <c r="R288" s="16"/>
      <c r="S288" s="16"/>
      <c r="T288" s="16"/>
      <c r="U288" s="16"/>
      <c r="V288" s="16"/>
      <c r="W288" s="16"/>
      <c r="X288" s="16"/>
      <c r="Y288" s="16"/>
      <c r="Z288" s="16"/>
      <c r="AA288" s="16"/>
      <c r="AB288" s="16"/>
      <c r="AC288" s="16"/>
      <c r="AD288" s="16"/>
    </row>
    <row r="289" ht="14.25" customHeight="1">
      <c r="A289" s="16"/>
      <c r="B289" s="16"/>
      <c r="C289" s="16"/>
      <c r="D289" s="16"/>
      <c r="E289" s="16"/>
      <c r="F289" s="16"/>
      <c r="G289" s="16"/>
      <c r="H289" s="16"/>
      <c r="I289" s="16"/>
      <c r="J289" s="16"/>
      <c r="K289" s="16"/>
      <c r="L289" s="16"/>
      <c r="M289" s="16"/>
      <c r="N289" s="16"/>
      <c r="O289" s="16"/>
      <c r="P289" s="17"/>
      <c r="Q289" s="16"/>
      <c r="R289" s="16"/>
      <c r="S289" s="16"/>
      <c r="T289" s="16"/>
      <c r="U289" s="16"/>
      <c r="V289" s="16"/>
      <c r="W289" s="16"/>
      <c r="X289" s="16"/>
      <c r="Y289" s="16"/>
      <c r="Z289" s="16"/>
      <c r="AA289" s="16"/>
      <c r="AB289" s="16"/>
      <c r="AC289" s="16"/>
      <c r="AD289" s="16"/>
    </row>
    <row r="290" ht="14.25" customHeight="1">
      <c r="A290" s="16"/>
      <c r="B290" s="16"/>
      <c r="C290" s="16"/>
      <c r="D290" s="16"/>
      <c r="E290" s="16"/>
      <c r="F290" s="16"/>
      <c r="G290" s="16"/>
      <c r="H290" s="16"/>
      <c r="I290" s="16"/>
      <c r="J290" s="16"/>
      <c r="K290" s="16"/>
      <c r="L290" s="16"/>
      <c r="M290" s="16"/>
      <c r="N290" s="16"/>
      <c r="O290" s="16"/>
      <c r="P290" s="17"/>
      <c r="Q290" s="16"/>
      <c r="R290" s="16"/>
      <c r="S290" s="16"/>
      <c r="T290" s="16"/>
      <c r="U290" s="16"/>
      <c r="V290" s="16"/>
      <c r="W290" s="16"/>
      <c r="X290" s="16"/>
      <c r="Y290" s="16"/>
      <c r="Z290" s="16"/>
      <c r="AA290" s="16"/>
      <c r="AB290" s="16"/>
      <c r="AC290" s="16"/>
      <c r="AD290" s="16"/>
    </row>
    <row r="291" ht="14.25" customHeight="1">
      <c r="A291" s="16"/>
      <c r="B291" s="16"/>
      <c r="C291" s="16"/>
      <c r="D291" s="16"/>
      <c r="E291" s="16"/>
      <c r="F291" s="16"/>
      <c r="G291" s="16"/>
      <c r="H291" s="16"/>
      <c r="I291" s="16"/>
      <c r="J291" s="16"/>
      <c r="K291" s="16"/>
      <c r="L291" s="16"/>
      <c r="M291" s="16"/>
      <c r="N291" s="16"/>
      <c r="O291" s="16"/>
      <c r="P291" s="17"/>
      <c r="Q291" s="16"/>
      <c r="R291" s="16"/>
      <c r="S291" s="16"/>
      <c r="T291" s="16"/>
      <c r="U291" s="16"/>
      <c r="V291" s="16"/>
      <c r="W291" s="16"/>
      <c r="X291" s="16"/>
      <c r="Y291" s="16"/>
      <c r="Z291" s="16"/>
      <c r="AA291" s="16"/>
      <c r="AB291" s="16"/>
      <c r="AC291" s="16"/>
      <c r="AD291" s="16"/>
    </row>
    <row r="292" ht="14.25" customHeight="1">
      <c r="A292" s="16"/>
      <c r="B292" s="16"/>
      <c r="C292" s="16"/>
      <c r="D292" s="16"/>
      <c r="E292" s="16"/>
      <c r="F292" s="16"/>
      <c r="G292" s="16"/>
      <c r="H292" s="16"/>
      <c r="I292" s="16"/>
      <c r="J292" s="16"/>
      <c r="K292" s="16"/>
      <c r="L292" s="16"/>
      <c r="M292" s="16"/>
      <c r="N292" s="16"/>
      <c r="O292" s="16"/>
      <c r="P292" s="17"/>
      <c r="Q292" s="16"/>
      <c r="R292" s="16"/>
      <c r="S292" s="16"/>
      <c r="T292" s="16"/>
      <c r="U292" s="16"/>
      <c r="V292" s="16"/>
      <c r="W292" s="16"/>
      <c r="X292" s="16"/>
      <c r="Y292" s="16"/>
      <c r="Z292" s="16"/>
      <c r="AA292" s="16"/>
      <c r="AB292" s="16"/>
      <c r="AC292" s="16"/>
      <c r="AD292" s="16"/>
    </row>
    <row r="293" ht="14.25" customHeight="1">
      <c r="A293" s="16"/>
      <c r="B293" s="16"/>
      <c r="C293" s="16"/>
      <c r="D293" s="16"/>
      <c r="E293" s="16"/>
      <c r="F293" s="16"/>
      <c r="G293" s="16"/>
      <c r="H293" s="16"/>
      <c r="I293" s="16"/>
      <c r="J293" s="16"/>
      <c r="K293" s="16"/>
      <c r="L293" s="16"/>
      <c r="M293" s="16"/>
      <c r="N293" s="16"/>
      <c r="O293" s="16"/>
      <c r="P293" s="17"/>
      <c r="Q293" s="16"/>
      <c r="R293" s="16"/>
      <c r="S293" s="16"/>
      <c r="T293" s="16"/>
      <c r="U293" s="16"/>
      <c r="V293" s="16"/>
      <c r="W293" s="16"/>
      <c r="X293" s="16"/>
      <c r="Y293" s="16"/>
      <c r="Z293" s="16"/>
      <c r="AA293" s="16"/>
      <c r="AB293" s="16"/>
      <c r="AC293" s="16"/>
      <c r="AD293" s="16"/>
    </row>
    <row r="294" ht="14.25" customHeight="1">
      <c r="A294" s="16"/>
      <c r="B294" s="16"/>
      <c r="C294" s="16"/>
      <c r="D294" s="16"/>
      <c r="E294" s="16"/>
      <c r="F294" s="16"/>
      <c r="G294" s="16"/>
      <c r="H294" s="16"/>
      <c r="I294" s="16"/>
      <c r="J294" s="16"/>
      <c r="K294" s="16"/>
      <c r="L294" s="16"/>
      <c r="M294" s="16"/>
      <c r="N294" s="16"/>
      <c r="O294" s="16"/>
      <c r="P294" s="17"/>
      <c r="Q294" s="16"/>
      <c r="R294" s="16"/>
      <c r="S294" s="16"/>
      <c r="T294" s="16"/>
      <c r="U294" s="16"/>
      <c r="V294" s="16"/>
      <c r="W294" s="16"/>
      <c r="X294" s="16"/>
      <c r="Y294" s="16"/>
      <c r="Z294" s="16"/>
      <c r="AA294" s="16"/>
      <c r="AB294" s="16"/>
      <c r="AC294" s="16"/>
      <c r="AD294" s="16"/>
    </row>
    <row r="295" ht="14.25" customHeight="1">
      <c r="A295" s="16"/>
      <c r="B295" s="16"/>
      <c r="C295" s="16"/>
      <c r="D295" s="16"/>
      <c r="E295" s="16"/>
      <c r="F295" s="16"/>
      <c r="G295" s="16"/>
      <c r="H295" s="16"/>
      <c r="I295" s="16"/>
      <c r="J295" s="16"/>
      <c r="K295" s="16"/>
      <c r="L295" s="16"/>
      <c r="M295" s="16"/>
      <c r="N295" s="16"/>
      <c r="O295" s="16"/>
      <c r="P295" s="17"/>
      <c r="Q295" s="16"/>
      <c r="R295" s="16"/>
      <c r="S295" s="16"/>
      <c r="T295" s="16"/>
      <c r="U295" s="16"/>
      <c r="V295" s="16"/>
      <c r="W295" s="16"/>
      <c r="X295" s="16"/>
      <c r="Y295" s="16"/>
      <c r="Z295" s="16"/>
      <c r="AA295" s="16"/>
      <c r="AB295" s="16"/>
      <c r="AC295" s="16"/>
      <c r="AD295" s="16"/>
    </row>
    <row r="296" ht="14.25" customHeight="1">
      <c r="A296" s="16"/>
      <c r="B296" s="16"/>
      <c r="C296" s="16"/>
      <c r="D296" s="16"/>
      <c r="E296" s="16"/>
      <c r="F296" s="16"/>
      <c r="G296" s="16"/>
      <c r="H296" s="16"/>
      <c r="I296" s="16"/>
      <c r="J296" s="16"/>
      <c r="K296" s="16"/>
      <c r="L296" s="16"/>
      <c r="M296" s="16"/>
      <c r="N296" s="16"/>
      <c r="O296" s="16"/>
      <c r="P296" s="17"/>
      <c r="Q296" s="16"/>
      <c r="R296" s="16"/>
      <c r="S296" s="16"/>
      <c r="T296" s="16"/>
      <c r="U296" s="16"/>
      <c r="V296" s="16"/>
      <c r="W296" s="16"/>
      <c r="X296" s="16"/>
      <c r="Y296" s="16"/>
      <c r="Z296" s="16"/>
      <c r="AA296" s="16"/>
      <c r="AB296" s="16"/>
      <c r="AC296" s="16"/>
      <c r="AD296" s="16"/>
    </row>
    <row r="297" ht="14.25" customHeight="1">
      <c r="A297" s="16"/>
      <c r="B297" s="16"/>
      <c r="C297" s="16"/>
      <c r="D297" s="16"/>
      <c r="E297" s="16"/>
      <c r="F297" s="16"/>
      <c r="G297" s="16"/>
      <c r="H297" s="16"/>
      <c r="I297" s="16"/>
      <c r="J297" s="16"/>
      <c r="K297" s="16"/>
      <c r="L297" s="16"/>
      <c r="M297" s="16"/>
      <c r="N297" s="16"/>
      <c r="O297" s="16"/>
      <c r="P297" s="17"/>
      <c r="Q297" s="16"/>
      <c r="R297" s="16"/>
      <c r="S297" s="16"/>
      <c r="T297" s="16"/>
      <c r="U297" s="16"/>
      <c r="V297" s="16"/>
      <c r="W297" s="16"/>
      <c r="X297" s="16"/>
      <c r="Y297" s="16"/>
      <c r="Z297" s="16"/>
      <c r="AA297" s="16"/>
      <c r="AB297" s="16"/>
      <c r="AC297" s="16"/>
      <c r="AD297" s="16"/>
    </row>
    <row r="298" ht="14.25" customHeight="1">
      <c r="A298" s="16"/>
      <c r="B298" s="16"/>
      <c r="C298" s="16"/>
      <c r="D298" s="16"/>
      <c r="E298" s="16"/>
      <c r="F298" s="16"/>
      <c r="G298" s="16"/>
      <c r="H298" s="16"/>
      <c r="I298" s="16"/>
      <c r="J298" s="16"/>
      <c r="K298" s="16"/>
      <c r="L298" s="16"/>
      <c r="M298" s="16"/>
      <c r="N298" s="16"/>
      <c r="O298" s="16"/>
      <c r="P298" s="17"/>
      <c r="Q298" s="16"/>
      <c r="R298" s="16"/>
      <c r="S298" s="16"/>
      <c r="T298" s="16"/>
      <c r="U298" s="16"/>
      <c r="V298" s="16"/>
      <c r="W298" s="16"/>
      <c r="X298" s="16"/>
      <c r="Y298" s="16"/>
      <c r="Z298" s="16"/>
      <c r="AA298" s="16"/>
      <c r="AB298" s="16"/>
      <c r="AC298" s="16"/>
      <c r="AD298" s="16"/>
    </row>
    <row r="299" ht="14.25" customHeight="1">
      <c r="A299" s="16"/>
      <c r="B299" s="16"/>
      <c r="C299" s="16"/>
      <c r="D299" s="16"/>
      <c r="E299" s="16"/>
      <c r="F299" s="16"/>
      <c r="G299" s="16"/>
      <c r="H299" s="16"/>
      <c r="I299" s="16"/>
      <c r="J299" s="16"/>
      <c r="K299" s="16"/>
      <c r="L299" s="16"/>
      <c r="M299" s="16"/>
      <c r="N299" s="16"/>
      <c r="O299" s="16"/>
      <c r="P299" s="17"/>
      <c r="Q299" s="16"/>
      <c r="R299" s="16"/>
      <c r="S299" s="16"/>
      <c r="T299" s="16"/>
      <c r="U299" s="16"/>
      <c r="V299" s="16"/>
      <c r="W299" s="16"/>
      <c r="X299" s="16"/>
      <c r="Y299" s="16"/>
      <c r="Z299" s="16"/>
      <c r="AA299" s="16"/>
      <c r="AB299" s="16"/>
      <c r="AC299" s="16"/>
      <c r="AD299" s="16"/>
    </row>
    <row r="300" ht="14.25" customHeight="1">
      <c r="A300" s="16"/>
      <c r="B300" s="16"/>
      <c r="C300" s="16"/>
      <c r="D300" s="16"/>
      <c r="E300" s="16"/>
      <c r="F300" s="16"/>
      <c r="G300" s="16"/>
      <c r="H300" s="16"/>
      <c r="I300" s="16"/>
      <c r="J300" s="16"/>
      <c r="K300" s="16"/>
      <c r="L300" s="16"/>
      <c r="M300" s="16"/>
      <c r="N300" s="16"/>
      <c r="O300" s="16"/>
      <c r="P300" s="17"/>
      <c r="Q300" s="16"/>
      <c r="R300" s="16"/>
      <c r="S300" s="16"/>
      <c r="T300" s="16"/>
      <c r="U300" s="16"/>
      <c r="V300" s="16"/>
      <c r="W300" s="16"/>
      <c r="X300" s="16"/>
      <c r="Y300" s="16"/>
      <c r="Z300" s="16"/>
      <c r="AA300" s="16"/>
      <c r="AB300" s="16"/>
      <c r="AC300" s="16"/>
      <c r="AD300" s="16"/>
    </row>
    <row r="301" ht="14.25" customHeight="1">
      <c r="A301" s="16"/>
      <c r="B301" s="16"/>
      <c r="C301" s="16"/>
      <c r="D301" s="16"/>
      <c r="E301" s="16"/>
      <c r="F301" s="16"/>
      <c r="G301" s="16"/>
      <c r="H301" s="16"/>
      <c r="I301" s="16"/>
      <c r="J301" s="16"/>
      <c r="K301" s="16"/>
      <c r="L301" s="16"/>
      <c r="M301" s="16"/>
      <c r="N301" s="16"/>
      <c r="O301" s="16"/>
      <c r="P301" s="17"/>
      <c r="Q301" s="16"/>
      <c r="R301" s="16"/>
      <c r="S301" s="16"/>
      <c r="T301" s="16"/>
      <c r="U301" s="16"/>
      <c r="V301" s="16"/>
      <c r="W301" s="16"/>
      <c r="X301" s="16"/>
      <c r="Y301" s="16"/>
      <c r="Z301" s="16"/>
      <c r="AA301" s="16"/>
      <c r="AB301" s="16"/>
      <c r="AC301" s="16"/>
      <c r="AD301" s="16"/>
    </row>
    <row r="302" ht="14.25" customHeight="1">
      <c r="A302" s="16"/>
      <c r="B302" s="16"/>
      <c r="C302" s="16"/>
      <c r="D302" s="16"/>
      <c r="E302" s="16"/>
      <c r="F302" s="16"/>
      <c r="G302" s="16"/>
      <c r="H302" s="16"/>
      <c r="I302" s="16"/>
      <c r="J302" s="16"/>
      <c r="K302" s="16"/>
      <c r="L302" s="16"/>
      <c r="M302" s="16"/>
      <c r="N302" s="16"/>
      <c r="O302" s="16"/>
      <c r="P302" s="17"/>
      <c r="Q302" s="16"/>
      <c r="R302" s="16"/>
      <c r="S302" s="16"/>
      <c r="T302" s="16"/>
      <c r="U302" s="16"/>
      <c r="V302" s="16"/>
      <c r="W302" s="16"/>
      <c r="X302" s="16"/>
      <c r="Y302" s="16"/>
      <c r="Z302" s="16"/>
      <c r="AA302" s="16"/>
      <c r="AB302" s="16"/>
      <c r="AC302" s="16"/>
      <c r="AD302" s="16"/>
    </row>
    <row r="303" ht="14.25" customHeight="1">
      <c r="A303" s="16"/>
      <c r="B303" s="16"/>
      <c r="C303" s="16"/>
      <c r="D303" s="16"/>
      <c r="E303" s="16"/>
      <c r="F303" s="16"/>
      <c r="G303" s="16"/>
      <c r="H303" s="16"/>
      <c r="I303" s="16"/>
      <c r="J303" s="16"/>
      <c r="K303" s="16"/>
      <c r="L303" s="16"/>
      <c r="M303" s="16"/>
      <c r="N303" s="16"/>
      <c r="O303" s="16"/>
      <c r="P303" s="17"/>
      <c r="Q303" s="16"/>
      <c r="R303" s="16"/>
      <c r="S303" s="16"/>
      <c r="T303" s="16"/>
      <c r="U303" s="16"/>
      <c r="V303" s="16"/>
      <c r="W303" s="16"/>
      <c r="X303" s="16"/>
      <c r="Y303" s="16"/>
      <c r="Z303" s="16"/>
      <c r="AA303" s="16"/>
      <c r="AB303" s="16"/>
      <c r="AC303" s="16"/>
      <c r="AD303" s="16"/>
    </row>
    <row r="304" ht="14.25" customHeight="1">
      <c r="A304" s="16"/>
      <c r="B304" s="16"/>
      <c r="C304" s="16"/>
      <c r="D304" s="16"/>
      <c r="E304" s="16"/>
      <c r="F304" s="16"/>
      <c r="G304" s="16"/>
      <c r="H304" s="16"/>
      <c r="I304" s="16"/>
      <c r="J304" s="16"/>
      <c r="K304" s="16"/>
      <c r="L304" s="16"/>
      <c r="M304" s="16"/>
      <c r="N304" s="16"/>
      <c r="O304" s="16"/>
      <c r="P304" s="17"/>
      <c r="Q304" s="16"/>
      <c r="R304" s="16"/>
      <c r="S304" s="16"/>
      <c r="T304" s="16"/>
      <c r="U304" s="16"/>
      <c r="V304" s="16"/>
      <c r="W304" s="16"/>
      <c r="X304" s="16"/>
      <c r="Y304" s="16"/>
      <c r="Z304" s="16"/>
      <c r="AA304" s="16"/>
      <c r="AB304" s="16"/>
      <c r="AC304" s="16"/>
      <c r="AD304" s="16"/>
    </row>
    <row r="305" ht="14.25" customHeight="1">
      <c r="A305" s="16"/>
      <c r="B305" s="16"/>
      <c r="C305" s="16"/>
      <c r="D305" s="16"/>
      <c r="E305" s="16"/>
      <c r="F305" s="16"/>
      <c r="G305" s="16"/>
      <c r="H305" s="16"/>
      <c r="I305" s="16"/>
      <c r="J305" s="16"/>
      <c r="K305" s="16"/>
      <c r="L305" s="16"/>
      <c r="M305" s="16"/>
      <c r="N305" s="16"/>
      <c r="O305" s="16"/>
      <c r="P305" s="17"/>
      <c r="Q305" s="16"/>
      <c r="R305" s="16"/>
      <c r="S305" s="16"/>
      <c r="T305" s="16"/>
      <c r="U305" s="16"/>
      <c r="V305" s="16"/>
      <c r="W305" s="16"/>
      <c r="X305" s="16"/>
      <c r="Y305" s="16"/>
      <c r="Z305" s="16"/>
      <c r="AA305" s="16"/>
      <c r="AB305" s="16"/>
      <c r="AC305" s="16"/>
      <c r="AD305" s="16"/>
    </row>
    <row r="306" ht="14.25" customHeight="1">
      <c r="A306" s="16"/>
      <c r="B306" s="16"/>
      <c r="C306" s="16"/>
      <c r="D306" s="16"/>
      <c r="E306" s="16"/>
      <c r="F306" s="16"/>
      <c r="G306" s="16"/>
      <c r="H306" s="16"/>
      <c r="I306" s="16"/>
      <c r="J306" s="16"/>
      <c r="K306" s="16"/>
      <c r="L306" s="16"/>
      <c r="M306" s="16"/>
      <c r="N306" s="16"/>
      <c r="O306" s="16"/>
      <c r="P306" s="17"/>
      <c r="Q306" s="16"/>
      <c r="R306" s="16"/>
      <c r="S306" s="16"/>
      <c r="T306" s="16"/>
      <c r="U306" s="16"/>
      <c r="V306" s="16"/>
      <c r="W306" s="16"/>
      <c r="X306" s="16"/>
      <c r="Y306" s="16"/>
      <c r="Z306" s="16"/>
      <c r="AA306" s="16"/>
      <c r="AB306" s="16"/>
      <c r="AC306" s="16"/>
      <c r="AD306" s="16"/>
    </row>
    <row r="307" ht="14.25" customHeight="1">
      <c r="A307" s="16"/>
      <c r="B307" s="16"/>
      <c r="C307" s="16"/>
      <c r="D307" s="16"/>
      <c r="E307" s="16"/>
      <c r="F307" s="16"/>
      <c r="G307" s="16"/>
      <c r="H307" s="16"/>
      <c r="I307" s="16"/>
      <c r="J307" s="16"/>
      <c r="K307" s="16"/>
      <c r="L307" s="16"/>
      <c r="M307" s="16"/>
      <c r="N307" s="16"/>
      <c r="O307" s="16"/>
      <c r="P307" s="17"/>
      <c r="Q307" s="16"/>
      <c r="R307" s="16"/>
      <c r="S307" s="16"/>
      <c r="T307" s="16"/>
      <c r="U307" s="16"/>
      <c r="V307" s="16"/>
      <c r="W307" s="16"/>
      <c r="X307" s="16"/>
      <c r="Y307" s="16"/>
      <c r="Z307" s="16"/>
      <c r="AA307" s="16"/>
      <c r="AB307" s="16"/>
      <c r="AC307" s="16"/>
      <c r="AD307" s="16"/>
    </row>
    <row r="308" ht="14.25" customHeight="1">
      <c r="A308" s="16"/>
      <c r="B308" s="16"/>
      <c r="C308" s="16"/>
      <c r="D308" s="16"/>
      <c r="E308" s="16"/>
      <c r="F308" s="16"/>
      <c r="G308" s="16"/>
      <c r="H308" s="16"/>
      <c r="I308" s="16"/>
      <c r="J308" s="16"/>
      <c r="K308" s="16"/>
      <c r="L308" s="16"/>
      <c r="M308" s="16"/>
      <c r="N308" s="16"/>
      <c r="O308" s="16"/>
      <c r="P308" s="17"/>
      <c r="Q308" s="16"/>
      <c r="R308" s="16"/>
      <c r="S308" s="16"/>
      <c r="T308" s="16"/>
      <c r="U308" s="16"/>
      <c r="V308" s="16"/>
      <c r="W308" s="16"/>
      <c r="X308" s="16"/>
      <c r="Y308" s="16"/>
      <c r="Z308" s="16"/>
      <c r="AA308" s="16"/>
      <c r="AB308" s="16"/>
      <c r="AC308" s="16"/>
      <c r="AD308" s="16"/>
    </row>
    <row r="309" ht="14.25" customHeight="1">
      <c r="A309" s="16"/>
      <c r="B309" s="16"/>
      <c r="C309" s="16"/>
      <c r="D309" s="16"/>
      <c r="E309" s="16"/>
      <c r="F309" s="16"/>
      <c r="G309" s="16"/>
      <c r="H309" s="16"/>
      <c r="I309" s="16"/>
      <c r="J309" s="16"/>
      <c r="K309" s="16"/>
      <c r="L309" s="16"/>
      <c r="M309" s="16"/>
      <c r="N309" s="16"/>
      <c r="O309" s="16"/>
      <c r="P309" s="17"/>
      <c r="Q309" s="16"/>
      <c r="R309" s="16"/>
      <c r="S309" s="16"/>
      <c r="T309" s="16"/>
      <c r="U309" s="16"/>
      <c r="V309" s="16"/>
      <c r="W309" s="16"/>
      <c r="X309" s="16"/>
      <c r="Y309" s="16"/>
      <c r="Z309" s="16"/>
      <c r="AA309" s="16"/>
      <c r="AB309" s="16"/>
      <c r="AC309" s="16"/>
      <c r="AD309" s="16"/>
    </row>
    <row r="310" ht="14.25" customHeight="1">
      <c r="A310" s="16"/>
      <c r="B310" s="16"/>
      <c r="C310" s="16"/>
      <c r="D310" s="16"/>
      <c r="E310" s="16"/>
      <c r="F310" s="16"/>
      <c r="G310" s="16"/>
      <c r="H310" s="16"/>
      <c r="I310" s="16"/>
      <c r="J310" s="16"/>
      <c r="K310" s="16"/>
      <c r="L310" s="16"/>
      <c r="M310" s="16"/>
      <c r="N310" s="16"/>
      <c r="O310" s="16"/>
      <c r="P310" s="17"/>
      <c r="Q310" s="16"/>
      <c r="R310" s="16"/>
      <c r="S310" s="16"/>
      <c r="T310" s="16"/>
      <c r="U310" s="16"/>
      <c r="V310" s="16"/>
      <c r="W310" s="16"/>
      <c r="X310" s="16"/>
      <c r="Y310" s="16"/>
      <c r="Z310" s="16"/>
      <c r="AA310" s="16"/>
      <c r="AB310" s="16"/>
      <c r="AC310" s="16"/>
      <c r="AD310" s="16"/>
    </row>
    <row r="311" ht="14.25" customHeight="1">
      <c r="A311" s="16"/>
      <c r="B311" s="16"/>
      <c r="C311" s="16"/>
      <c r="D311" s="16"/>
      <c r="E311" s="16"/>
      <c r="F311" s="16"/>
      <c r="G311" s="16"/>
      <c r="H311" s="16"/>
      <c r="I311" s="16"/>
      <c r="J311" s="16"/>
      <c r="K311" s="16"/>
      <c r="L311" s="16"/>
      <c r="M311" s="16"/>
      <c r="N311" s="16"/>
      <c r="O311" s="16"/>
      <c r="P311" s="17"/>
      <c r="Q311" s="16"/>
      <c r="R311" s="16"/>
      <c r="S311" s="16"/>
      <c r="T311" s="16"/>
      <c r="U311" s="16"/>
      <c r="V311" s="16"/>
      <c r="W311" s="16"/>
      <c r="X311" s="16"/>
      <c r="Y311" s="16"/>
      <c r="Z311" s="16"/>
      <c r="AA311" s="16"/>
      <c r="AB311" s="16"/>
      <c r="AC311" s="16"/>
      <c r="AD311" s="16"/>
    </row>
    <row r="312" ht="14.25" customHeight="1">
      <c r="A312" s="16"/>
      <c r="B312" s="16"/>
      <c r="C312" s="16"/>
      <c r="D312" s="16"/>
      <c r="E312" s="16"/>
      <c r="F312" s="16"/>
      <c r="G312" s="16"/>
      <c r="H312" s="16"/>
      <c r="I312" s="16"/>
      <c r="J312" s="16"/>
      <c r="K312" s="16"/>
      <c r="L312" s="16"/>
      <c r="M312" s="16"/>
      <c r="N312" s="16"/>
      <c r="O312" s="16"/>
      <c r="P312" s="17"/>
      <c r="Q312" s="16"/>
      <c r="R312" s="16"/>
      <c r="S312" s="16"/>
      <c r="T312" s="16"/>
      <c r="U312" s="16"/>
      <c r="V312" s="16"/>
      <c r="W312" s="16"/>
      <c r="X312" s="16"/>
      <c r="Y312" s="16"/>
      <c r="Z312" s="16"/>
      <c r="AA312" s="16"/>
      <c r="AB312" s="16"/>
      <c r="AC312" s="16"/>
      <c r="AD312" s="16"/>
    </row>
    <row r="313" ht="14.25" customHeight="1">
      <c r="A313" s="16"/>
      <c r="B313" s="16"/>
      <c r="C313" s="16"/>
      <c r="D313" s="16"/>
      <c r="E313" s="16"/>
      <c r="F313" s="16"/>
      <c r="G313" s="16"/>
      <c r="H313" s="16"/>
      <c r="I313" s="16"/>
      <c r="J313" s="16"/>
      <c r="K313" s="16"/>
      <c r="L313" s="16"/>
      <c r="M313" s="16"/>
      <c r="N313" s="16"/>
      <c r="O313" s="16"/>
      <c r="P313" s="17"/>
      <c r="Q313" s="16"/>
      <c r="R313" s="16"/>
      <c r="S313" s="16"/>
      <c r="T313" s="16"/>
      <c r="U313" s="16"/>
      <c r="V313" s="16"/>
      <c r="W313" s="16"/>
      <c r="X313" s="16"/>
      <c r="Y313" s="16"/>
      <c r="Z313" s="16"/>
      <c r="AA313" s="16"/>
      <c r="AB313" s="16"/>
      <c r="AC313" s="16"/>
      <c r="AD313" s="16"/>
    </row>
    <row r="314" ht="14.25" customHeight="1">
      <c r="A314" s="16"/>
      <c r="B314" s="16"/>
      <c r="C314" s="16"/>
      <c r="D314" s="16"/>
      <c r="E314" s="16"/>
      <c r="F314" s="16"/>
      <c r="G314" s="16"/>
      <c r="H314" s="16"/>
      <c r="I314" s="16"/>
      <c r="J314" s="16"/>
      <c r="K314" s="16"/>
      <c r="L314" s="16"/>
      <c r="M314" s="16"/>
      <c r="N314" s="16"/>
      <c r="O314" s="16"/>
      <c r="P314" s="17"/>
      <c r="Q314" s="16"/>
      <c r="R314" s="16"/>
      <c r="S314" s="16"/>
      <c r="T314" s="16"/>
      <c r="U314" s="16"/>
      <c r="V314" s="16"/>
      <c r="W314" s="16"/>
      <c r="X314" s="16"/>
      <c r="Y314" s="16"/>
      <c r="Z314" s="16"/>
      <c r="AA314" s="16"/>
      <c r="AB314" s="16"/>
      <c r="AC314" s="16"/>
      <c r="AD314" s="16"/>
    </row>
    <row r="315" ht="14.25" customHeight="1">
      <c r="A315" s="16"/>
      <c r="B315" s="16"/>
      <c r="C315" s="16"/>
      <c r="D315" s="16"/>
      <c r="E315" s="16"/>
      <c r="F315" s="16"/>
      <c r="G315" s="16"/>
      <c r="H315" s="16"/>
      <c r="I315" s="16"/>
      <c r="J315" s="16"/>
      <c r="K315" s="16"/>
      <c r="L315" s="16"/>
      <c r="M315" s="16"/>
      <c r="N315" s="16"/>
      <c r="O315" s="16"/>
      <c r="P315" s="17"/>
      <c r="Q315" s="16"/>
      <c r="R315" s="16"/>
      <c r="S315" s="16"/>
      <c r="T315" s="16"/>
      <c r="U315" s="16"/>
      <c r="V315" s="16"/>
      <c r="W315" s="16"/>
      <c r="X315" s="16"/>
      <c r="Y315" s="16"/>
      <c r="Z315" s="16"/>
      <c r="AA315" s="16"/>
      <c r="AB315" s="16"/>
      <c r="AC315" s="16"/>
      <c r="AD315" s="16"/>
    </row>
    <row r="316" ht="14.25" customHeight="1">
      <c r="A316" s="16"/>
      <c r="B316" s="16"/>
      <c r="C316" s="16"/>
      <c r="D316" s="16"/>
      <c r="E316" s="16"/>
      <c r="F316" s="16"/>
      <c r="G316" s="16"/>
      <c r="H316" s="16"/>
      <c r="I316" s="16"/>
      <c r="J316" s="16"/>
      <c r="K316" s="16"/>
      <c r="L316" s="16"/>
      <c r="M316" s="16"/>
      <c r="N316" s="16"/>
      <c r="O316" s="16"/>
      <c r="P316" s="17"/>
      <c r="Q316" s="16"/>
      <c r="R316" s="16"/>
      <c r="S316" s="16"/>
      <c r="T316" s="16"/>
      <c r="U316" s="16"/>
      <c r="V316" s="16"/>
      <c r="W316" s="16"/>
      <c r="X316" s="16"/>
      <c r="Y316" s="16"/>
      <c r="Z316" s="16"/>
      <c r="AA316" s="16"/>
      <c r="AB316" s="16"/>
      <c r="AC316" s="16"/>
      <c r="AD316" s="16"/>
    </row>
    <row r="317" ht="14.25" customHeight="1">
      <c r="A317" s="16"/>
      <c r="B317" s="16"/>
      <c r="C317" s="16"/>
      <c r="D317" s="16"/>
      <c r="E317" s="16"/>
      <c r="F317" s="16"/>
      <c r="G317" s="16"/>
      <c r="H317" s="16"/>
      <c r="I317" s="16"/>
      <c r="J317" s="16"/>
      <c r="K317" s="16"/>
      <c r="L317" s="16"/>
      <c r="M317" s="16"/>
      <c r="N317" s="16"/>
      <c r="O317" s="16"/>
      <c r="P317" s="17"/>
      <c r="Q317" s="16"/>
      <c r="R317" s="16"/>
      <c r="S317" s="16"/>
      <c r="T317" s="16"/>
      <c r="U317" s="16"/>
      <c r="V317" s="16"/>
      <c r="W317" s="16"/>
      <c r="X317" s="16"/>
      <c r="Y317" s="16"/>
      <c r="Z317" s="16"/>
      <c r="AA317" s="16"/>
      <c r="AB317" s="16"/>
      <c r="AC317" s="16"/>
      <c r="AD317" s="16"/>
    </row>
    <row r="318" ht="14.25" customHeight="1">
      <c r="A318" s="16"/>
      <c r="B318" s="16"/>
      <c r="C318" s="16"/>
      <c r="D318" s="16"/>
      <c r="E318" s="16"/>
      <c r="F318" s="16"/>
      <c r="G318" s="16"/>
      <c r="H318" s="16"/>
      <c r="I318" s="16"/>
      <c r="J318" s="16"/>
      <c r="K318" s="16"/>
      <c r="L318" s="16"/>
      <c r="M318" s="16"/>
      <c r="N318" s="16"/>
      <c r="O318" s="16"/>
      <c r="P318" s="17"/>
      <c r="Q318" s="16"/>
      <c r="R318" s="16"/>
      <c r="S318" s="16"/>
      <c r="T318" s="16"/>
      <c r="U318" s="16"/>
      <c r="V318" s="16"/>
      <c r="W318" s="16"/>
      <c r="X318" s="16"/>
      <c r="Y318" s="16"/>
      <c r="Z318" s="16"/>
      <c r="AA318" s="16"/>
      <c r="AB318" s="16"/>
      <c r="AC318" s="16"/>
      <c r="AD318" s="16"/>
    </row>
    <row r="319" ht="14.25" customHeight="1">
      <c r="A319" s="16"/>
      <c r="B319" s="16"/>
      <c r="C319" s="16"/>
      <c r="D319" s="16"/>
      <c r="E319" s="16"/>
      <c r="F319" s="16"/>
      <c r="G319" s="16"/>
      <c r="H319" s="16"/>
      <c r="I319" s="16"/>
      <c r="J319" s="16"/>
      <c r="K319" s="16"/>
      <c r="L319" s="16"/>
      <c r="M319" s="16"/>
      <c r="N319" s="16"/>
      <c r="O319" s="16"/>
      <c r="P319" s="17"/>
      <c r="Q319" s="16"/>
      <c r="R319" s="16"/>
      <c r="S319" s="16"/>
      <c r="T319" s="16"/>
      <c r="U319" s="16"/>
      <c r="V319" s="16"/>
      <c r="W319" s="16"/>
      <c r="X319" s="16"/>
      <c r="Y319" s="16"/>
      <c r="Z319" s="16"/>
      <c r="AA319" s="16"/>
      <c r="AB319" s="16"/>
      <c r="AC319" s="16"/>
      <c r="AD319" s="16"/>
    </row>
    <row r="320" ht="14.25" customHeight="1">
      <c r="A320" s="16"/>
      <c r="B320" s="16"/>
      <c r="C320" s="16"/>
      <c r="D320" s="16"/>
      <c r="E320" s="16"/>
      <c r="F320" s="16"/>
      <c r="G320" s="16"/>
      <c r="H320" s="16"/>
      <c r="I320" s="16"/>
      <c r="J320" s="16"/>
      <c r="K320" s="16"/>
      <c r="L320" s="16"/>
      <c r="M320" s="16"/>
      <c r="N320" s="16"/>
      <c r="O320" s="16"/>
      <c r="P320" s="17"/>
      <c r="Q320" s="16"/>
      <c r="R320" s="16"/>
      <c r="S320" s="16"/>
      <c r="T320" s="16"/>
      <c r="U320" s="16"/>
      <c r="V320" s="16"/>
      <c r="W320" s="16"/>
      <c r="X320" s="16"/>
      <c r="Y320" s="16"/>
      <c r="Z320" s="16"/>
      <c r="AA320" s="16"/>
      <c r="AB320" s="16"/>
      <c r="AC320" s="16"/>
      <c r="AD320" s="16"/>
    </row>
    <row r="321" ht="14.25" customHeight="1">
      <c r="A321" s="16"/>
      <c r="B321" s="16"/>
      <c r="C321" s="16"/>
      <c r="D321" s="16"/>
      <c r="E321" s="16"/>
      <c r="F321" s="16"/>
      <c r="G321" s="16"/>
      <c r="H321" s="16"/>
      <c r="I321" s="16"/>
      <c r="J321" s="16"/>
      <c r="K321" s="16"/>
      <c r="L321" s="16"/>
      <c r="M321" s="16"/>
      <c r="N321" s="16"/>
      <c r="O321" s="16"/>
      <c r="P321" s="17"/>
      <c r="Q321" s="16"/>
      <c r="R321" s="16"/>
      <c r="S321" s="16"/>
      <c r="T321" s="16"/>
      <c r="U321" s="16"/>
      <c r="V321" s="16"/>
      <c r="W321" s="16"/>
      <c r="X321" s="16"/>
      <c r="Y321" s="16"/>
      <c r="Z321" s="16"/>
      <c r="AA321" s="16"/>
      <c r="AB321" s="16"/>
      <c r="AC321" s="16"/>
      <c r="AD321" s="16"/>
    </row>
    <row r="322" ht="14.25" customHeight="1">
      <c r="A322" s="16"/>
      <c r="B322" s="16"/>
      <c r="C322" s="16"/>
      <c r="D322" s="16"/>
      <c r="E322" s="16"/>
      <c r="F322" s="16"/>
      <c r="G322" s="16"/>
      <c r="H322" s="16"/>
      <c r="I322" s="16"/>
      <c r="J322" s="16"/>
      <c r="K322" s="16"/>
      <c r="L322" s="16"/>
      <c r="M322" s="16"/>
      <c r="N322" s="16"/>
      <c r="O322" s="16"/>
      <c r="P322" s="17"/>
      <c r="Q322" s="16"/>
      <c r="R322" s="16"/>
      <c r="S322" s="16"/>
      <c r="T322" s="16"/>
      <c r="U322" s="16"/>
      <c r="V322" s="16"/>
      <c r="W322" s="16"/>
      <c r="X322" s="16"/>
      <c r="Y322" s="16"/>
      <c r="Z322" s="16"/>
      <c r="AA322" s="16"/>
      <c r="AB322" s="16"/>
      <c r="AC322" s="16"/>
      <c r="AD322" s="16"/>
    </row>
    <row r="323" ht="14.25" customHeight="1">
      <c r="A323" s="16"/>
      <c r="B323" s="16"/>
      <c r="C323" s="16"/>
      <c r="D323" s="16"/>
      <c r="E323" s="16"/>
      <c r="F323" s="16"/>
      <c r="G323" s="16"/>
      <c r="H323" s="16"/>
      <c r="I323" s="16"/>
      <c r="J323" s="16"/>
      <c r="K323" s="16"/>
      <c r="L323" s="16"/>
      <c r="M323" s="16"/>
      <c r="N323" s="16"/>
      <c r="O323" s="16"/>
      <c r="P323" s="17"/>
      <c r="Q323" s="16"/>
      <c r="R323" s="16"/>
      <c r="S323" s="16"/>
      <c r="T323" s="16"/>
      <c r="U323" s="16"/>
      <c r="V323" s="16"/>
      <c r="W323" s="16"/>
      <c r="X323" s="16"/>
      <c r="Y323" s="16"/>
      <c r="Z323" s="16"/>
      <c r="AA323" s="16"/>
      <c r="AB323" s="16"/>
      <c r="AC323" s="16"/>
      <c r="AD323" s="16"/>
    </row>
    <row r="324" ht="14.25" customHeight="1">
      <c r="A324" s="16"/>
      <c r="B324" s="16"/>
      <c r="C324" s="16"/>
      <c r="D324" s="16"/>
      <c r="E324" s="16"/>
      <c r="F324" s="16"/>
      <c r="G324" s="16"/>
      <c r="H324" s="16"/>
      <c r="I324" s="16"/>
      <c r="J324" s="16"/>
      <c r="K324" s="16"/>
      <c r="L324" s="16"/>
      <c r="M324" s="16"/>
      <c r="N324" s="16"/>
      <c r="O324" s="16"/>
      <c r="P324" s="17"/>
      <c r="Q324" s="16"/>
      <c r="R324" s="16"/>
      <c r="S324" s="16"/>
      <c r="T324" s="16"/>
      <c r="U324" s="16"/>
      <c r="V324" s="16"/>
      <c r="W324" s="16"/>
      <c r="X324" s="16"/>
      <c r="Y324" s="16"/>
      <c r="Z324" s="16"/>
      <c r="AA324" s="16"/>
      <c r="AB324" s="16"/>
      <c r="AC324" s="16"/>
      <c r="AD324" s="16"/>
    </row>
    <row r="325" ht="14.25" customHeight="1">
      <c r="A325" s="16"/>
      <c r="B325" s="16"/>
      <c r="C325" s="16"/>
      <c r="D325" s="16"/>
      <c r="E325" s="16"/>
      <c r="F325" s="16"/>
      <c r="G325" s="16"/>
      <c r="H325" s="16"/>
      <c r="I325" s="16"/>
      <c r="J325" s="16"/>
      <c r="K325" s="16"/>
      <c r="L325" s="16"/>
      <c r="M325" s="16"/>
      <c r="N325" s="16"/>
      <c r="O325" s="16"/>
      <c r="P325" s="17"/>
      <c r="Q325" s="16"/>
      <c r="R325" s="16"/>
      <c r="S325" s="16"/>
      <c r="T325" s="16"/>
      <c r="U325" s="16"/>
      <c r="V325" s="16"/>
      <c r="W325" s="16"/>
      <c r="X325" s="16"/>
      <c r="Y325" s="16"/>
      <c r="Z325" s="16"/>
      <c r="AA325" s="16"/>
      <c r="AB325" s="16"/>
      <c r="AC325" s="16"/>
      <c r="AD325" s="16"/>
    </row>
    <row r="326" ht="14.25" customHeight="1">
      <c r="A326" s="16"/>
      <c r="B326" s="16"/>
      <c r="C326" s="16"/>
      <c r="D326" s="16"/>
      <c r="E326" s="16"/>
      <c r="F326" s="16"/>
      <c r="G326" s="16"/>
      <c r="H326" s="16"/>
      <c r="I326" s="16"/>
      <c r="J326" s="16"/>
      <c r="K326" s="16"/>
      <c r="L326" s="16"/>
      <c r="M326" s="16"/>
      <c r="N326" s="16"/>
      <c r="O326" s="16"/>
      <c r="P326" s="17"/>
      <c r="Q326" s="16"/>
      <c r="R326" s="16"/>
      <c r="S326" s="16"/>
      <c r="T326" s="16"/>
      <c r="U326" s="16"/>
      <c r="V326" s="16"/>
      <c r="W326" s="16"/>
      <c r="X326" s="16"/>
      <c r="Y326" s="16"/>
      <c r="Z326" s="16"/>
      <c r="AA326" s="16"/>
      <c r="AB326" s="16"/>
      <c r="AC326" s="16"/>
      <c r="AD326" s="16"/>
    </row>
    <row r="327" ht="14.25" customHeight="1">
      <c r="A327" s="16"/>
      <c r="B327" s="16"/>
      <c r="C327" s="16"/>
      <c r="D327" s="16"/>
      <c r="E327" s="16"/>
      <c r="F327" s="16"/>
      <c r="G327" s="16"/>
      <c r="H327" s="16"/>
      <c r="I327" s="16"/>
      <c r="J327" s="16"/>
      <c r="K327" s="16"/>
      <c r="L327" s="16"/>
      <c r="M327" s="16"/>
      <c r="N327" s="16"/>
      <c r="O327" s="16"/>
      <c r="P327" s="17"/>
      <c r="Q327" s="16"/>
      <c r="R327" s="16"/>
      <c r="S327" s="16"/>
      <c r="T327" s="16"/>
      <c r="U327" s="16"/>
      <c r="V327" s="16"/>
      <c r="W327" s="16"/>
      <c r="X327" s="16"/>
      <c r="Y327" s="16"/>
      <c r="Z327" s="16"/>
      <c r="AA327" s="16"/>
      <c r="AB327" s="16"/>
      <c r="AC327" s="16"/>
      <c r="AD327" s="16"/>
    </row>
    <row r="328" ht="14.25" customHeight="1">
      <c r="A328" s="16"/>
      <c r="B328" s="16"/>
      <c r="C328" s="16"/>
      <c r="D328" s="16"/>
      <c r="E328" s="16"/>
      <c r="F328" s="16"/>
      <c r="G328" s="16"/>
      <c r="H328" s="16"/>
      <c r="I328" s="16"/>
      <c r="J328" s="16"/>
      <c r="K328" s="16"/>
      <c r="L328" s="16"/>
      <c r="M328" s="16"/>
      <c r="N328" s="16"/>
      <c r="O328" s="16"/>
      <c r="P328" s="17"/>
      <c r="Q328" s="16"/>
      <c r="R328" s="16"/>
      <c r="S328" s="16"/>
      <c r="T328" s="16"/>
      <c r="U328" s="16"/>
      <c r="V328" s="16"/>
      <c r="W328" s="16"/>
      <c r="X328" s="16"/>
      <c r="Y328" s="16"/>
      <c r="Z328" s="16"/>
      <c r="AA328" s="16"/>
      <c r="AB328" s="16"/>
      <c r="AC328" s="16"/>
      <c r="AD328" s="16"/>
    </row>
    <row r="329" ht="14.25" customHeight="1">
      <c r="A329" s="16"/>
      <c r="B329" s="16"/>
      <c r="C329" s="16"/>
      <c r="D329" s="16"/>
      <c r="E329" s="16"/>
      <c r="F329" s="16"/>
      <c r="G329" s="16"/>
      <c r="H329" s="16"/>
      <c r="I329" s="16"/>
      <c r="J329" s="16"/>
      <c r="K329" s="16"/>
      <c r="L329" s="16"/>
      <c r="M329" s="16"/>
      <c r="N329" s="16"/>
      <c r="O329" s="16"/>
      <c r="P329" s="17"/>
      <c r="Q329" s="16"/>
      <c r="R329" s="16"/>
      <c r="S329" s="16"/>
      <c r="T329" s="16"/>
      <c r="U329" s="16"/>
      <c r="V329" s="16"/>
      <c r="W329" s="16"/>
      <c r="X329" s="16"/>
      <c r="Y329" s="16"/>
      <c r="Z329" s="16"/>
      <c r="AA329" s="16"/>
      <c r="AB329" s="16"/>
      <c r="AC329" s="16"/>
      <c r="AD329" s="16"/>
    </row>
    <row r="330" ht="14.25" customHeight="1">
      <c r="A330" s="16"/>
      <c r="B330" s="16"/>
      <c r="C330" s="16"/>
      <c r="D330" s="16"/>
      <c r="E330" s="16"/>
      <c r="F330" s="16"/>
      <c r="G330" s="16"/>
      <c r="H330" s="16"/>
      <c r="I330" s="16"/>
      <c r="J330" s="16"/>
      <c r="K330" s="16"/>
      <c r="L330" s="16"/>
      <c r="M330" s="16"/>
      <c r="N330" s="16"/>
      <c r="O330" s="16"/>
      <c r="P330" s="17"/>
      <c r="Q330" s="16"/>
      <c r="R330" s="16"/>
      <c r="S330" s="16"/>
      <c r="T330" s="16"/>
      <c r="U330" s="16"/>
      <c r="V330" s="16"/>
      <c r="W330" s="16"/>
      <c r="X330" s="16"/>
      <c r="Y330" s="16"/>
      <c r="Z330" s="16"/>
      <c r="AA330" s="16"/>
      <c r="AB330" s="16"/>
      <c r="AC330" s="16"/>
      <c r="AD330" s="16"/>
    </row>
    <row r="331" ht="14.25" customHeight="1">
      <c r="A331" s="16"/>
      <c r="B331" s="16"/>
      <c r="C331" s="16"/>
      <c r="D331" s="16"/>
      <c r="E331" s="16"/>
      <c r="F331" s="16"/>
      <c r="G331" s="16"/>
      <c r="H331" s="16"/>
      <c r="I331" s="16"/>
      <c r="J331" s="16"/>
      <c r="K331" s="16"/>
      <c r="L331" s="16"/>
      <c r="M331" s="16"/>
      <c r="N331" s="16"/>
      <c r="O331" s="16"/>
      <c r="P331" s="17"/>
      <c r="Q331" s="16"/>
      <c r="R331" s="16"/>
      <c r="S331" s="16"/>
      <c r="T331" s="16"/>
      <c r="U331" s="16"/>
      <c r="V331" s="16"/>
      <c r="W331" s="16"/>
      <c r="X331" s="16"/>
      <c r="Y331" s="16"/>
      <c r="Z331" s="16"/>
      <c r="AA331" s="16"/>
      <c r="AB331" s="16"/>
      <c r="AC331" s="16"/>
      <c r="AD331" s="16"/>
    </row>
    <row r="332" ht="14.25" customHeight="1">
      <c r="A332" s="16"/>
      <c r="B332" s="16"/>
      <c r="C332" s="16"/>
      <c r="D332" s="16"/>
      <c r="E332" s="16"/>
      <c r="F332" s="16"/>
      <c r="G332" s="16"/>
      <c r="H332" s="16"/>
      <c r="I332" s="16"/>
      <c r="J332" s="16"/>
      <c r="K332" s="16"/>
      <c r="L332" s="16"/>
      <c r="M332" s="16"/>
      <c r="N332" s="16"/>
      <c r="O332" s="16"/>
      <c r="P332" s="17"/>
      <c r="Q332" s="16"/>
      <c r="R332" s="16"/>
      <c r="S332" s="16"/>
      <c r="T332" s="16"/>
      <c r="U332" s="16"/>
      <c r="V332" s="16"/>
      <c r="W332" s="16"/>
      <c r="X332" s="16"/>
      <c r="Y332" s="16"/>
      <c r="Z332" s="16"/>
      <c r="AA332" s="16"/>
      <c r="AB332" s="16"/>
      <c r="AC332" s="16"/>
      <c r="AD332" s="16"/>
    </row>
    <row r="333" ht="14.25" customHeight="1">
      <c r="A333" s="16"/>
      <c r="B333" s="16"/>
      <c r="C333" s="16"/>
      <c r="D333" s="16"/>
      <c r="E333" s="16"/>
      <c r="F333" s="16"/>
      <c r="G333" s="16"/>
      <c r="H333" s="16"/>
      <c r="I333" s="16"/>
      <c r="J333" s="16"/>
      <c r="K333" s="16"/>
      <c r="L333" s="16"/>
      <c r="M333" s="16"/>
      <c r="N333" s="16"/>
      <c r="O333" s="16"/>
      <c r="P333" s="17"/>
      <c r="Q333" s="16"/>
      <c r="R333" s="16"/>
      <c r="S333" s="16"/>
      <c r="T333" s="16"/>
      <c r="U333" s="16"/>
      <c r="V333" s="16"/>
      <c r="W333" s="16"/>
      <c r="X333" s="16"/>
      <c r="Y333" s="16"/>
      <c r="Z333" s="16"/>
      <c r="AA333" s="16"/>
      <c r="AB333" s="16"/>
      <c r="AC333" s="16"/>
      <c r="AD333" s="16"/>
    </row>
    <row r="334" ht="14.25" customHeight="1">
      <c r="A334" s="16"/>
      <c r="B334" s="16"/>
      <c r="C334" s="16"/>
      <c r="D334" s="16"/>
      <c r="E334" s="16"/>
      <c r="F334" s="16"/>
      <c r="G334" s="16"/>
      <c r="H334" s="16"/>
      <c r="I334" s="16"/>
      <c r="J334" s="16"/>
      <c r="K334" s="16"/>
      <c r="L334" s="16"/>
      <c r="M334" s="16"/>
      <c r="N334" s="16"/>
      <c r="O334" s="16"/>
      <c r="P334" s="17"/>
      <c r="Q334" s="16"/>
      <c r="R334" s="16"/>
      <c r="S334" s="16"/>
      <c r="T334" s="16"/>
      <c r="U334" s="16"/>
      <c r="V334" s="16"/>
      <c r="W334" s="16"/>
      <c r="X334" s="16"/>
      <c r="Y334" s="16"/>
      <c r="Z334" s="16"/>
      <c r="AA334" s="16"/>
      <c r="AB334" s="16"/>
      <c r="AC334" s="16"/>
      <c r="AD334" s="16"/>
    </row>
    <row r="335" ht="14.25" customHeight="1">
      <c r="A335" s="16"/>
      <c r="B335" s="16"/>
      <c r="C335" s="16"/>
      <c r="D335" s="16"/>
      <c r="E335" s="16"/>
      <c r="F335" s="16"/>
      <c r="G335" s="16"/>
      <c r="H335" s="16"/>
      <c r="I335" s="16"/>
      <c r="J335" s="16"/>
      <c r="K335" s="16"/>
      <c r="L335" s="16"/>
      <c r="M335" s="16"/>
      <c r="N335" s="16"/>
      <c r="O335" s="16"/>
      <c r="P335" s="17"/>
      <c r="Q335" s="16"/>
      <c r="R335" s="16"/>
      <c r="S335" s="16"/>
      <c r="T335" s="16"/>
      <c r="U335" s="16"/>
      <c r="V335" s="16"/>
      <c r="W335" s="16"/>
      <c r="X335" s="16"/>
      <c r="Y335" s="16"/>
      <c r="Z335" s="16"/>
      <c r="AA335" s="16"/>
      <c r="AB335" s="16"/>
      <c r="AC335" s="16"/>
      <c r="AD335" s="16"/>
    </row>
    <row r="336" ht="14.25" customHeight="1">
      <c r="A336" s="16"/>
      <c r="B336" s="16"/>
      <c r="C336" s="16"/>
      <c r="D336" s="16"/>
      <c r="E336" s="16"/>
      <c r="F336" s="16"/>
      <c r="G336" s="16"/>
      <c r="H336" s="16"/>
      <c r="I336" s="16"/>
      <c r="J336" s="16"/>
      <c r="K336" s="16"/>
      <c r="L336" s="16"/>
      <c r="M336" s="16"/>
      <c r="N336" s="16"/>
      <c r="O336" s="16"/>
      <c r="P336" s="17"/>
      <c r="Q336" s="16"/>
      <c r="R336" s="16"/>
      <c r="S336" s="16"/>
      <c r="T336" s="16"/>
      <c r="U336" s="16"/>
      <c r="V336" s="16"/>
      <c r="W336" s="16"/>
      <c r="X336" s="16"/>
      <c r="Y336" s="16"/>
      <c r="Z336" s="16"/>
      <c r="AA336" s="16"/>
      <c r="AB336" s="16"/>
      <c r="AC336" s="16"/>
      <c r="AD336" s="16"/>
    </row>
    <row r="337" ht="14.25" customHeight="1">
      <c r="A337" s="16"/>
      <c r="B337" s="16"/>
      <c r="C337" s="16"/>
      <c r="D337" s="16"/>
      <c r="E337" s="16"/>
      <c r="F337" s="16"/>
      <c r="G337" s="16"/>
      <c r="H337" s="16"/>
      <c r="I337" s="16"/>
      <c r="J337" s="16"/>
      <c r="K337" s="16"/>
      <c r="L337" s="16"/>
      <c r="M337" s="16"/>
      <c r="N337" s="16"/>
      <c r="O337" s="16"/>
      <c r="P337" s="17"/>
      <c r="Q337" s="16"/>
      <c r="R337" s="16"/>
      <c r="S337" s="16"/>
      <c r="T337" s="16"/>
      <c r="U337" s="16"/>
      <c r="V337" s="16"/>
      <c r="W337" s="16"/>
      <c r="X337" s="16"/>
      <c r="Y337" s="16"/>
      <c r="Z337" s="16"/>
      <c r="AA337" s="16"/>
      <c r="AB337" s="16"/>
      <c r="AC337" s="16"/>
      <c r="AD337" s="16"/>
    </row>
    <row r="338" ht="14.25" customHeight="1">
      <c r="A338" s="16"/>
      <c r="B338" s="16"/>
      <c r="C338" s="16"/>
      <c r="D338" s="16"/>
      <c r="E338" s="16"/>
      <c r="F338" s="16"/>
      <c r="G338" s="16"/>
      <c r="H338" s="16"/>
      <c r="I338" s="16"/>
      <c r="J338" s="16"/>
      <c r="K338" s="16"/>
      <c r="L338" s="16"/>
      <c r="M338" s="16"/>
      <c r="N338" s="16"/>
      <c r="O338" s="16"/>
      <c r="P338" s="17"/>
      <c r="Q338" s="16"/>
      <c r="R338" s="16"/>
      <c r="S338" s="16"/>
      <c r="T338" s="16"/>
      <c r="U338" s="16"/>
      <c r="V338" s="16"/>
      <c r="W338" s="16"/>
      <c r="X338" s="16"/>
      <c r="Y338" s="16"/>
      <c r="Z338" s="16"/>
      <c r="AA338" s="16"/>
      <c r="AB338" s="16"/>
      <c r="AC338" s="16"/>
      <c r="AD338" s="16"/>
    </row>
    <row r="339" ht="14.25" customHeight="1">
      <c r="A339" s="16"/>
      <c r="B339" s="16"/>
      <c r="C339" s="16"/>
      <c r="D339" s="16"/>
      <c r="E339" s="16"/>
      <c r="F339" s="16"/>
      <c r="G339" s="16"/>
      <c r="H339" s="16"/>
      <c r="I339" s="16"/>
      <c r="J339" s="16"/>
      <c r="K339" s="16"/>
      <c r="L339" s="16"/>
      <c r="M339" s="16"/>
      <c r="N339" s="16"/>
      <c r="O339" s="16"/>
      <c r="P339" s="17"/>
      <c r="Q339" s="16"/>
      <c r="R339" s="16"/>
      <c r="S339" s="16"/>
      <c r="T339" s="16"/>
      <c r="U339" s="16"/>
      <c r="V339" s="16"/>
      <c r="W339" s="16"/>
      <c r="X339" s="16"/>
      <c r="Y339" s="16"/>
      <c r="Z339" s="16"/>
      <c r="AA339" s="16"/>
      <c r="AB339" s="16"/>
      <c r="AC339" s="16"/>
      <c r="AD339" s="16"/>
    </row>
    <row r="340" ht="14.25" customHeight="1">
      <c r="A340" s="16"/>
      <c r="B340" s="16"/>
      <c r="C340" s="16"/>
      <c r="D340" s="16"/>
      <c r="E340" s="16"/>
      <c r="F340" s="16"/>
      <c r="G340" s="16"/>
      <c r="H340" s="16"/>
      <c r="I340" s="16"/>
      <c r="J340" s="16"/>
      <c r="K340" s="16"/>
      <c r="L340" s="16"/>
      <c r="M340" s="16"/>
      <c r="N340" s="16"/>
      <c r="O340" s="16"/>
      <c r="P340" s="17"/>
      <c r="Q340" s="16"/>
      <c r="R340" s="16"/>
      <c r="S340" s="16"/>
      <c r="T340" s="16"/>
      <c r="U340" s="16"/>
      <c r="V340" s="16"/>
      <c r="W340" s="16"/>
      <c r="X340" s="16"/>
      <c r="Y340" s="16"/>
      <c r="Z340" s="16"/>
      <c r="AA340" s="16"/>
      <c r="AB340" s="16"/>
      <c r="AC340" s="16"/>
      <c r="AD340" s="16"/>
    </row>
    <row r="341" ht="14.25" customHeight="1">
      <c r="A341" s="16"/>
      <c r="B341" s="16"/>
      <c r="C341" s="16"/>
      <c r="D341" s="16"/>
      <c r="E341" s="16"/>
      <c r="F341" s="16"/>
      <c r="G341" s="16"/>
      <c r="H341" s="16"/>
      <c r="I341" s="16"/>
      <c r="J341" s="16"/>
      <c r="K341" s="16"/>
      <c r="L341" s="16"/>
      <c r="M341" s="16"/>
      <c r="N341" s="16"/>
      <c r="O341" s="16"/>
      <c r="P341" s="17"/>
      <c r="Q341" s="16"/>
      <c r="R341" s="16"/>
      <c r="S341" s="16"/>
      <c r="T341" s="16"/>
      <c r="U341" s="16"/>
      <c r="V341" s="16"/>
      <c r="W341" s="16"/>
      <c r="X341" s="16"/>
      <c r="Y341" s="16"/>
      <c r="Z341" s="16"/>
      <c r="AA341" s="16"/>
      <c r="AB341" s="16"/>
      <c r="AC341" s="16"/>
      <c r="AD341" s="16"/>
    </row>
    <row r="342" ht="14.25" customHeight="1">
      <c r="A342" s="16"/>
      <c r="B342" s="16"/>
      <c r="C342" s="16"/>
      <c r="D342" s="16"/>
      <c r="E342" s="16"/>
      <c r="F342" s="16"/>
      <c r="G342" s="16"/>
      <c r="H342" s="16"/>
      <c r="I342" s="16"/>
      <c r="J342" s="16"/>
      <c r="K342" s="16"/>
      <c r="L342" s="16"/>
      <c r="M342" s="16"/>
      <c r="N342" s="16"/>
      <c r="O342" s="16"/>
      <c r="P342" s="17"/>
      <c r="Q342" s="16"/>
      <c r="R342" s="16"/>
      <c r="S342" s="16"/>
      <c r="T342" s="16"/>
      <c r="U342" s="16"/>
      <c r="V342" s="16"/>
      <c r="W342" s="16"/>
      <c r="X342" s="16"/>
      <c r="Y342" s="16"/>
      <c r="Z342" s="16"/>
      <c r="AA342" s="16"/>
      <c r="AB342" s="16"/>
      <c r="AC342" s="16"/>
      <c r="AD342" s="16"/>
    </row>
    <row r="343" ht="14.25" customHeight="1">
      <c r="A343" s="16"/>
      <c r="B343" s="16"/>
      <c r="C343" s="16"/>
      <c r="D343" s="16"/>
      <c r="E343" s="16"/>
      <c r="F343" s="16"/>
      <c r="G343" s="16"/>
      <c r="H343" s="16"/>
      <c r="I343" s="16"/>
      <c r="J343" s="16"/>
      <c r="K343" s="16"/>
      <c r="L343" s="16"/>
      <c r="M343" s="16"/>
      <c r="N343" s="16"/>
      <c r="O343" s="16"/>
      <c r="P343" s="17"/>
      <c r="Q343" s="16"/>
      <c r="R343" s="16"/>
      <c r="S343" s="16"/>
      <c r="T343" s="16"/>
      <c r="U343" s="16"/>
      <c r="V343" s="16"/>
      <c r="W343" s="16"/>
      <c r="X343" s="16"/>
      <c r="Y343" s="16"/>
      <c r="Z343" s="16"/>
      <c r="AA343" s="16"/>
      <c r="AB343" s="16"/>
      <c r="AC343" s="16"/>
      <c r="AD343" s="16"/>
    </row>
    <row r="344" ht="14.25" customHeight="1">
      <c r="A344" s="16"/>
      <c r="B344" s="16"/>
      <c r="C344" s="16"/>
      <c r="D344" s="16"/>
      <c r="E344" s="16"/>
      <c r="F344" s="16"/>
      <c r="G344" s="16"/>
      <c r="H344" s="16"/>
      <c r="I344" s="16"/>
      <c r="J344" s="16"/>
      <c r="K344" s="16"/>
      <c r="L344" s="16"/>
      <c r="M344" s="16"/>
      <c r="N344" s="16"/>
      <c r="O344" s="16"/>
      <c r="P344" s="17"/>
      <c r="Q344" s="16"/>
      <c r="R344" s="16"/>
      <c r="S344" s="16"/>
      <c r="T344" s="16"/>
      <c r="U344" s="16"/>
      <c r="V344" s="16"/>
      <c r="W344" s="16"/>
      <c r="X344" s="16"/>
      <c r="Y344" s="16"/>
      <c r="Z344" s="16"/>
      <c r="AA344" s="16"/>
      <c r="AB344" s="16"/>
      <c r="AC344" s="16"/>
      <c r="AD344" s="16"/>
    </row>
    <row r="345" ht="14.25" customHeight="1">
      <c r="A345" s="16"/>
      <c r="B345" s="16"/>
      <c r="C345" s="16"/>
      <c r="D345" s="16"/>
      <c r="E345" s="16"/>
      <c r="F345" s="16"/>
      <c r="G345" s="16"/>
      <c r="H345" s="16"/>
      <c r="I345" s="16"/>
      <c r="J345" s="16"/>
      <c r="K345" s="16"/>
      <c r="L345" s="16"/>
      <c r="M345" s="16"/>
      <c r="N345" s="16"/>
      <c r="O345" s="16"/>
      <c r="P345" s="17"/>
      <c r="Q345" s="16"/>
      <c r="R345" s="16"/>
      <c r="S345" s="16"/>
      <c r="T345" s="16"/>
      <c r="U345" s="16"/>
      <c r="V345" s="16"/>
      <c r="W345" s="16"/>
      <c r="X345" s="16"/>
      <c r="Y345" s="16"/>
      <c r="Z345" s="16"/>
      <c r="AA345" s="16"/>
      <c r="AB345" s="16"/>
      <c r="AC345" s="16"/>
      <c r="AD345" s="16"/>
    </row>
    <row r="346" ht="14.25" customHeight="1">
      <c r="A346" s="16"/>
      <c r="B346" s="16"/>
      <c r="C346" s="16"/>
      <c r="D346" s="16"/>
      <c r="E346" s="16"/>
      <c r="F346" s="16"/>
      <c r="G346" s="16"/>
      <c r="H346" s="16"/>
      <c r="I346" s="16"/>
      <c r="J346" s="16"/>
      <c r="K346" s="16"/>
      <c r="L346" s="16"/>
      <c r="M346" s="16"/>
      <c r="N346" s="16"/>
      <c r="O346" s="16"/>
      <c r="P346" s="17"/>
      <c r="Q346" s="16"/>
      <c r="R346" s="16"/>
      <c r="S346" s="16"/>
      <c r="T346" s="16"/>
      <c r="U346" s="16"/>
      <c r="V346" s="16"/>
      <c r="W346" s="16"/>
      <c r="X346" s="16"/>
      <c r="Y346" s="16"/>
      <c r="Z346" s="16"/>
      <c r="AA346" s="16"/>
      <c r="AB346" s="16"/>
      <c r="AC346" s="16"/>
      <c r="AD346" s="16"/>
    </row>
    <row r="347" ht="14.25" customHeight="1">
      <c r="A347" s="16"/>
      <c r="B347" s="16"/>
      <c r="C347" s="16"/>
      <c r="D347" s="16"/>
      <c r="E347" s="16"/>
      <c r="F347" s="16"/>
      <c r="G347" s="16"/>
      <c r="H347" s="16"/>
      <c r="I347" s="16"/>
      <c r="J347" s="16"/>
      <c r="K347" s="16"/>
      <c r="L347" s="16"/>
      <c r="M347" s="16"/>
      <c r="N347" s="16"/>
      <c r="O347" s="16"/>
      <c r="P347" s="17"/>
      <c r="Q347" s="16"/>
      <c r="R347" s="16"/>
      <c r="S347" s="16"/>
      <c r="T347" s="16"/>
      <c r="U347" s="16"/>
      <c r="V347" s="16"/>
      <c r="W347" s="16"/>
      <c r="X347" s="16"/>
      <c r="Y347" s="16"/>
      <c r="Z347" s="16"/>
      <c r="AA347" s="16"/>
      <c r="AB347" s="16"/>
      <c r="AC347" s="16"/>
      <c r="AD347" s="16"/>
    </row>
    <row r="348" ht="14.25" customHeight="1">
      <c r="A348" s="16"/>
      <c r="B348" s="16"/>
      <c r="C348" s="16"/>
      <c r="D348" s="16"/>
      <c r="E348" s="16"/>
      <c r="F348" s="16"/>
      <c r="G348" s="16"/>
      <c r="H348" s="16"/>
      <c r="I348" s="16"/>
      <c r="J348" s="16"/>
      <c r="K348" s="16"/>
      <c r="L348" s="16"/>
      <c r="M348" s="16"/>
      <c r="N348" s="16"/>
      <c r="O348" s="16"/>
      <c r="P348" s="17"/>
      <c r="Q348" s="16"/>
      <c r="R348" s="16"/>
      <c r="S348" s="16"/>
      <c r="T348" s="16"/>
      <c r="U348" s="16"/>
      <c r="V348" s="16"/>
      <c r="W348" s="16"/>
      <c r="X348" s="16"/>
      <c r="Y348" s="16"/>
      <c r="Z348" s="16"/>
      <c r="AA348" s="16"/>
      <c r="AB348" s="16"/>
      <c r="AC348" s="16"/>
      <c r="AD348" s="16"/>
    </row>
    <row r="349" ht="14.25" customHeight="1">
      <c r="A349" s="16"/>
      <c r="B349" s="16"/>
      <c r="C349" s="16"/>
      <c r="D349" s="16"/>
      <c r="E349" s="16"/>
      <c r="F349" s="16"/>
      <c r="G349" s="16"/>
      <c r="H349" s="16"/>
      <c r="I349" s="16"/>
      <c r="J349" s="16"/>
      <c r="K349" s="16"/>
      <c r="L349" s="16"/>
      <c r="M349" s="16"/>
      <c r="N349" s="16"/>
      <c r="O349" s="16"/>
      <c r="P349" s="17"/>
      <c r="Q349" s="16"/>
      <c r="R349" s="16"/>
      <c r="S349" s="16"/>
      <c r="T349" s="16"/>
      <c r="U349" s="16"/>
      <c r="V349" s="16"/>
      <c r="W349" s="16"/>
      <c r="X349" s="16"/>
      <c r="Y349" s="16"/>
      <c r="Z349" s="16"/>
      <c r="AA349" s="16"/>
      <c r="AB349" s="16"/>
      <c r="AC349" s="16"/>
      <c r="AD349" s="16"/>
    </row>
    <row r="350" ht="14.25" customHeight="1">
      <c r="A350" s="16"/>
      <c r="B350" s="16"/>
      <c r="C350" s="16"/>
      <c r="D350" s="16"/>
      <c r="E350" s="16"/>
      <c r="F350" s="16"/>
      <c r="G350" s="16"/>
      <c r="H350" s="16"/>
      <c r="I350" s="16"/>
      <c r="J350" s="16"/>
      <c r="K350" s="16"/>
      <c r="L350" s="16"/>
      <c r="M350" s="16"/>
      <c r="N350" s="16"/>
      <c r="O350" s="16"/>
      <c r="P350" s="17"/>
      <c r="Q350" s="16"/>
      <c r="R350" s="16"/>
      <c r="S350" s="16"/>
      <c r="T350" s="16"/>
      <c r="U350" s="16"/>
      <c r="V350" s="16"/>
      <c r="W350" s="16"/>
      <c r="X350" s="16"/>
      <c r="Y350" s="16"/>
      <c r="Z350" s="16"/>
      <c r="AA350" s="16"/>
      <c r="AB350" s="16"/>
      <c r="AC350" s="16"/>
      <c r="AD350" s="16"/>
    </row>
    <row r="351" ht="14.25" customHeight="1">
      <c r="A351" s="16"/>
      <c r="B351" s="16"/>
      <c r="C351" s="16"/>
      <c r="D351" s="16"/>
      <c r="E351" s="16"/>
      <c r="F351" s="16"/>
      <c r="G351" s="16"/>
      <c r="H351" s="16"/>
      <c r="I351" s="16"/>
      <c r="J351" s="16"/>
      <c r="K351" s="16"/>
      <c r="L351" s="16"/>
      <c r="M351" s="16"/>
      <c r="N351" s="16"/>
      <c r="O351" s="16"/>
      <c r="P351" s="17"/>
      <c r="Q351" s="16"/>
      <c r="R351" s="16"/>
      <c r="S351" s="16"/>
      <c r="T351" s="16"/>
      <c r="U351" s="16"/>
      <c r="V351" s="16"/>
      <c r="W351" s="16"/>
      <c r="X351" s="16"/>
      <c r="Y351" s="16"/>
      <c r="Z351" s="16"/>
      <c r="AA351" s="16"/>
      <c r="AB351" s="16"/>
      <c r="AC351" s="16"/>
      <c r="AD351" s="16"/>
    </row>
    <row r="352" ht="14.25" customHeight="1">
      <c r="A352" s="16"/>
      <c r="B352" s="16"/>
      <c r="C352" s="16"/>
      <c r="D352" s="16"/>
      <c r="E352" s="16"/>
      <c r="F352" s="16"/>
      <c r="G352" s="16"/>
      <c r="H352" s="16"/>
      <c r="I352" s="16"/>
      <c r="J352" s="16"/>
      <c r="K352" s="16"/>
      <c r="L352" s="16"/>
      <c r="M352" s="16"/>
      <c r="N352" s="16"/>
      <c r="O352" s="16"/>
      <c r="P352" s="17"/>
      <c r="Q352" s="16"/>
      <c r="R352" s="16"/>
      <c r="S352" s="16"/>
      <c r="T352" s="16"/>
      <c r="U352" s="16"/>
      <c r="V352" s="16"/>
      <c r="W352" s="16"/>
      <c r="X352" s="16"/>
      <c r="Y352" s="16"/>
      <c r="Z352" s="16"/>
      <c r="AA352" s="16"/>
      <c r="AB352" s="16"/>
      <c r="AC352" s="16"/>
      <c r="AD352" s="16"/>
    </row>
    <row r="353" ht="14.25" customHeight="1">
      <c r="A353" s="16"/>
      <c r="B353" s="16"/>
      <c r="C353" s="16"/>
      <c r="D353" s="16"/>
      <c r="E353" s="16"/>
      <c r="F353" s="16"/>
      <c r="G353" s="16"/>
      <c r="H353" s="16"/>
      <c r="I353" s="16"/>
      <c r="J353" s="16"/>
      <c r="K353" s="16"/>
      <c r="L353" s="16"/>
      <c r="M353" s="16"/>
      <c r="N353" s="16"/>
      <c r="O353" s="16"/>
      <c r="P353" s="17"/>
      <c r="Q353" s="16"/>
      <c r="R353" s="16"/>
      <c r="S353" s="16"/>
      <c r="T353" s="16"/>
      <c r="U353" s="16"/>
      <c r="V353" s="16"/>
      <c r="W353" s="16"/>
      <c r="X353" s="16"/>
      <c r="Y353" s="16"/>
      <c r="Z353" s="16"/>
      <c r="AA353" s="16"/>
      <c r="AB353" s="16"/>
      <c r="AC353" s="16"/>
      <c r="AD353" s="16"/>
    </row>
    <row r="354" ht="14.25" customHeight="1">
      <c r="A354" s="16"/>
      <c r="B354" s="16"/>
      <c r="C354" s="16"/>
      <c r="D354" s="16"/>
      <c r="E354" s="16"/>
      <c r="F354" s="16"/>
      <c r="G354" s="16"/>
      <c r="H354" s="16"/>
      <c r="I354" s="16"/>
      <c r="J354" s="16"/>
      <c r="K354" s="16"/>
      <c r="L354" s="16"/>
      <c r="M354" s="16"/>
      <c r="N354" s="16"/>
      <c r="O354" s="16"/>
      <c r="P354" s="17"/>
      <c r="Q354" s="16"/>
      <c r="R354" s="16"/>
      <c r="S354" s="16"/>
      <c r="T354" s="16"/>
      <c r="U354" s="16"/>
      <c r="V354" s="16"/>
      <c r="W354" s="16"/>
      <c r="X354" s="16"/>
      <c r="Y354" s="16"/>
      <c r="Z354" s="16"/>
      <c r="AA354" s="16"/>
      <c r="AB354" s="16"/>
      <c r="AC354" s="16"/>
      <c r="AD354" s="16"/>
    </row>
    <row r="355" ht="14.25" customHeight="1">
      <c r="A355" s="16"/>
      <c r="B355" s="16"/>
      <c r="C355" s="16"/>
      <c r="D355" s="16"/>
      <c r="E355" s="16"/>
      <c r="F355" s="16"/>
      <c r="G355" s="16"/>
      <c r="H355" s="16"/>
      <c r="I355" s="16"/>
      <c r="J355" s="16"/>
      <c r="K355" s="16"/>
      <c r="L355" s="16"/>
      <c r="M355" s="16"/>
      <c r="N355" s="16"/>
      <c r="O355" s="16"/>
      <c r="P355" s="17"/>
      <c r="Q355" s="16"/>
      <c r="R355" s="16"/>
      <c r="S355" s="16"/>
      <c r="T355" s="16"/>
      <c r="U355" s="16"/>
      <c r="V355" s="16"/>
      <c r="W355" s="16"/>
      <c r="X355" s="16"/>
      <c r="Y355" s="16"/>
      <c r="Z355" s="16"/>
      <c r="AA355" s="16"/>
      <c r="AB355" s="16"/>
      <c r="AC355" s="16"/>
      <c r="AD355" s="16"/>
    </row>
    <row r="356" ht="14.25" customHeight="1">
      <c r="A356" s="16"/>
      <c r="B356" s="16"/>
      <c r="C356" s="16"/>
      <c r="D356" s="16"/>
      <c r="E356" s="16"/>
      <c r="F356" s="16"/>
      <c r="G356" s="16"/>
      <c r="H356" s="16"/>
      <c r="I356" s="16"/>
      <c r="J356" s="16"/>
      <c r="K356" s="16"/>
      <c r="L356" s="16"/>
      <c r="M356" s="16"/>
      <c r="N356" s="16"/>
      <c r="O356" s="16"/>
      <c r="P356" s="17"/>
      <c r="Q356" s="16"/>
      <c r="R356" s="16"/>
      <c r="S356" s="16"/>
      <c r="T356" s="16"/>
      <c r="U356" s="16"/>
      <c r="V356" s="16"/>
      <c r="W356" s="16"/>
      <c r="X356" s="16"/>
      <c r="Y356" s="16"/>
      <c r="Z356" s="16"/>
      <c r="AA356" s="16"/>
      <c r="AB356" s="16"/>
      <c r="AC356" s="16"/>
      <c r="AD356" s="16"/>
    </row>
    <row r="357" ht="14.25" customHeight="1">
      <c r="A357" s="16"/>
      <c r="B357" s="16"/>
      <c r="C357" s="16"/>
      <c r="D357" s="16"/>
      <c r="E357" s="16"/>
      <c r="F357" s="16"/>
      <c r="G357" s="16"/>
      <c r="H357" s="16"/>
      <c r="I357" s="16"/>
      <c r="J357" s="16"/>
      <c r="K357" s="16"/>
      <c r="L357" s="16"/>
      <c r="M357" s="16"/>
      <c r="N357" s="16"/>
      <c r="O357" s="16"/>
      <c r="P357" s="17"/>
      <c r="Q357" s="16"/>
      <c r="R357" s="16"/>
      <c r="S357" s="16"/>
      <c r="T357" s="16"/>
      <c r="U357" s="16"/>
      <c r="V357" s="16"/>
      <c r="W357" s="16"/>
      <c r="X357" s="16"/>
      <c r="Y357" s="16"/>
      <c r="Z357" s="16"/>
      <c r="AA357" s="16"/>
      <c r="AB357" s="16"/>
      <c r="AC357" s="16"/>
      <c r="AD357" s="16"/>
    </row>
    <row r="358" ht="14.25" customHeight="1">
      <c r="A358" s="16"/>
      <c r="B358" s="16"/>
      <c r="C358" s="16"/>
      <c r="D358" s="16"/>
      <c r="E358" s="16"/>
      <c r="F358" s="16"/>
      <c r="G358" s="16"/>
      <c r="H358" s="16"/>
      <c r="I358" s="16"/>
      <c r="J358" s="16"/>
      <c r="K358" s="16"/>
      <c r="L358" s="16"/>
      <c r="M358" s="16"/>
      <c r="N358" s="16"/>
      <c r="O358" s="16"/>
      <c r="P358" s="17"/>
      <c r="Q358" s="16"/>
      <c r="R358" s="16"/>
      <c r="S358" s="16"/>
      <c r="T358" s="16"/>
      <c r="U358" s="16"/>
      <c r="V358" s="16"/>
      <c r="W358" s="16"/>
      <c r="X358" s="16"/>
      <c r="Y358" s="16"/>
      <c r="Z358" s="16"/>
      <c r="AA358" s="16"/>
      <c r="AB358" s="16"/>
      <c r="AC358" s="16"/>
      <c r="AD358" s="16"/>
    </row>
    <row r="359" ht="14.25" customHeight="1">
      <c r="A359" s="16"/>
      <c r="B359" s="16"/>
      <c r="C359" s="16"/>
      <c r="D359" s="16"/>
      <c r="E359" s="16"/>
      <c r="F359" s="16"/>
      <c r="G359" s="16"/>
      <c r="H359" s="16"/>
      <c r="I359" s="16"/>
      <c r="J359" s="16"/>
      <c r="K359" s="16"/>
      <c r="L359" s="16"/>
      <c r="M359" s="16"/>
      <c r="N359" s="16"/>
      <c r="O359" s="16"/>
      <c r="P359" s="17"/>
      <c r="Q359" s="16"/>
      <c r="R359" s="16"/>
      <c r="S359" s="16"/>
      <c r="T359" s="16"/>
      <c r="U359" s="16"/>
      <c r="V359" s="16"/>
      <c r="W359" s="16"/>
      <c r="X359" s="16"/>
      <c r="Y359" s="16"/>
      <c r="Z359" s="16"/>
      <c r="AA359" s="16"/>
      <c r="AB359" s="16"/>
      <c r="AC359" s="16"/>
      <c r="AD359" s="16"/>
    </row>
    <row r="360" ht="14.25" customHeight="1">
      <c r="A360" s="16"/>
      <c r="B360" s="16"/>
      <c r="C360" s="16"/>
      <c r="D360" s="16"/>
      <c r="E360" s="16"/>
      <c r="F360" s="16"/>
      <c r="G360" s="16"/>
      <c r="H360" s="16"/>
      <c r="I360" s="16"/>
      <c r="J360" s="16"/>
      <c r="K360" s="16"/>
      <c r="L360" s="16"/>
      <c r="M360" s="16"/>
      <c r="N360" s="16"/>
      <c r="O360" s="16"/>
      <c r="P360" s="17"/>
      <c r="Q360" s="16"/>
      <c r="R360" s="16"/>
      <c r="S360" s="16"/>
      <c r="T360" s="16"/>
      <c r="U360" s="16"/>
      <c r="V360" s="16"/>
      <c r="W360" s="16"/>
      <c r="X360" s="16"/>
      <c r="Y360" s="16"/>
      <c r="Z360" s="16"/>
      <c r="AA360" s="16"/>
      <c r="AB360" s="16"/>
      <c r="AC360" s="16"/>
      <c r="AD360" s="16"/>
    </row>
    <row r="361" ht="14.25" customHeight="1">
      <c r="A361" s="16"/>
      <c r="B361" s="16"/>
      <c r="C361" s="16"/>
      <c r="D361" s="16"/>
      <c r="E361" s="16"/>
      <c r="F361" s="16"/>
      <c r="G361" s="16"/>
      <c r="H361" s="16"/>
      <c r="I361" s="16"/>
      <c r="J361" s="16"/>
      <c r="K361" s="16"/>
      <c r="L361" s="16"/>
      <c r="M361" s="16"/>
      <c r="N361" s="16"/>
      <c r="O361" s="16"/>
      <c r="P361" s="17"/>
      <c r="Q361" s="16"/>
      <c r="R361" s="16"/>
      <c r="S361" s="16"/>
      <c r="T361" s="16"/>
      <c r="U361" s="16"/>
      <c r="V361" s="16"/>
      <c r="W361" s="16"/>
      <c r="X361" s="16"/>
      <c r="Y361" s="16"/>
      <c r="Z361" s="16"/>
      <c r="AA361" s="16"/>
      <c r="AB361" s="16"/>
      <c r="AC361" s="16"/>
      <c r="AD361" s="16"/>
    </row>
    <row r="362" ht="14.25" customHeight="1">
      <c r="A362" s="16"/>
      <c r="B362" s="16"/>
      <c r="C362" s="16"/>
      <c r="D362" s="16"/>
      <c r="E362" s="16"/>
      <c r="F362" s="16"/>
      <c r="G362" s="16"/>
      <c r="H362" s="16"/>
      <c r="I362" s="16"/>
      <c r="J362" s="16"/>
      <c r="K362" s="16"/>
      <c r="L362" s="16"/>
      <c r="M362" s="16"/>
      <c r="N362" s="16"/>
      <c r="O362" s="16"/>
      <c r="P362" s="17"/>
      <c r="Q362" s="16"/>
      <c r="R362" s="16"/>
      <c r="S362" s="16"/>
      <c r="T362" s="16"/>
      <c r="U362" s="16"/>
      <c r="V362" s="16"/>
      <c r="W362" s="16"/>
      <c r="X362" s="16"/>
      <c r="Y362" s="16"/>
      <c r="Z362" s="16"/>
      <c r="AA362" s="16"/>
      <c r="AB362" s="16"/>
      <c r="AC362" s="16"/>
      <c r="AD362" s="16"/>
    </row>
    <row r="363" ht="14.25" customHeight="1">
      <c r="A363" s="16"/>
      <c r="B363" s="16"/>
      <c r="C363" s="16"/>
      <c r="D363" s="16"/>
      <c r="E363" s="16"/>
      <c r="F363" s="16"/>
      <c r="G363" s="16"/>
      <c r="H363" s="16"/>
      <c r="I363" s="16"/>
      <c r="J363" s="16"/>
      <c r="K363" s="16"/>
      <c r="L363" s="16"/>
      <c r="M363" s="16"/>
      <c r="N363" s="16"/>
      <c r="O363" s="16"/>
      <c r="P363" s="17"/>
      <c r="Q363" s="16"/>
      <c r="R363" s="16"/>
      <c r="S363" s="16"/>
      <c r="T363" s="16"/>
      <c r="U363" s="16"/>
      <c r="V363" s="16"/>
      <c r="W363" s="16"/>
      <c r="X363" s="16"/>
      <c r="Y363" s="16"/>
      <c r="Z363" s="16"/>
      <c r="AA363" s="16"/>
      <c r="AB363" s="16"/>
      <c r="AC363" s="16"/>
      <c r="AD363" s="16"/>
    </row>
    <row r="364" ht="14.25" customHeight="1">
      <c r="A364" s="16"/>
      <c r="B364" s="16"/>
      <c r="C364" s="16"/>
      <c r="D364" s="16"/>
      <c r="E364" s="16"/>
      <c r="F364" s="16"/>
      <c r="G364" s="16"/>
      <c r="H364" s="16"/>
      <c r="I364" s="16"/>
      <c r="J364" s="16"/>
      <c r="K364" s="16"/>
      <c r="L364" s="16"/>
      <c r="M364" s="16"/>
      <c r="N364" s="16"/>
      <c r="O364" s="16"/>
      <c r="P364" s="17"/>
      <c r="Q364" s="16"/>
      <c r="R364" s="16"/>
      <c r="S364" s="16"/>
      <c r="T364" s="16"/>
      <c r="U364" s="16"/>
      <c r="V364" s="16"/>
      <c r="W364" s="16"/>
      <c r="X364" s="16"/>
      <c r="Y364" s="16"/>
      <c r="Z364" s="16"/>
      <c r="AA364" s="16"/>
      <c r="AB364" s="16"/>
      <c r="AC364" s="16"/>
      <c r="AD364" s="16"/>
    </row>
    <row r="365" ht="14.25" customHeight="1">
      <c r="A365" s="16"/>
      <c r="B365" s="16"/>
      <c r="C365" s="16"/>
      <c r="D365" s="16"/>
      <c r="E365" s="16"/>
      <c r="F365" s="16"/>
      <c r="G365" s="16"/>
      <c r="H365" s="16"/>
      <c r="I365" s="16"/>
      <c r="J365" s="16"/>
      <c r="K365" s="16"/>
      <c r="L365" s="16"/>
      <c r="M365" s="16"/>
      <c r="N365" s="16"/>
      <c r="O365" s="16"/>
      <c r="P365" s="17"/>
      <c r="Q365" s="16"/>
      <c r="R365" s="16"/>
      <c r="S365" s="16"/>
      <c r="T365" s="16"/>
      <c r="U365" s="16"/>
      <c r="V365" s="16"/>
      <c r="W365" s="16"/>
      <c r="X365" s="16"/>
      <c r="Y365" s="16"/>
      <c r="Z365" s="16"/>
      <c r="AA365" s="16"/>
      <c r="AB365" s="16"/>
      <c r="AC365" s="16"/>
      <c r="AD365" s="16"/>
    </row>
    <row r="366" ht="14.25" customHeight="1">
      <c r="A366" s="16"/>
      <c r="B366" s="16"/>
      <c r="C366" s="16"/>
      <c r="D366" s="16"/>
      <c r="E366" s="16"/>
      <c r="F366" s="16"/>
      <c r="G366" s="16"/>
      <c r="H366" s="16"/>
      <c r="I366" s="16"/>
      <c r="J366" s="16"/>
      <c r="K366" s="16"/>
      <c r="L366" s="16"/>
      <c r="M366" s="16"/>
      <c r="N366" s="16"/>
      <c r="O366" s="16"/>
      <c r="P366" s="17"/>
      <c r="Q366" s="16"/>
      <c r="R366" s="16"/>
      <c r="S366" s="16"/>
      <c r="T366" s="16"/>
      <c r="U366" s="16"/>
      <c r="V366" s="16"/>
      <c r="W366" s="16"/>
      <c r="X366" s="16"/>
      <c r="Y366" s="16"/>
      <c r="Z366" s="16"/>
      <c r="AA366" s="16"/>
      <c r="AB366" s="16"/>
      <c r="AC366" s="16"/>
      <c r="AD366" s="16"/>
    </row>
    <row r="367" ht="14.25" customHeight="1">
      <c r="A367" s="16"/>
      <c r="B367" s="16"/>
      <c r="C367" s="16"/>
      <c r="D367" s="16"/>
      <c r="E367" s="16"/>
      <c r="F367" s="16"/>
      <c r="G367" s="16"/>
      <c r="H367" s="16"/>
      <c r="I367" s="16"/>
      <c r="J367" s="16"/>
      <c r="K367" s="16"/>
      <c r="L367" s="16"/>
      <c r="M367" s="16"/>
      <c r="N367" s="16"/>
      <c r="O367" s="16"/>
      <c r="P367" s="17"/>
      <c r="Q367" s="16"/>
      <c r="R367" s="16"/>
      <c r="S367" s="16"/>
      <c r="T367" s="16"/>
      <c r="U367" s="16"/>
      <c r="V367" s="16"/>
      <c r="W367" s="16"/>
      <c r="X367" s="16"/>
      <c r="Y367" s="16"/>
      <c r="Z367" s="16"/>
      <c r="AA367" s="16"/>
      <c r="AB367" s="16"/>
      <c r="AC367" s="16"/>
      <c r="AD367" s="16"/>
    </row>
    <row r="368" ht="14.25" customHeight="1">
      <c r="A368" s="16"/>
      <c r="B368" s="16"/>
      <c r="C368" s="16"/>
      <c r="D368" s="16"/>
      <c r="E368" s="16"/>
      <c r="F368" s="16"/>
      <c r="G368" s="16"/>
      <c r="H368" s="16"/>
      <c r="I368" s="16"/>
      <c r="J368" s="16"/>
      <c r="K368" s="16"/>
      <c r="L368" s="16"/>
      <c r="M368" s="16"/>
      <c r="N368" s="16"/>
      <c r="O368" s="16"/>
      <c r="P368" s="17"/>
      <c r="Q368" s="16"/>
      <c r="R368" s="16"/>
      <c r="S368" s="16"/>
      <c r="T368" s="16"/>
      <c r="U368" s="16"/>
      <c r="V368" s="16"/>
      <c r="W368" s="16"/>
      <c r="X368" s="16"/>
      <c r="Y368" s="16"/>
      <c r="Z368" s="16"/>
      <c r="AA368" s="16"/>
      <c r="AB368" s="16"/>
      <c r="AC368" s="16"/>
      <c r="AD368" s="16"/>
    </row>
    <row r="369" ht="14.25" customHeight="1">
      <c r="A369" s="16"/>
      <c r="B369" s="16"/>
      <c r="C369" s="16"/>
      <c r="D369" s="16"/>
      <c r="E369" s="16"/>
      <c r="F369" s="16"/>
      <c r="G369" s="16"/>
      <c r="H369" s="16"/>
      <c r="I369" s="16"/>
      <c r="J369" s="16"/>
      <c r="K369" s="16"/>
      <c r="L369" s="16"/>
      <c r="M369" s="16"/>
      <c r="N369" s="16"/>
      <c r="O369" s="16"/>
      <c r="P369" s="17"/>
      <c r="Q369" s="16"/>
      <c r="R369" s="16"/>
      <c r="S369" s="16"/>
      <c r="T369" s="16"/>
      <c r="U369" s="16"/>
      <c r="V369" s="16"/>
      <c r="W369" s="16"/>
      <c r="X369" s="16"/>
      <c r="Y369" s="16"/>
      <c r="Z369" s="16"/>
      <c r="AA369" s="16"/>
      <c r="AB369" s="16"/>
      <c r="AC369" s="16"/>
      <c r="AD369" s="16"/>
    </row>
    <row r="370" ht="14.25" customHeight="1">
      <c r="A370" s="16"/>
      <c r="B370" s="16"/>
      <c r="C370" s="16"/>
      <c r="D370" s="16"/>
      <c r="E370" s="16"/>
      <c r="F370" s="16"/>
      <c r="G370" s="16"/>
      <c r="H370" s="16"/>
      <c r="I370" s="16"/>
      <c r="J370" s="16"/>
      <c r="K370" s="16"/>
      <c r="L370" s="16"/>
      <c r="M370" s="16"/>
      <c r="N370" s="16"/>
      <c r="O370" s="16"/>
      <c r="P370" s="17"/>
      <c r="Q370" s="16"/>
      <c r="R370" s="16"/>
      <c r="S370" s="16"/>
      <c r="T370" s="16"/>
      <c r="U370" s="16"/>
      <c r="V370" s="16"/>
      <c r="W370" s="16"/>
      <c r="X370" s="16"/>
      <c r="Y370" s="16"/>
      <c r="Z370" s="16"/>
      <c r="AA370" s="16"/>
      <c r="AB370" s="16"/>
      <c r="AC370" s="16"/>
      <c r="AD370" s="16"/>
    </row>
    <row r="371" ht="14.25" customHeight="1">
      <c r="A371" s="16"/>
      <c r="B371" s="16"/>
      <c r="C371" s="16"/>
      <c r="D371" s="16"/>
      <c r="E371" s="16"/>
      <c r="F371" s="16"/>
      <c r="G371" s="16"/>
      <c r="H371" s="16"/>
      <c r="I371" s="16"/>
      <c r="J371" s="16"/>
      <c r="K371" s="16"/>
      <c r="L371" s="16"/>
      <c r="M371" s="16"/>
      <c r="N371" s="16"/>
      <c r="O371" s="16"/>
      <c r="P371" s="17"/>
      <c r="Q371" s="16"/>
      <c r="R371" s="16"/>
      <c r="S371" s="16"/>
      <c r="T371" s="16"/>
      <c r="U371" s="16"/>
      <c r="V371" s="16"/>
      <c r="W371" s="16"/>
      <c r="X371" s="16"/>
      <c r="Y371" s="16"/>
      <c r="Z371" s="16"/>
      <c r="AA371" s="16"/>
      <c r="AB371" s="16"/>
      <c r="AC371" s="16"/>
      <c r="AD371" s="16"/>
    </row>
    <row r="372" ht="14.25" customHeight="1">
      <c r="A372" s="16"/>
      <c r="B372" s="16"/>
      <c r="C372" s="16"/>
      <c r="D372" s="16"/>
      <c r="E372" s="16"/>
      <c r="F372" s="16"/>
      <c r="G372" s="16"/>
      <c r="H372" s="16"/>
      <c r="I372" s="16"/>
      <c r="J372" s="16"/>
      <c r="K372" s="16"/>
      <c r="L372" s="16"/>
      <c r="M372" s="16"/>
      <c r="N372" s="16"/>
      <c r="O372" s="16"/>
      <c r="P372" s="17"/>
      <c r="Q372" s="16"/>
      <c r="R372" s="16"/>
      <c r="S372" s="16"/>
      <c r="T372" s="16"/>
      <c r="U372" s="16"/>
      <c r="V372" s="16"/>
      <c r="W372" s="16"/>
      <c r="X372" s="16"/>
      <c r="Y372" s="16"/>
      <c r="Z372" s="16"/>
      <c r="AA372" s="16"/>
      <c r="AB372" s="16"/>
      <c r="AC372" s="16"/>
      <c r="AD372" s="16"/>
    </row>
    <row r="373" ht="14.25" customHeight="1">
      <c r="A373" s="16"/>
      <c r="B373" s="16"/>
      <c r="C373" s="16"/>
      <c r="D373" s="16"/>
      <c r="E373" s="16"/>
      <c r="F373" s="16"/>
      <c r="G373" s="16"/>
      <c r="H373" s="16"/>
      <c r="I373" s="16"/>
      <c r="J373" s="16"/>
      <c r="K373" s="16"/>
      <c r="L373" s="16"/>
      <c r="M373" s="16"/>
      <c r="N373" s="16"/>
      <c r="O373" s="16"/>
      <c r="P373" s="17"/>
      <c r="Q373" s="16"/>
      <c r="R373" s="16"/>
      <c r="S373" s="16"/>
      <c r="T373" s="16"/>
      <c r="U373" s="16"/>
      <c r="V373" s="16"/>
      <c r="W373" s="16"/>
      <c r="X373" s="16"/>
      <c r="Y373" s="16"/>
      <c r="Z373" s="16"/>
      <c r="AA373" s="16"/>
      <c r="AB373" s="16"/>
      <c r="AC373" s="16"/>
      <c r="AD373" s="16"/>
    </row>
    <row r="374" ht="14.25" customHeight="1">
      <c r="A374" s="16"/>
      <c r="B374" s="16"/>
      <c r="C374" s="16"/>
      <c r="D374" s="16"/>
      <c r="E374" s="16"/>
      <c r="F374" s="16"/>
      <c r="G374" s="16"/>
      <c r="H374" s="16"/>
      <c r="I374" s="16"/>
      <c r="J374" s="16"/>
      <c r="K374" s="16"/>
      <c r="L374" s="16"/>
      <c r="M374" s="16"/>
      <c r="N374" s="16"/>
      <c r="O374" s="16"/>
      <c r="P374" s="17"/>
      <c r="Q374" s="16"/>
      <c r="R374" s="16"/>
      <c r="S374" s="16"/>
      <c r="T374" s="16"/>
      <c r="U374" s="16"/>
      <c r="V374" s="16"/>
      <c r="W374" s="16"/>
      <c r="X374" s="16"/>
      <c r="Y374" s="16"/>
      <c r="Z374" s="16"/>
      <c r="AA374" s="16"/>
      <c r="AB374" s="16"/>
      <c r="AC374" s="16"/>
      <c r="AD374" s="16"/>
    </row>
    <row r="375" ht="14.25" customHeight="1">
      <c r="A375" s="16"/>
      <c r="B375" s="16"/>
      <c r="C375" s="16"/>
      <c r="D375" s="16"/>
      <c r="E375" s="16"/>
      <c r="F375" s="16"/>
      <c r="G375" s="16"/>
      <c r="H375" s="16"/>
      <c r="I375" s="16"/>
      <c r="J375" s="16"/>
      <c r="K375" s="16"/>
      <c r="L375" s="16"/>
      <c r="M375" s="16"/>
      <c r="N375" s="16"/>
      <c r="O375" s="16"/>
      <c r="P375" s="17"/>
      <c r="Q375" s="16"/>
      <c r="R375" s="16"/>
      <c r="S375" s="16"/>
      <c r="T375" s="16"/>
      <c r="U375" s="16"/>
      <c r="V375" s="16"/>
      <c r="W375" s="16"/>
      <c r="X375" s="16"/>
      <c r="Y375" s="16"/>
      <c r="Z375" s="16"/>
      <c r="AA375" s="16"/>
      <c r="AB375" s="16"/>
      <c r="AC375" s="16"/>
      <c r="AD375" s="16"/>
    </row>
    <row r="376" ht="14.25" customHeight="1">
      <c r="A376" s="16"/>
      <c r="B376" s="16"/>
      <c r="C376" s="16"/>
      <c r="D376" s="16"/>
      <c r="E376" s="16"/>
      <c r="F376" s="16"/>
      <c r="G376" s="16"/>
      <c r="H376" s="16"/>
      <c r="I376" s="16"/>
      <c r="J376" s="16"/>
      <c r="K376" s="16"/>
      <c r="L376" s="16"/>
      <c r="M376" s="16"/>
      <c r="N376" s="16"/>
      <c r="O376" s="16"/>
      <c r="P376" s="17"/>
      <c r="Q376" s="16"/>
      <c r="R376" s="16"/>
      <c r="S376" s="16"/>
      <c r="T376" s="16"/>
      <c r="U376" s="16"/>
      <c r="V376" s="16"/>
      <c r="W376" s="16"/>
      <c r="X376" s="16"/>
      <c r="Y376" s="16"/>
      <c r="Z376" s="16"/>
      <c r="AA376" s="16"/>
      <c r="AB376" s="16"/>
      <c r="AC376" s="16"/>
      <c r="AD376" s="16"/>
    </row>
    <row r="377" ht="14.25" customHeight="1">
      <c r="A377" s="16"/>
      <c r="B377" s="16"/>
      <c r="C377" s="16"/>
      <c r="D377" s="16"/>
      <c r="E377" s="16"/>
      <c r="F377" s="16"/>
      <c r="G377" s="16"/>
      <c r="H377" s="16"/>
      <c r="I377" s="16"/>
      <c r="J377" s="16"/>
      <c r="K377" s="16"/>
      <c r="L377" s="16"/>
      <c r="M377" s="16"/>
      <c r="N377" s="16"/>
      <c r="O377" s="16"/>
      <c r="P377" s="17"/>
      <c r="Q377" s="16"/>
      <c r="R377" s="16"/>
      <c r="S377" s="16"/>
      <c r="T377" s="16"/>
      <c r="U377" s="16"/>
      <c r="V377" s="16"/>
      <c r="W377" s="16"/>
      <c r="X377" s="16"/>
      <c r="Y377" s="16"/>
      <c r="Z377" s="16"/>
      <c r="AA377" s="16"/>
      <c r="AB377" s="16"/>
      <c r="AC377" s="16"/>
      <c r="AD377" s="16"/>
    </row>
    <row r="378" ht="14.25" customHeight="1">
      <c r="A378" s="16"/>
      <c r="B378" s="16"/>
      <c r="C378" s="16"/>
      <c r="D378" s="16"/>
      <c r="E378" s="16"/>
      <c r="F378" s="16"/>
      <c r="G378" s="16"/>
      <c r="H378" s="16"/>
      <c r="I378" s="16"/>
      <c r="J378" s="16"/>
      <c r="K378" s="16"/>
      <c r="L378" s="16"/>
      <c r="M378" s="16"/>
      <c r="N378" s="16"/>
      <c r="O378" s="16"/>
      <c r="P378" s="17"/>
      <c r="Q378" s="16"/>
      <c r="R378" s="16"/>
      <c r="S378" s="16"/>
      <c r="T378" s="16"/>
      <c r="U378" s="16"/>
      <c r="V378" s="16"/>
      <c r="W378" s="16"/>
      <c r="X378" s="16"/>
      <c r="Y378" s="16"/>
      <c r="Z378" s="16"/>
      <c r="AA378" s="16"/>
      <c r="AB378" s="16"/>
      <c r="AC378" s="16"/>
      <c r="AD378" s="16"/>
    </row>
    <row r="379" ht="14.25" customHeight="1">
      <c r="A379" s="16"/>
      <c r="B379" s="16"/>
      <c r="C379" s="16"/>
      <c r="D379" s="16"/>
      <c r="E379" s="16"/>
      <c r="F379" s="16"/>
      <c r="G379" s="16"/>
      <c r="H379" s="16"/>
      <c r="I379" s="16"/>
      <c r="J379" s="16"/>
      <c r="K379" s="16"/>
      <c r="L379" s="16"/>
      <c r="M379" s="16"/>
      <c r="N379" s="16"/>
      <c r="O379" s="16"/>
      <c r="P379" s="17"/>
      <c r="Q379" s="16"/>
      <c r="R379" s="16"/>
      <c r="S379" s="16"/>
      <c r="T379" s="16"/>
      <c r="U379" s="16"/>
      <c r="V379" s="16"/>
      <c r="W379" s="16"/>
      <c r="X379" s="16"/>
      <c r="Y379" s="16"/>
      <c r="Z379" s="16"/>
      <c r="AA379" s="16"/>
      <c r="AB379" s="16"/>
      <c r="AC379" s="16"/>
      <c r="AD379" s="16"/>
    </row>
    <row r="380" ht="14.25" customHeight="1">
      <c r="A380" s="16"/>
      <c r="B380" s="16"/>
      <c r="C380" s="16"/>
      <c r="D380" s="16"/>
      <c r="E380" s="16"/>
      <c r="F380" s="16"/>
      <c r="G380" s="16"/>
      <c r="H380" s="16"/>
      <c r="I380" s="16"/>
      <c r="J380" s="16"/>
      <c r="K380" s="16"/>
      <c r="L380" s="16"/>
      <c r="M380" s="16"/>
      <c r="N380" s="16"/>
      <c r="O380" s="16"/>
      <c r="P380" s="17"/>
      <c r="Q380" s="16"/>
      <c r="R380" s="16"/>
      <c r="S380" s="16"/>
      <c r="T380" s="16"/>
      <c r="U380" s="16"/>
      <c r="V380" s="16"/>
      <c r="W380" s="16"/>
      <c r="X380" s="16"/>
      <c r="Y380" s="16"/>
      <c r="Z380" s="16"/>
      <c r="AA380" s="16"/>
      <c r="AB380" s="16"/>
      <c r="AC380" s="16"/>
      <c r="AD380" s="16"/>
    </row>
    <row r="381" ht="14.25" customHeight="1">
      <c r="A381" s="16"/>
      <c r="B381" s="16"/>
      <c r="C381" s="16"/>
      <c r="D381" s="16"/>
      <c r="E381" s="16"/>
      <c r="F381" s="16"/>
      <c r="G381" s="16"/>
      <c r="H381" s="16"/>
      <c r="I381" s="16"/>
      <c r="J381" s="16"/>
      <c r="K381" s="16"/>
      <c r="L381" s="16"/>
      <c r="M381" s="16"/>
      <c r="N381" s="16"/>
      <c r="O381" s="16"/>
      <c r="P381" s="17"/>
      <c r="Q381" s="16"/>
      <c r="R381" s="16"/>
      <c r="S381" s="16"/>
      <c r="T381" s="16"/>
      <c r="U381" s="16"/>
      <c r="V381" s="16"/>
      <c r="W381" s="16"/>
      <c r="X381" s="16"/>
      <c r="Y381" s="16"/>
      <c r="Z381" s="16"/>
      <c r="AA381" s="16"/>
      <c r="AB381" s="16"/>
      <c r="AC381" s="16"/>
      <c r="AD381" s="16"/>
    </row>
    <row r="382" ht="14.25" customHeight="1">
      <c r="A382" s="16"/>
      <c r="B382" s="16"/>
      <c r="C382" s="16"/>
      <c r="D382" s="16"/>
      <c r="E382" s="16"/>
      <c r="F382" s="16"/>
      <c r="G382" s="16"/>
      <c r="H382" s="16"/>
      <c r="I382" s="16"/>
      <c r="J382" s="16"/>
      <c r="K382" s="16"/>
      <c r="L382" s="16"/>
      <c r="M382" s="16"/>
      <c r="N382" s="16"/>
      <c r="O382" s="16"/>
      <c r="P382" s="17"/>
      <c r="Q382" s="16"/>
      <c r="R382" s="16"/>
      <c r="S382" s="16"/>
      <c r="T382" s="16"/>
      <c r="U382" s="16"/>
      <c r="V382" s="16"/>
      <c r="W382" s="16"/>
      <c r="X382" s="16"/>
      <c r="Y382" s="16"/>
      <c r="Z382" s="16"/>
      <c r="AA382" s="16"/>
      <c r="AB382" s="16"/>
      <c r="AC382" s="16"/>
      <c r="AD382" s="16"/>
    </row>
    <row r="383" ht="14.25" customHeight="1">
      <c r="A383" s="16"/>
      <c r="B383" s="16"/>
      <c r="C383" s="16"/>
      <c r="D383" s="16"/>
      <c r="E383" s="16"/>
      <c r="F383" s="16"/>
      <c r="G383" s="16"/>
      <c r="H383" s="16"/>
      <c r="I383" s="16"/>
      <c r="J383" s="16"/>
      <c r="K383" s="16"/>
      <c r="L383" s="16"/>
      <c r="M383" s="16"/>
      <c r="N383" s="16"/>
      <c r="O383" s="16"/>
      <c r="P383" s="17"/>
      <c r="Q383" s="16"/>
      <c r="R383" s="16"/>
      <c r="S383" s="16"/>
      <c r="T383" s="16"/>
      <c r="U383" s="16"/>
      <c r="V383" s="16"/>
      <c r="W383" s="16"/>
      <c r="X383" s="16"/>
      <c r="Y383" s="16"/>
      <c r="Z383" s="16"/>
      <c r="AA383" s="16"/>
      <c r="AB383" s="16"/>
      <c r="AC383" s="16"/>
      <c r="AD383" s="16"/>
    </row>
    <row r="384" ht="14.25" customHeight="1">
      <c r="A384" s="16"/>
      <c r="B384" s="16"/>
      <c r="C384" s="16"/>
      <c r="D384" s="16"/>
      <c r="E384" s="16"/>
      <c r="F384" s="16"/>
      <c r="G384" s="16"/>
      <c r="H384" s="16"/>
      <c r="I384" s="16"/>
      <c r="J384" s="16"/>
      <c r="K384" s="16"/>
      <c r="L384" s="16"/>
      <c r="M384" s="16"/>
      <c r="N384" s="16"/>
      <c r="O384" s="16"/>
      <c r="P384" s="17"/>
      <c r="Q384" s="16"/>
      <c r="R384" s="16"/>
      <c r="S384" s="16"/>
      <c r="T384" s="16"/>
      <c r="U384" s="16"/>
      <c r="V384" s="16"/>
      <c r="W384" s="16"/>
      <c r="X384" s="16"/>
      <c r="Y384" s="16"/>
      <c r="Z384" s="16"/>
      <c r="AA384" s="16"/>
      <c r="AB384" s="16"/>
      <c r="AC384" s="16"/>
      <c r="AD384" s="16"/>
    </row>
    <row r="385" ht="14.25" customHeight="1">
      <c r="A385" s="16"/>
      <c r="B385" s="16"/>
      <c r="C385" s="16"/>
      <c r="D385" s="16"/>
      <c r="E385" s="16"/>
      <c r="F385" s="16"/>
      <c r="G385" s="16"/>
      <c r="H385" s="16"/>
      <c r="I385" s="16"/>
      <c r="J385" s="16"/>
      <c r="K385" s="16"/>
      <c r="L385" s="16"/>
      <c r="M385" s="16"/>
      <c r="N385" s="16"/>
      <c r="O385" s="16"/>
      <c r="P385" s="17"/>
      <c r="Q385" s="16"/>
      <c r="R385" s="16"/>
      <c r="S385" s="16"/>
      <c r="T385" s="16"/>
      <c r="U385" s="16"/>
      <c r="V385" s="16"/>
      <c r="W385" s="16"/>
      <c r="X385" s="16"/>
      <c r="Y385" s="16"/>
      <c r="Z385" s="16"/>
      <c r="AA385" s="16"/>
      <c r="AB385" s="16"/>
      <c r="AC385" s="16"/>
      <c r="AD385" s="16"/>
    </row>
    <row r="386" ht="14.25" customHeight="1">
      <c r="A386" s="16"/>
      <c r="B386" s="16"/>
      <c r="C386" s="16"/>
      <c r="D386" s="16"/>
      <c r="E386" s="16"/>
      <c r="F386" s="16"/>
      <c r="G386" s="16"/>
      <c r="H386" s="16"/>
      <c r="I386" s="16"/>
      <c r="J386" s="16"/>
      <c r="K386" s="16"/>
      <c r="L386" s="16"/>
      <c r="M386" s="16"/>
      <c r="N386" s="16"/>
      <c r="O386" s="16"/>
      <c r="P386" s="17"/>
      <c r="Q386" s="16"/>
      <c r="R386" s="16"/>
      <c r="S386" s="16"/>
      <c r="T386" s="16"/>
      <c r="U386" s="16"/>
      <c r="V386" s="16"/>
      <c r="W386" s="16"/>
      <c r="X386" s="16"/>
      <c r="Y386" s="16"/>
      <c r="Z386" s="16"/>
      <c r="AA386" s="16"/>
      <c r="AB386" s="16"/>
      <c r="AC386" s="16"/>
      <c r="AD386" s="16"/>
    </row>
    <row r="387" ht="14.25" customHeight="1">
      <c r="A387" s="16"/>
      <c r="B387" s="16"/>
      <c r="C387" s="16"/>
      <c r="D387" s="16"/>
      <c r="E387" s="16"/>
      <c r="F387" s="16"/>
      <c r="G387" s="16"/>
      <c r="H387" s="16"/>
      <c r="I387" s="16"/>
      <c r="J387" s="16"/>
      <c r="K387" s="16"/>
      <c r="L387" s="16"/>
      <c r="M387" s="16"/>
      <c r="N387" s="16"/>
      <c r="O387" s="16"/>
      <c r="P387" s="17"/>
      <c r="Q387" s="16"/>
      <c r="R387" s="16"/>
      <c r="S387" s="16"/>
      <c r="T387" s="16"/>
      <c r="U387" s="16"/>
      <c r="V387" s="16"/>
      <c r="W387" s="16"/>
      <c r="X387" s="16"/>
      <c r="Y387" s="16"/>
      <c r="Z387" s="16"/>
      <c r="AA387" s="16"/>
      <c r="AB387" s="16"/>
      <c r="AC387" s="16"/>
      <c r="AD387" s="16"/>
    </row>
    <row r="388" ht="14.25" customHeight="1">
      <c r="A388" s="16"/>
      <c r="B388" s="16"/>
      <c r="C388" s="16"/>
      <c r="D388" s="16"/>
      <c r="E388" s="16"/>
      <c r="F388" s="16"/>
      <c r="G388" s="16"/>
      <c r="H388" s="16"/>
      <c r="I388" s="16"/>
      <c r="J388" s="16"/>
      <c r="K388" s="16"/>
      <c r="L388" s="16"/>
      <c r="M388" s="16"/>
      <c r="N388" s="16"/>
      <c r="O388" s="16"/>
      <c r="P388" s="17"/>
      <c r="Q388" s="16"/>
      <c r="R388" s="16"/>
      <c r="S388" s="16"/>
      <c r="T388" s="16"/>
      <c r="U388" s="16"/>
      <c r="V388" s="16"/>
      <c r="W388" s="16"/>
      <c r="X388" s="16"/>
      <c r="Y388" s="16"/>
      <c r="Z388" s="16"/>
      <c r="AA388" s="16"/>
      <c r="AB388" s="16"/>
      <c r="AC388" s="16"/>
      <c r="AD388" s="16"/>
    </row>
    <row r="389" ht="14.25" customHeight="1">
      <c r="A389" s="16"/>
      <c r="B389" s="16"/>
      <c r="C389" s="16"/>
      <c r="D389" s="16"/>
      <c r="E389" s="16"/>
      <c r="F389" s="16"/>
      <c r="G389" s="16"/>
      <c r="H389" s="16"/>
      <c r="I389" s="16"/>
      <c r="J389" s="16"/>
      <c r="K389" s="16"/>
      <c r="L389" s="16"/>
      <c r="M389" s="16"/>
      <c r="N389" s="16"/>
      <c r="O389" s="16"/>
      <c r="P389" s="17"/>
      <c r="Q389" s="16"/>
      <c r="R389" s="16"/>
      <c r="S389" s="16"/>
      <c r="T389" s="16"/>
      <c r="U389" s="16"/>
      <c r="V389" s="16"/>
      <c r="W389" s="16"/>
      <c r="X389" s="16"/>
      <c r="Y389" s="16"/>
      <c r="Z389" s="16"/>
      <c r="AA389" s="16"/>
      <c r="AB389" s="16"/>
      <c r="AC389" s="16"/>
      <c r="AD389" s="16"/>
    </row>
    <row r="390" ht="14.25" customHeight="1">
      <c r="A390" s="16"/>
      <c r="B390" s="16"/>
      <c r="C390" s="16"/>
      <c r="D390" s="16"/>
      <c r="E390" s="16"/>
      <c r="F390" s="16"/>
      <c r="G390" s="16"/>
      <c r="H390" s="16"/>
      <c r="I390" s="16"/>
      <c r="J390" s="16"/>
      <c r="K390" s="16"/>
      <c r="L390" s="16"/>
      <c r="M390" s="16"/>
      <c r="N390" s="16"/>
      <c r="O390" s="16"/>
      <c r="P390" s="17"/>
      <c r="Q390" s="16"/>
      <c r="R390" s="16"/>
      <c r="S390" s="16"/>
      <c r="T390" s="16"/>
      <c r="U390" s="16"/>
      <c r="V390" s="16"/>
      <c r="W390" s="16"/>
      <c r="X390" s="16"/>
      <c r="Y390" s="16"/>
      <c r="Z390" s="16"/>
      <c r="AA390" s="16"/>
      <c r="AB390" s="16"/>
      <c r="AC390" s="16"/>
      <c r="AD390" s="16"/>
    </row>
    <row r="391" ht="14.25" customHeight="1">
      <c r="A391" s="16"/>
      <c r="B391" s="16"/>
      <c r="C391" s="16"/>
      <c r="D391" s="16"/>
      <c r="E391" s="16"/>
      <c r="F391" s="16"/>
      <c r="G391" s="16"/>
      <c r="H391" s="16"/>
      <c r="I391" s="16"/>
      <c r="J391" s="16"/>
      <c r="K391" s="16"/>
      <c r="L391" s="16"/>
      <c r="M391" s="16"/>
      <c r="N391" s="16"/>
      <c r="O391" s="16"/>
      <c r="P391" s="17"/>
      <c r="Q391" s="16"/>
      <c r="R391" s="16"/>
      <c r="S391" s="16"/>
      <c r="T391" s="16"/>
      <c r="U391" s="16"/>
      <c r="V391" s="16"/>
      <c r="W391" s="16"/>
      <c r="X391" s="16"/>
      <c r="Y391" s="16"/>
      <c r="Z391" s="16"/>
      <c r="AA391" s="16"/>
      <c r="AB391" s="16"/>
      <c r="AC391" s="16"/>
      <c r="AD391" s="16"/>
    </row>
    <row r="392" ht="14.25" customHeight="1">
      <c r="A392" s="16"/>
      <c r="B392" s="16"/>
      <c r="C392" s="16"/>
      <c r="D392" s="16"/>
      <c r="E392" s="16"/>
      <c r="F392" s="16"/>
      <c r="G392" s="16"/>
      <c r="H392" s="16"/>
      <c r="I392" s="16"/>
      <c r="J392" s="16"/>
      <c r="K392" s="16"/>
      <c r="L392" s="16"/>
      <c r="M392" s="16"/>
      <c r="N392" s="16"/>
      <c r="O392" s="16"/>
      <c r="P392" s="17"/>
      <c r="Q392" s="16"/>
      <c r="R392" s="16"/>
      <c r="S392" s="16"/>
      <c r="T392" s="16"/>
      <c r="U392" s="16"/>
      <c r="V392" s="16"/>
      <c r="W392" s="16"/>
      <c r="X392" s="16"/>
      <c r="Y392" s="16"/>
      <c r="Z392" s="16"/>
      <c r="AA392" s="16"/>
      <c r="AB392" s="16"/>
      <c r="AC392" s="16"/>
      <c r="AD392" s="16"/>
    </row>
    <row r="393" ht="14.25" customHeight="1">
      <c r="A393" s="16"/>
      <c r="B393" s="16"/>
      <c r="C393" s="16"/>
      <c r="D393" s="16"/>
      <c r="E393" s="16"/>
      <c r="F393" s="16"/>
      <c r="G393" s="16"/>
      <c r="H393" s="16"/>
      <c r="I393" s="16"/>
      <c r="J393" s="16"/>
      <c r="K393" s="16"/>
      <c r="L393" s="16"/>
      <c r="M393" s="16"/>
      <c r="N393" s="16"/>
      <c r="O393" s="16"/>
      <c r="P393" s="17"/>
      <c r="Q393" s="16"/>
      <c r="R393" s="16"/>
      <c r="S393" s="16"/>
      <c r="T393" s="16"/>
      <c r="U393" s="16"/>
      <c r="V393" s="16"/>
      <c r="W393" s="16"/>
      <c r="X393" s="16"/>
      <c r="Y393" s="16"/>
      <c r="Z393" s="16"/>
      <c r="AA393" s="16"/>
      <c r="AB393" s="16"/>
      <c r="AC393" s="16"/>
      <c r="AD393" s="16"/>
    </row>
    <row r="394" ht="14.25" customHeight="1">
      <c r="A394" s="16"/>
      <c r="B394" s="16"/>
      <c r="C394" s="16"/>
      <c r="D394" s="16"/>
      <c r="E394" s="16"/>
      <c r="F394" s="16"/>
      <c r="G394" s="16"/>
      <c r="H394" s="16"/>
      <c r="I394" s="16"/>
      <c r="J394" s="16"/>
      <c r="K394" s="16"/>
      <c r="L394" s="16"/>
      <c r="M394" s="16"/>
      <c r="N394" s="16"/>
      <c r="O394" s="16"/>
      <c r="P394" s="17"/>
      <c r="Q394" s="16"/>
      <c r="R394" s="16"/>
      <c r="S394" s="16"/>
      <c r="T394" s="16"/>
      <c r="U394" s="16"/>
      <c r="V394" s="16"/>
      <c r="W394" s="16"/>
      <c r="X394" s="16"/>
      <c r="Y394" s="16"/>
      <c r="Z394" s="16"/>
      <c r="AA394" s="16"/>
      <c r="AB394" s="16"/>
      <c r="AC394" s="16"/>
      <c r="AD394" s="16"/>
    </row>
    <row r="395" ht="14.25" customHeight="1">
      <c r="A395" s="16"/>
      <c r="B395" s="16"/>
      <c r="C395" s="16"/>
      <c r="D395" s="16"/>
      <c r="E395" s="16"/>
      <c r="F395" s="16"/>
      <c r="G395" s="16"/>
      <c r="H395" s="16"/>
      <c r="I395" s="16"/>
      <c r="J395" s="16"/>
      <c r="K395" s="16"/>
      <c r="L395" s="16"/>
      <c r="M395" s="16"/>
      <c r="N395" s="16"/>
      <c r="O395" s="16"/>
      <c r="P395" s="17"/>
      <c r="Q395" s="16"/>
      <c r="R395" s="16"/>
      <c r="S395" s="16"/>
      <c r="T395" s="16"/>
      <c r="U395" s="16"/>
      <c r="V395" s="16"/>
      <c r="W395" s="16"/>
      <c r="X395" s="16"/>
      <c r="Y395" s="16"/>
      <c r="Z395" s="16"/>
      <c r="AA395" s="16"/>
      <c r="AB395" s="16"/>
      <c r="AC395" s="16"/>
      <c r="AD395" s="16"/>
    </row>
    <row r="396" ht="14.25" customHeight="1">
      <c r="A396" s="16"/>
      <c r="B396" s="16"/>
      <c r="C396" s="16"/>
      <c r="D396" s="16"/>
      <c r="E396" s="16"/>
      <c r="F396" s="16"/>
      <c r="G396" s="16"/>
      <c r="H396" s="16"/>
      <c r="I396" s="16"/>
      <c r="J396" s="16"/>
      <c r="K396" s="16"/>
      <c r="L396" s="16"/>
      <c r="M396" s="16"/>
      <c r="N396" s="16"/>
      <c r="O396" s="16"/>
      <c r="P396" s="17"/>
      <c r="Q396" s="16"/>
      <c r="R396" s="16"/>
      <c r="S396" s="16"/>
      <c r="T396" s="16"/>
      <c r="U396" s="16"/>
      <c r="V396" s="16"/>
      <c r="W396" s="16"/>
      <c r="X396" s="16"/>
      <c r="Y396" s="16"/>
      <c r="Z396" s="16"/>
      <c r="AA396" s="16"/>
      <c r="AB396" s="16"/>
      <c r="AC396" s="16"/>
      <c r="AD396" s="16"/>
    </row>
    <row r="397" ht="14.25" customHeight="1">
      <c r="A397" s="16"/>
      <c r="B397" s="16"/>
      <c r="C397" s="16"/>
      <c r="D397" s="16"/>
      <c r="E397" s="16"/>
      <c r="F397" s="16"/>
      <c r="G397" s="16"/>
      <c r="H397" s="16"/>
      <c r="I397" s="16"/>
      <c r="J397" s="16"/>
      <c r="K397" s="16"/>
      <c r="L397" s="16"/>
      <c r="M397" s="16"/>
      <c r="N397" s="16"/>
      <c r="O397" s="16"/>
      <c r="P397" s="17"/>
      <c r="Q397" s="16"/>
      <c r="R397" s="16"/>
      <c r="S397" s="16"/>
      <c r="T397" s="16"/>
      <c r="U397" s="16"/>
      <c r="V397" s="16"/>
      <c r="W397" s="16"/>
      <c r="X397" s="16"/>
      <c r="Y397" s="16"/>
      <c r="Z397" s="16"/>
      <c r="AA397" s="16"/>
      <c r="AB397" s="16"/>
      <c r="AC397" s="16"/>
      <c r="AD397" s="16"/>
    </row>
    <row r="398" ht="14.25" customHeight="1">
      <c r="A398" s="16"/>
      <c r="B398" s="16"/>
      <c r="C398" s="16"/>
      <c r="D398" s="16"/>
      <c r="E398" s="16"/>
      <c r="F398" s="16"/>
      <c r="G398" s="16"/>
      <c r="H398" s="16"/>
      <c r="I398" s="16"/>
      <c r="J398" s="16"/>
      <c r="K398" s="16"/>
      <c r="L398" s="16"/>
      <c r="M398" s="16"/>
      <c r="N398" s="16"/>
      <c r="O398" s="16"/>
      <c r="P398" s="17"/>
      <c r="Q398" s="16"/>
      <c r="R398" s="16"/>
      <c r="S398" s="16"/>
      <c r="T398" s="16"/>
      <c r="U398" s="16"/>
      <c r="V398" s="16"/>
      <c r="W398" s="16"/>
      <c r="X398" s="16"/>
      <c r="Y398" s="16"/>
      <c r="Z398" s="16"/>
      <c r="AA398" s="16"/>
      <c r="AB398" s="16"/>
      <c r="AC398" s="16"/>
      <c r="AD398" s="16"/>
    </row>
    <row r="399" ht="14.25" customHeight="1">
      <c r="A399" s="16"/>
      <c r="B399" s="16"/>
      <c r="C399" s="16"/>
      <c r="D399" s="16"/>
      <c r="E399" s="16"/>
      <c r="F399" s="16"/>
      <c r="G399" s="16"/>
      <c r="H399" s="16"/>
      <c r="I399" s="16"/>
      <c r="J399" s="16"/>
      <c r="K399" s="16"/>
      <c r="L399" s="16"/>
      <c r="M399" s="16"/>
      <c r="N399" s="16"/>
      <c r="O399" s="16"/>
      <c r="P399" s="17"/>
      <c r="Q399" s="16"/>
      <c r="R399" s="16"/>
      <c r="S399" s="16"/>
      <c r="T399" s="16"/>
      <c r="U399" s="16"/>
      <c r="V399" s="16"/>
      <c r="W399" s="16"/>
      <c r="X399" s="16"/>
      <c r="Y399" s="16"/>
      <c r="Z399" s="16"/>
      <c r="AA399" s="16"/>
      <c r="AB399" s="16"/>
      <c r="AC399" s="16"/>
      <c r="AD399" s="16"/>
    </row>
    <row r="400" ht="14.25" customHeight="1">
      <c r="A400" s="16"/>
      <c r="B400" s="16"/>
      <c r="C400" s="16"/>
      <c r="D400" s="16"/>
      <c r="E400" s="16"/>
      <c r="F400" s="16"/>
      <c r="G400" s="16"/>
      <c r="H400" s="16"/>
      <c r="I400" s="16"/>
      <c r="J400" s="16"/>
      <c r="K400" s="16"/>
      <c r="L400" s="16"/>
      <c r="M400" s="16"/>
      <c r="N400" s="16"/>
      <c r="O400" s="16"/>
      <c r="P400" s="17"/>
      <c r="Q400" s="16"/>
      <c r="R400" s="16"/>
      <c r="S400" s="16"/>
      <c r="T400" s="16"/>
      <c r="U400" s="16"/>
      <c r="V400" s="16"/>
      <c r="W400" s="16"/>
      <c r="X400" s="16"/>
      <c r="Y400" s="16"/>
      <c r="Z400" s="16"/>
      <c r="AA400" s="16"/>
      <c r="AB400" s="16"/>
      <c r="AC400" s="16"/>
      <c r="AD400" s="16"/>
    </row>
    <row r="401" ht="14.25" customHeight="1">
      <c r="A401" s="16"/>
      <c r="B401" s="16"/>
      <c r="C401" s="16"/>
      <c r="D401" s="16"/>
      <c r="E401" s="16"/>
      <c r="F401" s="16"/>
      <c r="G401" s="16"/>
      <c r="H401" s="16"/>
      <c r="I401" s="16"/>
      <c r="J401" s="16"/>
      <c r="K401" s="16"/>
      <c r="L401" s="16"/>
      <c r="M401" s="16"/>
      <c r="N401" s="16"/>
      <c r="O401" s="16"/>
      <c r="P401" s="17"/>
      <c r="Q401" s="16"/>
      <c r="R401" s="16"/>
      <c r="S401" s="16"/>
      <c r="T401" s="16"/>
      <c r="U401" s="16"/>
      <c r="V401" s="16"/>
      <c r="W401" s="16"/>
      <c r="X401" s="16"/>
      <c r="Y401" s="16"/>
      <c r="Z401" s="16"/>
      <c r="AA401" s="16"/>
      <c r="AB401" s="16"/>
      <c r="AC401" s="16"/>
      <c r="AD401" s="16"/>
    </row>
    <row r="402" ht="14.25" customHeight="1">
      <c r="A402" s="16"/>
      <c r="B402" s="16"/>
      <c r="C402" s="16"/>
      <c r="D402" s="16"/>
      <c r="E402" s="16"/>
      <c r="F402" s="16"/>
      <c r="G402" s="16"/>
      <c r="H402" s="16"/>
      <c r="I402" s="16"/>
      <c r="J402" s="16"/>
      <c r="K402" s="16"/>
      <c r="L402" s="16"/>
      <c r="M402" s="16"/>
      <c r="N402" s="16"/>
      <c r="O402" s="16"/>
      <c r="P402" s="17"/>
      <c r="Q402" s="16"/>
      <c r="R402" s="16"/>
      <c r="S402" s="16"/>
      <c r="T402" s="16"/>
      <c r="U402" s="16"/>
      <c r="V402" s="16"/>
      <c r="W402" s="16"/>
      <c r="X402" s="16"/>
      <c r="Y402" s="16"/>
      <c r="Z402" s="16"/>
      <c r="AA402" s="16"/>
      <c r="AB402" s="16"/>
      <c r="AC402" s="16"/>
      <c r="AD402" s="16"/>
    </row>
    <row r="403" ht="14.25" customHeight="1">
      <c r="A403" s="16"/>
      <c r="B403" s="16"/>
      <c r="C403" s="16"/>
      <c r="D403" s="16"/>
      <c r="E403" s="16"/>
      <c r="F403" s="16"/>
      <c r="G403" s="16"/>
      <c r="H403" s="16"/>
      <c r="I403" s="16"/>
      <c r="J403" s="16"/>
      <c r="K403" s="16"/>
      <c r="L403" s="16"/>
      <c r="M403" s="16"/>
      <c r="N403" s="16"/>
      <c r="O403" s="16"/>
      <c r="P403" s="17"/>
      <c r="Q403" s="16"/>
      <c r="R403" s="16"/>
      <c r="S403" s="16"/>
      <c r="T403" s="16"/>
      <c r="U403" s="16"/>
      <c r="V403" s="16"/>
      <c r="W403" s="16"/>
      <c r="X403" s="16"/>
      <c r="Y403" s="16"/>
      <c r="Z403" s="16"/>
      <c r="AA403" s="16"/>
      <c r="AB403" s="16"/>
      <c r="AC403" s="16"/>
      <c r="AD403" s="16"/>
    </row>
    <row r="404" ht="14.25" customHeight="1">
      <c r="A404" s="16"/>
      <c r="B404" s="16"/>
      <c r="C404" s="16"/>
      <c r="D404" s="16"/>
      <c r="E404" s="16"/>
      <c r="F404" s="16"/>
      <c r="G404" s="16"/>
      <c r="H404" s="16"/>
      <c r="I404" s="16"/>
      <c r="J404" s="16"/>
      <c r="K404" s="16"/>
      <c r="L404" s="16"/>
      <c r="M404" s="16"/>
      <c r="N404" s="16"/>
      <c r="O404" s="16"/>
      <c r="P404" s="17"/>
      <c r="Q404" s="16"/>
      <c r="R404" s="16"/>
      <c r="S404" s="16"/>
      <c r="T404" s="16"/>
      <c r="U404" s="16"/>
      <c r="V404" s="16"/>
      <c r="W404" s="16"/>
      <c r="X404" s="16"/>
      <c r="Y404" s="16"/>
      <c r="Z404" s="16"/>
      <c r="AA404" s="16"/>
      <c r="AB404" s="16"/>
      <c r="AC404" s="16"/>
      <c r="AD404" s="16"/>
    </row>
    <row r="405" ht="14.25" customHeight="1">
      <c r="A405" s="16"/>
      <c r="B405" s="16"/>
      <c r="C405" s="16"/>
      <c r="D405" s="16"/>
      <c r="E405" s="16"/>
      <c r="F405" s="16"/>
      <c r="G405" s="16"/>
      <c r="H405" s="16"/>
      <c r="I405" s="16"/>
      <c r="J405" s="16"/>
      <c r="K405" s="16"/>
      <c r="L405" s="16"/>
      <c r="M405" s="16"/>
      <c r="N405" s="16"/>
      <c r="O405" s="16"/>
      <c r="P405" s="17"/>
      <c r="Q405" s="16"/>
      <c r="R405" s="16"/>
      <c r="S405" s="16"/>
      <c r="T405" s="16"/>
      <c r="U405" s="16"/>
      <c r="V405" s="16"/>
      <c r="W405" s="16"/>
      <c r="X405" s="16"/>
      <c r="Y405" s="16"/>
      <c r="Z405" s="16"/>
      <c r="AA405" s="16"/>
      <c r="AB405" s="16"/>
      <c r="AC405" s="16"/>
      <c r="AD405" s="16"/>
    </row>
    <row r="406" ht="14.25" customHeight="1">
      <c r="A406" s="16"/>
      <c r="B406" s="16"/>
      <c r="C406" s="16"/>
      <c r="D406" s="16"/>
      <c r="E406" s="16"/>
      <c r="F406" s="16"/>
      <c r="G406" s="16"/>
      <c r="H406" s="16"/>
      <c r="I406" s="16"/>
      <c r="J406" s="16"/>
      <c r="K406" s="16"/>
      <c r="L406" s="16"/>
      <c r="M406" s="16"/>
      <c r="N406" s="16"/>
      <c r="O406" s="16"/>
      <c r="P406" s="17"/>
      <c r="Q406" s="16"/>
      <c r="R406" s="16"/>
      <c r="S406" s="16"/>
      <c r="T406" s="16"/>
      <c r="U406" s="16"/>
      <c r="V406" s="16"/>
      <c r="W406" s="16"/>
      <c r="X406" s="16"/>
      <c r="Y406" s="16"/>
      <c r="Z406" s="16"/>
      <c r="AA406" s="16"/>
      <c r="AB406" s="16"/>
      <c r="AC406" s="16"/>
      <c r="AD406" s="16"/>
    </row>
    <row r="407" ht="14.25" customHeight="1">
      <c r="A407" s="16"/>
      <c r="B407" s="16"/>
      <c r="C407" s="16"/>
      <c r="D407" s="16"/>
      <c r="E407" s="16"/>
      <c r="F407" s="16"/>
      <c r="G407" s="16"/>
      <c r="H407" s="16"/>
      <c r="I407" s="16"/>
      <c r="J407" s="16"/>
      <c r="K407" s="16"/>
      <c r="L407" s="16"/>
      <c r="M407" s="16"/>
      <c r="N407" s="16"/>
      <c r="O407" s="16"/>
      <c r="P407" s="17"/>
      <c r="Q407" s="16"/>
      <c r="R407" s="16"/>
      <c r="S407" s="16"/>
      <c r="T407" s="16"/>
      <c r="U407" s="16"/>
      <c r="V407" s="16"/>
      <c r="W407" s="16"/>
      <c r="X407" s="16"/>
      <c r="Y407" s="16"/>
      <c r="Z407" s="16"/>
      <c r="AA407" s="16"/>
      <c r="AB407" s="16"/>
      <c r="AC407" s="16"/>
      <c r="AD407" s="16"/>
    </row>
    <row r="408" ht="14.25" customHeight="1">
      <c r="A408" s="16"/>
      <c r="B408" s="16"/>
      <c r="C408" s="16"/>
      <c r="D408" s="16"/>
      <c r="E408" s="16"/>
      <c r="F408" s="16"/>
      <c r="G408" s="16"/>
      <c r="H408" s="16"/>
      <c r="I408" s="16"/>
      <c r="J408" s="16"/>
      <c r="K408" s="16"/>
      <c r="L408" s="16"/>
      <c r="M408" s="16"/>
      <c r="N408" s="16"/>
      <c r="O408" s="16"/>
      <c r="P408" s="17"/>
      <c r="Q408" s="16"/>
      <c r="R408" s="16"/>
      <c r="S408" s="16"/>
      <c r="T408" s="16"/>
      <c r="U408" s="16"/>
      <c r="V408" s="16"/>
      <c r="W408" s="16"/>
      <c r="X408" s="16"/>
      <c r="Y408" s="16"/>
      <c r="Z408" s="16"/>
      <c r="AA408" s="16"/>
      <c r="AB408" s="16"/>
      <c r="AC408" s="16"/>
      <c r="AD408" s="16"/>
    </row>
    <row r="409" ht="14.25" customHeight="1">
      <c r="A409" s="16"/>
      <c r="B409" s="16"/>
      <c r="C409" s="16"/>
      <c r="D409" s="16"/>
      <c r="E409" s="16"/>
      <c r="F409" s="16"/>
      <c r="G409" s="16"/>
      <c r="H409" s="16"/>
      <c r="I409" s="16"/>
      <c r="J409" s="16"/>
      <c r="K409" s="16"/>
      <c r="L409" s="16"/>
      <c r="M409" s="16"/>
      <c r="N409" s="16"/>
      <c r="O409" s="16"/>
      <c r="P409" s="17"/>
      <c r="Q409" s="16"/>
      <c r="R409" s="16"/>
      <c r="S409" s="16"/>
      <c r="T409" s="16"/>
      <c r="U409" s="16"/>
      <c r="V409" s="16"/>
      <c r="W409" s="16"/>
      <c r="X409" s="16"/>
      <c r="Y409" s="16"/>
      <c r="Z409" s="16"/>
      <c r="AA409" s="16"/>
      <c r="AB409" s="16"/>
      <c r="AC409" s="16"/>
      <c r="AD409" s="16"/>
    </row>
    <row r="410" ht="14.25" customHeight="1">
      <c r="A410" s="16"/>
      <c r="B410" s="16"/>
      <c r="C410" s="16"/>
      <c r="D410" s="16"/>
      <c r="E410" s="16"/>
      <c r="F410" s="16"/>
      <c r="G410" s="16"/>
      <c r="H410" s="16"/>
      <c r="I410" s="16"/>
      <c r="J410" s="16"/>
      <c r="K410" s="16"/>
      <c r="L410" s="16"/>
      <c r="M410" s="16"/>
      <c r="N410" s="16"/>
      <c r="O410" s="16"/>
      <c r="P410" s="17"/>
      <c r="Q410" s="16"/>
      <c r="R410" s="16"/>
      <c r="S410" s="16"/>
      <c r="T410" s="16"/>
      <c r="U410" s="16"/>
      <c r="V410" s="16"/>
      <c r="W410" s="16"/>
      <c r="X410" s="16"/>
      <c r="Y410" s="16"/>
      <c r="Z410" s="16"/>
      <c r="AA410" s="16"/>
      <c r="AB410" s="16"/>
      <c r="AC410" s="16"/>
      <c r="AD410" s="16"/>
    </row>
    <row r="411" ht="14.25" customHeight="1">
      <c r="A411" s="16"/>
      <c r="B411" s="16"/>
      <c r="C411" s="16"/>
      <c r="D411" s="16"/>
      <c r="E411" s="16"/>
      <c r="F411" s="16"/>
      <c r="G411" s="16"/>
      <c r="H411" s="16"/>
      <c r="I411" s="16"/>
      <c r="J411" s="16"/>
      <c r="K411" s="16"/>
      <c r="L411" s="16"/>
      <c r="M411" s="16"/>
      <c r="N411" s="16"/>
      <c r="O411" s="16"/>
      <c r="P411" s="17"/>
      <c r="Q411" s="16"/>
      <c r="R411" s="16"/>
      <c r="S411" s="16"/>
      <c r="T411" s="16"/>
      <c r="U411" s="16"/>
      <c r="V411" s="16"/>
      <c r="W411" s="16"/>
      <c r="X411" s="16"/>
      <c r="Y411" s="16"/>
      <c r="Z411" s="16"/>
      <c r="AA411" s="16"/>
      <c r="AB411" s="16"/>
      <c r="AC411" s="16"/>
      <c r="AD411" s="16"/>
    </row>
    <row r="412" ht="14.25" customHeight="1">
      <c r="A412" s="16"/>
      <c r="B412" s="16"/>
      <c r="C412" s="16"/>
      <c r="D412" s="16"/>
      <c r="E412" s="16"/>
      <c r="F412" s="16"/>
      <c r="G412" s="16"/>
      <c r="H412" s="16"/>
      <c r="I412" s="16"/>
      <c r="J412" s="16"/>
      <c r="K412" s="16"/>
      <c r="L412" s="16"/>
      <c r="M412" s="16"/>
      <c r="N412" s="16"/>
      <c r="O412" s="16"/>
      <c r="P412" s="17"/>
      <c r="Q412" s="16"/>
      <c r="R412" s="16"/>
      <c r="S412" s="16"/>
      <c r="T412" s="16"/>
      <c r="U412" s="16"/>
      <c r="V412" s="16"/>
      <c r="W412" s="16"/>
      <c r="X412" s="16"/>
      <c r="Y412" s="16"/>
      <c r="Z412" s="16"/>
      <c r="AA412" s="16"/>
      <c r="AB412" s="16"/>
      <c r="AC412" s="16"/>
      <c r="AD412" s="16"/>
    </row>
    <row r="413" ht="14.25" customHeight="1">
      <c r="A413" s="16"/>
      <c r="B413" s="16"/>
      <c r="C413" s="16"/>
      <c r="D413" s="16"/>
      <c r="E413" s="16"/>
      <c r="F413" s="16"/>
      <c r="G413" s="16"/>
      <c r="H413" s="16"/>
      <c r="I413" s="16"/>
      <c r="J413" s="16"/>
      <c r="K413" s="16"/>
      <c r="L413" s="16"/>
      <c r="M413" s="16"/>
      <c r="N413" s="16"/>
      <c r="O413" s="16"/>
      <c r="P413" s="17"/>
      <c r="Q413" s="16"/>
      <c r="R413" s="16"/>
      <c r="S413" s="16"/>
      <c r="T413" s="16"/>
      <c r="U413" s="16"/>
      <c r="V413" s="16"/>
      <c r="W413" s="16"/>
      <c r="X413" s="16"/>
      <c r="Y413" s="16"/>
      <c r="Z413" s="16"/>
      <c r="AA413" s="16"/>
      <c r="AB413" s="16"/>
      <c r="AC413" s="16"/>
      <c r="AD413" s="16"/>
    </row>
    <row r="414" ht="14.25" customHeight="1">
      <c r="A414" s="16"/>
      <c r="B414" s="16"/>
      <c r="C414" s="16"/>
      <c r="D414" s="16"/>
      <c r="E414" s="16"/>
      <c r="F414" s="16"/>
      <c r="G414" s="16"/>
      <c r="H414" s="16"/>
      <c r="I414" s="16"/>
      <c r="J414" s="16"/>
      <c r="K414" s="16"/>
      <c r="L414" s="16"/>
      <c r="M414" s="16"/>
      <c r="N414" s="16"/>
      <c r="O414" s="16"/>
      <c r="P414" s="17"/>
      <c r="Q414" s="16"/>
      <c r="R414" s="16"/>
      <c r="S414" s="16"/>
      <c r="T414" s="16"/>
      <c r="U414" s="16"/>
      <c r="V414" s="16"/>
      <c r="W414" s="16"/>
      <c r="X414" s="16"/>
      <c r="Y414" s="16"/>
      <c r="Z414" s="16"/>
      <c r="AA414" s="16"/>
      <c r="AB414" s="16"/>
      <c r="AC414" s="16"/>
      <c r="AD414" s="16"/>
    </row>
    <row r="415" ht="14.25" customHeight="1">
      <c r="A415" s="16"/>
      <c r="B415" s="16"/>
      <c r="C415" s="16"/>
      <c r="D415" s="16"/>
      <c r="E415" s="16"/>
      <c r="F415" s="16"/>
      <c r="G415" s="16"/>
      <c r="H415" s="16"/>
      <c r="I415" s="16"/>
      <c r="J415" s="16"/>
      <c r="K415" s="16"/>
      <c r="L415" s="16"/>
      <c r="M415" s="16"/>
      <c r="N415" s="16"/>
      <c r="O415" s="16"/>
      <c r="P415" s="17"/>
      <c r="Q415" s="16"/>
      <c r="R415" s="16"/>
      <c r="S415" s="16"/>
      <c r="T415" s="16"/>
      <c r="U415" s="16"/>
      <c r="V415" s="16"/>
      <c r="W415" s="16"/>
      <c r="X415" s="16"/>
      <c r="Y415" s="16"/>
      <c r="Z415" s="16"/>
      <c r="AA415" s="16"/>
      <c r="AB415" s="16"/>
      <c r="AC415" s="16"/>
      <c r="AD415" s="16"/>
    </row>
    <row r="416" ht="14.25" customHeight="1">
      <c r="A416" s="16"/>
      <c r="B416" s="16"/>
      <c r="C416" s="16"/>
      <c r="D416" s="16"/>
      <c r="E416" s="16"/>
      <c r="F416" s="16"/>
      <c r="G416" s="16"/>
      <c r="H416" s="16"/>
      <c r="I416" s="16"/>
      <c r="J416" s="16"/>
      <c r="K416" s="16"/>
      <c r="L416" s="16"/>
      <c r="M416" s="16"/>
      <c r="N416" s="16"/>
      <c r="O416" s="16"/>
      <c r="P416" s="17"/>
      <c r="Q416" s="16"/>
      <c r="R416" s="16"/>
      <c r="S416" s="16"/>
      <c r="T416" s="16"/>
      <c r="U416" s="16"/>
      <c r="V416" s="16"/>
      <c r="W416" s="16"/>
      <c r="X416" s="16"/>
      <c r="Y416" s="16"/>
      <c r="Z416" s="16"/>
      <c r="AA416" s="16"/>
      <c r="AB416" s="16"/>
      <c r="AC416" s="16"/>
      <c r="AD416" s="16"/>
    </row>
    <row r="417" ht="14.25" customHeight="1">
      <c r="A417" s="16"/>
      <c r="B417" s="16"/>
      <c r="C417" s="16"/>
      <c r="D417" s="16"/>
      <c r="E417" s="16"/>
      <c r="F417" s="16"/>
      <c r="G417" s="16"/>
      <c r="H417" s="16"/>
      <c r="I417" s="16"/>
      <c r="J417" s="16"/>
      <c r="K417" s="16"/>
      <c r="L417" s="16"/>
      <c r="M417" s="16"/>
      <c r="N417" s="16"/>
      <c r="O417" s="16"/>
      <c r="P417" s="17"/>
      <c r="Q417" s="16"/>
      <c r="R417" s="16"/>
      <c r="S417" s="16"/>
      <c r="T417" s="16"/>
      <c r="U417" s="16"/>
      <c r="V417" s="16"/>
      <c r="W417" s="16"/>
      <c r="X417" s="16"/>
      <c r="Y417" s="16"/>
      <c r="Z417" s="16"/>
      <c r="AA417" s="16"/>
      <c r="AB417" s="16"/>
      <c r="AC417" s="16"/>
      <c r="AD417" s="16"/>
    </row>
    <row r="418" ht="14.25" customHeight="1">
      <c r="A418" s="16"/>
      <c r="B418" s="16"/>
      <c r="C418" s="16"/>
      <c r="D418" s="16"/>
      <c r="E418" s="16"/>
      <c r="F418" s="16"/>
      <c r="G418" s="16"/>
      <c r="H418" s="16"/>
      <c r="I418" s="16"/>
      <c r="J418" s="16"/>
      <c r="K418" s="16"/>
      <c r="L418" s="16"/>
      <c r="M418" s="16"/>
      <c r="N418" s="16"/>
      <c r="O418" s="16"/>
      <c r="P418" s="17"/>
      <c r="Q418" s="16"/>
      <c r="R418" s="16"/>
      <c r="S418" s="16"/>
      <c r="T418" s="16"/>
      <c r="U418" s="16"/>
      <c r="V418" s="16"/>
      <c r="W418" s="16"/>
      <c r="X418" s="16"/>
      <c r="Y418" s="16"/>
      <c r="Z418" s="16"/>
      <c r="AA418" s="16"/>
      <c r="AB418" s="16"/>
      <c r="AC418" s="16"/>
      <c r="AD418" s="16"/>
    </row>
    <row r="419" ht="14.25" customHeight="1">
      <c r="A419" s="16"/>
      <c r="B419" s="16"/>
      <c r="C419" s="16"/>
      <c r="D419" s="16"/>
      <c r="E419" s="16"/>
      <c r="F419" s="16"/>
      <c r="G419" s="16"/>
      <c r="H419" s="16"/>
      <c r="I419" s="16"/>
      <c r="J419" s="16"/>
      <c r="K419" s="16"/>
      <c r="L419" s="16"/>
      <c r="M419" s="16"/>
      <c r="N419" s="16"/>
      <c r="O419" s="16"/>
      <c r="P419" s="17"/>
      <c r="Q419" s="16"/>
      <c r="R419" s="16"/>
      <c r="S419" s="16"/>
      <c r="T419" s="16"/>
      <c r="U419" s="16"/>
      <c r="V419" s="16"/>
      <c r="W419" s="16"/>
      <c r="X419" s="16"/>
      <c r="Y419" s="16"/>
      <c r="Z419" s="16"/>
      <c r="AA419" s="16"/>
      <c r="AB419" s="16"/>
      <c r="AC419" s="16"/>
      <c r="AD419" s="16"/>
    </row>
    <row r="420" ht="14.25" customHeight="1">
      <c r="A420" s="16"/>
      <c r="B420" s="16"/>
      <c r="C420" s="16"/>
      <c r="D420" s="16"/>
      <c r="E420" s="16"/>
      <c r="F420" s="16"/>
      <c r="G420" s="16"/>
      <c r="H420" s="16"/>
      <c r="I420" s="16"/>
      <c r="J420" s="16"/>
      <c r="K420" s="16"/>
      <c r="L420" s="16"/>
      <c r="M420" s="16"/>
      <c r="N420" s="16"/>
      <c r="O420" s="16"/>
      <c r="P420" s="17"/>
      <c r="Q420" s="16"/>
      <c r="R420" s="16"/>
      <c r="S420" s="16"/>
      <c r="T420" s="16"/>
      <c r="U420" s="16"/>
      <c r="V420" s="16"/>
      <c r="W420" s="16"/>
      <c r="X420" s="16"/>
      <c r="Y420" s="16"/>
      <c r="Z420" s="16"/>
      <c r="AA420" s="16"/>
      <c r="AB420" s="16"/>
      <c r="AC420" s="16"/>
      <c r="AD420" s="16"/>
    </row>
    <row r="421" ht="14.25" customHeight="1">
      <c r="A421" s="16"/>
      <c r="B421" s="16"/>
      <c r="C421" s="16"/>
      <c r="D421" s="16"/>
      <c r="E421" s="16"/>
      <c r="F421" s="16"/>
      <c r="G421" s="16"/>
      <c r="H421" s="16"/>
      <c r="I421" s="16"/>
      <c r="J421" s="16"/>
      <c r="K421" s="16"/>
      <c r="L421" s="16"/>
      <c r="M421" s="16"/>
      <c r="N421" s="16"/>
      <c r="O421" s="16"/>
      <c r="P421" s="17"/>
      <c r="Q421" s="16"/>
      <c r="R421" s="16"/>
      <c r="S421" s="16"/>
      <c r="T421" s="16"/>
      <c r="U421" s="16"/>
      <c r="V421" s="16"/>
      <c r="W421" s="16"/>
      <c r="X421" s="16"/>
      <c r="Y421" s="16"/>
      <c r="Z421" s="16"/>
      <c r="AA421" s="16"/>
      <c r="AB421" s="16"/>
      <c r="AC421" s="16"/>
      <c r="AD421" s="16"/>
    </row>
    <row r="422" ht="14.25" customHeight="1">
      <c r="A422" s="16"/>
      <c r="B422" s="16"/>
      <c r="C422" s="16"/>
      <c r="D422" s="16"/>
      <c r="E422" s="16"/>
      <c r="F422" s="16"/>
      <c r="G422" s="16"/>
      <c r="H422" s="16"/>
      <c r="I422" s="16"/>
      <c r="J422" s="16"/>
      <c r="K422" s="16"/>
      <c r="L422" s="16"/>
      <c r="M422" s="16"/>
      <c r="N422" s="16"/>
      <c r="O422" s="16"/>
      <c r="P422" s="17"/>
      <c r="Q422" s="16"/>
      <c r="R422" s="16"/>
      <c r="S422" s="16"/>
      <c r="T422" s="16"/>
      <c r="U422" s="16"/>
      <c r="V422" s="16"/>
      <c r="W422" s="16"/>
      <c r="X422" s="16"/>
      <c r="Y422" s="16"/>
      <c r="Z422" s="16"/>
      <c r="AA422" s="16"/>
      <c r="AB422" s="16"/>
      <c r="AC422" s="16"/>
      <c r="AD422" s="16"/>
    </row>
    <row r="423" ht="14.25" customHeight="1">
      <c r="A423" s="16"/>
      <c r="B423" s="16"/>
      <c r="C423" s="16"/>
      <c r="D423" s="16"/>
      <c r="E423" s="16"/>
      <c r="F423" s="16"/>
      <c r="G423" s="16"/>
      <c r="H423" s="16"/>
      <c r="I423" s="16"/>
      <c r="J423" s="16"/>
      <c r="K423" s="16"/>
      <c r="L423" s="16"/>
      <c r="M423" s="16"/>
      <c r="N423" s="16"/>
      <c r="O423" s="16"/>
      <c r="P423" s="17"/>
      <c r="Q423" s="16"/>
      <c r="R423" s="16"/>
      <c r="S423" s="16"/>
      <c r="T423" s="16"/>
      <c r="U423" s="16"/>
      <c r="V423" s="16"/>
      <c r="W423" s="16"/>
      <c r="X423" s="16"/>
      <c r="Y423" s="16"/>
      <c r="Z423" s="16"/>
      <c r="AA423" s="16"/>
      <c r="AB423" s="16"/>
      <c r="AC423" s="16"/>
      <c r="AD423" s="16"/>
    </row>
    <row r="424" ht="14.25" customHeight="1">
      <c r="A424" s="16"/>
      <c r="B424" s="16"/>
      <c r="C424" s="16"/>
      <c r="D424" s="16"/>
      <c r="E424" s="16"/>
      <c r="F424" s="16"/>
      <c r="G424" s="16"/>
      <c r="H424" s="16"/>
      <c r="I424" s="16"/>
      <c r="J424" s="16"/>
      <c r="K424" s="16"/>
      <c r="L424" s="16"/>
      <c r="M424" s="16"/>
      <c r="N424" s="16"/>
      <c r="O424" s="16"/>
      <c r="P424" s="17"/>
      <c r="Q424" s="16"/>
      <c r="R424" s="16"/>
      <c r="S424" s="16"/>
      <c r="T424" s="16"/>
      <c r="U424" s="16"/>
      <c r="V424" s="16"/>
      <c r="W424" s="16"/>
      <c r="X424" s="16"/>
      <c r="Y424" s="16"/>
      <c r="Z424" s="16"/>
      <c r="AA424" s="16"/>
      <c r="AB424" s="16"/>
      <c r="AC424" s="16"/>
      <c r="AD424" s="16"/>
    </row>
    <row r="425" ht="14.25" customHeight="1">
      <c r="A425" s="16"/>
      <c r="B425" s="16"/>
      <c r="C425" s="16"/>
      <c r="D425" s="16"/>
      <c r="E425" s="16"/>
      <c r="F425" s="16"/>
      <c r="G425" s="16"/>
      <c r="H425" s="16"/>
      <c r="I425" s="16"/>
      <c r="J425" s="16"/>
      <c r="K425" s="16"/>
      <c r="L425" s="16"/>
      <c r="M425" s="16"/>
      <c r="N425" s="16"/>
      <c r="O425" s="16"/>
      <c r="P425" s="17"/>
      <c r="Q425" s="16"/>
      <c r="R425" s="16"/>
      <c r="S425" s="16"/>
      <c r="T425" s="16"/>
      <c r="U425" s="16"/>
      <c r="V425" s="16"/>
      <c r="W425" s="16"/>
      <c r="X425" s="16"/>
      <c r="Y425" s="16"/>
      <c r="Z425" s="16"/>
      <c r="AA425" s="16"/>
      <c r="AB425" s="16"/>
      <c r="AC425" s="16"/>
      <c r="AD425" s="16"/>
    </row>
    <row r="426" ht="14.25" customHeight="1">
      <c r="A426" s="16"/>
      <c r="B426" s="16"/>
      <c r="C426" s="16"/>
      <c r="D426" s="16"/>
      <c r="E426" s="16"/>
      <c r="F426" s="16"/>
      <c r="G426" s="16"/>
      <c r="H426" s="16"/>
      <c r="I426" s="16"/>
      <c r="J426" s="16"/>
      <c r="K426" s="16"/>
      <c r="L426" s="16"/>
      <c r="M426" s="16"/>
      <c r="N426" s="16"/>
      <c r="O426" s="16"/>
      <c r="P426" s="17"/>
      <c r="Q426" s="16"/>
      <c r="R426" s="16"/>
      <c r="S426" s="16"/>
      <c r="T426" s="16"/>
      <c r="U426" s="16"/>
      <c r="V426" s="16"/>
      <c r="W426" s="16"/>
      <c r="X426" s="16"/>
      <c r="Y426" s="16"/>
      <c r="Z426" s="16"/>
      <c r="AA426" s="16"/>
      <c r="AB426" s="16"/>
      <c r="AC426" s="16"/>
      <c r="AD426" s="16"/>
    </row>
    <row r="427" ht="14.25" customHeight="1">
      <c r="A427" s="16"/>
      <c r="B427" s="16"/>
      <c r="C427" s="16"/>
      <c r="D427" s="16"/>
      <c r="E427" s="16"/>
      <c r="F427" s="16"/>
      <c r="G427" s="16"/>
      <c r="H427" s="16"/>
      <c r="I427" s="16"/>
      <c r="J427" s="16"/>
      <c r="K427" s="16"/>
      <c r="L427" s="16"/>
      <c r="M427" s="16"/>
      <c r="N427" s="16"/>
      <c r="O427" s="16"/>
      <c r="P427" s="17"/>
      <c r="Q427" s="16"/>
      <c r="R427" s="16"/>
      <c r="S427" s="16"/>
      <c r="T427" s="16"/>
      <c r="U427" s="16"/>
      <c r="V427" s="16"/>
      <c r="W427" s="16"/>
      <c r="X427" s="16"/>
      <c r="Y427" s="16"/>
      <c r="Z427" s="16"/>
      <c r="AA427" s="16"/>
      <c r="AB427" s="16"/>
      <c r="AC427" s="16"/>
      <c r="AD427" s="16"/>
    </row>
    <row r="428" ht="14.25" customHeight="1">
      <c r="A428" s="16"/>
      <c r="B428" s="16"/>
      <c r="C428" s="16"/>
      <c r="D428" s="16"/>
      <c r="E428" s="16"/>
      <c r="F428" s="16"/>
      <c r="G428" s="16"/>
      <c r="H428" s="16"/>
      <c r="I428" s="16"/>
      <c r="J428" s="16"/>
      <c r="K428" s="16"/>
      <c r="L428" s="16"/>
      <c r="M428" s="16"/>
      <c r="N428" s="16"/>
      <c r="O428" s="16"/>
      <c r="P428" s="17"/>
      <c r="Q428" s="16"/>
      <c r="R428" s="16"/>
      <c r="S428" s="16"/>
      <c r="T428" s="16"/>
      <c r="U428" s="16"/>
      <c r="V428" s="16"/>
      <c r="W428" s="16"/>
      <c r="X428" s="16"/>
      <c r="Y428" s="16"/>
      <c r="Z428" s="16"/>
      <c r="AA428" s="16"/>
      <c r="AB428" s="16"/>
      <c r="AC428" s="16"/>
      <c r="AD428" s="16"/>
    </row>
    <row r="429" ht="14.25" customHeight="1">
      <c r="A429" s="16"/>
      <c r="B429" s="16"/>
      <c r="C429" s="16"/>
      <c r="D429" s="16"/>
      <c r="E429" s="16"/>
      <c r="F429" s="16"/>
      <c r="G429" s="16"/>
      <c r="H429" s="16"/>
      <c r="I429" s="16"/>
      <c r="J429" s="16"/>
      <c r="K429" s="16"/>
      <c r="L429" s="16"/>
      <c r="M429" s="16"/>
      <c r="N429" s="16"/>
      <c r="O429" s="16"/>
      <c r="P429" s="17"/>
      <c r="Q429" s="16"/>
      <c r="R429" s="16"/>
      <c r="S429" s="16"/>
      <c r="T429" s="16"/>
      <c r="U429" s="16"/>
      <c r="V429" s="16"/>
      <c r="W429" s="16"/>
      <c r="X429" s="16"/>
      <c r="Y429" s="16"/>
      <c r="Z429" s="16"/>
      <c r="AA429" s="16"/>
      <c r="AB429" s="16"/>
      <c r="AC429" s="16"/>
      <c r="AD429" s="16"/>
    </row>
    <row r="430" ht="14.25" customHeight="1">
      <c r="A430" s="16"/>
      <c r="B430" s="16"/>
      <c r="C430" s="16"/>
      <c r="D430" s="16"/>
      <c r="E430" s="16"/>
      <c r="F430" s="16"/>
      <c r="G430" s="16"/>
      <c r="H430" s="16"/>
      <c r="I430" s="16"/>
      <c r="J430" s="16"/>
      <c r="K430" s="16"/>
      <c r="L430" s="16"/>
      <c r="M430" s="16"/>
      <c r="N430" s="16"/>
      <c r="O430" s="16"/>
      <c r="P430" s="17"/>
      <c r="Q430" s="16"/>
      <c r="R430" s="16"/>
      <c r="S430" s="16"/>
      <c r="T430" s="16"/>
      <c r="U430" s="16"/>
      <c r="V430" s="16"/>
      <c r="W430" s="16"/>
      <c r="X430" s="16"/>
      <c r="Y430" s="16"/>
      <c r="Z430" s="16"/>
      <c r="AA430" s="16"/>
      <c r="AB430" s="16"/>
      <c r="AC430" s="16"/>
      <c r="AD430" s="16"/>
    </row>
    <row r="431" ht="14.25" customHeight="1">
      <c r="A431" s="16"/>
      <c r="B431" s="16"/>
      <c r="C431" s="16"/>
      <c r="D431" s="16"/>
      <c r="E431" s="16"/>
      <c r="F431" s="16"/>
      <c r="G431" s="16"/>
      <c r="H431" s="16"/>
      <c r="I431" s="16"/>
      <c r="J431" s="16"/>
      <c r="K431" s="16"/>
      <c r="L431" s="16"/>
      <c r="M431" s="16"/>
      <c r="N431" s="16"/>
      <c r="O431" s="16"/>
      <c r="P431" s="17"/>
      <c r="Q431" s="16"/>
      <c r="R431" s="16"/>
      <c r="S431" s="16"/>
      <c r="T431" s="16"/>
      <c r="U431" s="16"/>
      <c r="V431" s="16"/>
      <c r="W431" s="16"/>
      <c r="X431" s="16"/>
      <c r="Y431" s="16"/>
      <c r="Z431" s="16"/>
      <c r="AA431" s="16"/>
      <c r="AB431" s="16"/>
      <c r="AC431" s="16"/>
      <c r="AD431" s="16"/>
    </row>
    <row r="432" ht="14.25" customHeight="1">
      <c r="A432" s="16"/>
      <c r="B432" s="16"/>
      <c r="C432" s="16"/>
      <c r="D432" s="16"/>
      <c r="E432" s="16"/>
      <c r="F432" s="16"/>
      <c r="G432" s="16"/>
      <c r="H432" s="16"/>
      <c r="I432" s="16"/>
      <c r="J432" s="16"/>
      <c r="K432" s="16"/>
      <c r="L432" s="16"/>
      <c r="M432" s="16"/>
      <c r="N432" s="16"/>
      <c r="O432" s="16"/>
      <c r="P432" s="17"/>
      <c r="Q432" s="16"/>
      <c r="R432" s="16"/>
      <c r="S432" s="16"/>
      <c r="T432" s="16"/>
      <c r="U432" s="16"/>
      <c r="V432" s="16"/>
      <c r="W432" s="16"/>
      <c r="X432" s="16"/>
      <c r="Y432" s="16"/>
      <c r="Z432" s="16"/>
      <c r="AA432" s="16"/>
      <c r="AB432" s="16"/>
      <c r="AC432" s="16"/>
      <c r="AD432" s="16"/>
    </row>
    <row r="433" ht="14.25" customHeight="1">
      <c r="A433" s="16"/>
      <c r="B433" s="16"/>
      <c r="C433" s="16"/>
      <c r="D433" s="16"/>
      <c r="E433" s="16"/>
      <c r="F433" s="16"/>
      <c r="G433" s="16"/>
      <c r="H433" s="16"/>
      <c r="I433" s="16"/>
      <c r="J433" s="16"/>
      <c r="K433" s="16"/>
      <c r="L433" s="16"/>
      <c r="M433" s="16"/>
      <c r="N433" s="16"/>
      <c r="O433" s="16"/>
      <c r="P433" s="17"/>
      <c r="Q433" s="16"/>
      <c r="R433" s="16"/>
      <c r="S433" s="16"/>
      <c r="T433" s="16"/>
      <c r="U433" s="16"/>
      <c r="V433" s="16"/>
      <c r="W433" s="16"/>
      <c r="X433" s="16"/>
      <c r="Y433" s="16"/>
      <c r="Z433" s="16"/>
      <c r="AA433" s="16"/>
      <c r="AB433" s="16"/>
      <c r="AC433" s="16"/>
      <c r="AD433" s="16"/>
    </row>
    <row r="434" ht="14.25" customHeight="1">
      <c r="A434" s="16"/>
      <c r="B434" s="16"/>
      <c r="C434" s="16"/>
      <c r="D434" s="16"/>
      <c r="E434" s="16"/>
      <c r="F434" s="16"/>
      <c r="G434" s="16"/>
      <c r="H434" s="16"/>
      <c r="I434" s="16"/>
      <c r="J434" s="16"/>
      <c r="K434" s="16"/>
      <c r="L434" s="16"/>
      <c r="M434" s="16"/>
      <c r="N434" s="16"/>
      <c r="O434" s="16"/>
      <c r="P434" s="17"/>
      <c r="Q434" s="16"/>
      <c r="R434" s="16"/>
      <c r="S434" s="16"/>
      <c r="T434" s="16"/>
      <c r="U434" s="16"/>
      <c r="V434" s="16"/>
      <c r="W434" s="16"/>
      <c r="X434" s="16"/>
      <c r="Y434" s="16"/>
      <c r="Z434" s="16"/>
      <c r="AA434" s="16"/>
      <c r="AB434" s="16"/>
      <c r="AC434" s="16"/>
      <c r="AD434" s="16"/>
    </row>
    <row r="435" ht="14.25" customHeight="1">
      <c r="A435" s="16"/>
      <c r="B435" s="16"/>
      <c r="C435" s="16"/>
      <c r="D435" s="16"/>
      <c r="E435" s="16"/>
      <c r="F435" s="16"/>
      <c r="G435" s="16"/>
      <c r="H435" s="16"/>
      <c r="I435" s="16"/>
      <c r="J435" s="16"/>
      <c r="K435" s="16"/>
      <c r="L435" s="16"/>
      <c r="M435" s="16"/>
      <c r="N435" s="16"/>
      <c r="O435" s="16"/>
      <c r="P435" s="17"/>
      <c r="Q435" s="16"/>
      <c r="R435" s="16"/>
      <c r="S435" s="16"/>
      <c r="T435" s="16"/>
      <c r="U435" s="16"/>
      <c r="V435" s="16"/>
      <c r="W435" s="16"/>
      <c r="X435" s="16"/>
      <c r="Y435" s="16"/>
      <c r="Z435" s="16"/>
      <c r="AA435" s="16"/>
      <c r="AB435" s="16"/>
      <c r="AC435" s="16"/>
      <c r="AD435" s="16"/>
    </row>
    <row r="436" ht="14.25" customHeight="1">
      <c r="A436" s="16"/>
      <c r="B436" s="16"/>
      <c r="C436" s="16"/>
      <c r="D436" s="16"/>
      <c r="E436" s="16"/>
      <c r="F436" s="16"/>
      <c r="G436" s="16"/>
      <c r="H436" s="16"/>
      <c r="I436" s="16"/>
      <c r="J436" s="16"/>
      <c r="K436" s="16"/>
      <c r="L436" s="16"/>
      <c r="M436" s="16"/>
      <c r="N436" s="16"/>
      <c r="O436" s="16"/>
      <c r="P436" s="17"/>
      <c r="Q436" s="16"/>
      <c r="R436" s="16"/>
      <c r="S436" s="16"/>
      <c r="T436" s="16"/>
      <c r="U436" s="16"/>
      <c r="V436" s="16"/>
      <c r="W436" s="16"/>
      <c r="X436" s="16"/>
      <c r="Y436" s="16"/>
      <c r="Z436" s="16"/>
      <c r="AA436" s="16"/>
      <c r="AB436" s="16"/>
      <c r="AC436" s="16"/>
      <c r="AD436" s="16"/>
    </row>
    <row r="437" ht="14.25" customHeight="1">
      <c r="A437" s="16"/>
      <c r="B437" s="16"/>
      <c r="C437" s="16"/>
      <c r="D437" s="16"/>
      <c r="E437" s="16"/>
      <c r="F437" s="16"/>
      <c r="G437" s="16"/>
      <c r="H437" s="16"/>
      <c r="I437" s="16"/>
      <c r="J437" s="16"/>
      <c r="K437" s="16"/>
      <c r="L437" s="16"/>
      <c r="M437" s="16"/>
      <c r="N437" s="16"/>
      <c r="O437" s="16"/>
      <c r="P437" s="17"/>
      <c r="Q437" s="16"/>
      <c r="R437" s="16"/>
      <c r="S437" s="16"/>
      <c r="T437" s="16"/>
      <c r="U437" s="16"/>
      <c r="V437" s="16"/>
      <c r="W437" s="16"/>
      <c r="X437" s="16"/>
      <c r="Y437" s="16"/>
      <c r="Z437" s="16"/>
      <c r="AA437" s="16"/>
      <c r="AB437" s="16"/>
      <c r="AC437" s="16"/>
      <c r="AD437" s="16"/>
    </row>
    <row r="438" ht="14.25" customHeight="1">
      <c r="A438" s="16"/>
      <c r="B438" s="16"/>
      <c r="C438" s="16"/>
      <c r="D438" s="16"/>
      <c r="E438" s="16"/>
      <c r="F438" s="16"/>
      <c r="G438" s="16"/>
      <c r="H438" s="16"/>
      <c r="I438" s="16"/>
      <c r="J438" s="16"/>
      <c r="K438" s="16"/>
      <c r="L438" s="16"/>
      <c r="M438" s="16"/>
      <c r="N438" s="16"/>
      <c r="O438" s="16"/>
      <c r="P438" s="17"/>
      <c r="Q438" s="16"/>
      <c r="R438" s="16"/>
      <c r="S438" s="16"/>
      <c r="T438" s="16"/>
      <c r="U438" s="16"/>
      <c r="V438" s="16"/>
      <c r="W438" s="16"/>
      <c r="X438" s="16"/>
      <c r="Y438" s="16"/>
      <c r="Z438" s="16"/>
      <c r="AA438" s="16"/>
      <c r="AB438" s="16"/>
      <c r="AC438" s="16"/>
      <c r="AD438" s="16"/>
    </row>
    <row r="439" ht="14.25" customHeight="1">
      <c r="A439" s="16"/>
      <c r="B439" s="16"/>
      <c r="C439" s="16"/>
      <c r="D439" s="16"/>
      <c r="E439" s="16"/>
      <c r="F439" s="16"/>
      <c r="G439" s="16"/>
      <c r="H439" s="16"/>
      <c r="I439" s="16"/>
      <c r="J439" s="16"/>
      <c r="K439" s="16"/>
      <c r="L439" s="16"/>
      <c r="M439" s="16"/>
      <c r="N439" s="16"/>
      <c r="O439" s="16"/>
      <c r="P439" s="17"/>
      <c r="Q439" s="16"/>
      <c r="R439" s="16"/>
      <c r="S439" s="16"/>
      <c r="T439" s="16"/>
      <c r="U439" s="16"/>
      <c r="V439" s="16"/>
      <c r="W439" s="16"/>
      <c r="X439" s="16"/>
      <c r="Y439" s="16"/>
      <c r="Z439" s="16"/>
      <c r="AA439" s="16"/>
      <c r="AB439" s="16"/>
      <c r="AC439" s="16"/>
      <c r="AD439" s="16"/>
    </row>
    <row r="440" ht="14.25" customHeight="1">
      <c r="A440" s="16"/>
      <c r="B440" s="16"/>
      <c r="C440" s="16"/>
      <c r="D440" s="16"/>
      <c r="E440" s="16"/>
      <c r="F440" s="16"/>
      <c r="G440" s="16"/>
      <c r="H440" s="16"/>
      <c r="I440" s="16"/>
      <c r="J440" s="16"/>
      <c r="K440" s="16"/>
      <c r="L440" s="16"/>
      <c r="M440" s="16"/>
      <c r="N440" s="16"/>
      <c r="O440" s="16"/>
      <c r="P440" s="17"/>
      <c r="Q440" s="16"/>
      <c r="R440" s="16"/>
      <c r="S440" s="16"/>
      <c r="T440" s="16"/>
      <c r="U440" s="16"/>
      <c r="V440" s="16"/>
      <c r="W440" s="16"/>
      <c r="X440" s="16"/>
      <c r="Y440" s="16"/>
      <c r="Z440" s="16"/>
      <c r="AA440" s="16"/>
      <c r="AB440" s="16"/>
      <c r="AC440" s="16"/>
      <c r="AD440" s="16"/>
    </row>
    <row r="441" ht="14.25" customHeight="1">
      <c r="A441" s="16"/>
      <c r="B441" s="16"/>
      <c r="C441" s="16"/>
      <c r="D441" s="16"/>
      <c r="E441" s="16"/>
      <c r="F441" s="16"/>
      <c r="G441" s="16"/>
      <c r="H441" s="16"/>
      <c r="I441" s="16"/>
      <c r="J441" s="16"/>
      <c r="K441" s="16"/>
      <c r="L441" s="16"/>
      <c r="M441" s="16"/>
      <c r="N441" s="16"/>
      <c r="O441" s="16"/>
      <c r="P441" s="17"/>
      <c r="Q441" s="16"/>
      <c r="R441" s="16"/>
      <c r="S441" s="16"/>
      <c r="T441" s="16"/>
      <c r="U441" s="16"/>
      <c r="V441" s="16"/>
      <c r="W441" s="16"/>
      <c r="X441" s="16"/>
      <c r="Y441" s="16"/>
      <c r="Z441" s="16"/>
      <c r="AA441" s="16"/>
      <c r="AB441" s="16"/>
      <c r="AC441" s="16"/>
      <c r="AD441" s="16"/>
    </row>
    <row r="442" ht="14.25" customHeight="1">
      <c r="A442" s="16"/>
      <c r="B442" s="16"/>
      <c r="C442" s="16"/>
      <c r="D442" s="16"/>
      <c r="E442" s="16"/>
      <c r="F442" s="16"/>
      <c r="G442" s="16"/>
      <c r="H442" s="16"/>
      <c r="I442" s="16"/>
      <c r="J442" s="16"/>
      <c r="K442" s="16"/>
      <c r="L442" s="16"/>
      <c r="M442" s="16"/>
      <c r="N442" s="16"/>
      <c r="O442" s="16"/>
      <c r="P442" s="17"/>
      <c r="Q442" s="16"/>
      <c r="R442" s="16"/>
      <c r="S442" s="16"/>
      <c r="T442" s="16"/>
      <c r="U442" s="16"/>
      <c r="V442" s="16"/>
      <c r="W442" s="16"/>
      <c r="X442" s="16"/>
      <c r="Y442" s="16"/>
      <c r="Z442" s="16"/>
      <c r="AA442" s="16"/>
      <c r="AB442" s="16"/>
      <c r="AC442" s="16"/>
      <c r="AD442" s="16"/>
    </row>
    <row r="443" ht="14.25" customHeight="1">
      <c r="A443" s="16"/>
      <c r="B443" s="16"/>
      <c r="C443" s="16"/>
      <c r="D443" s="16"/>
      <c r="E443" s="16"/>
      <c r="F443" s="16"/>
      <c r="G443" s="16"/>
      <c r="H443" s="16"/>
      <c r="I443" s="16"/>
      <c r="J443" s="16"/>
      <c r="K443" s="16"/>
      <c r="L443" s="16"/>
      <c r="M443" s="16"/>
      <c r="N443" s="16"/>
      <c r="O443" s="16"/>
      <c r="P443" s="17"/>
      <c r="Q443" s="16"/>
      <c r="R443" s="16"/>
      <c r="S443" s="16"/>
      <c r="T443" s="16"/>
      <c r="U443" s="16"/>
      <c r="V443" s="16"/>
      <c r="W443" s="16"/>
      <c r="X443" s="16"/>
      <c r="Y443" s="16"/>
      <c r="Z443" s="16"/>
      <c r="AA443" s="16"/>
      <c r="AB443" s="16"/>
      <c r="AC443" s="16"/>
      <c r="AD443" s="16"/>
    </row>
    <row r="444" ht="14.25" customHeight="1">
      <c r="A444" s="16"/>
      <c r="B444" s="16"/>
      <c r="C444" s="16"/>
      <c r="D444" s="16"/>
      <c r="E444" s="16"/>
      <c r="F444" s="16"/>
      <c r="G444" s="16"/>
      <c r="H444" s="16"/>
      <c r="I444" s="16"/>
      <c r="J444" s="16"/>
      <c r="K444" s="16"/>
      <c r="L444" s="16"/>
      <c r="M444" s="16"/>
      <c r="N444" s="16"/>
      <c r="O444" s="16"/>
      <c r="P444" s="17"/>
      <c r="Q444" s="16"/>
      <c r="R444" s="16"/>
      <c r="S444" s="16"/>
      <c r="T444" s="16"/>
      <c r="U444" s="16"/>
      <c r="V444" s="16"/>
      <c r="W444" s="16"/>
      <c r="X444" s="16"/>
      <c r="Y444" s="16"/>
      <c r="Z444" s="16"/>
      <c r="AA444" s="16"/>
      <c r="AB444" s="16"/>
      <c r="AC444" s="16"/>
      <c r="AD444" s="16"/>
    </row>
    <row r="445" ht="14.25" customHeight="1">
      <c r="A445" s="16"/>
      <c r="B445" s="16"/>
      <c r="C445" s="16"/>
      <c r="D445" s="16"/>
      <c r="E445" s="16"/>
      <c r="F445" s="16"/>
      <c r="G445" s="16"/>
      <c r="H445" s="16"/>
      <c r="I445" s="16"/>
      <c r="J445" s="16"/>
      <c r="K445" s="16"/>
      <c r="L445" s="16"/>
      <c r="M445" s="16"/>
      <c r="N445" s="16"/>
      <c r="O445" s="16"/>
      <c r="P445" s="17"/>
      <c r="Q445" s="16"/>
      <c r="R445" s="16"/>
      <c r="S445" s="16"/>
      <c r="T445" s="16"/>
      <c r="U445" s="16"/>
      <c r="V445" s="16"/>
      <c r="W445" s="16"/>
      <c r="X445" s="16"/>
      <c r="Y445" s="16"/>
      <c r="Z445" s="16"/>
      <c r="AA445" s="16"/>
      <c r="AB445" s="16"/>
      <c r="AC445" s="16"/>
      <c r="AD445" s="16"/>
    </row>
    <row r="446" ht="14.25" customHeight="1">
      <c r="A446" s="16"/>
      <c r="B446" s="16"/>
      <c r="C446" s="16"/>
      <c r="D446" s="16"/>
      <c r="E446" s="16"/>
      <c r="F446" s="16"/>
      <c r="G446" s="16"/>
      <c r="H446" s="16"/>
      <c r="I446" s="16"/>
      <c r="J446" s="16"/>
      <c r="K446" s="16"/>
      <c r="L446" s="16"/>
      <c r="M446" s="16"/>
      <c r="N446" s="16"/>
      <c r="O446" s="16"/>
      <c r="P446" s="17"/>
      <c r="Q446" s="16"/>
      <c r="R446" s="16"/>
      <c r="S446" s="16"/>
      <c r="T446" s="16"/>
      <c r="U446" s="16"/>
      <c r="V446" s="16"/>
      <c r="W446" s="16"/>
      <c r="X446" s="16"/>
      <c r="Y446" s="16"/>
      <c r="Z446" s="16"/>
      <c r="AA446" s="16"/>
      <c r="AB446" s="16"/>
      <c r="AC446" s="16"/>
      <c r="AD446" s="16"/>
    </row>
    <row r="447" ht="14.25" customHeight="1">
      <c r="A447" s="16"/>
      <c r="B447" s="16"/>
      <c r="C447" s="16"/>
      <c r="D447" s="16"/>
      <c r="E447" s="16"/>
      <c r="F447" s="16"/>
      <c r="G447" s="16"/>
      <c r="H447" s="16"/>
      <c r="I447" s="16"/>
      <c r="J447" s="16"/>
      <c r="K447" s="16"/>
      <c r="L447" s="16"/>
      <c r="M447" s="16"/>
      <c r="N447" s="16"/>
      <c r="O447" s="16"/>
      <c r="P447" s="17"/>
      <c r="Q447" s="16"/>
      <c r="R447" s="16"/>
      <c r="S447" s="16"/>
      <c r="T447" s="16"/>
      <c r="U447" s="16"/>
      <c r="V447" s="16"/>
      <c r="W447" s="16"/>
      <c r="X447" s="16"/>
      <c r="Y447" s="16"/>
      <c r="Z447" s="16"/>
      <c r="AA447" s="16"/>
      <c r="AB447" s="16"/>
      <c r="AC447" s="16"/>
      <c r="AD447" s="16"/>
    </row>
    <row r="448" ht="14.25" customHeight="1">
      <c r="A448" s="16"/>
      <c r="B448" s="16"/>
      <c r="C448" s="16"/>
      <c r="D448" s="16"/>
      <c r="E448" s="16"/>
      <c r="F448" s="16"/>
      <c r="G448" s="16"/>
      <c r="H448" s="16"/>
      <c r="I448" s="16"/>
      <c r="J448" s="16"/>
      <c r="K448" s="16"/>
      <c r="L448" s="16"/>
      <c r="M448" s="16"/>
      <c r="N448" s="16"/>
      <c r="O448" s="16"/>
      <c r="P448" s="17"/>
      <c r="Q448" s="16"/>
      <c r="R448" s="16"/>
      <c r="S448" s="16"/>
      <c r="T448" s="16"/>
      <c r="U448" s="16"/>
      <c r="V448" s="16"/>
      <c r="W448" s="16"/>
      <c r="X448" s="16"/>
      <c r="Y448" s="16"/>
      <c r="Z448" s="16"/>
      <c r="AA448" s="16"/>
      <c r="AB448" s="16"/>
      <c r="AC448" s="16"/>
      <c r="AD448" s="16"/>
    </row>
    <row r="449" ht="14.25" customHeight="1">
      <c r="A449" s="16"/>
      <c r="B449" s="16"/>
      <c r="C449" s="16"/>
      <c r="D449" s="16"/>
      <c r="E449" s="16"/>
      <c r="F449" s="16"/>
      <c r="G449" s="16"/>
      <c r="H449" s="16"/>
      <c r="I449" s="16"/>
      <c r="J449" s="16"/>
      <c r="K449" s="16"/>
      <c r="L449" s="16"/>
      <c r="M449" s="16"/>
      <c r="N449" s="16"/>
      <c r="O449" s="16"/>
      <c r="P449" s="17"/>
      <c r="Q449" s="16"/>
      <c r="R449" s="16"/>
      <c r="S449" s="16"/>
      <c r="T449" s="16"/>
      <c r="U449" s="16"/>
      <c r="V449" s="16"/>
      <c r="W449" s="16"/>
      <c r="X449" s="16"/>
      <c r="Y449" s="16"/>
      <c r="Z449" s="16"/>
      <c r="AA449" s="16"/>
      <c r="AB449" s="16"/>
      <c r="AC449" s="16"/>
      <c r="AD449" s="16"/>
    </row>
    <row r="450" ht="14.25" customHeight="1">
      <c r="A450" s="16"/>
      <c r="B450" s="16"/>
      <c r="C450" s="16"/>
      <c r="D450" s="16"/>
      <c r="E450" s="16"/>
      <c r="F450" s="16"/>
      <c r="G450" s="16"/>
      <c r="H450" s="16"/>
      <c r="I450" s="16"/>
      <c r="J450" s="16"/>
      <c r="K450" s="16"/>
      <c r="L450" s="16"/>
      <c r="M450" s="16"/>
      <c r="N450" s="16"/>
      <c r="O450" s="16"/>
      <c r="P450" s="17"/>
      <c r="Q450" s="16"/>
      <c r="R450" s="16"/>
      <c r="S450" s="16"/>
      <c r="T450" s="16"/>
      <c r="U450" s="16"/>
      <c r="V450" s="16"/>
      <c r="W450" s="16"/>
      <c r="X450" s="16"/>
      <c r="Y450" s="16"/>
      <c r="Z450" s="16"/>
      <c r="AA450" s="16"/>
      <c r="AB450" s="16"/>
      <c r="AC450" s="16"/>
      <c r="AD450" s="16"/>
    </row>
    <row r="451" ht="14.25" customHeight="1">
      <c r="A451" s="16"/>
      <c r="B451" s="16"/>
      <c r="C451" s="16"/>
      <c r="D451" s="16"/>
      <c r="E451" s="16"/>
      <c r="F451" s="16"/>
      <c r="G451" s="16"/>
      <c r="H451" s="16"/>
      <c r="I451" s="16"/>
      <c r="J451" s="16"/>
      <c r="K451" s="16"/>
      <c r="L451" s="16"/>
      <c r="M451" s="16"/>
      <c r="N451" s="16"/>
      <c r="O451" s="16"/>
      <c r="P451" s="17"/>
      <c r="Q451" s="16"/>
      <c r="R451" s="16"/>
      <c r="S451" s="16"/>
      <c r="T451" s="16"/>
      <c r="U451" s="16"/>
      <c r="V451" s="16"/>
      <c r="W451" s="16"/>
      <c r="X451" s="16"/>
      <c r="Y451" s="16"/>
      <c r="Z451" s="16"/>
      <c r="AA451" s="16"/>
      <c r="AB451" s="16"/>
      <c r="AC451" s="16"/>
      <c r="AD451" s="16"/>
    </row>
    <row r="452" ht="14.25" customHeight="1">
      <c r="A452" s="16"/>
      <c r="B452" s="16"/>
      <c r="C452" s="16"/>
      <c r="D452" s="16"/>
      <c r="E452" s="16"/>
      <c r="F452" s="16"/>
      <c r="G452" s="16"/>
      <c r="H452" s="16"/>
      <c r="I452" s="16"/>
      <c r="J452" s="16"/>
      <c r="K452" s="16"/>
      <c r="L452" s="16"/>
      <c r="M452" s="16"/>
      <c r="N452" s="16"/>
      <c r="O452" s="16"/>
      <c r="P452" s="17"/>
      <c r="Q452" s="16"/>
      <c r="R452" s="16"/>
      <c r="S452" s="16"/>
      <c r="T452" s="16"/>
      <c r="U452" s="16"/>
      <c r="V452" s="16"/>
      <c r="W452" s="16"/>
      <c r="X452" s="16"/>
      <c r="Y452" s="16"/>
      <c r="Z452" s="16"/>
      <c r="AA452" s="16"/>
      <c r="AB452" s="16"/>
      <c r="AC452" s="16"/>
      <c r="AD452" s="16"/>
    </row>
    <row r="453" ht="14.25" customHeight="1">
      <c r="A453" s="16"/>
      <c r="B453" s="16"/>
      <c r="C453" s="16"/>
      <c r="D453" s="16"/>
      <c r="E453" s="16"/>
      <c r="F453" s="16"/>
      <c r="G453" s="16"/>
      <c r="H453" s="16"/>
      <c r="I453" s="16"/>
      <c r="J453" s="16"/>
      <c r="K453" s="16"/>
      <c r="L453" s="16"/>
      <c r="M453" s="16"/>
      <c r="N453" s="16"/>
      <c r="O453" s="16"/>
      <c r="P453" s="17"/>
      <c r="Q453" s="16"/>
      <c r="R453" s="16"/>
      <c r="S453" s="16"/>
      <c r="T453" s="16"/>
      <c r="U453" s="16"/>
      <c r="V453" s="16"/>
      <c r="W453" s="16"/>
      <c r="X453" s="16"/>
      <c r="Y453" s="16"/>
      <c r="Z453" s="16"/>
      <c r="AA453" s="16"/>
      <c r="AB453" s="16"/>
      <c r="AC453" s="16"/>
      <c r="AD453" s="16"/>
    </row>
    <row r="454" ht="14.25" customHeight="1">
      <c r="A454" s="16"/>
      <c r="B454" s="16"/>
      <c r="C454" s="16"/>
      <c r="D454" s="16"/>
      <c r="E454" s="16"/>
      <c r="F454" s="16"/>
      <c r="G454" s="16"/>
      <c r="H454" s="16"/>
      <c r="I454" s="16"/>
      <c r="J454" s="16"/>
      <c r="K454" s="16"/>
      <c r="L454" s="16"/>
      <c r="M454" s="16"/>
      <c r="N454" s="16"/>
      <c r="O454" s="16"/>
      <c r="P454" s="17"/>
      <c r="Q454" s="16"/>
      <c r="R454" s="16"/>
      <c r="S454" s="16"/>
      <c r="T454" s="16"/>
      <c r="U454" s="16"/>
      <c r="V454" s="16"/>
      <c r="W454" s="16"/>
      <c r="X454" s="16"/>
      <c r="Y454" s="16"/>
      <c r="Z454" s="16"/>
      <c r="AA454" s="16"/>
      <c r="AB454" s="16"/>
      <c r="AC454" s="16"/>
      <c r="AD454" s="16"/>
    </row>
    <row r="455" ht="14.25" customHeight="1">
      <c r="A455" s="16"/>
      <c r="B455" s="16"/>
      <c r="C455" s="16"/>
      <c r="D455" s="16"/>
      <c r="E455" s="16"/>
      <c r="F455" s="16"/>
      <c r="G455" s="16"/>
      <c r="H455" s="16"/>
      <c r="I455" s="16"/>
      <c r="J455" s="16"/>
      <c r="K455" s="16"/>
      <c r="L455" s="16"/>
      <c r="M455" s="16"/>
      <c r="N455" s="16"/>
      <c r="O455" s="16"/>
      <c r="P455" s="17"/>
      <c r="Q455" s="16"/>
      <c r="R455" s="16"/>
      <c r="S455" s="16"/>
      <c r="T455" s="16"/>
      <c r="U455" s="16"/>
      <c r="V455" s="16"/>
      <c r="W455" s="16"/>
      <c r="X455" s="16"/>
      <c r="Y455" s="16"/>
      <c r="Z455" s="16"/>
      <c r="AA455" s="16"/>
      <c r="AB455" s="16"/>
      <c r="AC455" s="16"/>
      <c r="AD455" s="16"/>
    </row>
    <row r="456" ht="14.25" customHeight="1">
      <c r="A456" s="16"/>
      <c r="B456" s="16"/>
      <c r="C456" s="16"/>
      <c r="D456" s="16"/>
      <c r="E456" s="16"/>
      <c r="F456" s="16"/>
      <c r="G456" s="16"/>
      <c r="H456" s="16"/>
      <c r="I456" s="16"/>
      <c r="J456" s="16"/>
      <c r="K456" s="16"/>
      <c r="L456" s="16"/>
      <c r="M456" s="16"/>
      <c r="N456" s="16"/>
      <c r="O456" s="16"/>
      <c r="P456" s="17"/>
      <c r="Q456" s="16"/>
      <c r="R456" s="16"/>
      <c r="S456" s="16"/>
      <c r="T456" s="16"/>
      <c r="U456" s="16"/>
      <c r="V456" s="16"/>
      <c r="W456" s="16"/>
      <c r="X456" s="16"/>
      <c r="Y456" s="16"/>
      <c r="Z456" s="16"/>
      <c r="AA456" s="16"/>
      <c r="AB456" s="16"/>
      <c r="AC456" s="16"/>
      <c r="AD456" s="16"/>
    </row>
    <row r="457" ht="14.25" customHeight="1">
      <c r="A457" s="16"/>
      <c r="B457" s="16"/>
      <c r="C457" s="16"/>
      <c r="D457" s="16"/>
      <c r="E457" s="16"/>
      <c r="F457" s="16"/>
      <c r="G457" s="16"/>
      <c r="H457" s="16"/>
      <c r="I457" s="16"/>
      <c r="J457" s="16"/>
      <c r="K457" s="16"/>
      <c r="L457" s="16"/>
      <c r="M457" s="16"/>
      <c r="N457" s="16"/>
      <c r="O457" s="16"/>
      <c r="P457" s="17"/>
      <c r="Q457" s="16"/>
      <c r="R457" s="16"/>
      <c r="S457" s="16"/>
      <c r="T457" s="16"/>
      <c r="U457" s="16"/>
      <c r="V457" s="16"/>
      <c r="W457" s="16"/>
      <c r="X457" s="16"/>
      <c r="Y457" s="16"/>
      <c r="Z457" s="16"/>
      <c r="AA457" s="16"/>
      <c r="AB457" s="16"/>
      <c r="AC457" s="16"/>
      <c r="AD457" s="16"/>
    </row>
    <row r="458" ht="14.25" customHeight="1">
      <c r="A458" s="16"/>
      <c r="B458" s="16"/>
      <c r="C458" s="16"/>
      <c r="D458" s="16"/>
      <c r="E458" s="16"/>
      <c r="F458" s="16"/>
      <c r="G458" s="16"/>
      <c r="H458" s="16"/>
      <c r="I458" s="16"/>
      <c r="J458" s="16"/>
      <c r="K458" s="16"/>
      <c r="L458" s="16"/>
      <c r="M458" s="16"/>
      <c r="N458" s="16"/>
      <c r="O458" s="16"/>
      <c r="P458" s="17"/>
      <c r="Q458" s="16"/>
      <c r="R458" s="16"/>
      <c r="S458" s="16"/>
      <c r="T458" s="16"/>
      <c r="U458" s="16"/>
      <c r="V458" s="16"/>
      <c r="W458" s="16"/>
      <c r="X458" s="16"/>
      <c r="Y458" s="16"/>
      <c r="Z458" s="16"/>
      <c r="AA458" s="16"/>
      <c r="AB458" s="16"/>
      <c r="AC458" s="16"/>
      <c r="AD458" s="16"/>
    </row>
    <row r="459" ht="14.25" customHeight="1">
      <c r="A459" s="16"/>
      <c r="B459" s="16"/>
      <c r="C459" s="16"/>
      <c r="D459" s="16"/>
      <c r="E459" s="16"/>
      <c r="F459" s="16"/>
      <c r="G459" s="16"/>
      <c r="H459" s="16"/>
      <c r="I459" s="16"/>
      <c r="J459" s="16"/>
      <c r="K459" s="16"/>
      <c r="L459" s="16"/>
      <c r="M459" s="16"/>
      <c r="N459" s="16"/>
      <c r="O459" s="16"/>
      <c r="P459" s="17"/>
      <c r="Q459" s="16"/>
      <c r="R459" s="16"/>
      <c r="S459" s="16"/>
      <c r="T459" s="16"/>
      <c r="U459" s="16"/>
      <c r="V459" s="16"/>
      <c r="W459" s="16"/>
      <c r="X459" s="16"/>
      <c r="Y459" s="16"/>
      <c r="Z459" s="16"/>
      <c r="AA459" s="16"/>
      <c r="AB459" s="16"/>
      <c r="AC459" s="16"/>
      <c r="AD459" s="16"/>
    </row>
    <row r="460" ht="14.25" customHeight="1">
      <c r="A460" s="16"/>
      <c r="B460" s="16"/>
      <c r="C460" s="16"/>
      <c r="D460" s="16"/>
      <c r="E460" s="16"/>
      <c r="F460" s="16"/>
      <c r="G460" s="16"/>
      <c r="H460" s="16"/>
      <c r="I460" s="16"/>
      <c r="J460" s="16"/>
      <c r="K460" s="16"/>
      <c r="L460" s="16"/>
      <c r="M460" s="16"/>
      <c r="N460" s="16"/>
      <c r="O460" s="16"/>
      <c r="P460" s="17"/>
      <c r="Q460" s="16"/>
      <c r="R460" s="16"/>
      <c r="S460" s="16"/>
      <c r="T460" s="16"/>
      <c r="U460" s="16"/>
      <c r="V460" s="16"/>
      <c r="W460" s="16"/>
      <c r="X460" s="16"/>
      <c r="Y460" s="16"/>
      <c r="Z460" s="16"/>
      <c r="AA460" s="16"/>
      <c r="AB460" s="16"/>
      <c r="AC460" s="16"/>
      <c r="AD460" s="16"/>
    </row>
    <row r="461" ht="14.25" customHeight="1">
      <c r="A461" s="16"/>
      <c r="B461" s="16"/>
      <c r="C461" s="16"/>
      <c r="D461" s="16"/>
      <c r="E461" s="16"/>
      <c r="F461" s="16"/>
      <c r="G461" s="16"/>
      <c r="H461" s="16"/>
      <c r="I461" s="16"/>
      <c r="J461" s="16"/>
      <c r="K461" s="16"/>
      <c r="L461" s="16"/>
      <c r="M461" s="16"/>
      <c r="N461" s="16"/>
      <c r="O461" s="16"/>
      <c r="P461" s="17"/>
      <c r="Q461" s="16"/>
      <c r="R461" s="16"/>
      <c r="S461" s="16"/>
      <c r="T461" s="16"/>
      <c r="U461" s="16"/>
      <c r="V461" s="16"/>
      <c r="W461" s="16"/>
      <c r="X461" s="16"/>
      <c r="Y461" s="16"/>
      <c r="Z461" s="16"/>
      <c r="AA461" s="16"/>
      <c r="AB461" s="16"/>
      <c r="AC461" s="16"/>
      <c r="AD461" s="16"/>
    </row>
    <row r="462" ht="14.25" customHeight="1">
      <c r="A462" s="16"/>
      <c r="B462" s="16"/>
      <c r="C462" s="16"/>
      <c r="D462" s="16"/>
      <c r="E462" s="16"/>
      <c r="F462" s="16"/>
      <c r="G462" s="16"/>
      <c r="H462" s="16"/>
      <c r="I462" s="16"/>
      <c r="J462" s="16"/>
      <c r="K462" s="16"/>
      <c r="L462" s="16"/>
      <c r="M462" s="16"/>
      <c r="N462" s="16"/>
      <c r="O462" s="16"/>
      <c r="P462" s="17"/>
      <c r="Q462" s="16"/>
      <c r="R462" s="16"/>
      <c r="S462" s="16"/>
      <c r="T462" s="16"/>
      <c r="U462" s="16"/>
      <c r="V462" s="16"/>
      <c r="W462" s="16"/>
      <c r="X462" s="16"/>
      <c r="Y462" s="16"/>
      <c r="Z462" s="16"/>
      <c r="AA462" s="16"/>
      <c r="AB462" s="16"/>
      <c r="AC462" s="16"/>
      <c r="AD462" s="16"/>
    </row>
    <row r="463" ht="14.25" customHeight="1">
      <c r="A463" s="16"/>
      <c r="B463" s="16"/>
      <c r="C463" s="16"/>
      <c r="D463" s="16"/>
      <c r="E463" s="16"/>
      <c r="F463" s="16"/>
      <c r="G463" s="16"/>
      <c r="H463" s="16"/>
      <c r="I463" s="16"/>
      <c r="J463" s="16"/>
      <c r="K463" s="16"/>
      <c r="L463" s="16"/>
      <c r="M463" s="16"/>
      <c r="N463" s="16"/>
      <c r="O463" s="16"/>
      <c r="P463" s="17"/>
      <c r="Q463" s="16"/>
      <c r="R463" s="16"/>
      <c r="S463" s="16"/>
      <c r="T463" s="16"/>
      <c r="U463" s="16"/>
      <c r="V463" s="16"/>
      <c r="W463" s="16"/>
      <c r="X463" s="16"/>
      <c r="Y463" s="16"/>
      <c r="Z463" s="16"/>
      <c r="AA463" s="16"/>
      <c r="AB463" s="16"/>
      <c r="AC463" s="16"/>
      <c r="AD463" s="16"/>
    </row>
    <row r="464" ht="14.25" customHeight="1">
      <c r="A464" s="16"/>
      <c r="B464" s="16"/>
      <c r="C464" s="16"/>
      <c r="D464" s="16"/>
      <c r="E464" s="16"/>
      <c r="F464" s="16"/>
      <c r="G464" s="16"/>
      <c r="H464" s="16"/>
      <c r="I464" s="16"/>
      <c r="J464" s="16"/>
      <c r="K464" s="16"/>
      <c r="L464" s="16"/>
      <c r="M464" s="16"/>
      <c r="N464" s="16"/>
      <c r="O464" s="16"/>
      <c r="P464" s="17"/>
      <c r="Q464" s="16"/>
      <c r="R464" s="16"/>
      <c r="S464" s="16"/>
      <c r="T464" s="16"/>
      <c r="U464" s="16"/>
      <c r="V464" s="16"/>
      <c r="W464" s="16"/>
      <c r="X464" s="16"/>
      <c r="Y464" s="16"/>
      <c r="Z464" s="16"/>
      <c r="AA464" s="16"/>
      <c r="AB464" s="16"/>
      <c r="AC464" s="16"/>
      <c r="AD464" s="16"/>
    </row>
    <row r="465" ht="14.25" customHeight="1">
      <c r="A465" s="16"/>
      <c r="B465" s="16"/>
      <c r="C465" s="16"/>
      <c r="D465" s="16"/>
      <c r="E465" s="16"/>
      <c r="F465" s="16"/>
      <c r="G465" s="16"/>
      <c r="H465" s="16"/>
      <c r="I465" s="16"/>
      <c r="J465" s="16"/>
      <c r="K465" s="16"/>
      <c r="L465" s="16"/>
      <c r="M465" s="16"/>
      <c r="N465" s="16"/>
      <c r="O465" s="16"/>
      <c r="P465" s="17"/>
      <c r="Q465" s="16"/>
      <c r="R465" s="16"/>
      <c r="S465" s="16"/>
      <c r="T465" s="16"/>
      <c r="U465" s="16"/>
      <c r="V465" s="16"/>
      <c r="W465" s="16"/>
      <c r="X465" s="16"/>
      <c r="Y465" s="16"/>
      <c r="Z465" s="16"/>
      <c r="AA465" s="16"/>
      <c r="AB465" s="16"/>
      <c r="AC465" s="16"/>
      <c r="AD465" s="16"/>
    </row>
    <row r="466" ht="14.25" customHeight="1">
      <c r="A466" s="16"/>
      <c r="B466" s="16"/>
      <c r="C466" s="16"/>
      <c r="D466" s="16"/>
      <c r="E466" s="16"/>
      <c r="F466" s="16"/>
      <c r="G466" s="16"/>
      <c r="H466" s="16"/>
      <c r="I466" s="16"/>
      <c r="J466" s="16"/>
      <c r="K466" s="16"/>
      <c r="L466" s="16"/>
      <c r="M466" s="16"/>
      <c r="N466" s="16"/>
      <c r="O466" s="16"/>
      <c r="P466" s="17"/>
      <c r="Q466" s="16"/>
      <c r="R466" s="16"/>
      <c r="S466" s="16"/>
      <c r="T466" s="16"/>
      <c r="U466" s="16"/>
      <c r="V466" s="16"/>
      <c r="W466" s="16"/>
      <c r="X466" s="16"/>
      <c r="Y466" s="16"/>
      <c r="Z466" s="16"/>
      <c r="AA466" s="16"/>
      <c r="AB466" s="16"/>
      <c r="AC466" s="16"/>
      <c r="AD466" s="16"/>
    </row>
    <row r="467" ht="14.25" customHeight="1">
      <c r="A467" s="16"/>
      <c r="B467" s="16"/>
      <c r="C467" s="16"/>
      <c r="D467" s="16"/>
      <c r="E467" s="16"/>
      <c r="F467" s="16"/>
      <c r="G467" s="16"/>
      <c r="H467" s="16"/>
      <c r="I467" s="16"/>
      <c r="J467" s="16"/>
      <c r="K467" s="16"/>
      <c r="L467" s="16"/>
      <c r="M467" s="16"/>
      <c r="N467" s="16"/>
      <c r="O467" s="16"/>
      <c r="P467" s="17"/>
      <c r="Q467" s="16"/>
      <c r="R467" s="16"/>
      <c r="S467" s="16"/>
      <c r="T467" s="16"/>
      <c r="U467" s="16"/>
      <c r="V467" s="16"/>
      <c r="W467" s="16"/>
      <c r="X467" s="16"/>
      <c r="Y467" s="16"/>
      <c r="Z467" s="16"/>
      <c r="AA467" s="16"/>
      <c r="AB467" s="16"/>
      <c r="AC467" s="16"/>
      <c r="AD467" s="16"/>
    </row>
    <row r="468" ht="14.25" customHeight="1">
      <c r="A468" s="16"/>
      <c r="B468" s="16"/>
      <c r="C468" s="16"/>
      <c r="D468" s="16"/>
      <c r="E468" s="16"/>
      <c r="F468" s="16"/>
      <c r="G468" s="16"/>
      <c r="H468" s="16"/>
      <c r="I468" s="16"/>
      <c r="J468" s="16"/>
      <c r="K468" s="16"/>
      <c r="L468" s="16"/>
      <c r="M468" s="16"/>
      <c r="N468" s="16"/>
      <c r="O468" s="16"/>
      <c r="P468" s="17"/>
      <c r="Q468" s="16"/>
      <c r="R468" s="16"/>
      <c r="S468" s="16"/>
      <c r="T468" s="16"/>
      <c r="U468" s="16"/>
      <c r="V468" s="16"/>
      <c r="W468" s="16"/>
      <c r="X468" s="16"/>
      <c r="Y468" s="16"/>
      <c r="Z468" s="16"/>
      <c r="AA468" s="16"/>
      <c r="AB468" s="16"/>
      <c r="AC468" s="16"/>
      <c r="AD468" s="16"/>
    </row>
    <row r="469" ht="14.25" customHeight="1">
      <c r="A469" s="16"/>
      <c r="B469" s="16"/>
      <c r="C469" s="16"/>
      <c r="D469" s="16"/>
      <c r="E469" s="16"/>
      <c r="F469" s="16"/>
      <c r="G469" s="16"/>
      <c r="H469" s="16"/>
      <c r="I469" s="16"/>
      <c r="J469" s="16"/>
      <c r="K469" s="16"/>
      <c r="L469" s="16"/>
      <c r="M469" s="16"/>
      <c r="N469" s="16"/>
      <c r="O469" s="16"/>
      <c r="P469" s="17"/>
      <c r="Q469" s="16"/>
      <c r="R469" s="16"/>
      <c r="S469" s="16"/>
      <c r="T469" s="16"/>
      <c r="U469" s="16"/>
      <c r="V469" s="16"/>
      <c r="W469" s="16"/>
      <c r="X469" s="16"/>
      <c r="Y469" s="16"/>
      <c r="Z469" s="16"/>
      <c r="AA469" s="16"/>
      <c r="AB469" s="16"/>
      <c r="AC469" s="16"/>
      <c r="AD469" s="16"/>
    </row>
    <row r="470" ht="14.25" customHeight="1">
      <c r="A470" s="16"/>
      <c r="B470" s="16"/>
      <c r="C470" s="16"/>
      <c r="D470" s="16"/>
      <c r="E470" s="16"/>
      <c r="F470" s="16"/>
      <c r="G470" s="16"/>
      <c r="H470" s="16"/>
      <c r="I470" s="16"/>
      <c r="J470" s="16"/>
      <c r="K470" s="16"/>
      <c r="L470" s="16"/>
      <c r="M470" s="16"/>
      <c r="N470" s="16"/>
      <c r="O470" s="16"/>
      <c r="P470" s="17"/>
      <c r="Q470" s="16"/>
      <c r="R470" s="16"/>
      <c r="S470" s="16"/>
      <c r="T470" s="16"/>
      <c r="U470" s="16"/>
      <c r="V470" s="16"/>
      <c r="W470" s="16"/>
      <c r="X470" s="16"/>
      <c r="Y470" s="16"/>
      <c r="Z470" s="16"/>
      <c r="AA470" s="16"/>
      <c r="AB470" s="16"/>
      <c r="AC470" s="16"/>
      <c r="AD470" s="16"/>
    </row>
    <row r="471" ht="14.25" customHeight="1">
      <c r="A471" s="16"/>
      <c r="B471" s="16"/>
      <c r="C471" s="16"/>
      <c r="D471" s="16"/>
      <c r="E471" s="16"/>
      <c r="F471" s="16"/>
      <c r="G471" s="16"/>
      <c r="H471" s="16"/>
      <c r="I471" s="16"/>
      <c r="J471" s="16"/>
      <c r="K471" s="16"/>
      <c r="L471" s="16"/>
      <c r="M471" s="16"/>
      <c r="N471" s="16"/>
      <c r="O471" s="16"/>
      <c r="P471" s="17"/>
      <c r="Q471" s="16"/>
      <c r="R471" s="16"/>
      <c r="S471" s="16"/>
      <c r="T471" s="16"/>
      <c r="U471" s="16"/>
      <c r="V471" s="16"/>
      <c r="W471" s="16"/>
      <c r="X471" s="16"/>
      <c r="Y471" s="16"/>
      <c r="Z471" s="16"/>
      <c r="AA471" s="16"/>
      <c r="AB471" s="16"/>
      <c r="AC471" s="16"/>
      <c r="AD471" s="16"/>
    </row>
    <row r="472" ht="14.25" customHeight="1">
      <c r="A472" s="16"/>
      <c r="B472" s="16"/>
      <c r="C472" s="16"/>
      <c r="D472" s="16"/>
      <c r="E472" s="16"/>
      <c r="F472" s="16"/>
      <c r="G472" s="16"/>
      <c r="H472" s="16"/>
      <c r="I472" s="16"/>
      <c r="J472" s="16"/>
      <c r="K472" s="16"/>
      <c r="L472" s="16"/>
      <c r="M472" s="16"/>
      <c r="N472" s="16"/>
      <c r="O472" s="16"/>
      <c r="P472" s="17"/>
      <c r="Q472" s="16"/>
      <c r="R472" s="16"/>
      <c r="S472" s="16"/>
      <c r="T472" s="16"/>
      <c r="U472" s="16"/>
      <c r="V472" s="16"/>
      <c r="W472" s="16"/>
      <c r="X472" s="16"/>
      <c r="Y472" s="16"/>
      <c r="Z472" s="16"/>
      <c r="AA472" s="16"/>
      <c r="AB472" s="16"/>
      <c r="AC472" s="16"/>
      <c r="AD472" s="16"/>
    </row>
    <row r="473" ht="14.25" customHeight="1">
      <c r="A473" s="16"/>
      <c r="B473" s="16"/>
      <c r="C473" s="16"/>
      <c r="D473" s="16"/>
      <c r="E473" s="16"/>
      <c r="F473" s="16"/>
      <c r="G473" s="16"/>
      <c r="H473" s="16"/>
      <c r="I473" s="16"/>
      <c r="J473" s="16"/>
      <c r="K473" s="16"/>
      <c r="L473" s="16"/>
      <c r="M473" s="16"/>
      <c r="N473" s="16"/>
      <c r="O473" s="16"/>
      <c r="P473" s="17"/>
      <c r="Q473" s="16"/>
      <c r="R473" s="16"/>
      <c r="S473" s="16"/>
      <c r="T473" s="16"/>
      <c r="U473" s="16"/>
      <c r="V473" s="16"/>
      <c r="W473" s="16"/>
      <c r="X473" s="16"/>
      <c r="Y473" s="16"/>
      <c r="Z473" s="16"/>
      <c r="AA473" s="16"/>
      <c r="AB473" s="16"/>
      <c r="AC473" s="16"/>
      <c r="AD473" s="16"/>
    </row>
    <row r="474" ht="14.25" customHeight="1">
      <c r="A474" s="16"/>
      <c r="B474" s="16"/>
      <c r="C474" s="16"/>
      <c r="D474" s="16"/>
      <c r="E474" s="16"/>
      <c r="F474" s="16"/>
      <c r="G474" s="16"/>
      <c r="H474" s="16"/>
      <c r="I474" s="16"/>
      <c r="J474" s="16"/>
      <c r="K474" s="16"/>
      <c r="L474" s="16"/>
      <c r="M474" s="16"/>
      <c r="N474" s="16"/>
      <c r="O474" s="16"/>
      <c r="P474" s="17"/>
      <c r="Q474" s="16"/>
      <c r="R474" s="16"/>
      <c r="S474" s="16"/>
      <c r="T474" s="16"/>
      <c r="U474" s="16"/>
      <c r="V474" s="16"/>
      <c r="W474" s="16"/>
      <c r="X474" s="16"/>
      <c r="Y474" s="16"/>
      <c r="Z474" s="16"/>
      <c r="AA474" s="16"/>
      <c r="AB474" s="16"/>
      <c r="AC474" s="16"/>
      <c r="AD474" s="16"/>
    </row>
    <row r="475" ht="14.25" customHeight="1">
      <c r="A475" s="16"/>
      <c r="B475" s="16"/>
      <c r="C475" s="16"/>
      <c r="D475" s="16"/>
      <c r="E475" s="16"/>
      <c r="F475" s="16"/>
      <c r="G475" s="16"/>
      <c r="H475" s="16"/>
      <c r="I475" s="16"/>
      <c r="J475" s="16"/>
      <c r="K475" s="16"/>
      <c r="L475" s="16"/>
      <c r="M475" s="16"/>
      <c r="N475" s="16"/>
      <c r="O475" s="16"/>
      <c r="P475" s="17"/>
      <c r="Q475" s="16"/>
      <c r="R475" s="16"/>
      <c r="S475" s="16"/>
      <c r="T475" s="16"/>
      <c r="U475" s="16"/>
      <c r="V475" s="16"/>
      <c r="W475" s="16"/>
      <c r="X475" s="16"/>
      <c r="Y475" s="16"/>
      <c r="Z475" s="16"/>
      <c r="AA475" s="16"/>
      <c r="AB475" s="16"/>
      <c r="AC475" s="16"/>
      <c r="AD475" s="16"/>
    </row>
    <row r="476" ht="14.25" customHeight="1">
      <c r="A476" s="16"/>
      <c r="B476" s="16"/>
      <c r="C476" s="16"/>
      <c r="D476" s="16"/>
      <c r="E476" s="16"/>
      <c r="F476" s="16"/>
      <c r="G476" s="16"/>
      <c r="H476" s="16"/>
      <c r="I476" s="16"/>
      <c r="J476" s="16"/>
      <c r="K476" s="16"/>
      <c r="L476" s="16"/>
      <c r="M476" s="16"/>
      <c r="N476" s="16"/>
      <c r="O476" s="16"/>
      <c r="P476" s="17"/>
      <c r="Q476" s="16"/>
      <c r="R476" s="16"/>
      <c r="S476" s="16"/>
      <c r="T476" s="16"/>
      <c r="U476" s="16"/>
      <c r="V476" s="16"/>
      <c r="W476" s="16"/>
      <c r="X476" s="16"/>
      <c r="Y476" s="16"/>
      <c r="Z476" s="16"/>
      <c r="AA476" s="16"/>
      <c r="AB476" s="16"/>
      <c r="AC476" s="16"/>
      <c r="AD476" s="16"/>
    </row>
    <row r="477" ht="14.25" customHeight="1">
      <c r="A477" s="16"/>
      <c r="B477" s="16"/>
      <c r="C477" s="16"/>
      <c r="D477" s="16"/>
      <c r="E477" s="16"/>
      <c r="F477" s="16"/>
      <c r="G477" s="16"/>
      <c r="H477" s="16"/>
      <c r="I477" s="16"/>
      <c r="J477" s="16"/>
      <c r="K477" s="16"/>
      <c r="L477" s="16"/>
      <c r="M477" s="16"/>
      <c r="N477" s="16"/>
      <c r="O477" s="16"/>
      <c r="P477" s="17"/>
      <c r="Q477" s="16"/>
      <c r="R477" s="16"/>
      <c r="S477" s="16"/>
      <c r="T477" s="16"/>
      <c r="U477" s="16"/>
      <c r="V477" s="16"/>
      <c r="W477" s="16"/>
      <c r="X477" s="16"/>
      <c r="Y477" s="16"/>
      <c r="Z477" s="16"/>
      <c r="AA477" s="16"/>
      <c r="AB477" s="16"/>
      <c r="AC477" s="16"/>
      <c r="AD477" s="16"/>
    </row>
    <row r="478" ht="14.25" customHeight="1">
      <c r="A478" s="16"/>
      <c r="B478" s="16"/>
      <c r="C478" s="16"/>
      <c r="D478" s="16"/>
      <c r="E478" s="16"/>
      <c r="F478" s="16"/>
      <c r="G478" s="16"/>
      <c r="H478" s="16"/>
      <c r="I478" s="16"/>
      <c r="J478" s="16"/>
      <c r="K478" s="16"/>
      <c r="L478" s="16"/>
      <c r="M478" s="16"/>
      <c r="N478" s="16"/>
      <c r="O478" s="16"/>
      <c r="P478" s="17"/>
      <c r="Q478" s="16"/>
      <c r="R478" s="16"/>
      <c r="S478" s="16"/>
      <c r="T478" s="16"/>
      <c r="U478" s="16"/>
      <c r="V478" s="16"/>
      <c r="W478" s="16"/>
      <c r="X478" s="16"/>
      <c r="Y478" s="16"/>
      <c r="Z478" s="16"/>
      <c r="AA478" s="16"/>
      <c r="AB478" s="16"/>
      <c r="AC478" s="16"/>
      <c r="AD478" s="16"/>
    </row>
    <row r="479" ht="14.25" customHeight="1">
      <c r="A479" s="16"/>
      <c r="B479" s="16"/>
      <c r="C479" s="16"/>
      <c r="D479" s="16"/>
      <c r="E479" s="16"/>
      <c r="F479" s="16"/>
      <c r="G479" s="16"/>
      <c r="H479" s="16"/>
      <c r="I479" s="16"/>
      <c r="J479" s="16"/>
      <c r="K479" s="16"/>
      <c r="L479" s="16"/>
      <c r="M479" s="16"/>
      <c r="N479" s="16"/>
      <c r="O479" s="16"/>
      <c r="P479" s="17"/>
      <c r="Q479" s="16"/>
      <c r="R479" s="16"/>
      <c r="S479" s="16"/>
      <c r="T479" s="16"/>
      <c r="U479" s="16"/>
      <c r="V479" s="16"/>
      <c r="W479" s="16"/>
      <c r="X479" s="16"/>
      <c r="Y479" s="16"/>
      <c r="Z479" s="16"/>
      <c r="AA479" s="16"/>
      <c r="AB479" s="16"/>
      <c r="AC479" s="16"/>
      <c r="AD479" s="16"/>
    </row>
    <row r="480" ht="14.25" customHeight="1">
      <c r="A480" s="16"/>
      <c r="B480" s="16"/>
      <c r="C480" s="16"/>
      <c r="D480" s="16"/>
      <c r="E480" s="16"/>
      <c r="F480" s="16"/>
      <c r="G480" s="16"/>
      <c r="H480" s="16"/>
      <c r="I480" s="16"/>
      <c r="J480" s="16"/>
      <c r="K480" s="16"/>
      <c r="L480" s="16"/>
      <c r="M480" s="16"/>
      <c r="N480" s="16"/>
      <c r="O480" s="16"/>
      <c r="P480" s="17"/>
      <c r="Q480" s="16"/>
      <c r="R480" s="16"/>
      <c r="S480" s="16"/>
      <c r="T480" s="16"/>
      <c r="U480" s="16"/>
      <c r="V480" s="16"/>
      <c r="W480" s="16"/>
      <c r="X480" s="16"/>
      <c r="Y480" s="16"/>
      <c r="Z480" s="16"/>
      <c r="AA480" s="16"/>
      <c r="AB480" s="16"/>
      <c r="AC480" s="16"/>
      <c r="AD480" s="16"/>
    </row>
    <row r="481" ht="14.25" customHeight="1">
      <c r="A481" s="16"/>
      <c r="B481" s="16"/>
      <c r="C481" s="16"/>
      <c r="D481" s="16"/>
      <c r="E481" s="16"/>
      <c r="F481" s="16"/>
      <c r="G481" s="16"/>
      <c r="H481" s="16"/>
      <c r="I481" s="16"/>
      <c r="J481" s="16"/>
      <c r="K481" s="16"/>
      <c r="L481" s="16"/>
      <c r="M481" s="16"/>
      <c r="N481" s="16"/>
      <c r="O481" s="16"/>
      <c r="P481" s="17"/>
      <c r="Q481" s="16"/>
      <c r="R481" s="16"/>
      <c r="S481" s="16"/>
      <c r="T481" s="16"/>
      <c r="U481" s="16"/>
      <c r="V481" s="16"/>
      <c r="W481" s="16"/>
      <c r="X481" s="16"/>
      <c r="Y481" s="16"/>
      <c r="Z481" s="16"/>
      <c r="AA481" s="16"/>
      <c r="AB481" s="16"/>
      <c r="AC481" s="16"/>
      <c r="AD481" s="16"/>
    </row>
    <row r="482" ht="14.25" customHeight="1">
      <c r="A482" s="16"/>
      <c r="B482" s="16"/>
      <c r="C482" s="16"/>
      <c r="D482" s="16"/>
      <c r="E482" s="16"/>
      <c r="F482" s="16"/>
      <c r="G482" s="16"/>
      <c r="H482" s="16"/>
      <c r="I482" s="16"/>
      <c r="J482" s="16"/>
      <c r="K482" s="16"/>
      <c r="L482" s="16"/>
      <c r="M482" s="16"/>
      <c r="N482" s="16"/>
      <c r="O482" s="16"/>
      <c r="P482" s="17"/>
      <c r="Q482" s="16"/>
      <c r="R482" s="16"/>
      <c r="S482" s="16"/>
      <c r="T482" s="16"/>
      <c r="U482" s="16"/>
      <c r="V482" s="16"/>
      <c r="W482" s="16"/>
      <c r="X482" s="16"/>
      <c r="Y482" s="16"/>
      <c r="Z482" s="16"/>
      <c r="AA482" s="16"/>
      <c r="AB482" s="16"/>
      <c r="AC482" s="16"/>
      <c r="AD482" s="16"/>
    </row>
    <row r="483" ht="14.25" customHeight="1">
      <c r="A483" s="16"/>
      <c r="B483" s="16"/>
      <c r="C483" s="16"/>
      <c r="D483" s="16"/>
      <c r="E483" s="16"/>
      <c r="F483" s="16"/>
      <c r="G483" s="16"/>
      <c r="H483" s="16"/>
      <c r="I483" s="16"/>
      <c r="J483" s="16"/>
      <c r="K483" s="16"/>
      <c r="L483" s="16"/>
      <c r="M483" s="16"/>
      <c r="N483" s="16"/>
      <c r="O483" s="16"/>
      <c r="P483" s="17"/>
      <c r="Q483" s="16"/>
      <c r="R483" s="16"/>
      <c r="S483" s="16"/>
      <c r="T483" s="16"/>
      <c r="U483" s="16"/>
      <c r="V483" s="16"/>
      <c r="W483" s="16"/>
      <c r="X483" s="16"/>
      <c r="Y483" s="16"/>
      <c r="Z483" s="16"/>
      <c r="AA483" s="16"/>
      <c r="AB483" s="16"/>
      <c r="AC483" s="16"/>
      <c r="AD483" s="16"/>
    </row>
    <row r="484" ht="14.25" customHeight="1">
      <c r="A484" s="16"/>
      <c r="B484" s="16"/>
      <c r="C484" s="16"/>
      <c r="D484" s="16"/>
      <c r="E484" s="16"/>
      <c r="F484" s="16"/>
      <c r="G484" s="16"/>
      <c r="H484" s="16"/>
      <c r="I484" s="16"/>
      <c r="J484" s="16"/>
      <c r="K484" s="16"/>
      <c r="L484" s="16"/>
      <c r="M484" s="16"/>
      <c r="N484" s="16"/>
      <c r="O484" s="16"/>
      <c r="P484" s="17"/>
      <c r="Q484" s="16"/>
      <c r="R484" s="16"/>
      <c r="S484" s="16"/>
      <c r="T484" s="16"/>
      <c r="U484" s="16"/>
      <c r="V484" s="16"/>
      <c r="W484" s="16"/>
      <c r="X484" s="16"/>
      <c r="Y484" s="16"/>
      <c r="Z484" s="16"/>
      <c r="AA484" s="16"/>
      <c r="AB484" s="16"/>
      <c r="AC484" s="16"/>
      <c r="AD484" s="16"/>
    </row>
    <row r="485" ht="14.25" customHeight="1">
      <c r="A485" s="16"/>
      <c r="B485" s="16"/>
      <c r="C485" s="16"/>
      <c r="D485" s="16"/>
      <c r="E485" s="16"/>
      <c r="F485" s="16"/>
      <c r="G485" s="16"/>
      <c r="H485" s="16"/>
      <c r="I485" s="16"/>
      <c r="J485" s="16"/>
      <c r="K485" s="16"/>
      <c r="L485" s="16"/>
      <c r="M485" s="16"/>
      <c r="N485" s="16"/>
      <c r="O485" s="16"/>
      <c r="P485" s="17"/>
      <c r="Q485" s="16"/>
      <c r="R485" s="16"/>
      <c r="S485" s="16"/>
      <c r="T485" s="16"/>
      <c r="U485" s="16"/>
      <c r="V485" s="16"/>
      <c r="W485" s="16"/>
      <c r="X485" s="16"/>
      <c r="Y485" s="16"/>
      <c r="Z485" s="16"/>
      <c r="AA485" s="16"/>
      <c r="AB485" s="16"/>
      <c r="AC485" s="16"/>
      <c r="AD485" s="16"/>
    </row>
    <row r="486" ht="14.25" customHeight="1">
      <c r="A486" s="16"/>
      <c r="B486" s="16"/>
      <c r="C486" s="16"/>
      <c r="D486" s="16"/>
      <c r="E486" s="16"/>
      <c r="F486" s="16"/>
      <c r="G486" s="16"/>
      <c r="H486" s="16"/>
      <c r="I486" s="16"/>
      <c r="J486" s="16"/>
      <c r="K486" s="16"/>
      <c r="L486" s="16"/>
      <c r="M486" s="16"/>
      <c r="N486" s="16"/>
      <c r="O486" s="16"/>
      <c r="P486" s="17"/>
      <c r="Q486" s="16"/>
      <c r="R486" s="16"/>
      <c r="S486" s="16"/>
      <c r="T486" s="16"/>
      <c r="U486" s="16"/>
      <c r="V486" s="16"/>
      <c r="W486" s="16"/>
      <c r="X486" s="16"/>
      <c r="Y486" s="16"/>
      <c r="Z486" s="16"/>
      <c r="AA486" s="16"/>
      <c r="AB486" s="16"/>
      <c r="AC486" s="16"/>
      <c r="AD486" s="16"/>
    </row>
    <row r="487" ht="14.25" customHeight="1">
      <c r="A487" s="16"/>
      <c r="B487" s="16"/>
      <c r="C487" s="16"/>
      <c r="D487" s="16"/>
      <c r="E487" s="16"/>
      <c r="F487" s="16"/>
      <c r="G487" s="16"/>
      <c r="H487" s="16"/>
      <c r="I487" s="16"/>
      <c r="J487" s="16"/>
      <c r="K487" s="16"/>
      <c r="L487" s="16"/>
      <c r="M487" s="16"/>
      <c r="N487" s="16"/>
      <c r="O487" s="16"/>
      <c r="P487" s="17"/>
      <c r="Q487" s="16"/>
      <c r="R487" s="16"/>
      <c r="S487" s="16"/>
      <c r="T487" s="16"/>
      <c r="U487" s="16"/>
      <c r="V487" s="16"/>
      <c r="W487" s="16"/>
      <c r="X487" s="16"/>
      <c r="Y487" s="16"/>
      <c r="Z487" s="16"/>
      <c r="AA487" s="16"/>
      <c r="AB487" s="16"/>
      <c r="AC487" s="16"/>
      <c r="AD487" s="16"/>
    </row>
    <row r="488" ht="14.25" customHeight="1">
      <c r="A488" s="16"/>
      <c r="B488" s="16"/>
      <c r="C488" s="16"/>
      <c r="D488" s="16"/>
      <c r="E488" s="16"/>
      <c r="F488" s="16"/>
      <c r="G488" s="16"/>
      <c r="H488" s="16"/>
      <c r="I488" s="16"/>
      <c r="J488" s="16"/>
      <c r="K488" s="16"/>
      <c r="L488" s="16"/>
      <c r="M488" s="16"/>
      <c r="N488" s="16"/>
      <c r="O488" s="16"/>
      <c r="P488" s="17"/>
      <c r="Q488" s="16"/>
      <c r="R488" s="16"/>
      <c r="S488" s="16"/>
      <c r="T488" s="16"/>
      <c r="U488" s="16"/>
      <c r="V488" s="16"/>
      <c r="W488" s="16"/>
      <c r="X488" s="16"/>
      <c r="Y488" s="16"/>
      <c r="Z488" s="16"/>
      <c r="AA488" s="16"/>
      <c r="AB488" s="16"/>
      <c r="AC488" s="16"/>
      <c r="AD488" s="16"/>
    </row>
    <row r="489" ht="14.25" customHeight="1">
      <c r="A489" s="16"/>
      <c r="B489" s="16"/>
      <c r="C489" s="16"/>
      <c r="D489" s="16"/>
      <c r="E489" s="16"/>
      <c r="F489" s="16"/>
      <c r="G489" s="16"/>
      <c r="H489" s="16"/>
      <c r="I489" s="16"/>
      <c r="J489" s="16"/>
      <c r="K489" s="16"/>
      <c r="L489" s="16"/>
      <c r="M489" s="16"/>
      <c r="N489" s="16"/>
      <c r="O489" s="16"/>
      <c r="P489" s="17"/>
      <c r="Q489" s="16"/>
      <c r="R489" s="16"/>
      <c r="S489" s="16"/>
      <c r="T489" s="16"/>
      <c r="U489" s="16"/>
      <c r="V489" s="16"/>
      <c r="W489" s="16"/>
      <c r="X489" s="16"/>
      <c r="Y489" s="16"/>
      <c r="Z489" s="16"/>
      <c r="AA489" s="16"/>
      <c r="AB489" s="16"/>
      <c r="AC489" s="16"/>
      <c r="AD489" s="16"/>
    </row>
    <row r="490" ht="14.25" customHeight="1">
      <c r="A490" s="16"/>
      <c r="B490" s="16"/>
      <c r="C490" s="16"/>
      <c r="D490" s="16"/>
      <c r="E490" s="16"/>
      <c r="F490" s="16"/>
      <c r="G490" s="16"/>
      <c r="H490" s="16"/>
      <c r="I490" s="16"/>
      <c r="J490" s="16"/>
      <c r="K490" s="16"/>
      <c r="L490" s="16"/>
      <c r="M490" s="16"/>
      <c r="N490" s="16"/>
      <c r="O490" s="16"/>
      <c r="P490" s="17"/>
      <c r="Q490" s="16"/>
      <c r="R490" s="16"/>
      <c r="S490" s="16"/>
      <c r="T490" s="16"/>
      <c r="U490" s="16"/>
      <c r="V490" s="16"/>
      <c r="W490" s="16"/>
      <c r="X490" s="16"/>
      <c r="Y490" s="16"/>
      <c r="Z490" s="16"/>
      <c r="AA490" s="16"/>
      <c r="AB490" s="16"/>
      <c r="AC490" s="16"/>
      <c r="AD490" s="16"/>
    </row>
    <row r="491" ht="14.25" customHeight="1">
      <c r="A491" s="16"/>
      <c r="B491" s="16"/>
      <c r="C491" s="16"/>
      <c r="D491" s="16"/>
      <c r="E491" s="16"/>
      <c r="F491" s="16"/>
      <c r="G491" s="16"/>
      <c r="H491" s="16"/>
      <c r="I491" s="16"/>
      <c r="J491" s="16"/>
      <c r="K491" s="16"/>
      <c r="L491" s="16"/>
      <c r="M491" s="16"/>
      <c r="N491" s="16"/>
      <c r="O491" s="16"/>
      <c r="P491" s="17"/>
      <c r="Q491" s="16"/>
      <c r="R491" s="16"/>
      <c r="S491" s="16"/>
      <c r="T491" s="16"/>
      <c r="U491" s="16"/>
      <c r="V491" s="16"/>
      <c r="W491" s="16"/>
      <c r="X491" s="16"/>
      <c r="Y491" s="16"/>
      <c r="Z491" s="16"/>
      <c r="AA491" s="16"/>
      <c r="AB491" s="16"/>
      <c r="AC491" s="16"/>
      <c r="AD491" s="16"/>
    </row>
    <row r="492" ht="14.25" customHeight="1">
      <c r="A492" s="16"/>
      <c r="B492" s="16"/>
      <c r="C492" s="16"/>
      <c r="D492" s="16"/>
      <c r="E492" s="16"/>
      <c r="F492" s="16"/>
      <c r="G492" s="16"/>
      <c r="H492" s="16"/>
      <c r="I492" s="16"/>
      <c r="J492" s="16"/>
      <c r="K492" s="16"/>
      <c r="L492" s="16"/>
      <c r="M492" s="16"/>
      <c r="N492" s="16"/>
      <c r="O492" s="16"/>
      <c r="P492" s="17"/>
      <c r="Q492" s="16"/>
      <c r="R492" s="16"/>
      <c r="S492" s="16"/>
      <c r="T492" s="16"/>
      <c r="U492" s="16"/>
      <c r="V492" s="16"/>
      <c r="W492" s="16"/>
      <c r="X492" s="16"/>
      <c r="Y492" s="16"/>
      <c r="Z492" s="16"/>
      <c r="AA492" s="16"/>
      <c r="AB492" s="16"/>
      <c r="AC492" s="16"/>
      <c r="AD492" s="16"/>
    </row>
    <row r="493" ht="14.25" customHeight="1">
      <c r="A493" s="16"/>
      <c r="B493" s="16"/>
      <c r="C493" s="16"/>
      <c r="D493" s="16"/>
      <c r="E493" s="16"/>
      <c r="F493" s="16"/>
      <c r="G493" s="16"/>
      <c r="H493" s="16"/>
      <c r="I493" s="16"/>
      <c r="J493" s="16"/>
      <c r="K493" s="16"/>
      <c r="L493" s="16"/>
      <c r="M493" s="16"/>
      <c r="N493" s="16"/>
      <c r="O493" s="16"/>
      <c r="P493" s="17"/>
      <c r="Q493" s="16"/>
      <c r="R493" s="16"/>
      <c r="S493" s="16"/>
      <c r="T493" s="16"/>
      <c r="U493" s="16"/>
      <c r="V493" s="16"/>
      <c r="W493" s="16"/>
      <c r="X493" s="16"/>
      <c r="Y493" s="16"/>
      <c r="Z493" s="16"/>
      <c r="AA493" s="16"/>
      <c r="AB493" s="16"/>
      <c r="AC493" s="16"/>
      <c r="AD493" s="16"/>
    </row>
    <row r="494" ht="14.25" customHeight="1">
      <c r="A494" s="16"/>
      <c r="B494" s="16"/>
      <c r="C494" s="16"/>
      <c r="D494" s="16"/>
      <c r="E494" s="16"/>
      <c r="F494" s="16"/>
      <c r="G494" s="16"/>
      <c r="H494" s="16"/>
      <c r="I494" s="16"/>
      <c r="J494" s="16"/>
      <c r="K494" s="16"/>
      <c r="L494" s="16"/>
      <c r="M494" s="16"/>
      <c r="N494" s="16"/>
      <c r="O494" s="16"/>
      <c r="P494" s="17"/>
      <c r="Q494" s="16"/>
      <c r="R494" s="16"/>
      <c r="S494" s="16"/>
      <c r="T494" s="16"/>
      <c r="U494" s="16"/>
      <c r="V494" s="16"/>
      <c r="W494" s="16"/>
      <c r="X494" s="16"/>
      <c r="Y494" s="16"/>
      <c r="Z494" s="16"/>
      <c r="AA494" s="16"/>
      <c r="AB494" s="16"/>
      <c r="AC494" s="16"/>
      <c r="AD494" s="16"/>
    </row>
    <row r="495" ht="14.25" customHeight="1">
      <c r="A495" s="16"/>
      <c r="B495" s="16"/>
      <c r="C495" s="16"/>
      <c r="D495" s="16"/>
      <c r="E495" s="16"/>
      <c r="F495" s="16"/>
      <c r="G495" s="16"/>
      <c r="H495" s="16"/>
      <c r="I495" s="16"/>
      <c r="J495" s="16"/>
      <c r="K495" s="16"/>
      <c r="L495" s="16"/>
      <c r="M495" s="16"/>
      <c r="N495" s="16"/>
      <c r="O495" s="16"/>
      <c r="P495" s="17"/>
      <c r="Q495" s="16"/>
      <c r="R495" s="16"/>
      <c r="S495" s="16"/>
      <c r="T495" s="16"/>
      <c r="U495" s="16"/>
      <c r="V495" s="16"/>
      <c r="W495" s="16"/>
      <c r="X495" s="16"/>
      <c r="Y495" s="16"/>
      <c r="Z495" s="16"/>
      <c r="AA495" s="16"/>
      <c r="AB495" s="16"/>
      <c r="AC495" s="16"/>
      <c r="AD495" s="16"/>
    </row>
    <row r="496" ht="14.25" customHeight="1">
      <c r="A496" s="16"/>
      <c r="B496" s="16"/>
      <c r="C496" s="16"/>
      <c r="D496" s="16"/>
      <c r="E496" s="16"/>
      <c r="F496" s="16"/>
      <c r="G496" s="16"/>
      <c r="H496" s="16"/>
      <c r="I496" s="16"/>
      <c r="J496" s="16"/>
      <c r="K496" s="16"/>
      <c r="L496" s="16"/>
      <c r="M496" s="16"/>
      <c r="N496" s="16"/>
      <c r="O496" s="16"/>
      <c r="P496" s="17"/>
      <c r="Q496" s="16"/>
      <c r="R496" s="16"/>
      <c r="S496" s="16"/>
      <c r="T496" s="16"/>
      <c r="U496" s="16"/>
      <c r="V496" s="16"/>
      <c r="W496" s="16"/>
      <c r="X496" s="16"/>
      <c r="Y496" s="16"/>
      <c r="Z496" s="16"/>
      <c r="AA496" s="16"/>
      <c r="AB496" s="16"/>
      <c r="AC496" s="16"/>
      <c r="AD496" s="16"/>
    </row>
    <row r="497" ht="14.25" customHeight="1">
      <c r="A497" s="16"/>
      <c r="B497" s="16"/>
      <c r="C497" s="16"/>
      <c r="D497" s="16"/>
      <c r="E497" s="16"/>
      <c r="F497" s="16"/>
      <c r="G497" s="16"/>
      <c r="H497" s="16"/>
      <c r="I497" s="16"/>
      <c r="J497" s="16"/>
      <c r="K497" s="16"/>
      <c r="L497" s="16"/>
      <c r="M497" s="16"/>
      <c r="N497" s="16"/>
      <c r="O497" s="16"/>
      <c r="P497" s="17"/>
      <c r="Q497" s="16"/>
      <c r="R497" s="16"/>
      <c r="S497" s="16"/>
      <c r="T497" s="16"/>
      <c r="U497" s="16"/>
      <c r="V497" s="16"/>
      <c r="W497" s="16"/>
      <c r="X497" s="16"/>
      <c r="Y497" s="16"/>
      <c r="Z497" s="16"/>
      <c r="AA497" s="16"/>
      <c r="AB497" s="16"/>
      <c r="AC497" s="16"/>
      <c r="AD497" s="16"/>
    </row>
    <row r="498" ht="14.25" customHeight="1">
      <c r="A498" s="16"/>
      <c r="B498" s="16"/>
      <c r="C498" s="16"/>
      <c r="D498" s="16"/>
      <c r="E498" s="16"/>
      <c r="F498" s="16"/>
      <c r="G498" s="16"/>
      <c r="H498" s="16"/>
      <c r="I498" s="16"/>
      <c r="J498" s="16"/>
      <c r="K498" s="16"/>
      <c r="L498" s="16"/>
      <c r="M498" s="16"/>
      <c r="N498" s="16"/>
      <c r="O498" s="16"/>
      <c r="P498" s="17"/>
      <c r="Q498" s="16"/>
      <c r="R498" s="16"/>
      <c r="S498" s="16"/>
      <c r="T498" s="16"/>
      <c r="U498" s="16"/>
      <c r="V498" s="16"/>
      <c r="W498" s="16"/>
      <c r="X498" s="16"/>
      <c r="Y498" s="16"/>
      <c r="Z498" s="16"/>
      <c r="AA498" s="16"/>
      <c r="AB498" s="16"/>
      <c r="AC498" s="16"/>
      <c r="AD498" s="16"/>
    </row>
    <row r="499" ht="14.25" customHeight="1">
      <c r="A499" s="16"/>
      <c r="B499" s="16"/>
      <c r="C499" s="16"/>
      <c r="D499" s="16"/>
      <c r="E499" s="16"/>
      <c r="F499" s="16"/>
      <c r="G499" s="16"/>
      <c r="H499" s="16"/>
      <c r="I499" s="16"/>
      <c r="J499" s="16"/>
      <c r="K499" s="16"/>
      <c r="L499" s="16"/>
      <c r="M499" s="16"/>
      <c r="N499" s="16"/>
      <c r="O499" s="16"/>
      <c r="P499" s="17"/>
      <c r="Q499" s="16"/>
      <c r="R499" s="16"/>
      <c r="S499" s="16"/>
      <c r="T499" s="16"/>
      <c r="U499" s="16"/>
      <c r="V499" s="16"/>
      <c r="W499" s="16"/>
      <c r="X499" s="16"/>
      <c r="Y499" s="16"/>
      <c r="Z499" s="16"/>
      <c r="AA499" s="16"/>
      <c r="AB499" s="16"/>
      <c r="AC499" s="16"/>
      <c r="AD499" s="16"/>
    </row>
    <row r="500" ht="14.25" customHeight="1">
      <c r="A500" s="16"/>
      <c r="B500" s="16"/>
      <c r="C500" s="16"/>
      <c r="D500" s="16"/>
      <c r="E500" s="16"/>
      <c r="F500" s="16"/>
      <c r="G500" s="16"/>
      <c r="H500" s="16"/>
      <c r="I500" s="16"/>
      <c r="J500" s="16"/>
      <c r="K500" s="16"/>
      <c r="L500" s="16"/>
      <c r="M500" s="16"/>
      <c r="N500" s="16"/>
      <c r="O500" s="16"/>
      <c r="P500" s="17"/>
      <c r="Q500" s="16"/>
      <c r="R500" s="16"/>
      <c r="S500" s="16"/>
      <c r="T500" s="16"/>
      <c r="U500" s="16"/>
      <c r="V500" s="16"/>
      <c r="W500" s="16"/>
      <c r="X500" s="16"/>
      <c r="Y500" s="16"/>
      <c r="Z500" s="16"/>
      <c r="AA500" s="16"/>
      <c r="AB500" s="16"/>
      <c r="AC500" s="16"/>
      <c r="AD500" s="16"/>
    </row>
    <row r="501" ht="14.25" customHeight="1">
      <c r="A501" s="16"/>
      <c r="B501" s="16"/>
      <c r="C501" s="16"/>
      <c r="D501" s="16"/>
      <c r="E501" s="16"/>
      <c r="F501" s="16"/>
      <c r="G501" s="16"/>
      <c r="H501" s="16"/>
      <c r="I501" s="16"/>
      <c r="J501" s="16"/>
      <c r="K501" s="16"/>
      <c r="L501" s="16"/>
      <c r="M501" s="16"/>
      <c r="N501" s="16"/>
      <c r="O501" s="16"/>
      <c r="P501" s="17"/>
      <c r="Q501" s="16"/>
      <c r="R501" s="16"/>
      <c r="S501" s="16"/>
      <c r="T501" s="16"/>
      <c r="U501" s="16"/>
      <c r="V501" s="16"/>
      <c r="W501" s="16"/>
      <c r="X501" s="16"/>
      <c r="Y501" s="16"/>
      <c r="Z501" s="16"/>
      <c r="AA501" s="16"/>
      <c r="AB501" s="16"/>
      <c r="AC501" s="16"/>
      <c r="AD501" s="16"/>
    </row>
    <row r="502" ht="14.25" customHeight="1">
      <c r="A502" s="16"/>
      <c r="B502" s="16"/>
      <c r="C502" s="16"/>
      <c r="D502" s="16"/>
      <c r="E502" s="16"/>
      <c r="F502" s="16"/>
      <c r="G502" s="16"/>
      <c r="H502" s="16"/>
      <c r="I502" s="16"/>
      <c r="J502" s="16"/>
      <c r="K502" s="16"/>
      <c r="L502" s="16"/>
      <c r="M502" s="16"/>
      <c r="N502" s="16"/>
      <c r="O502" s="16"/>
      <c r="P502" s="17"/>
      <c r="Q502" s="16"/>
      <c r="R502" s="16"/>
      <c r="S502" s="16"/>
      <c r="T502" s="16"/>
      <c r="U502" s="16"/>
      <c r="V502" s="16"/>
      <c r="W502" s="16"/>
      <c r="X502" s="16"/>
      <c r="Y502" s="16"/>
      <c r="Z502" s="16"/>
      <c r="AA502" s="16"/>
      <c r="AB502" s="16"/>
      <c r="AC502" s="16"/>
      <c r="AD502" s="16"/>
    </row>
    <row r="503" ht="14.25" customHeight="1">
      <c r="A503" s="16"/>
      <c r="B503" s="16"/>
      <c r="C503" s="16"/>
      <c r="D503" s="16"/>
      <c r="E503" s="16"/>
      <c r="F503" s="16"/>
      <c r="G503" s="16"/>
      <c r="H503" s="16"/>
      <c r="I503" s="16"/>
      <c r="J503" s="16"/>
      <c r="K503" s="16"/>
      <c r="L503" s="16"/>
      <c r="M503" s="16"/>
      <c r="N503" s="16"/>
      <c r="O503" s="16"/>
      <c r="P503" s="17"/>
      <c r="Q503" s="16"/>
      <c r="R503" s="16"/>
      <c r="S503" s="16"/>
      <c r="T503" s="16"/>
      <c r="U503" s="16"/>
      <c r="V503" s="16"/>
      <c r="W503" s="16"/>
      <c r="X503" s="16"/>
      <c r="Y503" s="16"/>
      <c r="Z503" s="16"/>
      <c r="AA503" s="16"/>
      <c r="AB503" s="16"/>
      <c r="AC503" s="16"/>
      <c r="AD503" s="16"/>
    </row>
    <row r="504" ht="14.25" customHeight="1">
      <c r="A504" s="16"/>
      <c r="B504" s="16"/>
      <c r="C504" s="16"/>
      <c r="D504" s="16"/>
      <c r="E504" s="16"/>
      <c r="F504" s="16"/>
      <c r="G504" s="16"/>
      <c r="H504" s="16"/>
      <c r="I504" s="16"/>
      <c r="J504" s="16"/>
      <c r="K504" s="16"/>
      <c r="L504" s="16"/>
      <c r="M504" s="16"/>
      <c r="N504" s="16"/>
      <c r="O504" s="16"/>
      <c r="P504" s="17"/>
      <c r="Q504" s="16"/>
      <c r="R504" s="16"/>
      <c r="S504" s="16"/>
      <c r="T504" s="16"/>
      <c r="U504" s="16"/>
      <c r="V504" s="16"/>
      <c r="W504" s="16"/>
      <c r="X504" s="16"/>
      <c r="Y504" s="16"/>
      <c r="Z504" s="16"/>
      <c r="AA504" s="16"/>
      <c r="AB504" s="16"/>
      <c r="AC504" s="16"/>
      <c r="AD504" s="16"/>
    </row>
    <row r="505" ht="14.25" customHeight="1">
      <c r="A505" s="16"/>
      <c r="B505" s="16"/>
      <c r="C505" s="16"/>
      <c r="D505" s="16"/>
      <c r="E505" s="16"/>
      <c r="F505" s="16"/>
      <c r="G505" s="16"/>
      <c r="H505" s="16"/>
      <c r="I505" s="16"/>
      <c r="J505" s="16"/>
      <c r="K505" s="16"/>
      <c r="L505" s="16"/>
      <c r="M505" s="16"/>
      <c r="N505" s="16"/>
      <c r="O505" s="16"/>
      <c r="P505" s="17"/>
      <c r="Q505" s="16"/>
      <c r="R505" s="16"/>
      <c r="S505" s="16"/>
      <c r="T505" s="16"/>
      <c r="U505" s="16"/>
      <c r="V505" s="16"/>
      <c r="W505" s="16"/>
      <c r="X505" s="16"/>
      <c r="Y505" s="16"/>
      <c r="Z505" s="16"/>
      <c r="AA505" s="16"/>
      <c r="AB505" s="16"/>
      <c r="AC505" s="16"/>
      <c r="AD505" s="16"/>
    </row>
    <row r="506" ht="14.25" customHeight="1">
      <c r="A506" s="16"/>
      <c r="B506" s="16"/>
      <c r="C506" s="16"/>
      <c r="D506" s="16"/>
      <c r="E506" s="16"/>
      <c r="F506" s="16"/>
      <c r="G506" s="16"/>
      <c r="H506" s="16"/>
      <c r="I506" s="16"/>
      <c r="J506" s="16"/>
      <c r="K506" s="16"/>
      <c r="L506" s="16"/>
      <c r="M506" s="16"/>
      <c r="N506" s="16"/>
      <c r="O506" s="16"/>
      <c r="P506" s="17"/>
      <c r="Q506" s="16"/>
      <c r="R506" s="16"/>
      <c r="S506" s="16"/>
      <c r="T506" s="16"/>
      <c r="U506" s="16"/>
      <c r="V506" s="16"/>
      <c r="W506" s="16"/>
      <c r="X506" s="16"/>
      <c r="Y506" s="16"/>
      <c r="Z506" s="16"/>
      <c r="AA506" s="16"/>
      <c r="AB506" s="16"/>
      <c r="AC506" s="16"/>
      <c r="AD506" s="16"/>
    </row>
    <row r="507" ht="14.25" customHeight="1">
      <c r="A507" s="16"/>
      <c r="B507" s="16"/>
      <c r="C507" s="16"/>
      <c r="D507" s="16"/>
      <c r="E507" s="16"/>
      <c r="F507" s="16"/>
      <c r="G507" s="16"/>
      <c r="H507" s="16"/>
      <c r="I507" s="16"/>
      <c r="J507" s="16"/>
      <c r="K507" s="16"/>
      <c r="L507" s="16"/>
      <c r="M507" s="16"/>
      <c r="N507" s="16"/>
      <c r="O507" s="16"/>
      <c r="P507" s="17"/>
      <c r="Q507" s="16"/>
      <c r="R507" s="16"/>
      <c r="S507" s="16"/>
      <c r="T507" s="16"/>
      <c r="U507" s="16"/>
      <c r="V507" s="16"/>
      <c r="W507" s="16"/>
      <c r="X507" s="16"/>
      <c r="Y507" s="16"/>
      <c r="Z507" s="16"/>
      <c r="AA507" s="16"/>
      <c r="AB507" s="16"/>
      <c r="AC507" s="16"/>
      <c r="AD507" s="16"/>
    </row>
    <row r="508" ht="14.25" customHeight="1">
      <c r="A508" s="16"/>
      <c r="B508" s="16"/>
      <c r="C508" s="16"/>
      <c r="D508" s="16"/>
      <c r="E508" s="16"/>
      <c r="F508" s="16"/>
      <c r="G508" s="16"/>
      <c r="H508" s="16"/>
      <c r="I508" s="16"/>
      <c r="J508" s="16"/>
      <c r="K508" s="16"/>
      <c r="L508" s="16"/>
      <c r="M508" s="16"/>
      <c r="N508" s="16"/>
      <c r="O508" s="16"/>
      <c r="P508" s="17"/>
      <c r="Q508" s="16"/>
      <c r="R508" s="16"/>
      <c r="S508" s="16"/>
      <c r="T508" s="16"/>
      <c r="U508" s="16"/>
      <c r="V508" s="16"/>
      <c r="W508" s="16"/>
      <c r="X508" s="16"/>
      <c r="Y508" s="16"/>
      <c r="Z508" s="16"/>
      <c r="AA508" s="16"/>
      <c r="AB508" s="16"/>
      <c r="AC508" s="16"/>
      <c r="AD508" s="16"/>
    </row>
    <row r="509" ht="14.25" customHeight="1">
      <c r="A509" s="16"/>
      <c r="B509" s="16"/>
      <c r="C509" s="16"/>
      <c r="D509" s="16"/>
      <c r="E509" s="16"/>
      <c r="F509" s="16"/>
      <c r="G509" s="16"/>
      <c r="H509" s="16"/>
      <c r="I509" s="16"/>
      <c r="J509" s="16"/>
      <c r="K509" s="16"/>
      <c r="L509" s="16"/>
      <c r="M509" s="16"/>
      <c r="N509" s="16"/>
      <c r="O509" s="16"/>
      <c r="P509" s="17"/>
      <c r="Q509" s="16"/>
      <c r="R509" s="16"/>
      <c r="S509" s="16"/>
      <c r="T509" s="16"/>
      <c r="U509" s="16"/>
      <c r="V509" s="16"/>
      <c r="W509" s="16"/>
      <c r="X509" s="16"/>
      <c r="Y509" s="16"/>
      <c r="Z509" s="16"/>
      <c r="AA509" s="16"/>
      <c r="AB509" s="16"/>
      <c r="AC509" s="16"/>
      <c r="AD509" s="16"/>
    </row>
    <row r="510" ht="14.25" customHeight="1">
      <c r="A510" s="16"/>
      <c r="B510" s="16"/>
      <c r="C510" s="16"/>
      <c r="D510" s="16"/>
      <c r="E510" s="16"/>
      <c r="F510" s="16"/>
      <c r="G510" s="16"/>
      <c r="H510" s="16"/>
      <c r="I510" s="16"/>
      <c r="J510" s="16"/>
      <c r="K510" s="16"/>
      <c r="L510" s="16"/>
      <c r="M510" s="16"/>
      <c r="N510" s="16"/>
      <c r="O510" s="16"/>
      <c r="P510" s="17"/>
      <c r="Q510" s="16"/>
      <c r="R510" s="16"/>
      <c r="S510" s="16"/>
      <c r="T510" s="16"/>
      <c r="U510" s="16"/>
      <c r="V510" s="16"/>
      <c r="W510" s="16"/>
      <c r="X510" s="16"/>
      <c r="Y510" s="16"/>
      <c r="Z510" s="16"/>
      <c r="AA510" s="16"/>
      <c r="AB510" s="16"/>
      <c r="AC510" s="16"/>
      <c r="AD510" s="16"/>
    </row>
    <row r="511" ht="14.25" customHeight="1">
      <c r="A511" s="16"/>
      <c r="B511" s="16"/>
      <c r="C511" s="16"/>
      <c r="D511" s="16"/>
      <c r="E511" s="16"/>
      <c r="F511" s="16"/>
      <c r="G511" s="16"/>
      <c r="H511" s="16"/>
      <c r="I511" s="16"/>
      <c r="J511" s="16"/>
      <c r="K511" s="16"/>
      <c r="L511" s="16"/>
      <c r="M511" s="16"/>
      <c r="N511" s="16"/>
      <c r="O511" s="16"/>
      <c r="P511" s="17"/>
      <c r="Q511" s="16"/>
      <c r="R511" s="16"/>
      <c r="S511" s="16"/>
      <c r="T511" s="16"/>
      <c r="U511" s="16"/>
      <c r="V511" s="16"/>
      <c r="W511" s="16"/>
      <c r="X511" s="16"/>
      <c r="Y511" s="16"/>
      <c r="Z511" s="16"/>
      <c r="AA511" s="16"/>
      <c r="AB511" s="16"/>
      <c r="AC511" s="16"/>
      <c r="AD511" s="16"/>
    </row>
    <row r="512" ht="14.25" customHeight="1">
      <c r="A512" s="16"/>
      <c r="B512" s="16"/>
      <c r="C512" s="16"/>
      <c r="D512" s="16"/>
      <c r="E512" s="16"/>
      <c r="F512" s="16"/>
      <c r="G512" s="16"/>
      <c r="H512" s="16"/>
      <c r="I512" s="16"/>
      <c r="J512" s="16"/>
      <c r="K512" s="16"/>
      <c r="L512" s="16"/>
      <c r="M512" s="16"/>
      <c r="N512" s="16"/>
      <c r="O512" s="16"/>
      <c r="P512" s="17"/>
      <c r="Q512" s="16"/>
      <c r="R512" s="16"/>
      <c r="S512" s="16"/>
      <c r="T512" s="16"/>
      <c r="U512" s="16"/>
      <c r="V512" s="16"/>
      <c r="W512" s="16"/>
      <c r="X512" s="16"/>
      <c r="Y512" s="16"/>
      <c r="Z512" s="16"/>
      <c r="AA512" s="16"/>
      <c r="AB512" s="16"/>
      <c r="AC512" s="16"/>
      <c r="AD512" s="16"/>
    </row>
    <row r="513" ht="14.25" customHeight="1">
      <c r="A513" s="16"/>
      <c r="B513" s="16"/>
      <c r="C513" s="16"/>
      <c r="D513" s="16"/>
      <c r="E513" s="16"/>
      <c r="F513" s="16"/>
      <c r="G513" s="16"/>
      <c r="H513" s="16"/>
      <c r="I513" s="16"/>
      <c r="J513" s="16"/>
      <c r="K513" s="16"/>
      <c r="L513" s="16"/>
      <c r="M513" s="16"/>
      <c r="N513" s="16"/>
      <c r="O513" s="16"/>
      <c r="P513" s="17"/>
      <c r="Q513" s="16"/>
      <c r="R513" s="16"/>
      <c r="S513" s="16"/>
      <c r="T513" s="16"/>
      <c r="U513" s="16"/>
      <c r="V513" s="16"/>
      <c r="W513" s="16"/>
      <c r="X513" s="16"/>
      <c r="Y513" s="16"/>
      <c r="Z513" s="16"/>
      <c r="AA513" s="16"/>
      <c r="AB513" s="16"/>
      <c r="AC513" s="16"/>
      <c r="AD513" s="16"/>
    </row>
    <row r="514" ht="14.25" customHeight="1">
      <c r="A514" s="16"/>
      <c r="B514" s="16"/>
      <c r="C514" s="16"/>
      <c r="D514" s="16"/>
      <c r="E514" s="16"/>
      <c r="F514" s="16"/>
      <c r="G514" s="16"/>
      <c r="H514" s="16"/>
      <c r="I514" s="16"/>
      <c r="J514" s="16"/>
      <c r="K514" s="16"/>
      <c r="L514" s="16"/>
      <c r="M514" s="16"/>
      <c r="N514" s="16"/>
      <c r="O514" s="16"/>
      <c r="P514" s="17"/>
      <c r="Q514" s="16"/>
      <c r="R514" s="16"/>
      <c r="S514" s="16"/>
      <c r="T514" s="16"/>
      <c r="U514" s="16"/>
      <c r="V514" s="16"/>
      <c r="W514" s="16"/>
      <c r="X514" s="16"/>
      <c r="Y514" s="16"/>
      <c r="Z514" s="16"/>
      <c r="AA514" s="16"/>
      <c r="AB514" s="16"/>
      <c r="AC514" s="16"/>
      <c r="AD514" s="16"/>
    </row>
    <row r="515" ht="14.25" customHeight="1">
      <c r="A515" s="16"/>
      <c r="B515" s="16"/>
      <c r="C515" s="16"/>
      <c r="D515" s="16"/>
      <c r="E515" s="16"/>
      <c r="F515" s="16"/>
      <c r="G515" s="16"/>
      <c r="H515" s="16"/>
      <c r="I515" s="16"/>
      <c r="J515" s="16"/>
      <c r="K515" s="16"/>
      <c r="L515" s="16"/>
      <c r="M515" s="16"/>
      <c r="N515" s="16"/>
      <c r="O515" s="16"/>
      <c r="P515" s="17"/>
      <c r="Q515" s="16"/>
      <c r="R515" s="16"/>
      <c r="S515" s="16"/>
      <c r="T515" s="16"/>
      <c r="U515" s="16"/>
      <c r="V515" s="16"/>
      <c r="W515" s="16"/>
      <c r="X515" s="16"/>
      <c r="Y515" s="16"/>
      <c r="Z515" s="16"/>
      <c r="AA515" s="16"/>
      <c r="AB515" s="16"/>
      <c r="AC515" s="16"/>
      <c r="AD515" s="16"/>
    </row>
    <row r="516" ht="14.25" customHeight="1">
      <c r="A516" s="16"/>
      <c r="B516" s="16"/>
      <c r="C516" s="16"/>
      <c r="D516" s="16"/>
      <c r="E516" s="16"/>
      <c r="F516" s="16"/>
      <c r="G516" s="16"/>
      <c r="H516" s="16"/>
      <c r="I516" s="16"/>
      <c r="J516" s="16"/>
      <c r="K516" s="16"/>
      <c r="L516" s="16"/>
      <c r="M516" s="16"/>
      <c r="N516" s="16"/>
      <c r="O516" s="16"/>
      <c r="P516" s="17"/>
      <c r="Q516" s="16"/>
      <c r="R516" s="16"/>
      <c r="S516" s="16"/>
      <c r="T516" s="16"/>
      <c r="U516" s="16"/>
      <c r="V516" s="16"/>
      <c r="W516" s="16"/>
      <c r="X516" s="16"/>
      <c r="Y516" s="16"/>
      <c r="Z516" s="16"/>
      <c r="AA516" s="16"/>
      <c r="AB516" s="16"/>
      <c r="AC516" s="16"/>
      <c r="AD516" s="16"/>
    </row>
    <row r="517" ht="14.25" customHeight="1">
      <c r="A517" s="16"/>
      <c r="B517" s="16"/>
      <c r="C517" s="16"/>
      <c r="D517" s="16"/>
      <c r="E517" s="16"/>
      <c r="F517" s="16"/>
      <c r="G517" s="16"/>
      <c r="H517" s="16"/>
      <c r="I517" s="16"/>
      <c r="J517" s="16"/>
      <c r="K517" s="16"/>
      <c r="L517" s="16"/>
      <c r="M517" s="16"/>
      <c r="N517" s="16"/>
      <c r="O517" s="16"/>
      <c r="P517" s="17"/>
      <c r="Q517" s="16"/>
      <c r="R517" s="16"/>
      <c r="S517" s="16"/>
      <c r="T517" s="16"/>
      <c r="U517" s="16"/>
      <c r="V517" s="16"/>
      <c r="W517" s="16"/>
      <c r="X517" s="16"/>
      <c r="Y517" s="16"/>
      <c r="Z517" s="16"/>
      <c r="AA517" s="16"/>
      <c r="AB517" s="16"/>
      <c r="AC517" s="16"/>
      <c r="AD517" s="16"/>
    </row>
    <row r="518" ht="14.25" customHeight="1">
      <c r="A518" s="16"/>
      <c r="B518" s="16"/>
      <c r="C518" s="16"/>
      <c r="D518" s="16"/>
      <c r="E518" s="16"/>
      <c r="F518" s="16"/>
      <c r="G518" s="16"/>
      <c r="H518" s="16"/>
      <c r="I518" s="16"/>
      <c r="J518" s="16"/>
      <c r="K518" s="16"/>
      <c r="L518" s="16"/>
      <c r="M518" s="16"/>
      <c r="N518" s="16"/>
      <c r="O518" s="16"/>
      <c r="P518" s="17"/>
      <c r="Q518" s="16"/>
      <c r="R518" s="16"/>
      <c r="S518" s="16"/>
      <c r="T518" s="16"/>
      <c r="U518" s="16"/>
      <c r="V518" s="16"/>
      <c r="W518" s="16"/>
      <c r="X518" s="16"/>
      <c r="Y518" s="16"/>
      <c r="Z518" s="16"/>
      <c r="AA518" s="16"/>
      <c r="AB518" s="16"/>
      <c r="AC518" s="16"/>
      <c r="AD518" s="16"/>
    </row>
    <row r="519" ht="14.25" customHeight="1">
      <c r="A519" s="16"/>
      <c r="B519" s="16"/>
      <c r="C519" s="16"/>
      <c r="D519" s="16"/>
      <c r="E519" s="16"/>
      <c r="F519" s="16"/>
      <c r="G519" s="16"/>
      <c r="H519" s="16"/>
      <c r="I519" s="16"/>
      <c r="J519" s="16"/>
      <c r="K519" s="16"/>
      <c r="L519" s="16"/>
      <c r="M519" s="16"/>
      <c r="N519" s="16"/>
      <c r="O519" s="16"/>
      <c r="P519" s="17"/>
      <c r="Q519" s="16"/>
      <c r="R519" s="16"/>
      <c r="S519" s="16"/>
      <c r="T519" s="16"/>
      <c r="U519" s="16"/>
      <c r="V519" s="16"/>
      <c r="W519" s="16"/>
      <c r="X519" s="16"/>
      <c r="Y519" s="16"/>
      <c r="Z519" s="16"/>
      <c r="AA519" s="16"/>
      <c r="AB519" s="16"/>
      <c r="AC519" s="16"/>
      <c r="AD519" s="16"/>
    </row>
    <row r="520" ht="14.25" customHeight="1">
      <c r="A520" s="16"/>
      <c r="B520" s="16"/>
      <c r="C520" s="16"/>
      <c r="D520" s="16"/>
      <c r="E520" s="16"/>
      <c r="F520" s="16"/>
      <c r="G520" s="16"/>
      <c r="H520" s="16"/>
      <c r="I520" s="16"/>
      <c r="J520" s="16"/>
      <c r="K520" s="16"/>
      <c r="L520" s="16"/>
      <c r="M520" s="16"/>
      <c r="N520" s="16"/>
      <c r="O520" s="16"/>
      <c r="P520" s="17"/>
      <c r="Q520" s="16"/>
      <c r="R520" s="16"/>
      <c r="S520" s="16"/>
      <c r="T520" s="16"/>
      <c r="U520" s="16"/>
      <c r="V520" s="16"/>
      <c r="W520" s="16"/>
      <c r="X520" s="16"/>
      <c r="Y520" s="16"/>
      <c r="Z520" s="16"/>
      <c r="AA520" s="16"/>
      <c r="AB520" s="16"/>
      <c r="AC520" s="16"/>
      <c r="AD520" s="16"/>
    </row>
    <row r="521" ht="14.25" customHeight="1">
      <c r="A521" s="16"/>
      <c r="B521" s="16"/>
      <c r="C521" s="16"/>
      <c r="D521" s="16"/>
      <c r="E521" s="16"/>
      <c r="F521" s="16"/>
      <c r="G521" s="16"/>
      <c r="H521" s="16"/>
      <c r="I521" s="16"/>
      <c r="J521" s="16"/>
      <c r="K521" s="16"/>
      <c r="L521" s="16"/>
      <c r="M521" s="16"/>
      <c r="N521" s="16"/>
      <c r="O521" s="16"/>
      <c r="P521" s="17"/>
      <c r="Q521" s="16"/>
      <c r="R521" s="16"/>
      <c r="S521" s="16"/>
      <c r="T521" s="16"/>
      <c r="U521" s="16"/>
      <c r="V521" s="16"/>
      <c r="W521" s="16"/>
      <c r="X521" s="16"/>
      <c r="Y521" s="16"/>
      <c r="Z521" s="16"/>
      <c r="AA521" s="16"/>
      <c r="AB521" s="16"/>
      <c r="AC521" s="16"/>
      <c r="AD521" s="16"/>
    </row>
    <row r="522" ht="14.25" customHeight="1">
      <c r="A522" s="16"/>
      <c r="B522" s="16"/>
      <c r="C522" s="16"/>
      <c r="D522" s="16"/>
      <c r="E522" s="16"/>
      <c r="F522" s="16"/>
      <c r="G522" s="16"/>
      <c r="H522" s="16"/>
      <c r="I522" s="16"/>
      <c r="J522" s="16"/>
      <c r="K522" s="16"/>
      <c r="L522" s="16"/>
      <c r="M522" s="16"/>
      <c r="N522" s="16"/>
      <c r="O522" s="16"/>
      <c r="P522" s="17"/>
      <c r="Q522" s="16"/>
      <c r="R522" s="16"/>
      <c r="S522" s="16"/>
      <c r="T522" s="16"/>
      <c r="U522" s="16"/>
      <c r="V522" s="16"/>
      <c r="W522" s="16"/>
      <c r="X522" s="16"/>
      <c r="Y522" s="16"/>
      <c r="Z522" s="16"/>
      <c r="AA522" s="16"/>
      <c r="AB522" s="16"/>
      <c r="AC522" s="16"/>
      <c r="AD522" s="16"/>
    </row>
    <row r="523" ht="14.25" customHeight="1">
      <c r="A523" s="16"/>
      <c r="B523" s="16"/>
      <c r="C523" s="16"/>
      <c r="D523" s="16"/>
      <c r="E523" s="16"/>
      <c r="F523" s="16"/>
      <c r="G523" s="16"/>
      <c r="H523" s="16"/>
      <c r="I523" s="16"/>
      <c r="J523" s="16"/>
      <c r="K523" s="16"/>
      <c r="L523" s="16"/>
      <c r="M523" s="16"/>
      <c r="N523" s="16"/>
      <c r="O523" s="16"/>
      <c r="P523" s="17"/>
      <c r="Q523" s="16"/>
      <c r="R523" s="16"/>
      <c r="S523" s="16"/>
      <c r="T523" s="16"/>
      <c r="U523" s="16"/>
      <c r="V523" s="16"/>
      <c r="W523" s="16"/>
      <c r="X523" s="16"/>
      <c r="Y523" s="16"/>
      <c r="Z523" s="16"/>
      <c r="AA523" s="16"/>
      <c r="AB523" s="16"/>
      <c r="AC523" s="16"/>
      <c r="AD523" s="16"/>
    </row>
    <row r="524" ht="14.25" customHeight="1">
      <c r="A524" s="16"/>
      <c r="B524" s="16"/>
      <c r="C524" s="16"/>
      <c r="D524" s="16"/>
      <c r="E524" s="16"/>
      <c r="F524" s="16"/>
      <c r="G524" s="16"/>
      <c r="H524" s="16"/>
      <c r="I524" s="16"/>
      <c r="J524" s="16"/>
      <c r="K524" s="16"/>
      <c r="L524" s="16"/>
      <c r="M524" s="16"/>
      <c r="N524" s="16"/>
      <c r="O524" s="16"/>
      <c r="P524" s="17"/>
      <c r="Q524" s="16"/>
      <c r="R524" s="16"/>
      <c r="S524" s="16"/>
      <c r="T524" s="16"/>
      <c r="U524" s="16"/>
      <c r="V524" s="16"/>
      <c r="W524" s="16"/>
      <c r="X524" s="16"/>
      <c r="Y524" s="16"/>
      <c r="Z524" s="16"/>
      <c r="AA524" s="16"/>
      <c r="AB524" s="16"/>
      <c r="AC524" s="16"/>
      <c r="AD524" s="16"/>
    </row>
    <row r="525" ht="14.25" customHeight="1">
      <c r="A525" s="16"/>
      <c r="B525" s="16"/>
      <c r="C525" s="16"/>
      <c r="D525" s="16"/>
      <c r="E525" s="16"/>
      <c r="F525" s="16"/>
      <c r="G525" s="16"/>
      <c r="H525" s="16"/>
      <c r="I525" s="16"/>
      <c r="J525" s="16"/>
      <c r="K525" s="16"/>
      <c r="L525" s="16"/>
      <c r="M525" s="16"/>
      <c r="N525" s="16"/>
      <c r="O525" s="16"/>
      <c r="P525" s="17"/>
      <c r="Q525" s="16"/>
      <c r="R525" s="16"/>
      <c r="S525" s="16"/>
      <c r="T525" s="16"/>
      <c r="U525" s="16"/>
      <c r="V525" s="16"/>
      <c r="W525" s="16"/>
      <c r="X525" s="16"/>
      <c r="Y525" s="16"/>
      <c r="Z525" s="16"/>
      <c r="AA525" s="16"/>
      <c r="AB525" s="16"/>
      <c r="AC525" s="16"/>
      <c r="AD525" s="16"/>
    </row>
    <row r="526" ht="14.25" customHeight="1">
      <c r="A526" s="16"/>
      <c r="B526" s="16"/>
      <c r="C526" s="16"/>
      <c r="D526" s="16"/>
      <c r="E526" s="16"/>
      <c r="F526" s="16"/>
      <c r="G526" s="16"/>
      <c r="H526" s="16"/>
      <c r="I526" s="16"/>
      <c r="J526" s="16"/>
      <c r="K526" s="16"/>
      <c r="L526" s="16"/>
      <c r="M526" s="16"/>
      <c r="N526" s="16"/>
      <c r="O526" s="16"/>
      <c r="P526" s="17"/>
      <c r="Q526" s="16"/>
      <c r="R526" s="16"/>
      <c r="S526" s="16"/>
      <c r="T526" s="16"/>
      <c r="U526" s="16"/>
      <c r="V526" s="16"/>
      <c r="W526" s="16"/>
      <c r="X526" s="16"/>
      <c r="Y526" s="16"/>
      <c r="Z526" s="16"/>
      <c r="AA526" s="16"/>
      <c r="AB526" s="16"/>
      <c r="AC526" s="16"/>
      <c r="AD526" s="16"/>
    </row>
    <row r="527" ht="14.25" customHeight="1">
      <c r="A527" s="16"/>
      <c r="B527" s="16"/>
      <c r="C527" s="16"/>
      <c r="D527" s="16"/>
      <c r="E527" s="16"/>
      <c r="F527" s="16"/>
      <c r="G527" s="16"/>
      <c r="H527" s="16"/>
      <c r="I527" s="16"/>
      <c r="J527" s="16"/>
      <c r="K527" s="16"/>
      <c r="L527" s="16"/>
      <c r="M527" s="16"/>
      <c r="N527" s="16"/>
      <c r="O527" s="16"/>
      <c r="P527" s="17"/>
      <c r="Q527" s="16"/>
      <c r="R527" s="16"/>
      <c r="S527" s="16"/>
      <c r="T527" s="16"/>
      <c r="U527" s="16"/>
      <c r="V527" s="16"/>
      <c r="W527" s="16"/>
      <c r="X527" s="16"/>
      <c r="Y527" s="16"/>
      <c r="Z527" s="16"/>
      <c r="AA527" s="16"/>
      <c r="AB527" s="16"/>
      <c r="AC527" s="16"/>
      <c r="AD527" s="16"/>
    </row>
    <row r="528" ht="14.25" customHeight="1">
      <c r="A528" s="16"/>
      <c r="B528" s="16"/>
      <c r="C528" s="16"/>
      <c r="D528" s="16"/>
      <c r="E528" s="16"/>
      <c r="F528" s="16"/>
      <c r="G528" s="16"/>
      <c r="H528" s="16"/>
      <c r="I528" s="16"/>
      <c r="J528" s="16"/>
      <c r="K528" s="16"/>
      <c r="L528" s="16"/>
      <c r="M528" s="16"/>
      <c r="N528" s="16"/>
      <c r="O528" s="16"/>
      <c r="P528" s="17"/>
      <c r="Q528" s="16"/>
      <c r="R528" s="16"/>
      <c r="S528" s="16"/>
      <c r="T528" s="16"/>
      <c r="U528" s="16"/>
      <c r="V528" s="16"/>
      <c r="W528" s="16"/>
      <c r="X528" s="16"/>
      <c r="Y528" s="16"/>
      <c r="Z528" s="16"/>
      <c r="AA528" s="16"/>
      <c r="AB528" s="16"/>
      <c r="AC528" s="16"/>
      <c r="AD528" s="16"/>
    </row>
    <row r="529" ht="14.25" customHeight="1">
      <c r="A529" s="16"/>
      <c r="B529" s="16"/>
      <c r="C529" s="16"/>
      <c r="D529" s="16"/>
      <c r="E529" s="16"/>
      <c r="F529" s="16"/>
      <c r="G529" s="16"/>
      <c r="H529" s="16"/>
      <c r="I529" s="16"/>
      <c r="J529" s="16"/>
      <c r="K529" s="16"/>
      <c r="L529" s="16"/>
      <c r="M529" s="16"/>
      <c r="N529" s="16"/>
      <c r="O529" s="16"/>
      <c r="P529" s="17"/>
      <c r="Q529" s="16"/>
      <c r="R529" s="16"/>
      <c r="S529" s="16"/>
      <c r="T529" s="16"/>
      <c r="U529" s="16"/>
      <c r="V529" s="16"/>
      <c r="W529" s="16"/>
      <c r="X529" s="16"/>
      <c r="Y529" s="16"/>
      <c r="Z529" s="16"/>
      <c r="AA529" s="16"/>
      <c r="AB529" s="16"/>
      <c r="AC529" s="16"/>
      <c r="AD529" s="16"/>
    </row>
    <row r="530" ht="14.25" customHeight="1">
      <c r="A530" s="16"/>
      <c r="B530" s="16"/>
      <c r="C530" s="16"/>
      <c r="D530" s="16"/>
      <c r="E530" s="16"/>
      <c r="F530" s="16"/>
      <c r="G530" s="16"/>
      <c r="H530" s="16"/>
      <c r="I530" s="16"/>
      <c r="J530" s="16"/>
      <c r="K530" s="16"/>
      <c r="L530" s="16"/>
      <c r="M530" s="16"/>
      <c r="N530" s="16"/>
      <c r="O530" s="16"/>
      <c r="P530" s="17"/>
      <c r="Q530" s="16"/>
      <c r="R530" s="16"/>
      <c r="S530" s="16"/>
      <c r="T530" s="16"/>
      <c r="U530" s="16"/>
      <c r="V530" s="16"/>
      <c r="W530" s="16"/>
      <c r="X530" s="16"/>
      <c r="Y530" s="16"/>
      <c r="Z530" s="16"/>
      <c r="AA530" s="16"/>
      <c r="AB530" s="16"/>
      <c r="AC530" s="16"/>
      <c r="AD530" s="16"/>
    </row>
    <row r="531" ht="14.25" customHeight="1">
      <c r="A531" s="16"/>
      <c r="B531" s="16"/>
      <c r="C531" s="16"/>
      <c r="D531" s="16"/>
      <c r="E531" s="16"/>
      <c r="F531" s="16"/>
      <c r="G531" s="16"/>
      <c r="H531" s="16"/>
      <c r="I531" s="16"/>
      <c r="J531" s="16"/>
      <c r="K531" s="16"/>
      <c r="L531" s="16"/>
      <c r="M531" s="16"/>
      <c r="N531" s="16"/>
      <c r="O531" s="16"/>
      <c r="P531" s="17"/>
      <c r="Q531" s="16"/>
      <c r="R531" s="16"/>
      <c r="S531" s="16"/>
      <c r="T531" s="16"/>
      <c r="U531" s="16"/>
      <c r="V531" s="16"/>
      <c r="W531" s="16"/>
      <c r="X531" s="16"/>
      <c r="Y531" s="16"/>
      <c r="Z531" s="16"/>
      <c r="AA531" s="16"/>
      <c r="AB531" s="16"/>
      <c r="AC531" s="16"/>
      <c r="AD531" s="16"/>
    </row>
    <row r="532" ht="14.25" customHeight="1">
      <c r="A532" s="16"/>
      <c r="B532" s="16"/>
      <c r="C532" s="16"/>
      <c r="D532" s="16"/>
      <c r="E532" s="16"/>
      <c r="F532" s="16"/>
      <c r="G532" s="16"/>
      <c r="H532" s="16"/>
      <c r="I532" s="16"/>
      <c r="J532" s="16"/>
      <c r="K532" s="16"/>
      <c r="L532" s="16"/>
      <c r="M532" s="16"/>
      <c r="N532" s="16"/>
      <c r="O532" s="16"/>
      <c r="P532" s="17"/>
      <c r="Q532" s="16"/>
      <c r="R532" s="16"/>
      <c r="S532" s="16"/>
      <c r="T532" s="16"/>
      <c r="U532" s="16"/>
      <c r="V532" s="16"/>
      <c r="W532" s="16"/>
      <c r="X532" s="16"/>
      <c r="Y532" s="16"/>
      <c r="Z532" s="16"/>
      <c r="AA532" s="16"/>
      <c r="AB532" s="16"/>
      <c r="AC532" s="16"/>
      <c r="AD532" s="16"/>
    </row>
    <row r="533" ht="14.25" customHeight="1">
      <c r="A533" s="16"/>
      <c r="B533" s="16"/>
      <c r="C533" s="16"/>
      <c r="D533" s="16"/>
      <c r="E533" s="16"/>
      <c r="F533" s="16"/>
      <c r="G533" s="16"/>
      <c r="H533" s="16"/>
      <c r="I533" s="16"/>
      <c r="J533" s="16"/>
      <c r="K533" s="16"/>
      <c r="L533" s="16"/>
      <c r="M533" s="16"/>
      <c r="N533" s="16"/>
      <c r="O533" s="16"/>
      <c r="P533" s="17"/>
      <c r="Q533" s="16"/>
      <c r="R533" s="16"/>
      <c r="S533" s="16"/>
      <c r="T533" s="16"/>
      <c r="U533" s="16"/>
      <c r="V533" s="16"/>
      <c r="W533" s="16"/>
      <c r="X533" s="16"/>
      <c r="Y533" s="16"/>
      <c r="Z533" s="16"/>
      <c r="AA533" s="16"/>
      <c r="AB533" s="16"/>
      <c r="AC533" s="16"/>
      <c r="AD533" s="16"/>
    </row>
    <row r="534" ht="14.25" customHeight="1">
      <c r="A534" s="16"/>
      <c r="B534" s="16"/>
      <c r="C534" s="16"/>
      <c r="D534" s="16"/>
      <c r="E534" s="16"/>
      <c r="F534" s="16"/>
      <c r="G534" s="16"/>
      <c r="H534" s="16"/>
      <c r="I534" s="16"/>
      <c r="J534" s="16"/>
      <c r="K534" s="16"/>
      <c r="L534" s="16"/>
      <c r="M534" s="16"/>
      <c r="N534" s="16"/>
      <c r="O534" s="16"/>
      <c r="P534" s="17"/>
      <c r="Q534" s="16"/>
      <c r="R534" s="16"/>
      <c r="S534" s="16"/>
      <c r="T534" s="16"/>
      <c r="U534" s="16"/>
      <c r="V534" s="16"/>
      <c r="W534" s="16"/>
      <c r="X534" s="16"/>
      <c r="Y534" s="16"/>
      <c r="Z534" s="16"/>
      <c r="AA534" s="16"/>
      <c r="AB534" s="16"/>
      <c r="AC534" s="16"/>
      <c r="AD534" s="16"/>
    </row>
    <row r="535" ht="14.25" customHeight="1">
      <c r="A535" s="16"/>
      <c r="B535" s="16"/>
      <c r="C535" s="16"/>
      <c r="D535" s="16"/>
      <c r="E535" s="16"/>
      <c r="F535" s="16"/>
      <c r="G535" s="16"/>
      <c r="H535" s="16"/>
      <c r="I535" s="16"/>
      <c r="J535" s="16"/>
      <c r="K535" s="16"/>
      <c r="L535" s="16"/>
      <c r="M535" s="16"/>
      <c r="N535" s="16"/>
      <c r="O535" s="16"/>
      <c r="P535" s="17"/>
      <c r="Q535" s="16"/>
      <c r="R535" s="16"/>
      <c r="S535" s="16"/>
      <c r="T535" s="16"/>
      <c r="U535" s="16"/>
      <c r="V535" s="16"/>
      <c r="W535" s="16"/>
      <c r="X535" s="16"/>
      <c r="Y535" s="16"/>
      <c r="Z535" s="16"/>
      <c r="AA535" s="16"/>
      <c r="AB535" s="16"/>
      <c r="AC535" s="16"/>
      <c r="AD535" s="16"/>
    </row>
    <row r="536" ht="14.25" customHeight="1">
      <c r="A536" s="16"/>
      <c r="B536" s="16"/>
      <c r="C536" s="16"/>
      <c r="D536" s="16"/>
      <c r="E536" s="16"/>
      <c r="F536" s="16"/>
      <c r="G536" s="16"/>
      <c r="H536" s="16"/>
      <c r="I536" s="16"/>
      <c r="J536" s="16"/>
      <c r="K536" s="16"/>
      <c r="L536" s="16"/>
      <c r="M536" s="16"/>
      <c r="N536" s="16"/>
      <c r="O536" s="16"/>
      <c r="P536" s="17"/>
      <c r="Q536" s="16"/>
      <c r="R536" s="16"/>
      <c r="S536" s="16"/>
      <c r="T536" s="16"/>
      <c r="U536" s="16"/>
      <c r="V536" s="16"/>
      <c r="W536" s="16"/>
      <c r="X536" s="16"/>
      <c r="Y536" s="16"/>
      <c r="Z536" s="16"/>
      <c r="AA536" s="16"/>
      <c r="AB536" s="16"/>
      <c r="AC536" s="16"/>
      <c r="AD536" s="16"/>
    </row>
    <row r="537" ht="14.25" customHeight="1">
      <c r="A537" s="16"/>
      <c r="B537" s="16"/>
      <c r="C537" s="16"/>
      <c r="D537" s="16"/>
      <c r="E537" s="16"/>
      <c r="F537" s="16"/>
      <c r="G537" s="16"/>
      <c r="H537" s="16"/>
      <c r="I537" s="16"/>
      <c r="J537" s="16"/>
      <c r="K537" s="16"/>
      <c r="L537" s="16"/>
      <c r="M537" s="16"/>
      <c r="N537" s="16"/>
      <c r="O537" s="16"/>
      <c r="P537" s="17"/>
      <c r="Q537" s="16"/>
      <c r="R537" s="16"/>
      <c r="S537" s="16"/>
      <c r="T537" s="16"/>
      <c r="U537" s="16"/>
      <c r="V537" s="16"/>
      <c r="W537" s="16"/>
      <c r="X537" s="16"/>
      <c r="Y537" s="16"/>
      <c r="Z537" s="16"/>
      <c r="AA537" s="16"/>
      <c r="AB537" s="16"/>
      <c r="AC537" s="16"/>
      <c r="AD537" s="16"/>
    </row>
    <row r="538" ht="14.25" customHeight="1">
      <c r="A538" s="16"/>
      <c r="B538" s="16"/>
      <c r="C538" s="16"/>
      <c r="D538" s="16"/>
      <c r="E538" s="16"/>
      <c r="F538" s="16"/>
      <c r="G538" s="16"/>
      <c r="H538" s="16"/>
      <c r="I538" s="16"/>
      <c r="J538" s="16"/>
      <c r="K538" s="16"/>
      <c r="L538" s="16"/>
      <c r="M538" s="16"/>
      <c r="N538" s="16"/>
      <c r="O538" s="16"/>
      <c r="P538" s="17"/>
      <c r="Q538" s="16"/>
      <c r="R538" s="16"/>
      <c r="S538" s="16"/>
      <c r="T538" s="16"/>
      <c r="U538" s="16"/>
      <c r="V538" s="16"/>
      <c r="W538" s="16"/>
      <c r="X538" s="16"/>
      <c r="Y538" s="16"/>
      <c r="Z538" s="16"/>
      <c r="AA538" s="16"/>
      <c r="AB538" s="16"/>
      <c r="AC538" s="16"/>
      <c r="AD538" s="16"/>
    </row>
    <row r="539" ht="14.25" customHeight="1">
      <c r="A539" s="16"/>
      <c r="B539" s="16"/>
      <c r="C539" s="16"/>
      <c r="D539" s="16"/>
      <c r="E539" s="16"/>
      <c r="F539" s="16"/>
      <c r="G539" s="16"/>
      <c r="H539" s="16"/>
      <c r="I539" s="16"/>
      <c r="J539" s="16"/>
      <c r="K539" s="16"/>
      <c r="L539" s="16"/>
      <c r="M539" s="16"/>
      <c r="N539" s="16"/>
      <c r="O539" s="16"/>
      <c r="P539" s="17"/>
      <c r="Q539" s="16"/>
      <c r="R539" s="16"/>
      <c r="S539" s="16"/>
      <c r="T539" s="16"/>
      <c r="U539" s="16"/>
      <c r="V539" s="16"/>
      <c r="W539" s="16"/>
      <c r="X539" s="16"/>
      <c r="Y539" s="16"/>
      <c r="Z539" s="16"/>
      <c r="AA539" s="16"/>
      <c r="AB539" s="16"/>
      <c r="AC539" s="16"/>
      <c r="AD539" s="16"/>
    </row>
    <row r="540" ht="14.25" customHeight="1">
      <c r="A540" s="16"/>
      <c r="B540" s="16"/>
      <c r="C540" s="16"/>
      <c r="D540" s="16"/>
      <c r="E540" s="16"/>
      <c r="F540" s="16"/>
      <c r="G540" s="16"/>
      <c r="H540" s="16"/>
      <c r="I540" s="16"/>
      <c r="J540" s="16"/>
      <c r="K540" s="16"/>
      <c r="L540" s="16"/>
      <c r="M540" s="16"/>
      <c r="N540" s="16"/>
      <c r="O540" s="16"/>
      <c r="P540" s="17"/>
      <c r="Q540" s="16"/>
      <c r="R540" s="16"/>
      <c r="S540" s="16"/>
      <c r="T540" s="16"/>
      <c r="U540" s="16"/>
      <c r="V540" s="16"/>
      <c r="W540" s="16"/>
      <c r="X540" s="16"/>
      <c r="Y540" s="16"/>
      <c r="Z540" s="16"/>
      <c r="AA540" s="16"/>
      <c r="AB540" s="16"/>
      <c r="AC540" s="16"/>
      <c r="AD540" s="16"/>
    </row>
    <row r="541" ht="14.25" customHeight="1">
      <c r="A541" s="16"/>
      <c r="B541" s="16"/>
      <c r="C541" s="16"/>
      <c r="D541" s="16"/>
      <c r="E541" s="16"/>
      <c r="F541" s="16"/>
      <c r="G541" s="16"/>
      <c r="H541" s="16"/>
      <c r="I541" s="16"/>
      <c r="J541" s="16"/>
      <c r="K541" s="16"/>
      <c r="L541" s="16"/>
      <c r="M541" s="16"/>
      <c r="N541" s="16"/>
      <c r="O541" s="16"/>
      <c r="P541" s="17"/>
      <c r="Q541" s="16"/>
      <c r="R541" s="16"/>
      <c r="S541" s="16"/>
      <c r="T541" s="16"/>
      <c r="U541" s="16"/>
      <c r="V541" s="16"/>
      <c r="W541" s="16"/>
      <c r="X541" s="16"/>
      <c r="Y541" s="16"/>
      <c r="Z541" s="16"/>
      <c r="AA541" s="16"/>
      <c r="AB541" s="16"/>
      <c r="AC541" s="16"/>
      <c r="AD541" s="16"/>
    </row>
    <row r="542" ht="14.25" customHeight="1">
      <c r="A542" s="16"/>
      <c r="B542" s="16"/>
      <c r="C542" s="16"/>
      <c r="D542" s="16"/>
      <c r="E542" s="16"/>
      <c r="F542" s="16"/>
      <c r="G542" s="16"/>
      <c r="H542" s="16"/>
      <c r="I542" s="16"/>
      <c r="J542" s="16"/>
      <c r="K542" s="16"/>
      <c r="L542" s="16"/>
      <c r="M542" s="16"/>
      <c r="N542" s="16"/>
      <c r="O542" s="16"/>
      <c r="P542" s="17"/>
      <c r="Q542" s="16"/>
      <c r="R542" s="16"/>
      <c r="S542" s="16"/>
      <c r="T542" s="16"/>
      <c r="U542" s="16"/>
      <c r="V542" s="16"/>
      <c r="W542" s="16"/>
      <c r="X542" s="16"/>
      <c r="Y542" s="16"/>
      <c r="Z542" s="16"/>
      <c r="AA542" s="16"/>
      <c r="AB542" s="16"/>
      <c r="AC542" s="16"/>
      <c r="AD542" s="16"/>
    </row>
    <row r="543" ht="14.25" customHeight="1">
      <c r="A543" s="16"/>
      <c r="B543" s="16"/>
      <c r="C543" s="16"/>
      <c r="D543" s="16"/>
      <c r="E543" s="16"/>
      <c r="F543" s="16"/>
      <c r="G543" s="16"/>
      <c r="H543" s="16"/>
      <c r="I543" s="16"/>
      <c r="J543" s="16"/>
      <c r="K543" s="16"/>
      <c r="L543" s="16"/>
      <c r="M543" s="16"/>
      <c r="N543" s="16"/>
      <c r="O543" s="16"/>
      <c r="P543" s="17"/>
      <c r="Q543" s="16"/>
      <c r="R543" s="16"/>
      <c r="S543" s="16"/>
      <c r="T543" s="16"/>
      <c r="U543" s="16"/>
      <c r="V543" s="16"/>
      <c r="W543" s="16"/>
      <c r="X543" s="16"/>
      <c r="Y543" s="16"/>
      <c r="Z543" s="16"/>
      <c r="AA543" s="16"/>
      <c r="AB543" s="16"/>
      <c r="AC543" s="16"/>
      <c r="AD543" s="16"/>
    </row>
    <row r="544" ht="14.25" customHeight="1">
      <c r="A544" s="16"/>
      <c r="B544" s="16"/>
      <c r="C544" s="16"/>
      <c r="D544" s="16"/>
      <c r="E544" s="16"/>
      <c r="F544" s="16"/>
      <c r="G544" s="16"/>
      <c r="H544" s="16"/>
      <c r="I544" s="16"/>
      <c r="J544" s="16"/>
      <c r="K544" s="16"/>
      <c r="L544" s="16"/>
      <c r="M544" s="16"/>
      <c r="N544" s="16"/>
      <c r="O544" s="16"/>
      <c r="P544" s="17"/>
      <c r="Q544" s="16"/>
      <c r="R544" s="16"/>
      <c r="S544" s="16"/>
      <c r="T544" s="16"/>
      <c r="U544" s="16"/>
      <c r="V544" s="16"/>
      <c r="W544" s="16"/>
      <c r="X544" s="16"/>
      <c r="Y544" s="16"/>
      <c r="Z544" s="16"/>
      <c r="AA544" s="16"/>
      <c r="AB544" s="16"/>
      <c r="AC544" s="16"/>
      <c r="AD544" s="16"/>
    </row>
    <row r="545" ht="14.25" customHeight="1">
      <c r="A545" s="16"/>
      <c r="B545" s="16"/>
      <c r="C545" s="16"/>
      <c r="D545" s="16"/>
      <c r="E545" s="16"/>
      <c r="F545" s="16"/>
      <c r="G545" s="16"/>
      <c r="H545" s="16"/>
      <c r="I545" s="16"/>
      <c r="J545" s="16"/>
      <c r="K545" s="16"/>
      <c r="L545" s="16"/>
      <c r="M545" s="16"/>
      <c r="N545" s="16"/>
      <c r="O545" s="16"/>
      <c r="P545" s="17"/>
      <c r="Q545" s="16"/>
      <c r="R545" s="16"/>
      <c r="S545" s="16"/>
      <c r="T545" s="16"/>
      <c r="U545" s="16"/>
      <c r="V545" s="16"/>
      <c r="W545" s="16"/>
      <c r="X545" s="16"/>
      <c r="Y545" s="16"/>
      <c r="Z545" s="16"/>
      <c r="AA545" s="16"/>
      <c r="AB545" s="16"/>
      <c r="AC545" s="16"/>
      <c r="AD545" s="16"/>
    </row>
    <row r="546" ht="14.25" customHeight="1">
      <c r="A546" s="16"/>
      <c r="B546" s="16"/>
      <c r="C546" s="16"/>
      <c r="D546" s="16"/>
      <c r="E546" s="16"/>
      <c r="F546" s="16"/>
      <c r="G546" s="16"/>
      <c r="H546" s="16"/>
      <c r="I546" s="16"/>
      <c r="J546" s="16"/>
      <c r="K546" s="16"/>
      <c r="L546" s="16"/>
      <c r="M546" s="16"/>
      <c r="N546" s="16"/>
      <c r="O546" s="16"/>
      <c r="P546" s="17"/>
      <c r="Q546" s="16"/>
      <c r="R546" s="16"/>
      <c r="S546" s="16"/>
      <c r="T546" s="16"/>
      <c r="U546" s="16"/>
      <c r="V546" s="16"/>
      <c r="W546" s="16"/>
      <c r="X546" s="16"/>
      <c r="Y546" s="16"/>
      <c r="Z546" s="16"/>
      <c r="AA546" s="16"/>
      <c r="AB546" s="16"/>
      <c r="AC546" s="16"/>
      <c r="AD546" s="16"/>
    </row>
    <row r="547" ht="14.25" customHeight="1">
      <c r="A547" s="16"/>
      <c r="B547" s="16"/>
      <c r="C547" s="16"/>
      <c r="D547" s="16"/>
      <c r="E547" s="16"/>
      <c r="F547" s="16"/>
      <c r="G547" s="16"/>
      <c r="H547" s="16"/>
      <c r="I547" s="16"/>
      <c r="J547" s="16"/>
      <c r="K547" s="16"/>
      <c r="L547" s="16"/>
      <c r="M547" s="16"/>
      <c r="N547" s="16"/>
      <c r="O547" s="16"/>
      <c r="P547" s="17"/>
      <c r="Q547" s="16"/>
      <c r="R547" s="16"/>
      <c r="S547" s="16"/>
      <c r="T547" s="16"/>
      <c r="U547" s="16"/>
      <c r="V547" s="16"/>
      <c r="W547" s="16"/>
      <c r="X547" s="16"/>
      <c r="Y547" s="16"/>
      <c r="Z547" s="16"/>
      <c r="AA547" s="16"/>
      <c r="AB547" s="16"/>
      <c r="AC547" s="16"/>
      <c r="AD547" s="16"/>
    </row>
    <row r="548" ht="14.25" customHeight="1">
      <c r="A548" s="16"/>
      <c r="B548" s="16"/>
      <c r="C548" s="16"/>
      <c r="D548" s="16"/>
      <c r="E548" s="16"/>
      <c r="F548" s="16"/>
      <c r="G548" s="16"/>
      <c r="H548" s="16"/>
      <c r="I548" s="16"/>
      <c r="J548" s="16"/>
      <c r="K548" s="16"/>
      <c r="L548" s="16"/>
      <c r="M548" s="16"/>
      <c r="N548" s="16"/>
      <c r="O548" s="16"/>
      <c r="P548" s="17"/>
      <c r="Q548" s="16"/>
      <c r="R548" s="16"/>
      <c r="S548" s="16"/>
      <c r="T548" s="16"/>
      <c r="U548" s="16"/>
      <c r="V548" s="16"/>
      <c r="W548" s="16"/>
      <c r="X548" s="16"/>
      <c r="Y548" s="16"/>
      <c r="Z548" s="16"/>
      <c r="AA548" s="16"/>
      <c r="AB548" s="16"/>
      <c r="AC548" s="16"/>
      <c r="AD548" s="16"/>
    </row>
    <row r="549" ht="14.25" customHeight="1">
      <c r="A549" s="16"/>
      <c r="B549" s="16"/>
      <c r="C549" s="16"/>
      <c r="D549" s="16"/>
      <c r="E549" s="16"/>
      <c r="F549" s="16"/>
      <c r="G549" s="16"/>
      <c r="H549" s="16"/>
      <c r="I549" s="16"/>
      <c r="J549" s="16"/>
      <c r="K549" s="16"/>
      <c r="L549" s="16"/>
      <c r="M549" s="16"/>
      <c r="N549" s="16"/>
      <c r="O549" s="16"/>
      <c r="P549" s="17"/>
      <c r="Q549" s="16"/>
      <c r="R549" s="16"/>
      <c r="S549" s="16"/>
      <c r="T549" s="16"/>
      <c r="U549" s="16"/>
      <c r="V549" s="16"/>
      <c r="W549" s="16"/>
      <c r="X549" s="16"/>
      <c r="Y549" s="16"/>
      <c r="Z549" s="16"/>
      <c r="AA549" s="16"/>
      <c r="AB549" s="16"/>
      <c r="AC549" s="16"/>
      <c r="AD549" s="16"/>
    </row>
    <row r="550" ht="14.25" customHeight="1">
      <c r="A550" s="16"/>
      <c r="B550" s="16"/>
      <c r="C550" s="16"/>
      <c r="D550" s="16"/>
      <c r="E550" s="16"/>
      <c r="F550" s="16"/>
      <c r="G550" s="16"/>
      <c r="H550" s="16"/>
      <c r="I550" s="16"/>
      <c r="J550" s="16"/>
      <c r="K550" s="16"/>
      <c r="L550" s="16"/>
      <c r="M550" s="16"/>
      <c r="N550" s="16"/>
      <c r="O550" s="16"/>
      <c r="P550" s="17"/>
      <c r="Q550" s="16"/>
      <c r="R550" s="16"/>
      <c r="S550" s="16"/>
      <c r="T550" s="16"/>
      <c r="U550" s="16"/>
      <c r="V550" s="16"/>
      <c r="W550" s="16"/>
      <c r="X550" s="16"/>
      <c r="Y550" s="16"/>
      <c r="Z550" s="16"/>
      <c r="AA550" s="16"/>
      <c r="AB550" s="16"/>
      <c r="AC550" s="16"/>
      <c r="AD550" s="16"/>
    </row>
    <row r="551" ht="14.25" customHeight="1">
      <c r="A551" s="16"/>
      <c r="B551" s="16"/>
      <c r="C551" s="16"/>
      <c r="D551" s="16"/>
      <c r="E551" s="16"/>
      <c r="F551" s="16"/>
      <c r="G551" s="16"/>
      <c r="H551" s="16"/>
      <c r="I551" s="16"/>
      <c r="J551" s="16"/>
      <c r="K551" s="16"/>
      <c r="L551" s="16"/>
      <c r="M551" s="16"/>
      <c r="N551" s="16"/>
      <c r="O551" s="16"/>
      <c r="P551" s="17"/>
      <c r="Q551" s="16"/>
      <c r="R551" s="16"/>
      <c r="S551" s="16"/>
      <c r="T551" s="16"/>
      <c r="U551" s="16"/>
      <c r="V551" s="16"/>
      <c r="W551" s="16"/>
      <c r="X551" s="16"/>
      <c r="Y551" s="16"/>
      <c r="Z551" s="16"/>
      <c r="AA551" s="16"/>
      <c r="AB551" s="16"/>
      <c r="AC551" s="16"/>
      <c r="AD551" s="16"/>
    </row>
    <row r="552" ht="14.25" customHeight="1">
      <c r="A552" s="16"/>
      <c r="B552" s="16"/>
      <c r="C552" s="16"/>
      <c r="D552" s="16"/>
      <c r="E552" s="16"/>
      <c r="F552" s="16"/>
      <c r="G552" s="16"/>
      <c r="H552" s="16"/>
      <c r="I552" s="16"/>
      <c r="J552" s="16"/>
      <c r="K552" s="16"/>
      <c r="L552" s="16"/>
      <c r="M552" s="16"/>
      <c r="N552" s="16"/>
      <c r="O552" s="16"/>
      <c r="P552" s="17"/>
      <c r="Q552" s="16"/>
      <c r="R552" s="16"/>
      <c r="S552" s="16"/>
      <c r="T552" s="16"/>
      <c r="U552" s="16"/>
      <c r="V552" s="16"/>
      <c r="W552" s="16"/>
      <c r="X552" s="16"/>
      <c r="Y552" s="16"/>
      <c r="Z552" s="16"/>
      <c r="AA552" s="16"/>
      <c r="AB552" s="16"/>
      <c r="AC552" s="16"/>
      <c r="AD552" s="16"/>
    </row>
    <row r="553" ht="14.25" customHeight="1">
      <c r="A553" s="16"/>
      <c r="B553" s="16"/>
      <c r="C553" s="16"/>
      <c r="D553" s="16"/>
      <c r="E553" s="16"/>
      <c r="F553" s="16"/>
      <c r="G553" s="16"/>
      <c r="H553" s="16"/>
      <c r="I553" s="16"/>
      <c r="J553" s="16"/>
      <c r="K553" s="16"/>
      <c r="L553" s="16"/>
      <c r="M553" s="16"/>
      <c r="N553" s="16"/>
      <c r="O553" s="16"/>
      <c r="P553" s="17"/>
      <c r="Q553" s="16"/>
      <c r="R553" s="16"/>
      <c r="S553" s="16"/>
      <c r="T553" s="16"/>
      <c r="U553" s="16"/>
      <c r="V553" s="16"/>
      <c r="W553" s="16"/>
      <c r="X553" s="16"/>
      <c r="Y553" s="16"/>
      <c r="Z553" s="16"/>
      <c r="AA553" s="16"/>
      <c r="AB553" s="16"/>
      <c r="AC553" s="16"/>
      <c r="AD553" s="16"/>
    </row>
    <row r="554" ht="14.25" customHeight="1">
      <c r="A554" s="16"/>
      <c r="B554" s="16"/>
      <c r="C554" s="16"/>
      <c r="D554" s="16"/>
      <c r="E554" s="16"/>
      <c r="F554" s="16"/>
      <c r="G554" s="16"/>
      <c r="H554" s="16"/>
      <c r="I554" s="16"/>
      <c r="J554" s="16"/>
      <c r="K554" s="16"/>
      <c r="L554" s="16"/>
      <c r="M554" s="16"/>
      <c r="N554" s="16"/>
      <c r="O554" s="16"/>
      <c r="P554" s="17"/>
      <c r="Q554" s="16"/>
      <c r="R554" s="16"/>
      <c r="S554" s="16"/>
      <c r="T554" s="16"/>
      <c r="U554" s="16"/>
      <c r="V554" s="16"/>
      <c r="W554" s="16"/>
      <c r="X554" s="16"/>
      <c r="Y554" s="16"/>
      <c r="Z554" s="16"/>
      <c r="AA554" s="16"/>
      <c r="AB554" s="16"/>
      <c r="AC554" s="16"/>
      <c r="AD554" s="16"/>
    </row>
    <row r="555" ht="14.25" customHeight="1">
      <c r="A555" s="16"/>
      <c r="B555" s="16"/>
      <c r="C555" s="16"/>
      <c r="D555" s="16"/>
      <c r="E555" s="16"/>
      <c r="F555" s="16"/>
      <c r="G555" s="16"/>
      <c r="H555" s="16"/>
      <c r="I555" s="16"/>
      <c r="J555" s="16"/>
      <c r="K555" s="16"/>
      <c r="L555" s="16"/>
      <c r="M555" s="16"/>
      <c r="N555" s="16"/>
      <c r="O555" s="16"/>
      <c r="P555" s="17"/>
      <c r="Q555" s="16"/>
      <c r="R555" s="16"/>
      <c r="S555" s="16"/>
      <c r="T555" s="16"/>
      <c r="U555" s="16"/>
      <c r="V555" s="16"/>
      <c r="W555" s="16"/>
      <c r="X555" s="16"/>
      <c r="Y555" s="16"/>
      <c r="Z555" s="16"/>
      <c r="AA555" s="16"/>
      <c r="AB555" s="16"/>
      <c r="AC555" s="16"/>
      <c r="AD555" s="16"/>
    </row>
    <row r="556" ht="14.25" customHeight="1">
      <c r="A556" s="16"/>
      <c r="B556" s="16"/>
      <c r="C556" s="16"/>
      <c r="D556" s="16"/>
      <c r="E556" s="16"/>
      <c r="F556" s="16"/>
      <c r="G556" s="16"/>
      <c r="H556" s="16"/>
      <c r="I556" s="16"/>
      <c r="J556" s="16"/>
      <c r="K556" s="16"/>
      <c r="L556" s="16"/>
      <c r="M556" s="16"/>
      <c r="N556" s="16"/>
      <c r="O556" s="16"/>
      <c r="P556" s="17"/>
      <c r="Q556" s="16"/>
      <c r="R556" s="16"/>
      <c r="S556" s="16"/>
      <c r="T556" s="16"/>
      <c r="U556" s="16"/>
      <c r="V556" s="16"/>
      <c r="W556" s="16"/>
      <c r="X556" s="16"/>
      <c r="Y556" s="16"/>
      <c r="Z556" s="16"/>
      <c r="AA556" s="16"/>
      <c r="AB556" s="16"/>
      <c r="AC556" s="16"/>
      <c r="AD556" s="16"/>
    </row>
    <row r="557" ht="14.25" customHeight="1">
      <c r="A557" s="16"/>
      <c r="B557" s="16"/>
      <c r="C557" s="16"/>
      <c r="D557" s="16"/>
      <c r="E557" s="16"/>
      <c r="F557" s="16"/>
      <c r="G557" s="16"/>
      <c r="H557" s="16"/>
      <c r="I557" s="16"/>
      <c r="J557" s="16"/>
      <c r="K557" s="16"/>
      <c r="L557" s="16"/>
      <c r="M557" s="16"/>
      <c r="N557" s="16"/>
      <c r="O557" s="16"/>
      <c r="P557" s="17"/>
      <c r="Q557" s="16"/>
      <c r="R557" s="16"/>
      <c r="S557" s="16"/>
      <c r="T557" s="16"/>
      <c r="U557" s="16"/>
      <c r="V557" s="16"/>
      <c r="W557" s="16"/>
      <c r="X557" s="16"/>
      <c r="Y557" s="16"/>
      <c r="Z557" s="16"/>
      <c r="AA557" s="16"/>
      <c r="AB557" s="16"/>
      <c r="AC557" s="16"/>
      <c r="AD557" s="16"/>
    </row>
    <row r="558" ht="14.25" customHeight="1">
      <c r="A558" s="16"/>
      <c r="B558" s="16"/>
      <c r="C558" s="16"/>
      <c r="D558" s="16"/>
      <c r="E558" s="16"/>
      <c r="F558" s="16"/>
      <c r="G558" s="16"/>
      <c r="H558" s="16"/>
      <c r="I558" s="16"/>
      <c r="J558" s="16"/>
      <c r="K558" s="16"/>
      <c r="L558" s="16"/>
      <c r="M558" s="16"/>
      <c r="N558" s="16"/>
      <c r="O558" s="16"/>
      <c r="P558" s="17"/>
      <c r="Q558" s="16"/>
      <c r="R558" s="16"/>
      <c r="S558" s="16"/>
      <c r="T558" s="16"/>
      <c r="U558" s="16"/>
      <c r="V558" s="16"/>
      <c r="W558" s="16"/>
      <c r="X558" s="16"/>
      <c r="Y558" s="16"/>
      <c r="Z558" s="16"/>
      <c r="AA558" s="16"/>
      <c r="AB558" s="16"/>
      <c r="AC558" s="16"/>
      <c r="AD558" s="16"/>
    </row>
    <row r="559" ht="14.25" customHeight="1">
      <c r="A559" s="16"/>
      <c r="B559" s="16"/>
      <c r="C559" s="16"/>
      <c r="D559" s="16"/>
      <c r="E559" s="16"/>
      <c r="F559" s="16"/>
      <c r="G559" s="16"/>
      <c r="H559" s="16"/>
      <c r="I559" s="16"/>
      <c r="J559" s="16"/>
      <c r="K559" s="16"/>
      <c r="L559" s="16"/>
      <c r="M559" s="16"/>
      <c r="N559" s="16"/>
      <c r="O559" s="16"/>
      <c r="P559" s="17"/>
      <c r="Q559" s="16"/>
      <c r="R559" s="16"/>
      <c r="S559" s="16"/>
      <c r="T559" s="16"/>
      <c r="U559" s="16"/>
      <c r="V559" s="16"/>
      <c r="W559" s="16"/>
      <c r="X559" s="16"/>
      <c r="Y559" s="16"/>
      <c r="Z559" s="16"/>
      <c r="AA559" s="16"/>
      <c r="AB559" s="16"/>
      <c r="AC559" s="16"/>
      <c r="AD559" s="16"/>
    </row>
    <row r="560" ht="14.25" customHeight="1">
      <c r="A560" s="16"/>
      <c r="B560" s="16"/>
      <c r="C560" s="16"/>
      <c r="D560" s="16"/>
      <c r="E560" s="16"/>
      <c r="F560" s="16"/>
      <c r="G560" s="16"/>
      <c r="H560" s="16"/>
      <c r="I560" s="16"/>
      <c r="J560" s="16"/>
      <c r="K560" s="16"/>
      <c r="L560" s="16"/>
      <c r="M560" s="16"/>
      <c r="N560" s="16"/>
      <c r="O560" s="16"/>
      <c r="P560" s="17"/>
      <c r="Q560" s="16"/>
      <c r="R560" s="16"/>
      <c r="S560" s="16"/>
      <c r="T560" s="16"/>
      <c r="U560" s="16"/>
      <c r="V560" s="16"/>
      <c r="W560" s="16"/>
      <c r="X560" s="16"/>
      <c r="Y560" s="16"/>
      <c r="Z560" s="16"/>
      <c r="AA560" s="16"/>
      <c r="AB560" s="16"/>
      <c r="AC560" s="16"/>
      <c r="AD560" s="16"/>
    </row>
    <row r="561" ht="14.25" customHeight="1">
      <c r="A561" s="16"/>
      <c r="B561" s="16"/>
      <c r="C561" s="16"/>
      <c r="D561" s="16"/>
      <c r="E561" s="16"/>
      <c r="F561" s="16"/>
      <c r="G561" s="16"/>
      <c r="H561" s="16"/>
      <c r="I561" s="16"/>
      <c r="J561" s="16"/>
      <c r="K561" s="16"/>
      <c r="L561" s="16"/>
      <c r="M561" s="16"/>
      <c r="N561" s="16"/>
      <c r="O561" s="16"/>
      <c r="P561" s="17"/>
      <c r="Q561" s="16"/>
      <c r="R561" s="16"/>
      <c r="S561" s="16"/>
      <c r="T561" s="16"/>
      <c r="U561" s="16"/>
      <c r="V561" s="16"/>
      <c r="W561" s="16"/>
      <c r="X561" s="16"/>
      <c r="Y561" s="16"/>
      <c r="Z561" s="16"/>
      <c r="AA561" s="16"/>
      <c r="AB561" s="16"/>
      <c r="AC561" s="16"/>
      <c r="AD561" s="16"/>
    </row>
    <row r="562" ht="14.25" customHeight="1">
      <c r="A562" s="16"/>
      <c r="B562" s="16"/>
      <c r="C562" s="16"/>
      <c r="D562" s="16"/>
      <c r="E562" s="16"/>
      <c r="F562" s="16"/>
      <c r="G562" s="16"/>
      <c r="H562" s="16"/>
      <c r="I562" s="16"/>
      <c r="J562" s="16"/>
      <c r="K562" s="16"/>
      <c r="L562" s="16"/>
      <c r="M562" s="16"/>
      <c r="N562" s="16"/>
      <c r="O562" s="16"/>
      <c r="P562" s="17"/>
      <c r="Q562" s="16"/>
      <c r="R562" s="16"/>
      <c r="S562" s="16"/>
      <c r="T562" s="16"/>
      <c r="U562" s="16"/>
      <c r="V562" s="16"/>
      <c r="W562" s="16"/>
      <c r="X562" s="16"/>
      <c r="Y562" s="16"/>
      <c r="Z562" s="16"/>
      <c r="AA562" s="16"/>
      <c r="AB562" s="16"/>
      <c r="AC562" s="16"/>
      <c r="AD562" s="16"/>
    </row>
    <row r="563" ht="14.25" customHeight="1">
      <c r="A563" s="16"/>
      <c r="B563" s="16"/>
      <c r="C563" s="16"/>
      <c r="D563" s="16"/>
      <c r="E563" s="16"/>
      <c r="F563" s="16"/>
      <c r="G563" s="16"/>
      <c r="H563" s="16"/>
      <c r="I563" s="16"/>
      <c r="J563" s="16"/>
      <c r="K563" s="16"/>
      <c r="L563" s="16"/>
      <c r="M563" s="16"/>
      <c r="N563" s="16"/>
      <c r="O563" s="16"/>
      <c r="P563" s="17"/>
      <c r="Q563" s="16"/>
      <c r="R563" s="16"/>
      <c r="S563" s="16"/>
      <c r="T563" s="16"/>
      <c r="U563" s="16"/>
      <c r="V563" s="16"/>
      <c r="W563" s="16"/>
      <c r="X563" s="16"/>
      <c r="Y563" s="16"/>
      <c r="Z563" s="16"/>
      <c r="AA563" s="16"/>
      <c r="AB563" s="16"/>
      <c r="AC563" s="16"/>
      <c r="AD563" s="16"/>
    </row>
    <row r="564" ht="14.25" customHeight="1">
      <c r="A564" s="16"/>
      <c r="B564" s="16"/>
      <c r="C564" s="16"/>
      <c r="D564" s="16"/>
      <c r="E564" s="16"/>
      <c r="F564" s="16"/>
      <c r="G564" s="16"/>
      <c r="H564" s="16"/>
      <c r="I564" s="16"/>
      <c r="J564" s="16"/>
      <c r="K564" s="16"/>
      <c r="L564" s="16"/>
      <c r="M564" s="16"/>
      <c r="N564" s="16"/>
      <c r="O564" s="16"/>
      <c r="P564" s="17"/>
      <c r="Q564" s="16"/>
      <c r="R564" s="16"/>
      <c r="S564" s="16"/>
      <c r="T564" s="16"/>
      <c r="U564" s="16"/>
      <c r="V564" s="16"/>
      <c r="W564" s="16"/>
      <c r="X564" s="16"/>
      <c r="Y564" s="16"/>
      <c r="Z564" s="16"/>
      <c r="AA564" s="16"/>
      <c r="AB564" s="16"/>
      <c r="AC564" s="16"/>
      <c r="AD564" s="16"/>
    </row>
    <row r="565" ht="14.25" customHeight="1">
      <c r="A565" s="16"/>
      <c r="B565" s="16"/>
      <c r="C565" s="16"/>
      <c r="D565" s="16"/>
      <c r="E565" s="16"/>
      <c r="F565" s="16"/>
      <c r="G565" s="16"/>
      <c r="H565" s="16"/>
      <c r="I565" s="16"/>
      <c r="J565" s="16"/>
      <c r="K565" s="16"/>
      <c r="L565" s="16"/>
      <c r="M565" s="16"/>
      <c r="N565" s="16"/>
      <c r="O565" s="16"/>
      <c r="P565" s="17"/>
      <c r="Q565" s="16"/>
      <c r="R565" s="16"/>
      <c r="S565" s="16"/>
      <c r="T565" s="16"/>
      <c r="U565" s="16"/>
      <c r="V565" s="16"/>
      <c r="W565" s="16"/>
      <c r="X565" s="16"/>
      <c r="Y565" s="16"/>
      <c r="Z565" s="16"/>
      <c r="AA565" s="16"/>
      <c r="AB565" s="16"/>
      <c r="AC565" s="16"/>
      <c r="AD565" s="16"/>
    </row>
    <row r="566" ht="14.25" customHeight="1">
      <c r="A566" s="16"/>
      <c r="B566" s="16"/>
      <c r="C566" s="16"/>
      <c r="D566" s="16"/>
      <c r="E566" s="16"/>
      <c r="F566" s="16"/>
      <c r="G566" s="16"/>
      <c r="H566" s="16"/>
      <c r="I566" s="16"/>
      <c r="J566" s="16"/>
      <c r="K566" s="16"/>
      <c r="L566" s="16"/>
      <c r="M566" s="16"/>
      <c r="N566" s="16"/>
      <c r="O566" s="16"/>
      <c r="P566" s="17"/>
      <c r="Q566" s="16"/>
      <c r="R566" s="16"/>
      <c r="S566" s="16"/>
      <c r="T566" s="16"/>
      <c r="U566" s="16"/>
      <c r="V566" s="16"/>
      <c r="W566" s="16"/>
      <c r="X566" s="16"/>
      <c r="Y566" s="16"/>
      <c r="Z566" s="16"/>
      <c r="AA566" s="16"/>
      <c r="AB566" s="16"/>
      <c r="AC566" s="16"/>
      <c r="AD566" s="16"/>
    </row>
    <row r="567" ht="14.25" customHeight="1">
      <c r="A567" s="16"/>
      <c r="B567" s="16"/>
      <c r="C567" s="16"/>
      <c r="D567" s="16"/>
      <c r="E567" s="16"/>
      <c r="F567" s="16"/>
      <c r="G567" s="16"/>
      <c r="H567" s="16"/>
      <c r="I567" s="16"/>
      <c r="J567" s="16"/>
      <c r="K567" s="16"/>
      <c r="L567" s="16"/>
      <c r="M567" s="16"/>
      <c r="N567" s="16"/>
      <c r="O567" s="16"/>
      <c r="P567" s="17"/>
      <c r="Q567" s="16"/>
      <c r="R567" s="16"/>
      <c r="S567" s="16"/>
      <c r="T567" s="16"/>
      <c r="U567" s="16"/>
      <c r="V567" s="16"/>
      <c r="W567" s="16"/>
      <c r="X567" s="16"/>
      <c r="Y567" s="16"/>
      <c r="Z567" s="16"/>
      <c r="AA567" s="16"/>
      <c r="AB567" s="16"/>
      <c r="AC567" s="16"/>
      <c r="AD567" s="16"/>
    </row>
    <row r="568" ht="14.25" customHeight="1">
      <c r="A568" s="16"/>
      <c r="B568" s="16"/>
      <c r="C568" s="16"/>
      <c r="D568" s="16"/>
      <c r="E568" s="16"/>
      <c r="F568" s="16"/>
      <c r="G568" s="16"/>
      <c r="H568" s="16"/>
      <c r="I568" s="16"/>
      <c r="J568" s="16"/>
      <c r="K568" s="16"/>
      <c r="L568" s="16"/>
      <c r="M568" s="16"/>
      <c r="N568" s="16"/>
      <c r="O568" s="16"/>
      <c r="P568" s="17"/>
      <c r="Q568" s="16"/>
      <c r="R568" s="16"/>
      <c r="S568" s="16"/>
      <c r="T568" s="16"/>
      <c r="U568" s="16"/>
      <c r="V568" s="16"/>
      <c r="W568" s="16"/>
      <c r="X568" s="16"/>
      <c r="Y568" s="16"/>
      <c r="Z568" s="16"/>
      <c r="AA568" s="16"/>
      <c r="AB568" s="16"/>
      <c r="AC568" s="16"/>
      <c r="AD568" s="16"/>
    </row>
    <row r="569" ht="14.25" customHeight="1">
      <c r="A569" s="16"/>
      <c r="B569" s="16"/>
      <c r="C569" s="16"/>
      <c r="D569" s="16"/>
      <c r="E569" s="16"/>
      <c r="F569" s="16"/>
      <c r="G569" s="16"/>
      <c r="H569" s="16"/>
      <c r="I569" s="16"/>
      <c r="J569" s="16"/>
      <c r="K569" s="16"/>
      <c r="L569" s="16"/>
      <c r="M569" s="16"/>
      <c r="N569" s="16"/>
      <c r="O569" s="16"/>
      <c r="P569" s="17"/>
      <c r="Q569" s="16"/>
      <c r="R569" s="16"/>
      <c r="S569" s="16"/>
      <c r="T569" s="16"/>
      <c r="U569" s="16"/>
      <c r="V569" s="16"/>
      <c r="W569" s="16"/>
      <c r="X569" s="16"/>
      <c r="Y569" s="16"/>
      <c r="Z569" s="16"/>
      <c r="AA569" s="16"/>
      <c r="AB569" s="16"/>
      <c r="AC569" s="16"/>
      <c r="AD569" s="16"/>
    </row>
    <row r="570" ht="14.25" customHeight="1">
      <c r="A570" s="16"/>
      <c r="B570" s="16"/>
      <c r="C570" s="16"/>
      <c r="D570" s="16"/>
      <c r="E570" s="16"/>
      <c r="F570" s="16"/>
      <c r="G570" s="16"/>
      <c r="H570" s="16"/>
      <c r="I570" s="16"/>
      <c r="J570" s="16"/>
      <c r="K570" s="16"/>
      <c r="L570" s="16"/>
      <c r="M570" s="16"/>
      <c r="N570" s="16"/>
      <c r="O570" s="16"/>
      <c r="P570" s="17"/>
      <c r="Q570" s="16"/>
      <c r="R570" s="16"/>
      <c r="S570" s="16"/>
      <c r="T570" s="16"/>
      <c r="U570" s="16"/>
      <c r="V570" s="16"/>
      <c r="W570" s="16"/>
      <c r="X570" s="16"/>
      <c r="Y570" s="16"/>
      <c r="Z570" s="16"/>
      <c r="AA570" s="16"/>
      <c r="AB570" s="16"/>
      <c r="AC570" s="16"/>
      <c r="AD570" s="16"/>
    </row>
    <row r="571" ht="14.25" customHeight="1">
      <c r="A571" s="16"/>
      <c r="B571" s="16"/>
      <c r="C571" s="16"/>
      <c r="D571" s="16"/>
      <c r="E571" s="16"/>
      <c r="F571" s="16"/>
      <c r="G571" s="16"/>
      <c r="H571" s="16"/>
      <c r="I571" s="16"/>
      <c r="J571" s="16"/>
      <c r="K571" s="16"/>
      <c r="L571" s="16"/>
      <c r="M571" s="16"/>
      <c r="N571" s="16"/>
      <c r="O571" s="16"/>
      <c r="P571" s="17"/>
      <c r="Q571" s="16"/>
      <c r="R571" s="16"/>
      <c r="S571" s="16"/>
      <c r="T571" s="16"/>
      <c r="U571" s="16"/>
      <c r="V571" s="16"/>
      <c r="W571" s="16"/>
      <c r="X571" s="16"/>
      <c r="Y571" s="16"/>
      <c r="Z571" s="16"/>
      <c r="AA571" s="16"/>
      <c r="AB571" s="16"/>
      <c r="AC571" s="16"/>
      <c r="AD571" s="16"/>
    </row>
    <row r="572" ht="14.25" customHeight="1">
      <c r="A572" s="16"/>
      <c r="B572" s="16"/>
      <c r="C572" s="16"/>
      <c r="D572" s="16"/>
      <c r="E572" s="16"/>
      <c r="F572" s="16"/>
      <c r="G572" s="16"/>
      <c r="H572" s="16"/>
      <c r="I572" s="16"/>
      <c r="J572" s="16"/>
      <c r="K572" s="16"/>
      <c r="L572" s="16"/>
      <c r="M572" s="16"/>
      <c r="N572" s="16"/>
      <c r="O572" s="16"/>
      <c r="P572" s="17"/>
      <c r="Q572" s="16"/>
      <c r="R572" s="16"/>
      <c r="S572" s="16"/>
      <c r="T572" s="16"/>
      <c r="U572" s="16"/>
      <c r="V572" s="16"/>
      <c r="W572" s="16"/>
      <c r="X572" s="16"/>
      <c r="Y572" s="16"/>
      <c r="Z572" s="16"/>
      <c r="AA572" s="16"/>
      <c r="AB572" s="16"/>
      <c r="AC572" s="16"/>
      <c r="AD572" s="16"/>
    </row>
    <row r="573" ht="14.25" customHeight="1">
      <c r="A573" s="16"/>
      <c r="B573" s="16"/>
      <c r="C573" s="16"/>
      <c r="D573" s="16"/>
      <c r="E573" s="16"/>
      <c r="F573" s="16"/>
      <c r="G573" s="16"/>
      <c r="H573" s="16"/>
      <c r="I573" s="16"/>
      <c r="J573" s="16"/>
      <c r="K573" s="16"/>
      <c r="L573" s="16"/>
      <c r="M573" s="16"/>
      <c r="N573" s="16"/>
      <c r="O573" s="16"/>
      <c r="P573" s="17"/>
      <c r="Q573" s="16"/>
      <c r="R573" s="16"/>
      <c r="S573" s="16"/>
      <c r="T573" s="16"/>
      <c r="U573" s="16"/>
      <c r="V573" s="16"/>
      <c r="W573" s="16"/>
      <c r="X573" s="16"/>
      <c r="Y573" s="16"/>
      <c r="Z573" s="16"/>
      <c r="AA573" s="16"/>
      <c r="AB573" s="16"/>
      <c r="AC573" s="16"/>
      <c r="AD573" s="16"/>
    </row>
    <row r="574" ht="14.25" customHeight="1">
      <c r="A574" s="16"/>
      <c r="B574" s="16"/>
      <c r="C574" s="16"/>
      <c r="D574" s="16"/>
      <c r="E574" s="16"/>
      <c r="F574" s="16"/>
      <c r="G574" s="16"/>
      <c r="H574" s="16"/>
      <c r="I574" s="16"/>
      <c r="J574" s="16"/>
      <c r="K574" s="16"/>
      <c r="L574" s="16"/>
      <c r="M574" s="16"/>
      <c r="N574" s="16"/>
      <c r="O574" s="16"/>
      <c r="P574" s="17"/>
      <c r="Q574" s="16"/>
      <c r="R574" s="16"/>
      <c r="S574" s="16"/>
      <c r="T574" s="16"/>
      <c r="U574" s="16"/>
      <c r="V574" s="16"/>
      <c r="W574" s="16"/>
      <c r="X574" s="16"/>
      <c r="Y574" s="16"/>
      <c r="Z574" s="16"/>
      <c r="AA574" s="16"/>
      <c r="AB574" s="16"/>
      <c r="AC574" s="16"/>
      <c r="AD574" s="16"/>
    </row>
    <row r="575" ht="14.25" customHeight="1">
      <c r="A575" s="16"/>
      <c r="B575" s="16"/>
      <c r="C575" s="16"/>
      <c r="D575" s="16"/>
      <c r="E575" s="16"/>
      <c r="F575" s="16"/>
      <c r="G575" s="16"/>
      <c r="H575" s="16"/>
      <c r="I575" s="16"/>
      <c r="J575" s="16"/>
      <c r="K575" s="16"/>
      <c r="L575" s="16"/>
      <c r="M575" s="16"/>
      <c r="N575" s="16"/>
      <c r="O575" s="16"/>
      <c r="P575" s="17"/>
      <c r="Q575" s="16"/>
      <c r="R575" s="16"/>
      <c r="S575" s="16"/>
      <c r="T575" s="16"/>
      <c r="U575" s="16"/>
      <c r="V575" s="16"/>
      <c r="W575" s="16"/>
      <c r="X575" s="16"/>
      <c r="Y575" s="16"/>
      <c r="Z575" s="16"/>
      <c r="AA575" s="16"/>
      <c r="AB575" s="16"/>
      <c r="AC575" s="16"/>
      <c r="AD575" s="16"/>
    </row>
    <row r="576" ht="14.25" customHeight="1">
      <c r="A576" s="16"/>
      <c r="B576" s="16"/>
      <c r="C576" s="16"/>
      <c r="D576" s="16"/>
      <c r="E576" s="16"/>
      <c r="F576" s="16"/>
      <c r="G576" s="16"/>
      <c r="H576" s="16"/>
      <c r="I576" s="16"/>
      <c r="J576" s="16"/>
      <c r="K576" s="16"/>
      <c r="L576" s="16"/>
      <c r="M576" s="16"/>
      <c r="N576" s="16"/>
      <c r="O576" s="16"/>
      <c r="P576" s="17"/>
      <c r="Q576" s="16"/>
      <c r="R576" s="16"/>
      <c r="S576" s="16"/>
      <c r="T576" s="16"/>
      <c r="U576" s="16"/>
      <c r="V576" s="16"/>
      <c r="W576" s="16"/>
      <c r="X576" s="16"/>
      <c r="Y576" s="16"/>
      <c r="Z576" s="16"/>
      <c r="AA576" s="16"/>
      <c r="AB576" s="16"/>
      <c r="AC576" s="16"/>
      <c r="AD576" s="16"/>
    </row>
    <row r="577" ht="14.25" customHeight="1">
      <c r="A577" s="16"/>
      <c r="B577" s="16"/>
      <c r="C577" s="16"/>
      <c r="D577" s="16"/>
      <c r="E577" s="16"/>
      <c r="F577" s="16"/>
      <c r="G577" s="16"/>
      <c r="H577" s="16"/>
      <c r="I577" s="16"/>
      <c r="J577" s="16"/>
      <c r="K577" s="16"/>
      <c r="L577" s="16"/>
      <c r="M577" s="16"/>
      <c r="N577" s="16"/>
      <c r="O577" s="16"/>
      <c r="P577" s="17"/>
      <c r="Q577" s="16"/>
      <c r="R577" s="16"/>
      <c r="S577" s="16"/>
      <c r="T577" s="16"/>
      <c r="U577" s="16"/>
      <c r="V577" s="16"/>
      <c r="W577" s="16"/>
      <c r="X577" s="16"/>
      <c r="Y577" s="16"/>
      <c r="Z577" s="16"/>
      <c r="AA577" s="16"/>
      <c r="AB577" s="16"/>
      <c r="AC577" s="16"/>
      <c r="AD577" s="16"/>
    </row>
    <row r="578" ht="14.25" customHeight="1">
      <c r="A578" s="16"/>
      <c r="B578" s="16"/>
      <c r="C578" s="16"/>
      <c r="D578" s="16"/>
      <c r="E578" s="16"/>
      <c r="F578" s="16"/>
      <c r="G578" s="16"/>
      <c r="H578" s="16"/>
      <c r="I578" s="16"/>
      <c r="J578" s="16"/>
      <c r="K578" s="16"/>
      <c r="L578" s="16"/>
      <c r="M578" s="16"/>
      <c r="N578" s="16"/>
      <c r="O578" s="16"/>
      <c r="P578" s="17"/>
      <c r="Q578" s="16"/>
      <c r="R578" s="16"/>
      <c r="S578" s="16"/>
      <c r="T578" s="16"/>
      <c r="U578" s="16"/>
      <c r="V578" s="16"/>
      <c r="W578" s="16"/>
      <c r="X578" s="16"/>
      <c r="Y578" s="16"/>
      <c r="Z578" s="16"/>
      <c r="AA578" s="16"/>
      <c r="AB578" s="16"/>
      <c r="AC578" s="16"/>
      <c r="AD578" s="16"/>
    </row>
    <row r="579" ht="14.25" customHeight="1">
      <c r="A579" s="16"/>
      <c r="B579" s="16"/>
      <c r="C579" s="16"/>
      <c r="D579" s="16"/>
      <c r="E579" s="16"/>
      <c r="F579" s="16"/>
      <c r="G579" s="16"/>
      <c r="H579" s="16"/>
      <c r="I579" s="16"/>
      <c r="J579" s="16"/>
      <c r="K579" s="16"/>
      <c r="L579" s="16"/>
      <c r="M579" s="16"/>
      <c r="N579" s="16"/>
      <c r="O579" s="16"/>
      <c r="P579" s="17"/>
      <c r="Q579" s="16"/>
      <c r="R579" s="16"/>
      <c r="S579" s="16"/>
      <c r="T579" s="16"/>
      <c r="U579" s="16"/>
      <c r="V579" s="16"/>
      <c r="W579" s="16"/>
      <c r="X579" s="16"/>
      <c r="Y579" s="16"/>
      <c r="Z579" s="16"/>
      <c r="AA579" s="16"/>
      <c r="AB579" s="16"/>
      <c r="AC579" s="16"/>
      <c r="AD579" s="16"/>
    </row>
    <row r="580" ht="14.25" customHeight="1">
      <c r="A580" s="16"/>
      <c r="B580" s="16"/>
      <c r="C580" s="16"/>
      <c r="D580" s="16"/>
      <c r="E580" s="16"/>
      <c r="F580" s="16"/>
      <c r="G580" s="16"/>
      <c r="H580" s="16"/>
      <c r="I580" s="16"/>
      <c r="J580" s="16"/>
      <c r="K580" s="16"/>
      <c r="L580" s="16"/>
      <c r="M580" s="16"/>
      <c r="N580" s="16"/>
      <c r="O580" s="16"/>
      <c r="P580" s="17"/>
      <c r="Q580" s="16"/>
      <c r="R580" s="16"/>
      <c r="S580" s="16"/>
      <c r="T580" s="16"/>
      <c r="U580" s="16"/>
      <c r="V580" s="16"/>
      <c r="W580" s="16"/>
      <c r="X580" s="16"/>
      <c r="Y580" s="16"/>
      <c r="Z580" s="16"/>
      <c r="AA580" s="16"/>
      <c r="AB580" s="16"/>
      <c r="AC580" s="16"/>
      <c r="AD580" s="16"/>
    </row>
    <row r="581" ht="14.25" customHeight="1">
      <c r="A581" s="16"/>
      <c r="B581" s="16"/>
      <c r="C581" s="16"/>
      <c r="D581" s="16"/>
      <c r="E581" s="16"/>
      <c r="F581" s="16"/>
      <c r="G581" s="16"/>
      <c r="H581" s="16"/>
      <c r="I581" s="16"/>
      <c r="J581" s="16"/>
      <c r="K581" s="16"/>
      <c r="L581" s="16"/>
      <c r="M581" s="16"/>
      <c r="N581" s="16"/>
      <c r="O581" s="16"/>
      <c r="P581" s="17"/>
      <c r="Q581" s="16"/>
      <c r="R581" s="16"/>
      <c r="S581" s="16"/>
      <c r="T581" s="16"/>
      <c r="U581" s="16"/>
      <c r="V581" s="16"/>
      <c r="W581" s="16"/>
      <c r="X581" s="16"/>
      <c r="Y581" s="16"/>
      <c r="Z581" s="16"/>
      <c r="AA581" s="16"/>
      <c r="AB581" s="16"/>
      <c r="AC581" s="16"/>
      <c r="AD581" s="16"/>
    </row>
    <row r="582" ht="14.25" customHeight="1">
      <c r="A582" s="16"/>
      <c r="B582" s="16"/>
      <c r="C582" s="16"/>
      <c r="D582" s="16"/>
      <c r="E582" s="16"/>
      <c r="F582" s="16"/>
      <c r="G582" s="16"/>
      <c r="H582" s="16"/>
      <c r="I582" s="16"/>
      <c r="J582" s="16"/>
      <c r="K582" s="16"/>
      <c r="L582" s="16"/>
      <c r="M582" s="16"/>
      <c r="N582" s="16"/>
      <c r="O582" s="16"/>
      <c r="P582" s="17"/>
      <c r="Q582" s="16"/>
      <c r="R582" s="16"/>
      <c r="S582" s="16"/>
      <c r="T582" s="16"/>
      <c r="U582" s="16"/>
      <c r="V582" s="16"/>
      <c r="W582" s="16"/>
      <c r="X582" s="16"/>
      <c r="Y582" s="16"/>
      <c r="Z582" s="16"/>
      <c r="AA582" s="16"/>
      <c r="AB582" s="16"/>
      <c r="AC582" s="16"/>
      <c r="AD582" s="16"/>
    </row>
    <row r="583" ht="14.25" customHeight="1">
      <c r="A583" s="16"/>
      <c r="B583" s="16"/>
      <c r="C583" s="16"/>
      <c r="D583" s="16"/>
      <c r="E583" s="16"/>
      <c r="F583" s="16"/>
      <c r="G583" s="16"/>
      <c r="H583" s="16"/>
      <c r="I583" s="16"/>
      <c r="J583" s="16"/>
      <c r="K583" s="16"/>
      <c r="L583" s="16"/>
      <c r="M583" s="16"/>
      <c r="N583" s="16"/>
      <c r="O583" s="16"/>
      <c r="P583" s="17"/>
      <c r="Q583" s="16"/>
      <c r="R583" s="16"/>
      <c r="S583" s="16"/>
      <c r="T583" s="16"/>
      <c r="U583" s="16"/>
      <c r="V583" s="16"/>
      <c r="W583" s="16"/>
      <c r="X583" s="16"/>
      <c r="Y583" s="16"/>
      <c r="Z583" s="16"/>
      <c r="AA583" s="16"/>
      <c r="AB583" s="16"/>
      <c r="AC583" s="16"/>
      <c r="AD583" s="16"/>
    </row>
    <row r="584" ht="14.25" customHeight="1">
      <c r="A584" s="16"/>
      <c r="B584" s="16"/>
      <c r="C584" s="16"/>
      <c r="D584" s="16"/>
      <c r="E584" s="16"/>
      <c r="F584" s="16"/>
      <c r="G584" s="16"/>
      <c r="H584" s="16"/>
      <c r="I584" s="16"/>
      <c r="J584" s="16"/>
      <c r="K584" s="16"/>
      <c r="L584" s="16"/>
      <c r="M584" s="16"/>
      <c r="N584" s="16"/>
      <c r="O584" s="16"/>
      <c r="P584" s="17"/>
      <c r="Q584" s="16"/>
      <c r="R584" s="16"/>
      <c r="S584" s="16"/>
      <c r="T584" s="16"/>
      <c r="U584" s="16"/>
      <c r="V584" s="16"/>
      <c r="W584" s="16"/>
      <c r="X584" s="16"/>
      <c r="Y584" s="16"/>
      <c r="Z584" s="16"/>
      <c r="AA584" s="16"/>
      <c r="AB584" s="16"/>
      <c r="AC584" s="16"/>
      <c r="AD584" s="16"/>
    </row>
    <row r="585" ht="14.25" customHeight="1">
      <c r="A585" s="16"/>
      <c r="B585" s="16"/>
      <c r="C585" s="16"/>
      <c r="D585" s="16"/>
      <c r="E585" s="16"/>
      <c r="F585" s="16"/>
      <c r="G585" s="16"/>
      <c r="H585" s="16"/>
      <c r="I585" s="16"/>
      <c r="J585" s="16"/>
      <c r="K585" s="16"/>
      <c r="L585" s="16"/>
      <c r="M585" s="16"/>
      <c r="N585" s="16"/>
      <c r="O585" s="16"/>
      <c r="P585" s="17"/>
      <c r="Q585" s="16"/>
      <c r="R585" s="16"/>
      <c r="S585" s="16"/>
      <c r="T585" s="16"/>
      <c r="U585" s="16"/>
      <c r="V585" s="16"/>
      <c r="W585" s="16"/>
      <c r="X585" s="16"/>
      <c r="Y585" s="16"/>
      <c r="Z585" s="16"/>
      <c r="AA585" s="16"/>
      <c r="AB585" s="16"/>
      <c r="AC585" s="16"/>
      <c r="AD585" s="16"/>
    </row>
    <row r="586" ht="14.25" customHeight="1">
      <c r="A586" s="16"/>
      <c r="B586" s="16"/>
      <c r="C586" s="16"/>
      <c r="D586" s="16"/>
      <c r="E586" s="16"/>
      <c r="F586" s="16"/>
      <c r="G586" s="16"/>
      <c r="H586" s="16"/>
      <c r="I586" s="16"/>
      <c r="J586" s="16"/>
      <c r="K586" s="16"/>
      <c r="L586" s="16"/>
      <c r="M586" s="16"/>
      <c r="N586" s="16"/>
      <c r="O586" s="16"/>
      <c r="P586" s="17"/>
      <c r="Q586" s="16"/>
      <c r="R586" s="16"/>
      <c r="S586" s="16"/>
      <c r="T586" s="16"/>
      <c r="U586" s="16"/>
      <c r="V586" s="16"/>
      <c r="W586" s="16"/>
      <c r="X586" s="16"/>
      <c r="Y586" s="16"/>
      <c r="Z586" s="16"/>
      <c r="AA586" s="16"/>
      <c r="AB586" s="16"/>
      <c r="AC586" s="16"/>
      <c r="AD586" s="16"/>
    </row>
    <row r="587" ht="14.25" customHeight="1">
      <c r="A587" s="16"/>
      <c r="B587" s="16"/>
      <c r="C587" s="16"/>
      <c r="D587" s="16"/>
      <c r="E587" s="16"/>
      <c r="F587" s="16"/>
      <c r="G587" s="16"/>
      <c r="H587" s="16"/>
      <c r="I587" s="16"/>
      <c r="J587" s="16"/>
      <c r="K587" s="16"/>
      <c r="L587" s="16"/>
      <c r="M587" s="16"/>
      <c r="N587" s="16"/>
      <c r="O587" s="16"/>
      <c r="P587" s="17"/>
      <c r="Q587" s="16"/>
      <c r="R587" s="16"/>
      <c r="S587" s="16"/>
      <c r="T587" s="16"/>
      <c r="U587" s="16"/>
      <c r="V587" s="16"/>
      <c r="W587" s="16"/>
      <c r="X587" s="16"/>
      <c r="Y587" s="16"/>
      <c r="Z587" s="16"/>
      <c r="AA587" s="16"/>
      <c r="AB587" s="16"/>
      <c r="AC587" s="16"/>
      <c r="AD587" s="16"/>
    </row>
    <row r="588" ht="14.25" customHeight="1">
      <c r="A588" s="16"/>
      <c r="B588" s="16"/>
      <c r="C588" s="16"/>
      <c r="D588" s="16"/>
      <c r="E588" s="16"/>
      <c r="F588" s="16"/>
      <c r="G588" s="16"/>
      <c r="H588" s="16"/>
      <c r="I588" s="16"/>
      <c r="J588" s="16"/>
      <c r="K588" s="16"/>
      <c r="L588" s="16"/>
      <c r="M588" s="16"/>
      <c r="N588" s="16"/>
      <c r="O588" s="16"/>
      <c r="P588" s="17"/>
      <c r="Q588" s="16"/>
      <c r="R588" s="16"/>
      <c r="S588" s="16"/>
      <c r="T588" s="16"/>
      <c r="U588" s="16"/>
      <c r="V588" s="16"/>
      <c r="W588" s="16"/>
      <c r="X588" s="16"/>
      <c r="Y588" s="16"/>
      <c r="Z588" s="16"/>
      <c r="AA588" s="16"/>
      <c r="AB588" s="16"/>
      <c r="AC588" s="16"/>
      <c r="AD588" s="16"/>
    </row>
    <row r="589" ht="14.25" customHeight="1">
      <c r="A589" s="16"/>
      <c r="B589" s="16"/>
      <c r="C589" s="16"/>
      <c r="D589" s="16"/>
      <c r="E589" s="16"/>
      <c r="F589" s="16"/>
      <c r="G589" s="16"/>
      <c r="H589" s="16"/>
      <c r="I589" s="16"/>
      <c r="J589" s="16"/>
      <c r="K589" s="16"/>
      <c r="L589" s="16"/>
      <c r="M589" s="16"/>
      <c r="N589" s="16"/>
      <c r="O589" s="16"/>
      <c r="P589" s="17"/>
      <c r="Q589" s="16"/>
      <c r="R589" s="16"/>
      <c r="S589" s="16"/>
      <c r="T589" s="16"/>
      <c r="U589" s="16"/>
      <c r="V589" s="16"/>
      <c r="W589" s="16"/>
      <c r="X589" s="16"/>
      <c r="Y589" s="16"/>
      <c r="Z589" s="16"/>
      <c r="AA589" s="16"/>
      <c r="AB589" s="16"/>
      <c r="AC589" s="16"/>
      <c r="AD589" s="16"/>
    </row>
    <row r="590" ht="14.25" customHeight="1">
      <c r="A590" s="16"/>
      <c r="B590" s="16"/>
      <c r="C590" s="16"/>
      <c r="D590" s="16"/>
      <c r="E590" s="16"/>
      <c r="F590" s="16"/>
      <c r="G590" s="16"/>
      <c r="H590" s="16"/>
      <c r="I590" s="16"/>
      <c r="J590" s="16"/>
      <c r="K590" s="16"/>
      <c r="L590" s="16"/>
      <c r="M590" s="16"/>
      <c r="N590" s="16"/>
      <c r="O590" s="16"/>
      <c r="P590" s="17"/>
      <c r="Q590" s="16"/>
      <c r="R590" s="16"/>
      <c r="S590" s="16"/>
      <c r="T590" s="16"/>
      <c r="U590" s="16"/>
      <c r="V590" s="16"/>
      <c r="W590" s="16"/>
      <c r="X590" s="16"/>
      <c r="Y590" s="16"/>
      <c r="Z590" s="16"/>
      <c r="AA590" s="16"/>
      <c r="AB590" s="16"/>
      <c r="AC590" s="16"/>
      <c r="AD590" s="16"/>
    </row>
    <row r="591" ht="14.25" customHeight="1">
      <c r="A591" s="16"/>
      <c r="B591" s="16"/>
      <c r="C591" s="16"/>
      <c r="D591" s="16"/>
      <c r="E591" s="16"/>
      <c r="F591" s="16"/>
      <c r="G591" s="16"/>
      <c r="H591" s="16"/>
      <c r="I591" s="16"/>
      <c r="J591" s="16"/>
      <c r="K591" s="16"/>
      <c r="L591" s="16"/>
      <c r="M591" s="16"/>
      <c r="N591" s="16"/>
      <c r="O591" s="16"/>
      <c r="P591" s="17"/>
      <c r="Q591" s="16"/>
      <c r="R591" s="16"/>
      <c r="S591" s="16"/>
      <c r="T591" s="16"/>
      <c r="U591" s="16"/>
      <c r="V591" s="16"/>
      <c r="W591" s="16"/>
      <c r="X591" s="16"/>
      <c r="Y591" s="16"/>
      <c r="Z591" s="16"/>
      <c r="AA591" s="16"/>
      <c r="AB591" s="16"/>
      <c r="AC591" s="16"/>
      <c r="AD591" s="16"/>
    </row>
    <row r="592" ht="14.25" customHeight="1">
      <c r="A592" s="16"/>
      <c r="B592" s="16"/>
      <c r="C592" s="16"/>
      <c r="D592" s="16"/>
      <c r="E592" s="16"/>
      <c r="F592" s="16"/>
      <c r="G592" s="16"/>
      <c r="H592" s="16"/>
      <c r="I592" s="16"/>
      <c r="J592" s="16"/>
      <c r="K592" s="16"/>
      <c r="L592" s="16"/>
      <c r="M592" s="16"/>
      <c r="N592" s="16"/>
      <c r="O592" s="16"/>
      <c r="P592" s="17"/>
      <c r="Q592" s="16"/>
      <c r="R592" s="16"/>
      <c r="S592" s="16"/>
      <c r="T592" s="16"/>
      <c r="U592" s="16"/>
      <c r="V592" s="16"/>
      <c r="W592" s="16"/>
      <c r="X592" s="16"/>
      <c r="Y592" s="16"/>
      <c r="Z592" s="16"/>
      <c r="AA592" s="16"/>
      <c r="AB592" s="16"/>
      <c r="AC592" s="16"/>
      <c r="AD592" s="16"/>
    </row>
    <row r="593" ht="14.25" customHeight="1">
      <c r="A593" s="16"/>
      <c r="B593" s="16"/>
      <c r="C593" s="16"/>
      <c r="D593" s="16"/>
      <c r="E593" s="16"/>
      <c r="F593" s="16"/>
      <c r="G593" s="16"/>
      <c r="H593" s="16"/>
      <c r="I593" s="16"/>
      <c r="J593" s="16"/>
      <c r="K593" s="16"/>
      <c r="L593" s="16"/>
      <c r="M593" s="16"/>
      <c r="N593" s="16"/>
      <c r="O593" s="16"/>
      <c r="P593" s="17"/>
      <c r="Q593" s="16"/>
      <c r="R593" s="16"/>
      <c r="S593" s="16"/>
      <c r="T593" s="16"/>
      <c r="U593" s="16"/>
      <c r="V593" s="16"/>
      <c r="W593" s="16"/>
      <c r="X593" s="16"/>
      <c r="Y593" s="16"/>
      <c r="Z593" s="16"/>
      <c r="AA593" s="16"/>
      <c r="AB593" s="16"/>
      <c r="AC593" s="16"/>
      <c r="AD593" s="16"/>
    </row>
    <row r="594" ht="14.25" customHeight="1">
      <c r="A594" s="16"/>
      <c r="B594" s="16"/>
      <c r="C594" s="16"/>
      <c r="D594" s="16"/>
      <c r="E594" s="16"/>
      <c r="F594" s="16"/>
      <c r="G594" s="16"/>
      <c r="H594" s="16"/>
      <c r="I594" s="16"/>
      <c r="J594" s="16"/>
      <c r="K594" s="16"/>
      <c r="L594" s="16"/>
      <c r="M594" s="16"/>
      <c r="N594" s="16"/>
      <c r="O594" s="16"/>
      <c r="P594" s="17"/>
      <c r="Q594" s="16"/>
      <c r="R594" s="16"/>
      <c r="S594" s="16"/>
      <c r="T594" s="16"/>
      <c r="U594" s="16"/>
      <c r="V594" s="16"/>
      <c r="W594" s="16"/>
      <c r="X594" s="16"/>
      <c r="Y594" s="16"/>
      <c r="Z594" s="16"/>
      <c r="AA594" s="16"/>
      <c r="AB594" s="16"/>
      <c r="AC594" s="16"/>
      <c r="AD594" s="16"/>
    </row>
    <row r="595" ht="14.25" customHeight="1">
      <c r="A595" s="16"/>
      <c r="B595" s="16"/>
      <c r="C595" s="16"/>
      <c r="D595" s="16"/>
      <c r="E595" s="16"/>
      <c r="F595" s="16"/>
      <c r="G595" s="16"/>
      <c r="H595" s="16"/>
      <c r="I595" s="16"/>
      <c r="J595" s="16"/>
      <c r="K595" s="16"/>
      <c r="L595" s="16"/>
      <c r="M595" s="16"/>
      <c r="N595" s="16"/>
      <c r="O595" s="16"/>
      <c r="P595" s="17"/>
      <c r="Q595" s="16"/>
      <c r="R595" s="16"/>
      <c r="S595" s="16"/>
      <c r="T595" s="16"/>
      <c r="U595" s="16"/>
      <c r="V595" s="16"/>
      <c r="W595" s="16"/>
      <c r="X595" s="16"/>
      <c r="Y595" s="16"/>
      <c r="Z595" s="16"/>
      <c r="AA595" s="16"/>
      <c r="AB595" s="16"/>
      <c r="AC595" s="16"/>
      <c r="AD595" s="16"/>
    </row>
    <row r="596" ht="14.25" customHeight="1">
      <c r="A596" s="16"/>
      <c r="B596" s="16"/>
      <c r="C596" s="16"/>
      <c r="D596" s="16"/>
      <c r="E596" s="16"/>
      <c r="F596" s="16"/>
      <c r="G596" s="16"/>
      <c r="H596" s="16"/>
      <c r="I596" s="16"/>
      <c r="J596" s="16"/>
      <c r="K596" s="16"/>
      <c r="L596" s="16"/>
      <c r="M596" s="16"/>
      <c r="N596" s="16"/>
      <c r="O596" s="16"/>
      <c r="P596" s="17"/>
      <c r="Q596" s="16"/>
      <c r="R596" s="16"/>
      <c r="S596" s="16"/>
      <c r="T596" s="16"/>
      <c r="U596" s="16"/>
      <c r="V596" s="16"/>
      <c r="W596" s="16"/>
      <c r="X596" s="16"/>
      <c r="Y596" s="16"/>
      <c r="Z596" s="16"/>
      <c r="AA596" s="16"/>
      <c r="AB596" s="16"/>
      <c r="AC596" s="16"/>
      <c r="AD596" s="16"/>
    </row>
    <row r="597" ht="14.25" customHeight="1">
      <c r="A597" s="16"/>
      <c r="B597" s="16"/>
      <c r="C597" s="16"/>
      <c r="D597" s="16"/>
      <c r="E597" s="16"/>
      <c r="F597" s="16"/>
      <c r="G597" s="16"/>
      <c r="H597" s="16"/>
      <c r="I597" s="16"/>
      <c r="J597" s="16"/>
      <c r="K597" s="16"/>
      <c r="L597" s="16"/>
      <c r="M597" s="16"/>
      <c r="N597" s="16"/>
      <c r="O597" s="16"/>
      <c r="P597" s="17"/>
      <c r="Q597" s="16"/>
      <c r="R597" s="16"/>
      <c r="S597" s="16"/>
      <c r="T597" s="16"/>
      <c r="U597" s="16"/>
      <c r="V597" s="16"/>
      <c r="W597" s="16"/>
      <c r="X597" s="16"/>
      <c r="Y597" s="16"/>
      <c r="Z597" s="16"/>
      <c r="AA597" s="16"/>
      <c r="AB597" s="16"/>
      <c r="AC597" s="16"/>
      <c r="AD597" s="16"/>
    </row>
    <row r="598" ht="14.25" customHeight="1">
      <c r="A598" s="16"/>
      <c r="B598" s="16"/>
      <c r="C598" s="16"/>
      <c r="D598" s="16"/>
      <c r="E598" s="16"/>
      <c r="F598" s="16"/>
      <c r="G598" s="16"/>
      <c r="H598" s="16"/>
      <c r="I598" s="16"/>
      <c r="J598" s="16"/>
      <c r="K598" s="16"/>
      <c r="L598" s="16"/>
      <c r="M598" s="16"/>
      <c r="N598" s="16"/>
      <c r="O598" s="16"/>
      <c r="P598" s="17"/>
      <c r="Q598" s="16"/>
      <c r="R598" s="16"/>
      <c r="S598" s="16"/>
      <c r="T598" s="16"/>
      <c r="U598" s="16"/>
      <c r="V598" s="16"/>
      <c r="W598" s="16"/>
      <c r="X598" s="16"/>
      <c r="Y598" s="16"/>
      <c r="Z598" s="16"/>
      <c r="AA598" s="16"/>
      <c r="AB598" s="16"/>
      <c r="AC598" s="16"/>
      <c r="AD598" s="16"/>
    </row>
    <row r="599" ht="14.25" customHeight="1">
      <c r="A599" s="16"/>
      <c r="B599" s="16"/>
      <c r="C599" s="16"/>
      <c r="D599" s="16"/>
      <c r="E599" s="16"/>
      <c r="F599" s="16"/>
      <c r="G599" s="16"/>
      <c r="H599" s="16"/>
      <c r="I599" s="16"/>
      <c r="J599" s="16"/>
      <c r="K599" s="16"/>
      <c r="L599" s="16"/>
      <c r="M599" s="16"/>
      <c r="N599" s="16"/>
      <c r="O599" s="16"/>
      <c r="P599" s="17"/>
      <c r="Q599" s="16"/>
      <c r="R599" s="16"/>
      <c r="S599" s="16"/>
      <c r="T599" s="16"/>
      <c r="U599" s="16"/>
      <c r="V599" s="16"/>
      <c r="W599" s="16"/>
      <c r="X599" s="16"/>
      <c r="Y599" s="16"/>
      <c r="Z599" s="16"/>
      <c r="AA599" s="16"/>
      <c r="AB599" s="16"/>
      <c r="AC599" s="16"/>
      <c r="AD599" s="16"/>
    </row>
    <row r="600" ht="14.25" customHeight="1">
      <c r="A600" s="16"/>
      <c r="B600" s="16"/>
      <c r="C600" s="16"/>
      <c r="D600" s="16"/>
      <c r="E600" s="16"/>
      <c r="F600" s="16"/>
      <c r="G600" s="16"/>
      <c r="H600" s="16"/>
      <c r="I600" s="16"/>
      <c r="J600" s="16"/>
      <c r="K600" s="16"/>
      <c r="L600" s="16"/>
      <c r="M600" s="16"/>
      <c r="N600" s="16"/>
      <c r="O600" s="16"/>
      <c r="P600" s="17"/>
      <c r="Q600" s="16"/>
      <c r="R600" s="16"/>
      <c r="S600" s="16"/>
      <c r="T600" s="16"/>
      <c r="U600" s="16"/>
      <c r="V600" s="16"/>
      <c r="W600" s="16"/>
      <c r="X600" s="16"/>
      <c r="Y600" s="16"/>
      <c r="Z600" s="16"/>
      <c r="AA600" s="16"/>
      <c r="AB600" s="16"/>
      <c r="AC600" s="16"/>
      <c r="AD600" s="16"/>
    </row>
    <row r="601" ht="14.25" customHeight="1">
      <c r="A601" s="16"/>
      <c r="B601" s="16"/>
      <c r="C601" s="16"/>
      <c r="D601" s="16"/>
      <c r="E601" s="16"/>
      <c r="F601" s="16"/>
      <c r="G601" s="16"/>
      <c r="H601" s="16"/>
      <c r="I601" s="16"/>
      <c r="J601" s="16"/>
      <c r="K601" s="16"/>
      <c r="L601" s="16"/>
      <c r="M601" s="16"/>
      <c r="N601" s="16"/>
      <c r="O601" s="16"/>
      <c r="P601" s="17"/>
      <c r="Q601" s="16"/>
      <c r="R601" s="16"/>
      <c r="S601" s="16"/>
      <c r="T601" s="16"/>
      <c r="U601" s="16"/>
      <c r="V601" s="16"/>
      <c r="W601" s="16"/>
      <c r="X601" s="16"/>
      <c r="Y601" s="16"/>
      <c r="Z601" s="16"/>
      <c r="AA601" s="16"/>
      <c r="AB601" s="16"/>
      <c r="AC601" s="16"/>
      <c r="AD601" s="16"/>
    </row>
    <row r="602" ht="14.25" customHeight="1">
      <c r="A602" s="16"/>
      <c r="B602" s="16"/>
      <c r="C602" s="16"/>
      <c r="D602" s="16"/>
      <c r="E602" s="16"/>
      <c r="F602" s="16"/>
      <c r="G602" s="16"/>
      <c r="H602" s="16"/>
      <c r="I602" s="16"/>
      <c r="J602" s="16"/>
      <c r="K602" s="16"/>
      <c r="L602" s="16"/>
      <c r="M602" s="16"/>
      <c r="N602" s="16"/>
      <c r="O602" s="16"/>
      <c r="P602" s="17"/>
      <c r="Q602" s="16"/>
      <c r="R602" s="16"/>
      <c r="S602" s="16"/>
      <c r="T602" s="16"/>
      <c r="U602" s="16"/>
      <c r="V602" s="16"/>
      <c r="W602" s="16"/>
      <c r="X602" s="16"/>
      <c r="Y602" s="16"/>
      <c r="Z602" s="16"/>
      <c r="AA602" s="16"/>
      <c r="AB602" s="16"/>
      <c r="AC602" s="16"/>
      <c r="AD602" s="16"/>
    </row>
    <row r="603" ht="14.25" customHeight="1">
      <c r="A603" s="16"/>
      <c r="B603" s="16"/>
      <c r="C603" s="16"/>
      <c r="D603" s="16"/>
      <c r="E603" s="16"/>
      <c r="F603" s="16"/>
      <c r="G603" s="16"/>
      <c r="H603" s="16"/>
      <c r="I603" s="16"/>
      <c r="J603" s="16"/>
      <c r="K603" s="16"/>
      <c r="L603" s="16"/>
      <c r="M603" s="16"/>
      <c r="N603" s="16"/>
      <c r="O603" s="16"/>
      <c r="P603" s="17"/>
      <c r="Q603" s="16"/>
      <c r="R603" s="16"/>
      <c r="S603" s="16"/>
      <c r="T603" s="16"/>
      <c r="U603" s="16"/>
      <c r="V603" s="16"/>
      <c r="W603" s="16"/>
      <c r="X603" s="16"/>
      <c r="Y603" s="16"/>
      <c r="Z603" s="16"/>
      <c r="AA603" s="16"/>
      <c r="AB603" s="16"/>
      <c r="AC603" s="16"/>
      <c r="AD603" s="16"/>
    </row>
    <row r="604" ht="14.25" customHeight="1">
      <c r="A604" s="16"/>
      <c r="B604" s="16"/>
      <c r="C604" s="16"/>
      <c r="D604" s="16"/>
      <c r="E604" s="16"/>
      <c r="F604" s="16"/>
      <c r="G604" s="16"/>
      <c r="H604" s="16"/>
      <c r="I604" s="16"/>
      <c r="J604" s="16"/>
      <c r="K604" s="16"/>
      <c r="L604" s="16"/>
      <c r="M604" s="16"/>
      <c r="N604" s="16"/>
      <c r="O604" s="16"/>
      <c r="P604" s="17"/>
      <c r="Q604" s="16"/>
      <c r="R604" s="16"/>
      <c r="S604" s="16"/>
      <c r="T604" s="16"/>
      <c r="U604" s="16"/>
      <c r="V604" s="16"/>
      <c r="W604" s="16"/>
      <c r="X604" s="16"/>
      <c r="Y604" s="16"/>
      <c r="Z604" s="16"/>
      <c r="AA604" s="16"/>
      <c r="AB604" s="16"/>
      <c r="AC604" s="16"/>
      <c r="AD604" s="16"/>
    </row>
    <row r="605" ht="14.25" customHeight="1">
      <c r="A605" s="16"/>
      <c r="B605" s="16"/>
      <c r="C605" s="16"/>
      <c r="D605" s="16"/>
      <c r="E605" s="16"/>
      <c r="F605" s="16"/>
      <c r="G605" s="16"/>
      <c r="H605" s="16"/>
      <c r="I605" s="16"/>
      <c r="J605" s="16"/>
      <c r="K605" s="16"/>
      <c r="L605" s="16"/>
      <c r="M605" s="16"/>
      <c r="N605" s="16"/>
      <c r="O605" s="16"/>
      <c r="P605" s="17"/>
      <c r="Q605" s="16"/>
      <c r="R605" s="16"/>
      <c r="S605" s="16"/>
      <c r="T605" s="16"/>
      <c r="U605" s="16"/>
      <c r="V605" s="16"/>
      <c r="W605" s="16"/>
      <c r="X605" s="16"/>
      <c r="Y605" s="16"/>
      <c r="Z605" s="16"/>
      <c r="AA605" s="16"/>
      <c r="AB605" s="16"/>
      <c r="AC605" s="16"/>
      <c r="AD605" s="16"/>
    </row>
    <row r="606" ht="14.25" customHeight="1">
      <c r="A606" s="16"/>
      <c r="B606" s="16"/>
      <c r="C606" s="16"/>
      <c r="D606" s="16"/>
      <c r="E606" s="16"/>
      <c r="F606" s="16"/>
      <c r="G606" s="16"/>
      <c r="H606" s="16"/>
      <c r="I606" s="16"/>
      <c r="J606" s="16"/>
      <c r="K606" s="16"/>
      <c r="L606" s="16"/>
      <c r="M606" s="16"/>
      <c r="N606" s="16"/>
      <c r="O606" s="16"/>
      <c r="P606" s="17"/>
      <c r="Q606" s="16"/>
      <c r="R606" s="16"/>
      <c r="S606" s="16"/>
      <c r="T606" s="16"/>
      <c r="U606" s="16"/>
      <c r="V606" s="16"/>
      <c r="W606" s="16"/>
      <c r="X606" s="16"/>
      <c r="Y606" s="16"/>
      <c r="Z606" s="16"/>
      <c r="AA606" s="16"/>
      <c r="AB606" s="16"/>
      <c r="AC606" s="16"/>
      <c r="AD606" s="16"/>
    </row>
    <row r="607" ht="14.25" customHeight="1">
      <c r="A607" s="16"/>
      <c r="B607" s="16"/>
      <c r="C607" s="16"/>
      <c r="D607" s="16"/>
      <c r="E607" s="16"/>
      <c r="F607" s="16"/>
      <c r="G607" s="16"/>
      <c r="H607" s="16"/>
      <c r="I607" s="16"/>
      <c r="J607" s="16"/>
      <c r="K607" s="16"/>
      <c r="L607" s="16"/>
      <c r="M607" s="16"/>
      <c r="N607" s="16"/>
      <c r="O607" s="16"/>
      <c r="P607" s="17"/>
      <c r="Q607" s="16"/>
      <c r="R607" s="16"/>
      <c r="S607" s="16"/>
      <c r="T607" s="16"/>
      <c r="U607" s="16"/>
      <c r="V607" s="16"/>
      <c r="W607" s="16"/>
      <c r="X607" s="16"/>
      <c r="Y607" s="16"/>
      <c r="Z607" s="16"/>
      <c r="AA607" s="16"/>
      <c r="AB607" s="16"/>
      <c r="AC607" s="16"/>
      <c r="AD607" s="16"/>
    </row>
    <row r="608" ht="14.25" customHeight="1">
      <c r="A608" s="16"/>
      <c r="B608" s="16"/>
      <c r="C608" s="16"/>
      <c r="D608" s="16"/>
      <c r="E608" s="16"/>
      <c r="F608" s="16"/>
      <c r="G608" s="16"/>
      <c r="H608" s="16"/>
      <c r="I608" s="16"/>
      <c r="J608" s="16"/>
      <c r="K608" s="16"/>
      <c r="L608" s="16"/>
      <c r="M608" s="16"/>
      <c r="N608" s="16"/>
      <c r="O608" s="16"/>
      <c r="P608" s="17"/>
      <c r="Q608" s="16"/>
      <c r="R608" s="16"/>
      <c r="S608" s="16"/>
      <c r="T608" s="16"/>
      <c r="U608" s="16"/>
      <c r="V608" s="16"/>
      <c r="W608" s="16"/>
      <c r="X608" s="16"/>
      <c r="Y608" s="16"/>
      <c r="Z608" s="16"/>
      <c r="AA608" s="16"/>
      <c r="AB608" s="16"/>
      <c r="AC608" s="16"/>
      <c r="AD608" s="16"/>
    </row>
    <row r="609" ht="14.25" customHeight="1">
      <c r="A609" s="16"/>
      <c r="B609" s="16"/>
      <c r="C609" s="16"/>
      <c r="D609" s="16"/>
      <c r="E609" s="16"/>
      <c r="F609" s="16"/>
      <c r="G609" s="16"/>
      <c r="H609" s="16"/>
      <c r="I609" s="16"/>
      <c r="J609" s="16"/>
      <c r="K609" s="16"/>
      <c r="L609" s="16"/>
      <c r="M609" s="16"/>
      <c r="N609" s="16"/>
      <c r="O609" s="16"/>
      <c r="P609" s="17"/>
      <c r="Q609" s="16"/>
      <c r="R609" s="16"/>
      <c r="S609" s="16"/>
      <c r="T609" s="16"/>
      <c r="U609" s="16"/>
      <c r="V609" s="16"/>
      <c r="W609" s="16"/>
      <c r="X609" s="16"/>
      <c r="Y609" s="16"/>
      <c r="Z609" s="16"/>
      <c r="AA609" s="16"/>
      <c r="AB609" s="16"/>
      <c r="AC609" s="16"/>
      <c r="AD609" s="16"/>
    </row>
    <row r="610" ht="14.25" customHeight="1">
      <c r="A610" s="16"/>
      <c r="B610" s="16"/>
      <c r="C610" s="16"/>
      <c r="D610" s="16"/>
      <c r="E610" s="16"/>
      <c r="F610" s="16"/>
      <c r="G610" s="16"/>
      <c r="H610" s="16"/>
      <c r="I610" s="16"/>
      <c r="J610" s="16"/>
      <c r="K610" s="16"/>
      <c r="L610" s="16"/>
      <c r="M610" s="16"/>
      <c r="N610" s="16"/>
      <c r="O610" s="16"/>
      <c r="P610" s="17"/>
      <c r="Q610" s="16"/>
      <c r="R610" s="16"/>
      <c r="S610" s="16"/>
      <c r="T610" s="16"/>
      <c r="U610" s="16"/>
      <c r="V610" s="16"/>
      <c r="W610" s="16"/>
      <c r="X610" s="16"/>
      <c r="Y610" s="16"/>
      <c r="Z610" s="16"/>
      <c r="AA610" s="16"/>
      <c r="AB610" s="16"/>
      <c r="AC610" s="16"/>
      <c r="AD610" s="16"/>
    </row>
    <row r="611" ht="14.25" customHeight="1">
      <c r="A611" s="16"/>
      <c r="B611" s="16"/>
      <c r="C611" s="16"/>
      <c r="D611" s="16"/>
      <c r="E611" s="16"/>
      <c r="F611" s="16"/>
      <c r="G611" s="16"/>
      <c r="H611" s="16"/>
      <c r="I611" s="16"/>
      <c r="J611" s="16"/>
      <c r="K611" s="16"/>
      <c r="L611" s="16"/>
      <c r="M611" s="16"/>
      <c r="N611" s="16"/>
      <c r="O611" s="16"/>
      <c r="P611" s="17"/>
      <c r="Q611" s="16"/>
      <c r="R611" s="16"/>
      <c r="S611" s="16"/>
      <c r="T611" s="16"/>
      <c r="U611" s="16"/>
      <c r="V611" s="16"/>
      <c r="W611" s="16"/>
      <c r="X611" s="16"/>
      <c r="Y611" s="16"/>
      <c r="Z611" s="16"/>
      <c r="AA611" s="16"/>
      <c r="AB611" s="16"/>
      <c r="AC611" s="16"/>
      <c r="AD611" s="16"/>
    </row>
    <row r="612" ht="14.25" customHeight="1">
      <c r="A612" s="16"/>
      <c r="B612" s="16"/>
      <c r="C612" s="16"/>
      <c r="D612" s="16"/>
      <c r="E612" s="16"/>
      <c r="F612" s="16"/>
      <c r="G612" s="16"/>
      <c r="H612" s="16"/>
      <c r="I612" s="16"/>
      <c r="J612" s="16"/>
      <c r="K612" s="16"/>
      <c r="L612" s="16"/>
      <c r="M612" s="16"/>
      <c r="N612" s="16"/>
      <c r="O612" s="16"/>
      <c r="P612" s="17"/>
      <c r="Q612" s="16"/>
      <c r="R612" s="16"/>
      <c r="S612" s="16"/>
      <c r="T612" s="16"/>
      <c r="U612" s="16"/>
      <c r="V612" s="16"/>
      <c r="W612" s="16"/>
      <c r="X612" s="16"/>
      <c r="Y612" s="16"/>
      <c r="Z612" s="16"/>
      <c r="AA612" s="16"/>
      <c r="AB612" s="16"/>
      <c r="AC612" s="16"/>
      <c r="AD612" s="16"/>
    </row>
    <row r="613" ht="14.25" customHeight="1">
      <c r="A613" s="16"/>
      <c r="B613" s="16"/>
      <c r="C613" s="16"/>
      <c r="D613" s="16"/>
      <c r="E613" s="16"/>
      <c r="F613" s="16"/>
      <c r="G613" s="16"/>
      <c r="H613" s="16"/>
      <c r="I613" s="16"/>
      <c r="J613" s="16"/>
      <c r="K613" s="16"/>
      <c r="L613" s="16"/>
      <c r="M613" s="16"/>
      <c r="N613" s="16"/>
      <c r="O613" s="16"/>
      <c r="P613" s="17"/>
      <c r="Q613" s="16"/>
      <c r="R613" s="16"/>
      <c r="S613" s="16"/>
      <c r="T613" s="16"/>
      <c r="U613" s="16"/>
      <c r="V613" s="16"/>
      <c r="W613" s="16"/>
      <c r="X613" s="16"/>
      <c r="Y613" s="16"/>
      <c r="Z613" s="16"/>
      <c r="AA613" s="16"/>
      <c r="AB613" s="16"/>
      <c r="AC613" s="16"/>
      <c r="AD613" s="16"/>
    </row>
    <row r="614" ht="14.25" customHeight="1">
      <c r="A614" s="16"/>
      <c r="B614" s="16"/>
      <c r="C614" s="16"/>
      <c r="D614" s="16"/>
      <c r="E614" s="16"/>
      <c r="F614" s="16"/>
      <c r="G614" s="16"/>
      <c r="H614" s="16"/>
      <c r="I614" s="16"/>
      <c r="J614" s="16"/>
      <c r="K614" s="16"/>
      <c r="L614" s="16"/>
      <c r="M614" s="16"/>
      <c r="N614" s="16"/>
      <c r="O614" s="16"/>
      <c r="P614" s="17"/>
      <c r="Q614" s="16"/>
      <c r="R614" s="16"/>
      <c r="S614" s="16"/>
      <c r="T614" s="16"/>
      <c r="U614" s="16"/>
      <c r="V614" s="16"/>
      <c r="W614" s="16"/>
      <c r="X614" s="16"/>
      <c r="Y614" s="16"/>
      <c r="Z614" s="16"/>
      <c r="AA614" s="16"/>
      <c r="AB614" s="16"/>
      <c r="AC614" s="16"/>
      <c r="AD614" s="16"/>
    </row>
    <row r="615" ht="14.25" customHeight="1">
      <c r="A615" s="16"/>
      <c r="B615" s="16"/>
      <c r="C615" s="16"/>
      <c r="D615" s="16"/>
      <c r="E615" s="16"/>
      <c r="F615" s="16"/>
      <c r="G615" s="16"/>
      <c r="H615" s="16"/>
      <c r="I615" s="16"/>
      <c r="J615" s="16"/>
      <c r="K615" s="16"/>
      <c r="L615" s="16"/>
      <c r="M615" s="16"/>
      <c r="N615" s="16"/>
      <c r="O615" s="16"/>
      <c r="P615" s="17"/>
      <c r="Q615" s="16"/>
      <c r="R615" s="16"/>
      <c r="S615" s="16"/>
      <c r="T615" s="16"/>
      <c r="U615" s="16"/>
      <c r="V615" s="16"/>
      <c r="W615" s="16"/>
      <c r="X615" s="16"/>
      <c r="Y615" s="16"/>
      <c r="Z615" s="16"/>
      <c r="AA615" s="16"/>
      <c r="AB615" s="16"/>
      <c r="AC615" s="16"/>
      <c r="AD615" s="16"/>
    </row>
    <row r="616" ht="14.25" customHeight="1">
      <c r="A616" s="16"/>
      <c r="B616" s="16"/>
      <c r="C616" s="16"/>
      <c r="D616" s="16"/>
      <c r="E616" s="16"/>
      <c r="F616" s="16"/>
      <c r="G616" s="16"/>
      <c r="H616" s="16"/>
      <c r="I616" s="16"/>
      <c r="J616" s="16"/>
      <c r="K616" s="16"/>
      <c r="L616" s="16"/>
      <c r="M616" s="16"/>
      <c r="N616" s="16"/>
      <c r="O616" s="16"/>
      <c r="P616" s="17"/>
      <c r="Q616" s="16"/>
      <c r="R616" s="16"/>
      <c r="S616" s="16"/>
      <c r="T616" s="16"/>
      <c r="U616" s="16"/>
      <c r="V616" s="16"/>
      <c r="W616" s="16"/>
      <c r="X616" s="16"/>
      <c r="Y616" s="16"/>
      <c r="Z616" s="16"/>
      <c r="AA616" s="16"/>
      <c r="AB616" s="16"/>
      <c r="AC616" s="16"/>
      <c r="AD616" s="16"/>
    </row>
    <row r="617" ht="14.25" customHeight="1">
      <c r="A617" s="16"/>
      <c r="B617" s="16"/>
      <c r="C617" s="16"/>
      <c r="D617" s="16"/>
      <c r="E617" s="16"/>
      <c r="F617" s="16"/>
      <c r="G617" s="16"/>
      <c r="H617" s="16"/>
      <c r="I617" s="16"/>
      <c r="J617" s="16"/>
      <c r="K617" s="16"/>
      <c r="L617" s="16"/>
      <c r="M617" s="16"/>
      <c r="N617" s="16"/>
      <c r="O617" s="16"/>
      <c r="P617" s="17"/>
      <c r="Q617" s="16"/>
      <c r="R617" s="16"/>
      <c r="S617" s="16"/>
      <c r="T617" s="16"/>
      <c r="U617" s="16"/>
      <c r="V617" s="16"/>
      <c r="W617" s="16"/>
      <c r="X617" s="16"/>
      <c r="Y617" s="16"/>
      <c r="Z617" s="16"/>
      <c r="AA617" s="16"/>
      <c r="AB617" s="16"/>
      <c r="AC617" s="16"/>
      <c r="AD617" s="16"/>
    </row>
    <row r="618" ht="14.25" customHeight="1">
      <c r="A618" s="16"/>
      <c r="B618" s="16"/>
      <c r="C618" s="16"/>
      <c r="D618" s="16"/>
      <c r="E618" s="16"/>
      <c r="F618" s="16"/>
      <c r="G618" s="16"/>
      <c r="H618" s="16"/>
      <c r="I618" s="16"/>
      <c r="J618" s="16"/>
      <c r="K618" s="16"/>
      <c r="L618" s="16"/>
      <c r="M618" s="16"/>
      <c r="N618" s="16"/>
      <c r="O618" s="16"/>
      <c r="P618" s="17"/>
      <c r="Q618" s="16"/>
      <c r="R618" s="16"/>
      <c r="S618" s="16"/>
      <c r="T618" s="16"/>
      <c r="U618" s="16"/>
      <c r="V618" s="16"/>
      <c r="W618" s="16"/>
      <c r="X618" s="16"/>
      <c r="Y618" s="16"/>
      <c r="Z618" s="16"/>
      <c r="AA618" s="16"/>
      <c r="AB618" s="16"/>
      <c r="AC618" s="16"/>
      <c r="AD618" s="16"/>
    </row>
    <row r="619" ht="14.25" customHeight="1">
      <c r="A619" s="16"/>
      <c r="B619" s="16"/>
      <c r="C619" s="16"/>
      <c r="D619" s="16"/>
      <c r="E619" s="16"/>
      <c r="F619" s="16"/>
      <c r="G619" s="16"/>
      <c r="H619" s="16"/>
      <c r="I619" s="16"/>
      <c r="J619" s="16"/>
      <c r="K619" s="16"/>
      <c r="L619" s="16"/>
      <c r="M619" s="16"/>
      <c r="N619" s="16"/>
      <c r="O619" s="16"/>
      <c r="P619" s="17"/>
      <c r="Q619" s="16"/>
      <c r="R619" s="16"/>
      <c r="S619" s="16"/>
      <c r="T619" s="16"/>
      <c r="U619" s="16"/>
      <c r="V619" s="16"/>
      <c r="W619" s="16"/>
      <c r="X619" s="16"/>
      <c r="Y619" s="16"/>
      <c r="Z619" s="16"/>
      <c r="AA619" s="16"/>
      <c r="AB619" s="16"/>
      <c r="AC619" s="16"/>
      <c r="AD619" s="16"/>
    </row>
    <row r="620" ht="14.25" customHeight="1">
      <c r="A620" s="16"/>
      <c r="B620" s="16"/>
      <c r="C620" s="16"/>
      <c r="D620" s="16"/>
      <c r="E620" s="16"/>
      <c r="F620" s="16"/>
      <c r="G620" s="16"/>
      <c r="H620" s="16"/>
      <c r="I620" s="16"/>
      <c r="J620" s="16"/>
      <c r="K620" s="16"/>
      <c r="L620" s="16"/>
      <c r="M620" s="16"/>
      <c r="N620" s="16"/>
      <c r="O620" s="16"/>
      <c r="P620" s="17"/>
      <c r="Q620" s="16"/>
      <c r="R620" s="16"/>
      <c r="S620" s="16"/>
      <c r="T620" s="16"/>
      <c r="U620" s="16"/>
      <c r="V620" s="16"/>
      <c r="W620" s="16"/>
      <c r="X620" s="16"/>
      <c r="Y620" s="16"/>
      <c r="Z620" s="16"/>
      <c r="AA620" s="16"/>
      <c r="AB620" s="16"/>
      <c r="AC620" s="16"/>
      <c r="AD620" s="16"/>
    </row>
    <row r="621" ht="14.25" customHeight="1">
      <c r="A621" s="16"/>
      <c r="B621" s="16"/>
      <c r="C621" s="16"/>
      <c r="D621" s="16"/>
      <c r="E621" s="16"/>
      <c r="F621" s="16"/>
      <c r="G621" s="16"/>
      <c r="H621" s="16"/>
      <c r="I621" s="16"/>
      <c r="J621" s="16"/>
      <c r="K621" s="16"/>
      <c r="L621" s="16"/>
      <c r="M621" s="16"/>
      <c r="N621" s="16"/>
      <c r="O621" s="16"/>
      <c r="P621" s="17"/>
      <c r="Q621" s="16"/>
      <c r="R621" s="16"/>
      <c r="S621" s="16"/>
      <c r="T621" s="16"/>
      <c r="U621" s="16"/>
      <c r="V621" s="16"/>
      <c r="W621" s="16"/>
      <c r="X621" s="16"/>
      <c r="Y621" s="16"/>
      <c r="Z621" s="16"/>
      <c r="AA621" s="16"/>
      <c r="AB621" s="16"/>
      <c r="AC621" s="16"/>
      <c r="AD621" s="16"/>
    </row>
    <row r="622" ht="14.25" customHeight="1">
      <c r="A622" s="16"/>
      <c r="B622" s="16"/>
      <c r="C622" s="16"/>
      <c r="D622" s="16"/>
      <c r="E622" s="16"/>
      <c r="F622" s="16"/>
      <c r="G622" s="16"/>
      <c r="H622" s="16"/>
      <c r="I622" s="16"/>
      <c r="J622" s="16"/>
      <c r="K622" s="16"/>
      <c r="L622" s="16"/>
      <c r="M622" s="16"/>
      <c r="N622" s="16"/>
      <c r="O622" s="16"/>
      <c r="P622" s="17"/>
      <c r="Q622" s="16"/>
      <c r="R622" s="16"/>
      <c r="S622" s="16"/>
      <c r="T622" s="16"/>
      <c r="U622" s="16"/>
      <c r="V622" s="16"/>
      <c r="W622" s="16"/>
      <c r="X622" s="16"/>
      <c r="Y622" s="16"/>
      <c r="Z622" s="16"/>
      <c r="AA622" s="16"/>
      <c r="AB622" s="16"/>
      <c r="AC622" s="16"/>
      <c r="AD622" s="16"/>
    </row>
    <row r="623" ht="14.25" customHeight="1">
      <c r="A623" s="16"/>
      <c r="B623" s="16"/>
      <c r="C623" s="16"/>
      <c r="D623" s="16"/>
      <c r="E623" s="16"/>
      <c r="F623" s="16"/>
      <c r="G623" s="16"/>
      <c r="H623" s="16"/>
      <c r="I623" s="16"/>
      <c r="J623" s="16"/>
      <c r="K623" s="16"/>
      <c r="L623" s="16"/>
      <c r="M623" s="16"/>
      <c r="N623" s="16"/>
      <c r="O623" s="16"/>
      <c r="P623" s="17"/>
      <c r="Q623" s="16"/>
      <c r="R623" s="16"/>
      <c r="S623" s="16"/>
      <c r="T623" s="16"/>
      <c r="U623" s="16"/>
      <c r="V623" s="16"/>
      <c r="W623" s="16"/>
      <c r="X623" s="16"/>
      <c r="Y623" s="16"/>
      <c r="Z623" s="16"/>
      <c r="AA623" s="16"/>
      <c r="AB623" s="16"/>
      <c r="AC623" s="16"/>
      <c r="AD623" s="16"/>
    </row>
    <row r="624" ht="14.25" customHeight="1">
      <c r="A624" s="16"/>
      <c r="B624" s="16"/>
      <c r="C624" s="16"/>
      <c r="D624" s="16"/>
      <c r="E624" s="16"/>
      <c r="F624" s="16"/>
      <c r="G624" s="16"/>
      <c r="H624" s="16"/>
      <c r="I624" s="16"/>
      <c r="J624" s="16"/>
      <c r="K624" s="16"/>
      <c r="L624" s="16"/>
      <c r="M624" s="16"/>
      <c r="N624" s="16"/>
      <c r="O624" s="16"/>
      <c r="P624" s="17"/>
      <c r="Q624" s="16"/>
      <c r="R624" s="16"/>
      <c r="S624" s="16"/>
      <c r="T624" s="16"/>
      <c r="U624" s="16"/>
      <c r="V624" s="16"/>
      <c r="W624" s="16"/>
      <c r="X624" s="16"/>
      <c r="Y624" s="16"/>
      <c r="Z624" s="16"/>
      <c r="AA624" s="16"/>
      <c r="AB624" s="16"/>
      <c r="AC624" s="16"/>
      <c r="AD624" s="16"/>
    </row>
    <row r="625" ht="14.25" customHeight="1">
      <c r="A625" s="16"/>
      <c r="B625" s="16"/>
      <c r="C625" s="16"/>
      <c r="D625" s="16"/>
      <c r="E625" s="16"/>
      <c r="F625" s="16"/>
      <c r="G625" s="16"/>
      <c r="H625" s="16"/>
      <c r="I625" s="16"/>
      <c r="J625" s="16"/>
      <c r="K625" s="16"/>
      <c r="L625" s="16"/>
      <c r="M625" s="16"/>
      <c r="N625" s="16"/>
      <c r="O625" s="16"/>
      <c r="P625" s="17"/>
      <c r="Q625" s="16"/>
      <c r="R625" s="16"/>
      <c r="S625" s="16"/>
      <c r="T625" s="16"/>
      <c r="U625" s="16"/>
      <c r="V625" s="16"/>
      <c r="W625" s="16"/>
      <c r="X625" s="16"/>
      <c r="Y625" s="16"/>
      <c r="Z625" s="16"/>
      <c r="AA625" s="16"/>
      <c r="AB625" s="16"/>
      <c r="AC625" s="16"/>
      <c r="AD625" s="16"/>
    </row>
    <row r="626" ht="14.25" customHeight="1">
      <c r="A626" s="16"/>
      <c r="B626" s="16"/>
      <c r="C626" s="16"/>
      <c r="D626" s="16"/>
      <c r="E626" s="16"/>
      <c r="F626" s="16"/>
      <c r="G626" s="16"/>
      <c r="H626" s="16"/>
      <c r="I626" s="16"/>
      <c r="J626" s="16"/>
      <c r="K626" s="16"/>
      <c r="L626" s="16"/>
      <c r="M626" s="16"/>
      <c r="N626" s="16"/>
      <c r="O626" s="16"/>
      <c r="P626" s="17"/>
      <c r="Q626" s="16"/>
      <c r="R626" s="16"/>
      <c r="S626" s="16"/>
      <c r="T626" s="16"/>
      <c r="U626" s="16"/>
      <c r="V626" s="16"/>
      <c r="W626" s="16"/>
      <c r="X626" s="16"/>
      <c r="Y626" s="16"/>
      <c r="Z626" s="16"/>
      <c r="AA626" s="16"/>
      <c r="AB626" s="16"/>
      <c r="AC626" s="16"/>
      <c r="AD626" s="16"/>
    </row>
    <row r="627" ht="14.25" customHeight="1">
      <c r="A627" s="16"/>
      <c r="B627" s="16"/>
      <c r="C627" s="16"/>
      <c r="D627" s="16"/>
      <c r="E627" s="16"/>
      <c r="F627" s="16"/>
      <c r="G627" s="16"/>
      <c r="H627" s="16"/>
      <c r="I627" s="16"/>
      <c r="J627" s="16"/>
      <c r="K627" s="16"/>
      <c r="L627" s="16"/>
      <c r="M627" s="16"/>
      <c r="N627" s="16"/>
      <c r="O627" s="16"/>
      <c r="P627" s="17"/>
      <c r="Q627" s="16"/>
      <c r="R627" s="16"/>
      <c r="S627" s="16"/>
      <c r="T627" s="16"/>
      <c r="U627" s="16"/>
      <c r="V627" s="16"/>
      <c r="W627" s="16"/>
      <c r="X627" s="16"/>
      <c r="Y627" s="16"/>
      <c r="Z627" s="16"/>
      <c r="AA627" s="16"/>
      <c r="AB627" s="16"/>
      <c r="AC627" s="16"/>
      <c r="AD627" s="16"/>
    </row>
    <row r="628" ht="14.25" customHeight="1">
      <c r="A628" s="16"/>
      <c r="B628" s="16"/>
      <c r="C628" s="16"/>
      <c r="D628" s="16"/>
      <c r="E628" s="16"/>
      <c r="F628" s="16"/>
      <c r="G628" s="16"/>
      <c r="H628" s="16"/>
      <c r="I628" s="16"/>
      <c r="J628" s="16"/>
      <c r="K628" s="16"/>
      <c r="L628" s="16"/>
      <c r="M628" s="16"/>
      <c r="N628" s="16"/>
      <c r="O628" s="16"/>
      <c r="P628" s="17"/>
      <c r="Q628" s="16"/>
      <c r="R628" s="16"/>
      <c r="S628" s="16"/>
      <c r="T628" s="16"/>
      <c r="U628" s="16"/>
      <c r="V628" s="16"/>
      <c r="W628" s="16"/>
      <c r="X628" s="16"/>
      <c r="Y628" s="16"/>
      <c r="Z628" s="16"/>
      <c r="AA628" s="16"/>
      <c r="AB628" s="16"/>
      <c r="AC628" s="16"/>
      <c r="AD628" s="16"/>
    </row>
    <row r="629" ht="14.25" customHeight="1">
      <c r="A629" s="16"/>
      <c r="B629" s="16"/>
      <c r="C629" s="16"/>
      <c r="D629" s="16"/>
      <c r="E629" s="16"/>
      <c r="F629" s="16"/>
      <c r="G629" s="16"/>
      <c r="H629" s="16"/>
      <c r="I629" s="16"/>
      <c r="J629" s="16"/>
      <c r="K629" s="16"/>
      <c r="L629" s="16"/>
      <c r="M629" s="16"/>
      <c r="N629" s="16"/>
      <c r="O629" s="16"/>
      <c r="P629" s="17"/>
      <c r="Q629" s="16"/>
      <c r="R629" s="16"/>
      <c r="S629" s="16"/>
      <c r="T629" s="16"/>
      <c r="U629" s="16"/>
      <c r="V629" s="16"/>
      <c r="W629" s="16"/>
      <c r="X629" s="16"/>
      <c r="Y629" s="16"/>
      <c r="Z629" s="16"/>
      <c r="AA629" s="16"/>
      <c r="AB629" s="16"/>
      <c r="AC629" s="16"/>
      <c r="AD629" s="16"/>
    </row>
    <row r="630" ht="14.25" customHeight="1">
      <c r="A630" s="16"/>
      <c r="B630" s="16"/>
      <c r="C630" s="16"/>
      <c r="D630" s="16"/>
      <c r="E630" s="16"/>
      <c r="F630" s="16"/>
      <c r="G630" s="16"/>
      <c r="H630" s="16"/>
      <c r="I630" s="16"/>
      <c r="J630" s="16"/>
      <c r="K630" s="16"/>
      <c r="L630" s="16"/>
      <c r="M630" s="16"/>
      <c r="N630" s="16"/>
      <c r="O630" s="16"/>
      <c r="P630" s="17"/>
      <c r="Q630" s="16"/>
      <c r="R630" s="16"/>
      <c r="S630" s="16"/>
      <c r="T630" s="16"/>
      <c r="U630" s="16"/>
      <c r="V630" s="16"/>
      <c r="W630" s="16"/>
      <c r="X630" s="16"/>
      <c r="Y630" s="16"/>
      <c r="Z630" s="16"/>
      <c r="AA630" s="16"/>
      <c r="AB630" s="16"/>
      <c r="AC630" s="16"/>
      <c r="AD630" s="16"/>
    </row>
    <row r="631" ht="14.25" customHeight="1">
      <c r="A631" s="16"/>
      <c r="B631" s="16"/>
      <c r="C631" s="16"/>
      <c r="D631" s="16"/>
      <c r="E631" s="16"/>
      <c r="F631" s="16"/>
      <c r="G631" s="16"/>
      <c r="H631" s="16"/>
      <c r="I631" s="16"/>
      <c r="J631" s="16"/>
      <c r="K631" s="16"/>
      <c r="L631" s="16"/>
      <c r="M631" s="16"/>
      <c r="N631" s="16"/>
      <c r="O631" s="16"/>
      <c r="P631" s="17"/>
      <c r="Q631" s="16"/>
      <c r="R631" s="16"/>
      <c r="S631" s="16"/>
      <c r="T631" s="16"/>
      <c r="U631" s="16"/>
      <c r="V631" s="16"/>
      <c r="W631" s="16"/>
      <c r="X631" s="16"/>
      <c r="Y631" s="16"/>
      <c r="Z631" s="16"/>
      <c r="AA631" s="16"/>
      <c r="AB631" s="16"/>
      <c r="AC631" s="16"/>
      <c r="AD631" s="16"/>
    </row>
    <row r="632" ht="14.25" customHeight="1">
      <c r="A632" s="16"/>
      <c r="B632" s="16"/>
      <c r="C632" s="16"/>
      <c r="D632" s="16"/>
      <c r="E632" s="16"/>
      <c r="F632" s="16"/>
      <c r="G632" s="16"/>
      <c r="H632" s="16"/>
      <c r="I632" s="16"/>
      <c r="J632" s="16"/>
      <c r="K632" s="16"/>
      <c r="L632" s="16"/>
      <c r="M632" s="16"/>
      <c r="N632" s="16"/>
      <c r="O632" s="16"/>
      <c r="P632" s="17"/>
      <c r="Q632" s="16"/>
      <c r="R632" s="16"/>
      <c r="S632" s="16"/>
      <c r="T632" s="16"/>
      <c r="U632" s="16"/>
      <c r="V632" s="16"/>
      <c r="W632" s="16"/>
      <c r="X632" s="16"/>
      <c r="Y632" s="16"/>
      <c r="Z632" s="16"/>
      <c r="AA632" s="16"/>
      <c r="AB632" s="16"/>
      <c r="AC632" s="16"/>
      <c r="AD632" s="16"/>
    </row>
    <row r="633" ht="14.25" customHeight="1">
      <c r="A633" s="16"/>
      <c r="B633" s="16"/>
      <c r="C633" s="16"/>
      <c r="D633" s="16"/>
      <c r="E633" s="16"/>
      <c r="F633" s="16"/>
      <c r="G633" s="16"/>
      <c r="H633" s="16"/>
      <c r="I633" s="16"/>
      <c r="J633" s="16"/>
      <c r="K633" s="16"/>
      <c r="L633" s="16"/>
      <c r="M633" s="16"/>
      <c r="N633" s="16"/>
      <c r="O633" s="16"/>
      <c r="P633" s="17"/>
      <c r="Q633" s="16"/>
      <c r="R633" s="16"/>
      <c r="S633" s="16"/>
      <c r="T633" s="16"/>
      <c r="U633" s="16"/>
      <c r="V633" s="16"/>
      <c r="W633" s="16"/>
      <c r="X633" s="16"/>
      <c r="Y633" s="16"/>
      <c r="Z633" s="16"/>
      <c r="AA633" s="16"/>
      <c r="AB633" s="16"/>
      <c r="AC633" s="16"/>
      <c r="AD633" s="16"/>
    </row>
    <row r="634" ht="14.25" customHeight="1">
      <c r="A634" s="16"/>
      <c r="B634" s="16"/>
      <c r="C634" s="16"/>
      <c r="D634" s="16"/>
      <c r="E634" s="16"/>
      <c r="F634" s="16"/>
      <c r="G634" s="16"/>
      <c r="H634" s="16"/>
      <c r="I634" s="16"/>
      <c r="J634" s="16"/>
      <c r="K634" s="16"/>
      <c r="L634" s="16"/>
      <c r="M634" s="16"/>
      <c r="N634" s="16"/>
      <c r="O634" s="16"/>
      <c r="P634" s="17"/>
      <c r="Q634" s="16"/>
      <c r="R634" s="16"/>
      <c r="S634" s="16"/>
      <c r="T634" s="16"/>
      <c r="U634" s="16"/>
      <c r="V634" s="16"/>
      <c r="W634" s="16"/>
      <c r="X634" s="16"/>
      <c r="Y634" s="16"/>
      <c r="Z634" s="16"/>
      <c r="AA634" s="16"/>
      <c r="AB634" s="16"/>
      <c r="AC634" s="16"/>
      <c r="AD634" s="16"/>
    </row>
    <row r="635" ht="14.25" customHeight="1">
      <c r="A635" s="16"/>
      <c r="B635" s="16"/>
      <c r="C635" s="16"/>
      <c r="D635" s="16"/>
      <c r="E635" s="16"/>
      <c r="F635" s="16"/>
      <c r="G635" s="16"/>
      <c r="H635" s="16"/>
      <c r="I635" s="16"/>
      <c r="J635" s="16"/>
      <c r="K635" s="16"/>
      <c r="L635" s="16"/>
      <c r="M635" s="16"/>
      <c r="N635" s="16"/>
      <c r="O635" s="16"/>
      <c r="P635" s="17"/>
      <c r="Q635" s="16"/>
      <c r="R635" s="16"/>
      <c r="S635" s="16"/>
      <c r="T635" s="16"/>
      <c r="U635" s="16"/>
      <c r="V635" s="16"/>
      <c r="W635" s="16"/>
      <c r="X635" s="16"/>
      <c r="Y635" s="16"/>
      <c r="Z635" s="16"/>
      <c r="AA635" s="16"/>
      <c r="AB635" s="16"/>
      <c r="AC635" s="16"/>
      <c r="AD635" s="16"/>
    </row>
    <row r="636" ht="14.25" customHeight="1">
      <c r="A636" s="16"/>
      <c r="B636" s="16"/>
      <c r="C636" s="16"/>
      <c r="D636" s="16"/>
      <c r="E636" s="16"/>
      <c r="F636" s="16"/>
      <c r="G636" s="16"/>
      <c r="H636" s="16"/>
      <c r="I636" s="16"/>
      <c r="J636" s="16"/>
      <c r="K636" s="16"/>
      <c r="L636" s="16"/>
      <c r="M636" s="16"/>
      <c r="N636" s="16"/>
      <c r="O636" s="16"/>
      <c r="P636" s="17"/>
      <c r="Q636" s="16"/>
      <c r="R636" s="16"/>
      <c r="S636" s="16"/>
      <c r="T636" s="16"/>
      <c r="U636" s="16"/>
      <c r="V636" s="16"/>
      <c r="W636" s="16"/>
      <c r="X636" s="16"/>
      <c r="Y636" s="16"/>
      <c r="Z636" s="16"/>
      <c r="AA636" s="16"/>
      <c r="AB636" s="16"/>
      <c r="AC636" s="16"/>
      <c r="AD636" s="16"/>
    </row>
    <row r="637" ht="14.25" customHeight="1">
      <c r="A637" s="16"/>
      <c r="B637" s="16"/>
      <c r="C637" s="16"/>
      <c r="D637" s="16"/>
      <c r="E637" s="16"/>
      <c r="F637" s="16"/>
      <c r="G637" s="16"/>
      <c r="H637" s="16"/>
      <c r="I637" s="16"/>
      <c r="J637" s="16"/>
      <c r="K637" s="16"/>
      <c r="L637" s="16"/>
      <c r="M637" s="16"/>
      <c r="N637" s="16"/>
      <c r="O637" s="16"/>
      <c r="P637" s="17"/>
      <c r="Q637" s="16"/>
      <c r="R637" s="16"/>
      <c r="S637" s="16"/>
      <c r="T637" s="16"/>
      <c r="U637" s="16"/>
      <c r="V637" s="16"/>
      <c r="W637" s="16"/>
      <c r="X637" s="16"/>
      <c r="Y637" s="16"/>
      <c r="Z637" s="16"/>
      <c r="AA637" s="16"/>
      <c r="AB637" s="16"/>
      <c r="AC637" s="16"/>
      <c r="AD637" s="16"/>
    </row>
    <row r="638" ht="14.25" customHeight="1">
      <c r="A638" s="16"/>
      <c r="B638" s="16"/>
      <c r="C638" s="16"/>
      <c r="D638" s="16"/>
      <c r="E638" s="16"/>
      <c r="F638" s="16"/>
      <c r="G638" s="16"/>
      <c r="H638" s="16"/>
      <c r="I638" s="16"/>
      <c r="J638" s="16"/>
      <c r="K638" s="16"/>
      <c r="L638" s="16"/>
      <c r="M638" s="16"/>
      <c r="N638" s="16"/>
      <c r="O638" s="16"/>
      <c r="P638" s="17"/>
      <c r="Q638" s="16"/>
      <c r="R638" s="16"/>
      <c r="S638" s="16"/>
      <c r="T638" s="16"/>
      <c r="U638" s="16"/>
      <c r="V638" s="16"/>
      <c r="W638" s="16"/>
      <c r="X638" s="16"/>
      <c r="Y638" s="16"/>
      <c r="Z638" s="16"/>
      <c r="AA638" s="16"/>
      <c r="AB638" s="16"/>
      <c r="AC638" s="16"/>
      <c r="AD638" s="16"/>
    </row>
    <row r="639" ht="14.25" customHeight="1">
      <c r="A639" s="16"/>
      <c r="B639" s="16"/>
      <c r="C639" s="16"/>
      <c r="D639" s="16"/>
      <c r="E639" s="16"/>
      <c r="F639" s="16"/>
      <c r="G639" s="16"/>
      <c r="H639" s="16"/>
      <c r="I639" s="16"/>
      <c r="J639" s="16"/>
      <c r="K639" s="16"/>
      <c r="L639" s="16"/>
      <c r="M639" s="16"/>
      <c r="N639" s="16"/>
      <c r="O639" s="16"/>
      <c r="P639" s="17"/>
      <c r="Q639" s="16"/>
      <c r="R639" s="16"/>
      <c r="S639" s="16"/>
      <c r="T639" s="16"/>
      <c r="U639" s="16"/>
      <c r="V639" s="16"/>
      <c r="W639" s="16"/>
      <c r="X639" s="16"/>
      <c r="Y639" s="16"/>
      <c r="Z639" s="16"/>
      <c r="AA639" s="16"/>
      <c r="AB639" s="16"/>
      <c r="AC639" s="16"/>
      <c r="AD639" s="16"/>
    </row>
    <row r="640" ht="14.25" customHeight="1">
      <c r="A640" s="16"/>
      <c r="B640" s="16"/>
      <c r="C640" s="16"/>
      <c r="D640" s="16"/>
      <c r="E640" s="16"/>
      <c r="F640" s="16"/>
      <c r="G640" s="16"/>
      <c r="H640" s="16"/>
      <c r="I640" s="16"/>
      <c r="J640" s="16"/>
      <c r="K640" s="16"/>
      <c r="L640" s="16"/>
      <c r="M640" s="16"/>
      <c r="N640" s="16"/>
      <c r="O640" s="16"/>
      <c r="P640" s="17"/>
      <c r="Q640" s="16"/>
      <c r="R640" s="16"/>
      <c r="S640" s="16"/>
      <c r="T640" s="16"/>
      <c r="U640" s="16"/>
      <c r="V640" s="16"/>
      <c r="W640" s="16"/>
      <c r="X640" s="16"/>
      <c r="Y640" s="16"/>
      <c r="Z640" s="16"/>
      <c r="AA640" s="16"/>
      <c r="AB640" s="16"/>
      <c r="AC640" s="16"/>
      <c r="AD640" s="16"/>
    </row>
    <row r="641" ht="14.25" customHeight="1">
      <c r="A641" s="16"/>
      <c r="B641" s="16"/>
      <c r="C641" s="16"/>
      <c r="D641" s="16"/>
      <c r="E641" s="16"/>
      <c r="F641" s="16"/>
      <c r="G641" s="16"/>
      <c r="H641" s="16"/>
      <c r="I641" s="16"/>
      <c r="J641" s="16"/>
      <c r="K641" s="16"/>
      <c r="L641" s="16"/>
      <c r="M641" s="16"/>
      <c r="N641" s="16"/>
      <c r="O641" s="16"/>
      <c r="P641" s="17"/>
      <c r="Q641" s="16"/>
      <c r="R641" s="16"/>
      <c r="S641" s="16"/>
      <c r="T641" s="16"/>
      <c r="U641" s="16"/>
      <c r="V641" s="16"/>
      <c r="W641" s="16"/>
      <c r="X641" s="16"/>
      <c r="Y641" s="16"/>
      <c r="Z641" s="16"/>
      <c r="AA641" s="16"/>
      <c r="AB641" s="16"/>
      <c r="AC641" s="16"/>
      <c r="AD641" s="16"/>
    </row>
    <row r="642" ht="14.25" customHeight="1">
      <c r="A642" s="16"/>
      <c r="B642" s="16"/>
      <c r="C642" s="16"/>
      <c r="D642" s="16"/>
      <c r="E642" s="16"/>
      <c r="F642" s="16"/>
      <c r="G642" s="16"/>
      <c r="H642" s="16"/>
      <c r="I642" s="16"/>
      <c r="J642" s="16"/>
      <c r="K642" s="16"/>
      <c r="L642" s="16"/>
      <c r="M642" s="16"/>
      <c r="N642" s="16"/>
      <c r="O642" s="16"/>
      <c r="P642" s="17"/>
      <c r="Q642" s="16"/>
      <c r="R642" s="16"/>
      <c r="S642" s="16"/>
      <c r="T642" s="16"/>
      <c r="U642" s="16"/>
      <c r="V642" s="16"/>
      <c r="W642" s="16"/>
      <c r="X642" s="16"/>
      <c r="Y642" s="16"/>
      <c r="Z642" s="16"/>
      <c r="AA642" s="16"/>
      <c r="AB642" s="16"/>
      <c r="AC642" s="16"/>
      <c r="AD642" s="16"/>
    </row>
    <row r="643" ht="14.25" customHeight="1">
      <c r="A643" s="16"/>
      <c r="B643" s="16"/>
      <c r="C643" s="16"/>
      <c r="D643" s="16"/>
      <c r="E643" s="16"/>
      <c r="F643" s="16"/>
      <c r="G643" s="16"/>
      <c r="H643" s="16"/>
      <c r="I643" s="16"/>
      <c r="J643" s="16"/>
      <c r="K643" s="16"/>
      <c r="L643" s="16"/>
      <c r="M643" s="16"/>
      <c r="N643" s="16"/>
      <c r="O643" s="16"/>
      <c r="P643" s="17"/>
      <c r="Q643" s="16"/>
      <c r="R643" s="16"/>
      <c r="S643" s="16"/>
      <c r="T643" s="16"/>
      <c r="U643" s="16"/>
      <c r="V643" s="16"/>
      <c r="W643" s="16"/>
      <c r="X643" s="16"/>
      <c r="Y643" s="16"/>
      <c r="Z643" s="16"/>
      <c r="AA643" s="16"/>
      <c r="AB643" s="16"/>
      <c r="AC643" s="16"/>
      <c r="AD643" s="16"/>
    </row>
    <row r="644" ht="14.25" customHeight="1">
      <c r="A644" s="16"/>
      <c r="B644" s="16"/>
      <c r="C644" s="16"/>
      <c r="D644" s="16"/>
      <c r="E644" s="16"/>
      <c r="F644" s="16"/>
      <c r="G644" s="16"/>
      <c r="H644" s="16"/>
      <c r="I644" s="16"/>
      <c r="J644" s="16"/>
      <c r="K644" s="16"/>
      <c r="L644" s="16"/>
      <c r="M644" s="16"/>
      <c r="N644" s="16"/>
      <c r="O644" s="16"/>
      <c r="P644" s="17"/>
      <c r="Q644" s="16"/>
      <c r="R644" s="16"/>
      <c r="S644" s="16"/>
      <c r="T644" s="16"/>
      <c r="U644" s="16"/>
      <c r="V644" s="16"/>
      <c r="W644" s="16"/>
      <c r="X644" s="16"/>
      <c r="Y644" s="16"/>
      <c r="Z644" s="16"/>
      <c r="AA644" s="16"/>
      <c r="AB644" s="16"/>
      <c r="AC644" s="16"/>
      <c r="AD644" s="16"/>
    </row>
    <row r="645" ht="14.25" customHeight="1">
      <c r="A645" s="16"/>
      <c r="B645" s="16"/>
      <c r="C645" s="16"/>
      <c r="D645" s="16"/>
      <c r="E645" s="16"/>
      <c r="F645" s="16"/>
      <c r="G645" s="16"/>
      <c r="H645" s="16"/>
      <c r="I645" s="16"/>
      <c r="J645" s="16"/>
      <c r="K645" s="16"/>
      <c r="L645" s="16"/>
      <c r="M645" s="16"/>
      <c r="N645" s="16"/>
      <c r="O645" s="16"/>
      <c r="P645" s="17"/>
      <c r="Q645" s="16"/>
      <c r="R645" s="16"/>
      <c r="S645" s="16"/>
      <c r="T645" s="16"/>
      <c r="U645" s="16"/>
      <c r="V645" s="16"/>
      <c r="W645" s="16"/>
      <c r="X645" s="16"/>
      <c r="Y645" s="16"/>
      <c r="Z645" s="16"/>
      <c r="AA645" s="16"/>
      <c r="AB645" s="16"/>
      <c r="AC645" s="16"/>
      <c r="AD645" s="16"/>
    </row>
    <row r="646" ht="14.25" customHeight="1">
      <c r="A646" s="16"/>
      <c r="B646" s="16"/>
      <c r="C646" s="16"/>
      <c r="D646" s="16"/>
      <c r="E646" s="16"/>
      <c r="F646" s="16"/>
      <c r="G646" s="16"/>
      <c r="H646" s="16"/>
      <c r="I646" s="16"/>
      <c r="J646" s="16"/>
      <c r="K646" s="16"/>
      <c r="L646" s="16"/>
      <c r="M646" s="16"/>
      <c r="N646" s="16"/>
      <c r="O646" s="16"/>
      <c r="P646" s="17"/>
      <c r="Q646" s="16"/>
      <c r="R646" s="16"/>
      <c r="S646" s="16"/>
      <c r="T646" s="16"/>
      <c r="U646" s="16"/>
      <c r="V646" s="16"/>
      <c r="W646" s="16"/>
      <c r="X646" s="16"/>
      <c r="Y646" s="16"/>
      <c r="Z646" s="16"/>
      <c r="AA646" s="16"/>
      <c r="AB646" s="16"/>
      <c r="AC646" s="16"/>
      <c r="AD646" s="16"/>
    </row>
    <row r="647" ht="14.25" customHeight="1">
      <c r="A647" s="16"/>
      <c r="B647" s="16"/>
      <c r="C647" s="16"/>
      <c r="D647" s="16"/>
      <c r="E647" s="16"/>
      <c r="F647" s="16"/>
      <c r="G647" s="16"/>
      <c r="H647" s="16"/>
      <c r="I647" s="16"/>
      <c r="J647" s="16"/>
      <c r="K647" s="16"/>
      <c r="L647" s="16"/>
      <c r="M647" s="16"/>
      <c r="N647" s="16"/>
      <c r="O647" s="16"/>
      <c r="P647" s="17"/>
      <c r="Q647" s="16"/>
      <c r="R647" s="16"/>
      <c r="S647" s="16"/>
      <c r="T647" s="16"/>
      <c r="U647" s="16"/>
      <c r="V647" s="16"/>
      <c r="W647" s="16"/>
      <c r="X647" s="16"/>
      <c r="Y647" s="16"/>
      <c r="Z647" s="16"/>
      <c r="AA647" s="16"/>
      <c r="AB647" s="16"/>
      <c r="AC647" s="16"/>
      <c r="AD647" s="16"/>
    </row>
    <row r="648" ht="14.25" customHeight="1">
      <c r="A648" s="16"/>
      <c r="B648" s="16"/>
      <c r="C648" s="16"/>
      <c r="D648" s="16"/>
      <c r="E648" s="16"/>
      <c r="F648" s="16"/>
      <c r="G648" s="16"/>
      <c r="H648" s="16"/>
      <c r="I648" s="16"/>
      <c r="J648" s="16"/>
      <c r="K648" s="16"/>
      <c r="L648" s="16"/>
      <c r="M648" s="16"/>
      <c r="N648" s="16"/>
      <c r="O648" s="16"/>
      <c r="P648" s="17"/>
      <c r="Q648" s="16"/>
      <c r="R648" s="16"/>
      <c r="S648" s="16"/>
      <c r="T648" s="16"/>
      <c r="U648" s="16"/>
      <c r="V648" s="16"/>
      <c r="W648" s="16"/>
      <c r="X648" s="16"/>
      <c r="Y648" s="16"/>
      <c r="Z648" s="16"/>
      <c r="AA648" s="16"/>
      <c r="AB648" s="16"/>
      <c r="AC648" s="16"/>
      <c r="AD648" s="16"/>
    </row>
    <row r="649" ht="14.25" customHeight="1">
      <c r="A649" s="16"/>
      <c r="B649" s="16"/>
      <c r="C649" s="16"/>
      <c r="D649" s="16"/>
      <c r="E649" s="16"/>
      <c r="F649" s="16"/>
      <c r="G649" s="16"/>
      <c r="H649" s="16"/>
      <c r="I649" s="16"/>
      <c r="J649" s="16"/>
      <c r="K649" s="16"/>
      <c r="L649" s="16"/>
      <c r="M649" s="16"/>
      <c r="N649" s="16"/>
      <c r="O649" s="16"/>
      <c r="P649" s="17"/>
      <c r="Q649" s="16"/>
      <c r="R649" s="16"/>
      <c r="S649" s="16"/>
      <c r="T649" s="16"/>
      <c r="U649" s="16"/>
      <c r="V649" s="16"/>
      <c r="W649" s="16"/>
      <c r="X649" s="16"/>
      <c r="Y649" s="16"/>
      <c r="Z649" s="16"/>
      <c r="AA649" s="16"/>
      <c r="AB649" s="16"/>
      <c r="AC649" s="16"/>
      <c r="AD649" s="16"/>
    </row>
    <row r="650" ht="14.25" customHeight="1">
      <c r="A650" s="16"/>
      <c r="B650" s="16"/>
      <c r="C650" s="16"/>
      <c r="D650" s="16"/>
      <c r="E650" s="16"/>
      <c r="F650" s="16"/>
      <c r="G650" s="16"/>
      <c r="H650" s="16"/>
      <c r="I650" s="16"/>
      <c r="J650" s="16"/>
      <c r="K650" s="16"/>
      <c r="L650" s="16"/>
      <c r="M650" s="16"/>
      <c r="N650" s="16"/>
      <c r="O650" s="16"/>
      <c r="P650" s="17"/>
      <c r="Q650" s="16"/>
      <c r="R650" s="16"/>
      <c r="S650" s="16"/>
      <c r="T650" s="16"/>
      <c r="U650" s="16"/>
      <c r="V650" s="16"/>
      <c r="W650" s="16"/>
      <c r="X650" s="16"/>
      <c r="Y650" s="16"/>
      <c r="Z650" s="16"/>
      <c r="AA650" s="16"/>
      <c r="AB650" s="16"/>
      <c r="AC650" s="16"/>
      <c r="AD650" s="16"/>
    </row>
    <row r="651" ht="14.25" customHeight="1">
      <c r="A651" s="16"/>
      <c r="B651" s="16"/>
      <c r="C651" s="16"/>
      <c r="D651" s="16"/>
      <c r="E651" s="16"/>
      <c r="F651" s="16"/>
      <c r="G651" s="16"/>
      <c r="H651" s="16"/>
      <c r="I651" s="16"/>
      <c r="J651" s="16"/>
      <c r="K651" s="16"/>
      <c r="L651" s="16"/>
      <c r="M651" s="16"/>
      <c r="N651" s="16"/>
      <c r="O651" s="16"/>
      <c r="P651" s="17"/>
      <c r="Q651" s="16"/>
      <c r="R651" s="16"/>
      <c r="S651" s="16"/>
      <c r="T651" s="16"/>
      <c r="U651" s="16"/>
      <c r="V651" s="16"/>
      <c r="W651" s="16"/>
      <c r="X651" s="16"/>
      <c r="Y651" s="16"/>
      <c r="Z651" s="16"/>
      <c r="AA651" s="16"/>
      <c r="AB651" s="16"/>
      <c r="AC651" s="16"/>
      <c r="AD651" s="16"/>
    </row>
    <row r="652" ht="14.25" customHeight="1">
      <c r="A652" s="16"/>
      <c r="B652" s="16"/>
      <c r="C652" s="16"/>
      <c r="D652" s="16"/>
      <c r="E652" s="16"/>
      <c r="F652" s="16"/>
      <c r="G652" s="16"/>
      <c r="H652" s="16"/>
      <c r="I652" s="16"/>
      <c r="J652" s="16"/>
      <c r="K652" s="16"/>
      <c r="L652" s="16"/>
      <c r="M652" s="16"/>
      <c r="N652" s="16"/>
      <c r="O652" s="16"/>
      <c r="P652" s="17"/>
      <c r="Q652" s="16"/>
      <c r="R652" s="16"/>
      <c r="S652" s="16"/>
      <c r="T652" s="16"/>
      <c r="U652" s="16"/>
      <c r="V652" s="16"/>
      <c r="W652" s="16"/>
      <c r="X652" s="16"/>
      <c r="Y652" s="16"/>
      <c r="Z652" s="16"/>
      <c r="AA652" s="16"/>
      <c r="AB652" s="16"/>
      <c r="AC652" s="16"/>
      <c r="AD652" s="16"/>
    </row>
    <row r="653" ht="14.25" customHeight="1">
      <c r="A653" s="16"/>
      <c r="B653" s="16"/>
      <c r="C653" s="16"/>
      <c r="D653" s="16"/>
      <c r="E653" s="16"/>
      <c r="F653" s="16"/>
      <c r="G653" s="16"/>
      <c r="H653" s="16"/>
      <c r="I653" s="16"/>
      <c r="J653" s="16"/>
      <c r="K653" s="16"/>
      <c r="L653" s="16"/>
      <c r="M653" s="16"/>
      <c r="N653" s="16"/>
      <c r="O653" s="16"/>
      <c r="P653" s="17"/>
      <c r="Q653" s="16"/>
      <c r="R653" s="16"/>
      <c r="S653" s="16"/>
      <c r="T653" s="16"/>
      <c r="U653" s="16"/>
      <c r="V653" s="16"/>
      <c r="W653" s="16"/>
      <c r="X653" s="16"/>
      <c r="Y653" s="16"/>
      <c r="Z653" s="16"/>
      <c r="AA653" s="16"/>
      <c r="AB653" s="16"/>
      <c r="AC653" s="16"/>
      <c r="AD653" s="16"/>
    </row>
    <row r="654" ht="14.25" customHeight="1">
      <c r="A654" s="16"/>
      <c r="B654" s="16"/>
      <c r="C654" s="16"/>
      <c r="D654" s="16"/>
      <c r="E654" s="16"/>
      <c r="F654" s="16"/>
      <c r="G654" s="16"/>
      <c r="H654" s="16"/>
      <c r="I654" s="16"/>
      <c r="J654" s="16"/>
      <c r="K654" s="16"/>
      <c r="L654" s="16"/>
      <c r="M654" s="16"/>
      <c r="N654" s="16"/>
      <c r="O654" s="16"/>
      <c r="P654" s="17"/>
      <c r="Q654" s="16"/>
      <c r="R654" s="16"/>
      <c r="S654" s="16"/>
      <c r="T654" s="16"/>
      <c r="U654" s="16"/>
      <c r="V654" s="16"/>
      <c r="W654" s="16"/>
      <c r="X654" s="16"/>
      <c r="Y654" s="16"/>
      <c r="Z654" s="16"/>
      <c r="AA654" s="16"/>
      <c r="AB654" s="16"/>
      <c r="AC654" s="16"/>
      <c r="AD654" s="16"/>
    </row>
    <row r="655" ht="14.25" customHeight="1">
      <c r="A655" s="16"/>
      <c r="B655" s="16"/>
      <c r="C655" s="16"/>
      <c r="D655" s="16"/>
      <c r="E655" s="16"/>
      <c r="F655" s="16"/>
      <c r="G655" s="16"/>
      <c r="H655" s="16"/>
      <c r="I655" s="16"/>
      <c r="J655" s="16"/>
      <c r="K655" s="16"/>
      <c r="L655" s="16"/>
      <c r="M655" s="16"/>
      <c r="N655" s="16"/>
      <c r="O655" s="16"/>
      <c r="P655" s="17"/>
      <c r="Q655" s="16"/>
      <c r="R655" s="16"/>
      <c r="S655" s="16"/>
      <c r="T655" s="16"/>
      <c r="U655" s="16"/>
      <c r="V655" s="16"/>
      <c r="W655" s="16"/>
      <c r="X655" s="16"/>
      <c r="Y655" s="16"/>
      <c r="Z655" s="16"/>
      <c r="AA655" s="16"/>
      <c r="AB655" s="16"/>
      <c r="AC655" s="16"/>
      <c r="AD655" s="16"/>
    </row>
    <row r="656" ht="14.25" customHeight="1">
      <c r="A656" s="16"/>
      <c r="B656" s="16"/>
      <c r="C656" s="16"/>
      <c r="D656" s="16"/>
      <c r="E656" s="16"/>
      <c r="F656" s="16"/>
      <c r="G656" s="16"/>
      <c r="H656" s="16"/>
      <c r="I656" s="16"/>
      <c r="J656" s="16"/>
      <c r="K656" s="16"/>
      <c r="L656" s="16"/>
      <c r="M656" s="16"/>
      <c r="N656" s="16"/>
      <c r="O656" s="16"/>
      <c r="P656" s="17"/>
      <c r="Q656" s="16"/>
      <c r="R656" s="16"/>
      <c r="S656" s="16"/>
      <c r="T656" s="16"/>
      <c r="U656" s="16"/>
      <c r="V656" s="16"/>
      <c r="W656" s="16"/>
      <c r="X656" s="16"/>
      <c r="Y656" s="16"/>
      <c r="Z656" s="16"/>
      <c r="AA656" s="16"/>
      <c r="AB656" s="16"/>
      <c r="AC656" s="16"/>
      <c r="AD656" s="16"/>
    </row>
    <row r="657" ht="14.25" customHeight="1">
      <c r="A657" s="16"/>
      <c r="B657" s="16"/>
      <c r="C657" s="16"/>
      <c r="D657" s="16"/>
      <c r="E657" s="16"/>
      <c r="F657" s="16"/>
      <c r="G657" s="16"/>
      <c r="H657" s="16"/>
      <c r="I657" s="16"/>
      <c r="J657" s="16"/>
      <c r="K657" s="16"/>
      <c r="L657" s="16"/>
      <c r="M657" s="16"/>
      <c r="N657" s="16"/>
      <c r="O657" s="16"/>
      <c r="P657" s="17"/>
      <c r="Q657" s="16"/>
      <c r="R657" s="16"/>
      <c r="S657" s="16"/>
      <c r="T657" s="16"/>
      <c r="U657" s="16"/>
      <c r="V657" s="16"/>
      <c r="W657" s="16"/>
      <c r="X657" s="16"/>
      <c r="Y657" s="16"/>
      <c r="Z657" s="16"/>
      <c r="AA657" s="16"/>
      <c r="AB657" s="16"/>
      <c r="AC657" s="16"/>
      <c r="AD657" s="16"/>
    </row>
    <row r="658" ht="14.25" customHeight="1">
      <c r="A658" s="16"/>
      <c r="B658" s="16"/>
      <c r="C658" s="16"/>
      <c r="D658" s="16"/>
      <c r="E658" s="16"/>
      <c r="F658" s="16"/>
      <c r="G658" s="16"/>
      <c r="H658" s="16"/>
      <c r="I658" s="16"/>
      <c r="J658" s="16"/>
      <c r="K658" s="16"/>
      <c r="L658" s="16"/>
      <c r="M658" s="16"/>
      <c r="N658" s="16"/>
      <c r="O658" s="16"/>
      <c r="P658" s="17"/>
      <c r="Q658" s="16"/>
      <c r="R658" s="16"/>
      <c r="S658" s="16"/>
      <c r="T658" s="16"/>
      <c r="U658" s="16"/>
      <c r="V658" s="16"/>
      <c r="W658" s="16"/>
      <c r="X658" s="16"/>
      <c r="Y658" s="16"/>
      <c r="Z658" s="16"/>
      <c r="AA658" s="16"/>
      <c r="AB658" s="16"/>
      <c r="AC658" s="16"/>
      <c r="AD658" s="16"/>
    </row>
    <row r="659" ht="14.25" customHeight="1">
      <c r="A659" s="16"/>
      <c r="B659" s="16"/>
      <c r="C659" s="16"/>
      <c r="D659" s="16"/>
      <c r="E659" s="16"/>
      <c r="F659" s="16"/>
      <c r="G659" s="16"/>
      <c r="H659" s="16"/>
      <c r="I659" s="16"/>
      <c r="J659" s="16"/>
      <c r="K659" s="16"/>
      <c r="L659" s="16"/>
      <c r="M659" s="16"/>
      <c r="N659" s="16"/>
      <c r="O659" s="16"/>
      <c r="P659" s="17"/>
      <c r="Q659" s="16"/>
      <c r="R659" s="16"/>
      <c r="S659" s="16"/>
      <c r="T659" s="16"/>
      <c r="U659" s="16"/>
      <c r="V659" s="16"/>
      <c r="W659" s="16"/>
      <c r="X659" s="16"/>
      <c r="Y659" s="16"/>
      <c r="Z659" s="16"/>
      <c r="AA659" s="16"/>
      <c r="AB659" s="16"/>
      <c r="AC659" s="16"/>
      <c r="AD659" s="16"/>
    </row>
    <row r="660" ht="14.25" customHeight="1">
      <c r="A660" s="16"/>
      <c r="B660" s="16"/>
      <c r="C660" s="16"/>
      <c r="D660" s="16"/>
      <c r="E660" s="16"/>
      <c r="F660" s="16"/>
      <c r="G660" s="16"/>
      <c r="H660" s="16"/>
      <c r="I660" s="16"/>
      <c r="J660" s="16"/>
      <c r="K660" s="16"/>
      <c r="L660" s="16"/>
      <c r="M660" s="16"/>
      <c r="N660" s="16"/>
      <c r="O660" s="16"/>
      <c r="P660" s="17"/>
      <c r="Q660" s="16"/>
      <c r="R660" s="16"/>
      <c r="S660" s="16"/>
      <c r="T660" s="16"/>
      <c r="U660" s="16"/>
      <c r="V660" s="16"/>
      <c r="W660" s="16"/>
      <c r="X660" s="16"/>
      <c r="Y660" s="16"/>
      <c r="Z660" s="16"/>
      <c r="AA660" s="16"/>
      <c r="AB660" s="16"/>
      <c r="AC660" s="16"/>
      <c r="AD660" s="16"/>
    </row>
    <row r="661" ht="14.25" customHeight="1">
      <c r="A661" s="16"/>
      <c r="B661" s="16"/>
      <c r="C661" s="16"/>
      <c r="D661" s="16"/>
      <c r="E661" s="16"/>
      <c r="F661" s="16"/>
      <c r="G661" s="16"/>
      <c r="H661" s="16"/>
      <c r="I661" s="16"/>
      <c r="J661" s="16"/>
      <c r="K661" s="16"/>
      <c r="L661" s="16"/>
      <c r="M661" s="16"/>
      <c r="N661" s="16"/>
      <c r="O661" s="16"/>
      <c r="P661" s="17"/>
      <c r="Q661" s="16"/>
      <c r="R661" s="16"/>
      <c r="S661" s="16"/>
      <c r="T661" s="16"/>
      <c r="U661" s="16"/>
      <c r="V661" s="16"/>
      <c r="W661" s="16"/>
      <c r="X661" s="16"/>
      <c r="Y661" s="16"/>
      <c r="Z661" s="16"/>
      <c r="AA661" s="16"/>
      <c r="AB661" s="16"/>
      <c r="AC661" s="16"/>
      <c r="AD661" s="16"/>
    </row>
    <row r="662" ht="14.25" customHeight="1">
      <c r="A662" s="16"/>
      <c r="B662" s="16"/>
      <c r="C662" s="16"/>
      <c r="D662" s="16"/>
      <c r="E662" s="16"/>
      <c r="F662" s="16"/>
      <c r="G662" s="16"/>
      <c r="H662" s="16"/>
      <c r="I662" s="16"/>
      <c r="J662" s="16"/>
      <c r="K662" s="16"/>
      <c r="L662" s="16"/>
      <c r="M662" s="16"/>
      <c r="N662" s="16"/>
      <c r="O662" s="16"/>
      <c r="P662" s="17"/>
      <c r="Q662" s="16"/>
      <c r="R662" s="16"/>
      <c r="S662" s="16"/>
      <c r="T662" s="16"/>
      <c r="U662" s="16"/>
      <c r="V662" s="16"/>
      <c r="W662" s="16"/>
      <c r="X662" s="16"/>
      <c r="Y662" s="16"/>
      <c r="Z662" s="16"/>
      <c r="AA662" s="16"/>
      <c r="AB662" s="16"/>
      <c r="AC662" s="16"/>
      <c r="AD662" s="16"/>
    </row>
    <row r="663" ht="14.25" customHeight="1">
      <c r="A663" s="16"/>
      <c r="B663" s="16"/>
      <c r="C663" s="16"/>
      <c r="D663" s="16"/>
      <c r="E663" s="16"/>
      <c r="F663" s="16"/>
      <c r="G663" s="16"/>
      <c r="H663" s="16"/>
      <c r="I663" s="16"/>
      <c r="J663" s="16"/>
      <c r="K663" s="16"/>
      <c r="L663" s="16"/>
      <c r="M663" s="16"/>
      <c r="N663" s="16"/>
      <c r="O663" s="16"/>
      <c r="P663" s="17"/>
      <c r="Q663" s="16"/>
      <c r="R663" s="16"/>
      <c r="S663" s="16"/>
      <c r="T663" s="16"/>
      <c r="U663" s="16"/>
      <c r="V663" s="16"/>
      <c r="W663" s="16"/>
      <c r="X663" s="16"/>
      <c r="Y663" s="16"/>
      <c r="Z663" s="16"/>
      <c r="AA663" s="16"/>
      <c r="AB663" s="16"/>
      <c r="AC663" s="16"/>
      <c r="AD663" s="16"/>
    </row>
    <row r="664" ht="14.25" customHeight="1">
      <c r="A664" s="16"/>
      <c r="B664" s="16"/>
      <c r="C664" s="16"/>
      <c r="D664" s="16"/>
      <c r="E664" s="16"/>
      <c r="F664" s="16"/>
      <c r="G664" s="16"/>
      <c r="H664" s="16"/>
      <c r="I664" s="16"/>
      <c r="J664" s="16"/>
      <c r="K664" s="16"/>
      <c r="L664" s="16"/>
      <c r="M664" s="16"/>
      <c r="N664" s="16"/>
      <c r="O664" s="16"/>
      <c r="P664" s="17"/>
      <c r="Q664" s="16"/>
      <c r="R664" s="16"/>
      <c r="S664" s="16"/>
      <c r="T664" s="16"/>
      <c r="U664" s="16"/>
      <c r="V664" s="16"/>
      <c r="W664" s="16"/>
      <c r="X664" s="16"/>
      <c r="Y664" s="16"/>
      <c r="Z664" s="16"/>
      <c r="AA664" s="16"/>
      <c r="AB664" s="16"/>
      <c r="AC664" s="16"/>
      <c r="AD664" s="16"/>
    </row>
    <row r="665" ht="14.25" customHeight="1">
      <c r="A665" s="16"/>
      <c r="B665" s="16"/>
      <c r="C665" s="16"/>
      <c r="D665" s="16"/>
      <c r="E665" s="16"/>
      <c r="F665" s="16"/>
      <c r="G665" s="16"/>
      <c r="H665" s="16"/>
      <c r="I665" s="16"/>
      <c r="J665" s="16"/>
      <c r="K665" s="16"/>
      <c r="L665" s="16"/>
      <c r="M665" s="16"/>
      <c r="N665" s="16"/>
      <c r="O665" s="16"/>
      <c r="P665" s="17"/>
      <c r="Q665" s="16"/>
      <c r="R665" s="16"/>
      <c r="S665" s="16"/>
      <c r="T665" s="16"/>
      <c r="U665" s="16"/>
      <c r="V665" s="16"/>
      <c r="W665" s="16"/>
      <c r="X665" s="16"/>
      <c r="Y665" s="16"/>
      <c r="Z665" s="16"/>
      <c r="AA665" s="16"/>
      <c r="AB665" s="16"/>
      <c r="AC665" s="16"/>
      <c r="AD665" s="16"/>
    </row>
    <row r="666" ht="14.25" customHeight="1">
      <c r="A666" s="16"/>
      <c r="B666" s="16"/>
      <c r="C666" s="16"/>
      <c r="D666" s="16"/>
      <c r="E666" s="16"/>
      <c r="F666" s="16"/>
      <c r="G666" s="16"/>
      <c r="H666" s="16"/>
      <c r="I666" s="16"/>
      <c r="J666" s="16"/>
      <c r="K666" s="16"/>
      <c r="L666" s="16"/>
      <c r="M666" s="16"/>
      <c r="N666" s="16"/>
      <c r="O666" s="16"/>
      <c r="P666" s="17"/>
      <c r="Q666" s="16"/>
      <c r="R666" s="16"/>
      <c r="S666" s="16"/>
      <c r="T666" s="16"/>
      <c r="U666" s="16"/>
      <c r="V666" s="16"/>
      <c r="W666" s="16"/>
      <c r="X666" s="16"/>
      <c r="Y666" s="16"/>
      <c r="Z666" s="16"/>
      <c r="AA666" s="16"/>
      <c r="AB666" s="16"/>
      <c r="AC666" s="16"/>
      <c r="AD666" s="16"/>
    </row>
    <row r="667" ht="14.25" customHeight="1">
      <c r="A667" s="16"/>
      <c r="B667" s="16"/>
      <c r="C667" s="16"/>
      <c r="D667" s="16"/>
      <c r="E667" s="16"/>
      <c r="F667" s="16"/>
      <c r="G667" s="16"/>
      <c r="H667" s="16"/>
      <c r="I667" s="16"/>
      <c r="J667" s="16"/>
      <c r="K667" s="16"/>
      <c r="L667" s="16"/>
      <c r="M667" s="16"/>
      <c r="N667" s="16"/>
      <c r="O667" s="16"/>
      <c r="P667" s="17"/>
      <c r="Q667" s="16"/>
      <c r="R667" s="16"/>
      <c r="S667" s="16"/>
      <c r="T667" s="16"/>
      <c r="U667" s="16"/>
      <c r="V667" s="16"/>
      <c r="W667" s="16"/>
      <c r="X667" s="16"/>
      <c r="Y667" s="16"/>
      <c r="Z667" s="16"/>
      <c r="AA667" s="16"/>
      <c r="AB667" s="16"/>
      <c r="AC667" s="16"/>
      <c r="AD667" s="16"/>
    </row>
    <row r="668" ht="14.25" customHeight="1">
      <c r="A668" s="16"/>
      <c r="B668" s="16"/>
      <c r="C668" s="16"/>
      <c r="D668" s="16"/>
      <c r="E668" s="16"/>
      <c r="F668" s="16"/>
      <c r="G668" s="16"/>
      <c r="H668" s="16"/>
      <c r="I668" s="16"/>
      <c r="J668" s="16"/>
      <c r="K668" s="16"/>
      <c r="L668" s="16"/>
      <c r="M668" s="16"/>
      <c r="N668" s="16"/>
      <c r="O668" s="16"/>
      <c r="P668" s="17"/>
      <c r="Q668" s="16"/>
      <c r="R668" s="16"/>
      <c r="S668" s="16"/>
      <c r="T668" s="16"/>
      <c r="U668" s="16"/>
      <c r="V668" s="16"/>
      <c r="W668" s="16"/>
      <c r="X668" s="16"/>
      <c r="Y668" s="16"/>
      <c r="Z668" s="16"/>
      <c r="AA668" s="16"/>
      <c r="AB668" s="16"/>
      <c r="AC668" s="16"/>
      <c r="AD668" s="16"/>
    </row>
    <row r="669" ht="14.25" customHeight="1">
      <c r="A669" s="16"/>
      <c r="B669" s="16"/>
      <c r="C669" s="16"/>
      <c r="D669" s="16"/>
      <c r="E669" s="16"/>
      <c r="F669" s="16"/>
      <c r="G669" s="16"/>
      <c r="H669" s="16"/>
      <c r="I669" s="16"/>
      <c r="J669" s="16"/>
      <c r="K669" s="16"/>
      <c r="L669" s="16"/>
      <c r="M669" s="16"/>
      <c r="N669" s="16"/>
      <c r="O669" s="16"/>
      <c r="P669" s="17"/>
      <c r="Q669" s="16"/>
      <c r="R669" s="16"/>
      <c r="S669" s="16"/>
      <c r="T669" s="16"/>
      <c r="U669" s="16"/>
      <c r="V669" s="16"/>
      <c r="W669" s="16"/>
      <c r="X669" s="16"/>
      <c r="Y669" s="16"/>
      <c r="Z669" s="16"/>
      <c r="AA669" s="16"/>
      <c r="AB669" s="16"/>
      <c r="AC669" s="16"/>
      <c r="AD669" s="16"/>
    </row>
    <row r="670" ht="14.25" customHeight="1">
      <c r="A670" s="16"/>
      <c r="B670" s="16"/>
      <c r="C670" s="16"/>
      <c r="D670" s="16"/>
      <c r="E670" s="16"/>
      <c r="F670" s="16"/>
      <c r="G670" s="16"/>
      <c r="H670" s="16"/>
      <c r="I670" s="16"/>
      <c r="J670" s="16"/>
      <c r="K670" s="16"/>
      <c r="L670" s="16"/>
      <c r="M670" s="16"/>
      <c r="N670" s="16"/>
      <c r="O670" s="16"/>
      <c r="P670" s="17"/>
      <c r="Q670" s="16"/>
      <c r="R670" s="16"/>
      <c r="S670" s="16"/>
      <c r="T670" s="16"/>
      <c r="U670" s="16"/>
      <c r="V670" s="16"/>
      <c r="W670" s="16"/>
      <c r="X670" s="16"/>
      <c r="Y670" s="16"/>
      <c r="Z670" s="16"/>
      <c r="AA670" s="16"/>
      <c r="AB670" s="16"/>
      <c r="AC670" s="16"/>
      <c r="AD670" s="16"/>
    </row>
    <row r="671" ht="14.25" customHeight="1">
      <c r="A671" s="16"/>
      <c r="B671" s="16"/>
      <c r="C671" s="16"/>
      <c r="D671" s="16"/>
      <c r="E671" s="16"/>
      <c r="F671" s="16"/>
      <c r="G671" s="16"/>
      <c r="H671" s="16"/>
      <c r="I671" s="16"/>
      <c r="J671" s="16"/>
      <c r="K671" s="16"/>
      <c r="L671" s="16"/>
      <c r="M671" s="16"/>
      <c r="N671" s="16"/>
      <c r="O671" s="16"/>
      <c r="P671" s="17"/>
      <c r="Q671" s="16"/>
      <c r="R671" s="16"/>
      <c r="S671" s="16"/>
      <c r="T671" s="16"/>
      <c r="U671" s="16"/>
      <c r="V671" s="16"/>
      <c r="W671" s="16"/>
      <c r="X671" s="16"/>
      <c r="Y671" s="16"/>
      <c r="Z671" s="16"/>
      <c r="AA671" s="16"/>
      <c r="AB671" s="16"/>
      <c r="AC671" s="16"/>
      <c r="AD671" s="16"/>
    </row>
    <row r="672" ht="14.25" customHeight="1">
      <c r="A672" s="16"/>
      <c r="B672" s="16"/>
      <c r="C672" s="16"/>
      <c r="D672" s="16"/>
      <c r="E672" s="16"/>
      <c r="F672" s="16"/>
      <c r="G672" s="16"/>
      <c r="H672" s="16"/>
      <c r="I672" s="16"/>
      <c r="J672" s="16"/>
      <c r="K672" s="16"/>
      <c r="L672" s="16"/>
      <c r="M672" s="16"/>
      <c r="N672" s="16"/>
      <c r="O672" s="16"/>
      <c r="P672" s="17"/>
      <c r="Q672" s="16"/>
      <c r="R672" s="16"/>
      <c r="S672" s="16"/>
      <c r="T672" s="16"/>
      <c r="U672" s="16"/>
      <c r="V672" s="16"/>
      <c r="W672" s="16"/>
      <c r="X672" s="16"/>
      <c r="Y672" s="16"/>
      <c r="Z672" s="16"/>
      <c r="AA672" s="16"/>
      <c r="AB672" s="16"/>
      <c r="AC672" s="16"/>
      <c r="AD672" s="16"/>
    </row>
    <row r="673" ht="14.25" customHeight="1">
      <c r="A673" s="16"/>
      <c r="B673" s="16"/>
      <c r="C673" s="16"/>
      <c r="D673" s="16"/>
      <c r="E673" s="16"/>
      <c r="F673" s="16"/>
      <c r="G673" s="16"/>
      <c r="H673" s="16"/>
      <c r="I673" s="16"/>
      <c r="J673" s="16"/>
      <c r="K673" s="16"/>
      <c r="L673" s="16"/>
      <c r="M673" s="16"/>
      <c r="N673" s="16"/>
      <c r="O673" s="16"/>
      <c r="P673" s="17"/>
      <c r="Q673" s="16"/>
      <c r="R673" s="16"/>
      <c r="S673" s="16"/>
      <c r="T673" s="16"/>
      <c r="U673" s="16"/>
      <c r="V673" s="16"/>
      <c r="W673" s="16"/>
      <c r="X673" s="16"/>
      <c r="Y673" s="16"/>
      <c r="Z673" s="16"/>
      <c r="AA673" s="16"/>
      <c r="AB673" s="16"/>
      <c r="AC673" s="16"/>
      <c r="AD673" s="16"/>
    </row>
    <row r="674" ht="14.25" customHeight="1">
      <c r="A674" s="16"/>
      <c r="B674" s="16"/>
      <c r="C674" s="16"/>
      <c r="D674" s="16"/>
      <c r="E674" s="16"/>
      <c r="F674" s="16"/>
      <c r="G674" s="16"/>
      <c r="H674" s="16"/>
      <c r="I674" s="16"/>
      <c r="J674" s="16"/>
      <c r="K674" s="16"/>
      <c r="L674" s="16"/>
      <c r="M674" s="16"/>
      <c r="N674" s="16"/>
      <c r="O674" s="16"/>
      <c r="P674" s="17"/>
      <c r="Q674" s="16"/>
      <c r="R674" s="16"/>
      <c r="S674" s="16"/>
      <c r="T674" s="16"/>
      <c r="U674" s="16"/>
      <c r="V674" s="16"/>
      <c r="W674" s="16"/>
      <c r="X674" s="16"/>
      <c r="Y674" s="16"/>
      <c r="Z674" s="16"/>
      <c r="AA674" s="16"/>
      <c r="AB674" s="16"/>
      <c r="AC674" s="16"/>
      <c r="AD674" s="16"/>
    </row>
    <row r="675" ht="14.25" customHeight="1">
      <c r="A675" s="16"/>
      <c r="B675" s="16"/>
      <c r="C675" s="16"/>
      <c r="D675" s="16"/>
      <c r="E675" s="16"/>
      <c r="F675" s="16"/>
      <c r="G675" s="16"/>
      <c r="H675" s="16"/>
      <c r="I675" s="16"/>
      <c r="J675" s="16"/>
      <c r="K675" s="16"/>
      <c r="L675" s="16"/>
      <c r="M675" s="16"/>
      <c r="N675" s="16"/>
      <c r="O675" s="16"/>
      <c r="P675" s="17"/>
      <c r="Q675" s="16"/>
      <c r="R675" s="16"/>
      <c r="S675" s="16"/>
      <c r="T675" s="16"/>
      <c r="U675" s="16"/>
      <c r="V675" s="16"/>
      <c r="W675" s="16"/>
      <c r="X675" s="16"/>
      <c r="Y675" s="16"/>
      <c r="Z675" s="16"/>
      <c r="AA675" s="16"/>
      <c r="AB675" s="16"/>
      <c r="AC675" s="16"/>
      <c r="AD675" s="16"/>
    </row>
    <row r="676" ht="14.25" customHeight="1">
      <c r="A676" s="16"/>
      <c r="B676" s="16"/>
      <c r="C676" s="16"/>
      <c r="D676" s="16"/>
      <c r="E676" s="16"/>
      <c r="F676" s="16"/>
      <c r="G676" s="16"/>
      <c r="H676" s="16"/>
      <c r="I676" s="16"/>
      <c r="J676" s="16"/>
      <c r="K676" s="16"/>
      <c r="L676" s="16"/>
      <c r="M676" s="16"/>
      <c r="N676" s="16"/>
      <c r="O676" s="16"/>
      <c r="P676" s="17"/>
      <c r="Q676" s="16"/>
      <c r="R676" s="16"/>
      <c r="S676" s="16"/>
      <c r="T676" s="16"/>
      <c r="U676" s="16"/>
      <c r="V676" s="16"/>
      <c r="W676" s="16"/>
      <c r="X676" s="16"/>
      <c r="Y676" s="16"/>
      <c r="Z676" s="16"/>
      <c r="AA676" s="16"/>
      <c r="AB676" s="16"/>
      <c r="AC676" s="16"/>
      <c r="AD676" s="16"/>
    </row>
    <row r="677" ht="14.25" customHeight="1">
      <c r="A677" s="16"/>
      <c r="B677" s="16"/>
      <c r="C677" s="16"/>
      <c r="D677" s="16"/>
      <c r="E677" s="16"/>
      <c r="F677" s="16"/>
      <c r="G677" s="16"/>
      <c r="H677" s="16"/>
      <c r="I677" s="16"/>
      <c r="J677" s="16"/>
      <c r="K677" s="16"/>
      <c r="L677" s="16"/>
      <c r="M677" s="16"/>
      <c r="N677" s="16"/>
      <c r="O677" s="16"/>
      <c r="P677" s="17"/>
      <c r="Q677" s="16"/>
      <c r="R677" s="16"/>
      <c r="S677" s="16"/>
      <c r="T677" s="16"/>
      <c r="U677" s="16"/>
      <c r="V677" s="16"/>
      <c r="W677" s="16"/>
      <c r="X677" s="16"/>
      <c r="Y677" s="16"/>
      <c r="Z677" s="16"/>
      <c r="AA677" s="16"/>
      <c r="AB677" s="16"/>
      <c r="AC677" s="16"/>
      <c r="AD677" s="16"/>
    </row>
    <row r="678" ht="14.25" customHeight="1">
      <c r="A678" s="16"/>
      <c r="B678" s="16"/>
      <c r="C678" s="16"/>
      <c r="D678" s="16"/>
      <c r="E678" s="16"/>
      <c r="F678" s="16"/>
      <c r="G678" s="16"/>
      <c r="H678" s="16"/>
      <c r="I678" s="16"/>
      <c r="J678" s="16"/>
      <c r="K678" s="16"/>
      <c r="L678" s="16"/>
      <c r="M678" s="16"/>
      <c r="N678" s="16"/>
      <c r="O678" s="16"/>
      <c r="P678" s="17"/>
      <c r="Q678" s="16"/>
      <c r="R678" s="16"/>
      <c r="S678" s="16"/>
      <c r="T678" s="16"/>
      <c r="U678" s="16"/>
      <c r="V678" s="16"/>
      <c r="W678" s="16"/>
      <c r="X678" s="16"/>
      <c r="Y678" s="16"/>
      <c r="Z678" s="16"/>
      <c r="AA678" s="16"/>
      <c r="AB678" s="16"/>
      <c r="AC678" s="16"/>
      <c r="AD678" s="16"/>
    </row>
    <row r="679" ht="14.25" customHeight="1">
      <c r="A679" s="16"/>
      <c r="B679" s="16"/>
      <c r="C679" s="16"/>
      <c r="D679" s="16"/>
      <c r="E679" s="16"/>
      <c r="F679" s="16"/>
      <c r="G679" s="16"/>
      <c r="H679" s="16"/>
      <c r="I679" s="16"/>
      <c r="J679" s="16"/>
      <c r="K679" s="16"/>
      <c r="L679" s="16"/>
      <c r="M679" s="16"/>
      <c r="N679" s="16"/>
      <c r="O679" s="16"/>
      <c r="P679" s="17"/>
      <c r="Q679" s="16"/>
      <c r="R679" s="16"/>
      <c r="S679" s="16"/>
      <c r="T679" s="16"/>
      <c r="U679" s="16"/>
      <c r="V679" s="16"/>
      <c r="W679" s="16"/>
      <c r="X679" s="16"/>
      <c r="Y679" s="16"/>
      <c r="Z679" s="16"/>
      <c r="AA679" s="16"/>
      <c r="AB679" s="16"/>
      <c r="AC679" s="16"/>
      <c r="AD679" s="16"/>
    </row>
    <row r="680" ht="14.25" customHeight="1">
      <c r="A680" s="16"/>
      <c r="B680" s="16"/>
      <c r="C680" s="16"/>
      <c r="D680" s="16"/>
      <c r="E680" s="16"/>
      <c r="F680" s="16"/>
      <c r="G680" s="16"/>
      <c r="H680" s="16"/>
      <c r="I680" s="16"/>
      <c r="J680" s="16"/>
      <c r="K680" s="16"/>
      <c r="L680" s="16"/>
      <c r="M680" s="16"/>
      <c r="N680" s="16"/>
      <c r="O680" s="16"/>
      <c r="P680" s="17"/>
      <c r="Q680" s="16"/>
      <c r="R680" s="16"/>
      <c r="S680" s="16"/>
      <c r="T680" s="16"/>
      <c r="U680" s="16"/>
      <c r="V680" s="16"/>
      <c r="W680" s="16"/>
      <c r="X680" s="16"/>
      <c r="Y680" s="16"/>
      <c r="Z680" s="16"/>
      <c r="AA680" s="16"/>
      <c r="AB680" s="16"/>
      <c r="AC680" s="16"/>
      <c r="AD680" s="16"/>
    </row>
    <row r="681" ht="14.25" customHeight="1">
      <c r="A681" s="16"/>
      <c r="B681" s="16"/>
      <c r="C681" s="16"/>
      <c r="D681" s="16"/>
      <c r="E681" s="16"/>
      <c r="F681" s="16"/>
      <c r="G681" s="16"/>
      <c r="H681" s="16"/>
      <c r="I681" s="16"/>
      <c r="J681" s="16"/>
      <c r="K681" s="16"/>
      <c r="L681" s="16"/>
      <c r="M681" s="16"/>
      <c r="N681" s="16"/>
      <c r="O681" s="16"/>
      <c r="P681" s="17"/>
      <c r="Q681" s="16"/>
      <c r="R681" s="16"/>
      <c r="S681" s="16"/>
      <c r="T681" s="16"/>
      <c r="U681" s="16"/>
      <c r="V681" s="16"/>
      <c r="W681" s="16"/>
      <c r="X681" s="16"/>
      <c r="Y681" s="16"/>
      <c r="Z681" s="16"/>
      <c r="AA681" s="16"/>
      <c r="AB681" s="16"/>
      <c r="AC681" s="16"/>
      <c r="AD681" s="16"/>
    </row>
    <row r="682" ht="14.25" customHeight="1">
      <c r="A682" s="16"/>
      <c r="B682" s="16"/>
      <c r="C682" s="16"/>
      <c r="D682" s="16"/>
      <c r="E682" s="16"/>
      <c r="F682" s="16"/>
      <c r="G682" s="16"/>
      <c r="H682" s="16"/>
      <c r="I682" s="16"/>
      <c r="J682" s="16"/>
      <c r="K682" s="16"/>
      <c r="L682" s="16"/>
      <c r="M682" s="16"/>
      <c r="N682" s="16"/>
      <c r="O682" s="16"/>
      <c r="P682" s="17"/>
      <c r="Q682" s="16"/>
      <c r="R682" s="16"/>
      <c r="S682" s="16"/>
      <c r="T682" s="16"/>
      <c r="U682" s="16"/>
      <c r="V682" s="16"/>
      <c r="W682" s="16"/>
      <c r="X682" s="16"/>
      <c r="Y682" s="16"/>
      <c r="Z682" s="16"/>
      <c r="AA682" s="16"/>
      <c r="AB682" s="16"/>
      <c r="AC682" s="16"/>
      <c r="AD682" s="16"/>
    </row>
    <row r="683" ht="14.25" customHeight="1">
      <c r="A683" s="16"/>
      <c r="B683" s="16"/>
      <c r="C683" s="16"/>
      <c r="D683" s="16"/>
      <c r="E683" s="16"/>
      <c r="F683" s="16"/>
      <c r="G683" s="16"/>
      <c r="H683" s="16"/>
      <c r="I683" s="16"/>
      <c r="J683" s="16"/>
      <c r="K683" s="16"/>
      <c r="L683" s="16"/>
      <c r="M683" s="16"/>
      <c r="N683" s="16"/>
      <c r="O683" s="16"/>
      <c r="P683" s="17"/>
      <c r="Q683" s="16"/>
      <c r="R683" s="16"/>
      <c r="S683" s="16"/>
      <c r="T683" s="16"/>
      <c r="U683" s="16"/>
      <c r="V683" s="16"/>
      <c r="W683" s="16"/>
      <c r="X683" s="16"/>
      <c r="Y683" s="16"/>
      <c r="Z683" s="16"/>
      <c r="AA683" s="16"/>
      <c r="AB683" s="16"/>
      <c r="AC683" s="16"/>
      <c r="AD683" s="16"/>
    </row>
    <row r="684" ht="14.25" customHeight="1">
      <c r="A684" s="16"/>
      <c r="B684" s="16"/>
      <c r="C684" s="16"/>
      <c r="D684" s="16"/>
      <c r="E684" s="16"/>
      <c r="F684" s="16"/>
      <c r="G684" s="16"/>
      <c r="H684" s="16"/>
      <c r="I684" s="16"/>
      <c r="J684" s="16"/>
      <c r="K684" s="16"/>
      <c r="L684" s="16"/>
      <c r="M684" s="16"/>
      <c r="N684" s="16"/>
      <c r="O684" s="16"/>
      <c r="P684" s="17"/>
      <c r="Q684" s="16"/>
      <c r="R684" s="16"/>
      <c r="S684" s="16"/>
      <c r="T684" s="16"/>
      <c r="U684" s="16"/>
      <c r="V684" s="16"/>
      <c r="W684" s="16"/>
      <c r="X684" s="16"/>
      <c r="Y684" s="16"/>
      <c r="Z684" s="16"/>
      <c r="AA684" s="16"/>
      <c r="AB684" s="16"/>
      <c r="AC684" s="16"/>
      <c r="AD684" s="16"/>
    </row>
    <row r="685" ht="14.25" customHeight="1">
      <c r="A685" s="16"/>
      <c r="B685" s="16"/>
      <c r="C685" s="16"/>
      <c r="D685" s="16"/>
      <c r="E685" s="16"/>
      <c r="F685" s="16"/>
      <c r="G685" s="16"/>
      <c r="H685" s="16"/>
      <c r="I685" s="16"/>
      <c r="J685" s="16"/>
      <c r="K685" s="16"/>
      <c r="L685" s="16"/>
      <c r="M685" s="16"/>
      <c r="N685" s="16"/>
      <c r="O685" s="16"/>
      <c r="P685" s="17"/>
      <c r="Q685" s="16"/>
      <c r="R685" s="16"/>
      <c r="S685" s="16"/>
      <c r="T685" s="16"/>
      <c r="U685" s="16"/>
      <c r="V685" s="16"/>
      <c r="W685" s="16"/>
      <c r="X685" s="16"/>
      <c r="Y685" s="16"/>
      <c r="Z685" s="16"/>
      <c r="AA685" s="16"/>
      <c r="AB685" s="16"/>
      <c r="AC685" s="16"/>
      <c r="AD685" s="16"/>
    </row>
    <row r="686" ht="14.25" customHeight="1">
      <c r="A686" s="16"/>
      <c r="B686" s="16"/>
      <c r="C686" s="16"/>
      <c r="D686" s="16"/>
      <c r="E686" s="16"/>
      <c r="F686" s="16"/>
      <c r="G686" s="16"/>
      <c r="H686" s="16"/>
      <c r="I686" s="16"/>
      <c r="J686" s="16"/>
      <c r="K686" s="16"/>
      <c r="L686" s="16"/>
      <c r="M686" s="16"/>
      <c r="N686" s="16"/>
      <c r="O686" s="16"/>
      <c r="P686" s="17"/>
      <c r="Q686" s="16"/>
      <c r="R686" s="16"/>
      <c r="S686" s="16"/>
      <c r="T686" s="16"/>
      <c r="U686" s="16"/>
      <c r="V686" s="16"/>
      <c r="W686" s="16"/>
      <c r="X686" s="16"/>
      <c r="Y686" s="16"/>
      <c r="Z686" s="16"/>
      <c r="AA686" s="16"/>
      <c r="AB686" s="16"/>
      <c r="AC686" s="16"/>
      <c r="AD686" s="16"/>
    </row>
    <row r="687" ht="14.25" customHeight="1">
      <c r="A687" s="16"/>
      <c r="B687" s="16"/>
      <c r="C687" s="16"/>
      <c r="D687" s="16"/>
      <c r="E687" s="16"/>
      <c r="F687" s="16"/>
      <c r="G687" s="16"/>
      <c r="H687" s="16"/>
      <c r="I687" s="16"/>
      <c r="J687" s="16"/>
      <c r="K687" s="16"/>
      <c r="L687" s="16"/>
      <c r="M687" s="16"/>
      <c r="N687" s="16"/>
      <c r="O687" s="16"/>
      <c r="P687" s="17"/>
      <c r="Q687" s="16"/>
      <c r="R687" s="16"/>
      <c r="S687" s="16"/>
      <c r="T687" s="16"/>
      <c r="U687" s="16"/>
      <c r="V687" s="16"/>
      <c r="W687" s="16"/>
      <c r="X687" s="16"/>
      <c r="Y687" s="16"/>
      <c r="Z687" s="16"/>
      <c r="AA687" s="16"/>
      <c r="AB687" s="16"/>
      <c r="AC687" s="16"/>
      <c r="AD687" s="16"/>
    </row>
    <row r="688" ht="14.25" customHeight="1">
      <c r="A688" s="16"/>
      <c r="B688" s="16"/>
      <c r="C688" s="16"/>
      <c r="D688" s="16"/>
      <c r="E688" s="16"/>
      <c r="F688" s="16"/>
      <c r="G688" s="16"/>
      <c r="H688" s="16"/>
      <c r="I688" s="16"/>
      <c r="J688" s="16"/>
      <c r="K688" s="16"/>
      <c r="L688" s="16"/>
      <c r="M688" s="16"/>
      <c r="N688" s="16"/>
      <c r="O688" s="16"/>
      <c r="P688" s="17"/>
      <c r="Q688" s="16"/>
      <c r="R688" s="16"/>
      <c r="S688" s="16"/>
      <c r="T688" s="16"/>
      <c r="U688" s="16"/>
      <c r="V688" s="16"/>
      <c r="W688" s="16"/>
      <c r="X688" s="16"/>
      <c r="Y688" s="16"/>
      <c r="Z688" s="16"/>
      <c r="AA688" s="16"/>
      <c r="AB688" s="16"/>
      <c r="AC688" s="16"/>
      <c r="AD688" s="16"/>
    </row>
    <row r="689" ht="14.25" customHeight="1">
      <c r="A689" s="16"/>
      <c r="B689" s="16"/>
      <c r="C689" s="16"/>
      <c r="D689" s="16"/>
      <c r="E689" s="16"/>
      <c r="F689" s="16"/>
      <c r="G689" s="16"/>
      <c r="H689" s="16"/>
      <c r="I689" s="16"/>
      <c r="J689" s="16"/>
      <c r="K689" s="16"/>
      <c r="L689" s="16"/>
      <c r="M689" s="16"/>
      <c r="N689" s="16"/>
      <c r="O689" s="16"/>
      <c r="P689" s="17"/>
      <c r="Q689" s="16"/>
      <c r="R689" s="16"/>
      <c r="S689" s="16"/>
      <c r="T689" s="16"/>
      <c r="U689" s="16"/>
      <c r="V689" s="16"/>
      <c r="W689" s="16"/>
      <c r="X689" s="16"/>
      <c r="Y689" s="16"/>
      <c r="Z689" s="16"/>
      <c r="AA689" s="16"/>
      <c r="AB689" s="16"/>
      <c r="AC689" s="16"/>
      <c r="AD689" s="16"/>
    </row>
    <row r="690" ht="14.25" customHeight="1">
      <c r="A690" s="16"/>
      <c r="B690" s="16"/>
      <c r="C690" s="16"/>
      <c r="D690" s="16"/>
      <c r="E690" s="16"/>
      <c r="F690" s="16"/>
      <c r="G690" s="16"/>
      <c r="H690" s="16"/>
      <c r="I690" s="16"/>
      <c r="J690" s="16"/>
      <c r="K690" s="16"/>
      <c r="L690" s="16"/>
      <c r="M690" s="16"/>
      <c r="N690" s="16"/>
      <c r="O690" s="16"/>
      <c r="P690" s="17"/>
      <c r="Q690" s="16"/>
      <c r="R690" s="16"/>
      <c r="S690" s="16"/>
      <c r="T690" s="16"/>
      <c r="U690" s="16"/>
      <c r="V690" s="16"/>
      <c r="W690" s="16"/>
      <c r="X690" s="16"/>
      <c r="Y690" s="16"/>
      <c r="Z690" s="16"/>
      <c r="AA690" s="16"/>
      <c r="AB690" s="16"/>
      <c r="AC690" s="16"/>
      <c r="AD690" s="16"/>
    </row>
    <row r="691" ht="14.25" customHeight="1">
      <c r="A691" s="16"/>
      <c r="B691" s="16"/>
      <c r="C691" s="16"/>
      <c r="D691" s="16"/>
      <c r="E691" s="16"/>
      <c r="F691" s="16"/>
      <c r="G691" s="16"/>
      <c r="H691" s="16"/>
      <c r="I691" s="16"/>
      <c r="J691" s="16"/>
      <c r="K691" s="16"/>
      <c r="L691" s="16"/>
      <c r="M691" s="16"/>
      <c r="N691" s="16"/>
      <c r="O691" s="16"/>
      <c r="P691" s="17"/>
      <c r="Q691" s="16"/>
      <c r="R691" s="16"/>
      <c r="S691" s="16"/>
      <c r="T691" s="16"/>
      <c r="U691" s="16"/>
      <c r="V691" s="16"/>
      <c r="W691" s="16"/>
      <c r="X691" s="16"/>
      <c r="Y691" s="16"/>
      <c r="Z691" s="16"/>
      <c r="AA691" s="16"/>
      <c r="AB691" s="16"/>
      <c r="AC691" s="16"/>
      <c r="AD691" s="16"/>
    </row>
    <row r="692" ht="14.25" customHeight="1">
      <c r="A692" s="16"/>
      <c r="B692" s="16"/>
      <c r="C692" s="16"/>
      <c r="D692" s="16"/>
      <c r="E692" s="16"/>
      <c r="F692" s="16"/>
      <c r="G692" s="16"/>
      <c r="H692" s="16"/>
      <c r="I692" s="16"/>
      <c r="J692" s="16"/>
      <c r="K692" s="16"/>
      <c r="L692" s="16"/>
      <c r="M692" s="16"/>
      <c r="N692" s="16"/>
      <c r="O692" s="16"/>
      <c r="P692" s="17"/>
      <c r="Q692" s="16"/>
      <c r="R692" s="16"/>
      <c r="S692" s="16"/>
      <c r="T692" s="16"/>
      <c r="U692" s="16"/>
      <c r="V692" s="16"/>
      <c r="W692" s="16"/>
      <c r="X692" s="16"/>
      <c r="Y692" s="16"/>
      <c r="Z692" s="16"/>
      <c r="AA692" s="16"/>
      <c r="AB692" s="16"/>
      <c r="AC692" s="16"/>
      <c r="AD692" s="16"/>
    </row>
    <row r="693" ht="14.25" customHeight="1">
      <c r="A693" s="16"/>
      <c r="B693" s="16"/>
      <c r="C693" s="16"/>
      <c r="D693" s="16"/>
      <c r="E693" s="16"/>
      <c r="F693" s="16"/>
      <c r="G693" s="16"/>
      <c r="H693" s="16"/>
      <c r="I693" s="16"/>
      <c r="J693" s="16"/>
      <c r="K693" s="16"/>
      <c r="L693" s="16"/>
      <c r="M693" s="16"/>
      <c r="N693" s="16"/>
      <c r="O693" s="16"/>
      <c r="P693" s="17"/>
      <c r="Q693" s="16"/>
      <c r="R693" s="16"/>
      <c r="S693" s="16"/>
      <c r="T693" s="16"/>
      <c r="U693" s="16"/>
      <c r="V693" s="16"/>
      <c r="W693" s="16"/>
      <c r="X693" s="16"/>
      <c r="Y693" s="16"/>
      <c r="Z693" s="16"/>
      <c r="AA693" s="16"/>
      <c r="AB693" s="16"/>
      <c r="AC693" s="16"/>
      <c r="AD693" s="16"/>
    </row>
    <row r="694" ht="14.25" customHeight="1">
      <c r="A694" s="16"/>
      <c r="B694" s="16"/>
      <c r="C694" s="16"/>
      <c r="D694" s="16"/>
      <c r="E694" s="16"/>
      <c r="F694" s="16"/>
      <c r="G694" s="16"/>
      <c r="H694" s="16"/>
      <c r="I694" s="16"/>
      <c r="J694" s="16"/>
      <c r="K694" s="16"/>
      <c r="L694" s="16"/>
      <c r="M694" s="16"/>
      <c r="N694" s="16"/>
      <c r="O694" s="16"/>
      <c r="P694" s="17"/>
      <c r="Q694" s="16"/>
      <c r="R694" s="16"/>
      <c r="S694" s="16"/>
      <c r="T694" s="16"/>
      <c r="U694" s="16"/>
      <c r="V694" s="16"/>
      <c r="W694" s="16"/>
      <c r="X694" s="16"/>
      <c r="Y694" s="16"/>
      <c r="Z694" s="16"/>
      <c r="AA694" s="16"/>
      <c r="AB694" s="16"/>
      <c r="AC694" s="16"/>
      <c r="AD694" s="16"/>
    </row>
    <row r="695" ht="14.25" customHeight="1">
      <c r="A695" s="16"/>
      <c r="B695" s="16"/>
      <c r="C695" s="16"/>
      <c r="D695" s="16"/>
      <c r="E695" s="16"/>
      <c r="F695" s="16"/>
      <c r="G695" s="16"/>
      <c r="H695" s="16"/>
      <c r="I695" s="16"/>
      <c r="J695" s="16"/>
      <c r="K695" s="16"/>
      <c r="L695" s="16"/>
      <c r="M695" s="16"/>
      <c r="N695" s="16"/>
      <c r="O695" s="16"/>
      <c r="P695" s="17"/>
      <c r="Q695" s="16"/>
      <c r="R695" s="16"/>
      <c r="S695" s="16"/>
      <c r="T695" s="16"/>
      <c r="U695" s="16"/>
      <c r="V695" s="16"/>
      <c r="W695" s="16"/>
      <c r="X695" s="16"/>
      <c r="Y695" s="16"/>
      <c r="Z695" s="16"/>
      <c r="AA695" s="16"/>
      <c r="AB695" s="16"/>
      <c r="AC695" s="16"/>
      <c r="AD695" s="16"/>
    </row>
    <row r="696" ht="14.25" customHeight="1">
      <c r="A696" s="16"/>
      <c r="B696" s="16"/>
      <c r="C696" s="16"/>
      <c r="D696" s="16"/>
      <c r="E696" s="16"/>
      <c r="F696" s="16"/>
      <c r="G696" s="16"/>
      <c r="H696" s="16"/>
      <c r="I696" s="16"/>
      <c r="J696" s="16"/>
      <c r="K696" s="16"/>
      <c r="L696" s="16"/>
      <c r="M696" s="16"/>
      <c r="N696" s="16"/>
      <c r="O696" s="16"/>
      <c r="P696" s="17"/>
      <c r="Q696" s="16"/>
      <c r="R696" s="16"/>
      <c r="S696" s="16"/>
      <c r="T696" s="16"/>
      <c r="U696" s="16"/>
      <c r="V696" s="16"/>
      <c r="W696" s="16"/>
      <c r="X696" s="16"/>
      <c r="Y696" s="16"/>
      <c r="Z696" s="16"/>
      <c r="AA696" s="16"/>
      <c r="AB696" s="16"/>
      <c r="AC696" s="16"/>
      <c r="AD696" s="16"/>
    </row>
    <row r="697" ht="14.25" customHeight="1">
      <c r="A697" s="16"/>
      <c r="B697" s="16"/>
      <c r="C697" s="16"/>
      <c r="D697" s="16"/>
      <c r="E697" s="16"/>
      <c r="F697" s="16"/>
      <c r="G697" s="16"/>
      <c r="H697" s="16"/>
      <c r="I697" s="16"/>
      <c r="J697" s="16"/>
      <c r="K697" s="16"/>
      <c r="L697" s="16"/>
      <c r="M697" s="16"/>
      <c r="N697" s="16"/>
      <c r="O697" s="16"/>
      <c r="P697" s="17"/>
      <c r="Q697" s="16"/>
      <c r="R697" s="16"/>
      <c r="S697" s="16"/>
      <c r="T697" s="16"/>
      <c r="U697" s="16"/>
      <c r="V697" s="16"/>
      <c r="W697" s="16"/>
      <c r="X697" s="16"/>
      <c r="Y697" s="16"/>
      <c r="Z697" s="16"/>
      <c r="AA697" s="16"/>
      <c r="AB697" s="16"/>
      <c r="AC697" s="16"/>
      <c r="AD697" s="16"/>
    </row>
    <row r="698" ht="14.25" customHeight="1">
      <c r="A698" s="16"/>
      <c r="B698" s="16"/>
      <c r="C698" s="16"/>
      <c r="D698" s="16"/>
      <c r="E698" s="16"/>
      <c r="F698" s="16"/>
      <c r="G698" s="16"/>
      <c r="H698" s="16"/>
      <c r="I698" s="16"/>
      <c r="J698" s="16"/>
      <c r="K698" s="16"/>
      <c r="L698" s="16"/>
      <c r="M698" s="16"/>
      <c r="N698" s="16"/>
      <c r="O698" s="16"/>
      <c r="P698" s="17"/>
      <c r="Q698" s="16"/>
      <c r="R698" s="16"/>
      <c r="S698" s="16"/>
      <c r="T698" s="16"/>
      <c r="U698" s="16"/>
      <c r="V698" s="16"/>
      <c r="W698" s="16"/>
      <c r="X698" s="16"/>
      <c r="Y698" s="16"/>
      <c r="Z698" s="16"/>
      <c r="AA698" s="16"/>
      <c r="AB698" s="16"/>
      <c r="AC698" s="16"/>
      <c r="AD698" s="16"/>
    </row>
    <row r="699" ht="14.25" customHeight="1">
      <c r="A699" s="16"/>
      <c r="B699" s="16"/>
      <c r="C699" s="16"/>
      <c r="D699" s="16"/>
      <c r="E699" s="16"/>
      <c r="F699" s="16"/>
      <c r="G699" s="16"/>
      <c r="H699" s="16"/>
      <c r="I699" s="16"/>
      <c r="J699" s="16"/>
      <c r="K699" s="16"/>
      <c r="L699" s="16"/>
      <c r="M699" s="16"/>
      <c r="N699" s="16"/>
      <c r="O699" s="16"/>
      <c r="P699" s="17"/>
      <c r="Q699" s="16"/>
      <c r="R699" s="16"/>
      <c r="S699" s="16"/>
      <c r="T699" s="16"/>
      <c r="U699" s="16"/>
      <c r="V699" s="16"/>
      <c r="W699" s="16"/>
      <c r="X699" s="16"/>
      <c r="Y699" s="16"/>
      <c r="Z699" s="16"/>
      <c r="AA699" s="16"/>
      <c r="AB699" s="16"/>
      <c r="AC699" s="16"/>
      <c r="AD699" s="16"/>
    </row>
    <row r="700" ht="14.25" customHeight="1">
      <c r="A700" s="16"/>
      <c r="B700" s="16"/>
      <c r="C700" s="16"/>
      <c r="D700" s="16"/>
      <c r="E700" s="16"/>
      <c r="F700" s="16"/>
      <c r="G700" s="16"/>
      <c r="H700" s="16"/>
      <c r="I700" s="16"/>
      <c r="J700" s="16"/>
      <c r="K700" s="16"/>
      <c r="L700" s="16"/>
      <c r="M700" s="16"/>
      <c r="N700" s="16"/>
      <c r="O700" s="16"/>
      <c r="P700" s="17"/>
      <c r="Q700" s="16"/>
      <c r="R700" s="16"/>
      <c r="S700" s="16"/>
      <c r="T700" s="16"/>
      <c r="U700" s="16"/>
      <c r="V700" s="16"/>
      <c r="W700" s="16"/>
      <c r="X700" s="16"/>
      <c r="Y700" s="16"/>
      <c r="Z700" s="16"/>
      <c r="AA700" s="16"/>
      <c r="AB700" s="16"/>
      <c r="AC700" s="16"/>
      <c r="AD700" s="16"/>
    </row>
    <row r="701" ht="14.25" customHeight="1">
      <c r="A701" s="16"/>
      <c r="B701" s="16"/>
      <c r="C701" s="16"/>
      <c r="D701" s="16"/>
      <c r="E701" s="16"/>
      <c r="F701" s="16"/>
      <c r="G701" s="16"/>
      <c r="H701" s="16"/>
      <c r="I701" s="16"/>
      <c r="J701" s="16"/>
      <c r="K701" s="16"/>
      <c r="L701" s="16"/>
      <c r="M701" s="16"/>
      <c r="N701" s="16"/>
      <c r="O701" s="16"/>
      <c r="P701" s="17"/>
      <c r="Q701" s="16"/>
      <c r="R701" s="16"/>
      <c r="S701" s="16"/>
      <c r="T701" s="16"/>
      <c r="U701" s="16"/>
      <c r="V701" s="16"/>
      <c r="W701" s="16"/>
      <c r="X701" s="16"/>
      <c r="Y701" s="16"/>
      <c r="Z701" s="16"/>
      <c r="AA701" s="16"/>
      <c r="AB701" s="16"/>
      <c r="AC701" s="16"/>
      <c r="AD701" s="16"/>
    </row>
    <row r="702" ht="14.25" customHeight="1">
      <c r="A702" s="16"/>
      <c r="B702" s="16"/>
      <c r="C702" s="16"/>
      <c r="D702" s="16"/>
      <c r="E702" s="16"/>
      <c r="F702" s="16"/>
      <c r="G702" s="16"/>
      <c r="H702" s="16"/>
      <c r="I702" s="16"/>
      <c r="J702" s="16"/>
      <c r="K702" s="16"/>
      <c r="L702" s="16"/>
      <c r="M702" s="16"/>
      <c r="N702" s="16"/>
      <c r="O702" s="16"/>
      <c r="P702" s="17"/>
      <c r="Q702" s="16"/>
      <c r="R702" s="16"/>
      <c r="S702" s="16"/>
      <c r="T702" s="16"/>
      <c r="U702" s="16"/>
      <c r="V702" s="16"/>
      <c r="W702" s="16"/>
      <c r="X702" s="16"/>
      <c r="Y702" s="16"/>
      <c r="Z702" s="16"/>
      <c r="AA702" s="16"/>
      <c r="AB702" s="16"/>
      <c r="AC702" s="16"/>
      <c r="AD702" s="16"/>
    </row>
    <row r="703" ht="14.25" customHeight="1">
      <c r="A703" s="16"/>
      <c r="B703" s="16"/>
      <c r="C703" s="16"/>
      <c r="D703" s="16"/>
      <c r="E703" s="16"/>
      <c r="F703" s="16"/>
      <c r="G703" s="16"/>
      <c r="H703" s="16"/>
      <c r="I703" s="16"/>
      <c r="J703" s="16"/>
      <c r="K703" s="16"/>
      <c r="L703" s="16"/>
      <c r="M703" s="16"/>
      <c r="N703" s="16"/>
      <c r="O703" s="16"/>
      <c r="P703" s="17"/>
      <c r="Q703" s="16"/>
      <c r="R703" s="16"/>
      <c r="S703" s="16"/>
      <c r="T703" s="16"/>
      <c r="U703" s="16"/>
      <c r="V703" s="16"/>
      <c r="W703" s="16"/>
      <c r="X703" s="16"/>
      <c r="Y703" s="16"/>
      <c r="Z703" s="16"/>
      <c r="AA703" s="16"/>
      <c r="AB703" s="16"/>
      <c r="AC703" s="16"/>
      <c r="AD703" s="16"/>
    </row>
    <row r="704" ht="14.25" customHeight="1">
      <c r="A704" s="16"/>
      <c r="B704" s="16"/>
      <c r="C704" s="16"/>
      <c r="D704" s="16"/>
      <c r="E704" s="16"/>
      <c r="F704" s="16"/>
      <c r="G704" s="16"/>
      <c r="H704" s="16"/>
      <c r="I704" s="16"/>
      <c r="J704" s="16"/>
      <c r="K704" s="16"/>
      <c r="L704" s="16"/>
      <c r="M704" s="16"/>
      <c r="N704" s="16"/>
      <c r="O704" s="16"/>
      <c r="P704" s="17"/>
      <c r="Q704" s="16"/>
      <c r="R704" s="16"/>
      <c r="S704" s="16"/>
      <c r="T704" s="16"/>
      <c r="U704" s="16"/>
      <c r="V704" s="16"/>
      <c r="W704" s="16"/>
      <c r="X704" s="16"/>
      <c r="Y704" s="16"/>
      <c r="Z704" s="16"/>
      <c r="AA704" s="16"/>
      <c r="AB704" s="16"/>
      <c r="AC704" s="16"/>
      <c r="AD704" s="16"/>
    </row>
    <row r="705" ht="14.25" customHeight="1">
      <c r="A705" s="16"/>
      <c r="B705" s="16"/>
      <c r="C705" s="16"/>
      <c r="D705" s="16"/>
      <c r="E705" s="16"/>
      <c r="F705" s="16"/>
      <c r="G705" s="16"/>
      <c r="H705" s="16"/>
      <c r="I705" s="16"/>
      <c r="J705" s="16"/>
      <c r="K705" s="16"/>
      <c r="L705" s="16"/>
      <c r="M705" s="16"/>
      <c r="N705" s="16"/>
      <c r="O705" s="16"/>
      <c r="P705" s="17"/>
      <c r="Q705" s="16"/>
      <c r="R705" s="16"/>
      <c r="S705" s="16"/>
      <c r="T705" s="16"/>
      <c r="U705" s="16"/>
      <c r="V705" s="16"/>
      <c r="W705" s="16"/>
      <c r="X705" s="16"/>
      <c r="Y705" s="16"/>
      <c r="Z705" s="16"/>
      <c r="AA705" s="16"/>
      <c r="AB705" s="16"/>
      <c r="AC705" s="16"/>
      <c r="AD705" s="16"/>
    </row>
    <row r="706" ht="14.25" customHeight="1">
      <c r="A706" s="16"/>
      <c r="B706" s="16"/>
      <c r="C706" s="16"/>
      <c r="D706" s="16"/>
      <c r="E706" s="16"/>
      <c r="F706" s="16"/>
      <c r="G706" s="16"/>
      <c r="H706" s="16"/>
      <c r="I706" s="16"/>
      <c r="J706" s="16"/>
      <c r="K706" s="16"/>
      <c r="L706" s="16"/>
      <c r="M706" s="16"/>
      <c r="N706" s="16"/>
      <c r="O706" s="16"/>
      <c r="P706" s="17"/>
      <c r="Q706" s="16"/>
      <c r="R706" s="16"/>
      <c r="S706" s="16"/>
      <c r="T706" s="16"/>
      <c r="U706" s="16"/>
      <c r="V706" s="16"/>
      <c r="W706" s="16"/>
      <c r="X706" s="16"/>
      <c r="Y706" s="16"/>
      <c r="Z706" s="16"/>
      <c r="AA706" s="16"/>
      <c r="AB706" s="16"/>
      <c r="AC706" s="16"/>
      <c r="AD706" s="16"/>
    </row>
    <row r="707" ht="14.25" customHeight="1">
      <c r="A707" s="16"/>
      <c r="B707" s="16"/>
      <c r="C707" s="16"/>
      <c r="D707" s="16"/>
      <c r="E707" s="16"/>
      <c r="F707" s="16"/>
      <c r="G707" s="16"/>
      <c r="H707" s="16"/>
      <c r="I707" s="16"/>
      <c r="J707" s="16"/>
      <c r="K707" s="16"/>
      <c r="L707" s="16"/>
      <c r="M707" s="16"/>
      <c r="N707" s="16"/>
      <c r="O707" s="16"/>
      <c r="P707" s="17"/>
      <c r="Q707" s="16"/>
      <c r="R707" s="16"/>
      <c r="S707" s="16"/>
      <c r="T707" s="16"/>
      <c r="U707" s="16"/>
      <c r="V707" s="16"/>
      <c r="W707" s="16"/>
      <c r="X707" s="16"/>
      <c r="Y707" s="16"/>
      <c r="Z707" s="16"/>
      <c r="AA707" s="16"/>
      <c r="AB707" s="16"/>
      <c r="AC707" s="16"/>
      <c r="AD707" s="16"/>
    </row>
    <row r="708" ht="14.25" customHeight="1">
      <c r="A708" s="16"/>
      <c r="B708" s="16"/>
      <c r="C708" s="16"/>
      <c r="D708" s="16"/>
      <c r="E708" s="16"/>
      <c r="F708" s="16"/>
      <c r="G708" s="16"/>
      <c r="H708" s="16"/>
      <c r="I708" s="16"/>
      <c r="J708" s="16"/>
      <c r="K708" s="16"/>
      <c r="L708" s="16"/>
      <c r="M708" s="16"/>
      <c r="N708" s="16"/>
      <c r="O708" s="16"/>
      <c r="P708" s="17"/>
      <c r="Q708" s="16"/>
      <c r="R708" s="16"/>
      <c r="S708" s="16"/>
      <c r="T708" s="16"/>
      <c r="U708" s="16"/>
      <c r="V708" s="16"/>
      <c r="W708" s="16"/>
      <c r="X708" s="16"/>
      <c r="Y708" s="16"/>
      <c r="Z708" s="16"/>
      <c r="AA708" s="16"/>
      <c r="AB708" s="16"/>
      <c r="AC708" s="16"/>
      <c r="AD708" s="16"/>
    </row>
    <row r="709" ht="14.25" customHeight="1">
      <c r="A709" s="16"/>
      <c r="B709" s="16"/>
      <c r="C709" s="16"/>
      <c r="D709" s="16"/>
      <c r="E709" s="16"/>
      <c r="F709" s="16"/>
      <c r="G709" s="16"/>
      <c r="H709" s="16"/>
      <c r="I709" s="16"/>
      <c r="J709" s="16"/>
      <c r="K709" s="16"/>
      <c r="L709" s="16"/>
      <c r="M709" s="16"/>
      <c r="N709" s="16"/>
      <c r="O709" s="16"/>
      <c r="P709" s="17"/>
      <c r="Q709" s="16"/>
      <c r="R709" s="16"/>
      <c r="S709" s="16"/>
      <c r="T709" s="16"/>
      <c r="U709" s="16"/>
      <c r="V709" s="16"/>
      <c r="W709" s="16"/>
      <c r="X709" s="16"/>
      <c r="Y709" s="16"/>
      <c r="Z709" s="16"/>
      <c r="AA709" s="16"/>
      <c r="AB709" s="16"/>
      <c r="AC709" s="16"/>
      <c r="AD709" s="16"/>
    </row>
    <row r="710" ht="14.25" customHeight="1">
      <c r="A710" s="16"/>
      <c r="B710" s="16"/>
      <c r="C710" s="16"/>
      <c r="D710" s="16"/>
      <c r="E710" s="16"/>
      <c r="F710" s="16"/>
      <c r="G710" s="16"/>
      <c r="H710" s="16"/>
      <c r="I710" s="16"/>
      <c r="J710" s="16"/>
      <c r="K710" s="16"/>
      <c r="L710" s="16"/>
      <c r="M710" s="16"/>
      <c r="N710" s="16"/>
      <c r="O710" s="16"/>
      <c r="P710" s="17"/>
      <c r="Q710" s="16"/>
      <c r="R710" s="16"/>
      <c r="S710" s="16"/>
      <c r="T710" s="16"/>
      <c r="U710" s="16"/>
      <c r="V710" s="16"/>
      <c r="W710" s="16"/>
      <c r="X710" s="16"/>
      <c r="Y710" s="16"/>
      <c r="Z710" s="16"/>
      <c r="AA710" s="16"/>
      <c r="AB710" s="16"/>
      <c r="AC710" s="16"/>
      <c r="AD710" s="16"/>
    </row>
    <row r="711" ht="14.25" customHeight="1">
      <c r="A711" s="16"/>
      <c r="B711" s="16"/>
      <c r="C711" s="16"/>
      <c r="D711" s="16"/>
      <c r="E711" s="16"/>
      <c r="F711" s="16"/>
      <c r="G711" s="16"/>
      <c r="H711" s="16"/>
      <c r="I711" s="16"/>
      <c r="J711" s="16"/>
      <c r="K711" s="16"/>
      <c r="L711" s="16"/>
      <c r="M711" s="16"/>
      <c r="N711" s="16"/>
      <c r="O711" s="16"/>
      <c r="P711" s="17"/>
      <c r="Q711" s="16"/>
      <c r="R711" s="16"/>
      <c r="S711" s="16"/>
      <c r="T711" s="16"/>
      <c r="U711" s="16"/>
      <c r="V711" s="16"/>
      <c r="W711" s="16"/>
      <c r="X711" s="16"/>
      <c r="Y711" s="16"/>
      <c r="Z711" s="16"/>
      <c r="AA711" s="16"/>
      <c r="AB711" s="16"/>
      <c r="AC711" s="16"/>
      <c r="AD711" s="16"/>
    </row>
    <row r="712" ht="14.25" customHeight="1">
      <c r="A712" s="16"/>
      <c r="B712" s="16"/>
      <c r="C712" s="16"/>
      <c r="D712" s="16"/>
      <c r="E712" s="16"/>
      <c r="F712" s="16"/>
      <c r="G712" s="16"/>
      <c r="H712" s="16"/>
      <c r="I712" s="16"/>
      <c r="J712" s="16"/>
      <c r="K712" s="16"/>
      <c r="L712" s="16"/>
      <c r="M712" s="16"/>
      <c r="N712" s="16"/>
      <c r="O712" s="16"/>
      <c r="P712" s="17"/>
      <c r="Q712" s="16"/>
      <c r="R712" s="16"/>
      <c r="S712" s="16"/>
      <c r="T712" s="16"/>
      <c r="U712" s="16"/>
      <c r="V712" s="16"/>
      <c r="W712" s="16"/>
      <c r="X712" s="16"/>
      <c r="Y712" s="16"/>
      <c r="Z712" s="16"/>
      <c r="AA712" s="16"/>
      <c r="AB712" s="16"/>
      <c r="AC712" s="16"/>
      <c r="AD712" s="16"/>
    </row>
    <row r="713" ht="14.25" customHeight="1">
      <c r="A713" s="16"/>
      <c r="B713" s="16"/>
      <c r="C713" s="16"/>
      <c r="D713" s="16"/>
      <c r="E713" s="16"/>
      <c r="F713" s="16"/>
      <c r="G713" s="16"/>
      <c r="H713" s="16"/>
      <c r="I713" s="16"/>
      <c r="J713" s="16"/>
      <c r="K713" s="16"/>
      <c r="L713" s="16"/>
      <c r="M713" s="16"/>
      <c r="N713" s="16"/>
      <c r="O713" s="16"/>
      <c r="P713" s="17"/>
      <c r="Q713" s="16"/>
      <c r="R713" s="16"/>
      <c r="S713" s="16"/>
      <c r="T713" s="16"/>
      <c r="U713" s="16"/>
      <c r="V713" s="16"/>
      <c r="W713" s="16"/>
      <c r="X713" s="16"/>
      <c r="Y713" s="16"/>
      <c r="Z713" s="16"/>
      <c r="AA713" s="16"/>
      <c r="AB713" s="16"/>
      <c r="AC713" s="16"/>
      <c r="AD713" s="16"/>
    </row>
    <row r="714" ht="14.25" customHeight="1">
      <c r="A714" s="16"/>
      <c r="B714" s="16"/>
      <c r="C714" s="16"/>
      <c r="D714" s="16"/>
      <c r="E714" s="16"/>
      <c r="F714" s="16"/>
      <c r="G714" s="16"/>
      <c r="H714" s="16"/>
      <c r="I714" s="16"/>
      <c r="J714" s="16"/>
      <c r="K714" s="16"/>
      <c r="L714" s="16"/>
      <c r="M714" s="16"/>
      <c r="N714" s="16"/>
      <c r="O714" s="16"/>
      <c r="P714" s="17"/>
      <c r="Q714" s="16"/>
      <c r="R714" s="16"/>
      <c r="S714" s="16"/>
      <c r="T714" s="16"/>
      <c r="U714" s="16"/>
      <c r="V714" s="16"/>
      <c r="W714" s="16"/>
      <c r="X714" s="16"/>
      <c r="Y714" s="16"/>
      <c r="Z714" s="16"/>
      <c r="AA714" s="16"/>
      <c r="AB714" s="16"/>
      <c r="AC714" s="16"/>
      <c r="AD714" s="16"/>
    </row>
    <row r="715" ht="14.25" customHeight="1">
      <c r="A715" s="16"/>
      <c r="B715" s="16"/>
      <c r="C715" s="16"/>
      <c r="D715" s="16"/>
      <c r="E715" s="16"/>
      <c r="F715" s="16"/>
      <c r="G715" s="16"/>
      <c r="H715" s="16"/>
      <c r="I715" s="16"/>
      <c r="J715" s="16"/>
      <c r="K715" s="16"/>
      <c r="L715" s="16"/>
      <c r="M715" s="16"/>
      <c r="N715" s="16"/>
      <c r="O715" s="16"/>
      <c r="P715" s="17"/>
      <c r="Q715" s="16"/>
      <c r="R715" s="16"/>
      <c r="S715" s="16"/>
      <c r="T715" s="16"/>
      <c r="U715" s="16"/>
      <c r="V715" s="16"/>
      <c r="W715" s="16"/>
      <c r="X715" s="16"/>
      <c r="Y715" s="16"/>
      <c r="Z715" s="16"/>
      <c r="AA715" s="16"/>
      <c r="AB715" s="16"/>
      <c r="AC715" s="16"/>
      <c r="AD715" s="16"/>
    </row>
    <row r="716" ht="14.25" customHeight="1">
      <c r="A716" s="16"/>
      <c r="B716" s="16"/>
      <c r="C716" s="16"/>
      <c r="D716" s="16"/>
      <c r="E716" s="16"/>
      <c r="F716" s="16"/>
      <c r="G716" s="16"/>
      <c r="H716" s="16"/>
      <c r="I716" s="16"/>
      <c r="J716" s="16"/>
      <c r="K716" s="16"/>
      <c r="L716" s="16"/>
      <c r="M716" s="16"/>
      <c r="N716" s="16"/>
      <c r="O716" s="16"/>
      <c r="P716" s="17"/>
      <c r="Q716" s="16"/>
      <c r="R716" s="16"/>
      <c r="S716" s="16"/>
      <c r="T716" s="16"/>
      <c r="U716" s="16"/>
      <c r="V716" s="16"/>
      <c r="W716" s="16"/>
      <c r="X716" s="16"/>
      <c r="Y716" s="16"/>
      <c r="Z716" s="16"/>
      <c r="AA716" s="16"/>
      <c r="AB716" s="16"/>
      <c r="AC716" s="16"/>
      <c r="AD716" s="16"/>
    </row>
    <row r="717" ht="14.25" customHeight="1">
      <c r="A717" s="16"/>
      <c r="B717" s="16"/>
      <c r="C717" s="16"/>
      <c r="D717" s="16"/>
      <c r="E717" s="16"/>
      <c r="F717" s="16"/>
      <c r="G717" s="16"/>
      <c r="H717" s="16"/>
      <c r="I717" s="16"/>
      <c r="J717" s="16"/>
      <c r="K717" s="16"/>
      <c r="L717" s="16"/>
      <c r="M717" s="16"/>
      <c r="N717" s="16"/>
      <c r="O717" s="16"/>
      <c r="P717" s="17"/>
      <c r="Q717" s="16"/>
      <c r="R717" s="16"/>
      <c r="S717" s="16"/>
      <c r="T717" s="16"/>
      <c r="U717" s="16"/>
      <c r="V717" s="16"/>
      <c r="W717" s="16"/>
      <c r="X717" s="16"/>
      <c r="Y717" s="16"/>
      <c r="Z717" s="16"/>
      <c r="AA717" s="16"/>
      <c r="AB717" s="16"/>
      <c r="AC717" s="16"/>
      <c r="AD717" s="16"/>
    </row>
    <row r="718" ht="14.25" customHeight="1">
      <c r="A718" s="16"/>
      <c r="B718" s="16"/>
      <c r="C718" s="16"/>
      <c r="D718" s="16"/>
      <c r="E718" s="16"/>
      <c r="F718" s="16"/>
      <c r="G718" s="16"/>
      <c r="H718" s="16"/>
      <c r="I718" s="16"/>
      <c r="J718" s="16"/>
      <c r="K718" s="16"/>
      <c r="L718" s="16"/>
      <c r="M718" s="16"/>
      <c r="N718" s="16"/>
      <c r="O718" s="16"/>
      <c r="P718" s="17"/>
      <c r="Q718" s="16"/>
      <c r="R718" s="16"/>
      <c r="S718" s="16"/>
      <c r="T718" s="16"/>
      <c r="U718" s="16"/>
      <c r="V718" s="16"/>
      <c r="W718" s="16"/>
      <c r="X718" s="16"/>
      <c r="Y718" s="16"/>
      <c r="Z718" s="16"/>
      <c r="AA718" s="16"/>
      <c r="AB718" s="16"/>
      <c r="AC718" s="16"/>
      <c r="AD718" s="16"/>
    </row>
    <row r="719" ht="14.25" customHeight="1">
      <c r="A719" s="16"/>
      <c r="B719" s="16"/>
      <c r="C719" s="16"/>
      <c r="D719" s="16"/>
      <c r="E719" s="16"/>
      <c r="F719" s="16"/>
      <c r="G719" s="16"/>
      <c r="H719" s="16"/>
      <c r="I719" s="16"/>
      <c r="J719" s="16"/>
      <c r="K719" s="16"/>
      <c r="L719" s="16"/>
      <c r="M719" s="16"/>
      <c r="N719" s="16"/>
      <c r="O719" s="16"/>
      <c r="P719" s="17"/>
      <c r="Q719" s="16"/>
      <c r="R719" s="16"/>
      <c r="S719" s="16"/>
      <c r="T719" s="16"/>
      <c r="U719" s="16"/>
      <c r="V719" s="16"/>
      <c r="W719" s="16"/>
      <c r="X719" s="16"/>
      <c r="Y719" s="16"/>
      <c r="Z719" s="16"/>
      <c r="AA719" s="16"/>
      <c r="AB719" s="16"/>
      <c r="AC719" s="16"/>
      <c r="AD719" s="16"/>
    </row>
    <row r="720" ht="14.25" customHeight="1">
      <c r="A720" s="16"/>
      <c r="B720" s="16"/>
      <c r="C720" s="16"/>
      <c r="D720" s="16"/>
      <c r="E720" s="16"/>
      <c r="F720" s="16"/>
      <c r="G720" s="16"/>
      <c r="H720" s="16"/>
      <c r="I720" s="16"/>
      <c r="J720" s="16"/>
      <c r="K720" s="16"/>
      <c r="L720" s="16"/>
      <c r="M720" s="16"/>
      <c r="N720" s="16"/>
      <c r="O720" s="16"/>
      <c r="P720" s="17"/>
      <c r="Q720" s="16"/>
      <c r="R720" s="16"/>
      <c r="S720" s="16"/>
      <c r="T720" s="16"/>
      <c r="U720" s="16"/>
      <c r="V720" s="16"/>
      <c r="W720" s="16"/>
      <c r="X720" s="16"/>
      <c r="Y720" s="16"/>
      <c r="Z720" s="16"/>
      <c r="AA720" s="16"/>
      <c r="AB720" s="16"/>
      <c r="AC720" s="16"/>
      <c r="AD720" s="16"/>
    </row>
    <row r="721" ht="14.25" customHeight="1">
      <c r="A721" s="16"/>
      <c r="B721" s="16"/>
      <c r="C721" s="16"/>
      <c r="D721" s="16"/>
      <c r="E721" s="16"/>
      <c r="F721" s="16"/>
      <c r="G721" s="16"/>
      <c r="H721" s="16"/>
      <c r="I721" s="16"/>
      <c r="J721" s="16"/>
      <c r="K721" s="16"/>
      <c r="L721" s="16"/>
      <c r="M721" s="16"/>
      <c r="N721" s="16"/>
      <c r="O721" s="16"/>
      <c r="P721" s="17"/>
      <c r="Q721" s="16"/>
      <c r="R721" s="16"/>
      <c r="S721" s="16"/>
      <c r="T721" s="16"/>
      <c r="U721" s="16"/>
      <c r="V721" s="16"/>
      <c r="W721" s="16"/>
      <c r="X721" s="16"/>
      <c r="Y721" s="16"/>
      <c r="Z721" s="16"/>
      <c r="AA721" s="16"/>
      <c r="AB721" s="16"/>
      <c r="AC721" s="16"/>
      <c r="AD721" s="16"/>
    </row>
    <row r="722" ht="14.25" customHeight="1">
      <c r="A722" s="16"/>
      <c r="B722" s="16"/>
      <c r="C722" s="16"/>
      <c r="D722" s="16"/>
      <c r="E722" s="16"/>
      <c r="F722" s="16"/>
      <c r="G722" s="16"/>
      <c r="H722" s="16"/>
      <c r="I722" s="16"/>
      <c r="J722" s="16"/>
      <c r="K722" s="16"/>
      <c r="L722" s="16"/>
      <c r="M722" s="16"/>
      <c r="N722" s="16"/>
      <c r="O722" s="16"/>
      <c r="P722" s="17"/>
      <c r="Q722" s="16"/>
      <c r="R722" s="16"/>
      <c r="S722" s="16"/>
      <c r="T722" s="16"/>
      <c r="U722" s="16"/>
      <c r="V722" s="16"/>
      <c r="W722" s="16"/>
      <c r="X722" s="16"/>
      <c r="Y722" s="16"/>
      <c r="Z722" s="16"/>
      <c r="AA722" s="16"/>
      <c r="AB722" s="16"/>
      <c r="AC722" s="16"/>
      <c r="AD722" s="16"/>
    </row>
    <row r="723" ht="14.25" customHeight="1">
      <c r="A723" s="16"/>
      <c r="B723" s="16"/>
      <c r="C723" s="16"/>
      <c r="D723" s="16"/>
      <c r="E723" s="16"/>
      <c r="F723" s="16"/>
      <c r="G723" s="16"/>
      <c r="H723" s="16"/>
      <c r="I723" s="16"/>
      <c r="J723" s="16"/>
      <c r="K723" s="16"/>
      <c r="L723" s="16"/>
      <c r="M723" s="16"/>
      <c r="N723" s="16"/>
      <c r="O723" s="16"/>
      <c r="P723" s="17"/>
      <c r="Q723" s="16"/>
      <c r="R723" s="16"/>
      <c r="S723" s="16"/>
      <c r="T723" s="16"/>
      <c r="U723" s="16"/>
      <c r="V723" s="16"/>
      <c r="W723" s="16"/>
      <c r="X723" s="16"/>
      <c r="Y723" s="16"/>
      <c r="Z723" s="16"/>
      <c r="AA723" s="16"/>
      <c r="AB723" s="16"/>
      <c r="AC723" s="16"/>
      <c r="AD723" s="16"/>
    </row>
    <row r="724" ht="14.25" customHeight="1">
      <c r="A724" s="16"/>
      <c r="B724" s="16"/>
      <c r="C724" s="16"/>
      <c r="D724" s="16"/>
      <c r="E724" s="16"/>
      <c r="F724" s="16"/>
      <c r="G724" s="16"/>
      <c r="H724" s="16"/>
      <c r="I724" s="16"/>
      <c r="J724" s="16"/>
      <c r="K724" s="16"/>
      <c r="L724" s="16"/>
      <c r="M724" s="16"/>
      <c r="N724" s="16"/>
      <c r="O724" s="16"/>
      <c r="P724" s="17"/>
      <c r="Q724" s="16"/>
      <c r="R724" s="16"/>
      <c r="S724" s="16"/>
      <c r="T724" s="16"/>
      <c r="U724" s="16"/>
      <c r="V724" s="16"/>
      <c r="W724" s="16"/>
      <c r="X724" s="16"/>
      <c r="Y724" s="16"/>
      <c r="Z724" s="16"/>
      <c r="AA724" s="16"/>
      <c r="AB724" s="16"/>
      <c r="AC724" s="16"/>
      <c r="AD724" s="16"/>
    </row>
    <row r="725" ht="14.25" customHeight="1">
      <c r="A725" s="16"/>
      <c r="B725" s="16"/>
      <c r="C725" s="16"/>
      <c r="D725" s="16"/>
      <c r="E725" s="16"/>
      <c r="F725" s="16"/>
      <c r="G725" s="16"/>
      <c r="H725" s="16"/>
      <c r="I725" s="16"/>
      <c r="J725" s="16"/>
      <c r="K725" s="16"/>
      <c r="L725" s="16"/>
      <c r="M725" s="16"/>
      <c r="N725" s="16"/>
      <c r="O725" s="16"/>
      <c r="P725" s="17"/>
      <c r="Q725" s="16"/>
      <c r="R725" s="16"/>
      <c r="S725" s="16"/>
      <c r="T725" s="16"/>
      <c r="U725" s="16"/>
      <c r="V725" s="16"/>
      <c r="W725" s="16"/>
      <c r="X725" s="16"/>
      <c r="Y725" s="16"/>
      <c r="Z725" s="16"/>
      <c r="AA725" s="16"/>
      <c r="AB725" s="16"/>
      <c r="AC725" s="16"/>
      <c r="AD725" s="16"/>
    </row>
    <row r="726" ht="14.25" customHeight="1">
      <c r="A726" s="16"/>
      <c r="B726" s="16"/>
      <c r="C726" s="16"/>
      <c r="D726" s="16"/>
      <c r="E726" s="16"/>
      <c r="F726" s="16"/>
      <c r="G726" s="16"/>
      <c r="H726" s="16"/>
      <c r="I726" s="16"/>
      <c r="J726" s="16"/>
      <c r="K726" s="16"/>
      <c r="L726" s="16"/>
      <c r="M726" s="16"/>
      <c r="N726" s="16"/>
      <c r="O726" s="16"/>
      <c r="P726" s="17"/>
      <c r="Q726" s="16"/>
      <c r="R726" s="16"/>
      <c r="S726" s="16"/>
      <c r="T726" s="16"/>
      <c r="U726" s="16"/>
      <c r="V726" s="16"/>
      <c r="W726" s="16"/>
      <c r="X726" s="16"/>
      <c r="Y726" s="16"/>
      <c r="Z726" s="16"/>
      <c r="AA726" s="16"/>
      <c r="AB726" s="16"/>
      <c r="AC726" s="16"/>
      <c r="AD726" s="16"/>
    </row>
    <row r="727" ht="14.25" customHeight="1">
      <c r="A727" s="16"/>
      <c r="B727" s="16"/>
      <c r="C727" s="16"/>
      <c r="D727" s="16"/>
      <c r="E727" s="16"/>
      <c r="F727" s="16"/>
      <c r="G727" s="16"/>
      <c r="H727" s="16"/>
      <c r="I727" s="16"/>
      <c r="J727" s="16"/>
      <c r="K727" s="16"/>
      <c r="L727" s="16"/>
      <c r="M727" s="16"/>
      <c r="N727" s="16"/>
      <c r="O727" s="16"/>
      <c r="P727" s="17"/>
      <c r="Q727" s="16"/>
      <c r="R727" s="16"/>
      <c r="S727" s="16"/>
      <c r="T727" s="16"/>
      <c r="U727" s="16"/>
      <c r="V727" s="16"/>
      <c r="W727" s="16"/>
      <c r="X727" s="16"/>
      <c r="Y727" s="16"/>
      <c r="Z727" s="16"/>
      <c r="AA727" s="16"/>
      <c r="AB727" s="16"/>
      <c r="AC727" s="16"/>
      <c r="AD727" s="16"/>
    </row>
    <row r="728" ht="14.25" customHeight="1">
      <c r="A728" s="16"/>
      <c r="B728" s="16"/>
      <c r="C728" s="16"/>
      <c r="D728" s="16"/>
      <c r="E728" s="16"/>
      <c r="F728" s="16"/>
      <c r="G728" s="16"/>
      <c r="H728" s="16"/>
      <c r="I728" s="16"/>
      <c r="J728" s="16"/>
      <c r="K728" s="16"/>
      <c r="L728" s="16"/>
      <c r="M728" s="16"/>
      <c r="N728" s="16"/>
      <c r="O728" s="16"/>
      <c r="P728" s="17"/>
      <c r="Q728" s="16"/>
      <c r="R728" s="16"/>
      <c r="S728" s="16"/>
      <c r="T728" s="16"/>
      <c r="U728" s="16"/>
      <c r="V728" s="16"/>
      <c r="W728" s="16"/>
      <c r="X728" s="16"/>
      <c r="Y728" s="16"/>
      <c r="Z728" s="16"/>
      <c r="AA728" s="16"/>
      <c r="AB728" s="16"/>
      <c r="AC728" s="16"/>
      <c r="AD728" s="16"/>
    </row>
    <row r="729" ht="14.25" customHeight="1">
      <c r="A729" s="16"/>
      <c r="B729" s="16"/>
      <c r="C729" s="16"/>
      <c r="D729" s="16"/>
      <c r="E729" s="16"/>
      <c r="F729" s="16"/>
      <c r="G729" s="16"/>
      <c r="H729" s="16"/>
      <c r="I729" s="16"/>
      <c r="J729" s="16"/>
      <c r="K729" s="16"/>
      <c r="L729" s="16"/>
      <c r="M729" s="16"/>
      <c r="N729" s="16"/>
      <c r="O729" s="16"/>
      <c r="P729" s="17"/>
      <c r="Q729" s="16"/>
      <c r="R729" s="16"/>
      <c r="S729" s="16"/>
      <c r="T729" s="16"/>
      <c r="U729" s="16"/>
      <c r="V729" s="16"/>
      <c r="W729" s="16"/>
      <c r="X729" s="16"/>
      <c r="Y729" s="16"/>
      <c r="Z729" s="16"/>
      <c r="AA729" s="16"/>
      <c r="AB729" s="16"/>
      <c r="AC729" s="16"/>
      <c r="AD729" s="16"/>
    </row>
    <row r="730" ht="14.25" customHeight="1">
      <c r="A730" s="16"/>
      <c r="B730" s="16"/>
      <c r="C730" s="16"/>
      <c r="D730" s="16"/>
      <c r="E730" s="16"/>
      <c r="F730" s="16"/>
      <c r="G730" s="16"/>
      <c r="H730" s="16"/>
      <c r="I730" s="16"/>
      <c r="J730" s="16"/>
      <c r="K730" s="16"/>
      <c r="L730" s="16"/>
      <c r="M730" s="16"/>
      <c r="N730" s="16"/>
      <c r="O730" s="16"/>
      <c r="P730" s="17"/>
      <c r="Q730" s="16"/>
      <c r="R730" s="16"/>
      <c r="S730" s="16"/>
      <c r="T730" s="16"/>
      <c r="U730" s="16"/>
      <c r="V730" s="16"/>
      <c r="W730" s="16"/>
      <c r="X730" s="16"/>
      <c r="Y730" s="16"/>
      <c r="Z730" s="16"/>
      <c r="AA730" s="16"/>
      <c r="AB730" s="16"/>
      <c r="AC730" s="16"/>
      <c r="AD730" s="16"/>
    </row>
    <row r="731" ht="14.25" customHeight="1">
      <c r="A731" s="16"/>
      <c r="B731" s="16"/>
      <c r="C731" s="16"/>
      <c r="D731" s="16"/>
      <c r="E731" s="16"/>
      <c r="F731" s="16"/>
      <c r="G731" s="16"/>
      <c r="H731" s="16"/>
      <c r="I731" s="16"/>
      <c r="J731" s="16"/>
      <c r="K731" s="16"/>
      <c r="L731" s="16"/>
      <c r="M731" s="16"/>
      <c r="N731" s="16"/>
      <c r="O731" s="16"/>
      <c r="P731" s="17"/>
      <c r="Q731" s="16"/>
      <c r="R731" s="16"/>
      <c r="S731" s="16"/>
      <c r="T731" s="16"/>
      <c r="U731" s="16"/>
      <c r="V731" s="16"/>
      <c r="W731" s="16"/>
      <c r="X731" s="16"/>
      <c r="Y731" s="16"/>
      <c r="Z731" s="16"/>
      <c r="AA731" s="16"/>
      <c r="AB731" s="16"/>
      <c r="AC731" s="16"/>
      <c r="AD731" s="16"/>
    </row>
    <row r="732" ht="14.25" customHeight="1">
      <c r="A732" s="16"/>
      <c r="B732" s="16"/>
      <c r="C732" s="16"/>
      <c r="D732" s="16"/>
      <c r="E732" s="16"/>
      <c r="F732" s="16"/>
      <c r="G732" s="16"/>
      <c r="H732" s="16"/>
      <c r="I732" s="16"/>
      <c r="J732" s="16"/>
      <c r="K732" s="16"/>
      <c r="L732" s="16"/>
      <c r="M732" s="16"/>
      <c r="N732" s="16"/>
      <c r="O732" s="16"/>
      <c r="P732" s="17"/>
      <c r="Q732" s="16"/>
      <c r="R732" s="16"/>
      <c r="S732" s="16"/>
      <c r="T732" s="16"/>
      <c r="U732" s="16"/>
      <c r="V732" s="16"/>
      <c r="W732" s="16"/>
      <c r="X732" s="16"/>
      <c r="Y732" s="16"/>
      <c r="Z732" s="16"/>
      <c r="AA732" s="16"/>
      <c r="AB732" s="16"/>
      <c r="AC732" s="16"/>
      <c r="AD732" s="16"/>
    </row>
    <row r="733" ht="14.25" customHeight="1">
      <c r="A733" s="16"/>
      <c r="B733" s="16"/>
      <c r="C733" s="16"/>
      <c r="D733" s="16"/>
      <c r="E733" s="16"/>
      <c r="F733" s="16"/>
      <c r="G733" s="16"/>
      <c r="H733" s="16"/>
      <c r="I733" s="16"/>
      <c r="J733" s="16"/>
      <c r="K733" s="16"/>
      <c r="L733" s="16"/>
      <c r="M733" s="16"/>
      <c r="N733" s="16"/>
      <c r="O733" s="16"/>
      <c r="P733" s="17"/>
      <c r="Q733" s="16"/>
      <c r="R733" s="16"/>
      <c r="S733" s="16"/>
      <c r="T733" s="16"/>
      <c r="U733" s="16"/>
      <c r="V733" s="16"/>
      <c r="W733" s="16"/>
      <c r="X733" s="16"/>
      <c r="Y733" s="16"/>
      <c r="Z733" s="16"/>
      <c r="AA733" s="16"/>
      <c r="AB733" s="16"/>
      <c r="AC733" s="16"/>
      <c r="AD733" s="16"/>
    </row>
    <row r="734" ht="14.25" customHeight="1">
      <c r="A734" s="16"/>
      <c r="B734" s="16"/>
      <c r="C734" s="16"/>
      <c r="D734" s="16"/>
      <c r="E734" s="16"/>
      <c r="F734" s="16"/>
      <c r="G734" s="16"/>
      <c r="H734" s="16"/>
      <c r="I734" s="16"/>
      <c r="J734" s="16"/>
      <c r="K734" s="16"/>
      <c r="L734" s="16"/>
      <c r="M734" s="16"/>
      <c r="N734" s="16"/>
      <c r="O734" s="16"/>
      <c r="P734" s="17"/>
      <c r="Q734" s="16"/>
      <c r="R734" s="16"/>
      <c r="S734" s="16"/>
      <c r="T734" s="16"/>
      <c r="U734" s="16"/>
      <c r="V734" s="16"/>
      <c r="W734" s="16"/>
      <c r="X734" s="16"/>
      <c r="Y734" s="16"/>
      <c r="Z734" s="16"/>
      <c r="AA734" s="16"/>
      <c r="AB734" s="16"/>
      <c r="AC734" s="16"/>
      <c r="AD734" s="16"/>
    </row>
    <row r="735" ht="14.25" customHeight="1">
      <c r="A735" s="16"/>
      <c r="B735" s="16"/>
      <c r="C735" s="16"/>
      <c r="D735" s="16"/>
      <c r="E735" s="16"/>
      <c r="F735" s="16"/>
      <c r="G735" s="16"/>
      <c r="H735" s="16"/>
      <c r="I735" s="16"/>
      <c r="J735" s="16"/>
      <c r="K735" s="16"/>
      <c r="L735" s="16"/>
      <c r="M735" s="16"/>
      <c r="N735" s="16"/>
      <c r="O735" s="16"/>
      <c r="P735" s="17"/>
      <c r="Q735" s="16"/>
      <c r="R735" s="16"/>
      <c r="S735" s="16"/>
      <c r="T735" s="16"/>
      <c r="U735" s="16"/>
      <c r="V735" s="16"/>
      <c r="W735" s="16"/>
      <c r="X735" s="16"/>
      <c r="Y735" s="16"/>
      <c r="Z735" s="16"/>
      <c r="AA735" s="16"/>
      <c r="AB735" s="16"/>
      <c r="AC735" s="16"/>
      <c r="AD735" s="16"/>
    </row>
    <row r="736" ht="14.25" customHeight="1">
      <c r="A736" s="16"/>
      <c r="B736" s="16"/>
      <c r="C736" s="16"/>
      <c r="D736" s="16"/>
      <c r="E736" s="16"/>
      <c r="F736" s="16"/>
      <c r="G736" s="16"/>
      <c r="H736" s="16"/>
      <c r="I736" s="16"/>
      <c r="J736" s="16"/>
      <c r="K736" s="16"/>
      <c r="L736" s="16"/>
      <c r="M736" s="16"/>
      <c r="N736" s="16"/>
      <c r="O736" s="16"/>
      <c r="P736" s="17"/>
      <c r="Q736" s="16"/>
      <c r="R736" s="16"/>
      <c r="S736" s="16"/>
      <c r="T736" s="16"/>
      <c r="U736" s="16"/>
      <c r="V736" s="16"/>
      <c r="W736" s="16"/>
      <c r="X736" s="16"/>
      <c r="Y736" s="16"/>
      <c r="Z736" s="16"/>
      <c r="AA736" s="16"/>
      <c r="AB736" s="16"/>
      <c r="AC736" s="16"/>
      <c r="AD736" s="16"/>
    </row>
    <row r="737" ht="14.25" customHeight="1">
      <c r="A737" s="16"/>
      <c r="B737" s="16"/>
      <c r="C737" s="16"/>
      <c r="D737" s="16"/>
      <c r="E737" s="16"/>
      <c r="F737" s="16"/>
      <c r="G737" s="16"/>
      <c r="H737" s="16"/>
      <c r="I737" s="16"/>
      <c r="J737" s="16"/>
      <c r="K737" s="16"/>
      <c r="L737" s="16"/>
      <c r="M737" s="16"/>
      <c r="N737" s="16"/>
      <c r="O737" s="16"/>
      <c r="P737" s="17"/>
      <c r="Q737" s="16"/>
      <c r="R737" s="16"/>
      <c r="S737" s="16"/>
      <c r="T737" s="16"/>
      <c r="U737" s="16"/>
      <c r="V737" s="16"/>
      <c r="W737" s="16"/>
      <c r="X737" s="16"/>
      <c r="Y737" s="16"/>
      <c r="Z737" s="16"/>
      <c r="AA737" s="16"/>
      <c r="AB737" s="16"/>
      <c r="AC737" s="16"/>
      <c r="AD737" s="16"/>
    </row>
    <row r="738" ht="14.25" customHeight="1">
      <c r="A738" s="16"/>
      <c r="B738" s="16"/>
      <c r="C738" s="16"/>
      <c r="D738" s="16"/>
      <c r="E738" s="16"/>
      <c r="F738" s="16"/>
      <c r="G738" s="16"/>
      <c r="H738" s="16"/>
      <c r="I738" s="16"/>
      <c r="J738" s="16"/>
      <c r="K738" s="16"/>
      <c r="L738" s="16"/>
      <c r="M738" s="16"/>
      <c r="N738" s="16"/>
      <c r="O738" s="16"/>
      <c r="P738" s="17"/>
      <c r="Q738" s="16"/>
      <c r="R738" s="16"/>
      <c r="S738" s="16"/>
      <c r="T738" s="16"/>
      <c r="U738" s="16"/>
      <c r="V738" s="16"/>
      <c r="W738" s="16"/>
      <c r="X738" s="16"/>
      <c r="Y738" s="16"/>
      <c r="Z738" s="16"/>
      <c r="AA738" s="16"/>
      <c r="AB738" s="16"/>
      <c r="AC738" s="16"/>
      <c r="AD738" s="16"/>
    </row>
    <row r="739" ht="14.25" customHeight="1">
      <c r="A739" s="16"/>
      <c r="B739" s="16"/>
      <c r="C739" s="16"/>
      <c r="D739" s="16"/>
      <c r="E739" s="16"/>
      <c r="F739" s="16"/>
      <c r="G739" s="16"/>
      <c r="H739" s="16"/>
      <c r="I739" s="16"/>
      <c r="J739" s="16"/>
      <c r="K739" s="16"/>
      <c r="L739" s="16"/>
      <c r="M739" s="16"/>
      <c r="N739" s="16"/>
      <c r="O739" s="16"/>
      <c r="P739" s="17"/>
      <c r="Q739" s="16"/>
      <c r="R739" s="16"/>
      <c r="S739" s="16"/>
      <c r="T739" s="16"/>
      <c r="U739" s="16"/>
      <c r="V739" s="16"/>
      <c r="W739" s="16"/>
      <c r="X739" s="16"/>
      <c r="Y739" s="16"/>
      <c r="Z739" s="16"/>
      <c r="AA739" s="16"/>
      <c r="AB739" s="16"/>
      <c r="AC739" s="16"/>
      <c r="AD739" s="16"/>
    </row>
    <row r="740" ht="14.25" customHeight="1">
      <c r="A740" s="16"/>
      <c r="B740" s="16"/>
      <c r="C740" s="16"/>
      <c r="D740" s="16"/>
      <c r="E740" s="16"/>
      <c r="F740" s="16"/>
      <c r="G740" s="16"/>
      <c r="H740" s="16"/>
      <c r="I740" s="16"/>
      <c r="J740" s="16"/>
      <c r="K740" s="16"/>
      <c r="L740" s="16"/>
      <c r="M740" s="16"/>
      <c r="N740" s="16"/>
      <c r="O740" s="16"/>
      <c r="P740" s="17"/>
      <c r="Q740" s="16"/>
      <c r="R740" s="16"/>
      <c r="S740" s="16"/>
      <c r="T740" s="16"/>
      <c r="U740" s="16"/>
      <c r="V740" s="16"/>
      <c r="W740" s="16"/>
      <c r="X740" s="16"/>
      <c r="Y740" s="16"/>
      <c r="Z740" s="16"/>
      <c r="AA740" s="16"/>
      <c r="AB740" s="16"/>
      <c r="AC740" s="16"/>
      <c r="AD740" s="16"/>
    </row>
    <row r="741" ht="14.25" customHeight="1">
      <c r="A741" s="16"/>
      <c r="B741" s="16"/>
      <c r="C741" s="16"/>
      <c r="D741" s="16"/>
      <c r="E741" s="16"/>
      <c r="F741" s="16"/>
      <c r="G741" s="16"/>
      <c r="H741" s="16"/>
      <c r="I741" s="16"/>
      <c r="J741" s="16"/>
      <c r="K741" s="16"/>
      <c r="L741" s="16"/>
      <c r="M741" s="16"/>
      <c r="N741" s="16"/>
      <c r="O741" s="16"/>
      <c r="P741" s="17"/>
      <c r="Q741" s="16"/>
      <c r="R741" s="16"/>
      <c r="S741" s="16"/>
      <c r="T741" s="16"/>
      <c r="U741" s="16"/>
      <c r="V741" s="16"/>
      <c r="W741" s="16"/>
      <c r="X741" s="16"/>
      <c r="Y741" s="16"/>
      <c r="Z741" s="16"/>
      <c r="AA741" s="16"/>
      <c r="AB741" s="16"/>
      <c r="AC741" s="16"/>
      <c r="AD741" s="16"/>
    </row>
    <row r="742" ht="14.25" customHeight="1">
      <c r="A742" s="16"/>
      <c r="B742" s="16"/>
      <c r="C742" s="16"/>
      <c r="D742" s="16"/>
      <c r="E742" s="16"/>
      <c r="F742" s="16"/>
      <c r="G742" s="16"/>
      <c r="H742" s="16"/>
      <c r="I742" s="16"/>
      <c r="J742" s="16"/>
      <c r="K742" s="16"/>
      <c r="L742" s="16"/>
      <c r="M742" s="16"/>
      <c r="N742" s="16"/>
      <c r="O742" s="16"/>
      <c r="P742" s="17"/>
      <c r="Q742" s="16"/>
      <c r="R742" s="16"/>
      <c r="S742" s="16"/>
      <c r="T742" s="16"/>
      <c r="U742" s="16"/>
      <c r="V742" s="16"/>
      <c r="W742" s="16"/>
      <c r="X742" s="16"/>
      <c r="Y742" s="16"/>
      <c r="Z742" s="16"/>
      <c r="AA742" s="16"/>
      <c r="AB742" s="16"/>
      <c r="AC742" s="16"/>
      <c r="AD742" s="16"/>
    </row>
    <row r="743" ht="14.25" customHeight="1">
      <c r="A743" s="16"/>
      <c r="B743" s="16"/>
      <c r="C743" s="16"/>
      <c r="D743" s="16"/>
      <c r="E743" s="16"/>
      <c r="F743" s="16"/>
      <c r="G743" s="16"/>
      <c r="H743" s="16"/>
      <c r="I743" s="16"/>
      <c r="J743" s="16"/>
      <c r="K743" s="16"/>
      <c r="L743" s="16"/>
      <c r="M743" s="16"/>
      <c r="N743" s="16"/>
      <c r="O743" s="16"/>
      <c r="P743" s="17"/>
      <c r="Q743" s="16"/>
      <c r="R743" s="16"/>
      <c r="S743" s="16"/>
      <c r="T743" s="16"/>
      <c r="U743" s="16"/>
      <c r="V743" s="16"/>
      <c r="W743" s="16"/>
      <c r="X743" s="16"/>
      <c r="Y743" s="16"/>
      <c r="Z743" s="16"/>
      <c r="AA743" s="16"/>
      <c r="AB743" s="16"/>
      <c r="AC743" s="16"/>
      <c r="AD743" s="16"/>
    </row>
    <row r="744" ht="14.25" customHeight="1">
      <c r="A744" s="16"/>
      <c r="B744" s="16"/>
      <c r="C744" s="16"/>
      <c r="D744" s="16"/>
      <c r="E744" s="16"/>
      <c r="F744" s="16"/>
      <c r="G744" s="16"/>
      <c r="H744" s="16"/>
      <c r="I744" s="16"/>
      <c r="J744" s="16"/>
      <c r="K744" s="16"/>
      <c r="L744" s="16"/>
      <c r="M744" s="16"/>
      <c r="N744" s="16"/>
      <c r="O744" s="16"/>
      <c r="P744" s="17"/>
      <c r="Q744" s="16"/>
      <c r="R744" s="16"/>
      <c r="S744" s="16"/>
      <c r="T744" s="16"/>
      <c r="U744" s="16"/>
      <c r="V744" s="16"/>
      <c r="W744" s="16"/>
      <c r="X744" s="16"/>
      <c r="Y744" s="16"/>
      <c r="Z744" s="16"/>
      <c r="AA744" s="16"/>
      <c r="AB744" s="16"/>
      <c r="AC744" s="16"/>
      <c r="AD744" s="16"/>
    </row>
    <row r="745" ht="14.25" customHeight="1">
      <c r="A745" s="16"/>
      <c r="B745" s="16"/>
      <c r="C745" s="16"/>
      <c r="D745" s="16"/>
      <c r="E745" s="16"/>
      <c r="F745" s="16"/>
      <c r="G745" s="16"/>
      <c r="H745" s="16"/>
      <c r="I745" s="16"/>
      <c r="J745" s="16"/>
      <c r="K745" s="16"/>
      <c r="L745" s="16"/>
      <c r="M745" s="16"/>
      <c r="N745" s="16"/>
      <c r="O745" s="16"/>
      <c r="P745" s="17"/>
      <c r="Q745" s="16"/>
      <c r="R745" s="16"/>
      <c r="S745" s="16"/>
      <c r="T745" s="16"/>
      <c r="U745" s="16"/>
      <c r="V745" s="16"/>
      <c r="W745" s="16"/>
      <c r="X745" s="16"/>
      <c r="Y745" s="16"/>
      <c r="Z745" s="16"/>
      <c r="AA745" s="16"/>
      <c r="AB745" s="16"/>
      <c r="AC745" s="16"/>
      <c r="AD745" s="16"/>
    </row>
    <row r="746" ht="14.25" customHeight="1">
      <c r="A746" s="16"/>
      <c r="B746" s="16"/>
      <c r="C746" s="16"/>
      <c r="D746" s="16"/>
      <c r="E746" s="16"/>
      <c r="F746" s="16"/>
      <c r="G746" s="16"/>
      <c r="H746" s="16"/>
      <c r="I746" s="16"/>
      <c r="J746" s="16"/>
      <c r="K746" s="16"/>
      <c r="L746" s="16"/>
      <c r="M746" s="16"/>
      <c r="N746" s="16"/>
      <c r="O746" s="16"/>
      <c r="P746" s="17"/>
      <c r="Q746" s="16"/>
      <c r="R746" s="16"/>
      <c r="S746" s="16"/>
      <c r="T746" s="16"/>
      <c r="U746" s="16"/>
      <c r="V746" s="16"/>
      <c r="W746" s="16"/>
      <c r="X746" s="16"/>
      <c r="Y746" s="16"/>
      <c r="Z746" s="16"/>
      <c r="AA746" s="16"/>
      <c r="AB746" s="16"/>
      <c r="AC746" s="16"/>
      <c r="AD746" s="16"/>
    </row>
    <row r="747" ht="14.25" customHeight="1">
      <c r="A747" s="16"/>
      <c r="B747" s="16"/>
      <c r="C747" s="16"/>
      <c r="D747" s="16"/>
      <c r="E747" s="16"/>
      <c r="F747" s="16"/>
      <c r="G747" s="16"/>
      <c r="H747" s="16"/>
      <c r="I747" s="16"/>
      <c r="J747" s="16"/>
      <c r="K747" s="16"/>
      <c r="L747" s="16"/>
      <c r="M747" s="16"/>
      <c r="N747" s="16"/>
      <c r="O747" s="16"/>
      <c r="P747" s="17"/>
      <c r="Q747" s="16"/>
      <c r="R747" s="16"/>
      <c r="S747" s="16"/>
      <c r="T747" s="16"/>
      <c r="U747" s="16"/>
      <c r="V747" s="16"/>
      <c r="W747" s="16"/>
      <c r="X747" s="16"/>
      <c r="Y747" s="16"/>
      <c r="Z747" s="16"/>
      <c r="AA747" s="16"/>
      <c r="AB747" s="16"/>
      <c r="AC747" s="16"/>
      <c r="AD747" s="16"/>
    </row>
    <row r="748" ht="14.25" customHeight="1">
      <c r="A748" s="16"/>
      <c r="B748" s="16"/>
      <c r="C748" s="16"/>
      <c r="D748" s="16"/>
      <c r="E748" s="16"/>
      <c r="F748" s="16"/>
      <c r="G748" s="16"/>
      <c r="H748" s="16"/>
      <c r="I748" s="16"/>
      <c r="J748" s="16"/>
      <c r="K748" s="16"/>
      <c r="L748" s="16"/>
      <c r="M748" s="16"/>
      <c r="N748" s="16"/>
      <c r="O748" s="16"/>
      <c r="P748" s="17"/>
      <c r="Q748" s="16"/>
      <c r="R748" s="16"/>
      <c r="S748" s="16"/>
      <c r="T748" s="16"/>
      <c r="U748" s="16"/>
      <c r="V748" s="16"/>
      <c r="W748" s="16"/>
      <c r="X748" s="16"/>
      <c r="Y748" s="16"/>
      <c r="Z748" s="16"/>
      <c r="AA748" s="16"/>
      <c r="AB748" s="16"/>
      <c r="AC748" s="16"/>
      <c r="AD748" s="16"/>
    </row>
    <row r="749" ht="14.25" customHeight="1">
      <c r="A749" s="16"/>
      <c r="B749" s="16"/>
      <c r="C749" s="16"/>
      <c r="D749" s="16"/>
      <c r="E749" s="16"/>
      <c r="F749" s="16"/>
      <c r="G749" s="16"/>
      <c r="H749" s="16"/>
      <c r="I749" s="16"/>
      <c r="J749" s="16"/>
      <c r="K749" s="16"/>
      <c r="L749" s="16"/>
      <c r="M749" s="16"/>
      <c r="N749" s="16"/>
      <c r="O749" s="16"/>
      <c r="P749" s="17"/>
      <c r="Q749" s="16"/>
      <c r="R749" s="16"/>
      <c r="S749" s="16"/>
      <c r="T749" s="16"/>
      <c r="U749" s="16"/>
      <c r="V749" s="16"/>
      <c r="W749" s="16"/>
      <c r="X749" s="16"/>
      <c r="Y749" s="16"/>
      <c r="Z749" s="16"/>
      <c r="AA749" s="16"/>
      <c r="AB749" s="16"/>
      <c r="AC749" s="16"/>
      <c r="AD749" s="16"/>
    </row>
    <row r="750" ht="14.25" customHeight="1">
      <c r="A750" s="16"/>
      <c r="B750" s="16"/>
      <c r="C750" s="16"/>
      <c r="D750" s="16"/>
      <c r="E750" s="16"/>
      <c r="F750" s="16"/>
      <c r="G750" s="16"/>
      <c r="H750" s="16"/>
      <c r="I750" s="16"/>
      <c r="J750" s="16"/>
      <c r="K750" s="16"/>
      <c r="L750" s="16"/>
      <c r="M750" s="16"/>
      <c r="N750" s="16"/>
      <c r="O750" s="16"/>
      <c r="P750" s="17"/>
      <c r="Q750" s="16"/>
      <c r="R750" s="16"/>
      <c r="S750" s="16"/>
      <c r="T750" s="16"/>
      <c r="U750" s="16"/>
      <c r="V750" s="16"/>
      <c r="W750" s="16"/>
      <c r="X750" s="16"/>
      <c r="Y750" s="16"/>
      <c r="Z750" s="16"/>
      <c r="AA750" s="16"/>
      <c r="AB750" s="16"/>
      <c r="AC750" s="16"/>
      <c r="AD750" s="16"/>
    </row>
    <row r="751" ht="14.25" customHeight="1">
      <c r="A751" s="16"/>
      <c r="B751" s="16"/>
      <c r="C751" s="16"/>
      <c r="D751" s="16"/>
      <c r="E751" s="16"/>
      <c r="F751" s="16"/>
      <c r="G751" s="16"/>
      <c r="H751" s="16"/>
      <c r="I751" s="16"/>
      <c r="J751" s="16"/>
      <c r="K751" s="16"/>
      <c r="L751" s="16"/>
      <c r="M751" s="16"/>
      <c r="N751" s="16"/>
      <c r="O751" s="16"/>
      <c r="P751" s="17"/>
      <c r="Q751" s="16"/>
      <c r="R751" s="16"/>
      <c r="S751" s="16"/>
      <c r="T751" s="16"/>
      <c r="U751" s="16"/>
      <c r="V751" s="16"/>
      <c r="W751" s="16"/>
      <c r="X751" s="16"/>
      <c r="Y751" s="16"/>
      <c r="Z751" s="16"/>
      <c r="AA751" s="16"/>
      <c r="AB751" s="16"/>
      <c r="AC751" s="16"/>
      <c r="AD751" s="16"/>
    </row>
    <row r="752" ht="14.25" customHeight="1">
      <c r="A752" s="16"/>
      <c r="B752" s="16"/>
      <c r="C752" s="16"/>
      <c r="D752" s="16"/>
      <c r="E752" s="16"/>
      <c r="F752" s="16"/>
      <c r="G752" s="16"/>
      <c r="H752" s="16"/>
      <c r="I752" s="16"/>
      <c r="J752" s="16"/>
      <c r="K752" s="16"/>
      <c r="L752" s="16"/>
      <c r="M752" s="16"/>
      <c r="N752" s="16"/>
      <c r="O752" s="16"/>
      <c r="P752" s="17"/>
      <c r="Q752" s="16"/>
      <c r="R752" s="16"/>
      <c r="S752" s="16"/>
      <c r="T752" s="16"/>
      <c r="U752" s="16"/>
      <c r="V752" s="16"/>
      <c r="W752" s="16"/>
      <c r="X752" s="16"/>
      <c r="Y752" s="16"/>
      <c r="Z752" s="16"/>
      <c r="AA752" s="16"/>
      <c r="AB752" s="16"/>
      <c r="AC752" s="16"/>
      <c r="AD752" s="16"/>
    </row>
    <row r="753" ht="14.25" customHeight="1">
      <c r="A753" s="16"/>
      <c r="B753" s="16"/>
      <c r="C753" s="16"/>
      <c r="D753" s="16"/>
      <c r="E753" s="16"/>
      <c r="F753" s="16"/>
      <c r="G753" s="16"/>
      <c r="H753" s="16"/>
      <c r="I753" s="16"/>
      <c r="J753" s="16"/>
      <c r="K753" s="16"/>
      <c r="L753" s="16"/>
      <c r="M753" s="16"/>
      <c r="N753" s="16"/>
      <c r="O753" s="16"/>
      <c r="P753" s="17"/>
      <c r="Q753" s="16"/>
      <c r="R753" s="16"/>
      <c r="S753" s="16"/>
      <c r="T753" s="16"/>
      <c r="U753" s="16"/>
      <c r="V753" s="16"/>
      <c r="W753" s="16"/>
      <c r="X753" s="16"/>
      <c r="Y753" s="16"/>
      <c r="Z753" s="16"/>
      <c r="AA753" s="16"/>
      <c r="AB753" s="16"/>
      <c r="AC753" s="16"/>
      <c r="AD753" s="16"/>
    </row>
    <row r="754" ht="14.25" customHeight="1">
      <c r="A754" s="16"/>
      <c r="B754" s="16"/>
      <c r="C754" s="16"/>
      <c r="D754" s="16"/>
      <c r="E754" s="16"/>
      <c r="F754" s="16"/>
      <c r="G754" s="16"/>
      <c r="H754" s="16"/>
      <c r="I754" s="16"/>
      <c r="J754" s="16"/>
      <c r="K754" s="16"/>
      <c r="L754" s="16"/>
      <c r="M754" s="16"/>
      <c r="N754" s="16"/>
      <c r="O754" s="16"/>
      <c r="P754" s="17"/>
      <c r="Q754" s="16"/>
      <c r="R754" s="16"/>
      <c r="S754" s="16"/>
      <c r="T754" s="16"/>
      <c r="U754" s="16"/>
      <c r="V754" s="16"/>
      <c r="W754" s="16"/>
      <c r="X754" s="16"/>
      <c r="Y754" s="16"/>
      <c r="Z754" s="16"/>
      <c r="AA754" s="16"/>
      <c r="AB754" s="16"/>
      <c r="AC754" s="16"/>
      <c r="AD754" s="16"/>
    </row>
    <row r="755" ht="14.25" customHeight="1">
      <c r="A755" s="16"/>
      <c r="B755" s="16"/>
      <c r="C755" s="16"/>
      <c r="D755" s="16"/>
      <c r="E755" s="16"/>
      <c r="F755" s="16"/>
      <c r="G755" s="16"/>
      <c r="H755" s="16"/>
      <c r="I755" s="16"/>
      <c r="J755" s="16"/>
      <c r="K755" s="16"/>
      <c r="L755" s="16"/>
      <c r="M755" s="16"/>
      <c r="N755" s="16"/>
      <c r="O755" s="16"/>
      <c r="P755" s="17"/>
      <c r="Q755" s="16"/>
      <c r="R755" s="16"/>
      <c r="S755" s="16"/>
      <c r="T755" s="16"/>
      <c r="U755" s="16"/>
      <c r="V755" s="16"/>
      <c r="W755" s="16"/>
      <c r="X755" s="16"/>
      <c r="Y755" s="16"/>
      <c r="Z755" s="16"/>
      <c r="AA755" s="16"/>
      <c r="AB755" s="16"/>
      <c r="AC755" s="16"/>
      <c r="AD755" s="16"/>
    </row>
    <row r="756" ht="14.25" customHeight="1">
      <c r="A756" s="16"/>
      <c r="B756" s="16"/>
      <c r="C756" s="16"/>
      <c r="D756" s="16"/>
      <c r="E756" s="16"/>
      <c r="F756" s="16"/>
      <c r="G756" s="16"/>
      <c r="H756" s="16"/>
      <c r="I756" s="16"/>
      <c r="J756" s="16"/>
      <c r="K756" s="16"/>
      <c r="L756" s="16"/>
      <c r="M756" s="16"/>
      <c r="N756" s="16"/>
      <c r="O756" s="16"/>
      <c r="P756" s="17"/>
      <c r="Q756" s="16"/>
      <c r="R756" s="16"/>
      <c r="S756" s="16"/>
      <c r="T756" s="16"/>
      <c r="U756" s="16"/>
      <c r="V756" s="16"/>
      <c r="W756" s="16"/>
      <c r="X756" s="16"/>
      <c r="Y756" s="16"/>
      <c r="Z756" s="16"/>
      <c r="AA756" s="16"/>
      <c r="AB756" s="16"/>
      <c r="AC756" s="16"/>
      <c r="AD756" s="16"/>
    </row>
    <row r="757" ht="14.25" customHeight="1">
      <c r="A757" s="16"/>
      <c r="B757" s="16"/>
      <c r="C757" s="16"/>
      <c r="D757" s="16"/>
      <c r="E757" s="16"/>
      <c r="F757" s="16"/>
      <c r="G757" s="16"/>
      <c r="H757" s="16"/>
      <c r="I757" s="16"/>
      <c r="J757" s="16"/>
      <c r="K757" s="16"/>
      <c r="L757" s="16"/>
      <c r="M757" s="16"/>
      <c r="N757" s="16"/>
      <c r="O757" s="16"/>
      <c r="P757" s="17"/>
      <c r="Q757" s="16"/>
      <c r="R757" s="16"/>
      <c r="S757" s="16"/>
      <c r="T757" s="16"/>
      <c r="U757" s="16"/>
      <c r="V757" s="16"/>
      <c r="W757" s="16"/>
      <c r="X757" s="16"/>
      <c r="Y757" s="16"/>
      <c r="Z757" s="16"/>
      <c r="AA757" s="16"/>
      <c r="AB757" s="16"/>
      <c r="AC757" s="16"/>
      <c r="AD757" s="16"/>
    </row>
    <row r="758" ht="14.25" customHeight="1">
      <c r="A758" s="16"/>
      <c r="B758" s="16"/>
      <c r="C758" s="16"/>
      <c r="D758" s="16"/>
      <c r="E758" s="16"/>
      <c r="F758" s="16"/>
      <c r="G758" s="16"/>
      <c r="H758" s="16"/>
      <c r="I758" s="16"/>
      <c r="J758" s="16"/>
      <c r="K758" s="16"/>
      <c r="L758" s="16"/>
      <c r="M758" s="16"/>
      <c r="N758" s="16"/>
      <c r="O758" s="16"/>
      <c r="P758" s="17"/>
      <c r="Q758" s="16"/>
      <c r="R758" s="16"/>
      <c r="S758" s="16"/>
      <c r="T758" s="16"/>
      <c r="U758" s="16"/>
      <c r="V758" s="16"/>
      <c r="W758" s="16"/>
      <c r="X758" s="16"/>
      <c r="Y758" s="16"/>
      <c r="Z758" s="16"/>
      <c r="AA758" s="16"/>
      <c r="AB758" s="16"/>
      <c r="AC758" s="16"/>
      <c r="AD758" s="16"/>
    </row>
    <row r="759" ht="14.25" customHeight="1">
      <c r="A759" s="16"/>
      <c r="B759" s="16"/>
      <c r="C759" s="16"/>
      <c r="D759" s="16"/>
      <c r="E759" s="16"/>
      <c r="F759" s="16"/>
      <c r="G759" s="16"/>
      <c r="H759" s="16"/>
      <c r="I759" s="16"/>
      <c r="J759" s="16"/>
      <c r="K759" s="16"/>
      <c r="L759" s="16"/>
      <c r="M759" s="16"/>
      <c r="N759" s="16"/>
      <c r="O759" s="16"/>
      <c r="P759" s="17"/>
      <c r="Q759" s="16"/>
      <c r="R759" s="16"/>
      <c r="S759" s="16"/>
      <c r="T759" s="16"/>
      <c r="U759" s="16"/>
      <c r="V759" s="16"/>
      <c r="W759" s="16"/>
      <c r="X759" s="16"/>
      <c r="Y759" s="16"/>
      <c r="Z759" s="16"/>
      <c r="AA759" s="16"/>
      <c r="AB759" s="16"/>
      <c r="AC759" s="16"/>
      <c r="AD759" s="16"/>
    </row>
    <row r="760" ht="14.25" customHeight="1">
      <c r="A760" s="16"/>
      <c r="B760" s="16"/>
      <c r="C760" s="16"/>
      <c r="D760" s="16"/>
      <c r="E760" s="16"/>
      <c r="F760" s="16"/>
      <c r="G760" s="16"/>
      <c r="H760" s="16"/>
      <c r="I760" s="16"/>
      <c r="J760" s="16"/>
      <c r="K760" s="16"/>
      <c r="L760" s="16"/>
      <c r="M760" s="16"/>
      <c r="N760" s="16"/>
      <c r="O760" s="16"/>
      <c r="P760" s="17"/>
      <c r="Q760" s="16"/>
      <c r="R760" s="16"/>
      <c r="S760" s="16"/>
      <c r="T760" s="16"/>
      <c r="U760" s="16"/>
      <c r="V760" s="16"/>
      <c r="W760" s="16"/>
      <c r="X760" s="16"/>
      <c r="Y760" s="16"/>
      <c r="Z760" s="16"/>
      <c r="AA760" s="16"/>
      <c r="AB760" s="16"/>
      <c r="AC760" s="16"/>
      <c r="AD760" s="16"/>
    </row>
    <row r="761" ht="14.25" customHeight="1">
      <c r="A761" s="16"/>
      <c r="B761" s="16"/>
      <c r="C761" s="16"/>
      <c r="D761" s="16"/>
      <c r="E761" s="16"/>
      <c r="F761" s="16"/>
      <c r="G761" s="16"/>
      <c r="H761" s="16"/>
      <c r="I761" s="16"/>
      <c r="J761" s="16"/>
      <c r="K761" s="16"/>
      <c r="L761" s="16"/>
      <c r="M761" s="16"/>
      <c r="N761" s="16"/>
      <c r="O761" s="16"/>
      <c r="P761" s="17"/>
      <c r="Q761" s="16"/>
      <c r="R761" s="16"/>
      <c r="S761" s="16"/>
      <c r="T761" s="16"/>
      <c r="U761" s="16"/>
      <c r="V761" s="16"/>
      <c r="W761" s="16"/>
      <c r="X761" s="16"/>
      <c r="Y761" s="16"/>
      <c r="Z761" s="16"/>
      <c r="AA761" s="16"/>
      <c r="AB761" s="16"/>
      <c r="AC761" s="16"/>
      <c r="AD761" s="16"/>
    </row>
    <row r="762" ht="14.25" customHeight="1">
      <c r="A762" s="16"/>
      <c r="B762" s="16"/>
      <c r="C762" s="16"/>
      <c r="D762" s="16"/>
      <c r="E762" s="16"/>
      <c r="F762" s="16"/>
      <c r="G762" s="16"/>
      <c r="H762" s="16"/>
      <c r="I762" s="16"/>
      <c r="J762" s="16"/>
      <c r="K762" s="16"/>
      <c r="L762" s="16"/>
      <c r="M762" s="16"/>
      <c r="N762" s="16"/>
      <c r="O762" s="16"/>
      <c r="P762" s="17"/>
      <c r="Q762" s="16"/>
      <c r="R762" s="16"/>
      <c r="S762" s="16"/>
      <c r="T762" s="16"/>
      <c r="U762" s="16"/>
      <c r="V762" s="16"/>
      <c r="W762" s="16"/>
      <c r="X762" s="16"/>
      <c r="Y762" s="16"/>
      <c r="Z762" s="16"/>
      <c r="AA762" s="16"/>
      <c r="AB762" s="16"/>
      <c r="AC762" s="16"/>
      <c r="AD762" s="16"/>
    </row>
    <row r="763" ht="14.25" customHeight="1">
      <c r="A763" s="16"/>
      <c r="B763" s="16"/>
      <c r="C763" s="16"/>
      <c r="D763" s="16"/>
      <c r="E763" s="16"/>
      <c r="F763" s="16"/>
      <c r="G763" s="16"/>
      <c r="H763" s="16"/>
      <c r="I763" s="16"/>
      <c r="J763" s="16"/>
      <c r="K763" s="16"/>
      <c r="L763" s="16"/>
      <c r="M763" s="16"/>
      <c r="N763" s="16"/>
      <c r="O763" s="16"/>
      <c r="P763" s="17"/>
      <c r="Q763" s="16"/>
      <c r="R763" s="16"/>
      <c r="S763" s="16"/>
      <c r="T763" s="16"/>
      <c r="U763" s="16"/>
      <c r="V763" s="16"/>
      <c r="W763" s="16"/>
      <c r="X763" s="16"/>
      <c r="Y763" s="16"/>
      <c r="Z763" s="16"/>
      <c r="AA763" s="16"/>
      <c r="AB763" s="16"/>
      <c r="AC763" s="16"/>
      <c r="AD763" s="16"/>
    </row>
    <row r="764" ht="14.25" customHeight="1">
      <c r="A764" s="16"/>
      <c r="B764" s="16"/>
      <c r="C764" s="16"/>
      <c r="D764" s="16"/>
      <c r="E764" s="16"/>
      <c r="F764" s="16"/>
      <c r="G764" s="16"/>
      <c r="H764" s="16"/>
      <c r="I764" s="16"/>
      <c r="J764" s="16"/>
      <c r="K764" s="16"/>
      <c r="L764" s="16"/>
      <c r="M764" s="16"/>
      <c r="N764" s="16"/>
      <c r="O764" s="16"/>
      <c r="P764" s="17"/>
      <c r="Q764" s="16"/>
      <c r="R764" s="16"/>
      <c r="S764" s="16"/>
      <c r="T764" s="16"/>
      <c r="U764" s="16"/>
      <c r="V764" s="16"/>
      <c r="W764" s="16"/>
      <c r="X764" s="16"/>
      <c r="Y764" s="16"/>
      <c r="Z764" s="16"/>
      <c r="AA764" s="16"/>
      <c r="AB764" s="16"/>
      <c r="AC764" s="16"/>
      <c r="AD764" s="16"/>
    </row>
    <row r="765" ht="14.25" customHeight="1">
      <c r="A765" s="16"/>
      <c r="B765" s="16"/>
      <c r="C765" s="16"/>
      <c r="D765" s="16"/>
      <c r="E765" s="16"/>
      <c r="F765" s="16"/>
      <c r="G765" s="16"/>
      <c r="H765" s="16"/>
      <c r="I765" s="16"/>
      <c r="J765" s="16"/>
      <c r="K765" s="16"/>
      <c r="L765" s="16"/>
      <c r="M765" s="16"/>
      <c r="N765" s="16"/>
      <c r="O765" s="16"/>
      <c r="P765" s="17"/>
      <c r="Q765" s="16"/>
      <c r="R765" s="16"/>
      <c r="S765" s="16"/>
      <c r="T765" s="16"/>
      <c r="U765" s="16"/>
      <c r="V765" s="16"/>
      <c r="W765" s="16"/>
      <c r="X765" s="16"/>
      <c r="Y765" s="16"/>
      <c r="Z765" s="16"/>
      <c r="AA765" s="16"/>
      <c r="AB765" s="16"/>
      <c r="AC765" s="16"/>
      <c r="AD765" s="16"/>
    </row>
    <row r="766" ht="14.25" customHeight="1">
      <c r="A766" s="16"/>
      <c r="B766" s="16"/>
      <c r="C766" s="16"/>
      <c r="D766" s="16"/>
      <c r="E766" s="16"/>
      <c r="F766" s="16"/>
      <c r="G766" s="16"/>
      <c r="H766" s="16"/>
      <c r="I766" s="16"/>
      <c r="J766" s="16"/>
      <c r="K766" s="16"/>
      <c r="L766" s="16"/>
      <c r="M766" s="16"/>
      <c r="N766" s="16"/>
      <c r="O766" s="16"/>
      <c r="P766" s="17"/>
      <c r="Q766" s="16"/>
      <c r="R766" s="16"/>
      <c r="S766" s="16"/>
      <c r="T766" s="16"/>
      <c r="U766" s="16"/>
      <c r="V766" s="16"/>
      <c r="W766" s="16"/>
      <c r="X766" s="16"/>
      <c r="Y766" s="16"/>
      <c r="Z766" s="16"/>
      <c r="AA766" s="16"/>
      <c r="AB766" s="16"/>
      <c r="AC766" s="16"/>
      <c r="AD766" s="16"/>
    </row>
    <row r="767" ht="14.25" customHeight="1">
      <c r="A767" s="16"/>
      <c r="B767" s="16"/>
      <c r="C767" s="16"/>
      <c r="D767" s="16"/>
      <c r="E767" s="16"/>
      <c r="F767" s="16"/>
      <c r="G767" s="16"/>
      <c r="H767" s="16"/>
      <c r="I767" s="16"/>
      <c r="J767" s="16"/>
      <c r="K767" s="16"/>
      <c r="L767" s="16"/>
      <c r="M767" s="16"/>
      <c r="N767" s="16"/>
      <c r="O767" s="16"/>
      <c r="P767" s="17"/>
      <c r="Q767" s="16"/>
      <c r="R767" s="16"/>
      <c r="S767" s="16"/>
      <c r="T767" s="16"/>
      <c r="U767" s="16"/>
      <c r="V767" s="16"/>
      <c r="W767" s="16"/>
      <c r="X767" s="16"/>
      <c r="Y767" s="16"/>
      <c r="Z767" s="16"/>
      <c r="AA767" s="16"/>
      <c r="AB767" s="16"/>
      <c r="AC767" s="16"/>
      <c r="AD767" s="16"/>
    </row>
    <row r="768" ht="14.25" customHeight="1">
      <c r="A768" s="16"/>
      <c r="B768" s="16"/>
      <c r="C768" s="16"/>
      <c r="D768" s="16"/>
      <c r="E768" s="16"/>
      <c r="F768" s="16"/>
      <c r="G768" s="16"/>
      <c r="H768" s="16"/>
      <c r="I768" s="16"/>
      <c r="J768" s="16"/>
      <c r="K768" s="16"/>
      <c r="L768" s="16"/>
      <c r="M768" s="16"/>
      <c r="N768" s="16"/>
      <c r="O768" s="16"/>
      <c r="P768" s="17"/>
      <c r="Q768" s="16"/>
      <c r="R768" s="16"/>
      <c r="S768" s="16"/>
      <c r="T768" s="16"/>
      <c r="U768" s="16"/>
      <c r="V768" s="16"/>
      <c r="W768" s="16"/>
      <c r="X768" s="16"/>
      <c r="Y768" s="16"/>
      <c r="Z768" s="16"/>
      <c r="AA768" s="16"/>
      <c r="AB768" s="16"/>
      <c r="AC768" s="16"/>
      <c r="AD768" s="16"/>
    </row>
    <row r="769" ht="14.25" customHeight="1">
      <c r="A769" s="16"/>
      <c r="B769" s="16"/>
      <c r="C769" s="16"/>
      <c r="D769" s="16"/>
      <c r="E769" s="16"/>
      <c r="F769" s="16"/>
      <c r="G769" s="16"/>
      <c r="H769" s="16"/>
      <c r="I769" s="16"/>
      <c r="J769" s="16"/>
      <c r="K769" s="16"/>
      <c r="L769" s="16"/>
      <c r="M769" s="16"/>
      <c r="N769" s="16"/>
      <c r="O769" s="16"/>
      <c r="P769" s="17"/>
      <c r="Q769" s="16"/>
      <c r="R769" s="16"/>
      <c r="S769" s="16"/>
      <c r="T769" s="16"/>
      <c r="U769" s="16"/>
      <c r="V769" s="16"/>
      <c r="W769" s="16"/>
      <c r="X769" s="16"/>
      <c r="Y769" s="16"/>
      <c r="Z769" s="16"/>
      <c r="AA769" s="16"/>
      <c r="AB769" s="16"/>
      <c r="AC769" s="16"/>
      <c r="AD769" s="16"/>
    </row>
    <row r="770" ht="14.25" customHeight="1">
      <c r="A770" s="16"/>
      <c r="B770" s="16"/>
      <c r="C770" s="16"/>
      <c r="D770" s="16"/>
      <c r="E770" s="16"/>
      <c r="F770" s="16"/>
      <c r="G770" s="16"/>
      <c r="H770" s="16"/>
      <c r="I770" s="16"/>
      <c r="J770" s="16"/>
      <c r="K770" s="16"/>
      <c r="L770" s="16"/>
      <c r="M770" s="16"/>
      <c r="N770" s="16"/>
      <c r="O770" s="16"/>
      <c r="P770" s="17"/>
      <c r="Q770" s="16"/>
      <c r="R770" s="16"/>
      <c r="S770" s="16"/>
      <c r="T770" s="16"/>
      <c r="U770" s="16"/>
      <c r="V770" s="16"/>
      <c r="W770" s="16"/>
      <c r="X770" s="16"/>
      <c r="Y770" s="16"/>
      <c r="Z770" s="16"/>
      <c r="AA770" s="16"/>
      <c r="AB770" s="16"/>
      <c r="AC770" s="16"/>
      <c r="AD770" s="16"/>
    </row>
    <row r="771" ht="14.25" customHeight="1">
      <c r="A771" s="16"/>
      <c r="B771" s="16"/>
      <c r="C771" s="16"/>
      <c r="D771" s="16"/>
      <c r="E771" s="16"/>
      <c r="F771" s="16"/>
      <c r="G771" s="16"/>
      <c r="H771" s="16"/>
      <c r="I771" s="16"/>
      <c r="J771" s="16"/>
      <c r="K771" s="16"/>
      <c r="L771" s="16"/>
      <c r="M771" s="16"/>
      <c r="N771" s="16"/>
      <c r="O771" s="16"/>
      <c r="P771" s="17"/>
      <c r="Q771" s="16"/>
      <c r="R771" s="16"/>
      <c r="S771" s="16"/>
      <c r="T771" s="16"/>
      <c r="U771" s="16"/>
      <c r="V771" s="16"/>
      <c r="W771" s="16"/>
      <c r="X771" s="16"/>
      <c r="Y771" s="16"/>
      <c r="Z771" s="16"/>
      <c r="AA771" s="16"/>
      <c r="AB771" s="16"/>
      <c r="AC771" s="16"/>
      <c r="AD771" s="16"/>
    </row>
    <row r="772" ht="14.25" customHeight="1">
      <c r="A772" s="16"/>
      <c r="B772" s="16"/>
      <c r="C772" s="16"/>
      <c r="D772" s="16"/>
      <c r="E772" s="16"/>
      <c r="F772" s="16"/>
      <c r="G772" s="16"/>
      <c r="H772" s="16"/>
      <c r="I772" s="16"/>
      <c r="J772" s="16"/>
      <c r="K772" s="16"/>
      <c r="L772" s="16"/>
      <c r="M772" s="16"/>
      <c r="N772" s="16"/>
      <c r="O772" s="16"/>
      <c r="P772" s="17"/>
      <c r="Q772" s="16"/>
      <c r="R772" s="16"/>
      <c r="S772" s="16"/>
      <c r="T772" s="16"/>
      <c r="U772" s="16"/>
      <c r="V772" s="16"/>
      <c r="W772" s="16"/>
      <c r="X772" s="16"/>
      <c r="Y772" s="16"/>
      <c r="Z772" s="16"/>
      <c r="AA772" s="16"/>
      <c r="AB772" s="16"/>
      <c r="AC772" s="16"/>
      <c r="AD772" s="16"/>
    </row>
    <row r="773" ht="14.25" customHeight="1">
      <c r="A773" s="16"/>
      <c r="B773" s="16"/>
      <c r="C773" s="16"/>
      <c r="D773" s="16"/>
      <c r="E773" s="16"/>
      <c r="F773" s="16"/>
      <c r="G773" s="16"/>
      <c r="H773" s="16"/>
      <c r="I773" s="16"/>
      <c r="J773" s="16"/>
      <c r="K773" s="16"/>
      <c r="L773" s="16"/>
      <c r="M773" s="16"/>
      <c r="N773" s="16"/>
      <c r="O773" s="16"/>
      <c r="P773" s="17"/>
      <c r="Q773" s="16"/>
      <c r="R773" s="16"/>
      <c r="S773" s="16"/>
      <c r="T773" s="16"/>
      <c r="U773" s="16"/>
      <c r="V773" s="16"/>
      <c r="W773" s="16"/>
      <c r="X773" s="16"/>
      <c r="Y773" s="16"/>
      <c r="Z773" s="16"/>
      <c r="AA773" s="16"/>
      <c r="AB773" s="16"/>
      <c r="AC773" s="16"/>
      <c r="AD773" s="16"/>
    </row>
    <row r="774" ht="14.25" customHeight="1">
      <c r="A774" s="16"/>
      <c r="B774" s="16"/>
      <c r="C774" s="16"/>
      <c r="D774" s="16"/>
      <c r="E774" s="16"/>
      <c r="F774" s="16"/>
      <c r="G774" s="16"/>
      <c r="H774" s="16"/>
      <c r="I774" s="16"/>
      <c r="J774" s="16"/>
      <c r="K774" s="16"/>
      <c r="L774" s="16"/>
      <c r="M774" s="16"/>
      <c r="N774" s="16"/>
      <c r="O774" s="16"/>
      <c r="P774" s="17"/>
      <c r="Q774" s="16"/>
      <c r="R774" s="16"/>
      <c r="S774" s="16"/>
      <c r="T774" s="16"/>
      <c r="U774" s="16"/>
      <c r="V774" s="16"/>
      <c r="W774" s="16"/>
      <c r="X774" s="16"/>
      <c r="Y774" s="16"/>
      <c r="Z774" s="16"/>
      <c r="AA774" s="16"/>
      <c r="AB774" s="16"/>
      <c r="AC774" s="16"/>
      <c r="AD774" s="16"/>
    </row>
    <row r="775" ht="14.25" customHeight="1">
      <c r="A775" s="16"/>
      <c r="B775" s="16"/>
      <c r="C775" s="16"/>
      <c r="D775" s="16"/>
      <c r="E775" s="16"/>
      <c r="F775" s="16"/>
      <c r="G775" s="16"/>
      <c r="H775" s="16"/>
      <c r="I775" s="16"/>
      <c r="J775" s="16"/>
      <c r="K775" s="16"/>
      <c r="L775" s="16"/>
      <c r="M775" s="16"/>
      <c r="N775" s="16"/>
      <c r="O775" s="16"/>
      <c r="P775" s="17"/>
      <c r="Q775" s="16"/>
      <c r="R775" s="16"/>
      <c r="S775" s="16"/>
      <c r="T775" s="16"/>
      <c r="U775" s="16"/>
      <c r="V775" s="16"/>
      <c r="W775" s="16"/>
      <c r="X775" s="16"/>
      <c r="Y775" s="16"/>
      <c r="Z775" s="16"/>
      <c r="AA775" s="16"/>
      <c r="AB775" s="16"/>
      <c r="AC775" s="16"/>
      <c r="AD775" s="16"/>
    </row>
    <row r="776" ht="14.25" customHeight="1">
      <c r="A776" s="16"/>
      <c r="B776" s="16"/>
      <c r="C776" s="16"/>
      <c r="D776" s="16"/>
      <c r="E776" s="16"/>
      <c r="F776" s="16"/>
      <c r="G776" s="16"/>
      <c r="H776" s="16"/>
      <c r="I776" s="16"/>
      <c r="J776" s="16"/>
      <c r="K776" s="16"/>
      <c r="L776" s="16"/>
      <c r="M776" s="16"/>
      <c r="N776" s="16"/>
      <c r="O776" s="16"/>
      <c r="P776" s="17"/>
      <c r="Q776" s="16"/>
      <c r="R776" s="16"/>
      <c r="S776" s="16"/>
      <c r="T776" s="16"/>
      <c r="U776" s="16"/>
      <c r="V776" s="16"/>
      <c r="W776" s="16"/>
      <c r="X776" s="16"/>
      <c r="Y776" s="16"/>
      <c r="Z776" s="16"/>
      <c r="AA776" s="16"/>
      <c r="AB776" s="16"/>
      <c r="AC776" s="16"/>
      <c r="AD776" s="16"/>
    </row>
    <row r="777" ht="14.25" customHeight="1">
      <c r="A777" s="16"/>
      <c r="B777" s="16"/>
      <c r="C777" s="16"/>
      <c r="D777" s="16"/>
      <c r="E777" s="16"/>
      <c r="F777" s="16"/>
      <c r="G777" s="16"/>
      <c r="H777" s="16"/>
      <c r="I777" s="16"/>
      <c r="J777" s="16"/>
      <c r="K777" s="16"/>
      <c r="L777" s="16"/>
      <c r="M777" s="16"/>
      <c r="N777" s="16"/>
      <c r="O777" s="16"/>
      <c r="P777" s="17"/>
      <c r="Q777" s="16"/>
      <c r="R777" s="16"/>
      <c r="S777" s="16"/>
      <c r="T777" s="16"/>
      <c r="U777" s="16"/>
      <c r="V777" s="16"/>
      <c r="W777" s="16"/>
      <c r="X777" s="16"/>
      <c r="Y777" s="16"/>
      <c r="Z777" s="16"/>
      <c r="AA777" s="16"/>
      <c r="AB777" s="16"/>
      <c r="AC777" s="16"/>
      <c r="AD777" s="16"/>
    </row>
    <row r="778" ht="14.25" customHeight="1">
      <c r="A778" s="16"/>
      <c r="B778" s="16"/>
      <c r="C778" s="16"/>
      <c r="D778" s="16"/>
      <c r="E778" s="16"/>
      <c r="F778" s="16"/>
      <c r="G778" s="16"/>
      <c r="H778" s="16"/>
      <c r="I778" s="16"/>
      <c r="J778" s="16"/>
      <c r="K778" s="16"/>
      <c r="L778" s="16"/>
      <c r="M778" s="16"/>
      <c r="N778" s="16"/>
      <c r="O778" s="16"/>
      <c r="P778" s="17"/>
      <c r="Q778" s="16"/>
      <c r="R778" s="16"/>
      <c r="S778" s="16"/>
      <c r="T778" s="16"/>
      <c r="U778" s="16"/>
      <c r="V778" s="16"/>
      <c r="W778" s="16"/>
      <c r="X778" s="16"/>
      <c r="Y778" s="16"/>
      <c r="Z778" s="16"/>
      <c r="AA778" s="16"/>
      <c r="AB778" s="16"/>
      <c r="AC778" s="16"/>
      <c r="AD778" s="16"/>
    </row>
    <row r="779" ht="14.25" customHeight="1">
      <c r="A779" s="16"/>
      <c r="B779" s="16"/>
      <c r="C779" s="16"/>
      <c r="D779" s="16"/>
      <c r="E779" s="16"/>
      <c r="F779" s="16"/>
      <c r="G779" s="16"/>
      <c r="H779" s="16"/>
      <c r="I779" s="16"/>
      <c r="J779" s="16"/>
      <c r="K779" s="16"/>
      <c r="L779" s="16"/>
      <c r="M779" s="16"/>
      <c r="N779" s="16"/>
      <c r="O779" s="16"/>
      <c r="P779" s="17"/>
      <c r="Q779" s="16"/>
      <c r="R779" s="16"/>
      <c r="S779" s="16"/>
      <c r="T779" s="16"/>
      <c r="U779" s="16"/>
      <c r="V779" s="16"/>
      <c r="W779" s="16"/>
      <c r="X779" s="16"/>
      <c r="Y779" s="16"/>
      <c r="Z779" s="16"/>
      <c r="AA779" s="16"/>
      <c r="AB779" s="16"/>
      <c r="AC779" s="16"/>
      <c r="AD779" s="16"/>
    </row>
    <row r="780" ht="14.25" customHeight="1">
      <c r="A780" s="16"/>
      <c r="B780" s="16"/>
      <c r="C780" s="16"/>
      <c r="D780" s="16"/>
      <c r="E780" s="16"/>
      <c r="F780" s="16"/>
      <c r="G780" s="16"/>
      <c r="H780" s="16"/>
      <c r="I780" s="16"/>
      <c r="J780" s="16"/>
      <c r="K780" s="16"/>
      <c r="L780" s="16"/>
      <c r="M780" s="16"/>
      <c r="N780" s="16"/>
      <c r="O780" s="16"/>
      <c r="P780" s="17"/>
      <c r="Q780" s="16"/>
      <c r="R780" s="16"/>
      <c r="S780" s="16"/>
      <c r="T780" s="16"/>
      <c r="U780" s="16"/>
      <c r="V780" s="16"/>
      <c r="W780" s="16"/>
      <c r="X780" s="16"/>
      <c r="Y780" s="16"/>
      <c r="Z780" s="16"/>
      <c r="AA780" s="16"/>
      <c r="AB780" s="16"/>
      <c r="AC780" s="16"/>
      <c r="AD780" s="16"/>
    </row>
    <row r="781" ht="14.25" customHeight="1">
      <c r="A781" s="16"/>
      <c r="B781" s="16"/>
      <c r="C781" s="16"/>
      <c r="D781" s="16"/>
      <c r="E781" s="16"/>
      <c r="F781" s="16"/>
      <c r="G781" s="16"/>
      <c r="H781" s="16"/>
      <c r="I781" s="16"/>
      <c r="J781" s="16"/>
      <c r="K781" s="16"/>
      <c r="L781" s="16"/>
      <c r="M781" s="16"/>
      <c r="N781" s="16"/>
      <c r="O781" s="16"/>
      <c r="P781" s="17"/>
      <c r="Q781" s="16"/>
      <c r="R781" s="16"/>
      <c r="S781" s="16"/>
      <c r="T781" s="16"/>
      <c r="U781" s="16"/>
      <c r="V781" s="16"/>
      <c r="W781" s="16"/>
      <c r="X781" s="16"/>
      <c r="Y781" s="16"/>
      <c r="Z781" s="16"/>
      <c r="AA781" s="16"/>
      <c r="AB781" s="16"/>
      <c r="AC781" s="16"/>
      <c r="AD781" s="16"/>
    </row>
    <row r="782" ht="14.25" customHeight="1">
      <c r="A782" s="16"/>
      <c r="B782" s="16"/>
      <c r="C782" s="16"/>
      <c r="D782" s="16"/>
      <c r="E782" s="16"/>
      <c r="F782" s="16"/>
      <c r="G782" s="16"/>
      <c r="H782" s="16"/>
      <c r="I782" s="16"/>
      <c r="J782" s="16"/>
      <c r="K782" s="16"/>
      <c r="L782" s="16"/>
      <c r="M782" s="16"/>
      <c r="N782" s="16"/>
      <c r="O782" s="16"/>
      <c r="P782" s="17"/>
      <c r="Q782" s="16"/>
      <c r="R782" s="16"/>
      <c r="S782" s="16"/>
      <c r="T782" s="16"/>
      <c r="U782" s="16"/>
      <c r="V782" s="16"/>
      <c r="W782" s="16"/>
      <c r="X782" s="16"/>
      <c r="Y782" s="16"/>
      <c r="Z782" s="16"/>
      <c r="AA782" s="16"/>
      <c r="AB782" s="16"/>
      <c r="AC782" s="16"/>
      <c r="AD782" s="16"/>
    </row>
    <row r="783" ht="14.25" customHeight="1">
      <c r="A783" s="16"/>
      <c r="B783" s="16"/>
      <c r="C783" s="16"/>
      <c r="D783" s="16"/>
      <c r="E783" s="16"/>
      <c r="F783" s="16"/>
      <c r="G783" s="16"/>
      <c r="H783" s="16"/>
      <c r="I783" s="16"/>
      <c r="J783" s="16"/>
      <c r="K783" s="16"/>
      <c r="L783" s="16"/>
      <c r="M783" s="16"/>
      <c r="N783" s="16"/>
      <c r="O783" s="16"/>
      <c r="P783" s="17"/>
      <c r="Q783" s="16"/>
      <c r="R783" s="16"/>
      <c r="S783" s="16"/>
      <c r="T783" s="16"/>
      <c r="U783" s="16"/>
      <c r="V783" s="16"/>
      <c r="W783" s="16"/>
      <c r="X783" s="16"/>
      <c r="Y783" s="16"/>
      <c r="Z783" s="16"/>
      <c r="AA783" s="16"/>
      <c r="AB783" s="16"/>
      <c r="AC783" s="16"/>
      <c r="AD783" s="16"/>
    </row>
    <row r="784" ht="14.25" customHeight="1">
      <c r="A784" s="16"/>
      <c r="B784" s="16"/>
      <c r="C784" s="16"/>
      <c r="D784" s="16"/>
      <c r="E784" s="16"/>
      <c r="F784" s="16"/>
      <c r="G784" s="16"/>
      <c r="H784" s="16"/>
      <c r="I784" s="16"/>
      <c r="J784" s="16"/>
      <c r="K784" s="16"/>
      <c r="L784" s="16"/>
      <c r="M784" s="16"/>
      <c r="N784" s="16"/>
      <c r="O784" s="16"/>
      <c r="P784" s="17"/>
      <c r="Q784" s="16"/>
      <c r="R784" s="16"/>
      <c r="S784" s="16"/>
      <c r="T784" s="16"/>
      <c r="U784" s="16"/>
      <c r="V784" s="16"/>
      <c r="W784" s="16"/>
      <c r="X784" s="16"/>
      <c r="Y784" s="16"/>
      <c r="Z784" s="16"/>
      <c r="AA784" s="16"/>
      <c r="AB784" s="16"/>
      <c r="AC784" s="16"/>
      <c r="AD784" s="16"/>
    </row>
    <row r="785" ht="14.25" customHeight="1">
      <c r="A785" s="16"/>
      <c r="B785" s="16"/>
      <c r="C785" s="16"/>
      <c r="D785" s="16"/>
      <c r="E785" s="16"/>
      <c r="F785" s="16"/>
      <c r="G785" s="16"/>
      <c r="H785" s="16"/>
      <c r="I785" s="16"/>
      <c r="J785" s="16"/>
      <c r="K785" s="16"/>
      <c r="L785" s="16"/>
      <c r="M785" s="16"/>
      <c r="N785" s="16"/>
      <c r="O785" s="16"/>
      <c r="P785" s="17"/>
      <c r="Q785" s="16"/>
      <c r="R785" s="16"/>
      <c r="S785" s="16"/>
      <c r="T785" s="16"/>
      <c r="U785" s="16"/>
      <c r="V785" s="16"/>
      <c r="W785" s="16"/>
      <c r="X785" s="16"/>
      <c r="Y785" s="16"/>
      <c r="Z785" s="16"/>
      <c r="AA785" s="16"/>
      <c r="AB785" s="16"/>
      <c r="AC785" s="16"/>
      <c r="AD785" s="16"/>
    </row>
    <row r="786" ht="14.25" customHeight="1">
      <c r="A786" s="16"/>
      <c r="B786" s="16"/>
      <c r="C786" s="16"/>
      <c r="D786" s="16"/>
      <c r="E786" s="16"/>
      <c r="F786" s="16"/>
      <c r="G786" s="16"/>
      <c r="H786" s="16"/>
      <c r="I786" s="16"/>
      <c r="J786" s="16"/>
      <c r="K786" s="16"/>
      <c r="L786" s="16"/>
      <c r="M786" s="16"/>
      <c r="N786" s="16"/>
      <c r="O786" s="16"/>
      <c r="P786" s="17"/>
      <c r="Q786" s="16"/>
      <c r="R786" s="16"/>
      <c r="S786" s="16"/>
      <c r="T786" s="16"/>
      <c r="U786" s="16"/>
      <c r="V786" s="16"/>
      <c r="W786" s="16"/>
      <c r="X786" s="16"/>
      <c r="Y786" s="16"/>
      <c r="Z786" s="16"/>
      <c r="AA786" s="16"/>
      <c r="AB786" s="16"/>
      <c r="AC786" s="16"/>
      <c r="AD786" s="16"/>
    </row>
    <row r="787" ht="14.25" customHeight="1">
      <c r="A787" s="16"/>
      <c r="B787" s="16"/>
      <c r="C787" s="16"/>
      <c r="D787" s="16"/>
      <c r="E787" s="16"/>
      <c r="F787" s="16"/>
      <c r="G787" s="16"/>
      <c r="H787" s="16"/>
      <c r="I787" s="16"/>
      <c r="J787" s="16"/>
      <c r="K787" s="16"/>
      <c r="L787" s="16"/>
      <c r="M787" s="16"/>
      <c r="N787" s="16"/>
      <c r="O787" s="16"/>
      <c r="P787" s="17"/>
      <c r="Q787" s="16"/>
      <c r="R787" s="16"/>
      <c r="S787" s="16"/>
      <c r="T787" s="16"/>
      <c r="U787" s="16"/>
      <c r="V787" s="16"/>
      <c r="W787" s="16"/>
      <c r="X787" s="16"/>
      <c r="Y787" s="16"/>
      <c r="Z787" s="16"/>
      <c r="AA787" s="16"/>
      <c r="AB787" s="16"/>
      <c r="AC787" s="16"/>
      <c r="AD787" s="16"/>
    </row>
    <row r="788" ht="14.25" customHeight="1">
      <c r="A788" s="16"/>
      <c r="B788" s="16"/>
      <c r="C788" s="16"/>
      <c r="D788" s="16"/>
      <c r="E788" s="16"/>
      <c r="F788" s="16"/>
      <c r="G788" s="16"/>
      <c r="H788" s="16"/>
      <c r="I788" s="16"/>
      <c r="J788" s="16"/>
      <c r="K788" s="16"/>
      <c r="L788" s="16"/>
      <c r="M788" s="16"/>
      <c r="N788" s="16"/>
      <c r="O788" s="16"/>
      <c r="P788" s="17"/>
      <c r="Q788" s="16"/>
      <c r="R788" s="16"/>
      <c r="S788" s="16"/>
      <c r="T788" s="16"/>
      <c r="U788" s="16"/>
      <c r="V788" s="16"/>
      <c r="W788" s="16"/>
      <c r="X788" s="16"/>
      <c r="Y788" s="16"/>
      <c r="Z788" s="16"/>
      <c r="AA788" s="16"/>
      <c r="AB788" s="16"/>
      <c r="AC788" s="16"/>
      <c r="AD788" s="16"/>
    </row>
    <row r="789" ht="14.25" customHeight="1">
      <c r="A789" s="16"/>
      <c r="B789" s="16"/>
      <c r="C789" s="16"/>
      <c r="D789" s="16"/>
      <c r="E789" s="16"/>
      <c r="F789" s="16"/>
      <c r="G789" s="16"/>
      <c r="H789" s="16"/>
      <c r="I789" s="16"/>
      <c r="J789" s="16"/>
      <c r="K789" s="16"/>
      <c r="L789" s="16"/>
      <c r="M789" s="16"/>
      <c r="N789" s="16"/>
      <c r="O789" s="16"/>
      <c r="P789" s="17"/>
      <c r="Q789" s="16"/>
      <c r="R789" s="16"/>
      <c r="S789" s="16"/>
      <c r="T789" s="16"/>
      <c r="U789" s="16"/>
      <c r="V789" s="16"/>
      <c r="W789" s="16"/>
      <c r="X789" s="16"/>
      <c r="Y789" s="16"/>
      <c r="Z789" s="16"/>
      <c r="AA789" s="16"/>
      <c r="AB789" s="16"/>
      <c r="AC789" s="16"/>
      <c r="AD789" s="16"/>
    </row>
    <row r="790" ht="14.25" customHeight="1">
      <c r="A790" s="16"/>
      <c r="B790" s="16"/>
      <c r="C790" s="16"/>
      <c r="D790" s="16"/>
      <c r="E790" s="16"/>
      <c r="F790" s="16"/>
      <c r="G790" s="16"/>
      <c r="H790" s="16"/>
      <c r="I790" s="16"/>
      <c r="J790" s="16"/>
      <c r="K790" s="16"/>
      <c r="L790" s="16"/>
      <c r="M790" s="16"/>
      <c r="N790" s="16"/>
      <c r="O790" s="16"/>
      <c r="P790" s="17"/>
      <c r="Q790" s="16"/>
      <c r="R790" s="16"/>
      <c r="S790" s="16"/>
      <c r="T790" s="16"/>
      <c r="U790" s="16"/>
      <c r="V790" s="16"/>
      <c r="W790" s="16"/>
      <c r="X790" s="16"/>
      <c r="Y790" s="16"/>
      <c r="Z790" s="16"/>
      <c r="AA790" s="16"/>
      <c r="AB790" s="16"/>
      <c r="AC790" s="16"/>
      <c r="AD790" s="16"/>
    </row>
    <row r="791" ht="14.25" customHeight="1">
      <c r="A791" s="16"/>
      <c r="B791" s="16"/>
      <c r="C791" s="16"/>
      <c r="D791" s="16"/>
      <c r="E791" s="16"/>
      <c r="F791" s="16"/>
      <c r="G791" s="16"/>
      <c r="H791" s="16"/>
      <c r="I791" s="16"/>
      <c r="J791" s="16"/>
      <c r="K791" s="16"/>
      <c r="L791" s="16"/>
      <c r="M791" s="16"/>
      <c r="N791" s="16"/>
      <c r="O791" s="16"/>
      <c r="P791" s="17"/>
      <c r="Q791" s="16"/>
      <c r="R791" s="16"/>
      <c r="S791" s="16"/>
      <c r="T791" s="16"/>
      <c r="U791" s="16"/>
      <c r="V791" s="16"/>
      <c r="W791" s="16"/>
      <c r="X791" s="16"/>
      <c r="Y791" s="16"/>
      <c r="Z791" s="16"/>
      <c r="AA791" s="16"/>
      <c r="AB791" s="16"/>
      <c r="AC791" s="16"/>
      <c r="AD791" s="16"/>
    </row>
    <row r="792" ht="14.25" customHeight="1">
      <c r="A792" s="16"/>
      <c r="B792" s="16"/>
      <c r="C792" s="16"/>
      <c r="D792" s="16"/>
      <c r="E792" s="16"/>
      <c r="F792" s="16"/>
      <c r="G792" s="16"/>
      <c r="H792" s="16"/>
      <c r="I792" s="16"/>
      <c r="J792" s="16"/>
      <c r="K792" s="16"/>
      <c r="L792" s="16"/>
      <c r="M792" s="16"/>
      <c r="N792" s="16"/>
      <c r="O792" s="16"/>
      <c r="P792" s="17"/>
      <c r="Q792" s="16"/>
      <c r="R792" s="16"/>
      <c r="S792" s="16"/>
      <c r="T792" s="16"/>
      <c r="U792" s="16"/>
      <c r="V792" s="16"/>
      <c r="W792" s="16"/>
      <c r="X792" s="16"/>
      <c r="Y792" s="16"/>
      <c r="Z792" s="16"/>
      <c r="AA792" s="16"/>
      <c r="AB792" s="16"/>
      <c r="AC792" s="16"/>
      <c r="AD792" s="16"/>
    </row>
    <row r="793" ht="14.25" customHeight="1">
      <c r="A793" s="16"/>
      <c r="B793" s="16"/>
      <c r="C793" s="16"/>
      <c r="D793" s="16"/>
      <c r="E793" s="16"/>
      <c r="F793" s="16"/>
      <c r="G793" s="16"/>
      <c r="H793" s="16"/>
      <c r="I793" s="16"/>
      <c r="J793" s="16"/>
      <c r="K793" s="16"/>
      <c r="L793" s="16"/>
      <c r="M793" s="16"/>
      <c r="N793" s="16"/>
      <c r="O793" s="16"/>
      <c r="P793" s="17"/>
      <c r="Q793" s="16"/>
      <c r="R793" s="16"/>
      <c r="S793" s="16"/>
      <c r="T793" s="16"/>
      <c r="U793" s="16"/>
      <c r="V793" s="16"/>
      <c r="W793" s="16"/>
      <c r="X793" s="16"/>
      <c r="Y793" s="16"/>
      <c r="Z793" s="16"/>
      <c r="AA793" s="16"/>
      <c r="AB793" s="16"/>
      <c r="AC793" s="16"/>
      <c r="AD793" s="16"/>
    </row>
    <row r="794" ht="14.25" customHeight="1">
      <c r="A794" s="16"/>
      <c r="B794" s="16"/>
      <c r="C794" s="16"/>
      <c r="D794" s="16"/>
      <c r="E794" s="16"/>
      <c r="F794" s="16"/>
      <c r="G794" s="16"/>
      <c r="H794" s="16"/>
      <c r="I794" s="16"/>
      <c r="J794" s="16"/>
      <c r="K794" s="16"/>
      <c r="L794" s="16"/>
      <c r="M794" s="16"/>
      <c r="N794" s="16"/>
      <c r="O794" s="16"/>
      <c r="P794" s="17"/>
      <c r="Q794" s="16"/>
      <c r="R794" s="16"/>
      <c r="S794" s="16"/>
      <c r="T794" s="16"/>
      <c r="U794" s="16"/>
      <c r="V794" s="16"/>
      <c r="W794" s="16"/>
      <c r="X794" s="16"/>
      <c r="Y794" s="16"/>
      <c r="Z794" s="16"/>
      <c r="AA794" s="16"/>
      <c r="AB794" s="16"/>
      <c r="AC794" s="16"/>
      <c r="AD794" s="16"/>
    </row>
    <row r="795" ht="14.25" customHeight="1">
      <c r="A795" s="16"/>
      <c r="B795" s="16"/>
      <c r="C795" s="16"/>
      <c r="D795" s="16"/>
      <c r="E795" s="16"/>
      <c r="F795" s="16"/>
      <c r="G795" s="16"/>
      <c r="H795" s="16"/>
      <c r="I795" s="16"/>
      <c r="J795" s="16"/>
      <c r="K795" s="16"/>
      <c r="L795" s="16"/>
      <c r="M795" s="16"/>
      <c r="N795" s="16"/>
      <c r="O795" s="16"/>
      <c r="P795" s="17"/>
      <c r="Q795" s="16"/>
      <c r="R795" s="16"/>
      <c r="S795" s="16"/>
      <c r="T795" s="16"/>
      <c r="U795" s="16"/>
      <c r="V795" s="16"/>
      <c r="W795" s="16"/>
      <c r="X795" s="16"/>
      <c r="Y795" s="16"/>
      <c r="Z795" s="16"/>
      <c r="AA795" s="16"/>
      <c r="AB795" s="16"/>
      <c r="AC795" s="16"/>
      <c r="AD795" s="16"/>
    </row>
    <row r="796" ht="14.25" customHeight="1">
      <c r="A796" s="16"/>
      <c r="B796" s="16"/>
      <c r="C796" s="16"/>
      <c r="D796" s="16"/>
      <c r="E796" s="16"/>
      <c r="F796" s="16"/>
      <c r="G796" s="16"/>
      <c r="H796" s="16"/>
      <c r="I796" s="16"/>
      <c r="J796" s="16"/>
      <c r="K796" s="16"/>
      <c r="L796" s="16"/>
      <c r="M796" s="16"/>
      <c r="N796" s="16"/>
      <c r="O796" s="16"/>
      <c r="P796" s="17"/>
      <c r="Q796" s="16"/>
      <c r="R796" s="16"/>
      <c r="S796" s="16"/>
      <c r="T796" s="16"/>
      <c r="U796" s="16"/>
      <c r="V796" s="16"/>
      <c r="W796" s="16"/>
      <c r="X796" s="16"/>
      <c r="Y796" s="16"/>
      <c r="Z796" s="16"/>
      <c r="AA796" s="16"/>
      <c r="AB796" s="16"/>
      <c r="AC796" s="16"/>
      <c r="AD796" s="16"/>
    </row>
    <row r="797" ht="14.25" customHeight="1">
      <c r="A797" s="16"/>
      <c r="B797" s="16"/>
      <c r="C797" s="16"/>
      <c r="D797" s="16"/>
      <c r="E797" s="16"/>
      <c r="F797" s="16"/>
      <c r="G797" s="16"/>
      <c r="H797" s="16"/>
      <c r="I797" s="16"/>
      <c r="J797" s="16"/>
      <c r="K797" s="16"/>
      <c r="L797" s="16"/>
      <c r="M797" s="16"/>
      <c r="N797" s="16"/>
      <c r="O797" s="16"/>
      <c r="P797" s="17"/>
      <c r="Q797" s="16"/>
      <c r="R797" s="16"/>
      <c r="S797" s="16"/>
      <c r="T797" s="16"/>
      <c r="U797" s="16"/>
      <c r="V797" s="16"/>
      <c r="W797" s="16"/>
      <c r="X797" s="16"/>
      <c r="Y797" s="16"/>
      <c r="Z797" s="16"/>
      <c r="AA797" s="16"/>
      <c r="AB797" s="16"/>
      <c r="AC797" s="16"/>
      <c r="AD797" s="16"/>
    </row>
    <row r="798" ht="14.25" customHeight="1">
      <c r="A798" s="16"/>
      <c r="B798" s="16"/>
      <c r="C798" s="16"/>
      <c r="D798" s="16"/>
      <c r="E798" s="16"/>
      <c r="F798" s="16"/>
      <c r="G798" s="16"/>
      <c r="H798" s="16"/>
      <c r="I798" s="16"/>
      <c r="J798" s="16"/>
      <c r="K798" s="16"/>
      <c r="L798" s="16"/>
      <c r="M798" s="16"/>
      <c r="N798" s="16"/>
      <c r="O798" s="16"/>
      <c r="P798" s="17"/>
      <c r="Q798" s="16"/>
      <c r="R798" s="16"/>
      <c r="S798" s="16"/>
      <c r="T798" s="16"/>
      <c r="U798" s="16"/>
      <c r="V798" s="16"/>
      <c r="W798" s="16"/>
      <c r="X798" s="16"/>
      <c r="Y798" s="16"/>
      <c r="Z798" s="16"/>
      <c r="AA798" s="16"/>
      <c r="AB798" s="16"/>
      <c r="AC798" s="16"/>
      <c r="AD798" s="16"/>
    </row>
    <row r="799" ht="14.25" customHeight="1">
      <c r="A799" s="16"/>
      <c r="B799" s="16"/>
      <c r="C799" s="16"/>
      <c r="D799" s="16"/>
      <c r="E799" s="16"/>
      <c r="F799" s="16"/>
      <c r="G799" s="16"/>
      <c r="H799" s="16"/>
      <c r="I799" s="16"/>
      <c r="J799" s="16"/>
      <c r="K799" s="16"/>
      <c r="L799" s="16"/>
      <c r="M799" s="16"/>
      <c r="N799" s="16"/>
      <c r="O799" s="16"/>
      <c r="P799" s="17"/>
      <c r="Q799" s="16"/>
      <c r="R799" s="16"/>
      <c r="S799" s="16"/>
      <c r="T799" s="16"/>
      <c r="U799" s="16"/>
      <c r="V799" s="16"/>
      <c r="W799" s="16"/>
      <c r="X799" s="16"/>
      <c r="Y799" s="16"/>
      <c r="Z799" s="16"/>
      <c r="AA799" s="16"/>
      <c r="AB799" s="16"/>
      <c r="AC799" s="16"/>
      <c r="AD799" s="16"/>
    </row>
    <row r="800" ht="14.25" customHeight="1">
      <c r="A800" s="16"/>
      <c r="B800" s="16"/>
      <c r="C800" s="16"/>
      <c r="D800" s="16"/>
      <c r="E800" s="16"/>
      <c r="F800" s="16"/>
      <c r="G800" s="16"/>
      <c r="H800" s="16"/>
      <c r="I800" s="16"/>
      <c r="J800" s="16"/>
      <c r="K800" s="16"/>
      <c r="L800" s="16"/>
      <c r="M800" s="16"/>
      <c r="N800" s="16"/>
      <c r="O800" s="16"/>
      <c r="P800" s="17"/>
      <c r="Q800" s="16"/>
      <c r="R800" s="16"/>
      <c r="S800" s="16"/>
      <c r="T800" s="16"/>
      <c r="U800" s="16"/>
      <c r="V800" s="16"/>
      <c r="W800" s="16"/>
      <c r="X800" s="16"/>
      <c r="Y800" s="16"/>
      <c r="Z800" s="16"/>
      <c r="AA800" s="16"/>
      <c r="AB800" s="16"/>
      <c r="AC800" s="16"/>
      <c r="AD800" s="16"/>
    </row>
    <row r="801" ht="14.25" customHeight="1">
      <c r="A801" s="16"/>
      <c r="B801" s="16"/>
      <c r="C801" s="16"/>
      <c r="D801" s="16"/>
      <c r="E801" s="16"/>
      <c r="F801" s="16"/>
      <c r="G801" s="16"/>
      <c r="H801" s="16"/>
      <c r="I801" s="16"/>
      <c r="J801" s="16"/>
      <c r="K801" s="16"/>
      <c r="L801" s="16"/>
      <c r="M801" s="16"/>
      <c r="N801" s="16"/>
      <c r="O801" s="16"/>
      <c r="P801" s="17"/>
      <c r="Q801" s="16"/>
      <c r="R801" s="16"/>
      <c r="S801" s="16"/>
      <c r="T801" s="16"/>
      <c r="U801" s="16"/>
      <c r="V801" s="16"/>
      <c r="W801" s="16"/>
      <c r="X801" s="16"/>
      <c r="Y801" s="16"/>
      <c r="Z801" s="16"/>
      <c r="AA801" s="16"/>
      <c r="AB801" s="16"/>
      <c r="AC801" s="16"/>
      <c r="AD801" s="16"/>
    </row>
    <row r="802" ht="14.25" customHeight="1">
      <c r="A802" s="16"/>
      <c r="B802" s="16"/>
      <c r="C802" s="16"/>
      <c r="D802" s="16"/>
      <c r="E802" s="16"/>
      <c r="F802" s="16"/>
      <c r="G802" s="16"/>
      <c r="H802" s="16"/>
      <c r="I802" s="16"/>
      <c r="J802" s="16"/>
      <c r="K802" s="16"/>
      <c r="L802" s="16"/>
      <c r="M802" s="16"/>
      <c r="N802" s="16"/>
      <c r="O802" s="16"/>
      <c r="P802" s="17"/>
      <c r="Q802" s="16"/>
      <c r="R802" s="16"/>
      <c r="S802" s="16"/>
      <c r="T802" s="16"/>
      <c r="U802" s="16"/>
      <c r="V802" s="16"/>
      <c r="W802" s="16"/>
      <c r="X802" s="16"/>
      <c r="Y802" s="16"/>
      <c r="Z802" s="16"/>
      <c r="AA802" s="16"/>
      <c r="AB802" s="16"/>
      <c r="AC802" s="16"/>
      <c r="AD802" s="16"/>
    </row>
    <row r="803" ht="14.25" customHeight="1">
      <c r="A803" s="16"/>
      <c r="B803" s="16"/>
      <c r="C803" s="16"/>
      <c r="D803" s="16"/>
      <c r="E803" s="16"/>
      <c r="F803" s="16"/>
      <c r="G803" s="16"/>
      <c r="H803" s="16"/>
      <c r="I803" s="16"/>
      <c r="J803" s="16"/>
      <c r="K803" s="16"/>
      <c r="L803" s="16"/>
      <c r="M803" s="16"/>
      <c r="N803" s="16"/>
      <c r="O803" s="16"/>
      <c r="P803" s="17"/>
      <c r="Q803" s="16"/>
      <c r="R803" s="16"/>
      <c r="S803" s="16"/>
      <c r="T803" s="16"/>
      <c r="U803" s="16"/>
      <c r="V803" s="16"/>
      <c r="W803" s="16"/>
      <c r="X803" s="16"/>
      <c r="Y803" s="16"/>
      <c r="Z803" s="16"/>
      <c r="AA803" s="16"/>
      <c r="AB803" s="16"/>
      <c r="AC803" s="16"/>
      <c r="AD803" s="16"/>
    </row>
    <row r="804" ht="14.25" customHeight="1">
      <c r="A804" s="16"/>
      <c r="B804" s="16"/>
      <c r="C804" s="16"/>
      <c r="D804" s="16"/>
      <c r="E804" s="16"/>
      <c r="F804" s="16"/>
      <c r="G804" s="16"/>
      <c r="H804" s="16"/>
      <c r="I804" s="16"/>
      <c r="J804" s="16"/>
      <c r="K804" s="16"/>
      <c r="L804" s="16"/>
      <c r="M804" s="16"/>
      <c r="N804" s="16"/>
      <c r="O804" s="16"/>
      <c r="P804" s="17"/>
      <c r="Q804" s="16"/>
      <c r="R804" s="16"/>
      <c r="S804" s="16"/>
      <c r="T804" s="16"/>
      <c r="U804" s="16"/>
      <c r="V804" s="16"/>
      <c r="W804" s="16"/>
      <c r="X804" s="16"/>
      <c r="Y804" s="16"/>
      <c r="Z804" s="16"/>
      <c r="AA804" s="16"/>
      <c r="AB804" s="16"/>
      <c r="AC804" s="16"/>
      <c r="AD804" s="16"/>
    </row>
    <row r="805" ht="14.25" customHeight="1">
      <c r="A805" s="16"/>
      <c r="B805" s="16"/>
      <c r="C805" s="16"/>
      <c r="D805" s="16"/>
      <c r="E805" s="16"/>
      <c r="F805" s="16"/>
      <c r="G805" s="16"/>
      <c r="H805" s="16"/>
      <c r="I805" s="16"/>
      <c r="J805" s="16"/>
      <c r="K805" s="16"/>
      <c r="L805" s="16"/>
      <c r="M805" s="16"/>
      <c r="N805" s="16"/>
      <c r="O805" s="16"/>
      <c r="P805" s="17"/>
      <c r="Q805" s="16"/>
      <c r="R805" s="16"/>
      <c r="S805" s="16"/>
      <c r="T805" s="16"/>
      <c r="U805" s="16"/>
      <c r="V805" s="16"/>
      <c r="W805" s="16"/>
      <c r="X805" s="16"/>
      <c r="Y805" s="16"/>
      <c r="Z805" s="16"/>
      <c r="AA805" s="16"/>
      <c r="AB805" s="16"/>
      <c r="AC805" s="16"/>
      <c r="AD805" s="16"/>
    </row>
    <row r="806" ht="14.25" customHeight="1">
      <c r="A806" s="16"/>
      <c r="B806" s="16"/>
      <c r="C806" s="16"/>
      <c r="D806" s="16"/>
      <c r="E806" s="16"/>
      <c r="F806" s="16"/>
      <c r="G806" s="16"/>
      <c r="H806" s="16"/>
      <c r="I806" s="16"/>
      <c r="J806" s="16"/>
      <c r="K806" s="16"/>
      <c r="L806" s="16"/>
      <c r="M806" s="16"/>
      <c r="N806" s="16"/>
      <c r="O806" s="16"/>
      <c r="P806" s="17"/>
      <c r="Q806" s="16"/>
      <c r="R806" s="16"/>
      <c r="S806" s="16"/>
      <c r="T806" s="16"/>
      <c r="U806" s="16"/>
      <c r="V806" s="16"/>
      <c r="W806" s="16"/>
      <c r="X806" s="16"/>
      <c r="Y806" s="16"/>
      <c r="Z806" s="16"/>
      <c r="AA806" s="16"/>
      <c r="AB806" s="16"/>
      <c r="AC806" s="16"/>
      <c r="AD806" s="16"/>
    </row>
    <row r="807" ht="14.25" customHeight="1">
      <c r="A807" s="16"/>
      <c r="B807" s="16"/>
      <c r="C807" s="16"/>
      <c r="D807" s="16"/>
      <c r="E807" s="16"/>
      <c r="F807" s="16"/>
      <c r="G807" s="16"/>
      <c r="H807" s="16"/>
      <c r="I807" s="16"/>
      <c r="J807" s="16"/>
      <c r="K807" s="16"/>
      <c r="L807" s="16"/>
      <c r="M807" s="16"/>
      <c r="N807" s="16"/>
      <c r="O807" s="16"/>
      <c r="P807" s="17"/>
      <c r="Q807" s="16"/>
      <c r="R807" s="16"/>
      <c r="S807" s="16"/>
      <c r="T807" s="16"/>
      <c r="U807" s="16"/>
      <c r="V807" s="16"/>
      <c r="W807" s="16"/>
      <c r="X807" s="16"/>
      <c r="Y807" s="16"/>
      <c r="Z807" s="16"/>
      <c r="AA807" s="16"/>
      <c r="AB807" s="16"/>
      <c r="AC807" s="16"/>
      <c r="AD807" s="16"/>
    </row>
    <row r="808" ht="14.25" customHeight="1">
      <c r="A808" s="16"/>
      <c r="B808" s="16"/>
      <c r="C808" s="16"/>
      <c r="D808" s="16"/>
      <c r="E808" s="16"/>
      <c r="F808" s="16"/>
      <c r="G808" s="16"/>
      <c r="H808" s="16"/>
      <c r="I808" s="16"/>
      <c r="J808" s="16"/>
      <c r="K808" s="16"/>
      <c r="L808" s="16"/>
      <c r="M808" s="16"/>
      <c r="N808" s="16"/>
      <c r="O808" s="16"/>
      <c r="P808" s="17"/>
      <c r="Q808" s="16"/>
      <c r="R808" s="16"/>
      <c r="S808" s="16"/>
      <c r="T808" s="16"/>
      <c r="U808" s="16"/>
      <c r="V808" s="16"/>
      <c r="W808" s="16"/>
      <c r="X808" s="16"/>
      <c r="Y808" s="16"/>
      <c r="Z808" s="16"/>
      <c r="AA808" s="16"/>
      <c r="AB808" s="16"/>
      <c r="AC808" s="16"/>
      <c r="AD808" s="16"/>
    </row>
    <row r="809" ht="14.25" customHeight="1">
      <c r="A809" s="16"/>
      <c r="B809" s="16"/>
      <c r="C809" s="16"/>
      <c r="D809" s="16"/>
      <c r="E809" s="16"/>
      <c r="F809" s="16"/>
      <c r="G809" s="16"/>
      <c r="H809" s="16"/>
      <c r="I809" s="16"/>
      <c r="J809" s="16"/>
      <c r="K809" s="16"/>
      <c r="L809" s="16"/>
      <c r="M809" s="16"/>
      <c r="N809" s="16"/>
      <c r="O809" s="16"/>
      <c r="P809" s="17"/>
      <c r="Q809" s="16"/>
      <c r="R809" s="16"/>
      <c r="S809" s="16"/>
      <c r="T809" s="16"/>
      <c r="U809" s="16"/>
      <c r="V809" s="16"/>
      <c r="W809" s="16"/>
      <c r="X809" s="16"/>
      <c r="Y809" s="16"/>
      <c r="Z809" s="16"/>
      <c r="AA809" s="16"/>
      <c r="AB809" s="16"/>
      <c r="AC809" s="16"/>
      <c r="AD809" s="16"/>
    </row>
    <row r="810" ht="14.25" customHeight="1">
      <c r="A810" s="16"/>
      <c r="B810" s="16"/>
      <c r="C810" s="16"/>
      <c r="D810" s="16"/>
      <c r="E810" s="16"/>
      <c r="F810" s="16"/>
      <c r="G810" s="16"/>
      <c r="H810" s="16"/>
      <c r="I810" s="16"/>
      <c r="J810" s="16"/>
      <c r="K810" s="16"/>
      <c r="L810" s="16"/>
      <c r="M810" s="16"/>
      <c r="N810" s="16"/>
      <c r="O810" s="16"/>
      <c r="P810" s="17"/>
      <c r="Q810" s="16"/>
      <c r="R810" s="16"/>
      <c r="S810" s="16"/>
      <c r="T810" s="16"/>
      <c r="U810" s="16"/>
      <c r="V810" s="16"/>
      <c r="W810" s="16"/>
      <c r="X810" s="16"/>
      <c r="Y810" s="16"/>
      <c r="Z810" s="16"/>
      <c r="AA810" s="16"/>
      <c r="AB810" s="16"/>
      <c r="AC810" s="16"/>
      <c r="AD810" s="16"/>
    </row>
    <row r="811" ht="14.25" customHeight="1">
      <c r="A811" s="16"/>
      <c r="B811" s="16"/>
      <c r="C811" s="16"/>
      <c r="D811" s="16"/>
      <c r="E811" s="16"/>
      <c r="F811" s="16"/>
      <c r="G811" s="16"/>
      <c r="H811" s="16"/>
      <c r="I811" s="16"/>
      <c r="J811" s="16"/>
      <c r="K811" s="16"/>
      <c r="L811" s="16"/>
      <c r="M811" s="16"/>
      <c r="N811" s="16"/>
      <c r="O811" s="16"/>
      <c r="P811" s="17"/>
      <c r="Q811" s="16"/>
      <c r="R811" s="16"/>
      <c r="S811" s="16"/>
      <c r="T811" s="16"/>
      <c r="U811" s="16"/>
      <c r="V811" s="16"/>
      <c r="W811" s="16"/>
      <c r="X811" s="16"/>
      <c r="Y811" s="16"/>
      <c r="Z811" s="16"/>
      <c r="AA811" s="16"/>
      <c r="AB811" s="16"/>
      <c r="AC811" s="16"/>
      <c r="AD811" s="16"/>
    </row>
    <row r="812" ht="14.25" customHeight="1">
      <c r="A812" s="16"/>
      <c r="B812" s="16"/>
      <c r="C812" s="16"/>
      <c r="D812" s="16"/>
      <c r="E812" s="16"/>
      <c r="F812" s="16"/>
      <c r="G812" s="16"/>
      <c r="H812" s="16"/>
      <c r="I812" s="16"/>
      <c r="J812" s="16"/>
      <c r="K812" s="16"/>
      <c r="L812" s="16"/>
      <c r="M812" s="16"/>
      <c r="N812" s="16"/>
      <c r="O812" s="16"/>
      <c r="P812" s="17"/>
      <c r="Q812" s="16"/>
      <c r="R812" s="16"/>
      <c r="S812" s="16"/>
      <c r="T812" s="16"/>
      <c r="U812" s="16"/>
      <c r="V812" s="16"/>
      <c r="W812" s="16"/>
      <c r="X812" s="16"/>
      <c r="Y812" s="16"/>
      <c r="Z812" s="16"/>
      <c r="AA812" s="16"/>
      <c r="AB812" s="16"/>
      <c r="AC812" s="16"/>
      <c r="AD812" s="16"/>
    </row>
    <row r="813" ht="14.25" customHeight="1">
      <c r="A813" s="16"/>
      <c r="B813" s="16"/>
      <c r="C813" s="16"/>
      <c r="D813" s="16"/>
      <c r="E813" s="16"/>
      <c r="F813" s="16"/>
      <c r="G813" s="16"/>
      <c r="H813" s="16"/>
      <c r="I813" s="16"/>
      <c r="J813" s="16"/>
      <c r="K813" s="16"/>
      <c r="L813" s="16"/>
      <c r="M813" s="16"/>
      <c r="N813" s="16"/>
      <c r="O813" s="16"/>
      <c r="P813" s="17"/>
      <c r="Q813" s="16"/>
      <c r="R813" s="16"/>
      <c r="S813" s="16"/>
      <c r="T813" s="16"/>
      <c r="U813" s="16"/>
      <c r="V813" s="16"/>
      <c r="W813" s="16"/>
      <c r="X813" s="16"/>
      <c r="Y813" s="16"/>
      <c r="Z813" s="16"/>
      <c r="AA813" s="16"/>
      <c r="AB813" s="16"/>
      <c r="AC813" s="16"/>
      <c r="AD813" s="16"/>
    </row>
    <row r="814" ht="14.25" customHeight="1">
      <c r="A814" s="16"/>
      <c r="B814" s="16"/>
      <c r="C814" s="16"/>
      <c r="D814" s="16"/>
      <c r="E814" s="16"/>
      <c r="F814" s="16"/>
      <c r="G814" s="16"/>
      <c r="H814" s="16"/>
      <c r="I814" s="16"/>
      <c r="J814" s="16"/>
      <c r="K814" s="16"/>
      <c r="L814" s="16"/>
      <c r="M814" s="16"/>
      <c r="N814" s="16"/>
      <c r="O814" s="16"/>
      <c r="P814" s="17"/>
      <c r="Q814" s="16"/>
      <c r="R814" s="16"/>
      <c r="S814" s="16"/>
      <c r="T814" s="16"/>
      <c r="U814" s="16"/>
      <c r="V814" s="16"/>
      <c r="W814" s="16"/>
      <c r="X814" s="16"/>
      <c r="Y814" s="16"/>
      <c r="Z814" s="16"/>
      <c r="AA814" s="16"/>
      <c r="AB814" s="16"/>
      <c r="AC814" s="16"/>
      <c r="AD814" s="16"/>
    </row>
    <row r="815" ht="14.25" customHeight="1">
      <c r="A815" s="16"/>
      <c r="B815" s="16"/>
      <c r="C815" s="16"/>
      <c r="D815" s="16"/>
      <c r="E815" s="16"/>
      <c r="F815" s="16"/>
      <c r="G815" s="16"/>
      <c r="H815" s="16"/>
      <c r="I815" s="16"/>
      <c r="J815" s="16"/>
      <c r="K815" s="16"/>
      <c r="L815" s="16"/>
      <c r="M815" s="16"/>
      <c r="N815" s="16"/>
      <c r="O815" s="16"/>
      <c r="P815" s="17"/>
      <c r="Q815" s="16"/>
      <c r="R815" s="16"/>
      <c r="S815" s="16"/>
      <c r="T815" s="16"/>
      <c r="U815" s="16"/>
      <c r="V815" s="16"/>
      <c r="W815" s="16"/>
      <c r="X815" s="16"/>
      <c r="Y815" s="16"/>
      <c r="Z815" s="16"/>
      <c r="AA815" s="16"/>
      <c r="AB815" s="16"/>
      <c r="AC815" s="16"/>
      <c r="AD815" s="16"/>
    </row>
    <row r="816" ht="14.25" customHeight="1">
      <c r="A816" s="16"/>
      <c r="B816" s="16"/>
      <c r="C816" s="16"/>
      <c r="D816" s="16"/>
      <c r="E816" s="16"/>
      <c r="F816" s="16"/>
      <c r="G816" s="16"/>
      <c r="H816" s="16"/>
      <c r="I816" s="16"/>
      <c r="J816" s="16"/>
      <c r="K816" s="16"/>
      <c r="L816" s="16"/>
      <c r="M816" s="16"/>
      <c r="N816" s="16"/>
      <c r="O816" s="16"/>
      <c r="P816" s="17"/>
      <c r="Q816" s="16"/>
      <c r="R816" s="16"/>
      <c r="S816" s="16"/>
      <c r="T816" s="16"/>
      <c r="U816" s="16"/>
      <c r="V816" s="16"/>
      <c r="W816" s="16"/>
      <c r="X816" s="16"/>
      <c r="Y816" s="16"/>
      <c r="Z816" s="16"/>
      <c r="AA816" s="16"/>
      <c r="AB816" s="16"/>
      <c r="AC816" s="16"/>
      <c r="AD816" s="16"/>
    </row>
    <row r="817" ht="14.25" customHeight="1">
      <c r="A817" s="16"/>
      <c r="B817" s="16"/>
      <c r="C817" s="16"/>
      <c r="D817" s="16"/>
      <c r="E817" s="16"/>
      <c r="F817" s="16"/>
      <c r="G817" s="16"/>
      <c r="H817" s="16"/>
      <c r="I817" s="16"/>
      <c r="J817" s="16"/>
      <c r="K817" s="16"/>
      <c r="L817" s="16"/>
      <c r="M817" s="16"/>
      <c r="N817" s="16"/>
      <c r="O817" s="16"/>
      <c r="P817" s="17"/>
      <c r="Q817" s="16"/>
      <c r="R817" s="16"/>
      <c r="S817" s="16"/>
      <c r="T817" s="16"/>
      <c r="U817" s="16"/>
      <c r="V817" s="16"/>
      <c r="W817" s="16"/>
      <c r="X817" s="16"/>
      <c r="Y817" s="16"/>
      <c r="Z817" s="16"/>
      <c r="AA817" s="16"/>
      <c r="AB817" s="16"/>
      <c r="AC817" s="16"/>
      <c r="AD817" s="16"/>
    </row>
    <row r="818" ht="14.25" customHeight="1">
      <c r="A818" s="16"/>
      <c r="B818" s="16"/>
      <c r="C818" s="16"/>
      <c r="D818" s="16"/>
      <c r="E818" s="16"/>
      <c r="F818" s="16"/>
      <c r="G818" s="16"/>
      <c r="H818" s="16"/>
      <c r="I818" s="16"/>
      <c r="J818" s="16"/>
      <c r="K818" s="16"/>
      <c r="L818" s="16"/>
      <c r="M818" s="16"/>
      <c r="N818" s="16"/>
      <c r="O818" s="16"/>
      <c r="P818" s="17"/>
      <c r="Q818" s="16"/>
      <c r="R818" s="16"/>
      <c r="S818" s="16"/>
      <c r="T818" s="16"/>
      <c r="U818" s="16"/>
      <c r="V818" s="16"/>
      <c r="W818" s="16"/>
      <c r="X818" s="16"/>
      <c r="Y818" s="16"/>
      <c r="Z818" s="16"/>
      <c r="AA818" s="16"/>
      <c r="AB818" s="16"/>
      <c r="AC818" s="16"/>
      <c r="AD818" s="16"/>
    </row>
    <row r="819" ht="14.25" customHeight="1">
      <c r="A819" s="16"/>
      <c r="B819" s="16"/>
      <c r="C819" s="16"/>
      <c r="D819" s="16"/>
      <c r="E819" s="16"/>
      <c r="F819" s="16"/>
      <c r="G819" s="16"/>
      <c r="H819" s="16"/>
      <c r="I819" s="16"/>
      <c r="J819" s="16"/>
      <c r="K819" s="16"/>
      <c r="L819" s="16"/>
      <c r="M819" s="16"/>
      <c r="N819" s="16"/>
      <c r="O819" s="16"/>
      <c r="P819" s="17"/>
      <c r="Q819" s="16"/>
      <c r="R819" s="16"/>
      <c r="S819" s="16"/>
      <c r="T819" s="16"/>
      <c r="U819" s="16"/>
      <c r="V819" s="16"/>
      <c r="W819" s="16"/>
      <c r="X819" s="16"/>
      <c r="Y819" s="16"/>
      <c r="Z819" s="16"/>
      <c r="AA819" s="16"/>
      <c r="AB819" s="16"/>
      <c r="AC819" s="16"/>
      <c r="AD819" s="16"/>
    </row>
    <row r="820" ht="14.25" customHeight="1">
      <c r="A820" s="16"/>
      <c r="B820" s="16"/>
      <c r="C820" s="16"/>
      <c r="D820" s="16"/>
      <c r="E820" s="16"/>
      <c r="F820" s="16"/>
      <c r="G820" s="16"/>
      <c r="H820" s="16"/>
      <c r="I820" s="16"/>
      <c r="J820" s="16"/>
      <c r="K820" s="16"/>
      <c r="L820" s="16"/>
      <c r="M820" s="16"/>
      <c r="N820" s="16"/>
      <c r="O820" s="16"/>
      <c r="P820" s="17"/>
      <c r="Q820" s="16"/>
      <c r="R820" s="16"/>
      <c r="S820" s="16"/>
      <c r="T820" s="16"/>
      <c r="U820" s="16"/>
      <c r="V820" s="16"/>
      <c r="W820" s="16"/>
      <c r="X820" s="16"/>
      <c r="Y820" s="16"/>
      <c r="Z820" s="16"/>
      <c r="AA820" s="16"/>
      <c r="AB820" s="16"/>
      <c r="AC820" s="16"/>
      <c r="AD820" s="16"/>
    </row>
    <row r="821" ht="14.25" customHeight="1">
      <c r="A821" s="16"/>
      <c r="B821" s="16"/>
      <c r="C821" s="16"/>
      <c r="D821" s="16"/>
      <c r="E821" s="16"/>
      <c r="F821" s="16"/>
      <c r="G821" s="16"/>
      <c r="H821" s="16"/>
      <c r="I821" s="16"/>
      <c r="J821" s="16"/>
      <c r="K821" s="16"/>
      <c r="L821" s="16"/>
      <c r="M821" s="16"/>
      <c r="N821" s="16"/>
      <c r="O821" s="16"/>
      <c r="P821" s="17"/>
      <c r="Q821" s="16"/>
      <c r="R821" s="16"/>
      <c r="S821" s="16"/>
      <c r="T821" s="16"/>
      <c r="U821" s="16"/>
      <c r="V821" s="16"/>
      <c r="W821" s="16"/>
      <c r="X821" s="16"/>
      <c r="Y821" s="16"/>
      <c r="Z821" s="16"/>
      <c r="AA821" s="16"/>
      <c r="AB821" s="16"/>
      <c r="AC821" s="16"/>
      <c r="AD821" s="16"/>
    </row>
    <row r="822" ht="14.25" customHeight="1">
      <c r="A822" s="16"/>
      <c r="B822" s="16"/>
      <c r="C822" s="16"/>
      <c r="D822" s="16"/>
      <c r="E822" s="16"/>
      <c r="F822" s="16"/>
      <c r="G822" s="16"/>
      <c r="H822" s="16"/>
      <c r="I822" s="16"/>
      <c r="J822" s="16"/>
      <c r="K822" s="16"/>
      <c r="L822" s="16"/>
      <c r="M822" s="16"/>
      <c r="N822" s="16"/>
      <c r="O822" s="16"/>
      <c r="P822" s="17"/>
      <c r="Q822" s="16"/>
      <c r="R822" s="16"/>
      <c r="S822" s="16"/>
      <c r="T822" s="16"/>
      <c r="U822" s="16"/>
      <c r="V822" s="16"/>
      <c r="W822" s="16"/>
      <c r="X822" s="16"/>
      <c r="Y822" s="16"/>
      <c r="Z822" s="16"/>
      <c r="AA822" s="16"/>
      <c r="AB822" s="16"/>
      <c r="AC822" s="16"/>
      <c r="AD822" s="16"/>
    </row>
    <row r="823" ht="14.25" customHeight="1">
      <c r="A823" s="16"/>
      <c r="B823" s="16"/>
      <c r="C823" s="16"/>
      <c r="D823" s="16"/>
      <c r="E823" s="16"/>
      <c r="F823" s="16"/>
      <c r="G823" s="16"/>
      <c r="H823" s="16"/>
      <c r="I823" s="16"/>
      <c r="J823" s="16"/>
      <c r="K823" s="16"/>
      <c r="L823" s="16"/>
      <c r="M823" s="16"/>
      <c r="N823" s="16"/>
      <c r="O823" s="16"/>
      <c r="P823" s="17"/>
      <c r="Q823" s="16"/>
      <c r="R823" s="16"/>
      <c r="S823" s="16"/>
      <c r="T823" s="16"/>
      <c r="U823" s="16"/>
      <c r="V823" s="16"/>
      <c r="W823" s="16"/>
      <c r="X823" s="16"/>
      <c r="Y823" s="16"/>
      <c r="Z823" s="16"/>
      <c r="AA823" s="16"/>
      <c r="AB823" s="16"/>
      <c r="AC823" s="16"/>
      <c r="AD823" s="16"/>
    </row>
    <row r="824" ht="14.25" customHeight="1">
      <c r="A824" s="16"/>
      <c r="B824" s="16"/>
      <c r="C824" s="16"/>
      <c r="D824" s="16"/>
      <c r="E824" s="16"/>
      <c r="F824" s="16"/>
      <c r="G824" s="16"/>
      <c r="H824" s="16"/>
      <c r="I824" s="16"/>
      <c r="J824" s="16"/>
      <c r="K824" s="16"/>
      <c r="L824" s="16"/>
      <c r="M824" s="16"/>
      <c r="N824" s="16"/>
      <c r="O824" s="16"/>
      <c r="P824" s="17"/>
      <c r="Q824" s="16"/>
      <c r="R824" s="16"/>
      <c r="S824" s="16"/>
      <c r="T824" s="16"/>
      <c r="U824" s="16"/>
      <c r="V824" s="16"/>
      <c r="W824" s="16"/>
      <c r="X824" s="16"/>
      <c r="Y824" s="16"/>
      <c r="Z824" s="16"/>
      <c r="AA824" s="16"/>
      <c r="AB824" s="16"/>
      <c r="AC824" s="16"/>
      <c r="AD824" s="16"/>
    </row>
    <row r="825" ht="14.25" customHeight="1">
      <c r="A825" s="16"/>
      <c r="B825" s="16"/>
      <c r="C825" s="16"/>
      <c r="D825" s="16"/>
      <c r="E825" s="16"/>
      <c r="F825" s="16"/>
      <c r="G825" s="16"/>
      <c r="H825" s="16"/>
      <c r="I825" s="16"/>
      <c r="J825" s="16"/>
      <c r="K825" s="16"/>
      <c r="L825" s="16"/>
      <c r="M825" s="16"/>
      <c r="N825" s="16"/>
      <c r="O825" s="16"/>
      <c r="P825" s="17"/>
      <c r="Q825" s="16"/>
      <c r="R825" s="16"/>
      <c r="S825" s="16"/>
      <c r="T825" s="16"/>
      <c r="U825" s="16"/>
      <c r="V825" s="16"/>
      <c r="W825" s="16"/>
      <c r="X825" s="16"/>
      <c r="Y825" s="16"/>
      <c r="Z825" s="16"/>
      <c r="AA825" s="16"/>
      <c r="AB825" s="16"/>
      <c r="AC825" s="16"/>
      <c r="AD825" s="16"/>
    </row>
    <row r="826" ht="14.25" customHeight="1">
      <c r="A826" s="16"/>
      <c r="B826" s="16"/>
      <c r="C826" s="16"/>
      <c r="D826" s="16"/>
      <c r="E826" s="16"/>
      <c r="F826" s="16"/>
      <c r="G826" s="16"/>
      <c r="H826" s="16"/>
      <c r="I826" s="16"/>
      <c r="J826" s="16"/>
      <c r="K826" s="16"/>
      <c r="L826" s="16"/>
      <c r="M826" s="16"/>
      <c r="N826" s="16"/>
      <c r="O826" s="16"/>
      <c r="P826" s="17"/>
      <c r="Q826" s="16"/>
      <c r="R826" s="16"/>
      <c r="S826" s="16"/>
      <c r="T826" s="16"/>
      <c r="U826" s="16"/>
      <c r="V826" s="16"/>
      <c r="W826" s="16"/>
      <c r="X826" s="16"/>
      <c r="Y826" s="16"/>
      <c r="Z826" s="16"/>
      <c r="AA826" s="16"/>
      <c r="AB826" s="16"/>
      <c r="AC826" s="16"/>
      <c r="AD826" s="16"/>
    </row>
    <row r="827" ht="14.25" customHeight="1">
      <c r="A827" s="16"/>
      <c r="B827" s="16"/>
      <c r="C827" s="16"/>
      <c r="D827" s="16"/>
      <c r="E827" s="16"/>
      <c r="F827" s="16"/>
      <c r="G827" s="16"/>
      <c r="H827" s="16"/>
      <c r="I827" s="16"/>
      <c r="J827" s="16"/>
      <c r="K827" s="16"/>
      <c r="L827" s="16"/>
      <c r="M827" s="16"/>
      <c r="N827" s="16"/>
      <c r="O827" s="16"/>
      <c r="P827" s="17"/>
      <c r="Q827" s="16"/>
      <c r="R827" s="16"/>
      <c r="S827" s="16"/>
      <c r="T827" s="16"/>
      <c r="U827" s="16"/>
      <c r="V827" s="16"/>
      <c r="W827" s="16"/>
      <c r="X827" s="16"/>
      <c r="Y827" s="16"/>
      <c r="Z827" s="16"/>
      <c r="AA827" s="16"/>
      <c r="AB827" s="16"/>
      <c r="AC827" s="16"/>
      <c r="AD827" s="16"/>
    </row>
    <row r="828" ht="14.25" customHeight="1">
      <c r="A828" s="16"/>
      <c r="B828" s="16"/>
      <c r="C828" s="16"/>
      <c r="D828" s="16"/>
      <c r="E828" s="16"/>
      <c r="F828" s="16"/>
      <c r="G828" s="16"/>
      <c r="H828" s="16"/>
      <c r="I828" s="16"/>
      <c r="J828" s="16"/>
      <c r="K828" s="16"/>
      <c r="L828" s="16"/>
      <c r="M828" s="16"/>
      <c r="N828" s="16"/>
      <c r="O828" s="16"/>
      <c r="P828" s="17"/>
      <c r="Q828" s="16"/>
      <c r="R828" s="16"/>
      <c r="S828" s="16"/>
      <c r="T828" s="16"/>
      <c r="U828" s="16"/>
      <c r="V828" s="16"/>
      <c r="W828" s="16"/>
      <c r="X828" s="16"/>
      <c r="Y828" s="16"/>
      <c r="Z828" s="16"/>
      <c r="AA828" s="16"/>
      <c r="AB828" s="16"/>
      <c r="AC828" s="16"/>
      <c r="AD828" s="16"/>
    </row>
    <row r="829" ht="14.25" customHeight="1">
      <c r="A829" s="16"/>
      <c r="B829" s="16"/>
      <c r="C829" s="16"/>
      <c r="D829" s="16"/>
      <c r="E829" s="16"/>
      <c r="F829" s="16"/>
      <c r="G829" s="16"/>
      <c r="H829" s="16"/>
      <c r="I829" s="16"/>
      <c r="J829" s="16"/>
      <c r="K829" s="16"/>
      <c r="L829" s="16"/>
      <c r="M829" s="16"/>
      <c r="N829" s="16"/>
      <c r="O829" s="16"/>
      <c r="P829" s="17"/>
      <c r="Q829" s="16"/>
      <c r="R829" s="16"/>
      <c r="S829" s="16"/>
      <c r="T829" s="16"/>
      <c r="U829" s="16"/>
      <c r="V829" s="16"/>
      <c r="W829" s="16"/>
      <c r="X829" s="16"/>
      <c r="Y829" s="16"/>
      <c r="Z829" s="16"/>
      <c r="AA829" s="16"/>
      <c r="AB829" s="16"/>
      <c r="AC829" s="16"/>
      <c r="AD829" s="16"/>
    </row>
    <row r="830" ht="14.25" customHeight="1">
      <c r="A830" s="16"/>
      <c r="B830" s="16"/>
      <c r="C830" s="16"/>
      <c r="D830" s="16"/>
      <c r="E830" s="16"/>
      <c r="F830" s="16"/>
      <c r="G830" s="16"/>
      <c r="H830" s="16"/>
      <c r="I830" s="16"/>
      <c r="J830" s="16"/>
      <c r="K830" s="16"/>
      <c r="L830" s="16"/>
      <c r="M830" s="16"/>
      <c r="N830" s="16"/>
      <c r="O830" s="16"/>
      <c r="P830" s="17"/>
      <c r="Q830" s="16"/>
      <c r="R830" s="16"/>
      <c r="S830" s="16"/>
      <c r="T830" s="16"/>
      <c r="U830" s="16"/>
      <c r="V830" s="16"/>
      <c r="W830" s="16"/>
      <c r="X830" s="16"/>
      <c r="Y830" s="16"/>
      <c r="Z830" s="16"/>
      <c r="AA830" s="16"/>
      <c r="AB830" s="16"/>
      <c r="AC830" s="16"/>
      <c r="AD830" s="16"/>
    </row>
    <row r="831" ht="14.25" customHeight="1">
      <c r="A831" s="16"/>
      <c r="B831" s="16"/>
      <c r="C831" s="16"/>
      <c r="D831" s="16"/>
      <c r="E831" s="16"/>
      <c r="F831" s="16"/>
      <c r="G831" s="16"/>
      <c r="H831" s="16"/>
      <c r="I831" s="16"/>
      <c r="J831" s="16"/>
      <c r="K831" s="16"/>
      <c r="L831" s="16"/>
      <c r="M831" s="16"/>
      <c r="N831" s="16"/>
      <c r="O831" s="16"/>
      <c r="P831" s="17"/>
      <c r="Q831" s="16"/>
      <c r="R831" s="16"/>
      <c r="S831" s="16"/>
      <c r="T831" s="16"/>
      <c r="U831" s="16"/>
      <c r="V831" s="16"/>
      <c r="W831" s="16"/>
      <c r="X831" s="16"/>
      <c r="Y831" s="16"/>
      <c r="Z831" s="16"/>
      <c r="AA831" s="16"/>
      <c r="AB831" s="16"/>
      <c r="AC831" s="16"/>
      <c r="AD831" s="16"/>
    </row>
    <row r="832" ht="14.25" customHeight="1">
      <c r="A832" s="16"/>
      <c r="B832" s="16"/>
      <c r="C832" s="16"/>
      <c r="D832" s="16"/>
      <c r="E832" s="16"/>
      <c r="F832" s="16"/>
      <c r="G832" s="16"/>
      <c r="H832" s="16"/>
      <c r="I832" s="16"/>
      <c r="J832" s="16"/>
      <c r="K832" s="16"/>
      <c r="L832" s="16"/>
      <c r="M832" s="16"/>
      <c r="N832" s="16"/>
      <c r="O832" s="16"/>
      <c r="P832" s="17"/>
      <c r="Q832" s="16"/>
      <c r="R832" s="16"/>
      <c r="S832" s="16"/>
      <c r="T832" s="16"/>
      <c r="U832" s="16"/>
      <c r="V832" s="16"/>
      <c r="W832" s="16"/>
      <c r="X832" s="16"/>
      <c r="Y832" s="16"/>
      <c r="Z832" s="16"/>
      <c r="AA832" s="16"/>
      <c r="AB832" s="16"/>
      <c r="AC832" s="16"/>
      <c r="AD832" s="16"/>
    </row>
    <row r="833" ht="14.25" customHeight="1">
      <c r="A833" s="16"/>
      <c r="B833" s="16"/>
      <c r="C833" s="16"/>
      <c r="D833" s="16"/>
      <c r="E833" s="16"/>
      <c r="F833" s="16"/>
      <c r="G833" s="16"/>
      <c r="H833" s="16"/>
      <c r="I833" s="16"/>
      <c r="J833" s="16"/>
      <c r="K833" s="16"/>
      <c r="L833" s="16"/>
      <c r="M833" s="16"/>
      <c r="N833" s="16"/>
      <c r="O833" s="16"/>
      <c r="P833" s="17"/>
      <c r="Q833" s="16"/>
      <c r="R833" s="16"/>
      <c r="S833" s="16"/>
      <c r="T833" s="16"/>
      <c r="U833" s="16"/>
      <c r="V833" s="16"/>
      <c r="W833" s="16"/>
      <c r="X833" s="16"/>
      <c r="Y833" s="16"/>
      <c r="Z833" s="16"/>
      <c r="AA833" s="16"/>
      <c r="AB833" s="16"/>
      <c r="AC833" s="16"/>
      <c r="AD833" s="16"/>
    </row>
    <row r="834" ht="14.25" customHeight="1">
      <c r="A834" s="16"/>
      <c r="B834" s="16"/>
      <c r="C834" s="16"/>
      <c r="D834" s="16"/>
      <c r="E834" s="16"/>
      <c r="F834" s="16"/>
      <c r="G834" s="16"/>
      <c r="H834" s="16"/>
      <c r="I834" s="16"/>
      <c r="J834" s="16"/>
      <c r="K834" s="16"/>
      <c r="L834" s="16"/>
      <c r="M834" s="16"/>
      <c r="N834" s="16"/>
      <c r="O834" s="16"/>
      <c r="P834" s="17"/>
      <c r="Q834" s="16"/>
      <c r="R834" s="16"/>
      <c r="S834" s="16"/>
      <c r="T834" s="16"/>
      <c r="U834" s="16"/>
      <c r="V834" s="16"/>
      <c r="W834" s="16"/>
      <c r="X834" s="16"/>
      <c r="Y834" s="16"/>
      <c r="Z834" s="16"/>
      <c r="AA834" s="16"/>
      <c r="AB834" s="16"/>
      <c r="AC834" s="16"/>
      <c r="AD834" s="16"/>
    </row>
    <row r="835" ht="14.25" customHeight="1">
      <c r="A835" s="16"/>
      <c r="B835" s="16"/>
      <c r="C835" s="16"/>
      <c r="D835" s="16"/>
      <c r="E835" s="16"/>
      <c r="F835" s="16"/>
      <c r="G835" s="16"/>
      <c r="H835" s="16"/>
      <c r="I835" s="16"/>
      <c r="J835" s="16"/>
      <c r="K835" s="16"/>
      <c r="L835" s="16"/>
      <c r="M835" s="16"/>
      <c r="N835" s="16"/>
      <c r="O835" s="16"/>
      <c r="P835" s="17"/>
      <c r="Q835" s="16"/>
      <c r="R835" s="16"/>
      <c r="S835" s="16"/>
      <c r="T835" s="16"/>
      <c r="U835" s="16"/>
      <c r="V835" s="16"/>
      <c r="W835" s="16"/>
      <c r="X835" s="16"/>
      <c r="Y835" s="16"/>
      <c r="Z835" s="16"/>
      <c r="AA835" s="16"/>
      <c r="AB835" s="16"/>
      <c r="AC835" s="16"/>
      <c r="AD835" s="16"/>
    </row>
    <row r="836" ht="14.25" customHeight="1">
      <c r="A836" s="16"/>
      <c r="B836" s="16"/>
      <c r="C836" s="16"/>
      <c r="D836" s="16"/>
      <c r="E836" s="16"/>
      <c r="F836" s="16"/>
      <c r="G836" s="16"/>
      <c r="H836" s="16"/>
      <c r="I836" s="16"/>
      <c r="J836" s="16"/>
      <c r="K836" s="16"/>
      <c r="L836" s="16"/>
      <c r="M836" s="16"/>
      <c r="N836" s="16"/>
      <c r="O836" s="16"/>
      <c r="P836" s="17"/>
      <c r="Q836" s="16"/>
      <c r="R836" s="16"/>
      <c r="S836" s="16"/>
      <c r="T836" s="16"/>
      <c r="U836" s="16"/>
      <c r="V836" s="16"/>
      <c r="W836" s="16"/>
      <c r="X836" s="16"/>
      <c r="Y836" s="16"/>
      <c r="Z836" s="16"/>
      <c r="AA836" s="16"/>
      <c r="AB836" s="16"/>
      <c r="AC836" s="16"/>
      <c r="AD836" s="16"/>
    </row>
    <row r="837" ht="14.25" customHeight="1">
      <c r="A837" s="16"/>
      <c r="B837" s="16"/>
      <c r="C837" s="16"/>
      <c r="D837" s="16"/>
      <c r="E837" s="16"/>
      <c r="F837" s="16"/>
      <c r="G837" s="16"/>
      <c r="H837" s="16"/>
      <c r="I837" s="16"/>
      <c r="J837" s="16"/>
      <c r="K837" s="16"/>
      <c r="L837" s="16"/>
      <c r="M837" s="16"/>
      <c r="N837" s="16"/>
      <c r="O837" s="16"/>
      <c r="P837" s="17"/>
      <c r="Q837" s="16"/>
      <c r="R837" s="16"/>
      <c r="S837" s="16"/>
      <c r="T837" s="16"/>
      <c r="U837" s="16"/>
      <c r="V837" s="16"/>
      <c r="W837" s="16"/>
      <c r="X837" s="16"/>
      <c r="Y837" s="16"/>
      <c r="Z837" s="16"/>
      <c r="AA837" s="16"/>
      <c r="AB837" s="16"/>
      <c r="AC837" s="16"/>
      <c r="AD837" s="16"/>
    </row>
    <row r="838" ht="14.25" customHeight="1">
      <c r="A838" s="16"/>
      <c r="B838" s="16"/>
      <c r="C838" s="16"/>
      <c r="D838" s="16"/>
      <c r="E838" s="16"/>
      <c r="F838" s="16"/>
      <c r="G838" s="16"/>
      <c r="H838" s="16"/>
      <c r="I838" s="16"/>
      <c r="J838" s="16"/>
      <c r="K838" s="16"/>
      <c r="L838" s="16"/>
      <c r="M838" s="16"/>
      <c r="N838" s="16"/>
      <c r="O838" s="16"/>
      <c r="P838" s="17"/>
      <c r="Q838" s="16"/>
      <c r="R838" s="16"/>
      <c r="S838" s="16"/>
      <c r="T838" s="16"/>
      <c r="U838" s="16"/>
      <c r="V838" s="16"/>
      <c r="W838" s="16"/>
      <c r="X838" s="16"/>
      <c r="Y838" s="16"/>
      <c r="Z838" s="16"/>
      <c r="AA838" s="16"/>
      <c r="AB838" s="16"/>
      <c r="AC838" s="16"/>
      <c r="AD838" s="16"/>
    </row>
    <row r="839" ht="14.25" customHeight="1">
      <c r="A839" s="16"/>
      <c r="B839" s="16"/>
      <c r="C839" s="16"/>
      <c r="D839" s="16"/>
      <c r="E839" s="16"/>
      <c r="F839" s="16"/>
      <c r="G839" s="16"/>
      <c r="H839" s="16"/>
      <c r="I839" s="16"/>
      <c r="J839" s="16"/>
      <c r="K839" s="16"/>
      <c r="L839" s="16"/>
      <c r="M839" s="16"/>
      <c r="N839" s="16"/>
      <c r="O839" s="16"/>
      <c r="P839" s="17"/>
      <c r="Q839" s="16"/>
      <c r="R839" s="16"/>
      <c r="S839" s="16"/>
      <c r="T839" s="16"/>
      <c r="U839" s="16"/>
      <c r="V839" s="16"/>
      <c r="W839" s="16"/>
      <c r="X839" s="16"/>
      <c r="Y839" s="16"/>
      <c r="Z839" s="16"/>
      <c r="AA839" s="16"/>
      <c r="AB839" s="16"/>
      <c r="AC839" s="16"/>
      <c r="AD839" s="16"/>
    </row>
    <row r="840" ht="14.25" customHeight="1">
      <c r="A840" s="16"/>
      <c r="B840" s="16"/>
      <c r="C840" s="16"/>
      <c r="D840" s="16"/>
      <c r="E840" s="16"/>
      <c r="F840" s="16"/>
      <c r="G840" s="16"/>
      <c r="H840" s="16"/>
      <c r="I840" s="16"/>
      <c r="J840" s="16"/>
      <c r="K840" s="16"/>
      <c r="L840" s="16"/>
      <c r="M840" s="16"/>
      <c r="N840" s="16"/>
      <c r="O840" s="16"/>
      <c r="P840" s="17"/>
      <c r="Q840" s="16"/>
      <c r="R840" s="16"/>
      <c r="S840" s="16"/>
      <c r="T840" s="16"/>
      <c r="U840" s="16"/>
      <c r="V840" s="16"/>
      <c r="W840" s="16"/>
      <c r="X840" s="16"/>
      <c r="Y840" s="16"/>
      <c r="Z840" s="16"/>
      <c r="AA840" s="16"/>
      <c r="AB840" s="16"/>
      <c r="AC840" s="16"/>
      <c r="AD840" s="16"/>
    </row>
    <row r="841" ht="14.25" customHeight="1">
      <c r="A841" s="16"/>
      <c r="B841" s="16"/>
      <c r="C841" s="16"/>
      <c r="D841" s="16"/>
      <c r="E841" s="16"/>
      <c r="F841" s="16"/>
      <c r="G841" s="16"/>
      <c r="H841" s="16"/>
      <c r="I841" s="16"/>
      <c r="J841" s="16"/>
      <c r="K841" s="16"/>
      <c r="L841" s="16"/>
      <c r="M841" s="16"/>
      <c r="N841" s="16"/>
      <c r="O841" s="16"/>
      <c r="P841" s="17"/>
      <c r="Q841" s="16"/>
      <c r="R841" s="16"/>
      <c r="S841" s="16"/>
      <c r="T841" s="16"/>
      <c r="U841" s="16"/>
      <c r="V841" s="16"/>
      <c r="W841" s="16"/>
      <c r="X841" s="16"/>
      <c r="Y841" s="16"/>
      <c r="Z841" s="16"/>
      <c r="AA841" s="16"/>
      <c r="AB841" s="16"/>
      <c r="AC841" s="16"/>
      <c r="AD841" s="16"/>
    </row>
    <row r="842" ht="14.25" customHeight="1">
      <c r="A842" s="16"/>
      <c r="B842" s="16"/>
      <c r="C842" s="16"/>
      <c r="D842" s="16"/>
      <c r="E842" s="16"/>
      <c r="F842" s="16"/>
      <c r="G842" s="16"/>
      <c r="H842" s="16"/>
      <c r="I842" s="16"/>
      <c r="J842" s="16"/>
      <c r="K842" s="16"/>
      <c r="L842" s="16"/>
      <c r="M842" s="16"/>
      <c r="N842" s="16"/>
      <c r="O842" s="16"/>
      <c r="P842" s="17"/>
      <c r="Q842" s="16"/>
      <c r="R842" s="16"/>
      <c r="S842" s="16"/>
      <c r="T842" s="16"/>
      <c r="U842" s="16"/>
      <c r="V842" s="16"/>
      <c r="W842" s="16"/>
      <c r="X842" s="16"/>
      <c r="Y842" s="16"/>
      <c r="Z842" s="16"/>
      <c r="AA842" s="16"/>
      <c r="AB842" s="16"/>
      <c r="AC842" s="16"/>
      <c r="AD842" s="16"/>
    </row>
    <row r="843" ht="14.25" customHeight="1">
      <c r="A843" s="16"/>
      <c r="B843" s="16"/>
      <c r="C843" s="16"/>
      <c r="D843" s="16"/>
      <c r="E843" s="16"/>
      <c r="F843" s="16"/>
      <c r="G843" s="16"/>
      <c r="H843" s="16"/>
      <c r="I843" s="16"/>
      <c r="J843" s="16"/>
      <c r="K843" s="16"/>
      <c r="L843" s="16"/>
      <c r="M843" s="16"/>
      <c r="N843" s="16"/>
      <c r="O843" s="16"/>
      <c r="P843" s="17"/>
      <c r="Q843" s="16"/>
      <c r="R843" s="16"/>
      <c r="S843" s="16"/>
      <c r="T843" s="16"/>
      <c r="U843" s="16"/>
      <c r="V843" s="16"/>
      <c r="W843" s="16"/>
      <c r="X843" s="16"/>
      <c r="Y843" s="16"/>
      <c r="Z843" s="16"/>
      <c r="AA843" s="16"/>
      <c r="AB843" s="16"/>
      <c r="AC843" s="16"/>
      <c r="AD843" s="16"/>
    </row>
    <row r="844" ht="14.25" customHeight="1">
      <c r="A844" s="16"/>
      <c r="B844" s="16"/>
      <c r="C844" s="16"/>
      <c r="D844" s="16"/>
      <c r="E844" s="16"/>
      <c r="F844" s="16"/>
      <c r="G844" s="16"/>
      <c r="H844" s="16"/>
      <c r="I844" s="16"/>
      <c r="J844" s="16"/>
      <c r="K844" s="16"/>
      <c r="L844" s="16"/>
      <c r="M844" s="16"/>
      <c r="N844" s="16"/>
      <c r="O844" s="16"/>
      <c r="P844" s="17"/>
      <c r="Q844" s="16"/>
      <c r="R844" s="16"/>
      <c r="S844" s="16"/>
      <c r="T844" s="16"/>
      <c r="U844" s="16"/>
      <c r="V844" s="16"/>
      <c r="W844" s="16"/>
      <c r="X844" s="16"/>
      <c r="Y844" s="16"/>
      <c r="Z844" s="16"/>
      <c r="AA844" s="16"/>
      <c r="AB844" s="16"/>
      <c r="AC844" s="16"/>
      <c r="AD844" s="16"/>
    </row>
    <row r="845" ht="14.25" customHeight="1">
      <c r="A845" s="16"/>
      <c r="B845" s="16"/>
      <c r="C845" s="16"/>
      <c r="D845" s="16"/>
      <c r="E845" s="16"/>
      <c r="F845" s="16"/>
      <c r="G845" s="16"/>
      <c r="H845" s="16"/>
      <c r="I845" s="16"/>
      <c r="J845" s="16"/>
      <c r="K845" s="16"/>
      <c r="L845" s="16"/>
      <c r="M845" s="16"/>
      <c r="N845" s="16"/>
      <c r="O845" s="16"/>
      <c r="P845" s="17"/>
      <c r="Q845" s="16"/>
      <c r="R845" s="16"/>
      <c r="S845" s="16"/>
      <c r="T845" s="16"/>
      <c r="U845" s="16"/>
      <c r="V845" s="16"/>
      <c r="W845" s="16"/>
      <c r="X845" s="16"/>
      <c r="Y845" s="16"/>
      <c r="Z845" s="16"/>
      <c r="AA845" s="16"/>
      <c r="AB845" s="16"/>
      <c r="AC845" s="16"/>
      <c r="AD845" s="16"/>
    </row>
    <row r="846" ht="14.25" customHeight="1">
      <c r="A846" s="16"/>
      <c r="B846" s="16"/>
      <c r="C846" s="16"/>
      <c r="D846" s="16"/>
      <c r="E846" s="16"/>
      <c r="F846" s="16"/>
      <c r="G846" s="16"/>
      <c r="H846" s="16"/>
      <c r="I846" s="16"/>
      <c r="J846" s="16"/>
      <c r="K846" s="16"/>
      <c r="L846" s="16"/>
      <c r="M846" s="16"/>
      <c r="N846" s="16"/>
      <c r="O846" s="16"/>
      <c r="P846" s="17"/>
      <c r="Q846" s="16"/>
      <c r="R846" s="16"/>
      <c r="S846" s="16"/>
      <c r="T846" s="16"/>
      <c r="U846" s="16"/>
      <c r="V846" s="16"/>
      <c r="W846" s="16"/>
      <c r="X846" s="16"/>
      <c r="Y846" s="16"/>
      <c r="Z846" s="16"/>
      <c r="AA846" s="16"/>
      <c r="AB846" s="16"/>
      <c r="AC846" s="16"/>
      <c r="AD846" s="16"/>
    </row>
    <row r="847" ht="14.25" customHeight="1">
      <c r="A847" s="16"/>
      <c r="B847" s="16"/>
      <c r="C847" s="16"/>
      <c r="D847" s="16"/>
      <c r="E847" s="16"/>
      <c r="F847" s="16"/>
      <c r="G847" s="16"/>
      <c r="H847" s="16"/>
      <c r="I847" s="16"/>
      <c r="J847" s="16"/>
      <c r="K847" s="16"/>
      <c r="L847" s="16"/>
      <c r="M847" s="16"/>
      <c r="N847" s="16"/>
      <c r="O847" s="16"/>
      <c r="P847" s="17"/>
      <c r="Q847" s="16"/>
      <c r="R847" s="16"/>
      <c r="S847" s="16"/>
      <c r="T847" s="16"/>
      <c r="U847" s="16"/>
      <c r="V847" s="16"/>
      <c r="W847" s="16"/>
      <c r="X847" s="16"/>
      <c r="Y847" s="16"/>
      <c r="Z847" s="16"/>
      <c r="AA847" s="16"/>
      <c r="AB847" s="16"/>
      <c r="AC847" s="16"/>
      <c r="AD847" s="16"/>
    </row>
    <row r="848" ht="14.25" customHeight="1">
      <c r="A848" s="16"/>
      <c r="B848" s="16"/>
      <c r="C848" s="16"/>
      <c r="D848" s="16"/>
      <c r="E848" s="16"/>
      <c r="F848" s="16"/>
      <c r="G848" s="16"/>
      <c r="H848" s="16"/>
      <c r="I848" s="16"/>
      <c r="J848" s="16"/>
      <c r="K848" s="16"/>
      <c r="L848" s="16"/>
      <c r="M848" s="16"/>
      <c r="N848" s="16"/>
      <c r="O848" s="16"/>
      <c r="P848" s="17"/>
      <c r="Q848" s="16"/>
      <c r="R848" s="16"/>
      <c r="S848" s="16"/>
      <c r="T848" s="16"/>
      <c r="U848" s="16"/>
      <c r="V848" s="16"/>
      <c r="W848" s="16"/>
      <c r="X848" s="16"/>
      <c r="Y848" s="16"/>
      <c r="Z848" s="16"/>
      <c r="AA848" s="16"/>
      <c r="AB848" s="16"/>
      <c r="AC848" s="16"/>
      <c r="AD848" s="16"/>
    </row>
    <row r="849" ht="14.25" customHeight="1">
      <c r="A849" s="16"/>
      <c r="B849" s="16"/>
      <c r="C849" s="16"/>
      <c r="D849" s="16"/>
      <c r="E849" s="16"/>
      <c r="F849" s="16"/>
      <c r="G849" s="16"/>
      <c r="H849" s="16"/>
      <c r="I849" s="16"/>
      <c r="J849" s="16"/>
      <c r="K849" s="16"/>
      <c r="L849" s="16"/>
      <c r="M849" s="16"/>
      <c r="N849" s="16"/>
      <c r="O849" s="16"/>
      <c r="P849" s="17"/>
      <c r="Q849" s="16"/>
      <c r="R849" s="16"/>
      <c r="S849" s="16"/>
      <c r="T849" s="16"/>
      <c r="U849" s="16"/>
      <c r="V849" s="16"/>
      <c r="W849" s="16"/>
      <c r="X849" s="16"/>
      <c r="Y849" s="16"/>
      <c r="Z849" s="16"/>
      <c r="AA849" s="16"/>
      <c r="AB849" s="16"/>
      <c r="AC849" s="16"/>
      <c r="AD849" s="16"/>
    </row>
    <row r="850" ht="14.25" customHeight="1">
      <c r="A850" s="16"/>
      <c r="B850" s="16"/>
      <c r="C850" s="16"/>
      <c r="D850" s="16"/>
      <c r="E850" s="16"/>
      <c r="F850" s="16"/>
      <c r="G850" s="16"/>
      <c r="H850" s="16"/>
      <c r="I850" s="16"/>
      <c r="J850" s="16"/>
      <c r="K850" s="16"/>
      <c r="L850" s="16"/>
      <c r="M850" s="16"/>
      <c r="N850" s="16"/>
      <c r="O850" s="16"/>
      <c r="P850" s="17"/>
      <c r="Q850" s="16"/>
      <c r="R850" s="16"/>
      <c r="S850" s="16"/>
      <c r="T850" s="16"/>
      <c r="U850" s="16"/>
      <c r="V850" s="16"/>
      <c r="W850" s="16"/>
      <c r="X850" s="16"/>
      <c r="Y850" s="16"/>
      <c r="Z850" s="16"/>
      <c r="AA850" s="16"/>
      <c r="AB850" s="16"/>
      <c r="AC850" s="16"/>
      <c r="AD850" s="16"/>
    </row>
    <row r="851" ht="14.25" customHeight="1">
      <c r="A851" s="16"/>
      <c r="B851" s="16"/>
      <c r="C851" s="16"/>
      <c r="D851" s="16"/>
      <c r="E851" s="16"/>
      <c r="F851" s="16"/>
      <c r="G851" s="16"/>
      <c r="H851" s="16"/>
      <c r="I851" s="16"/>
      <c r="J851" s="16"/>
      <c r="K851" s="16"/>
      <c r="L851" s="16"/>
      <c r="M851" s="16"/>
      <c r="N851" s="16"/>
      <c r="O851" s="16"/>
      <c r="P851" s="17"/>
      <c r="Q851" s="16"/>
      <c r="R851" s="16"/>
      <c r="S851" s="16"/>
      <c r="T851" s="16"/>
      <c r="U851" s="16"/>
      <c r="V851" s="16"/>
      <c r="W851" s="16"/>
      <c r="X851" s="16"/>
      <c r="Y851" s="16"/>
      <c r="Z851" s="16"/>
      <c r="AA851" s="16"/>
      <c r="AB851" s="16"/>
      <c r="AC851" s="16"/>
      <c r="AD851" s="16"/>
    </row>
    <row r="852" ht="14.25" customHeight="1">
      <c r="A852" s="16"/>
      <c r="B852" s="16"/>
      <c r="C852" s="16"/>
      <c r="D852" s="16"/>
      <c r="E852" s="16"/>
      <c r="F852" s="16"/>
      <c r="G852" s="16"/>
      <c r="H852" s="16"/>
      <c r="I852" s="16"/>
      <c r="J852" s="16"/>
      <c r="K852" s="16"/>
      <c r="L852" s="16"/>
      <c r="M852" s="16"/>
      <c r="N852" s="16"/>
      <c r="O852" s="16"/>
      <c r="P852" s="17"/>
      <c r="Q852" s="16"/>
      <c r="R852" s="16"/>
      <c r="S852" s="16"/>
      <c r="T852" s="16"/>
      <c r="U852" s="16"/>
      <c r="V852" s="16"/>
      <c r="W852" s="16"/>
      <c r="X852" s="16"/>
      <c r="Y852" s="16"/>
      <c r="Z852" s="16"/>
      <c r="AA852" s="16"/>
      <c r="AB852" s="16"/>
      <c r="AC852" s="16"/>
      <c r="AD852" s="16"/>
    </row>
    <row r="853" ht="14.25" customHeight="1">
      <c r="A853" s="16"/>
      <c r="B853" s="16"/>
      <c r="C853" s="16"/>
      <c r="D853" s="16"/>
      <c r="E853" s="16"/>
      <c r="F853" s="16"/>
      <c r="G853" s="16"/>
      <c r="H853" s="16"/>
      <c r="I853" s="16"/>
      <c r="J853" s="16"/>
      <c r="K853" s="16"/>
      <c r="L853" s="16"/>
      <c r="M853" s="16"/>
      <c r="N853" s="16"/>
      <c r="O853" s="16"/>
      <c r="P853" s="17"/>
      <c r="Q853" s="16"/>
      <c r="R853" s="16"/>
      <c r="S853" s="16"/>
      <c r="T853" s="16"/>
      <c r="U853" s="16"/>
      <c r="V853" s="16"/>
      <c r="W853" s="16"/>
      <c r="X853" s="16"/>
      <c r="Y853" s="16"/>
      <c r="Z853" s="16"/>
      <c r="AA853" s="16"/>
      <c r="AB853" s="16"/>
      <c r="AC853" s="16"/>
      <c r="AD853" s="16"/>
    </row>
    <row r="854" ht="14.25" customHeight="1">
      <c r="A854" s="16"/>
      <c r="B854" s="16"/>
      <c r="C854" s="16"/>
      <c r="D854" s="16"/>
      <c r="E854" s="16"/>
      <c r="F854" s="16"/>
      <c r="G854" s="16"/>
      <c r="H854" s="16"/>
      <c r="I854" s="16"/>
      <c r="J854" s="16"/>
      <c r="K854" s="16"/>
      <c r="L854" s="16"/>
      <c r="M854" s="16"/>
      <c r="N854" s="16"/>
      <c r="O854" s="16"/>
      <c r="P854" s="17"/>
      <c r="Q854" s="16"/>
      <c r="R854" s="16"/>
      <c r="S854" s="16"/>
      <c r="T854" s="16"/>
      <c r="U854" s="16"/>
      <c r="V854" s="16"/>
      <c r="W854" s="16"/>
      <c r="X854" s="16"/>
      <c r="Y854" s="16"/>
      <c r="Z854" s="16"/>
      <c r="AA854" s="16"/>
      <c r="AB854" s="16"/>
      <c r="AC854" s="16"/>
      <c r="AD854" s="16"/>
    </row>
    <row r="855" ht="14.25" customHeight="1">
      <c r="A855" s="16"/>
      <c r="B855" s="16"/>
      <c r="C855" s="16"/>
      <c r="D855" s="16"/>
      <c r="E855" s="16"/>
      <c r="F855" s="16"/>
      <c r="G855" s="16"/>
      <c r="H855" s="16"/>
      <c r="I855" s="16"/>
      <c r="J855" s="16"/>
      <c r="K855" s="16"/>
      <c r="L855" s="16"/>
      <c r="M855" s="16"/>
      <c r="N855" s="16"/>
      <c r="O855" s="16"/>
      <c r="P855" s="17"/>
      <c r="Q855" s="16"/>
      <c r="R855" s="16"/>
      <c r="S855" s="16"/>
      <c r="T855" s="16"/>
      <c r="U855" s="16"/>
      <c r="V855" s="16"/>
      <c r="W855" s="16"/>
      <c r="X855" s="16"/>
      <c r="Y855" s="16"/>
      <c r="Z855" s="16"/>
      <c r="AA855" s="16"/>
      <c r="AB855" s="16"/>
      <c r="AC855" s="16"/>
      <c r="AD855" s="16"/>
    </row>
    <row r="856" ht="14.25" customHeight="1">
      <c r="A856" s="16"/>
      <c r="B856" s="16"/>
      <c r="C856" s="16"/>
      <c r="D856" s="16"/>
      <c r="E856" s="16"/>
      <c r="F856" s="16"/>
      <c r="G856" s="16"/>
      <c r="H856" s="16"/>
      <c r="I856" s="16"/>
      <c r="J856" s="16"/>
      <c r="K856" s="16"/>
      <c r="L856" s="16"/>
      <c r="M856" s="16"/>
      <c r="N856" s="16"/>
      <c r="O856" s="16"/>
      <c r="P856" s="17"/>
      <c r="Q856" s="16"/>
      <c r="R856" s="16"/>
      <c r="S856" s="16"/>
      <c r="T856" s="16"/>
      <c r="U856" s="16"/>
      <c r="V856" s="16"/>
      <c r="W856" s="16"/>
      <c r="X856" s="16"/>
      <c r="Y856" s="16"/>
      <c r="Z856" s="16"/>
      <c r="AA856" s="16"/>
      <c r="AB856" s="16"/>
      <c r="AC856" s="16"/>
      <c r="AD856" s="16"/>
    </row>
    <row r="857" ht="14.25" customHeight="1">
      <c r="A857" s="16"/>
      <c r="B857" s="16"/>
      <c r="C857" s="16"/>
      <c r="D857" s="16"/>
      <c r="E857" s="16"/>
      <c r="F857" s="16"/>
      <c r="G857" s="16"/>
      <c r="H857" s="16"/>
      <c r="I857" s="16"/>
      <c r="J857" s="16"/>
      <c r="K857" s="16"/>
      <c r="L857" s="16"/>
      <c r="M857" s="16"/>
      <c r="N857" s="16"/>
      <c r="O857" s="16"/>
      <c r="P857" s="17"/>
      <c r="Q857" s="16"/>
      <c r="R857" s="16"/>
      <c r="S857" s="16"/>
      <c r="T857" s="16"/>
      <c r="U857" s="16"/>
      <c r="V857" s="16"/>
      <c r="W857" s="16"/>
      <c r="X857" s="16"/>
      <c r="Y857" s="16"/>
      <c r="Z857" s="16"/>
      <c r="AA857" s="16"/>
      <c r="AB857" s="16"/>
      <c r="AC857" s="16"/>
      <c r="AD857" s="16"/>
    </row>
    <row r="858" ht="14.25" customHeight="1">
      <c r="A858" s="16"/>
      <c r="B858" s="16"/>
      <c r="C858" s="16"/>
      <c r="D858" s="16"/>
      <c r="E858" s="16"/>
      <c r="F858" s="16"/>
      <c r="G858" s="16"/>
      <c r="H858" s="16"/>
      <c r="I858" s="16"/>
      <c r="J858" s="16"/>
      <c r="K858" s="16"/>
      <c r="L858" s="16"/>
      <c r="M858" s="16"/>
      <c r="N858" s="16"/>
      <c r="O858" s="16"/>
      <c r="P858" s="17"/>
      <c r="Q858" s="16"/>
      <c r="R858" s="16"/>
      <c r="S858" s="16"/>
      <c r="T858" s="16"/>
      <c r="U858" s="16"/>
      <c r="V858" s="16"/>
      <c r="W858" s="16"/>
      <c r="X858" s="16"/>
      <c r="Y858" s="16"/>
      <c r="Z858" s="16"/>
      <c r="AA858" s="16"/>
      <c r="AB858" s="16"/>
      <c r="AC858" s="16"/>
      <c r="AD858" s="16"/>
    </row>
    <row r="859" ht="14.25" customHeight="1">
      <c r="A859" s="16"/>
      <c r="B859" s="16"/>
      <c r="C859" s="16"/>
      <c r="D859" s="16"/>
      <c r="E859" s="16"/>
      <c r="F859" s="16"/>
      <c r="G859" s="16"/>
      <c r="H859" s="16"/>
      <c r="I859" s="16"/>
      <c r="J859" s="16"/>
      <c r="K859" s="16"/>
      <c r="L859" s="16"/>
      <c r="M859" s="16"/>
      <c r="N859" s="16"/>
      <c r="O859" s="16"/>
      <c r="P859" s="17"/>
      <c r="Q859" s="16"/>
      <c r="R859" s="16"/>
      <c r="S859" s="16"/>
      <c r="T859" s="16"/>
      <c r="U859" s="16"/>
      <c r="V859" s="16"/>
      <c r="W859" s="16"/>
      <c r="X859" s="16"/>
      <c r="Y859" s="16"/>
      <c r="Z859" s="16"/>
      <c r="AA859" s="16"/>
      <c r="AB859" s="16"/>
      <c r="AC859" s="16"/>
      <c r="AD859" s="16"/>
    </row>
    <row r="860" ht="14.25" customHeight="1">
      <c r="A860" s="16"/>
      <c r="B860" s="16"/>
      <c r="C860" s="16"/>
      <c r="D860" s="16"/>
      <c r="E860" s="16"/>
      <c r="F860" s="16"/>
      <c r="G860" s="16"/>
      <c r="H860" s="16"/>
      <c r="I860" s="16"/>
      <c r="J860" s="16"/>
      <c r="K860" s="16"/>
      <c r="L860" s="16"/>
      <c r="M860" s="16"/>
      <c r="N860" s="16"/>
      <c r="O860" s="16"/>
      <c r="P860" s="17"/>
      <c r="Q860" s="16"/>
      <c r="R860" s="16"/>
      <c r="S860" s="16"/>
      <c r="T860" s="16"/>
      <c r="U860" s="16"/>
      <c r="V860" s="16"/>
      <c r="W860" s="16"/>
      <c r="X860" s="16"/>
      <c r="Y860" s="16"/>
      <c r="Z860" s="16"/>
      <c r="AA860" s="16"/>
      <c r="AB860" s="16"/>
      <c r="AC860" s="16"/>
      <c r="AD860" s="16"/>
    </row>
    <row r="861" ht="14.25" customHeight="1">
      <c r="A861" s="16"/>
      <c r="B861" s="16"/>
      <c r="C861" s="16"/>
      <c r="D861" s="16"/>
      <c r="E861" s="16"/>
      <c r="F861" s="16"/>
      <c r="G861" s="16"/>
      <c r="H861" s="16"/>
      <c r="I861" s="16"/>
      <c r="J861" s="16"/>
      <c r="K861" s="16"/>
      <c r="L861" s="16"/>
      <c r="M861" s="16"/>
      <c r="N861" s="16"/>
      <c r="O861" s="16"/>
      <c r="P861" s="17"/>
      <c r="Q861" s="16"/>
      <c r="R861" s="16"/>
      <c r="S861" s="16"/>
      <c r="T861" s="16"/>
      <c r="U861" s="16"/>
      <c r="V861" s="16"/>
      <c r="W861" s="16"/>
      <c r="X861" s="16"/>
      <c r="Y861" s="16"/>
      <c r="Z861" s="16"/>
      <c r="AA861" s="16"/>
      <c r="AB861" s="16"/>
      <c r="AC861" s="16"/>
      <c r="AD861" s="16"/>
    </row>
    <row r="862" ht="14.25" customHeight="1">
      <c r="A862" s="16"/>
      <c r="B862" s="16"/>
      <c r="C862" s="16"/>
      <c r="D862" s="16"/>
      <c r="E862" s="16"/>
      <c r="F862" s="16"/>
      <c r="G862" s="16"/>
      <c r="H862" s="16"/>
      <c r="I862" s="16"/>
      <c r="J862" s="16"/>
      <c r="K862" s="16"/>
      <c r="L862" s="16"/>
      <c r="M862" s="16"/>
      <c r="N862" s="16"/>
      <c r="O862" s="16"/>
      <c r="P862" s="17"/>
      <c r="Q862" s="16"/>
      <c r="R862" s="16"/>
      <c r="S862" s="16"/>
      <c r="T862" s="16"/>
      <c r="U862" s="16"/>
      <c r="V862" s="16"/>
      <c r="W862" s="16"/>
      <c r="X862" s="16"/>
      <c r="Y862" s="16"/>
      <c r="Z862" s="16"/>
      <c r="AA862" s="16"/>
      <c r="AB862" s="16"/>
      <c r="AC862" s="16"/>
      <c r="AD862" s="16"/>
    </row>
    <row r="863" ht="14.25" customHeight="1">
      <c r="A863" s="16"/>
      <c r="B863" s="16"/>
      <c r="C863" s="16"/>
      <c r="D863" s="16"/>
      <c r="E863" s="16"/>
      <c r="F863" s="16"/>
      <c r="G863" s="16"/>
      <c r="H863" s="16"/>
      <c r="I863" s="16"/>
      <c r="J863" s="16"/>
      <c r="K863" s="16"/>
      <c r="L863" s="16"/>
      <c r="M863" s="16"/>
      <c r="N863" s="16"/>
      <c r="O863" s="16"/>
      <c r="P863" s="17"/>
      <c r="Q863" s="16"/>
      <c r="R863" s="16"/>
      <c r="S863" s="16"/>
      <c r="T863" s="16"/>
      <c r="U863" s="16"/>
      <c r="V863" s="16"/>
      <c r="W863" s="16"/>
      <c r="X863" s="16"/>
      <c r="Y863" s="16"/>
      <c r="Z863" s="16"/>
      <c r="AA863" s="16"/>
      <c r="AB863" s="16"/>
      <c r="AC863" s="16"/>
      <c r="AD863" s="16"/>
    </row>
    <row r="864" ht="14.25" customHeight="1">
      <c r="A864" s="16"/>
      <c r="B864" s="16"/>
      <c r="C864" s="16"/>
      <c r="D864" s="16"/>
      <c r="E864" s="16"/>
      <c r="F864" s="16"/>
      <c r="G864" s="16"/>
      <c r="H864" s="16"/>
      <c r="I864" s="16"/>
      <c r="J864" s="16"/>
      <c r="K864" s="16"/>
      <c r="L864" s="16"/>
      <c r="M864" s="16"/>
      <c r="N864" s="16"/>
      <c r="O864" s="16"/>
      <c r="P864" s="17"/>
      <c r="Q864" s="16"/>
      <c r="R864" s="16"/>
      <c r="S864" s="16"/>
      <c r="T864" s="16"/>
      <c r="U864" s="16"/>
      <c r="V864" s="16"/>
      <c r="W864" s="16"/>
      <c r="X864" s="16"/>
      <c r="Y864" s="16"/>
      <c r="Z864" s="16"/>
      <c r="AA864" s="16"/>
      <c r="AB864" s="16"/>
      <c r="AC864" s="16"/>
      <c r="AD864" s="16"/>
    </row>
    <row r="865" ht="14.25" customHeight="1">
      <c r="A865" s="16"/>
      <c r="B865" s="16"/>
      <c r="C865" s="16"/>
      <c r="D865" s="16"/>
      <c r="E865" s="16"/>
      <c r="F865" s="16"/>
      <c r="G865" s="16"/>
      <c r="H865" s="16"/>
      <c r="I865" s="16"/>
      <c r="J865" s="16"/>
      <c r="K865" s="16"/>
      <c r="L865" s="16"/>
      <c r="M865" s="16"/>
      <c r="N865" s="16"/>
      <c r="O865" s="16"/>
      <c r="P865" s="17"/>
      <c r="Q865" s="16"/>
      <c r="R865" s="16"/>
      <c r="S865" s="16"/>
      <c r="T865" s="16"/>
      <c r="U865" s="16"/>
      <c r="V865" s="16"/>
      <c r="W865" s="16"/>
      <c r="X865" s="16"/>
      <c r="Y865" s="16"/>
      <c r="Z865" s="16"/>
      <c r="AA865" s="16"/>
      <c r="AB865" s="16"/>
      <c r="AC865" s="16"/>
      <c r="AD865" s="16"/>
    </row>
    <row r="866" ht="14.25" customHeight="1">
      <c r="A866" s="16"/>
      <c r="B866" s="16"/>
      <c r="C866" s="16"/>
      <c r="D866" s="16"/>
      <c r="E866" s="16"/>
      <c r="F866" s="16"/>
      <c r="G866" s="16"/>
      <c r="H866" s="16"/>
      <c r="I866" s="16"/>
      <c r="J866" s="16"/>
      <c r="K866" s="16"/>
      <c r="L866" s="16"/>
      <c r="M866" s="16"/>
      <c r="N866" s="16"/>
      <c r="O866" s="16"/>
      <c r="P866" s="17"/>
      <c r="Q866" s="16"/>
      <c r="R866" s="16"/>
      <c r="S866" s="16"/>
      <c r="T866" s="16"/>
      <c r="U866" s="16"/>
      <c r="V866" s="16"/>
      <c r="W866" s="16"/>
      <c r="X866" s="16"/>
      <c r="Y866" s="16"/>
      <c r="Z866" s="16"/>
      <c r="AA866" s="16"/>
      <c r="AB866" s="16"/>
      <c r="AC866" s="16"/>
      <c r="AD866" s="16"/>
    </row>
    <row r="867" ht="14.25" customHeight="1">
      <c r="A867" s="16"/>
      <c r="B867" s="16"/>
      <c r="C867" s="16"/>
      <c r="D867" s="16"/>
      <c r="E867" s="16"/>
      <c r="F867" s="16"/>
      <c r="G867" s="16"/>
      <c r="H867" s="16"/>
      <c r="I867" s="16"/>
      <c r="J867" s="16"/>
      <c r="K867" s="16"/>
      <c r="L867" s="16"/>
      <c r="M867" s="16"/>
      <c r="N867" s="16"/>
      <c r="O867" s="16"/>
      <c r="P867" s="17"/>
      <c r="Q867" s="16"/>
      <c r="R867" s="16"/>
      <c r="S867" s="16"/>
      <c r="T867" s="16"/>
      <c r="U867" s="16"/>
      <c r="V867" s="16"/>
      <c r="W867" s="16"/>
      <c r="X867" s="16"/>
      <c r="Y867" s="16"/>
      <c r="Z867" s="16"/>
      <c r="AA867" s="16"/>
      <c r="AB867" s="16"/>
      <c r="AC867" s="16"/>
      <c r="AD867" s="16"/>
    </row>
    <row r="868" ht="14.25" customHeight="1">
      <c r="A868" s="16"/>
      <c r="B868" s="16"/>
      <c r="C868" s="16"/>
      <c r="D868" s="16"/>
      <c r="E868" s="16"/>
      <c r="F868" s="16"/>
      <c r="G868" s="16"/>
      <c r="H868" s="16"/>
      <c r="I868" s="16"/>
      <c r="J868" s="16"/>
      <c r="K868" s="16"/>
      <c r="L868" s="16"/>
      <c r="M868" s="16"/>
      <c r="N868" s="16"/>
      <c r="O868" s="16"/>
      <c r="P868" s="17"/>
      <c r="Q868" s="16"/>
      <c r="R868" s="16"/>
      <c r="S868" s="16"/>
      <c r="T868" s="16"/>
      <c r="U868" s="16"/>
      <c r="V868" s="16"/>
      <c r="W868" s="16"/>
      <c r="X868" s="16"/>
      <c r="Y868" s="16"/>
      <c r="Z868" s="16"/>
      <c r="AA868" s="16"/>
      <c r="AB868" s="16"/>
      <c r="AC868" s="16"/>
      <c r="AD868" s="16"/>
    </row>
    <row r="869" ht="14.25" customHeight="1">
      <c r="A869" s="16"/>
      <c r="B869" s="16"/>
      <c r="C869" s="16"/>
      <c r="D869" s="16"/>
      <c r="E869" s="16"/>
      <c r="F869" s="16"/>
      <c r="G869" s="16"/>
      <c r="H869" s="16"/>
      <c r="I869" s="16"/>
      <c r="J869" s="16"/>
      <c r="K869" s="16"/>
      <c r="L869" s="16"/>
      <c r="M869" s="16"/>
      <c r="N869" s="16"/>
      <c r="O869" s="16"/>
      <c r="P869" s="17"/>
      <c r="Q869" s="16"/>
      <c r="R869" s="16"/>
      <c r="S869" s="16"/>
      <c r="T869" s="16"/>
      <c r="U869" s="16"/>
      <c r="V869" s="16"/>
      <c r="W869" s="16"/>
      <c r="X869" s="16"/>
      <c r="Y869" s="16"/>
      <c r="Z869" s="16"/>
      <c r="AA869" s="16"/>
      <c r="AB869" s="16"/>
      <c r="AC869" s="16"/>
      <c r="AD869" s="16"/>
    </row>
    <row r="870" ht="14.25" customHeight="1">
      <c r="A870" s="16"/>
      <c r="B870" s="16"/>
      <c r="C870" s="16"/>
      <c r="D870" s="16"/>
      <c r="E870" s="16"/>
      <c r="F870" s="16"/>
      <c r="G870" s="16"/>
      <c r="H870" s="16"/>
      <c r="I870" s="16"/>
      <c r="J870" s="16"/>
      <c r="K870" s="16"/>
      <c r="L870" s="16"/>
      <c r="M870" s="16"/>
      <c r="N870" s="16"/>
      <c r="O870" s="16"/>
      <c r="P870" s="17"/>
      <c r="Q870" s="16"/>
      <c r="R870" s="16"/>
      <c r="S870" s="16"/>
      <c r="T870" s="16"/>
      <c r="U870" s="16"/>
      <c r="V870" s="16"/>
      <c r="W870" s="16"/>
      <c r="X870" s="16"/>
      <c r="Y870" s="16"/>
      <c r="Z870" s="16"/>
      <c r="AA870" s="16"/>
      <c r="AB870" s="16"/>
      <c r="AC870" s="16"/>
      <c r="AD870" s="16"/>
    </row>
    <row r="871" ht="14.25" customHeight="1">
      <c r="A871" s="16"/>
      <c r="B871" s="16"/>
      <c r="C871" s="16"/>
      <c r="D871" s="16"/>
      <c r="E871" s="16"/>
      <c r="F871" s="16"/>
      <c r="G871" s="16"/>
      <c r="H871" s="16"/>
      <c r="I871" s="16"/>
      <c r="J871" s="16"/>
      <c r="K871" s="16"/>
      <c r="L871" s="16"/>
      <c r="M871" s="16"/>
      <c r="N871" s="16"/>
      <c r="O871" s="16"/>
      <c r="P871" s="17"/>
      <c r="Q871" s="16"/>
      <c r="R871" s="16"/>
      <c r="S871" s="16"/>
      <c r="T871" s="16"/>
      <c r="U871" s="16"/>
      <c r="V871" s="16"/>
      <c r="W871" s="16"/>
      <c r="X871" s="16"/>
      <c r="Y871" s="16"/>
      <c r="Z871" s="16"/>
      <c r="AA871" s="16"/>
      <c r="AB871" s="16"/>
      <c r="AC871" s="16"/>
      <c r="AD871" s="16"/>
    </row>
    <row r="872" ht="14.25" customHeight="1">
      <c r="A872" s="16"/>
      <c r="B872" s="16"/>
      <c r="C872" s="16"/>
      <c r="D872" s="16"/>
      <c r="E872" s="16"/>
      <c r="F872" s="16"/>
      <c r="G872" s="16"/>
      <c r="H872" s="16"/>
      <c r="I872" s="16"/>
      <c r="J872" s="16"/>
      <c r="K872" s="16"/>
      <c r="L872" s="16"/>
      <c r="M872" s="16"/>
      <c r="N872" s="16"/>
      <c r="O872" s="16"/>
      <c r="P872" s="17"/>
      <c r="Q872" s="16"/>
      <c r="R872" s="16"/>
      <c r="S872" s="16"/>
      <c r="T872" s="16"/>
      <c r="U872" s="16"/>
      <c r="V872" s="16"/>
      <c r="W872" s="16"/>
      <c r="X872" s="16"/>
      <c r="Y872" s="16"/>
      <c r="Z872" s="16"/>
      <c r="AA872" s="16"/>
      <c r="AB872" s="16"/>
      <c r="AC872" s="16"/>
      <c r="AD872" s="16"/>
    </row>
    <row r="873" ht="14.25" customHeight="1">
      <c r="A873" s="16"/>
      <c r="B873" s="16"/>
      <c r="C873" s="16"/>
      <c r="D873" s="16"/>
      <c r="E873" s="16"/>
      <c r="F873" s="16"/>
      <c r="G873" s="16"/>
      <c r="H873" s="16"/>
      <c r="I873" s="16"/>
      <c r="J873" s="16"/>
      <c r="K873" s="16"/>
      <c r="L873" s="16"/>
      <c r="M873" s="16"/>
      <c r="N873" s="16"/>
      <c r="O873" s="16"/>
      <c r="P873" s="17"/>
      <c r="Q873" s="16"/>
      <c r="R873" s="16"/>
      <c r="S873" s="16"/>
      <c r="T873" s="16"/>
      <c r="U873" s="16"/>
      <c r="V873" s="16"/>
      <c r="W873" s="16"/>
      <c r="X873" s="16"/>
      <c r="Y873" s="16"/>
      <c r="Z873" s="16"/>
      <c r="AA873" s="16"/>
      <c r="AB873" s="16"/>
      <c r="AC873" s="16"/>
      <c r="AD873" s="16"/>
    </row>
    <row r="874" ht="14.25" customHeight="1">
      <c r="A874" s="16"/>
      <c r="B874" s="16"/>
      <c r="C874" s="16"/>
      <c r="D874" s="16"/>
      <c r="E874" s="16"/>
      <c r="F874" s="16"/>
      <c r="G874" s="16"/>
      <c r="H874" s="16"/>
      <c r="I874" s="16"/>
      <c r="J874" s="16"/>
      <c r="K874" s="16"/>
      <c r="L874" s="16"/>
      <c r="M874" s="16"/>
      <c r="N874" s="16"/>
      <c r="O874" s="16"/>
      <c r="P874" s="17"/>
      <c r="Q874" s="16"/>
      <c r="R874" s="16"/>
      <c r="S874" s="16"/>
      <c r="T874" s="16"/>
      <c r="U874" s="16"/>
      <c r="V874" s="16"/>
      <c r="W874" s="16"/>
      <c r="X874" s="16"/>
      <c r="Y874" s="16"/>
      <c r="Z874" s="16"/>
      <c r="AA874" s="16"/>
      <c r="AB874" s="16"/>
      <c r="AC874" s="16"/>
      <c r="AD874" s="16"/>
    </row>
    <row r="875" ht="14.25" customHeight="1">
      <c r="A875" s="16"/>
      <c r="B875" s="16"/>
      <c r="C875" s="16"/>
      <c r="D875" s="16"/>
      <c r="E875" s="16"/>
      <c r="F875" s="16"/>
      <c r="G875" s="16"/>
      <c r="H875" s="16"/>
      <c r="I875" s="16"/>
      <c r="J875" s="16"/>
      <c r="K875" s="16"/>
      <c r="L875" s="16"/>
      <c r="M875" s="16"/>
      <c r="N875" s="16"/>
      <c r="O875" s="16"/>
      <c r="P875" s="17"/>
      <c r="Q875" s="16"/>
      <c r="R875" s="16"/>
      <c r="S875" s="16"/>
      <c r="T875" s="16"/>
      <c r="U875" s="16"/>
      <c r="V875" s="16"/>
      <c r="W875" s="16"/>
      <c r="X875" s="16"/>
      <c r="Y875" s="16"/>
      <c r="Z875" s="16"/>
      <c r="AA875" s="16"/>
      <c r="AB875" s="16"/>
      <c r="AC875" s="16"/>
      <c r="AD875" s="16"/>
    </row>
    <row r="876" ht="14.25" customHeight="1">
      <c r="A876" s="16"/>
      <c r="B876" s="16"/>
      <c r="C876" s="16"/>
      <c r="D876" s="16"/>
      <c r="E876" s="16"/>
      <c r="F876" s="16"/>
      <c r="G876" s="16"/>
      <c r="H876" s="16"/>
      <c r="I876" s="16"/>
      <c r="J876" s="16"/>
      <c r="K876" s="16"/>
      <c r="L876" s="16"/>
      <c r="M876" s="16"/>
      <c r="N876" s="16"/>
      <c r="O876" s="16"/>
      <c r="P876" s="17"/>
      <c r="Q876" s="16"/>
      <c r="R876" s="16"/>
      <c r="S876" s="16"/>
      <c r="T876" s="16"/>
      <c r="U876" s="16"/>
      <c r="V876" s="16"/>
      <c r="W876" s="16"/>
      <c r="X876" s="16"/>
      <c r="Y876" s="16"/>
      <c r="Z876" s="16"/>
      <c r="AA876" s="16"/>
      <c r="AB876" s="16"/>
      <c r="AC876" s="16"/>
      <c r="AD876" s="16"/>
    </row>
    <row r="877" ht="14.25" customHeight="1">
      <c r="A877" s="16"/>
      <c r="B877" s="16"/>
      <c r="C877" s="16"/>
      <c r="D877" s="16"/>
      <c r="E877" s="16"/>
      <c r="F877" s="16"/>
      <c r="G877" s="16"/>
      <c r="H877" s="16"/>
      <c r="I877" s="16"/>
      <c r="J877" s="16"/>
      <c r="K877" s="16"/>
      <c r="L877" s="16"/>
      <c r="M877" s="16"/>
      <c r="N877" s="16"/>
      <c r="O877" s="16"/>
      <c r="P877" s="17"/>
      <c r="Q877" s="16"/>
      <c r="R877" s="16"/>
      <c r="S877" s="16"/>
      <c r="T877" s="16"/>
      <c r="U877" s="16"/>
      <c r="V877" s="16"/>
      <c r="W877" s="16"/>
      <c r="X877" s="16"/>
      <c r="Y877" s="16"/>
      <c r="Z877" s="16"/>
      <c r="AA877" s="16"/>
      <c r="AB877" s="16"/>
      <c r="AC877" s="16"/>
      <c r="AD877" s="16"/>
    </row>
    <row r="878" ht="14.25" customHeight="1">
      <c r="A878" s="16"/>
      <c r="B878" s="16"/>
      <c r="C878" s="16"/>
      <c r="D878" s="16"/>
      <c r="E878" s="16"/>
      <c r="F878" s="16"/>
      <c r="G878" s="16"/>
      <c r="H878" s="16"/>
      <c r="I878" s="16"/>
      <c r="J878" s="16"/>
      <c r="K878" s="16"/>
      <c r="L878" s="16"/>
      <c r="M878" s="16"/>
      <c r="N878" s="16"/>
      <c r="O878" s="16"/>
      <c r="P878" s="17"/>
      <c r="Q878" s="16"/>
      <c r="R878" s="16"/>
      <c r="S878" s="16"/>
      <c r="T878" s="16"/>
      <c r="U878" s="16"/>
      <c r="V878" s="16"/>
      <c r="W878" s="16"/>
      <c r="X878" s="16"/>
      <c r="Y878" s="16"/>
      <c r="Z878" s="16"/>
      <c r="AA878" s="16"/>
      <c r="AB878" s="16"/>
      <c r="AC878" s="16"/>
      <c r="AD878" s="16"/>
    </row>
    <row r="879" ht="14.25" customHeight="1">
      <c r="A879" s="16"/>
      <c r="B879" s="16"/>
      <c r="C879" s="16"/>
      <c r="D879" s="16"/>
      <c r="E879" s="16"/>
      <c r="F879" s="16"/>
      <c r="G879" s="16"/>
      <c r="H879" s="16"/>
      <c r="I879" s="16"/>
      <c r="J879" s="16"/>
      <c r="K879" s="16"/>
      <c r="L879" s="16"/>
      <c r="M879" s="16"/>
      <c r="N879" s="16"/>
      <c r="O879" s="16"/>
      <c r="P879" s="17"/>
      <c r="Q879" s="16"/>
      <c r="R879" s="16"/>
      <c r="S879" s="16"/>
      <c r="T879" s="16"/>
      <c r="U879" s="16"/>
      <c r="V879" s="16"/>
      <c r="W879" s="16"/>
      <c r="X879" s="16"/>
      <c r="Y879" s="16"/>
      <c r="Z879" s="16"/>
      <c r="AA879" s="16"/>
      <c r="AB879" s="16"/>
      <c r="AC879" s="16"/>
      <c r="AD879" s="16"/>
    </row>
    <row r="880" ht="14.25" customHeight="1">
      <c r="A880" s="16"/>
      <c r="B880" s="16"/>
      <c r="C880" s="16"/>
      <c r="D880" s="16"/>
      <c r="E880" s="16"/>
      <c r="F880" s="16"/>
      <c r="G880" s="16"/>
      <c r="H880" s="16"/>
      <c r="I880" s="16"/>
      <c r="J880" s="16"/>
      <c r="K880" s="16"/>
      <c r="L880" s="16"/>
      <c r="M880" s="16"/>
      <c r="N880" s="16"/>
      <c r="O880" s="16"/>
      <c r="P880" s="17"/>
      <c r="Q880" s="16"/>
      <c r="R880" s="16"/>
      <c r="S880" s="16"/>
      <c r="T880" s="16"/>
      <c r="U880" s="16"/>
      <c r="V880" s="16"/>
      <c r="W880" s="16"/>
      <c r="X880" s="16"/>
      <c r="Y880" s="16"/>
      <c r="Z880" s="16"/>
      <c r="AA880" s="16"/>
      <c r="AB880" s="16"/>
      <c r="AC880" s="16"/>
      <c r="AD880" s="16"/>
    </row>
    <row r="881" ht="14.25" customHeight="1">
      <c r="A881" s="16"/>
      <c r="B881" s="16"/>
      <c r="C881" s="16"/>
      <c r="D881" s="16"/>
      <c r="E881" s="16"/>
      <c r="F881" s="16"/>
      <c r="G881" s="16"/>
      <c r="H881" s="16"/>
      <c r="I881" s="16"/>
      <c r="J881" s="16"/>
      <c r="K881" s="16"/>
      <c r="L881" s="16"/>
      <c r="M881" s="16"/>
      <c r="N881" s="16"/>
      <c r="O881" s="16"/>
      <c r="P881" s="17"/>
      <c r="Q881" s="16"/>
      <c r="R881" s="16"/>
      <c r="S881" s="16"/>
      <c r="T881" s="16"/>
      <c r="U881" s="16"/>
      <c r="V881" s="16"/>
      <c r="W881" s="16"/>
      <c r="X881" s="16"/>
      <c r="Y881" s="16"/>
      <c r="Z881" s="16"/>
      <c r="AA881" s="16"/>
      <c r="AB881" s="16"/>
      <c r="AC881" s="16"/>
      <c r="AD881" s="16"/>
    </row>
    <row r="882" ht="14.25" customHeight="1">
      <c r="A882" s="16"/>
      <c r="B882" s="16"/>
      <c r="C882" s="16"/>
      <c r="D882" s="16"/>
      <c r="E882" s="16"/>
      <c r="F882" s="16"/>
      <c r="G882" s="16"/>
      <c r="H882" s="16"/>
      <c r="I882" s="16"/>
      <c r="J882" s="16"/>
      <c r="K882" s="16"/>
      <c r="L882" s="16"/>
      <c r="M882" s="16"/>
      <c r="N882" s="16"/>
      <c r="O882" s="16"/>
      <c r="P882" s="17"/>
      <c r="Q882" s="16"/>
      <c r="R882" s="16"/>
      <c r="S882" s="16"/>
      <c r="T882" s="16"/>
      <c r="U882" s="16"/>
      <c r="V882" s="16"/>
      <c r="W882" s="16"/>
      <c r="X882" s="16"/>
      <c r="Y882" s="16"/>
      <c r="Z882" s="16"/>
      <c r="AA882" s="16"/>
      <c r="AB882" s="16"/>
      <c r="AC882" s="16"/>
      <c r="AD882" s="16"/>
    </row>
    <row r="883" ht="14.25" customHeight="1">
      <c r="A883" s="16"/>
      <c r="B883" s="16"/>
      <c r="C883" s="16"/>
      <c r="D883" s="16"/>
      <c r="E883" s="16"/>
      <c r="F883" s="16"/>
      <c r="G883" s="16"/>
      <c r="H883" s="16"/>
      <c r="I883" s="16"/>
      <c r="J883" s="16"/>
      <c r="K883" s="16"/>
      <c r="L883" s="16"/>
      <c r="M883" s="16"/>
      <c r="N883" s="16"/>
      <c r="O883" s="16"/>
      <c r="P883" s="17"/>
      <c r="Q883" s="16"/>
      <c r="R883" s="16"/>
      <c r="S883" s="16"/>
      <c r="T883" s="16"/>
      <c r="U883" s="16"/>
      <c r="V883" s="16"/>
      <c r="W883" s="16"/>
      <c r="X883" s="16"/>
      <c r="Y883" s="16"/>
      <c r="Z883" s="16"/>
      <c r="AA883" s="16"/>
      <c r="AB883" s="16"/>
      <c r="AC883" s="16"/>
      <c r="AD883" s="16"/>
    </row>
    <row r="884" ht="14.25" customHeight="1">
      <c r="A884" s="16"/>
      <c r="B884" s="16"/>
      <c r="C884" s="16"/>
      <c r="D884" s="16"/>
      <c r="E884" s="16"/>
      <c r="F884" s="16"/>
      <c r="G884" s="16"/>
      <c r="H884" s="16"/>
      <c r="I884" s="16"/>
      <c r="J884" s="16"/>
      <c r="K884" s="16"/>
      <c r="L884" s="16"/>
      <c r="M884" s="16"/>
      <c r="N884" s="16"/>
      <c r="O884" s="16"/>
      <c r="P884" s="17"/>
      <c r="Q884" s="16"/>
      <c r="R884" s="16"/>
      <c r="S884" s="16"/>
      <c r="T884" s="16"/>
      <c r="U884" s="16"/>
      <c r="V884" s="16"/>
      <c r="W884" s="16"/>
      <c r="X884" s="16"/>
      <c r="Y884" s="16"/>
      <c r="Z884" s="16"/>
      <c r="AA884" s="16"/>
      <c r="AB884" s="16"/>
      <c r="AC884" s="16"/>
      <c r="AD884" s="16"/>
    </row>
    <row r="885" ht="14.25" customHeight="1">
      <c r="A885" s="16"/>
      <c r="B885" s="16"/>
      <c r="C885" s="16"/>
      <c r="D885" s="16"/>
      <c r="E885" s="16"/>
      <c r="F885" s="16"/>
      <c r="G885" s="16"/>
      <c r="H885" s="16"/>
      <c r="I885" s="16"/>
      <c r="J885" s="16"/>
      <c r="K885" s="16"/>
      <c r="L885" s="16"/>
      <c r="M885" s="16"/>
      <c r="N885" s="16"/>
      <c r="O885" s="16"/>
      <c r="P885" s="17"/>
      <c r="Q885" s="16"/>
      <c r="R885" s="16"/>
      <c r="S885" s="16"/>
      <c r="T885" s="16"/>
      <c r="U885" s="16"/>
      <c r="V885" s="16"/>
      <c r="W885" s="16"/>
      <c r="X885" s="16"/>
      <c r="Y885" s="16"/>
      <c r="Z885" s="16"/>
      <c r="AA885" s="16"/>
      <c r="AB885" s="16"/>
      <c r="AC885" s="16"/>
      <c r="AD885" s="16"/>
    </row>
    <row r="886" ht="14.25" customHeight="1">
      <c r="A886" s="16"/>
      <c r="B886" s="16"/>
      <c r="C886" s="16"/>
      <c r="D886" s="16"/>
      <c r="E886" s="16"/>
      <c r="F886" s="16"/>
      <c r="G886" s="16"/>
      <c r="H886" s="16"/>
      <c r="I886" s="16"/>
      <c r="J886" s="16"/>
      <c r="K886" s="16"/>
      <c r="L886" s="16"/>
      <c r="M886" s="16"/>
      <c r="N886" s="16"/>
      <c r="O886" s="16"/>
      <c r="P886" s="17"/>
      <c r="Q886" s="16"/>
      <c r="R886" s="16"/>
      <c r="S886" s="16"/>
      <c r="T886" s="16"/>
      <c r="U886" s="16"/>
      <c r="V886" s="16"/>
      <c r="W886" s="16"/>
      <c r="X886" s="16"/>
      <c r="Y886" s="16"/>
      <c r="Z886" s="16"/>
      <c r="AA886" s="16"/>
      <c r="AB886" s="16"/>
      <c r="AC886" s="16"/>
      <c r="AD886" s="16"/>
    </row>
    <row r="887" ht="14.25" customHeight="1">
      <c r="A887" s="16"/>
      <c r="B887" s="16"/>
      <c r="C887" s="16"/>
      <c r="D887" s="16"/>
      <c r="E887" s="16"/>
      <c r="F887" s="16"/>
      <c r="G887" s="16"/>
      <c r="H887" s="16"/>
      <c r="I887" s="16"/>
      <c r="J887" s="16"/>
      <c r="K887" s="16"/>
      <c r="L887" s="16"/>
      <c r="M887" s="16"/>
      <c r="N887" s="16"/>
      <c r="O887" s="16"/>
      <c r="P887" s="17"/>
      <c r="Q887" s="16"/>
      <c r="R887" s="16"/>
      <c r="S887" s="16"/>
      <c r="T887" s="16"/>
      <c r="U887" s="16"/>
      <c r="V887" s="16"/>
      <c r="W887" s="16"/>
      <c r="X887" s="16"/>
      <c r="Y887" s="16"/>
      <c r="Z887" s="16"/>
      <c r="AA887" s="16"/>
      <c r="AB887" s="16"/>
      <c r="AC887" s="16"/>
      <c r="AD887" s="16"/>
    </row>
    <row r="888" ht="14.25" customHeight="1">
      <c r="A888" s="16"/>
      <c r="B888" s="16"/>
      <c r="C888" s="16"/>
      <c r="D888" s="16"/>
      <c r="E888" s="16"/>
      <c r="F888" s="16"/>
      <c r="G888" s="16"/>
      <c r="H888" s="16"/>
      <c r="I888" s="16"/>
      <c r="J888" s="16"/>
      <c r="K888" s="16"/>
      <c r="L888" s="16"/>
      <c r="M888" s="16"/>
      <c r="N888" s="16"/>
      <c r="O888" s="16"/>
      <c r="P888" s="17"/>
      <c r="Q888" s="16"/>
      <c r="R888" s="16"/>
      <c r="S888" s="16"/>
      <c r="T888" s="16"/>
      <c r="U888" s="16"/>
      <c r="V888" s="16"/>
      <c r="W888" s="16"/>
      <c r="X888" s="16"/>
      <c r="Y888" s="16"/>
      <c r="Z888" s="16"/>
      <c r="AA888" s="16"/>
      <c r="AB888" s="16"/>
      <c r="AC888" s="16"/>
      <c r="AD888" s="16"/>
    </row>
    <row r="889" ht="14.25" customHeight="1">
      <c r="A889" s="16"/>
      <c r="B889" s="16"/>
      <c r="C889" s="16"/>
      <c r="D889" s="16"/>
      <c r="E889" s="16"/>
      <c r="F889" s="16"/>
      <c r="G889" s="16"/>
      <c r="H889" s="16"/>
      <c r="I889" s="16"/>
      <c r="J889" s="16"/>
      <c r="K889" s="16"/>
      <c r="L889" s="16"/>
      <c r="M889" s="16"/>
      <c r="N889" s="16"/>
      <c r="O889" s="16"/>
      <c r="P889" s="17"/>
      <c r="Q889" s="16"/>
      <c r="R889" s="16"/>
      <c r="S889" s="16"/>
      <c r="T889" s="16"/>
      <c r="U889" s="16"/>
      <c r="V889" s="16"/>
      <c r="W889" s="16"/>
      <c r="X889" s="16"/>
      <c r="Y889" s="16"/>
      <c r="Z889" s="16"/>
      <c r="AA889" s="16"/>
      <c r="AB889" s="16"/>
      <c r="AC889" s="16"/>
      <c r="AD889" s="16"/>
    </row>
    <row r="890" ht="14.25" customHeight="1">
      <c r="A890" s="16"/>
      <c r="B890" s="16"/>
      <c r="C890" s="16"/>
      <c r="D890" s="16"/>
      <c r="E890" s="16"/>
      <c r="F890" s="16"/>
      <c r="G890" s="16"/>
      <c r="H890" s="16"/>
      <c r="I890" s="16"/>
      <c r="J890" s="16"/>
      <c r="K890" s="16"/>
      <c r="L890" s="16"/>
      <c r="M890" s="16"/>
      <c r="N890" s="16"/>
      <c r="O890" s="16"/>
      <c r="P890" s="17"/>
      <c r="Q890" s="16"/>
      <c r="R890" s="16"/>
      <c r="S890" s="16"/>
      <c r="T890" s="16"/>
      <c r="U890" s="16"/>
      <c r="V890" s="16"/>
      <c r="W890" s="16"/>
      <c r="X890" s="16"/>
      <c r="Y890" s="16"/>
      <c r="Z890" s="16"/>
      <c r="AA890" s="16"/>
      <c r="AB890" s="16"/>
      <c r="AC890" s="16"/>
      <c r="AD890" s="16"/>
    </row>
    <row r="891" ht="14.25" customHeight="1">
      <c r="A891" s="16"/>
      <c r="B891" s="16"/>
      <c r="C891" s="16"/>
      <c r="D891" s="16"/>
      <c r="E891" s="16"/>
      <c r="F891" s="16"/>
      <c r="G891" s="16"/>
      <c r="H891" s="16"/>
      <c r="I891" s="16"/>
      <c r="J891" s="16"/>
      <c r="K891" s="16"/>
      <c r="L891" s="16"/>
      <c r="M891" s="16"/>
      <c r="N891" s="16"/>
      <c r="O891" s="16"/>
      <c r="P891" s="17"/>
      <c r="Q891" s="16"/>
      <c r="R891" s="16"/>
      <c r="S891" s="16"/>
      <c r="T891" s="16"/>
      <c r="U891" s="16"/>
      <c r="V891" s="16"/>
      <c r="W891" s="16"/>
      <c r="X891" s="16"/>
      <c r="Y891" s="16"/>
      <c r="Z891" s="16"/>
      <c r="AA891" s="16"/>
      <c r="AB891" s="16"/>
      <c r="AC891" s="16"/>
      <c r="AD891" s="16"/>
    </row>
    <row r="892" ht="14.25" customHeight="1">
      <c r="A892" s="16"/>
      <c r="B892" s="16"/>
      <c r="C892" s="16"/>
      <c r="D892" s="16"/>
      <c r="E892" s="16"/>
      <c r="F892" s="16"/>
      <c r="G892" s="16"/>
      <c r="H892" s="16"/>
      <c r="I892" s="16"/>
      <c r="J892" s="16"/>
      <c r="K892" s="16"/>
      <c r="L892" s="16"/>
      <c r="M892" s="16"/>
      <c r="N892" s="16"/>
      <c r="O892" s="16"/>
      <c r="P892" s="17"/>
      <c r="Q892" s="16"/>
      <c r="R892" s="16"/>
      <c r="S892" s="16"/>
      <c r="T892" s="16"/>
      <c r="U892" s="16"/>
      <c r="V892" s="16"/>
      <c r="W892" s="16"/>
      <c r="X892" s="16"/>
      <c r="Y892" s="16"/>
      <c r="Z892" s="16"/>
      <c r="AA892" s="16"/>
      <c r="AB892" s="16"/>
      <c r="AC892" s="16"/>
      <c r="AD892" s="16"/>
    </row>
    <row r="893" ht="14.25" customHeight="1">
      <c r="A893" s="16"/>
      <c r="B893" s="16"/>
      <c r="C893" s="16"/>
      <c r="D893" s="16"/>
      <c r="E893" s="16"/>
      <c r="F893" s="16"/>
      <c r="G893" s="16"/>
      <c r="H893" s="16"/>
      <c r="I893" s="16"/>
      <c r="J893" s="16"/>
      <c r="K893" s="16"/>
      <c r="L893" s="16"/>
      <c r="M893" s="16"/>
      <c r="N893" s="16"/>
      <c r="O893" s="16"/>
      <c r="P893" s="17"/>
      <c r="Q893" s="16"/>
      <c r="R893" s="16"/>
      <c r="S893" s="16"/>
      <c r="T893" s="16"/>
      <c r="U893" s="16"/>
      <c r="V893" s="16"/>
      <c r="W893" s="16"/>
      <c r="X893" s="16"/>
      <c r="Y893" s="16"/>
      <c r="Z893" s="16"/>
      <c r="AA893" s="16"/>
      <c r="AB893" s="16"/>
      <c r="AC893" s="16"/>
      <c r="AD893" s="16"/>
    </row>
    <row r="894" ht="14.25" customHeight="1">
      <c r="A894" s="16"/>
      <c r="B894" s="16"/>
      <c r="C894" s="16"/>
      <c r="D894" s="16"/>
      <c r="E894" s="16"/>
      <c r="F894" s="16"/>
      <c r="G894" s="16"/>
      <c r="H894" s="16"/>
      <c r="I894" s="16"/>
      <c r="J894" s="16"/>
      <c r="K894" s="16"/>
      <c r="L894" s="16"/>
      <c r="M894" s="16"/>
      <c r="N894" s="16"/>
      <c r="O894" s="16"/>
      <c r="P894" s="17"/>
      <c r="Q894" s="16"/>
      <c r="R894" s="16"/>
      <c r="S894" s="16"/>
      <c r="T894" s="16"/>
      <c r="U894" s="16"/>
      <c r="V894" s="16"/>
      <c r="W894" s="16"/>
      <c r="X894" s="16"/>
      <c r="Y894" s="16"/>
      <c r="Z894" s="16"/>
      <c r="AA894" s="16"/>
      <c r="AB894" s="16"/>
      <c r="AC894" s="16"/>
      <c r="AD894" s="16"/>
    </row>
    <row r="895" ht="14.25" customHeight="1">
      <c r="A895" s="16"/>
      <c r="B895" s="16"/>
      <c r="C895" s="16"/>
      <c r="D895" s="16"/>
      <c r="E895" s="16"/>
      <c r="F895" s="16"/>
      <c r="G895" s="16"/>
      <c r="H895" s="16"/>
      <c r="I895" s="16"/>
      <c r="J895" s="16"/>
      <c r="K895" s="16"/>
      <c r="L895" s="16"/>
      <c r="M895" s="16"/>
      <c r="N895" s="16"/>
      <c r="O895" s="16"/>
      <c r="P895" s="17"/>
      <c r="Q895" s="16"/>
      <c r="R895" s="16"/>
      <c r="S895" s="16"/>
      <c r="T895" s="16"/>
      <c r="U895" s="16"/>
      <c r="V895" s="16"/>
      <c r="W895" s="16"/>
      <c r="X895" s="16"/>
      <c r="Y895" s="16"/>
      <c r="Z895" s="16"/>
      <c r="AA895" s="16"/>
      <c r="AB895" s="16"/>
      <c r="AC895" s="16"/>
      <c r="AD895" s="16"/>
    </row>
    <row r="896" ht="14.25" customHeight="1">
      <c r="A896" s="16"/>
      <c r="B896" s="16"/>
      <c r="C896" s="16"/>
      <c r="D896" s="16"/>
      <c r="E896" s="16"/>
      <c r="F896" s="16"/>
      <c r="G896" s="16"/>
      <c r="H896" s="16"/>
      <c r="I896" s="16"/>
      <c r="J896" s="16"/>
      <c r="K896" s="16"/>
      <c r="L896" s="16"/>
      <c r="M896" s="16"/>
      <c r="N896" s="16"/>
      <c r="O896" s="16"/>
      <c r="P896" s="17"/>
      <c r="Q896" s="16"/>
      <c r="R896" s="16"/>
      <c r="S896" s="16"/>
      <c r="T896" s="16"/>
      <c r="U896" s="16"/>
      <c r="V896" s="16"/>
      <c r="W896" s="16"/>
      <c r="X896" s="16"/>
      <c r="Y896" s="16"/>
      <c r="Z896" s="16"/>
      <c r="AA896" s="16"/>
      <c r="AB896" s="16"/>
      <c r="AC896" s="16"/>
      <c r="AD896" s="16"/>
    </row>
    <row r="897" ht="14.25" customHeight="1">
      <c r="A897" s="16"/>
      <c r="B897" s="16"/>
      <c r="C897" s="16"/>
      <c r="D897" s="16"/>
      <c r="E897" s="16"/>
      <c r="F897" s="16"/>
      <c r="G897" s="16"/>
      <c r="H897" s="16"/>
      <c r="I897" s="16"/>
      <c r="J897" s="16"/>
      <c r="K897" s="16"/>
      <c r="L897" s="16"/>
      <c r="M897" s="16"/>
      <c r="N897" s="16"/>
      <c r="O897" s="16"/>
      <c r="P897" s="17"/>
      <c r="Q897" s="16"/>
      <c r="R897" s="16"/>
      <c r="S897" s="16"/>
      <c r="T897" s="16"/>
      <c r="U897" s="16"/>
      <c r="V897" s="16"/>
      <c r="W897" s="16"/>
      <c r="X897" s="16"/>
      <c r="Y897" s="16"/>
      <c r="Z897" s="16"/>
      <c r="AA897" s="16"/>
      <c r="AB897" s="16"/>
      <c r="AC897" s="16"/>
      <c r="AD897" s="16"/>
    </row>
    <row r="898" ht="14.25" customHeight="1">
      <c r="A898" s="16"/>
      <c r="B898" s="16"/>
      <c r="C898" s="16"/>
      <c r="D898" s="16"/>
      <c r="E898" s="16"/>
      <c r="F898" s="16"/>
      <c r="G898" s="16"/>
      <c r="H898" s="16"/>
      <c r="I898" s="16"/>
      <c r="J898" s="16"/>
      <c r="K898" s="16"/>
      <c r="L898" s="16"/>
      <c r="M898" s="16"/>
      <c r="N898" s="16"/>
      <c r="O898" s="16"/>
      <c r="P898" s="17"/>
      <c r="Q898" s="16"/>
      <c r="R898" s="16"/>
      <c r="S898" s="16"/>
      <c r="T898" s="16"/>
      <c r="U898" s="16"/>
      <c r="V898" s="16"/>
      <c r="W898" s="16"/>
      <c r="X898" s="16"/>
      <c r="Y898" s="16"/>
      <c r="Z898" s="16"/>
      <c r="AA898" s="16"/>
      <c r="AB898" s="16"/>
      <c r="AC898" s="16"/>
      <c r="AD898" s="16"/>
    </row>
    <row r="899" ht="14.25" customHeight="1">
      <c r="A899" s="16"/>
      <c r="B899" s="16"/>
      <c r="C899" s="16"/>
      <c r="D899" s="16"/>
      <c r="E899" s="16"/>
      <c r="F899" s="16"/>
      <c r="G899" s="16"/>
      <c r="H899" s="16"/>
      <c r="I899" s="16"/>
      <c r="J899" s="16"/>
      <c r="K899" s="16"/>
      <c r="L899" s="16"/>
      <c r="M899" s="16"/>
      <c r="N899" s="16"/>
      <c r="O899" s="16"/>
      <c r="P899" s="17"/>
      <c r="Q899" s="16"/>
      <c r="R899" s="16"/>
      <c r="S899" s="16"/>
      <c r="T899" s="16"/>
      <c r="U899" s="16"/>
      <c r="V899" s="16"/>
      <c r="W899" s="16"/>
      <c r="X899" s="16"/>
      <c r="Y899" s="16"/>
      <c r="Z899" s="16"/>
      <c r="AA899" s="16"/>
      <c r="AB899" s="16"/>
      <c r="AC899" s="16"/>
      <c r="AD899" s="16"/>
    </row>
    <row r="900" ht="14.25" customHeight="1">
      <c r="A900" s="16"/>
      <c r="B900" s="16"/>
      <c r="C900" s="16"/>
      <c r="D900" s="16"/>
      <c r="E900" s="16"/>
      <c r="F900" s="16"/>
      <c r="G900" s="16"/>
      <c r="H900" s="16"/>
      <c r="I900" s="16"/>
      <c r="J900" s="16"/>
      <c r="K900" s="16"/>
      <c r="L900" s="16"/>
      <c r="M900" s="16"/>
      <c r="N900" s="16"/>
      <c r="O900" s="16"/>
      <c r="P900" s="17"/>
      <c r="Q900" s="16"/>
      <c r="R900" s="16"/>
      <c r="S900" s="16"/>
      <c r="T900" s="16"/>
      <c r="U900" s="16"/>
      <c r="V900" s="16"/>
      <c r="W900" s="16"/>
      <c r="X900" s="16"/>
      <c r="Y900" s="16"/>
      <c r="Z900" s="16"/>
      <c r="AA900" s="16"/>
      <c r="AB900" s="16"/>
      <c r="AC900" s="16"/>
      <c r="AD900" s="16"/>
    </row>
    <row r="901" ht="14.25" customHeight="1">
      <c r="A901" s="16"/>
      <c r="B901" s="16"/>
      <c r="C901" s="16"/>
      <c r="D901" s="16"/>
      <c r="E901" s="16"/>
      <c r="F901" s="16"/>
      <c r="G901" s="16"/>
      <c r="H901" s="16"/>
      <c r="I901" s="16"/>
      <c r="J901" s="16"/>
      <c r="K901" s="16"/>
      <c r="L901" s="16"/>
      <c r="M901" s="16"/>
      <c r="N901" s="16"/>
      <c r="O901" s="16"/>
      <c r="P901" s="17"/>
      <c r="Q901" s="16"/>
      <c r="R901" s="16"/>
      <c r="S901" s="16"/>
      <c r="T901" s="16"/>
      <c r="U901" s="16"/>
      <c r="V901" s="16"/>
      <c r="W901" s="16"/>
      <c r="X901" s="16"/>
      <c r="Y901" s="16"/>
      <c r="Z901" s="16"/>
      <c r="AA901" s="16"/>
      <c r="AB901" s="16"/>
      <c r="AC901" s="16"/>
      <c r="AD901" s="16"/>
    </row>
    <row r="902" ht="14.25" customHeight="1">
      <c r="A902" s="16"/>
      <c r="B902" s="16"/>
      <c r="C902" s="16"/>
      <c r="D902" s="16"/>
      <c r="E902" s="16"/>
      <c r="F902" s="16"/>
      <c r="G902" s="16"/>
      <c r="H902" s="16"/>
      <c r="I902" s="16"/>
      <c r="J902" s="16"/>
      <c r="K902" s="16"/>
      <c r="L902" s="16"/>
      <c r="M902" s="16"/>
      <c r="N902" s="16"/>
      <c r="O902" s="16"/>
      <c r="P902" s="17"/>
      <c r="Q902" s="16"/>
      <c r="R902" s="16"/>
      <c r="S902" s="16"/>
      <c r="T902" s="16"/>
      <c r="U902" s="16"/>
      <c r="V902" s="16"/>
      <c r="W902" s="16"/>
      <c r="X902" s="16"/>
      <c r="Y902" s="16"/>
      <c r="Z902" s="16"/>
      <c r="AA902" s="16"/>
      <c r="AB902" s="16"/>
      <c r="AC902" s="16"/>
      <c r="AD902" s="16"/>
    </row>
    <row r="903" ht="14.25" customHeight="1">
      <c r="A903" s="16"/>
      <c r="B903" s="16"/>
      <c r="C903" s="16"/>
      <c r="D903" s="16"/>
      <c r="E903" s="16"/>
      <c r="F903" s="16"/>
      <c r="G903" s="16"/>
      <c r="H903" s="16"/>
      <c r="I903" s="16"/>
      <c r="J903" s="16"/>
      <c r="K903" s="16"/>
      <c r="L903" s="16"/>
      <c r="M903" s="16"/>
      <c r="N903" s="16"/>
      <c r="O903" s="16"/>
      <c r="P903" s="17"/>
      <c r="Q903" s="16"/>
      <c r="R903" s="16"/>
      <c r="S903" s="16"/>
      <c r="T903" s="16"/>
      <c r="U903" s="16"/>
      <c r="V903" s="16"/>
      <c r="W903" s="16"/>
      <c r="X903" s="16"/>
      <c r="Y903" s="16"/>
      <c r="Z903" s="16"/>
      <c r="AA903" s="16"/>
      <c r="AB903" s="16"/>
      <c r="AC903" s="16"/>
      <c r="AD903" s="16"/>
    </row>
    <row r="904" ht="14.25" customHeight="1">
      <c r="A904" s="16"/>
      <c r="B904" s="16"/>
      <c r="C904" s="16"/>
      <c r="D904" s="16"/>
      <c r="E904" s="16"/>
      <c r="F904" s="16"/>
      <c r="G904" s="16"/>
      <c r="H904" s="16"/>
      <c r="I904" s="16"/>
      <c r="J904" s="16"/>
      <c r="K904" s="16"/>
      <c r="L904" s="16"/>
      <c r="M904" s="16"/>
      <c r="N904" s="16"/>
      <c r="O904" s="16"/>
      <c r="P904" s="17"/>
      <c r="Q904" s="16"/>
      <c r="R904" s="16"/>
      <c r="S904" s="16"/>
      <c r="T904" s="16"/>
      <c r="U904" s="16"/>
      <c r="V904" s="16"/>
      <c r="W904" s="16"/>
      <c r="X904" s="16"/>
      <c r="Y904" s="16"/>
      <c r="Z904" s="16"/>
      <c r="AA904" s="16"/>
      <c r="AB904" s="16"/>
      <c r="AC904" s="16"/>
      <c r="AD904" s="16"/>
    </row>
    <row r="905" ht="14.25" customHeight="1">
      <c r="A905" s="16"/>
      <c r="B905" s="16"/>
      <c r="C905" s="16"/>
      <c r="D905" s="16"/>
      <c r="E905" s="16"/>
      <c r="F905" s="16"/>
      <c r="G905" s="16"/>
      <c r="H905" s="16"/>
      <c r="I905" s="16"/>
      <c r="J905" s="16"/>
      <c r="K905" s="16"/>
      <c r="L905" s="16"/>
      <c r="M905" s="16"/>
      <c r="N905" s="16"/>
      <c r="O905" s="16"/>
      <c r="P905" s="17"/>
      <c r="Q905" s="16"/>
      <c r="R905" s="16"/>
      <c r="S905" s="16"/>
      <c r="T905" s="16"/>
      <c r="U905" s="16"/>
      <c r="V905" s="16"/>
      <c r="W905" s="16"/>
      <c r="X905" s="16"/>
      <c r="Y905" s="16"/>
      <c r="Z905" s="16"/>
      <c r="AA905" s="16"/>
      <c r="AB905" s="16"/>
      <c r="AC905" s="16"/>
      <c r="AD905" s="16"/>
    </row>
    <row r="906" ht="14.25" customHeight="1">
      <c r="A906" s="16"/>
      <c r="B906" s="16"/>
      <c r="C906" s="16"/>
      <c r="D906" s="16"/>
      <c r="E906" s="16"/>
      <c r="F906" s="16"/>
      <c r="G906" s="16"/>
      <c r="H906" s="16"/>
      <c r="I906" s="16"/>
      <c r="J906" s="16"/>
      <c r="K906" s="16"/>
      <c r="L906" s="16"/>
      <c r="M906" s="16"/>
      <c r="N906" s="16"/>
      <c r="O906" s="16"/>
      <c r="P906" s="17"/>
      <c r="Q906" s="16"/>
      <c r="R906" s="16"/>
      <c r="S906" s="16"/>
      <c r="T906" s="16"/>
      <c r="U906" s="16"/>
      <c r="V906" s="16"/>
      <c r="W906" s="16"/>
      <c r="X906" s="16"/>
      <c r="Y906" s="16"/>
      <c r="Z906" s="16"/>
      <c r="AA906" s="16"/>
      <c r="AB906" s="16"/>
      <c r="AC906" s="16"/>
      <c r="AD906" s="16"/>
    </row>
    <row r="907" ht="14.25" customHeight="1">
      <c r="A907" s="16"/>
      <c r="B907" s="16"/>
      <c r="C907" s="16"/>
      <c r="D907" s="16"/>
      <c r="E907" s="16"/>
      <c r="F907" s="16"/>
      <c r="G907" s="16"/>
      <c r="H907" s="16"/>
      <c r="I907" s="16"/>
      <c r="J907" s="16"/>
      <c r="K907" s="16"/>
      <c r="L907" s="16"/>
      <c r="M907" s="16"/>
      <c r="N907" s="16"/>
      <c r="O907" s="16"/>
      <c r="P907" s="17"/>
      <c r="Q907" s="16"/>
      <c r="R907" s="16"/>
      <c r="S907" s="16"/>
      <c r="T907" s="16"/>
      <c r="U907" s="16"/>
      <c r="V907" s="16"/>
      <c r="W907" s="16"/>
      <c r="X907" s="16"/>
      <c r="Y907" s="16"/>
      <c r="Z907" s="16"/>
      <c r="AA907" s="16"/>
      <c r="AB907" s="16"/>
      <c r="AC907" s="16"/>
      <c r="AD907" s="16"/>
    </row>
    <row r="908" ht="14.25" customHeight="1">
      <c r="A908" s="16"/>
      <c r="B908" s="16"/>
      <c r="C908" s="16"/>
      <c r="D908" s="16"/>
      <c r="E908" s="16"/>
      <c r="F908" s="16"/>
      <c r="G908" s="16"/>
      <c r="H908" s="16"/>
      <c r="I908" s="16"/>
      <c r="J908" s="16"/>
      <c r="K908" s="16"/>
      <c r="L908" s="16"/>
      <c r="M908" s="16"/>
      <c r="N908" s="16"/>
      <c r="O908" s="16"/>
      <c r="P908" s="17"/>
      <c r="Q908" s="16"/>
      <c r="R908" s="16"/>
      <c r="S908" s="16"/>
      <c r="T908" s="16"/>
      <c r="U908" s="16"/>
      <c r="V908" s="16"/>
      <c r="W908" s="16"/>
      <c r="X908" s="16"/>
      <c r="Y908" s="16"/>
      <c r="Z908" s="16"/>
      <c r="AA908" s="16"/>
      <c r="AB908" s="16"/>
      <c r="AC908" s="16"/>
      <c r="AD908" s="16"/>
    </row>
    <row r="909" ht="14.25" customHeight="1">
      <c r="A909" s="16"/>
      <c r="B909" s="16"/>
      <c r="C909" s="16"/>
      <c r="D909" s="16"/>
      <c r="E909" s="16"/>
      <c r="F909" s="16"/>
      <c r="G909" s="16"/>
      <c r="H909" s="16"/>
      <c r="I909" s="16"/>
      <c r="J909" s="16"/>
      <c r="K909" s="16"/>
      <c r="L909" s="16"/>
      <c r="M909" s="16"/>
      <c r="N909" s="16"/>
      <c r="O909" s="16"/>
      <c r="P909" s="17"/>
      <c r="Q909" s="16"/>
      <c r="R909" s="16"/>
      <c r="S909" s="16"/>
      <c r="T909" s="16"/>
      <c r="U909" s="16"/>
      <c r="V909" s="16"/>
      <c r="W909" s="16"/>
      <c r="X909" s="16"/>
      <c r="Y909" s="16"/>
      <c r="Z909" s="16"/>
      <c r="AA909" s="16"/>
      <c r="AB909" s="16"/>
      <c r="AC909" s="16"/>
      <c r="AD909" s="16"/>
    </row>
    <row r="910" ht="14.25" customHeight="1">
      <c r="A910" s="16"/>
      <c r="B910" s="16"/>
      <c r="C910" s="16"/>
      <c r="D910" s="16"/>
      <c r="E910" s="16"/>
      <c r="F910" s="16"/>
      <c r="G910" s="16"/>
      <c r="H910" s="16"/>
      <c r="I910" s="16"/>
      <c r="J910" s="16"/>
      <c r="K910" s="16"/>
      <c r="L910" s="16"/>
      <c r="M910" s="16"/>
      <c r="N910" s="16"/>
      <c r="O910" s="16"/>
      <c r="P910" s="17"/>
      <c r="Q910" s="16"/>
      <c r="R910" s="16"/>
      <c r="S910" s="16"/>
      <c r="T910" s="16"/>
      <c r="U910" s="16"/>
      <c r="V910" s="16"/>
      <c r="W910" s="16"/>
      <c r="X910" s="16"/>
      <c r="Y910" s="16"/>
      <c r="Z910" s="16"/>
      <c r="AA910" s="16"/>
      <c r="AB910" s="16"/>
      <c r="AC910" s="16"/>
      <c r="AD910" s="16"/>
    </row>
    <row r="911" ht="14.25" customHeight="1">
      <c r="A911" s="16"/>
      <c r="B911" s="16"/>
      <c r="C911" s="16"/>
      <c r="D911" s="16"/>
      <c r="E911" s="16"/>
      <c r="F911" s="16"/>
      <c r="G911" s="16"/>
      <c r="H911" s="16"/>
      <c r="I911" s="16"/>
      <c r="J911" s="16"/>
      <c r="K911" s="16"/>
      <c r="L911" s="16"/>
      <c r="M911" s="16"/>
      <c r="N911" s="16"/>
      <c r="O911" s="16"/>
      <c r="P911" s="17"/>
      <c r="Q911" s="16"/>
      <c r="R911" s="16"/>
      <c r="S911" s="16"/>
      <c r="T911" s="16"/>
      <c r="U911" s="16"/>
      <c r="V911" s="16"/>
      <c r="W911" s="16"/>
      <c r="X911" s="16"/>
      <c r="Y911" s="16"/>
      <c r="Z911" s="16"/>
      <c r="AA911" s="16"/>
      <c r="AB911" s="16"/>
      <c r="AC911" s="16"/>
      <c r="AD911" s="16"/>
    </row>
    <row r="912" ht="14.25" customHeight="1">
      <c r="A912" s="16"/>
      <c r="B912" s="16"/>
      <c r="C912" s="16"/>
      <c r="D912" s="16"/>
      <c r="E912" s="16"/>
      <c r="F912" s="16"/>
      <c r="G912" s="16"/>
      <c r="H912" s="16"/>
      <c r="I912" s="16"/>
      <c r="J912" s="16"/>
      <c r="K912" s="16"/>
      <c r="L912" s="16"/>
      <c r="M912" s="16"/>
      <c r="N912" s="16"/>
      <c r="O912" s="16"/>
      <c r="P912" s="17"/>
      <c r="Q912" s="16"/>
      <c r="R912" s="16"/>
      <c r="S912" s="16"/>
      <c r="T912" s="16"/>
      <c r="U912" s="16"/>
      <c r="V912" s="16"/>
      <c r="W912" s="16"/>
      <c r="X912" s="16"/>
      <c r="Y912" s="16"/>
      <c r="Z912" s="16"/>
      <c r="AA912" s="16"/>
      <c r="AB912" s="16"/>
      <c r="AC912" s="16"/>
      <c r="AD912" s="16"/>
    </row>
    <row r="913" ht="14.25" customHeight="1">
      <c r="A913" s="16"/>
      <c r="B913" s="16"/>
      <c r="C913" s="16"/>
      <c r="D913" s="16"/>
      <c r="E913" s="16"/>
      <c r="F913" s="16"/>
      <c r="G913" s="16"/>
      <c r="H913" s="16"/>
      <c r="I913" s="16"/>
      <c r="J913" s="16"/>
      <c r="K913" s="16"/>
      <c r="L913" s="16"/>
      <c r="M913" s="16"/>
      <c r="N913" s="16"/>
      <c r="O913" s="16"/>
      <c r="P913" s="17"/>
      <c r="Q913" s="16"/>
      <c r="R913" s="16"/>
      <c r="S913" s="16"/>
      <c r="T913" s="16"/>
      <c r="U913" s="16"/>
      <c r="V913" s="16"/>
      <c r="W913" s="16"/>
      <c r="X913" s="16"/>
      <c r="Y913" s="16"/>
      <c r="Z913" s="16"/>
      <c r="AA913" s="16"/>
      <c r="AB913" s="16"/>
      <c r="AC913" s="16"/>
      <c r="AD913" s="16"/>
    </row>
    <row r="914" ht="14.25" customHeight="1">
      <c r="A914" s="16"/>
      <c r="B914" s="16"/>
      <c r="C914" s="16"/>
      <c r="D914" s="16"/>
      <c r="E914" s="16"/>
      <c r="F914" s="16"/>
      <c r="G914" s="16"/>
      <c r="H914" s="16"/>
      <c r="I914" s="16"/>
      <c r="J914" s="16"/>
      <c r="K914" s="16"/>
      <c r="L914" s="16"/>
      <c r="M914" s="16"/>
      <c r="N914" s="16"/>
      <c r="O914" s="16"/>
      <c r="P914" s="17"/>
      <c r="Q914" s="16"/>
      <c r="R914" s="16"/>
      <c r="S914" s="16"/>
      <c r="T914" s="16"/>
      <c r="U914" s="16"/>
      <c r="V914" s="16"/>
      <c r="W914" s="16"/>
      <c r="X914" s="16"/>
      <c r="Y914" s="16"/>
      <c r="Z914" s="16"/>
      <c r="AA914" s="16"/>
      <c r="AB914" s="16"/>
      <c r="AC914" s="16"/>
      <c r="AD914" s="16"/>
    </row>
    <row r="915" ht="14.25" customHeight="1">
      <c r="A915" s="16"/>
      <c r="B915" s="16"/>
      <c r="C915" s="16"/>
      <c r="D915" s="16"/>
      <c r="E915" s="16"/>
      <c r="F915" s="16"/>
      <c r="G915" s="16"/>
      <c r="H915" s="16"/>
      <c r="I915" s="16"/>
      <c r="J915" s="16"/>
      <c r="K915" s="16"/>
      <c r="L915" s="16"/>
      <c r="M915" s="16"/>
      <c r="N915" s="16"/>
      <c r="O915" s="16"/>
      <c r="P915" s="17"/>
      <c r="Q915" s="16"/>
      <c r="R915" s="16"/>
      <c r="S915" s="16"/>
      <c r="T915" s="16"/>
      <c r="U915" s="16"/>
      <c r="V915" s="16"/>
      <c r="W915" s="16"/>
      <c r="X915" s="16"/>
      <c r="Y915" s="16"/>
      <c r="Z915" s="16"/>
      <c r="AA915" s="16"/>
      <c r="AB915" s="16"/>
      <c r="AC915" s="16"/>
      <c r="AD915" s="16"/>
    </row>
    <row r="916" ht="14.25" customHeight="1">
      <c r="A916" s="16"/>
      <c r="B916" s="16"/>
      <c r="C916" s="16"/>
      <c r="D916" s="16"/>
      <c r="E916" s="16"/>
      <c r="F916" s="16"/>
      <c r="G916" s="16"/>
      <c r="H916" s="16"/>
      <c r="I916" s="16"/>
      <c r="J916" s="16"/>
      <c r="K916" s="16"/>
      <c r="L916" s="16"/>
      <c r="M916" s="16"/>
      <c r="N916" s="16"/>
      <c r="O916" s="16"/>
      <c r="P916" s="17"/>
      <c r="Q916" s="16"/>
      <c r="R916" s="16"/>
      <c r="S916" s="16"/>
      <c r="T916" s="16"/>
      <c r="U916" s="16"/>
      <c r="V916" s="16"/>
      <c r="W916" s="16"/>
      <c r="X916" s="16"/>
      <c r="Y916" s="16"/>
      <c r="Z916" s="16"/>
      <c r="AA916" s="16"/>
      <c r="AB916" s="16"/>
      <c r="AC916" s="16"/>
      <c r="AD916" s="16"/>
    </row>
    <row r="917" ht="14.25" customHeight="1">
      <c r="A917" s="16"/>
      <c r="B917" s="16"/>
      <c r="C917" s="16"/>
      <c r="D917" s="16"/>
      <c r="E917" s="16"/>
      <c r="F917" s="16"/>
      <c r="G917" s="16"/>
      <c r="H917" s="16"/>
      <c r="I917" s="16"/>
      <c r="J917" s="16"/>
      <c r="K917" s="16"/>
      <c r="L917" s="16"/>
      <c r="M917" s="16"/>
      <c r="N917" s="16"/>
      <c r="O917" s="16"/>
      <c r="P917" s="17"/>
      <c r="Q917" s="16"/>
      <c r="R917" s="16"/>
      <c r="S917" s="16"/>
      <c r="T917" s="16"/>
      <c r="U917" s="16"/>
      <c r="V917" s="16"/>
      <c r="W917" s="16"/>
      <c r="X917" s="16"/>
      <c r="Y917" s="16"/>
      <c r="Z917" s="16"/>
      <c r="AA917" s="16"/>
      <c r="AB917" s="16"/>
      <c r="AC917" s="16"/>
      <c r="AD917" s="16"/>
    </row>
    <row r="918" ht="14.25" customHeight="1">
      <c r="A918" s="16"/>
      <c r="B918" s="16"/>
      <c r="C918" s="16"/>
      <c r="D918" s="16"/>
      <c r="E918" s="16"/>
      <c r="F918" s="16"/>
      <c r="G918" s="16"/>
      <c r="H918" s="16"/>
      <c r="I918" s="16"/>
      <c r="J918" s="16"/>
      <c r="K918" s="16"/>
      <c r="L918" s="16"/>
      <c r="M918" s="16"/>
      <c r="N918" s="16"/>
      <c r="O918" s="16"/>
      <c r="P918" s="17"/>
      <c r="Q918" s="16"/>
      <c r="R918" s="16"/>
      <c r="S918" s="16"/>
      <c r="T918" s="16"/>
      <c r="U918" s="16"/>
      <c r="V918" s="16"/>
      <c r="W918" s="16"/>
      <c r="X918" s="16"/>
      <c r="Y918" s="16"/>
      <c r="Z918" s="16"/>
      <c r="AA918" s="16"/>
      <c r="AB918" s="16"/>
      <c r="AC918" s="16"/>
      <c r="AD918" s="16"/>
    </row>
    <row r="919" ht="14.25" customHeight="1">
      <c r="A919" s="16"/>
      <c r="B919" s="16"/>
      <c r="C919" s="16"/>
      <c r="D919" s="16"/>
      <c r="E919" s="16"/>
      <c r="F919" s="16"/>
      <c r="G919" s="16"/>
      <c r="H919" s="16"/>
      <c r="I919" s="16"/>
      <c r="J919" s="16"/>
      <c r="K919" s="16"/>
      <c r="L919" s="16"/>
      <c r="M919" s="16"/>
      <c r="N919" s="16"/>
      <c r="O919" s="16"/>
      <c r="P919" s="17"/>
      <c r="Q919" s="16"/>
      <c r="R919" s="16"/>
      <c r="S919" s="16"/>
      <c r="T919" s="16"/>
      <c r="U919" s="16"/>
      <c r="V919" s="16"/>
      <c r="W919" s="16"/>
      <c r="X919" s="16"/>
      <c r="Y919" s="16"/>
      <c r="Z919" s="16"/>
      <c r="AA919" s="16"/>
      <c r="AB919" s="16"/>
      <c r="AC919" s="16"/>
      <c r="AD919" s="16"/>
    </row>
    <row r="920" ht="14.25" customHeight="1">
      <c r="A920" s="16"/>
      <c r="B920" s="16"/>
      <c r="C920" s="16"/>
      <c r="D920" s="16"/>
      <c r="E920" s="16"/>
      <c r="F920" s="16"/>
      <c r="G920" s="16"/>
      <c r="H920" s="16"/>
      <c r="I920" s="16"/>
      <c r="J920" s="16"/>
      <c r="K920" s="16"/>
      <c r="L920" s="16"/>
      <c r="M920" s="16"/>
      <c r="N920" s="16"/>
      <c r="O920" s="16"/>
      <c r="P920" s="17"/>
      <c r="Q920" s="16"/>
      <c r="R920" s="16"/>
      <c r="S920" s="16"/>
      <c r="T920" s="16"/>
      <c r="U920" s="16"/>
      <c r="V920" s="16"/>
      <c r="W920" s="16"/>
      <c r="X920" s="16"/>
      <c r="Y920" s="16"/>
      <c r="Z920" s="16"/>
      <c r="AA920" s="16"/>
      <c r="AB920" s="16"/>
      <c r="AC920" s="16"/>
      <c r="AD920" s="16"/>
    </row>
    <row r="921" ht="14.25" customHeight="1">
      <c r="A921" s="16"/>
      <c r="B921" s="16"/>
      <c r="C921" s="16"/>
      <c r="D921" s="16"/>
      <c r="E921" s="16"/>
      <c r="F921" s="16"/>
      <c r="G921" s="16"/>
      <c r="H921" s="16"/>
      <c r="I921" s="16"/>
      <c r="J921" s="16"/>
      <c r="K921" s="16"/>
      <c r="L921" s="16"/>
      <c r="M921" s="16"/>
      <c r="N921" s="16"/>
      <c r="O921" s="16"/>
      <c r="P921" s="17"/>
      <c r="Q921" s="16"/>
      <c r="R921" s="16"/>
      <c r="S921" s="16"/>
      <c r="T921" s="16"/>
      <c r="U921" s="16"/>
      <c r="V921" s="16"/>
      <c r="W921" s="16"/>
      <c r="X921" s="16"/>
      <c r="Y921" s="16"/>
      <c r="Z921" s="16"/>
      <c r="AA921" s="16"/>
      <c r="AB921" s="16"/>
      <c r="AC921" s="16"/>
      <c r="AD921" s="16"/>
    </row>
    <row r="922" ht="14.25" customHeight="1">
      <c r="A922" s="16"/>
      <c r="B922" s="16"/>
      <c r="C922" s="16"/>
      <c r="D922" s="16"/>
      <c r="E922" s="16"/>
      <c r="F922" s="16"/>
      <c r="G922" s="16"/>
      <c r="H922" s="16"/>
      <c r="I922" s="16"/>
      <c r="J922" s="16"/>
      <c r="K922" s="16"/>
      <c r="L922" s="16"/>
      <c r="M922" s="16"/>
      <c r="N922" s="16"/>
      <c r="O922" s="16"/>
      <c r="P922" s="17"/>
      <c r="Q922" s="16"/>
      <c r="R922" s="16"/>
      <c r="S922" s="16"/>
      <c r="T922" s="16"/>
      <c r="U922" s="16"/>
      <c r="V922" s="16"/>
      <c r="W922" s="16"/>
      <c r="X922" s="16"/>
      <c r="Y922" s="16"/>
      <c r="Z922" s="16"/>
      <c r="AA922" s="16"/>
      <c r="AB922" s="16"/>
      <c r="AC922" s="16"/>
      <c r="AD922" s="16"/>
    </row>
    <row r="923" ht="14.25" customHeight="1">
      <c r="A923" s="16"/>
      <c r="B923" s="16"/>
      <c r="C923" s="16"/>
      <c r="D923" s="16"/>
      <c r="E923" s="16"/>
      <c r="F923" s="16"/>
      <c r="G923" s="16"/>
      <c r="H923" s="16"/>
      <c r="I923" s="16"/>
      <c r="J923" s="16"/>
      <c r="K923" s="16"/>
      <c r="L923" s="16"/>
      <c r="M923" s="16"/>
      <c r="N923" s="16"/>
      <c r="O923" s="16"/>
      <c r="P923" s="17"/>
      <c r="Q923" s="16"/>
      <c r="R923" s="16"/>
      <c r="S923" s="16"/>
      <c r="T923" s="16"/>
      <c r="U923" s="16"/>
      <c r="V923" s="16"/>
      <c r="W923" s="16"/>
      <c r="X923" s="16"/>
      <c r="Y923" s="16"/>
      <c r="Z923" s="16"/>
      <c r="AA923" s="16"/>
      <c r="AB923" s="16"/>
      <c r="AC923" s="16"/>
      <c r="AD923" s="16"/>
    </row>
    <row r="924" ht="14.25" customHeight="1">
      <c r="A924" s="16"/>
      <c r="B924" s="16"/>
      <c r="C924" s="16"/>
      <c r="D924" s="16"/>
      <c r="E924" s="16"/>
      <c r="F924" s="16"/>
      <c r="G924" s="16"/>
      <c r="H924" s="16"/>
      <c r="I924" s="16"/>
      <c r="J924" s="16"/>
      <c r="K924" s="16"/>
      <c r="L924" s="16"/>
      <c r="M924" s="16"/>
      <c r="N924" s="16"/>
      <c r="O924" s="16"/>
      <c r="P924" s="17"/>
      <c r="Q924" s="16"/>
      <c r="R924" s="16"/>
      <c r="S924" s="16"/>
      <c r="T924" s="16"/>
      <c r="U924" s="16"/>
      <c r="V924" s="16"/>
      <c r="W924" s="16"/>
      <c r="X924" s="16"/>
      <c r="Y924" s="16"/>
      <c r="Z924" s="16"/>
      <c r="AA924" s="16"/>
      <c r="AB924" s="16"/>
      <c r="AC924" s="16"/>
      <c r="AD924" s="16"/>
    </row>
    <row r="925" ht="14.25" customHeight="1">
      <c r="A925" s="16"/>
      <c r="B925" s="16"/>
      <c r="C925" s="16"/>
      <c r="D925" s="16"/>
      <c r="E925" s="16"/>
      <c r="F925" s="16"/>
      <c r="G925" s="16"/>
      <c r="H925" s="16"/>
      <c r="I925" s="16"/>
      <c r="J925" s="16"/>
      <c r="K925" s="16"/>
      <c r="L925" s="16"/>
      <c r="M925" s="16"/>
      <c r="N925" s="16"/>
      <c r="O925" s="16"/>
      <c r="P925" s="17"/>
      <c r="Q925" s="16"/>
      <c r="R925" s="16"/>
      <c r="S925" s="16"/>
      <c r="T925" s="16"/>
      <c r="U925" s="16"/>
      <c r="V925" s="16"/>
      <c r="W925" s="16"/>
      <c r="X925" s="16"/>
      <c r="Y925" s="16"/>
      <c r="Z925" s="16"/>
      <c r="AA925" s="16"/>
      <c r="AB925" s="16"/>
      <c r="AC925" s="16"/>
      <c r="AD925" s="16"/>
    </row>
    <row r="926" ht="14.25" customHeight="1">
      <c r="A926" s="16"/>
      <c r="B926" s="16"/>
      <c r="C926" s="16"/>
      <c r="D926" s="16"/>
      <c r="E926" s="16"/>
      <c r="F926" s="16"/>
      <c r="G926" s="16"/>
      <c r="H926" s="16"/>
      <c r="I926" s="16"/>
      <c r="J926" s="16"/>
      <c r="K926" s="16"/>
      <c r="L926" s="16"/>
      <c r="M926" s="16"/>
      <c r="N926" s="16"/>
      <c r="O926" s="16"/>
      <c r="P926" s="17"/>
      <c r="Q926" s="16"/>
      <c r="R926" s="16"/>
      <c r="S926" s="16"/>
      <c r="T926" s="16"/>
      <c r="U926" s="16"/>
      <c r="V926" s="16"/>
      <c r="W926" s="16"/>
      <c r="X926" s="16"/>
      <c r="Y926" s="16"/>
      <c r="Z926" s="16"/>
      <c r="AA926" s="16"/>
      <c r="AB926" s="16"/>
      <c r="AC926" s="16"/>
      <c r="AD926" s="16"/>
    </row>
    <row r="927" ht="14.25" customHeight="1">
      <c r="A927" s="16"/>
      <c r="B927" s="16"/>
      <c r="C927" s="16"/>
      <c r="D927" s="16"/>
      <c r="E927" s="16"/>
      <c r="F927" s="16"/>
      <c r="G927" s="16"/>
      <c r="H927" s="16"/>
      <c r="I927" s="16"/>
      <c r="J927" s="16"/>
      <c r="K927" s="16"/>
      <c r="L927" s="16"/>
      <c r="M927" s="16"/>
      <c r="N927" s="16"/>
      <c r="O927" s="16"/>
      <c r="P927" s="17"/>
      <c r="Q927" s="16"/>
      <c r="R927" s="16"/>
      <c r="S927" s="16"/>
      <c r="T927" s="16"/>
      <c r="U927" s="16"/>
      <c r="V927" s="16"/>
      <c r="W927" s="16"/>
      <c r="X927" s="16"/>
      <c r="Y927" s="16"/>
      <c r="Z927" s="16"/>
      <c r="AA927" s="16"/>
      <c r="AB927" s="16"/>
      <c r="AC927" s="16"/>
      <c r="AD927" s="16"/>
    </row>
    <row r="928" ht="14.25" customHeight="1">
      <c r="A928" s="16"/>
      <c r="B928" s="16"/>
      <c r="C928" s="16"/>
      <c r="D928" s="16"/>
      <c r="E928" s="16"/>
      <c r="F928" s="16"/>
      <c r="G928" s="16"/>
      <c r="H928" s="16"/>
      <c r="I928" s="16"/>
      <c r="J928" s="16"/>
      <c r="K928" s="16"/>
      <c r="L928" s="16"/>
      <c r="M928" s="16"/>
      <c r="N928" s="16"/>
      <c r="O928" s="16"/>
      <c r="P928" s="17"/>
      <c r="Q928" s="16"/>
      <c r="R928" s="16"/>
      <c r="S928" s="16"/>
      <c r="T928" s="16"/>
      <c r="U928" s="16"/>
      <c r="V928" s="16"/>
      <c r="W928" s="16"/>
      <c r="X928" s="16"/>
      <c r="Y928" s="16"/>
      <c r="Z928" s="16"/>
      <c r="AA928" s="16"/>
      <c r="AB928" s="16"/>
      <c r="AC928" s="16"/>
      <c r="AD928" s="16"/>
    </row>
    <row r="929" ht="14.25" customHeight="1">
      <c r="A929" s="16"/>
      <c r="B929" s="16"/>
      <c r="C929" s="16"/>
      <c r="D929" s="16"/>
      <c r="E929" s="16"/>
      <c r="F929" s="16"/>
      <c r="G929" s="16"/>
      <c r="H929" s="16"/>
      <c r="I929" s="16"/>
      <c r="J929" s="16"/>
      <c r="K929" s="16"/>
      <c r="L929" s="16"/>
      <c r="M929" s="16"/>
      <c r="N929" s="16"/>
      <c r="O929" s="16"/>
      <c r="P929" s="17"/>
      <c r="Q929" s="16"/>
      <c r="R929" s="16"/>
      <c r="S929" s="16"/>
      <c r="T929" s="16"/>
      <c r="U929" s="16"/>
      <c r="V929" s="16"/>
      <c r="W929" s="16"/>
      <c r="X929" s="16"/>
      <c r="Y929" s="16"/>
      <c r="Z929" s="16"/>
      <c r="AA929" s="16"/>
      <c r="AB929" s="16"/>
      <c r="AC929" s="16"/>
      <c r="AD929" s="16"/>
    </row>
    <row r="930" ht="14.25" customHeight="1">
      <c r="A930" s="16"/>
      <c r="B930" s="16"/>
      <c r="C930" s="16"/>
      <c r="D930" s="16"/>
      <c r="E930" s="16"/>
      <c r="F930" s="16"/>
      <c r="G930" s="16"/>
      <c r="H930" s="16"/>
      <c r="I930" s="16"/>
      <c r="J930" s="16"/>
      <c r="K930" s="16"/>
      <c r="L930" s="16"/>
      <c r="M930" s="16"/>
      <c r="N930" s="16"/>
      <c r="O930" s="16"/>
      <c r="P930" s="17"/>
      <c r="Q930" s="16"/>
      <c r="R930" s="16"/>
      <c r="S930" s="16"/>
      <c r="T930" s="16"/>
      <c r="U930" s="16"/>
      <c r="V930" s="16"/>
      <c r="W930" s="16"/>
      <c r="X930" s="16"/>
      <c r="Y930" s="16"/>
      <c r="Z930" s="16"/>
      <c r="AA930" s="16"/>
      <c r="AB930" s="16"/>
      <c r="AC930" s="16"/>
      <c r="AD930" s="16"/>
    </row>
    <row r="931" ht="14.25" customHeight="1">
      <c r="A931" s="16"/>
      <c r="B931" s="16"/>
      <c r="C931" s="16"/>
      <c r="D931" s="16"/>
      <c r="E931" s="16"/>
      <c r="F931" s="16"/>
      <c r="G931" s="16"/>
      <c r="H931" s="16"/>
      <c r="I931" s="16"/>
      <c r="J931" s="16"/>
      <c r="K931" s="16"/>
      <c r="L931" s="16"/>
      <c r="M931" s="16"/>
      <c r="N931" s="16"/>
      <c r="O931" s="16"/>
      <c r="P931" s="17"/>
      <c r="Q931" s="16"/>
      <c r="R931" s="16"/>
      <c r="S931" s="16"/>
      <c r="T931" s="16"/>
      <c r="U931" s="16"/>
      <c r="V931" s="16"/>
      <c r="W931" s="16"/>
      <c r="X931" s="16"/>
      <c r="Y931" s="16"/>
      <c r="Z931" s="16"/>
      <c r="AA931" s="16"/>
      <c r="AB931" s="16"/>
      <c r="AC931" s="16"/>
      <c r="AD931" s="16"/>
    </row>
    <row r="932" ht="14.25" customHeight="1">
      <c r="A932" s="16"/>
      <c r="B932" s="16"/>
      <c r="C932" s="16"/>
      <c r="D932" s="16"/>
      <c r="E932" s="16"/>
      <c r="F932" s="16"/>
      <c r="G932" s="16"/>
      <c r="H932" s="16"/>
      <c r="I932" s="16"/>
      <c r="J932" s="16"/>
      <c r="K932" s="16"/>
      <c r="L932" s="16"/>
      <c r="M932" s="16"/>
      <c r="N932" s="16"/>
      <c r="O932" s="16"/>
      <c r="P932" s="17"/>
      <c r="Q932" s="16"/>
      <c r="R932" s="16"/>
      <c r="S932" s="16"/>
      <c r="T932" s="16"/>
      <c r="U932" s="16"/>
      <c r="V932" s="16"/>
      <c r="W932" s="16"/>
      <c r="X932" s="16"/>
      <c r="Y932" s="16"/>
      <c r="Z932" s="16"/>
      <c r="AA932" s="16"/>
      <c r="AB932" s="16"/>
      <c r="AC932" s="16"/>
      <c r="AD932" s="16"/>
    </row>
    <row r="933" ht="14.25" customHeight="1">
      <c r="A933" s="16"/>
      <c r="B933" s="16"/>
      <c r="C933" s="16"/>
      <c r="D933" s="16"/>
      <c r="E933" s="16"/>
      <c r="F933" s="16"/>
      <c r="G933" s="16"/>
      <c r="H933" s="16"/>
      <c r="I933" s="16"/>
      <c r="J933" s="16"/>
      <c r="K933" s="16"/>
      <c r="L933" s="16"/>
      <c r="M933" s="16"/>
      <c r="N933" s="16"/>
      <c r="O933" s="16"/>
      <c r="P933" s="17"/>
      <c r="Q933" s="16"/>
      <c r="R933" s="16"/>
      <c r="S933" s="16"/>
      <c r="T933" s="16"/>
      <c r="U933" s="16"/>
      <c r="V933" s="16"/>
      <c r="W933" s="16"/>
      <c r="X933" s="16"/>
      <c r="Y933" s="16"/>
      <c r="Z933" s="16"/>
      <c r="AA933" s="16"/>
      <c r="AB933" s="16"/>
      <c r="AC933" s="16"/>
      <c r="AD933" s="16"/>
    </row>
    <row r="934" ht="14.25" customHeight="1">
      <c r="A934" s="16"/>
      <c r="B934" s="16"/>
      <c r="C934" s="16"/>
      <c r="D934" s="16"/>
      <c r="E934" s="16"/>
      <c r="F934" s="16"/>
      <c r="G934" s="16"/>
      <c r="H934" s="16"/>
      <c r="I934" s="16"/>
      <c r="J934" s="16"/>
      <c r="K934" s="16"/>
      <c r="L934" s="16"/>
      <c r="M934" s="16"/>
      <c r="N934" s="16"/>
      <c r="O934" s="16"/>
      <c r="P934" s="17"/>
      <c r="Q934" s="16"/>
      <c r="R934" s="16"/>
      <c r="S934" s="16"/>
      <c r="T934" s="16"/>
      <c r="U934" s="16"/>
      <c r="V934" s="16"/>
      <c r="W934" s="16"/>
      <c r="X934" s="16"/>
      <c r="Y934" s="16"/>
      <c r="Z934" s="16"/>
      <c r="AA934" s="16"/>
      <c r="AB934" s="16"/>
      <c r="AC934" s="16"/>
      <c r="AD934" s="16"/>
    </row>
    <row r="935" ht="14.25" customHeight="1">
      <c r="A935" s="16"/>
      <c r="B935" s="16"/>
      <c r="C935" s="16"/>
      <c r="D935" s="16"/>
      <c r="E935" s="16"/>
      <c r="F935" s="16"/>
      <c r="G935" s="16"/>
      <c r="H935" s="16"/>
      <c r="I935" s="16"/>
      <c r="J935" s="16"/>
      <c r="K935" s="16"/>
      <c r="L935" s="16"/>
      <c r="M935" s="16"/>
      <c r="N935" s="16"/>
      <c r="O935" s="16"/>
      <c r="P935" s="17"/>
      <c r="Q935" s="16"/>
      <c r="R935" s="16"/>
      <c r="S935" s="16"/>
      <c r="T935" s="16"/>
      <c r="U935" s="16"/>
      <c r="V935" s="16"/>
      <c r="W935" s="16"/>
      <c r="X935" s="16"/>
      <c r="Y935" s="16"/>
      <c r="Z935" s="16"/>
      <c r="AA935" s="16"/>
      <c r="AB935" s="16"/>
      <c r="AC935" s="16"/>
      <c r="AD935" s="16"/>
    </row>
    <row r="936" ht="14.25" customHeight="1">
      <c r="A936" s="16"/>
      <c r="B936" s="16"/>
      <c r="C936" s="16"/>
      <c r="D936" s="16"/>
      <c r="E936" s="16"/>
      <c r="F936" s="16"/>
      <c r="G936" s="16"/>
      <c r="H936" s="16"/>
      <c r="I936" s="16"/>
      <c r="J936" s="16"/>
      <c r="K936" s="16"/>
      <c r="L936" s="16"/>
      <c r="M936" s="16"/>
      <c r="N936" s="16"/>
      <c r="O936" s="16"/>
      <c r="P936" s="17"/>
      <c r="Q936" s="16"/>
      <c r="R936" s="16"/>
      <c r="S936" s="16"/>
      <c r="T936" s="16"/>
      <c r="U936" s="16"/>
      <c r="V936" s="16"/>
      <c r="W936" s="16"/>
      <c r="X936" s="16"/>
      <c r="Y936" s="16"/>
      <c r="Z936" s="16"/>
      <c r="AA936" s="16"/>
      <c r="AB936" s="16"/>
      <c r="AC936" s="16"/>
      <c r="AD936" s="16"/>
    </row>
    <row r="937" ht="14.25" customHeight="1">
      <c r="A937" s="16"/>
      <c r="B937" s="16"/>
      <c r="C937" s="16"/>
      <c r="D937" s="16"/>
      <c r="E937" s="16"/>
      <c r="F937" s="16"/>
      <c r="G937" s="16"/>
      <c r="H937" s="16"/>
      <c r="I937" s="16"/>
      <c r="J937" s="16"/>
      <c r="K937" s="16"/>
      <c r="L937" s="16"/>
      <c r="M937" s="16"/>
      <c r="N937" s="16"/>
      <c r="O937" s="16"/>
      <c r="P937" s="17"/>
      <c r="Q937" s="16"/>
      <c r="R937" s="16"/>
      <c r="S937" s="16"/>
      <c r="T937" s="16"/>
      <c r="U937" s="16"/>
      <c r="V937" s="16"/>
      <c r="W937" s="16"/>
      <c r="X937" s="16"/>
      <c r="Y937" s="16"/>
      <c r="Z937" s="16"/>
      <c r="AA937" s="16"/>
      <c r="AB937" s="16"/>
      <c r="AC937" s="16"/>
      <c r="AD937" s="16"/>
    </row>
    <row r="938" ht="14.25" customHeight="1">
      <c r="A938" s="16"/>
      <c r="B938" s="16"/>
      <c r="C938" s="16"/>
      <c r="D938" s="16"/>
      <c r="E938" s="16"/>
      <c r="F938" s="16"/>
      <c r="G938" s="16"/>
      <c r="H938" s="16"/>
      <c r="I938" s="16"/>
      <c r="J938" s="16"/>
      <c r="K938" s="16"/>
      <c r="L938" s="16"/>
      <c r="M938" s="16"/>
      <c r="N938" s="16"/>
      <c r="O938" s="16"/>
      <c r="P938" s="17"/>
      <c r="Q938" s="16"/>
      <c r="R938" s="16"/>
      <c r="S938" s="16"/>
      <c r="T938" s="16"/>
      <c r="U938" s="16"/>
      <c r="V938" s="16"/>
      <c r="W938" s="16"/>
      <c r="X938" s="16"/>
      <c r="Y938" s="16"/>
      <c r="Z938" s="16"/>
      <c r="AA938" s="16"/>
      <c r="AB938" s="16"/>
      <c r="AC938" s="16"/>
      <c r="AD938" s="16"/>
    </row>
    <row r="939" ht="14.25" customHeight="1">
      <c r="A939" s="16"/>
      <c r="B939" s="16"/>
      <c r="C939" s="16"/>
      <c r="D939" s="16"/>
      <c r="E939" s="16"/>
      <c r="F939" s="16"/>
      <c r="G939" s="16"/>
      <c r="H939" s="16"/>
      <c r="I939" s="16"/>
      <c r="J939" s="16"/>
      <c r="K939" s="16"/>
      <c r="L939" s="16"/>
      <c r="M939" s="16"/>
      <c r="N939" s="16"/>
      <c r="O939" s="16"/>
      <c r="P939" s="17"/>
      <c r="Q939" s="16"/>
      <c r="R939" s="16"/>
      <c r="S939" s="16"/>
      <c r="T939" s="16"/>
      <c r="U939" s="16"/>
      <c r="V939" s="16"/>
      <c r="W939" s="16"/>
      <c r="X939" s="16"/>
      <c r="Y939" s="16"/>
      <c r="Z939" s="16"/>
      <c r="AA939" s="16"/>
      <c r="AB939" s="16"/>
      <c r="AC939" s="16"/>
      <c r="AD939" s="16"/>
    </row>
    <row r="940" ht="14.25" customHeight="1">
      <c r="A940" s="16"/>
      <c r="B940" s="16"/>
      <c r="C940" s="16"/>
      <c r="D940" s="16"/>
      <c r="E940" s="16"/>
      <c r="F940" s="16"/>
      <c r="G940" s="16"/>
      <c r="H940" s="16"/>
      <c r="I940" s="16"/>
      <c r="J940" s="16"/>
      <c r="K940" s="16"/>
      <c r="L940" s="16"/>
      <c r="M940" s="16"/>
      <c r="N940" s="16"/>
      <c r="O940" s="16"/>
      <c r="P940" s="17"/>
      <c r="Q940" s="16"/>
      <c r="R940" s="16"/>
      <c r="S940" s="16"/>
      <c r="T940" s="16"/>
      <c r="U940" s="16"/>
      <c r="V940" s="16"/>
      <c r="W940" s="16"/>
      <c r="X940" s="16"/>
      <c r="Y940" s="16"/>
      <c r="Z940" s="16"/>
      <c r="AA940" s="16"/>
      <c r="AB940" s="16"/>
      <c r="AC940" s="16"/>
      <c r="AD940" s="16"/>
    </row>
    <row r="941" ht="14.25" customHeight="1">
      <c r="A941" s="16"/>
      <c r="B941" s="16"/>
      <c r="C941" s="16"/>
      <c r="D941" s="16"/>
      <c r="E941" s="16"/>
      <c r="F941" s="16"/>
      <c r="G941" s="16"/>
      <c r="H941" s="16"/>
      <c r="I941" s="16"/>
      <c r="J941" s="16"/>
      <c r="K941" s="16"/>
      <c r="L941" s="16"/>
      <c r="M941" s="16"/>
      <c r="N941" s="16"/>
      <c r="O941" s="16"/>
      <c r="P941" s="17"/>
      <c r="Q941" s="16"/>
      <c r="R941" s="16"/>
      <c r="S941" s="16"/>
      <c r="T941" s="16"/>
      <c r="U941" s="16"/>
      <c r="V941" s="16"/>
      <c r="W941" s="16"/>
      <c r="X941" s="16"/>
      <c r="Y941" s="16"/>
      <c r="Z941" s="16"/>
      <c r="AA941" s="16"/>
      <c r="AB941" s="16"/>
      <c r="AC941" s="16"/>
      <c r="AD941" s="16"/>
    </row>
    <row r="942" ht="14.25" customHeight="1">
      <c r="A942" s="16"/>
      <c r="B942" s="16"/>
      <c r="C942" s="16"/>
      <c r="D942" s="16"/>
      <c r="E942" s="16"/>
      <c r="F942" s="16"/>
      <c r="G942" s="16"/>
      <c r="H942" s="16"/>
      <c r="I942" s="16"/>
      <c r="J942" s="16"/>
      <c r="K942" s="16"/>
      <c r="L942" s="16"/>
      <c r="M942" s="16"/>
      <c r="N942" s="16"/>
      <c r="O942" s="16"/>
      <c r="P942" s="17"/>
      <c r="Q942" s="16"/>
      <c r="R942" s="16"/>
      <c r="S942" s="16"/>
      <c r="T942" s="16"/>
      <c r="U942" s="16"/>
      <c r="V942" s="16"/>
      <c r="W942" s="16"/>
      <c r="X942" s="16"/>
      <c r="Y942" s="16"/>
      <c r="Z942" s="16"/>
      <c r="AA942" s="16"/>
      <c r="AB942" s="16"/>
      <c r="AC942" s="16"/>
      <c r="AD942" s="16"/>
    </row>
    <row r="943" ht="14.25" customHeight="1">
      <c r="A943" s="16"/>
      <c r="B943" s="16"/>
      <c r="C943" s="16"/>
      <c r="D943" s="16"/>
      <c r="E943" s="16"/>
      <c r="F943" s="16"/>
      <c r="G943" s="16"/>
      <c r="H943" s="16"/>
      <c r="I943" s="16"/>
      <c r="J943" s="16"/>
      <c r="K943" s="16"/>
      <c r="L943" s="16"/>
      <c r="M943" s="16"/>
      <c r="N943" s="16"/>
      <c r="O943" s="16"/>
      <c r="P943" s="17"/>
      <c r="Q943" s="16"/>
      <c r="R943" s="16"/>
      <c r="S943" s="16"/>
      <c r="T943" s="16"/>
      <c r="U943" s="16"/>
      <c r="V943" s="16"/>
      <c r="W943" s="16"/>
      <c r="X943" s="16"/>
      <c r="Y943" s="16"/>
      <c r="Z943" s="16"/>
      <c r="AA943" s="16"/>
      <c r="AB943" s="16"/>
      <c r="AC943" s="16"/>
      <c r="AD943" s="16"/>
    </row>
    <row r="944" ht="14.25" customHeight="1">
      <c r="A944" s="16"/>
      <c r="B944" s="16"/>
      <c r="C944" s="16"/>
      <c r="D944" s="16"/>
      <c r="E944" s="16"/>
      <c r="F944" s="16"/>
      <c r="G944" s="16"/>
      <c r="H944" s="16"/>
      <c r="I944" s="16"/>
      <c r="J944" s="16"/>
      <c r="K944" s="16"/>
      <c r="L944" s="16"/>
      <c r="M944" s="16"/>
      <c r="N944" s="16"/>
      <c r="O944" s="16"/>
      <c r="P944" s="17"/>
      <c r="Q944" s="16"/>
      <c r="R944" s="16"/>
      <c r="S944" s="16"/>
      <c r="T944" s="16"/>
      <c r="U944" s="16"/>
      <c r="V944" s="16"/>
      <c r="W944" s="16"/>
      <c r="X944" s="16"/>
      <c r="Y944" s="16"/>
      <c r="Z944" s="16"/>
      <c r="AA944" s="16"/>
      <c r="AB944" s="16"/>
      <c r="AC944" s="16"/>
      <c r="AD944" s="16"/>
    </row>
    <row r="945" ht="14.25" customHeight="1">
      <c r="A945" s="16"/>
      <c r="B945" s="16"/>
      <c r="C945" s="16"/>
      <c r="D945" s="16"/>
      <c r="E945" s="16"/>
      <c r="F945" s="16"/>
      <c r="G945" s="16"/>
      <c r="H945" s="16"/>
      <c r="I945" s="16"/>
      <c r="J945" s="16"/>
      <c r="K945" s="16"/>
      <c r="L945" s="16"/>
      <c r="M945" s="16"/>
      <c r="N945" s="16"/>
      <c r="O945" s="16"/>
      <c r="P945" s="17"/>
      <c r="Q945" s="16"/>
      <c r="R945" s="16"/>
      <c r="S945" s="16"/>
      <c r="T945" s="16"/>
      <c r="U945" s="16"/>
      <c r="V945" s="16"/>
      <c r="W945" s="16"/>
      <c r="X945" s="16"/>
      <c r="Y945" s="16"/>
      <c r="Z945" s="16"/>
      <c r="AA945" s="16"/>
      <c r="AB945" s="16"/>
      <c r="AC945" s="16"/>
      <c r="AD945" s="16"/>
    </row>
    <row r="946" ht="14.25" customHeight="1">
      <c r="A946" s="16"/>
      <c r="B946" s="16"/>
      <c r="C946" s="16"/>
      <c r="D946" s="16"/>
      <c r="E946" s="16"/>
      <c r="F946" s="16"/>
      <c r="G946" s="16"/>
      <c r="H946" s="16"/>
      <c r="I946" s="16"/>
      <c r="J946" s="16"/>
      <c r="K946" s="16"/>
      <c r="L946" s="16"/>
      <c r="M946" s="16"/>
      <c r="N946" s="16"/>
      <c r="O946" s="16"/>
      <c r="P946" s="17"/>
      <c r="Q946" s="16"/>
      <c r="R946" s="16"/>
      <c r="S946" s="16"/>
      <c r="T946" s="16"/>
      <c r="U946" s="16"/>
      <c r="V946" s="16"/>
      <c r="W946" s="16"/>
      <c r="X946" s="16"/>
      <c r="Y946" s="16"/>
      <c r="Z946" s="16"/>
      <c r="AA946" s="16"/>
      <c r="AB946" s="16"/>
      <c r="AC946" s="16"/>
      <c r="AD946" s="16"/>
    </row>
    <row r="947" ht="14.25" customHeight="1">
      <c r="A947" s="16"/>
      <c r="B947" s="16"/>
      <c r="C947" s="16"/>
      <c r="D947" s="16"/>
      <c r="E947" s="16"/>
      <c r="F947" s="16"/>
      <c r="G947" s="16"/>
      <c r="H947" s="16"/>
      <c r="I947" s="16"/>
      <c r="J947" s="16"/>
      <c r="K947" s="16"/>
      <c r="L947" s="16"/>
      <c r="M947" s="16"/>
      <c r="N947" s="16"/>
      <c r="O947" s="16"/>
      <c r="P947" s="17"/>
      <c r="Q947" s="16"/>
      <c r="R947" s="16"/>
      <c r="S947" s="16"/>
      <c r="T947" s="16"/>
      <c r="U947" s="16"/>
      <c r="V947" s="16"/>
      <c r="W947" s="16"/>
      <c r="X947" s="16"/>
      <c r="Y947" s="16"/>
      <c r="Z947" s="16"/>
      <c r="AA947" s="16"/>
      <c r="AB947" s="16"/>
      <c r="AC947" s="16"/>
      <c r="AD947" s="16"/>
    </row>
    <row r="948" ht="14.25" customHeight="1">
      <c r="A948" s="16"/>
      <c r="B948" s="16"/>
      <c r="C948" s="16"/>
      <c r="D948" s="16"/>
      <c r="E948" s="16"/>
      <c r="F948" s="16"/>
      <c r="G948" s="16"/>
      <c r="H948" s="16"/>
      <c r="I948" s="16"/>
      <c r="J948" s="16"/>
      <c r="K948" s="16"/>
      <c r="L948" s="16"/>
      <c r="M948" s="16"/>
      <c r="N948" s="16"/>
      <c r="O948" s="16"/>
      <c r="P948" s="17"/>
      <c r="Q948" s="16"/>
      <c r="R948" s="16"/>
      <c r="S948" s="16"/>
      <c r="T948" s="16"/>
      <c r="U948" s="16"/>
      <c r="V948" s="16"/>
      <c r="W948" s="16"/>
      <c r="X948" s="16"/>
      <c r="Y948" s="16"/>
      <c r="Z948" s="16"/>
      <c r="AA948" s="16"/>
      <c r="AB948" s="16"/>
      <c r="AC948" s="16"/>
      <c r="AD948" s="16"/>
    </row>
    <row r="949" ht="14.25" customHeight="1">
      <c r="A949" s="16"/>
      <c r="B949" s="16"/>
      <c r="C949" s="16"/>
      <c r="D949" s="16"/>
      <c r="E949" s="16"/>
      <c r="F949" s="16"/>
      <c r="G949" s="16"/>
      <c r="H949" s="16"/>
      <c r="I949" s="16"/>
      <c r="J949" s="16"/>
      <c r="K949" s="16"/>
      <c r="L949" s="16"/>
      <c r="M949" s="16"/>
      <c r="N949" s="16"/>
      <c r="O949" s="16"/>
      <c r="P949" s="17"/>
      <c r="Q949" s="16"/>
      <c r="R949" s="16"/>
      <c r="S949" s="16"/>
      <c r="T949" s="16"/>
      <c r="U949" s="16"/>
      <c r="V949" s="16"/>
      <c r="W949" s="16"/>
      <c r="X949" s="16"/>
      <c r="Y949" s="16"/>
      <c r="Z949" s="16"/>
      <c r="AA949" s="16"/>
      <c r="AB949" s="16"/>
      <c r="AC949" s="16"/>
      <c r="AD949" s="16"/>
    </row>
    <row r="950" ht="14.25" customHeight="1">
      <c r="A950" s="16"/>
      <c r="B950" s="16"/>
      <c r="C950" s="16"/>
      <c r="D950" s="16"/>
      <c r="E950" s="16"/>
      <c r="F950" s="16"/>
      <c r="G950" s="16"/>
      <c r="H950" s="16"/>
      <c r="I950" s="16"/>
      <c r="J950" s="16"/>
      <c r="K950" s="16"/>
      <c r="L950" s="16"/>
      <c r="M950" s="16"/>
      <c r="N950" s="16"/>
      <c r="O950" s="16"/>
      <c r="P950" s="17"/>
      <c r="Q950" s="16"/>
      <c r="R950" s="16"/>
      <c r="S950" s="16"/>
      <c r="T950" s="16"/>
      <c r="U950" s="16"/>
      <c r="V950" s="16"/>
      <c r="W950" s="16"/>
      <c r="X950" s="16"/>
      <c r="Y950" s="16"/>
      <c r="Z950" s="16"/>
      <c r="AA950" s="16"/>
      <c r="AB950" s="16"/>
      <c r="AC950" s="16"/>
      <c r="AD950" s="16"/>
    </row>
    <row r="951" ht="14.25" customHeight="1">
      <c r="A951" s="16"/>
      <c r="B951" s="16"/>
      <c r="C951" s="16"/>
      <c r="D951" s="16"/>
      <c r="E951" s="16"/>
      <c r="F951" s="16"/>
      <c r="G951" s="16"/>
      <c r="H951" s="16"/>
      <c r="I951" s="16"/>
      <c r="J951" s="16"/>
      <c r="K951" s="16"/>
      <c r="L951" s="16"/>
      <c r="M951" s="16"/>
      <c r="N951" s="16"/>
      <c r="O951" s="16"/>
      <c r="P951" s="17"/>
      <c r="Q951" s="16"/>
      <c r="R951" s="16"/>
      <c r="S951" s="16"/>
      <c r="T951" s="16"/>
      <c r="U951" s="16"/>
      <c r="V951" s="16"/>
      <c r="W951" s="16"/>
      <c r="X951" s="16"/>
      <c r="Y951" s="16"/>
      <c r="Z951" s="16"/>
      <c r="AA951" s="16"/>
      <c r="AB951" s="16"/>
      <c r="AC951" s="16"/>
      <c r="AD951" s="16"/>
    </row>
    <row r="952" ht="14.25" customHeight="1">
      <c r="A952" s="16"/>
      <c r="B952" s="16"/>
      <c r="C952" s="16"/>
      <c r="D952" s="16"/>
      <c r="E952" s="16"/>
      <c r="F952" s="16"/>
      <c r="G952" s="16"/>
      <c r="H952" s="16"/>
      <c r="I952" s="16"/>
      <c r="J952" s="16"/>
      <c r="K952" s="16"/>
      <c r="L952" s="16"/>
      <c r="M952" s="16"/>
      <c r="N952" s="16"/>
      <c r="O952" s="16"/>
      <c r="P952" s="17"/>
      <c r="Q952" s="16"/>
      <c r="R952" s="16"/>
      <c r="S952" s="16"/>
      <c r="T952" s="16"/>
      <c r="U952" s="16"/>
      <c r="V952" s="16"/>
      <c r="W952" s="16"/>
      <c r="X952" s="16"/>
      <c r="Y952" s="16"/>
      <c r="Z952" s="16"/>
      <c r="AA952" s="16"/>
      <c r="AB952" s="16"/>
      <c r="AC952" s="16"/>
      <c r="AD952" s="16"/>
    </row>
    <row r="953" ht="14.25" customHeight="1">
      <c r="A953" s="16"/>
      <c r="B953" s="16"/>
      <c r="C953" s="16"/>
      <c r="D953" s="16"/>
      <c r="E953" s="16"/>
      <c r="F953" s="16"/>
      <c r="G953" s="16"/>
      <c r="H953" s="16"/>
      <c r="I953" s="16"/>
      <c r="J953" s="16"/>
      <c r="K953" s="16"/>
      <c r="L953" s="16"/>
      <c r="M953" s="16"/>
      <c r="N953" s="16"/>
      <c r="O953" s="16"/>
      <c r="P953" s="17"/>
      <c r="Q953" s="16"/>
      <c r="R953" s="16"/>
      <c r="S953" s="16"/>
      <c r="T953" s="16"/>
      <c r="U953" s="16"/>
      <c r="V953" s="16"/>
      <c r="W953" s="16"/>
      <c r="X953" s="16"/>
      <c r="Y953" s="16"/>
      <c r="Z953" s="16"/>
      <c r="AA953" s="16"/>
      <c r="AB953" s="16"/>
      <c r="AC953" s="16"/>
      <c r="AD953" s="16"/>
    </row>
    <row r="954" ht="14.25" customHeight="1">
      <c r="A954" s="16"/>
      <c r="B954" s="16"/>
      <c r="C954" s="16"/>
      <c r="D954" s="16"/>
      <c r="E954" s="16"/>
      <c r="F954" s="16"/>
      <c r="G954" s="16"/>
      <c r="H954" s="16"/>
      <c r="I954" s="16"/>
      <c r="J954" s="16"/>
      <c r="K954" s="16"/>
      <c r="L954" s="16"/>
      <c r="M954" s="16"/>
      <c r="N954" s="16"/>
      <c r="O954" s="16"/>
      <c r="P954" s="17"/>
      <c r="Q954" s="16"/>
      <c r="R954" s="16"/>
      <c r="S954" s="16"/>
      <c r="T954" s="16"/>
      <c r="U954" s="16"/>
      <c r="V954" s="16"/>
      <c r="W954" s="16"/>
      <c r="X954" s="16"/>
      <c r="Y954" s="16"/>
      <c r="Z954" s="16"/>
      <c r="AA954" s="16"/>
      <c r="AB954" s="16"/>
      <c r="AC954" s="16"/>
      <c r="AD954" s="16"/>
    </row>
    <row r="955" ht="14.25" customHeight="1">
      <c r="A955" s="16"/>
      <c r="B955" s="16"/>
      <c r="C955" s="16"/>
      <c r="D955" s="16"/>
      <c r="E955" s="16"/>
      <c r="F955" s="16"/>
      <c r="G955" s="16"/>
      <c r="H955" s="16"/>
      <c r="I955" s="16"/>
      <c r="J955" s="16"/>
      <c r="K955" s="16"/>
      <c r="L955" s="16"/>
      <c r="M955" s="16"/>
      <c r="N955" s="16"/>
      <c r="O955" s="16"/>
      <c r="P955" s="17"/>
      <c r="Q955" s="16"/>
      <c r="R955" s="16"/>
      <c r="S955" s="16"/>
      <c r="T955" s="16"/>
      <c r="U955" s="16"/>
      <c r="V955" s="16"/>
      <c r="W955" s="16"/>
      <c r="X955" s="16"/>
      <c r="Y955" s="16"/>
      <c r="Z955" s="16"/>
      <c r="AA955" s="16"/>
      <c r="AB955" s="16"/>
      <c r="AC955" s="16"/>
      <c r="AD955" s="16"/>
    </row>
    <row r="956" ht="14.25" customHeight="1">
      <c r="A956" s="16"/>
      <c r="B956" s="16"/>
      <c r="C956" s="16"/>
      <c r="D956" s="16"/>
      <c r="E956" s="16"/>
      <c r="F956" s="16"/>
      <c r="G956" s="16"/>
      <c r="H956" s="16"/>
      <c r="I956" s="16"/>
      <c r="J956" s="16"/>
      <c r="K956" s="16"/>
      <c r="L956" s="16"/>
      <c r="M956" s="16"/>
      <c r="N956" s="16"/>
      <c r="O956" s="16"/>
      <c r="P956" s="17"/>
      <c r="Q956" s="16"/>
      <c r="R956" s="16"/>
      <c r="S956" s="16"/>
      <c r="T956" s="16"/>
      <c r="U956" s="16"/>
      <c r="V956" s="16"/>
      <c r="W956" s="16"/>
      <c r="X956" s="16"/>
      <c r="Y956" s="16"/>
      <c r="Z956" s="16"/>
      <c r="AA956" s="16"/>
      <c r="AB956" s="16"/>
      <c r="AC956" s="16"/>
      <c r="AD956" s="16"/>
    </row>
    <row r="957" ht="14.25" customHeight="1">
      <c r="A957" s="16"/>
      <c r="B957" s="16"/>
      <c r="C957" s="16"/>
      <c r="D957" s="16"/>
      <c r="E957" s="16"/>
      <c r="F957" s="16"/>
      <c r="G957" s="16"/>
      <c r="H957" s="16"/>
      <c r="I957" s="16"/>
      <c r="J957" s="16"/>
      <c r="K957" s="16"/>
      <c r="L957" s="16"/>
      <c r="M957" s="16"/>
      <c r="N957" s="16"/>
      <c r="O957" s="16"/>
      <c r="P957" s="17"/>
      <c r="Q957" s="16"/>
      <c r="R957" s="16"/>
      <c r="S957" s="16"/>
      <c r="T957" s="16"/>
      <c r="U957" s="16"/>
      <c r="V957" s="16"/>
      <c r="W957" s="16"/>
      <c r="X957" s="16"/>
      <c r="Y957" s="16"/>
      <c r="Z957" s="16"/>
      <c r="AA957" s="16"/>
      <c r="AB957" s="16"/>
      <c r="AC957" s="16"/>
      <c r="AD957" s="16"/>
    </row>
    <row r="958" ht="14.25" customHeight="1">
      <c r="A958" s="16"/>
      <c r="B958" s="16"/>
      <c r="C958" s="16"/>
      <c r="D958" s="16"/>
      <c r="E958" s="16"/>
      <c r="F958" s="16"/>
      <c r="G958" s="16"/>
      <c r="H958" s="16"/>
      <c r="I958" s="16"/>
      <c r="J958" s="16"/>
      <c r="K958" s="16"/>
      <c r="L958" s="16"/>
      <c r="M958" s="16"/>
      <c r="N958" s="16"/>
      <c r="O958" s="16"/>
      <c r="P958" s="17"/>
      <c r="Q958" s="16"/>
      <c r="R958" s="16"/>
      <c r="S958" s="16"/>
      <c r="T958" s="16"/>
      <c r="U958" s="16"/>
      <c r="V958" s="16"/>
      <c r="W958" s="16"/>
      <c r="X958" s="16"/>
      <c r="Y958" s="16"/>
      <c r="Z958" s="16"/>
      <c r="AA958" s="16"/>
      <c r="AB958" s="16"/>
      <c r="AC958" s="16"/>
      <c r="AD958" s="16"/>
    </row>
    <row r="959" ht="14.25" customHeight="1">
      <c r="A959" s="16"/>
      <c r="B959" s="16"/>
      <c r="C959" s="16"/>
      <c r="D959" s="16"/>
      <c r="E959" s="16"/>
      <c r="F959" s="16"/>
      <c r="G959" s="16"/>
      <c r="H959" s="16"/>
      <c r="I959" s="16"/>
      <c r="J959" s="16"/>
      <c r="K959" s="16"/>
      <c r="L959" s="16"/>
      <c r="M959" s="16"/>
      <c r="N959" s="16"/>
      <c r="O959" s="16"/>
      <c r="P959" s="17"/>
      <c r="Q959" s="16"/>
      <c r="R959" s="16"/>
      <c r="S959" s="16"/>
      <c r="T959" s="16"/>
      <c r="U959" s="16"/>
      <c r="V959" s="16"/>
      <c r="W959" s="16"/>
      <c r="X959" s="16"/>
      <c r="Y959" s="16"/>
      <c r="Z959" s="16"/>
      <c r="AA959" s="16"/>
      <c r="AB959" s="16"/>
      <c r="AC959" s="16"/>
      <c r="AD959" s="16"/>
    </row>
    <row r="960" ht="14.25" customHeight="1">
      <c r="A960" s="16"/>
      <c r="B960" s="16"/>
      <c r="C960" s="16"/>
      <c r="D960" s="16"/>
      <c r="E960" s="16"/>
      <c r="F960" s="16"/>
      <c r="G960" s="16"/>
      <c r="H960" s="16"/>
      <c r="I960" s="16"/>
      <c r="J960" s="16"/>
      <c r="K960" s="16"/>
      <c r="L960" s="16"/>
      <c r="M960" s="16"/>
      <c r="N960" s="16"/>
      <c r="O960" s="16"/>
      <c r="P960" s="17"/>
      <c r="Q960" s="16"/>
      <c r="R960" s="16"/>
      <c r="S960" s="16"/>
      <c r="T960" s="16"/>
      <c r="U960" s="16"/>
      <c r="V960" s="16"/>
      <c r="W960" s="16"/>
      <c r="X960" s="16"/>
      <c r="Y960" s="16"/>
      <c r="Z960" s="16"/>
      <c r="AA960" s="16"/>
      <c r="AB960" s="16"/>
      <c r="AC960" s="16"/>
      <c r="AD960" s="16"/>
    </row>
    <row r="961" ht="14.25" customHeight="1">
      <c r="A961" s="16"/>
      <c r="B961" s="16"/>
      <c r="C961" s="16"/>
      <c r="D961" s="16"/>
      <c r="E961" s="16"/>
      <c r="F961" s="16"/>
      <c r="G961" s="16"/>
      <c r="H961" s="16"/>
      <c r="I961" s="16"/>
      <c r="J961" s="16"/>
      <c r="K961" s="16"/>
      <c r="L961" s="16"/>
      <c r="M961" s="16"/>
      <c r="N961" s="16"/>
      <c r="O961" s="16"/>
      <c r="P961" s="17"/>
      <c r="Q961" s="16"/>
      <c r="R961" s="16"/>
      <c r="S961" s="16"/>
      <c r="T961" s="16"/>
      <c r="U961" s="16"/>
      <c r="V961" s="16"/>
      <c r="W961" s="16"/>
      <c r="X961" s="16"/>
      <c r="Y961" s="16"/>
      <c r="Z961" s="16"/>
      <c r="AA961" s="16"/>
      <c r="AB961" s="16"/>
      <c r="AC961" s="16"/>
      <c r="AD961" s="16"/>
    </row>
    <row r="962" ht="14.25" customHeight="1">
      <c r="A962" s="16"/>
      <c r="B962" s="16"/>
      <c r="C962" s="16"/>
      <c r="D962" s="16"/>
      <c r="E962" s="16"/>
      <c r="F962" s="16"/>
      <c r="G962" s="16"/>
      <c r="H962" s="16"/>
      <c r="I962" s="16"/>
      <c r="J962" s="16"/>
      <c r="K962" s="16"/>
      <c r="L962" s="16"/>
      <c r="M962" s="16"/>
      <c r="N962" s="16"/>
      <c r="O962" s="16"/>
      <c r="P962" s="17"/>
      <c r="Q962" s="16"/>
      <c r="R962" s="16"/>
      <c r="S962" s="16"/>
      <c r="T962" s="16"/>
      <c r="U962" s="16"/>
      <c r="V962" s="16"/>
      <c r="W962" s="16"/>
      <c r="X962" s="16"/>
      <c r="Y962" s="16"/>
      <c r="Z962" s="16"/>
      <c r="AA962" s="16"/>
      <c r="AB962" s="16"/>
      <c r="AC962" s="16"/>
      <c r="AD962" s="16"/>
    </row>
    <row r="963" ht="14.25" customHeight="1">
      <c r="A963" s="16"/>
      <c r="B963" s="16"/>
      <c r="C963" s="16"/>
      <c r="D963" s="16"/>
      <c r="E963" s="16"/>
      <c r="F963" s="16"/>
      <c r="G963" s="16"/>
      <c r="H963" s="16"/>
      <c r="I963" s="16"/>
      <c r="J963" s="16"/>
      <c r="K963" s="16"/>
      <c r="L963" s="16"/>
      <c r="M963" s="16"/>
      <c r="N963" s="16"/>
      <c r="O963" s="16"/>
      <c r="P963" s="17"/>
      <c r="Q963" s="16"/>
      <c r="R963" s="16"/>
      <c r="S963" s="16"/>
      <c r="T963" s="16"/>
      <c r="U963" s="16"/>
      <c r="V963" s="16"/>
      <c r="W963" s="16"/>
      <c r="X963" s="16"/>
      <c r="Y963" s="16"/>
      <c r="Z963" s="16"/>
      <c r="AA963" s="16"/>
      <c r="AB963" s="16"/>
      <c r="AC963" s="16"/>
      <c r="AD963" s="16"/>
    </row>
    <row r="964" ht="14.25" customHeight="1">
      <c r="A964" s="16"/>
      <c r="B964" s="16"/>
      <c r="C964" s="16"/>
      <c r="D964" s="16"/>
      <c r="E964" s="16"/>
      <c r="F964" s="16"/>
      <c r="G964" s="16"/>
      <c r="H964" s="16"/>
      <c r="I964" s="16"/>
      <c r="J964" s="16"/>
      <c r="K964" s="16"/>
      <c r="L964" s="16"/>
      <c r="M964" s="16"/>
      <c r="N964" s="16"/>
      <c r="O964" s="16"/>
      <c r="P964" s="17"/>
      <c r="Q964" s="16"/>
      <c r="R964" s="16"/>
      <c r="S964" s="16"/>
      <c r="T964" s="16"/>
      <c r="U964" s="16"/>
      <c r="V964" s="16"/>
      <c r="W964" s="16"/>
      <c r="X964" s="16"/>
      <c r="Y964" s="16"/>
      <c r="Z964" s="16"/>
      <c r="AA964" s="16"/>
      <c r="AB964" s="16"/>
      <c r="AC964" s="16"/>
      <c r="AD964" s="16"/>
    </row>
    <row r="965" ht="14.25" customHeight="1">
      <c r="A965" s="16"/>
      <c r="B965" s="16"/>
      <c r="C965" s="16"/>
      <c r="D965" s="16"/>
      <c r="E965" s="16"/>
      <c r="F965" s="16"/>
      <c r="G965" s="16"/>
      <c r="H965" s="16"/>
      <c r="I965" s="16"/>
      <c r="J965" s="16"/>
      <c r="K965" s="16"/>
      <c r="L965" s="16"/>
      <c r="M965" s="16"/>
      <c r="N965" s="16"/>
      <c r="O965" s="16"/>
      <c r="P965" s="17"/>
      <c r="Q965" s="16"/>
      <c r="R965" s="16"/>
      <c r="S965" s="16"/>
      <c r="T965" s="16"/>
      <c r="U965" s="16"/>
      <c r="V965" s="16"/>
      <c r="W965" s="16"/>
      <c r="X965" s="16"/>
      <c r="Y965" s="16"/>
      <c r="Z965" s="16"/>
      <c r="AA965" s="16"/>
      <c r="AB965" s="16"/>
      <c r="AC965" s="16"/>
      <c r="AD965" s="16"/>
    </row>
    <row r="966" ht="14.25" customHeight="1">
      <c r="A966" s="16"/>
      <c r="B966" s="16"/>
      <c r="C966" s="16"/>
      <c r="D966" s="16"/>
      <c r="E966" s="16"/>
      <c r="F966" s="16"/>
      <c r="G966" s="16"/>
      <c r="H966" s="16"/>
      <c r="I966" s="16"/>
      <c r="J966" s="16"/>
      <c r="K966" s="16"/>
      <c r="L966" s="16"/>
      <c r="M966" s="16"/>
      <c r="N966" s="16"/>
      <c r="O966" s="16"/>
      <c r="P966" s="17"/>
      <c r="Q966" s="16"/>
      <c r="R966" s="16"/>
      <c r="S966" s="16"/>
      <c r="T966" s="16"/>
      <c r="U966" s="16"/>
      <c r="V966" s="16"/>
      <c r="W966" s="16"/>
      <c r="X966" s="16"/>
      <c r="Y966" s="16"/>
      <c r="Z966" s="16"/>
      <c r="AA966" s="16"/>
      <c r="AB966" s="16"/>
      <c r="AC966" s="16"/>
      <c r="AD966" s="16"/>
    </row>
    <row r="967" ht="14.25" customHeight="1">
      <c r="A967" s="16"/>
      <c r="B967" s="16"/>
      <c r="C967" s="16"/>
      <c r="D967" s="16"/>
      <c r="E967" s="16"/>
      <c r="F967" s="16"/>
      <c r="G967" s="16"/>
      <c r="H967" s="16"/>
      <c r="I967" s="16"/>
      <c r="J967" s="16"/>
      <c r="K967" s="16"/>
      <c r="L967" s="16"/>
      <c r="M967" s="16"/>
      <c r="N967" s="16"/>
      <c r="O967" s="16"/>
      <c r="P967" s="17"/>
      <c r="Q967" s="16"/>
      <c r="R967" s="16"/>
      <c r="S967" s="16"/>
      <c r="T967" s="16"/>
      <c r="U967" s="16"/>
      <c r="V967" s="16"/>
      <c r="W967" s="16"/>
      <c r="X967" s="16"/>
      <c r="Y967" s="16"/>
      <c r="Z967" s="16"/>
      <c r="AA967" s="16"/>
      <c r="AB967" s="16"/>
      <c r="AC967" s="16"/>
      <c r="AD967" s="16"/>
    </row>
    <row r="968" ht="14.25" customHeight="1">
      <c r="A968" s="16"/>
      <c r="B968" s="16"/>
      <c r="C968" s="16"/>
      <c r="D968" s="16"/>
      <c r="E968" s="16"/>
      <c r="F968" s="16"/>
      <c r="G968" s="16"/>
      <c r="H968" s="16"/>
      <c r="I968" s="16"/>
      <c r="J968" s="16"/>
      <c r="K968" s="16"/>
      <c r="L968" s="16"/>
      <c r="M968" s="16"/>
      <c r="N968" s="16"/>
      <c r="O968" s="16"/>
      <c r="P968" s="17"/>
      <c r="Q968" s="16"/>
      <c r="R968" s="16"/>
      <c r="S968" s="16"/>
      <c r="T968" s="16"/>
      <c r="U968" s="16"/>
      <c r="V968" s="16"/>
      <c r="W968" s="16"/>
      <c r="X968" s="16"/>
      <c r="Y968" s="16"/>
      <c r="Z968" s="16"/>
      <c r="AA968" s="16"/>
      <c r="AB968" s="16"/>
      <c r="AC968" s="16"/>
      <c r="AD968" s="16"/>
    </row>
    <row r="969" ht="14.25" customHeight="1">
      <c r="A969" s="16"/>
      <c r="B969" s="16"/>
      <c r="C969" s="16"/>
      <c r="D969" s="16"/>
      <c r="E969" s="16"/>
      <c r="F969" s="16"/>
      <c r="G969" s="16"/>
      <c r="H969" s="16"/>
      <c r="I969" s="16"/>
      <c r="J969" s="16"/>
      <c r="K969" s="16"/>
      <c r="L969" s="16"/>
      <c r="M969" s="16"/>
      <c r="N969" s="16"/>
      <c r="O969" s="16"/>
      <c r="P969" s="17"/>
      <c r="Q969" s="16"/>
      <c r="R969" s="16"/>
      <c r="S969" s="16"/>
      <c r="T969" s="16"/>
      <c r="U969" s="16"/>
      <c r="V969" s="16"/>
      <c r="W969" s="16"/>
      <c r="X969" s="16"/>
      <c r="Y969" s="16"/>
      <c r="Z969" s="16"/>
      <c r="AA969" s="16"/>
      <c r="AB969" s="16"/>
      <c r="AC969" s="16"/>
      <c r="AD969" s="16"/>
    </row>
    <row r="970" ht="14.25" customHeight="1">
      <c r="A970" s="16"/>
      <c r="B970" s="16"/>
      <c r="C970" s="16"/>
      <c r="D970" s="16"/>
      <c r="E970" s="16"/>
      <c r="F970" s="16"/>
      <c r="G970" s="16"/>
      <c r="H970" s="16"/>
      <c r="I970" s="16"/>
      <c r="J970" s="16"/>
      <c r="K970" s="16"/>
      <c r="L970" s="16"/>
      <c r="M970" s="16"/>
      <c r="N970" s="16"/>
      <c r="O970" s="16"/>
      <c r="P970" s="17"/>
      <c r="Q970" s="16"/>
      <c r="R970" s="16"/>
      <c r="S970" s="16"/>
      <c r="T970" s="16"/>
      <c r="U970" s="16"/>
      <c r="V970" s="16"/>
      <c r="W970" s="16"/>
      <c r="X970" s="16"/>
      <c r="Y970" s="16"/>
      <c r="Z970" s="16"/>
      <c r="AA970" s="16"/>
      <c r="AB970" s="16"/>
      <c r="AC970" s="16"/>
      <c r="AD970" s="16"/>
    </row>
    <row r="971" ht="14.25" customHeight="1">
      <c r="A971" s="16"/>
      <c r="B971" s="16"/>
      <c r="C971" s="16"/>
      <c r="D971" s="16"/>
      <c r="E971" s="16"/>
      <c r="F971" s="16"/>
      <c r="G971" s="16"/>
      <c r="H971" s="16"/>
      <c r="I971" s="16"/>
      <c r="J971" s="16"/>
      <c r="K971" s="16"/>
      <c r="L971" s="16"/>
      <c r="M971" s="16"/>
      <c r="N971" s="16"/>
      <c r="O971" s="16"/>
      <c r="P971" s="17"/>
      <c r="Q971" s="16"/>
      <c r="R971" s="16"/>
      <c r="S971" s="16"/>
      <c r="T971" s="16"/>
      <c r="U971" s="16"/>
      <c r="V971" s="16"/>
      <c r="W971" s="16"/>
      <c r="X971" s="16"/>
      <c r="Y971" s="16"/>
      <c r="Z971" s="16"/>
      <c r="AA971" s="16"/>
      <c r="AB971" s="16"/>
      <c r="AC971" s="16"/>
      <c r="AD971" s="16"/>
    </row>
    <row r="972" ht="14.25" customHeight="1">
      <c r="A972" s="16"/>
      <c r="B972" s="16"/>
      <c r="C972" s="16"/>
      <c r="D972" s="16"/>
      <c r="E972" s="16"/>
      <c r="F972" s="16"/>
      <c r="G972" s="16"/>
      <c r="H972" s="16"/>
      <c r="I972" s="16"/>
      <c r="J972" s="16"/>
      <c r="K972" s="16"/>
      <c r="L972" s="16"/>
      <c r="M972" s="16"/>
      <c r="N972" s="16"/>
      <c r="O972" s="16"/>
      <c r="P972" s="17"/>
      <c r="Q972" s="16"/>
      <c r="R972" s="16"/>
      <c r="S972" s="16"/>
      <c r="T972" s="16"/>
      <c r="U972" s="16"/>
      <c r="V972" s="16"/>
      <c r="W972" s="16"/>
      <c r="X972" s="16"/>
      <c r="Y972" s="16"/>
      <c r="Z972" s="16"/>
      <c r="AA972" s="16"/>
      <c r="AB972" s="16"/>
      <c r="AC972" s="16"/>
      <c r="AD972" s="16"/>
    </row>
    <row r="973" ht="14.25" customHeight="1">
      <c r="A973" s="16"/>
      <c r="B973" s="16"/>
      <c r="C973" s="16"/>
      <c r="D973" s="16"/>
      <c r="E973" s="16"/>
      <c r="F973" s="16"/>
      <c r="G973" s="16"/>
      <c r="H973" s="16"/>
      <c r="I973" s="16"/>
      <c r="J973" s="16"/>
      <c r="K973" s="16"/>
      <c r="L973" s="16"/>
      <c r="M973" s="16"/>
      <c r="N973" s="16"/>
      <c r="O973" s="16"/>
      <c r="P973" s="17"/>
      <c r="Q973" s="16"/>
      <c r="R973" s="16"/>
      <c r="S973" s="16"/>
      <c r="T973" s="16"/>
      <c r="U973" s="16"/>
      <c r="V973" s="16"/>
      <c r="W973" s="16"/>
      <c r="X973" s="16"/>
      <c r="Y973" s="16"/>
      <c r="Z973" s="16"/>
      <c r="AA973" s="16"/>
      <c r="AB973" s="16"/>
      <c r="AC973" s="16"/>
      <c r="AD973" s="16"/>
    </row>
    <row r="974" ht="14.25" customHeight="1">
      <c r="A974" s="16"/>
      <c r="B974" s="16"/>
      <c r="C974" s="16"/>
      <c r="D974" s="16"/>
      <c r="E974" s="16"/>
      <c r="F974" s="16"/>
      <c r="G974" s="16"/>
      <c r="H974" s="16"/>
      <c r="I974" s="16"/>
      <c r="J974" s="16"/>
      <c r="K974" s="16"/>
      <c r="L974" s="16"/>
      <c r="M974" s="16"/>
      <c r="N974" s="16"/>
      <c r="O974" s="16"/>
      <c r="P974" s="17"/>
      <c r="Q974" s="16"/>
      <c r="R974" s="16"/>
      <c r="S974" s="16"/>
      <c r="T974" s="16"/>
      <c r="U974" s="16"/>
      <c r="V974" s="16"/>
      <c r="W974" s="16"/>
      <c r="X974" s="16"/>
      <c r="Y974" s="16"/>
      <c r="Z974" s="16"/>
      <c r="AA974" s="16"/>
      <c r="AB974" s="16"/>
      <c r="AC974" s="16"/>
      <c r="AD974" s="16"/>
    </row>
    <row r="975" ht="14.25" customHeight="1">
      <c r="A975" s="16"/>
      <c r="B975" s="16"/>
      <c r="C975" s="16"/>
      <c r="D975" s="16"/>
      <c r="E975" s="16"/>
      <c r="F975" s="16"/>
      <c r="G975" s="16"/>
      <c r="H975" s="16"/>
      <c r="I975" s="16"/>
      <c r="J975" s="16"/>
      <c r="K975" s="16"/>
      <c r="L975" s="16"/>
      <c r="M975" s="16"/>
      <c r="N975" s="16"/>
      <c r="O975" s="16"/>
      <c r="P975" s="17"/>
      <c r="Q975" s="16"/>
      <c r="R975" s="16"/>
      <c r="S975" s="16"/>
      <c r="T975" s="16"/>
      <c r="U975" s="16"/>
      <c r="V975" s="16"/>
      <c r="W975" s="16"/>
      <c r="X975" s="16"/>
      <c r="Y975" s="16"/>
      <c r="Z975" s="16"/>
      <c r="AA975" s="16"/>
      <c r="AB975" s="16"/>
      <c r="AC975" s="16"/>
      <c r="AD975" s="16"/>
    </row>
    <row r="976" ht="14.25" customHeight="1">
      <c r="A976" s="16"/>
      <c r="B976" s="16"/>
      <c r="C976" s="16"/>
      <c r="D976" s="16"/>
      <c r="E976" s="16"/>
      <c r="F976" s="16"/>
      <c r="G976" s="16"/>
      <c r="H976" s="16"/>
      <c r="I976" s="16"/>
      <c r="J976" s="16"/>
      <c r="K976" s="16"/>
      <c r="L976" s="16"/>
      <c r="M976" s="16"/>
      <c r="N976" s="16"/>
      <c r="O976" s="16"/>
      <c r="P976" s="17"/>
      <c r="Q976" s="16"/>
      <c r="R976" s="16"/>
      <c r="S976" s="16"/>
      <c r="T976" s="16"/>
      <c r="U976" s="16"/>
      <c r="V976" s="16"/>
      <c r="W976" s="16"/>
      <c r="X976" s="16"/>
      <c r="Y976" s="16"/>
      <c r="Z976" s="16"/>
      <c r="AA976" s="16"/>
      <c r="AB976" s="16"/>
      <c r="AC976" s="16"/>
      <c r="AD976" s="16"/>
    </row>
    <row r="977" ht="14.25" customHeight="1">
      <c r="A977" s="16"/>
      <c r="B977" s="16"/>
      <c r="C977" s="16"/>
      <c r="D977" s="16"/>
      <c r="E977" s="16"/>
      <c r="F977" s="16"/>
      <c r="G977" s="16"/>
      <c r="H977" s="16"/>
      <c r="I977" s="16"/>
      <c r="J977" s="16"/>
      <c r="K977" s="16"/>
      <c r="L977" s="16"/>
      <c r="M977" s="16"/>
      <c r="N977" s="16"/>
      <c r="O977" s="16"/>
      <c r="P977" s="17"/>
      <c r="Q977" s="16"/>
      <c r="R977" s="16"/>
      <c r="S977" s="16"/>
      <c r="T977" s="16"/>
      <c r="U977" s="16"/>
      <c r="V977" s="16"/>
      <c r="W977" s="16"/>
      <c r="X977" s="16"/>
      <c r="Y977" s="16"/>
      <c r="Z977" s="16"/>
      <c r="AA977" s="16"/>
      <c r="AB977" s="16"/>
      <c r="AC977" s="16"/>
      <c r="AD977" s="16"/>
    </row>
    <row r="978" ht="14.25" customHeight="1">
      <c r="A978" s="16"/>
      <c r="B978" s="16"/>
      <c r="C978" s="16"/>
      <c r="D978" s="16"/>
      <c r="E978" s="16"/>
      <c r="F978" s="16"/>
      <c r="G978" s="16"/>
      <c r="H978" s="16"/>
      <c r="I978" s="16"/>
      <c r="J978" s="16"/>
      <c r="K978" s="16"/>
      <c r="L978" s="16"/>
      <c r="M978" s="16"/>
      <c r="N978" s="16"/>
      <c r="O978" s="16"/>
      <c r="P978" s="17"/>
      <c r="Q978" s="16"/>
      <c r="R978" s="16"/>
      <c r="S978" s="16"/>
      <c r="T978" s="16"/>
      <c r="U978" s="16"/>
      <c r="V978" s="16"/>
      <c r="W978" s="16"/>
      <c r="X978" s="16"/>
      <c r="Y978" s="16"/>
      <c r="Z978" s="16"/>
      <c r="AA978" s="16"/>
      <c r="AB978" s="16"/>
      <c r="AC978" s="16"/>
      <c r="AD978" s="16"/>
    </row>
    <row r="979" ht="14.25" customHeight="1">
      <c r="A979" s="16"/>
      <c r="B979" s="16"/>
      <c r="C979" s="16"/>
      <c r="D979" s="16"/>
      <c r="E979" s="16"/>
      <c r="F979" s="16"/>
      <c r="G979" s="16"/>
      <c r="H979" s="16"/>
      <c r="I979" s="16"/>
      <c r="J979" s="16"/>
      <c r="K979" s="16"/>
      <c r="L979" s="16"/>
      <c r="M979" s="16"/>
      <c r="N979" s="16"/>
      <c r="O979" s="16"/>
      <c r="P979" s="17"/>
      <c r="Q979" s="16"/>
      <c r="R979" s="16"/>
      <c r="S979" s="16"/>
      <c r="T979" s="16"/>
      <c r="U979" s="16"/>
      <c r="V979" s="16"/>
      <c r="W979" s="16"/>
      <c r="X979" s="16"/>
      <c r="Y979" s="16"/>
      <c r="Z979" s="16"/>
      <c r="AA979" s="16"/>
      <c r="AB979" s="16"/>
      <c r="AC979" s="16"/>
      <c r="AD979" s="16"/>
    </row>
    <row r="980" ht="14.25" customHeight="1">
      <c r="A980" s="16"/>
      <c r="B980" s="16"/>
      <c r="C980" s="16"/>
      <c r="D980" s="16"/>
      <c r="E980" s="16"/>
      <c r="F980" s="16"/>
      <c r="G980" s="16"/>
      <c r="H980" s="16"/>
      <c r="I980" s="16"/>
      <c r="J980" s="16"/>
      <c r="K980" s="16"/>
      <c r="L980" s="16"/>
      <c r="M980" s="16"/>
      <c r="N980" s="16"/>
      <c r="O980" s="16"/>
      <c r="P980" s="17"/>
      <c r="Q980" s="16"/>
      <c r="R980" s="16"/>
      <c r="S980" s="16"/>
      <c r="T980" s="16"/>
      <c r="U980" s="16"/>
      <c r="V980" s="16"/>
      <c r="W980" s="16"/>
      <c r="X980" s="16"/>
      <c r="Y980" s="16"/>
      <c r="Z980" s="16"/>
      <c r="AA980" s="16"/>
      <c r="AB980" s="16"/>
      <c r="AC980" s="16"/>
      <c r="AD980" s="16"/>
    </row>
    <row r="981" ht="14.25" customHeight="1">
      <c r="A981" s="16"/>
      <c r="B981" s="16"/>
      <c r="C981" s="16"/>
      <c r="D981" s="16"/>
      <c r="E981" s="16"/>
      <c r="F981" s="16"/>
      <c r="G981" s="16"/>
      <c r="H981" s="16"/>
      <c r="I981" s="16"/>
      <c r="J981" s="16"/>
      <c r="K981" s="16"/>
      <c r="L981" s="16"/>
      <c r="M981" s="16"/>
      <c r="N981" s="16"/>
      <c r="O981" s="16"/>
      <c r="P981" s="17"/>
      <c r="Q981" s="16"/>
      <c r="R981" s="16"/>
      <c r="S981" s="16"/>
      <c r="T981" s="16"/>
      <c r="U981" s="16"/>
      <c r="V981" s="16"/>
      <c r="W981" s="16"/>
      <c r="X981" s="16"/>
      <c r="Y981" s="16"/>
      <c r="Z981" s="16"/>
      <c r="AA981" s="16"/>
      <c r="AB981" s="16"/>
      <c r="AC981" s="16"/>
      <c r="AD981" s="16"/>
    </row>
    <row r="982" ht="14.25" customHeight="1">
      <c r="A982" s="16"/>
      <c r="B982" s="16"/>
      <c r="C982" s="16"/>
      <c r="D982" s="16"/>
      <c r="E982" s="16"/>
      <c r="F982" s="16"/>
      <c r="G982" s="16"/>
      <c r="H982" s="16"/>
      <c r="I982" s="16"/>
      <c r="J982" s="16"/>
      <c r="K982" s="16"/>
      <c r="L982" s="16"/>
      <c r="M982" s="16"/>
      <c r="N982" s="16"/>
      <c r="O982" s="16"/>
      <c r="P982" s="17"/>
      <c r="Q982" s="16"/>
      <c r="R982" s="16"/>
      <c r="S982" s="16"/>
      <c r="T982" s="16"/>
      <c r="U982" s="16"/>
      <c r="V982" s="16"/>
      <c r="W982" s="16"/>
      <c r="X982" s="16"/>
      <c r="Y982" s="16"/>
      <c r="Z982" s="16"/>
      <c r="AA982" s="16"/>
      <c r="AB982" s="16"/>
      <c r="AC982" s="16"/>
      <c r="AD982" s="16"/>
    </row>
    <row r="983" ht="14.25" customHeight="1">
      <c r="A983" s="16"/>
      <c r="B983" s="16"/>
      <c r="C983" s="16"/>
      <c r="D983" s="16"/>
      <c r="E983" s="16"/>
      <c r="F983" s="16"/>
      <c r="G983" s="16"/>
      <c r="H983" s="16"/>
      <c r="I983" s="16"/>
      <c r="J983" s="16"/>
      <c r="K983" s="16"/>
      <c r="L983" s="16"/>
      <c r="M983" s="16"/>
      <c r="N983" s="16"/>
      <c r="O983" s="16"/>
      <c r="P983" s="17"/>
      <c r="Q983" s="16"/>
      <c r="R983" s="16"/>
      <c r="S983" s="16"/>
      <c r="T983" s="16"/>
      <c r="U983" s="16"/>
      <c r="V983" s="16"/>
      <c r="W983" s="16"/>
      <c r="X983" s="16"/>
      <c r="Y983" s="16"/>
      <c r="Z983" s="16"/>
      <c r="AA983" s="16"/>
      <c r="AB983" s="16"/>
      <c r="AC983" s="16"/>
      <c r="AD983" s="16"/>
    </row>
    <row r="984" ht="14.25" customHeight="1">
      <c r="A984" s="16"/>
      <c r="B984" s="16"/>
      <c r="C984" s="16"/>
      <c r="D984" s="16"/>
      <c r="E984" s="16"/>
      <c r="F984" s="16"/>
      <c r="G984" s="16"/>
      <c r="H984" s="16"/>
      <c r="I984" s="16"/>
      <c r="J984" s="16"/>
      <c r="K984" s="16"/>
      <c r="L984" s="16"/>
      <c r="M984" s="16"/>
      <c r="N984" s="16"/>
      <c r="O984" s="16"/>
      <c r="P984" s="17"/>
      <c r="Q984" s="16"/>
      <c r="R984" s="16"/>
      <c r="S984" s="16"/>
      <c r="T984" s="16"/>
      <c r="U984" s="16"/>
      <c r="V984" s="16"/>
      <c r="W984" s="16"/>
      <c r="X984" s="16"/>
      <c r="Y984" s="16"/>
      <c r="Z984" s="16"/>
      <c r="AA984" s="16"/>
      <c r="AB984" s="16"/>
      <c r="AC984" s="16"/>
      <c r="AD984" s="16"/>
    </row>
    <row r="985" ht="14.25" customHeight="1">
      <c r="A985" s="16"/>
      <c r="B985" s="16"/>
      <c r="C985" s="16"/>
      <c r="D985" s="16"/>
      <c r="E985" s="16"/>
      <c r="F985" s="16"/>
      <c r="G985" s="16"/>
      <c r="H985" s="16"/>
      <c r="I985" s="16"/>
      <c r="J985" s="16"/>
      <c r="K985" s="16"/>
      <c r="L985" s="16"/>
      <c r="M985" s="16"/>
      <c r="N985" s="16"/>
      <c r="O985" s="16"/>
      <c r="P985" s="17"/>
      <c r="Q985" s="16"/>
      <c r="R985" s="16"/>
      <c r="S985" s="16"/>
      <c r="T985" s="16"/>
      <c r="U985" s="16"/>
      <c r="V985" s="16"/>
      <c r="W985" s="16"/>
      <c r="X985" s="16"/>
      <c r="Y985" s="16"/>
      <c r="Z985" s="16"/>
      <c r="AA985" s="16"/>
      <c r="AB985" s="16"/>
      <c r="AC985" s="16"/>
      <c r="AD985" s="16"/>
    </row>
    <row r="986" ht="14.25" customHeight="1">
      <c r="A986" s="16"/>
      <c r="B986" s="16"/>
      <c r="C986" s="16"/>
      <c r="D986" s="16"/>
      <c r="E986" s="16"/>
      <c r="F986" s="16"/>
      <c r="G986" s="16"/>
      <c r="H986" s="16"/>
      <c r="I986" s="16"/>
      <c r="J986" s="16"/>
      <c r="K986" s="16"/>
      <c r="L986" s="16"/>
      <c r="M986" s="16"/>
      <c r="N986" s="16"/>
      <c r="O986" s="16"/>
      <c r="P986" s="17"/>
      <c r="Q986" s="16"/>
      <c r="R986" s="16"/>
      <c r="S986" s="16"/>
      <c r="T986" s="16"/>
      <c r="U986" s="16"/>
      <c r="V986" s="16"/>
      <c r="W986" s="16"/>
      <c r="X986" s="16"/>
      <c r="Y986" s="16"/>
      <c r="Z986" s="16"/>
      <c r="AA986" s="16"/>
      <c r="AB986" s="16"/>
      <c r="AC986" s="16"/>
      <c r="AD986" s="16"/>
    </row>
    <row r="987" ht="14.25" customHeight="1">
      <c r="A987" s="16"/>
      <c r="B987" s="16"/>
      <c r="C987" s="16"/>
      <c r="D987" s="16"/>
      <c r="E987" s="16"/>
      <c r="F987" s="16"/>
      <c r="G987" s="16"/>
      <c r="H987" s="16"/>
      <c r="I987" s="16"/>
      <c r="J987" s="16"/>
      <c r="K987" s="16"/>
      <c r="L987" s="16"/>
      <c r="M987" s="16"/>
      <c r="N987" s="16"/>
      <c r="O987" s="16"/>
      <c r="P987" s="17"/>
      <c r="Q987" s="16"/>
      <c r="R987" s="16"/>
      <c r="S987" s="16"/>
      <c r="T987" s="16"/>
      <c r="U987" s="16"/>
      <c r="V987" s="16"/>
      <c r="W987" s="16"/>
      <c r="X987" s="16"/>
      <c r="Y987" s="16"/>
      <c r="Z987" s="16"/>
      <c r="AA987" s="16"/>
      <c r="AB987" s="16"/>
      <c r="AC987" s="16"/>
      <c r="AD987" s="16"/>
    </row>
    <row r="988" ht="14.25" customHeight="1">
      <c r="A988" s="16"/>
      <c r="B988" s="16"/>
      <c r="C988" s="16"/>
      <c r="D988" s="16"/>
      <c r="E988" s="16"/>
      <c r="F988" s="16"/>
      <c r="G988" s="16"/>
      <c r="H988" s="16"/>
      <c r="I988" s="16"/>
      <c r="J988" s="16"/>
      <c r="K988" s="16"/>
      <c r="L988" s="16"/>
      <c r="M988" s="16"/>
      <c r="N988" s="16"/>
      <c r="O988" s="16"/>
      <c r="P988" s="17"/>
      <c r="Q988" s="16"/>
      <c r="R988" s="16"/>
      <c r="S988" s="16"/>
      <c r="T988" s="16"/>
      <c r="U988" s="16"/>
      <c r="V988" s="16"/>
      <c r="W988" s="16"/>
      <c r="X988" s="16"/>
      <c r="Y988" s="16"/>
      <c r="Z988" s="16"/>
      <c r="AA988" s="16"/>
      <c r="AB988" s="16"/>
      <c r="AC988" s="16"/>
      <c r="AD988" s="16"/>
    </row>
    <row r="989" ht="14.25" customHeight="1">
      <c r="A989" s="16"/>
      <c r="B989" s="16"/>
      <c r="C989" s="16"/>
      <c r="D989" s="16"/>
      <c r="E989" s="16"/>
      <c r="F989" s="16"/>
      <c r="G989" s="16"/>
      <c r="H989" s="16"/>
      <c r="I989" s="16"/>
      <c r="J989" s="16"/>
      <c r="K989" s="16"/>
      <c r="L989" s="16"/>
      <c r="M989" s="16"/>
      <c r="N989" s="16"/>
      <c r="O989" s="16"/>
      <c r="P989" s="17"/>
      <c r="Q989" s="16"/>
      <c r="R989" s="16"/>
      <c r="S989" s="16"/>
      <c r="T989" s="16"/>
      <c r="U989" s="16"/>
      <c r="V989" s="16"/>
      <c r="W989" s="16"/>
      <c r="X989" s="16"/>
      <c r="Y989" s="16"/>
      <c r="Z989" s="16"/>
      <c r="AA989" s="16"/>
      <c r="AB989" s="16"/>
      <c r="AC989" s="16"/>
      <c r="AD989" s="16"/>
    </row>
    <row r="990" ht="14.25" customHeight="1">
      <c r="A990" s="16"/>
      <c r="B990" s="16"/>
      <c r="C990" s="16"/>
      <c r="D990" s="16"/>
      <c r="E990" s="16"/>
      <c r="F990" s="16"/>
      <c r="G990" s="16"/>
      <c r="H990" s="16"/>
      <c r="I990" s="16"/>
      <c r="J990" s="16"/>
      <c r="K990" s="16"/>
      <c r="L990" s="16"/>
      <c r="M990" s="16"/>
      <c r="N990" s="16"/>
      <c r="O990" s="16"/>
      <c r="P990" s="17"/>
      <c r="Q990" s="16"/>
      <c r="R990" s="16"/>
      <c r="S990" s="16"/>
      <c r="T990" s="16"/>
      <c r="U990" s="16"/>
      <c r="V990" s="16"/>
      <c r="W990" s="16"/>
      <c r="X990" s="16"/>
      <c r="Y990" s="16"/>
      <c r="Z990" s="16"/>
      <c r="AA990" s="16"/>
      <c r="AB990" s="16"/>
      <c r="AC990" s="16"/>
      <c r="AD990" s="16"/>
    </row>
    <row r="991" ht="14.25" customHeight="1">
      <c r="A991" s="16"/>
      <c r="B991" s="16"/>
      <c r="C991" s="16"/>
      <c r="D991" s="16"/>
      <c r="E991" s="16"/>
      <c r="F991" s="16"/>
      <c r="G991" s="16"/>
      <c r="H991" s="16"/>
      <c r="I991" s="16"/>
      <c r="J991" s="16"/>
      <c r="K991" s="16"/>
      <c r="L991" s="16"/>
      <c r="M991" s="16"/>
      <c r="N991" s="16"/>
      <c r="O991" s="16"/>
      <c r="P991" s="17"/>
      <c r="Q991" s="16"/>
      <c r="R991" s="16"/>
      <c r="S991" s="16"/>
      <c r="T991" s="16"/>
      <c r="U991" s="16"/>
      <c r="V991" s="16"/>
      <c r="W991" s="16"/>
      <c r="X991" s="16"/>
      <c r="Y991" s="16"/>
      <c r="Z991" s="16"/>
      <c r="AA991" s="16"/>
      <c r="AB991" s="16"/>
      <c r="AC991" s="16"/>
      <c r="AD991" s="16"/>
    </row>
    <row r="992" ht="14.25" customHeight="1">
      <c r="A992" s="16"/>
      <c r="B992" s="16"/>
      <c r="C992" s="16"/>
      <c r="D992" s="16"/>
      <c r="E992" s="16"/>
      <c r="F992" s="16"/>
      <c r="G992" s="16"/>
      <c r="H992" s="16"/>
      <c r="I992" s="16"/>
      <c r="J992" s="16"/>
      <c r="K992" s="16"/>
      <c r="L992" s="16"/>
      <c r="M992" s="16"/>
      <c r="N992" s="16"/>
      <c r="O992" s="16"/>
      <c r="P992" s="17"/>
      <c r="Q992" s="16"/>
      <c r="R992" s="16"/>
      <c r="S992" s="16"/>
      <c r="T992" s="16"/>
      <c r="U992" s="16"/>
      <c r="V992" s="16"/>
      <c r="W992" s="16"/>
      <c r="X992" s="16"/>
      <c r="Y992" s="16"/>
      <c r="Z992" s="16"/>
      <c r="AA992" s="16"/>
      <c r="AB992" s="16"/>
      <c r="AC992" s="16"/>
      <c r="AD992" s="16"/>
    </row>
    <row r="993" ht="14.25" customHeight="1">
      <c r="A993" s="16"/>
      <c r="B993" s="16"/>
      <c r="C993" s="16"/>
      <c r="D993" s="16"/>
      <c r="E993" s="16"/>
      <c r="F993" s="16"/>
      <c r="G993" s="16"/>
      <c r="H993" s="16"/>
      <c r="I993" s="16"/>
      <c r="J993" s="16"/>
      <c r="K993" s="16"/>
      <c r="L993" s="16"/>
      <c r="M993" s="16"/>
      <c r="N993" s="16"/>
      <c r="O993" s="16"/>
      <c r="P993" s="17"/>
      <c r="Q993" s="16"/>
      <c r="R993" s="16"/>
      <c r="S993" s="16"/>
      <c r="T993" s="16"/>
      <c r="U993" s="16"/>
      <c r="V993" s="16"/>
      <c r="W993" s="16"/>
      <c r="X993" s="16"/>
      <c r="Y993" s="16"/>
      <c r="Z993" s="16"/>
      <c r="AA993" s="16"/>
      <c r="AB993" s="16"/>
      <c r="AC993" s="16"/>
      <c r="AD993" s="16"/>
    </row>
    <row r="994" ht="14.25" customHeight="1">
      <c r="A994" s="16"/>
      <c r="B994" s="16"/>
      <c r="C994" s="16"/>
      <c r="D994" s="16"/>
      <c r="E994" s="16"/>
      <c r="F994" s="16"/>
      <c r="G994" s="16"/>
      <c r="H994" s="16"/>
      <c r="I994" s="16"/>
      <c r="J994" s="16"/>
      <c r="K994" s="16"/>
      <c r="L994" s="16"/>
      <c r="M994" s="16"/>
      <c r="N994" s="16"/>
      <c r="O994" s="16"/>
      <c r="P994" s="17"/>
      <c r="Q994" s="16"/>
      <c r="R994" s="16"/>
      <c r="S994" s="16"/>
      <c r="T994" s="16"/>
      <c r="U994" s="16"/>
      <c r="V994" s="16"/>
      <c r="W994" s="16"/>
      <c r="X994" s="16"/>
      <c r="Y994" s="16"/>
      <c r="Z994" s="16"/>
      <c r="AA994" s="16"/>
      <c r="AB994" s="16"/>
      <c r="AC994" s="16"/>
      <c r="AD994" s="16"/>
    </row>
    <row r="995" ht="14.25" customHeight="1">
      <c r="A995" s="16"/>
      <c r="B995" s="16"/>
      <c r="C995" s="16"/>
      <c r="D995" s="16"/>
      <c r="E995" s="16"/>
      <c r="F995" s="16"/>
      <c r="G995" s="16"/>
      <c r="H995" s="16"/>
      <c r="I995" s="16"/>
      <c r="J995" s="16"/>
      <c r="K995" s="16"/>
      <c r="L995" s="16"/>
      <c r="M995" s="16"/>
      <c r="N995" s="16"/>
      <c r="O995" s="16"/>
      <c r="P995" s="17"/>
      <c r="Q995" s="16"/>
      <c r="R995" s="16"/>
      <c r="S995" s="16"/>
      <c r="T995" s="16"/>
      <c r="U995" s="16"/>
      <c r="V995" s="16"/>
      <c r="W995" s="16"/>
      <c r="X995" s="16"/>
      <c r="Y995" s="16"/>
      <c r="Z995" s="16"/>
      <c r="AA995" s="16"/>
      <c r="AB995" s="16"/>
      <c r="AC995" s="16"/>
      <c r="AD995" s="16"/>
    </row>
    <row r="996" ht="14.25" customHeight="1">
      <c r="A996" s="16"/>
      <c r="B996" s="16"/>
      <c r="C996" s="16"/>
      <c r="D996" s="16"/>
      <c r="E996" s="16"/>
      <c r="F996" s="16"/>
      <c r="G996" s="16"/>
      <c r="H996" s="16"/>
      <c r="I996" s="16"/>
      <c r="J996" s="16"/>
      <c r="K996" s="16"/>
      <c r="L996" s="16"/>
      <c r="M996" s="16"/>
      <c r="N996" s="16"/>
      <c r="O996" s="16"/>
      <c r="P996" s="17"/>
      <c r="Q996" s="16"/>
      <c r="R996" s="16"/>
      <c r="S996" s="16"/>
      <c r="T996" s="16"/>
      <c r="U996" s="16"/>
      <c r="V996" s="16"/>
      <c r="W996" s="16"/>
      <c r="X996" s="16"/>
      <c r="Y996" s="16"/>
      <c r="Z996" s="16"/>
      <c r="AA996" s="16"/>
      <c r="AB996" s="16"/>
      <c r="AC996" s="16"/>
      <c r="AD996" s="16"/>
    </row>
    <row r="997" ht="14.25" customHeight="1">
      <c r="A997" s="16"/>
      <c r="B997" s="16"/>
      <c r="C997" s="16"/>
      <c r="D997" s="16"/>
      <c r="E997" s="16"/>
      <c r="F997" s="16"/>
      <c r="G997" s="16"/>
      <c r="H997" s="16"/>
      <c r="I997" s="16"/>
      <c r="J997" s="16"/>
      <c r="K997" s="16"/>
      <c r="L997" s="16"/>
      <c r="M997" s="16"/>
      <c r="N997" s="16"/>
      <c r="O997" s="16"/>
      <c r="P997" s="17"/>
      <c r="Q997" s="16"/>
      <c r="R997" s="16"/>
      <c r="S997" s="16"/>
      <c r="T997" s="16"/>
      <c r="U997" s="16"/>
      <c r="V997" s="16"/>
      <c r="W997" s="16"/>
      <c r="X997" s="16"/>
      <c r="Y997" s="16"/>
      <c r="Z997" s="16"/>
      <c r="AA997" s="16"/>
      <c r="AB997" s="16"/>
      <c r="AC997" s="16"/>
      <c r="AD997" s="16"/>
    </row>
    <row r="998" ht="14.25" customHeight="1">
      <c r="A998" s="16"/>
      <c r="B998" s="16"/>
      <c r="C998" s="16"/>
      <c r="D998" s="16"/>
      <c r="E998" s="16"/>
      <c r="F998" s="16"/>
      <c r="G998" s="16"/>
      <c r="H998" s="16"/>
      <c r="I998" s="16"/>
      <c r="J998" s="16"/>
      <c r="K998" s="16"/>
      <c r="L998" s="16"/>
      <c r="M998" s="16"/>
      <c r="N998" s="16"/>
      <c r="O998" s="16"/>
      <c r="P998" s="17"/>
      <c r="Q998" s="16"/>
      <c r="R998" s="16"/>
      <c r="S998" s="16"/>
      <c r="T998" s="16"/>
      <c r="U998" s="16"/>
      <c r="V998" s="16"/>
      <c r="W998" s="16"/>
      <c r="X998" s="16"/>
      <c r="Y998" s="16"/>
      <c r="Z998" s="16"/>
      <c r="AA998" s="16"/>
      <c r="AB998" s="16"/>
      <c r="AC998" s="16"/>
      <c r="AD998" s="16"/>
    </row>
    <row r="999" ht="14.25" customHeight="1">
      <c r="A999" s="16"/>
      <c r="B999" s="16"/>
      <c r="C999" s="16"/>
      <c r="D999" s="16"/>
      <c r="E999" s="16"/>
      <c r="F999" s="16"/>
      <c r="G999" s="16"/>
      <c r="H999" s="16"/>
      <c r="I999" s="16"/>
      <c r="J999" s="16"/>
      <c r="K999" s="16"/>
      <c r="L999" s="16"/>
      <c r="M999" s="16"/>
      <c r="N999" s="16"/>
      <c r="O999" s="16"/>
      <c r="P999" s="17"/>
      <c r="Q999" s="16"/>
      <c r="R999" s="16"/>
      <c r="S999" s="16"/>
      <c r="T999" s="16"/>
      <c r="U999" s="16"/>
      <c r="V999" s="16"/>
      <c r="W999" s="16"/>
      <c r="X999" s="16"/>
      <c r="Y999" s="16"/>
      <c r="Z999" s="16"/>
      <c r="AA999" s="16"/>
      <c r="AB999" s="16"/>
      <c r="AC999" s="16"/>
      <c r="AD999" s="16"/>
    </row>
    <row r="1000" ht="14.25" customHeight="1">
      <c r="A1000" s="16"/>
      <c r="B1000" s="16"/>
      <c r="C1000" s="16"/>
      <c r="D1000" s="16"/>
      <c r="E1000" s="16"/>
      <c r="F1000" s="16"/>
      <c r="G1000" s="16"/>
      <c r="H1000" s="16"/>
      <c r="I1000" s="16"/>
      <c r="J1000" s="16"/>
      <c r="K1000" s="16"/>
      <c r="L1000" s="16"/>
      <c r="M1000" s="16"/>
      <c r="N1000" s="16"/>
      <c r="O1000" s="16"/>
      <c r="P1000" s="17"/>
      <c r="Q1000" s="16"/>
      <c r="R1000" s="16"/>
      <c r="S1000" s="16"/>
      <c r="T1000" s="16"/>
      <c r="U1000" s="16"/>
      <c r="V1000" s="16"/>
      <c r="W1000" s="16"/>
      <c r="X1000" s="16"/>
      <c r="Y1000" s="16"/>
      <c r="Z1000" s="16"/>
      <c r="AA1000" s="16"/>
      <c r="AB1000" s="16"/>
      <c r="AC1000" s="16"/>
      <c r="AD1000" s="16"/>
    </row>
  </sheetData>
  <mergeCells count="29">
    <mergeCell ref="P7:P9"/>
    <mergeCell ref="R7:R9"/>
    <mergeCell ref="W7:W9"/>
    <mergeCell ref="X7:X9"/>
    <mergeCell ref="Y7:Y9"/>
    <mergeCell ref="Z7:Z9"/>
    <mergeCell ref="AA7:AA9"/>
    <mergeCell ref="AB7:AB9"/>
    <mergeCell ref="C6:E6"/>
    <mergeCell ref="AB6:AC6"/>
    <mergeCell ref="A7:A9"/>
    <mergeCell ref="B7:B9"/>
    <mergeCell ref="C7:C9"/>
    <mergeCell ref="D7:D9"/>
    <mergeCell ref="E7:E9"/>
    <mergeCell ref="F7:F9"/>
    <mergeCell ref="G7:G9"/>
    <mergeCell ref="H7:H9"/>
    <mergeCell ref="I7:I9"/>
    <mergeCell ref="J7:J9"/>
    <mergeCell ref="K7:K9"/>
    <mergeCell ref="L7:L9"/>
    <mergeCell ref="M7:M9"/>
    <mergeCell ref="N7:N9"/>
    <mergeCell ref="O7:O9"/>
    <mergeCell ref="S7:S9"/>
    <mergeCell ref="T7:T9"/>
    <mergeCell ref="U7:U9"/>
    <mergeCell ref="V7:V9"/>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26" width="7.75"/>
  </cols>
  <sheetData>
    <row r="1" ht="14.25" customHeight="1">
      <c r="A1" s="37" t="s">
        <v>4792</v>
      </c>
    </row>
    <row r="2" ht="14.25" customHeight="1"/>
    <row r="3" ht="13.5" customHeight="1">
      <c r="A3" s="38" t="s">
        <v>4793</v>
      </c>
    </row>
    <row r="4" ht="14.25" customHeight="1">
      <c r="B4" s="39" t="s">
        <v>3153</v>
      </c>
      <c r="E4" s="16" t="s">
        <v>4794</v>
      </c>
      <c r="Z4" s="16"/>
    </row>
    <row r="5" ht="14.25" customHeight="1">
      <c r="B5" s="39" t="s">
        <v>3457</v>
      </c>
      <c r="E5" s="16" t="s">
        <v>4795</v>
      </c>
      <c r="Z5" s="16"/>
    </row>
    <row r="6" ht="14.25" customHeight="1">
      <c r="B6" s="39" t="s">
        <v>3315</v>
      </c>
      <c r="E6" s="16" t="s">
        <v>4796</v>
      </c>
      <c r="Z6" s="16"/>
    </row>
    <row r="7" ht="14.25" customHeight="1">
      <c r="A7" s="38" t="s">
        <v>4797</v>
      </c>
    </row>
    <row r="8" ht="14.25" customHeight="1">
      <c r="A8" s="14"/>
      <c r="B8" s="40" t="s">
        <v>3217</v>
      </c>
      <c r="E8" s="19" t="s">
        <v>4798</v>
      </c>
      <c r="Z8" s="19"/>
    </row>
    <row r="9" ht="14.25" customHeight="1">
      <c r="A9" s="14"/>
      <c r="B9" s="40" t="s">
        <v>3284</v>
      </c>
      <c r="E9" s="19" t="s">
        <v>4799</v>
      </c>
      <c r="Z9" s="19"/>
    </row>
    <row r="10" ht="14.25" customHeight="1">
      <c r="A10" s="14"/>
      <c r="B10" s="40" t="s">
        <v>3211</v>
      </c>
      <c r="E10" s="19" t="s">
        <v>4800</v>
      </c>
      <c r="Z10" s="19"/>
    </row>
    <row r="11" ht="14.25" customHeight="1">
      <c r="A11" s="14"/>
      <c r="B11" s="40" t="s">
        <v>3155</v>
      </c>
      <c r="E11" s="19" t="s">
        <v>4801</v>
      </c>
      <c r="Z11" s="19"/>
    </row>
    <row r="12" ht="14.25" customHeight="1">
      <c r="A12" s="14"/>
      <c r="B12" s="40" t="s">
        <v>3192</v>
      </c>
      <c r="E12" s="19" t="s">
        <v>4802</v>
      </c>
      <c r="Z12" s="19"/>
    </row>
    <row r="13" ht="14.25" customHeight="1">
      <c r="A13" s="14"/>
      <c r="B13" s="40" t="s">
        <v>3170</v>
      </c>
      <c r="E13" s="19" t="s">
        <v>4803</v>
      </c>
      <c r="Z13" s="19"/>
    </row>
    <row r="14" ht="14.25" customHeight="1">
      <c r="A14" s="15" t="s">
        <v>4804</v>
      </c>
    </row>
    <row r="15" ht="14.25" customHeight="1">
      <c r="B15" s="41" t="s">
        <v>4805</v>
      </c>
    </row>
    <row r="16" ht="14.25" customHeight="1">
      <c r="A16" s="15" t="s">
        <v>4806</v>
      </c>
      <c r="D16" s="8"/>
      <c r="E16" s="8"/>
    </row>
    <row r="17" ht="15.0" customHeight="1">
      <c r="B17" s="41" t="s">
        <v>4807</v>
      </c>
    </row>
    <row r="18" ht="15.0" customHeight="1">
      <c r="B18" s="8"/>
      <c r="C18" s="14"/>
      <c r="D18" s="14"/>
      <c r="E18" s="14"/>
      <c r="F18" s="14"/>
      <c r="G18" s="14"/>
      <c r="H18" s="14"/>
      <c r="I18" s="14"/>
    </row>
    <row r="19" ht="15.0" customHeight="1">
      <c r="A19" s="15" t="s">
        <v>4808</v>
      </c>
      <c r="D19" s="41"/>
      <c r="E19" s="41"/>
      <c r="F19" s="41"/>
      <c r="G19" s="41"/>
      <c r="H19" s="41"/>
      <c r="I19" s="41"/>
      <c r="J19" s="8"/>
      <c r="K19" s="8"/>
      <c r="L19" s="8"/>
      <c r="M19" s="8"/>
      <c r="N19" s="8"/>
      <c r="O19" s="8"/>
      <c r="P19" s="8"/>
      <c r="Q19" s="8"/>
      <c r="R19" s="8"/>
      <c r="S19" s="8"/>
      <c r="T19" s="8"/>
      <c r="U19" s="8"/>
      <c r="V19" s="8"/>
      <c r="W19" s="8"/>
      <c r="X19" s="8"/>
      <c r="Y19" s="8"/>
      <c r="Z19" s="8"/>
    </row>
    <row r="20" ht="15.0" customHeight="1">
      <c r="B20" s="39" t="s">
        <v>4540</v>
      </c>
      <c r="E20" s="8" t="s">
        <v>4809</v>
      </c>
      <c r="G20" s="42"/>
      <c r="H20" s="42"/>
      <c r="I20" s="42"/>
    </row>
    <row r="21" ht="15.0" customHeight="1">
      <c r="B21" s="39" t="s">
        <v>4810</v>
      </c>
      <c r="E21" s="8" t="s">
        <v>4811</v>
      </c>
      <c r="G21" s="42"/>
      <c r="H21" s="42"/>
      <c r="I21" s="42"/>
    </row>
    <row r="22" ht="15.0" customHeight="1">
      <c r="B22" s="39" t="s">
        <v>4550</v>
      </c>
      <c r="E22" s="16" t="s">
        <v>4812</v>
      </c>
      <c r="G22" s="42"/>
      <c r="H22" s="42"/>
      <c r="I22" s="42"/>
    </row>
    <row r="23" ht="15.0" customHeight="1">
      <c r="B23" s="39" t="s">
        <v>4578</v>
      </c>
      <c r="E23" s="19" t="s">
        <v>4813</v>
      </c>
      <c r="Z23" s="19"/>
    </row>
    <row r="24" ht="15.0" customHeight="1">
      <c r="B24" s="40" t="s">
        <v>4566</v>
      </c>
      <c r="E24" s="16" t="s">
        <v>4814</v>
      </c>
      <c r="G24" s="42"/>
      <c r="H24" s="42"/>
      <c r="I24" s="42"/>
    </row>
    <row r="25" ht="15.0" customHeight="1">
      <c r="B25" s="39" t="s">
        <v>4572</v>
      </c>
      <c r="E25" s="16" t="s">
        <v>4815</v>
      </c>
      <c r="G25" s="42"/>
      <c r="H25" s="42"/>
      <c r="I25" s="42"/>
    </row>
    <row r="26" ht="15.0" customHeight="1">
      <c r="A26" s="42"/>
      <c r="B26" s="39" t="s">
        <v>4816</v>
      </c>
      <c r="E26" s="16" t="s">
        <v>4817</v>
      </c>
      <c r="F26" s="42"/>
      <c r="G26" s="42"/>
      <c r="H26" s="42"/>
      <c r="I26" s="42"/>
    </row>
    <row r="27" ht="15.0" customHeight="1">
      <c r="A27" s="42"/>
      <c r="B27" s="39" t="s">
        <v>4582</v>
      </c>
      <c r="E27" s="16" t="s">
        <v>4818</v>
      </c>
      <c r="F27" s="42"/>
      <c r="G27" s="42"/>
      <c r="H27" s="42"/>
      <c r="I27" s="42"/>
    </row>
    <row r="28" ht="15.0" customHeight="1">
      <c r="A28" s="18" t="s">
        <v>4819</v>
      </c>
      <c r="D28" s="39"/>
      <c r="E28" s="16"/>
      <c r="F28" s="42"/>
      <c r="G28" s="42"/>
      <c r="H28" s="42"/>
      <c r="I28" s="42"/>
    </row>
    <row r="29" ht="15.0" customHeight="1">
      <c r="A29" s="42"/>
      <c r="B29" s="39" t="s">
        <v>4820</v>
      </c>
      <c r="E29" s="16" t="s">
        <v>4821</v>
      </c>
      <c r="F29" s="42"/>
      <c r="G29" s="42"/>
      <c r="H29" s="42"/>
      <c r="I29" s="42"/>
    </row>
    <row r="30" ht="15.0" customHeight="1">
      <c r="A30" s="42"/>
      <c r="B30" s="39" t="s">
        <v>4822</v>
      </c>
      <c r="E30" s="16" t="s">
        <v>4823</v>
      </c>
      <c r="F30" s="42"/>
      <c r="G30" s="42"/>
      <c r="H30" s="42"/>
      <c r="I30" s="42"/>
    </row>
    <row r="31" ht="15.0" customHeight="1">
      <c r="A31" s="42"/>
      <c r="B31" s="39" t="s">
        <v>4824</v>
      </c>
      <c r="E31" s="42" t="s">
        <v>4825</v>
      </c>
    </row>
    <row r="32" ht="15.0" customHeight="1">
      <c r="A32" s="15" t="s">
        <v>4826</v>
      </c>
      <c r="B32" s="15"/>
      <c r="C32" s="42"/>
      <c r="D32" s="16"/>
      <c r="E32" s="42"/>
      <c r="F32" s="42"/>
      <c r="G32" s="42"/>
      <c r="H32" s="42"/>
      <c r="I32" s="42"/>
      <c r="J32" s="8"/>
      <c r="K32" s="8"/>
      <c r="L32" s="8"/>
      <c r="M32" s="8"/>
      <c r="N32" s="8"/>
      <c r="O32" s="8"/>
      <c r="P32" s="8"/>
      <c r="Q32" s="8"/>
      <c r="R32" s="8"/>
      <c r="S32" s="8"/>
      <c r="T32" s="8"/>
      <c r="U32" s="8"/>
      <c r="V32" s="8"/>
      <c r="W32" s="8"/>
      <c r="X32" s="8"/>
      <c r="Y32" s="8"/>
      <c r="Z32" s="8"/>
    </row>
    <row r="33" ht="15.0" customHeight="1">
      <c r="A33" s="15"/>
      <c r="B33" s="39" t="s">
        <v>4578</v>
      </c>
      <c r="E33" s="19" t="s">
        <v>4827</v>
      </c>
      <c r="M33" s="8"/>
      <c r="N33" s="8"/>
      <c r="O33" s="8"/>
      <c r="P33" s="8"/>
      <c r="Q33" s="8"/>
      <c r="R33" s="8"/>
      <c r="S33" s="8"/>
      <c r="T33" s="8"/>
      <c r="U33" s="8"/>
      <c r="V33" s="8"/>
      <c r="W33" s="8"/>
      <c r="X33" s="8"/>
      <c r="Y33" s="8"/>
      <c r="Z33" s="8"/>
    </row>
    <row r="34" ht="15.0" customHeight="1">
      <c r="A34" s="15"/>
      <c r="B34" s="39" t="s">
        <v>4810</v>
      </c>
      <c r="E34" s="19" t="s">
        <v>4828</v>
      </c>
      <c r="K34" s="8"/>
      <c r="L34" s="8"/>
      <c r="M34" s="8"/>
      <c r="N34" s="8"/>
      <c r="O34" s="8"/>
      <c r="P34" s="8"/>
      <c r="Q34" s="8"/>
      <c r="R34" s="8"/>
      <c r="S34" s="8"/>
      <c r="T34" s="8"/>
      <c r="U34" s="8"/>
      <c r="V34" s="8"/>
      <c r="W34" s="8"/>
      <c r="X34" s="8"/>
      <c r="Y34" s="8"/>
      <c r="Z34" s="8"/>
    </row>
    <row r="35" ht="15.0" customHeight="1">
      <c r="A35" s="42"/>
      <c r="B35" s="39" t="s">
        <v>4572</v>
      </c>
      <c r="E35" s="16" t="s">
        <v>4829</v>
      </c>
      <c r="F35" s="42"/>
      <c r="G35" s="42"/>
      <c r="H35" s="42"/>
      <c r="I35" s="42"/>
      <c r="J35" s="8"/>
      <c r="K35" s="8"/>
      <c r="L35" s="8"/>
      <c r="M35" s="8"/>
      <c r="N35" s="8"/>
      <c r="O35" s="8"/>
      <c r="P35" s="8"/>
      <c r="Q35" s="8"/>
      <c r="R35" s="8"/>
      <c r="S35" s="8"/>
      <c r="T35" s="8"/>
      <c r="U35" s="8"/>
      <c r="V35" s="8"/>
      <c r="W35" s="8"/>
      <c r="X35" s="8"/>
      <c r="Y35" s="8"/>
      <c r="Z35" s="8"/>
    </row>
    <row r="36" ht="15.0" customHeight="1">
      <c r="A36" s="42"/>
      <c r="B36" s="39" t="s">
        <v>4566</v>
      </c>
      <c r="E36" s="16" t="s">
        <v>4830</v>
      </c>
      <c r="F36" s="42"/>
      <c r="G36" s="42"/>
      <c r="H36" s="42"/>
      <c r="I36" s="42"/>
      <c r="J36" s="8"/>
      <c r="K36" s="8"/>
      <c r="L36" s="8"/>
      <c r="M36" s="8"/>
      <c r="N36" s="8"/>
      <c r="O36" s="8"/>
      <c r="P36" s="8"/>
      <c r="Q36" s="8"/>
      <c r="R36" s="8"/>
      <c r="S36" s="8"/>
      <c r="T36" s="8"/>
      <c r="U36" s="8"/>
      <c r="V36" s="8"/>
      <c r="W36" s="8"/>
      <c r="X36" s="8"/>
      <c r="Y36" s="8"/>
      <c r="Z36" s="8"/>
    </row>
    <row r="37" ht="15.0" customHeight="1">
      <c r="A37" s="42"/>
      <c r="B37" s="39" t="s">
        <v>4558</v>
      </c>
      <c r="E37" s="16" t="s">
        <v>4831</v>
      </c>
      <c r="F37" s="42"/>
      <c r="G37" s="42"/>
      <c r="H37" s="42"/>
      <c r="I37" s="42"/>
      <c r="J37" s="8"/>
      <c r="K37" s="8"/>
      <c r="L37" s="8"/>
      <c r="M37" s="8"/>
      <c r="N37" s="8"/>
      <c r="O37" s="8"/>
      <c r="P37" s="8"/>
      <c r="Q37" s="8"/>
      <c r="R37" s="8"/>
      <c r="S37" s="8"/>
      <c r="T37" s="8"/>
      <c r="U37" s="8"/>
      <c r="V37" s="8"/>
      <c r="W37" s="8"/>
      <c r="X37" s="8"/>
      <c r="Y37" s="8"/>
      <c r="Z37" s="8"/>
    </row>
    <row r="38" ht="15.0" customHeight="1">
      <c r="A38" s="42"/>
      <c r="B38" s="39" t="s">
        <v>4832</v>
      </c>
      <c r="E38" s="16" t="s">
        <v>4833</v>
      </c>
      <c r="F38" s="42"/>
      <c r="G38" s="42"/>
      <c r="H38" s="42"/>
      <c r="I38" s="42"/>
      <c r="J38" s="8"/>
      <c r="K38" s="8"/>
      <c r="L38" s="8"/>
      <c r="M38" s="8"/>
      <c r="N38" s="8"/>
      <c r="O38" s="8"/>
      <c r="P38" s="8"/>
      <c r="Q38" s="8"/>
      <c r="R38" s="8"/>
      <c r="S38" s="8"/>
      <c r="T38" s="8"/>
      <c r="U38" s="8"/>
      <c r="V38" s="8"/>
      <c r="W38" s="8"/>
      <c r="X38" s="8"/>
      <c r="Y38" s="8"/>
      <c r="Z38" s="8"/>
    </row>
    <row r="39" ht="15.0" customHeight="1">
      <c r="A39" s="42"/>
      <c r="B39" s="39" t="s">
        <v>4816</v>
      </c>
      <c r="E39" s="16" t="s">
        <v>4834</v>
      </c>
      <c r="F39" s="42"/>
      <c r="G39" s="42"/>
      <c r="H39" s="42"/>
      <c r="I39" s="42"/>
      <c r="J39" s="8"/>
      <c r="K39" s="8"/>
      <c r="L39" s="8"/>
      <c r="M39" s="8"/>
      <c r="N39" s="8"/>
      <c r="O39" s="8"/>
      <c r="P39" s="8"/>
      <c r="Q39" s="8"/>
      <c r="R39" s="8"/>
      <c r="S39" s="8"/>
      <c r="T39" s="8"/>
      <c r="U39" s="8"/>
      <c r="V39" s="8"/>
      <c r="W39" s="8"/>
      <c r="X39" s="8"/>
      <c r="Y39" s="8"/>
      <c r="Z39" s="8"/>
    </row>
    <row r="40" ht="15.0" customHeight="1">
      <c r="A40" s="42"/>
      <c r="B40" s="39" t="s">
        <v>4582</v>
      </c>
      <c r="E40" s="16" t="s">
        <v>4835</v>
      </c>
      <c r="F40" s="42"/>
      <c r="G40" s="42"/>
      <c r="H40" s="42"/>
      <c r="I40" s="42"/>
      <c r="J40" s="8"/>
      <c r="K40" s="8"/>
      <c r="L40" s="8"/>
      <c r="M40" s="8"/>
      <c r="N40" s="8"/>
      <c r="O40" s="8"/>
      <c r="P40" s="8"/>
      <c r="Q40" s="8"/>
      <c r="R40" s="8"/>
      <c r="S40" s="8"/>
      <c r="T40" s="8"/>
      <c r="U40" s="8"/>
      <c r="V40" s="8"/>
      <c r="W40" s="8"/>
      <c r="X40" s="8"/>
      <c r="Y40" s="8"/>
      <c r="Z40" s="8"/>
    </row>
    <row r="41" ht="15.0" customHeight="1">
      <c r="A41" s="15"/>
      <c r="D41" s="39"/>
      <c r="E41" s="16"/>
      <c r="F41" s="42"/>
      <c r="G41" s="42"/>
      <c r="H41" s="42"/>
      <c r="I41" s="42"/>
    </row>
    <row r="42" ht="15.0" customHeight="1">
      <c r="A42" s="15" t="s">
        <v>4836</v>
      </c>
      <c r="B42" s="39"/>
      <c r="C42" s="39"/>
      <c r="D42" s="39"/>
      <c r="E42" s="16"/>
      <c r="F42" s="42"/>
      <c r="G42" s="42"/>
      <c r="H42" s="42"/>
      <c r="I42" s="42"/>
    </row>
    <row r="43" ht="15.0" customHeight="1">
      <c r="A43" s="16"/>
      <c r="B43" s="39" t="s">
        <v>3530</v>
      </c>
      <c r="E43" s="16" t="s">
        <v>4837</v>
      </c>
      <c r="F43" s="42"/>
      <c r="G43" s="42"/>
      <c r="H43" s="42"/>
      <c r="I43" s="42"/>
    </row>
    <row r="44" ht="15.0" customHeight="1">
      <c r="A44" s="42"/>
      <c r="B44" s="39" t="s">
        <v>3163</v>
      </c>
      <c r="E44" s="16" t="s">
        <v>4838</v>
      </c>
      <c r="F44" s="42"/>
      <c r="G44" s="42"/>
      <c r="H44" s="42"/>
      <c r="I44" s="42"/>
    </row>
    <row r="45" ht="15.0" customHeight="1">
      <c r="A45" s="42"/>
      <c r="B45" s="39"/>
      <c r="C45" s="39"/>
      <c r="D45" s="39"/>
      <c r="E45" s="16"/>
      <c r="F45" s="42"/>
      <c r="G45" s="42"/>
      <c r="H45" s="42"/>
      <c r="I45" s="42"/>
    </row>
    <row r="46" ht="14.25" customHeight="1">
      <c r="A46" s="38" t="s">
        <v>4839</v>
      </c>
      <c r="B46" s="38"/>
    </row>
    <row r="47" ht="15.0" customHeight="1">
      <c r="B47" s="8" t="s">
        <v>4840</v>
      </c>
      <c r="C47" s="8"/>
      <c r="D47" s="8"/>
      <c r="E47" s="8"/>
      <c r="F47" s="8"/>
      <c r="G47" s="8"/>
      <c r="H47" s="8"/>
    </row>
    <row r="48" ht="14.25" customHeight="1">
      <c r="A48" s="38" t="s">
        <v>4841</v>
      </c>
    </row>
    <row r="49" ht="14.25" customHeight="1">
      <c r="B49" s="13" t="s">
        <v>4842</v>
      </c>
    </row>
    <row r="50" ht="14.25" customHeight="1">
      <c r="A50" s="38" t="s">
        <v>4843</v>
      </c>
      <c r="B50" s="38"/>
    </row>
    <row r="51" ht="15.0" customHeight="1">
      <c r="B51" s="8" t="s">
        <v>4844</v>
      </c>
      <c r="C51" s="8"/>
      <c r="D51" s="8"/>
      <c r="E51" s="8"/>
      <c r="F51" s="8"/>
      <c r="G51" s="8"/>
    </row>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9">
    <mergeCell ref="E9:Y9"/>
    <mergeCell ref="E10:Y10"/>
    <mergeCell ref="E11:Y11"/>
    <mergeCell ref="E12:Y12"/>
    <mergeCell ref="E13:Y13"/>
    <mergeCell ref="B4:D4"/>
    <mergeCell ref="E4:Y4"/>
    <mergeCell ref="B5:D5"/>
    <mergeCell ref="E5:Y5"/>
    <mergeCell ref="B6:D6"/>
    <mergeCell ref="E6:Y6"/>
    <mergeCell ref="E8:Y8"/>
    <mergeCell ref="B8:D8"/>
    <mergeCell ref="B9:D9"/>
    <mergeCell ref="B10:D10"/>
    <mergeCell ref="B11:D11"/>
    <mergeCell ref="B12:D12"/>
    <mergeCell ref="B13:D13"/>
    <mergeCell ref="B15:F15"/>
    <mergeCell ref="A14:C14"/>
    <mergeCell ref="A16:C16"/>
    <mergeCell ref="B17:M17"/>
    <mergeCell ref="A19:C19"/>
    <mergeCell ref="B20:D20"/>
    <mergeCell ref="B21:D21"/>
    <mergeCell ref="B22:D22"/>
    <mergeCell ref="B23:D23"/>
    <mergeCell ref="E23:Y23"/>
    <mergeCell ref="B24:D24"/>
    <mergeCell ref="B25:D25"/>
    <mergeCell ref="B26:D26"/>
    <mergeCell ref="B27:D27"/>
    <mergeCell ref="A28:C28"/>
    <mergeCell ref="B29:D29"/>
    <mergeCell ref="B30:D30"/>
    <mergeCell ref="B31:D31"/>
    <mergeCell ref="E31:U31"/>
    <mergeCell ref="B33:D33"/>
    <mergeCell ref="E33:L33"/>
    <mergeCell ref="E34:J34"/>
    <mergeCell ref="B43:D43"/>
    <mergeCell ref="B44:D44"/>
    <mergeCell ref="B34:D34"/>
    <mergeCell ref="B35:D35"/>
    <mergeCell ref="B36:D36"/>
    <mergeCell ref="B37:D37"/>
    <mergeCell ref="B38:D38"/>
    <mergeCell ref="B39:D39"/>
    <mergeCell ref="B40:D40"/>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63"/>
    <col customWidth="1" min="2" max="2" width="14.25"/>
    <col customWidth="1" min="3" max="3" width="24.63"/>
    <col customWidth="1" min="4" max="4" width="40.38"/>
    <col customWidth="1" min="5" max="5" width="33.25"/>
    <col customWidth="1" min="6" max="6" width="15.88"/>
    <col customWidth="1" min="7" max="7" width="15.0"/>
    <col customWidth="1" min="8" max="8" width="12.25"/>
    <col customWidth="1" min="9" max="9" width="24.38"/>
    <col customWidth="1" min="10" max="10" width="14.38"/>
    <col customWidth="1" min="11" max="11" width="14.25"/>
    <col customWidth="1" min="12" max="12" width="12.88"/>
    <col customWidth="1" min="13" max="13" width="25.13"/>
    <col customWidth="1" min="14" max="14" width="14.0"/>
    <col customWidth="1" min="15" max="29" width="7.63"/>
  </cols>
  <sheetData>
    <row r="1" ht="14.25" customHeight="1">
      <c r="A1" s="13" t="s">
        <v>13</v>
      </c>
      <c r="B1" s="43" t="s">
        <v>4845</v>
      </c>
      <c r="C1" s="43" t="s">
        <v>4846</v>
      </c>
      <c r="D1" s="44" t="s">
        <v>4847</v>
      </c>
      <c r="E1" s="43" t="s">
        <v>4848</v>
      </c>
      <c r="F1" s="45" t="s">
        <v>3139</v>
      </c>
      <c r="G1" s="45" t="s">
        <v>3145</v>
      </c>
      <c r="H1" s="45" t="s">
        <v>3150</v>
      </c>
      <c r="I1" s="45" t="s">
        <v>3137</v>
      </c>
      <c r="J1" s="45" t="s">
        <v>3138</v>
      </c>
      <c r="K1" s="46" t="s">
        <v>4849</v>
      </c>
      <c r="L1" s="46" t="s">
        <v>3133</v>
      </c>
      <c r="M1" s="46" t="s">
        <v>4850</v>
      </c>
      <c r="N1" s="46" t="s">
        <v>3143</v>
      </c>
      <c r="O1" s="13" t="s">
        <v>3144</v>
      </c>
      <c r="P1" s="13" t="s">
        <v>3142</v>
      </c>
      <c r="Q1" s="13" t="s">
        <v>3140</v>
      </c>
      <c r="R1" s="13" t="s">
        <v>3146</v>
      </c>
      <c r="S1" s="13" t="s">
        <v>3147</v>
      </c>
      <c r="T1" s="13" t="s">
        <v>3152</v>
      </c>
      <c r="U1" s="13" t="s">
        <v>3148</v>
      </c>
      <c r="V1" s="13" t="s">
        <v>3149</v>
      </c>
      <c r="W1" s="13" t="s">
        <v>3151</v>
      </c>
      <c r="X1" s="13" t="s">
        <v>3134</v>
      </c>
      <c r="Y1" s="13" t="s">
        <v>3135</v>
      </c>
      <c r="Z1" s="13" t="s">
        <v>3136</v>
      </c>
      <c r="AA1" s="47" t="s">
        <v>4851</v>
      </c>
      <c r="AB1" s="47"/>
      <c r="AC1" s="47"/>
    </row>
    <row r="2" ht="14.25" customHeight="1">
      <c r="A2" s="13">
        <v>24053.0</v>
      </c>
      <c r="B2" s="13" t="str">
        <f t="shared" ref="B2:B43" si="1">K2</f>
        <v>Observational</v>
      </c>
      <c r="C2" s="13" t="s">
        <v>4852</v>
      </c>
      <c r="D2" s="1" t="s">
        <v>4853</v>
      </c>
      <c r="E2" s="2" t="s">
        <v>4854</v>
      </c>
      <c r="F2" s="13" t="s">
        <v>3733</v>
      </c>
      <c r="G2" s="13" t="s">
        <v>3159</v>
      </c>
      <c r="H2" s="13" t="s">
        <v>3166</v>
      </c>
      <c r="I2" s="13" t="s">
        <v>3244</v>
      </c>
      <c r="J2" s="13" t="s">
        <v>3278</v>
      </c>
      <c r="K2" s="13" t="s">
        <v>3153</v>
      </c>
      <c r="L2" s="13" t="s">
        <v>3154</v>
      </c>
      <c r="M2" s="13" t="s">
        <v>3480</v>
      </c>
      <c r="N2" s="13" t="s">
        <v>3267</v>
      </c>
      <c r="O2" s="13" t="s">
        <v>3734</v>
      </c>
      <c r="P2" s="13">
        <v>1.0</v>
      </c>
      <c r="Q2" s="13" t="s">
        <v>3160</v>
      </c>
      <c r="R2" s="13" t="s">
        <v>3177</v>
      </c>
      <c r="S2" s="13" t="s">
        <v>33</v>
      </c>
      <c r="T2" s="13" t="s">
        <v>3178</v>
      </c>
      <c r="U2" s="13" t="s">
        <v>3164</v>
      </c>
      <c r="V2" s="13" t="s">
        <v>3164</v>
      </c>
      <c r="W2" s="13" t="s">
        <v>3167</v>
      </c>
      <c r="X2" s="13" t="s">
        <v>3170</v>
      </c>
      <c r="Y2" s="13" t="s">
        <v>3180</v>
      </c>
      <c r="Z2" s="13">
        <v>0.05</v>
      </c>
      <c r="AA2" s="13" t="b">
        <v>0</v>
      </c>
      <c r="AB2" s="48"/>
      <c r="AC2" s="49"/>
    </row>
    <row r="3" ht="14.25" customHeight="1">
      <c r="A3" s="13">
        <v>23515.0</v>
      </c>
      <c r="B3" s="13" t="str">
        <f t="shared" si="1"/>
        <v>Observational</v>
      </c>
      <c r="C3" s="13" t="s">
        <v>4855</v>
      </c>
      <c r="D3" s="1" t="s">
        <v>4853</v>
      </c>
      <c r="E3" s="2" t="s">
        <v>4854</v>
      </c>
      <c r="F3" s="13" t="s">
        <v>3290</v>
      </c>
      <c r="G3" s="13" t="s">
        <v>3290</v>
      </c>
      <c r="H3" s="13" t="s">
        <v>3242</v>
      </c>
      <c r="I3" s="13" t="s">
        <v>3392</v>
      </c>
      <c r="J3" s="13" t="s">
        <v>3233</v>
      </c>
      <c r="K3" s="13" t="s">
        <v>3153</v>
      </c>
      <c r="L3" s="13" t="s">
        <v>3395</v>
      </c>
      <c r="M3" s="13" t="s">
        <v>3480</v>
      </c>
      <c r="N3" s="13" t="s">
        <v>3162</v>
      </c>
      <c r="O3" s="13" t="s">
        <v>3167</v>
      </c>
      <c r="P3" s="13">
        <v>1.0</v>
      </c>
      <c r="Q3" s="13" t="s">
        <v>3160</v>
      </c>
      <c r="R3" s="13" t="s">
        <v>3231</v>
      </c>
      <c r="S3" s="13" t="s">
        <v>33</v>
      </c>
      <c r="T3" s="13" t="s">
        <v>3167</v>
      </c>
      <c r="U3" s="13" t="s">
        <v>3197</v>
      </c>
      <c r="V3" s="13" t="s">
        <v>3197</v>
      </c>
      <c r="W3" s="13" t="s">
        <v>3481</v>
      </c>
      <c r="X3" s="13" t="s">
        <v>3170</v>
      </c>
      <c r="Y3" s="13" t="s">
        <v>3156</v>
      </c>
      <c r="Z3" s="13" t="s">
        <v>3167</v>
      </c>
      <c r="AA3" s="13" t="b">
        <v>0</v>
      </c>
      <c r="AB3" s="48"/>
      <c r="AC3" s="49"/>
    </row>
    <row r="4" ht="14.25" customHeight="1">
      <c r="A4" s="13">
        <v>23795.0</v>
      </c>
      <c r="B4" s="13" t="str">
        <f t="shared" si="1"/>
        <v>Observational</v>
      </c>
      <c r="C4" s="13" t="s">
        <v>4856</v>
      </c>
      <c r="D4" s="1" t="s">
        <v>4853</v>
      </c>
      <c r="E4" s="2" t="s">
        <v>4854</v>
      </c>
      <c r="F4" s="13" t="s">
        <v>3183</v>
      </c>
      <c r="G4" s="13" t="s">
        <v>3333</v>
      </c>
      <c r="H4" s="13" t="s">
        <v>3242</v>
      </c>
      <c r="I4" s="13" t="s">
        <v>3222</v>
      </c>
      <c r="J4" s="13" t="s">
        <v>3182</v>
      </c>
      <c r="K4" s="13" t="s">
        <v>3153</v>
      </c>
      <c r="L4" s="13" t="s">
        <v>3169</v>
      </c>
      <c r="M4" s="13" t="s">
        <v>3480</v>
      </c>
      <c r="N4" s="13" t="s">
        <v>3162</v>
      </c>
      <c r="O4" s="13" t="s">
        <v>3624</v>
      </c>
      <c r="P4" s="13">
        <v>1.0</v>
      </c>
      <c r="Q4" s="13" t="s">
        <v>3160</v>
      </c>
      <c r="R4" s="13" t="s">
        <v>3163</v>
      </c>
      <c r="S4" s="13" t="s">
        <v>33</v>
      </c>
      <c r="T4" s="13" t="s">
        <v>3167</v>
      </c>
      <c r="U4" s="13" t="s">
        <v>3164</v>
      </c>
      <c r="V4" s="13" t="s">
        <v>3215</v>
      </c>
      <c r="W4" s="13" t="s">
        <v>3377</v>
      </c>
      <c r="X4" s="13" t="s">
        <v>3192</v>
      </c>
      <c r="Y4" s="13" t="s">
        <v>3187</v>
      </c>
      <c r="Z4" s="13">
        <v>1.0</v>
      </c>
      <c r="AA4" s="13" t="b">
        <v>0</v>
      </c>
      <c r="AB4" s="48"/>
      <c r="AC4" s="49"/>
    </row>
    <row r="5" ht="14.25" customHeight="1">
      <c r="A5" s="13">
        <v>23832.0</v>
      </c>
      <c r="B5" s="13" t="str">
        <f t="shared" si="1"/>
        <v>Observational</v>
      </c>
      <c r="C5" s="13" t="s">
        <v>4856</v>
      </c>
      <c r="D5" s="1" t="s">
        <v>4853</v>
      </c>
      <c r="E5" s="2" t="s">
        <v>4854</v>
      </c>
      <c r="F5" s="13" t="s">
        <v>3208</v>
      </c>
      <c r="G5" s="13" t="s">
        <v>3183</v>
      </c>
      <c r="H5" s="13" t="s">
        <v>3166</v>
      </c>
      <c r="I5" s="13" t="s">
        <v>3188</v>
      </c>
      <c r="J5" s="13" t="s">
        <v>3167</v>
      </c>
      <c r="K5" s="13" t="s">
        <v>3153</v>
      </c>
      <c r="L5" s="13" t="s">
        <v>3169</v>
      </c>
      <c r="M5" s="13" t="s">
        <v>3480</v>
      </c>
      <c r="N5" s="13" t="s">
        <v>3162</v>
      </c>
      <c r="O5" s="13" t="s">
        <v>33</v>
      </c>
      <c r="P5" s="13">
        <v>1.0</v>
      </c>
      <c r="Q5" s="13" t="s">
        <v>3160</v>
      </c>
      <c r="R5" s="13" t="s">
        <v>3163</v>
      </c>
      <c r="S5" s="13" t="s">
        <v>3397</v>
      </c>
      <c r="T5" s="13" t="s">
        <v>3178</v>
      </c>
      <c r="U5" s="13" t="s">
        <v>3164</v>
      </c>
      <c r="V5" s="13" t="s">
        <v>3164</v>
      </c>
      <c r="W5" s="13" t="s">
        <v>3167</v>
      </c>
      <c r="X5" s="13" t="s">
        <v>3284</v>
      </c>
      <c r="Y5" s="13" t="s">
        <v>3187</v>
      </c>
      <c r="Z5" s="13">
        <v>21.16</v>
      </c>
      <c r="AA5" s="13" t="b">
        <v>0</v>
      </c>
      <c r="AB5" s="48"/>
      <c r="AC5" s="49"/>
    </row>
    <row r="6" ht="14.25" customHeight="1">
      <c r="A6" s="13">
        <v>23869.0</v>
      </c>
      <c r="B6" s="13" t="str">
        <f t="shared" si="1"/>
        <v>Observational</v>
      </c>
      <c r="C6" s="13" t="s">
        <v>4856</v>
      </c>
      <c r="D6" s="1" t="s">
        <v>4853</v>
      </c>
      <c r="E6" s="2" t="s">
        <v>4854</v>
      </c>
      <c r="F6" s="13" t="s">
        <v>3208</v>
      </c>
      <c r="G6" s="13" t="s">
        <v>3290</v>
      </c>
      <c r="H6" s="13" t="s">
        <v>3242</v>
      </c>
      <c r="I6" s="13" t="s">
        <v>3188</v>
      </c>
      <c r="J6" s="13" t="s">
        <v>3432</v>
      </c>
      <c r="K6" s="13" t="s">
        <v>3153</v>
      </c>
      <c r="L6" s="13" t="s">
        <v>3169</v>
      </c>
      <c r="M6" s="13" t="s">
        <v>3480</v>
      </c>
      <c r="N6" s="13" t="s">
        <v>3162</v>
      </c>
      <c r="O6" s="13" t="s">
        <v>33</v>
      </c>
      <c r="P6" s="13">
        <v>1.0</v>
      </c>
      <c r="Q6" s="13" t="s">
        <v>3160</v>
      </c>
      <c r="R6" s="13" t="s">
        <v>3163</v>
      </c>
      <c r="S6" s="13" t="s">
        <v>33</v>
      </c>
      <c r="T6" s="13" t="s">
        <v>3167</v>
      </c>
      <c r="U6" s="13" t="s">
        <v>3247</v>
      </c>
      <c r="V6" s="13" t="s">
        <v>3247</v>
      </c>
      <c r="W6" s="13" t="s">
        <v>3356</v>
      </c>
      <c r="X6" s="13" t="s">
        <v>3192</v>
      </c>
      <c r="Y6" s="13" t="s">
        <v>3202</v>
      </c>
      <c r="Z6" s="13">
        <v>30.0</v>
      </c>
      <c r="AA6" s="13" t="b">
        <v>0</v>
      </c>
      <c r="AB6" s="48"/>
      <c r="AC6" s="49"/>
    </row>
    <row r="7" ht="14.25" customHeight="1">
      <c r="A7" s="13">
        <v>23906.0</v>
      </c>
      <c r="B7" s="13" t="str">
        <f t="shared" si="1"/>
        <v>Observational</v>
      </c>
      <c r="C7" s="13" t="s">
        <v>4856</v>
      </c>
      <c r="D7" s="1" t="s">
        <v>4853</v>
      </c>
      <c r="E7" s="2" t="s">
        <v>4854</v>
      </c>
      <c r="F7" s="13" t="s">
        <v>3183</v>
      </c>
      <c r="G7" s="13" t="s">
        <v>3210</v>
      </c>
      <c r="H7" s="13" t="s">
        <v>3195</v>
      </c>
      <c r="I7" s="13" t="s">
        <v>3157</v>
      </c>
      <c r="J7" s="13" t="s">
        <v>3307</v>
      </c>
      <c r="K7" s="13" t="s">
        <v>3153</v>
      </c>
      <c r="L7" s="13" t="s">
        <v>3169</v>
      </c>
      <c r="M7" s="13" t="s">
        <v>3480</v>
      </c>
      <c r="N7" s="13" t="s">
        <v>3162</v>
      </c>
      <c r="O7" s="13" t="s">
        <v>3679</v>
      </c>
      <c r="P7" s="13">
        <v>1.0</v>
      </c>
      <c r="Q7" s="13" t="s">
        <v>3160</v>
      </c>
      <c r="R7" s="13" t="s">
        <v>3163</v>
      </c>
      <c r="S7" s="13" t="s">
        <v>33</v>
      </c>
      <c r="T7" s="13" t="s">
        <v>3167</v>
      </c>
      <c r="U7" s="13" t="s">
        <v>3195</v>
      </c>
      <c r="V7" s="13" t="s">
        <v>3195</v>
      </c>
      <c r="W7" s="13" t="s">
        <v>3167</v>
      </c>
      <c r="X7" s="13" t="s">
        <v>3192</v>
      </c>
      <c r="Y7" s="13" t="s">
        <v>3156</v>
      </c>
      <c r="Z7" s="13" t="s">
        <v>33</v>
      </c>
      <c r="AA7" s="13" t="b">
        <v>0</v>
      </c>
      <c r="AB7" s="48"/>
      <c r="AC7" s="49"/>
    </row>
    <row r="8" ht="14.25" customHeight="1">
      <c r="A8" s="13">
        <v>24418.0</v>
      </c>
      <c r="B8" s="13" t="str">
        <f t="shared" si="1"/>
        <v>Observational</v>
      </c>
      <c r="C8" s="13" t="s">
        <v>4856</v>
      </c>
      <c r="D8" s="1" t="s">
        <v>4853</v>
      </c>
      <c r="E8" s="2" t="s">
        <v>4854</v>
      </c>
      <c r="F8" s="13" t="s">
        <v>3183</v>
      </c>
      <c r="G8" s="13" t="s">
        <v>3159</v>
      </c>
      <c r="H8" s="13" t="s">
        <v>3242</v>
      </c>
      <c r="I8" s="13" t="s">
        <v>3222</v>
      </c>
      <c r="J8" s="13" t="s">
        <v>3182</v>
      </c>
      <c r="K8" s="13" t="s">
        <v>3153</v>
      </c>
      <c r="L8" s="13" t="s">
        <v>3169</v>
      </c>
      <c r="M8" s="13" t="s">
        <v>3480</v>
      </c>
      <c r="N8" s="13" t="s">
        <v>3162</v>
      </c>
      <c r="O8" s="13" t="s">
        <v>33</v>
      </c>
      <c r="P8" s="13">
        <v>1.0</v>
      </c>
      <c r="Q8" s="13" t="s">
        <v>3177</v>
      </c>
      <c r="R8" s="13" t="s">
        <v>3163</v>
      </c>
      <c r="S8" s="13" t="s">
        <v>33</v>
      </c>
      <c r="T8" s="13" t="s">
        <v>3167</v>
      </c>
      <c r="U8" s="13" t="s">
        <v>3247</v>
      </c>
      <c r="V8" s="13" t="s">
        <v>3247</v>
      </c>
      <c r="W8" s="13" t="s">
        <v>3496</v>
      </c>
      <c r="X8" s="13" t="s">
        <v>3192</v>
      </c>
      <c r="Y8" s="13" t="s">
        <v>33</v>
      </c>
      <c r="Z8" s="13" t="s">
        <v>33</v>
      </c>
      <c r="AA8" s="13" t="b">
        <v>0</v>
      </c>
      <c r="AB8" s="48"/>
      <c r="AC8" s="49"/>
    </row>
    <row r="9" ht="14.25" customHeight="1">
      <c r="A9" s="13">
        <v>24565.0</v>
      </c>
      <c r="B9" s="13" t="str">
        <f t="shared" si="1"/>
        <v>Observational</v>
      </c>
      <c r="C9" s="13" t="s">
        <v>4856</v>
      </c>
      <c r="D9" s="1" t="s">
        <v>4853</v>
      </c>
      <c r="E9" s="2" t="s">
        <v>4854</v>
      </c>
      <c r="F9" s="13" t="s">
        <v>3290</v>
      </c>
      <c r="G9" s="13" t="s">
        <v>3173</v>
      </c>
      <c r="H9" s="13" t="s">
        <v>3166</v>
      </c>
      <c r="I9" s="13" t="s">
        <v>3188</v>
      </c>
      <c r="J9" s="13" t="s">
        <v>3432</v>
      </c>
      <c r="K9" s="13" t="s">
        <v>3153</v>
      </c>
      <c r="L9" s="13" t="s">
        <v>3169</v>
      </c>
      <c r="M9" s="13" t="s">
        <v>3480</v>
      </c>
      <c r="N9" s="13" t="s">
        <v>3162</v>
      </c>
      <c r="O9" s="13" t="s">
        <v>3167</v>
      </c>
      <c r="P9" s="13">
        <v>1.0</v>
      </c>
      <c r="Q9" s="13" t="s">
        <v>3160</v>
      </c>
      <c r="R9" s="13" t="s">
        <v>3231</v>
      </c>
      <c r="S9" s="13" t="s">
        <v>33</v>
      </c>
      <c r="T9" s="13" t="s">
        <v>3224</v>
      </c>
      <c r="U9" s="13" t="s">
        <v>3215</v>
      </c>
      <c r="V9" s="13" t="s">
        <v>3215</v>
      </c>
      <c r="W9" s="13" t="s">
        <v>3167</v>
      </c>
      <c r="X9" s="13" t="s">
        <v>3170</v>
      </c>
      <c r="Y9" s="13" t="s">
        <v>3156</v>
      </c>
      <c r="Z9" s="13" t="s">
        <v>3167</v>
      </c>
      <c r="AA9" s="13" t="b">
        <v>0</v>
      </c>
      <c r="AB9" s="48"/>
      <c r="AC9" s="49"/>
    </row>
    <row r="10" ht="14.25" customHeight="1">
      <c r="A10" s="13">
        <v>24667.0</v>
      </c>
      <c r="B10" s="13" t="str">
        <f t="shared" si="1"/>
        <v>Observational</v>
      </c>
      <c r="C10" s="13" t="s">
        <v>4856</v>
      </c>
      <c r="D10" s="1" t="s">
        <v>4853</v>
      </c>
      <c r="E10" s="2" t="s">
        <v>4854</v>
      </c>
      <c r="F10" s="13" t="s">
        <v>3183</v>
      </c>
      <c r="G10" s="13" t="s">
        <v>3173</v>
      </c>
      <c r="H10" s="13" t="s">
        <v>3242</v>
      </c>
      <c r="I10" s="13" t="s">
        <v>3157</v>
      </c>
      <c r="J10" s="13" t="s">
        <v>3307</v>
      </c>
      <c r="K10" s="13" t="s">
        <v>3153</v>
      </c>
      <c r="L10" s="13" t="s">
        <v>3169</v>
      </c>
      <c r="M10" s="13" t="s">
        <v>3480</v>
      </c>
      <c r="N10" s="13" t="s">
        <v>3162</v>
      </c>
      <c r="O10" s="13" t="s">
        <v>33</v>
      </c>
      <c r="P10" s="13">
        <v>1.0</v>
      </c>
      <c r="Q10" s="13" t="s">
        <v>3160</v>
      </c>
      <c r="R10" s="13" t="s">
        <v>3163</v>
      </c>
      <c r="S10" s="13" t="s">
        <v>33</v>
      </c>
      <c r="T10" s="13" t="s">
        <v>3167</v>
      </c>
      <c r="U10" s="13" t="s">
        <v>3247</v>
      </c>
      <c r="V10" s="13" t="s">
        <v>3247</v>
      </c>
      <c r="W10" s="13" t="s">
        <v>3496</v>
      </c>
      <c r="X10" s="13" t="s">
        <v>3192</v>
      </c>
      <c r="Y10" s="13" t="s">
        <v>3156</v>
      </c>
      <c r="Z10" s="13" t="s">
        <v>33</v>
      </c>
      <c r="AA10" s="13" t="b">
        <v>0</v>
      </c>
      <c r="AB10" s="48"/>
      <c r="AC10" s="49"/>
    </row>
    <row r="11" ht="14.25" customHeight="1">
      <c r="A11" s="13">
        <v>24748.0</v>
      </c>
      <c r="B11" s="13" t="str">
        <f t="shared" si="1"/>
        <v>Observational</v>
      </c>
      <c r="C11" s="13" t="s">
        <v>4856</v>
      </c>
      <c r="D11" s="1" t="s">
        <v>4853</v>
      </c>
      <c r="E11" s="2" t="s">
        <v>4854</v>
      </c>
      <c r="F11" s="13" t="s">
        <v>3183</v>
      </c>
      <c r="G11" s="13" t="s">
        <v>3205</v>
      </c>
      <c r="H11" s="13" t="s">
        <v>3195</v>
      </c>
      <c r="I11" s="13" t="s">
        <v>3167</v>
      </c>
      <c r="J11" s="13" t="s">
        <v>3167</v>
      </c>
      <c r="K11" s="13" t="s">
        <v>3153</v>
      </c>
      <c r="L11" s="13" t="s">
        <v>3169</v>
      </c>
      <c r="M11" s="13" t="s">
        <v>3480</v>
      </c>
      <c r="N11" s="13" t="s">
        <v>3162</v>
      </c>
      <c r="O11" s="13" t="s">
        <v>33</v>
      </c>
      <c r="P11" s="13">
        <v>1.0</v>
      </c>
      <c r="Q11" s="13" t="s">
        <v>3177</v>
      </c>
      <c r="R11" s="13" t="s">
        <v>3163</v>
      </c>
      <c r="S11" s="13" t="s">
        <v>33</v>
      </c>
      <c r="T11" s="13" t="s">
        <v>3167</v>
      </c>
      <c r="U11" s="13" t="s">
        <v>3195</v>
      </c>
      <c r="V11" s="13" t="s">
        <v>3195</v>
      </c>
      <c r="W11" s="13" t="s">
        <v>3167</v>
      </c>
      <c r="X11" s="13" t="s">
        <v>3217</v>
      </c>
      <c r="Y11" s="13" t="s">
        <v>3156</v>
      </c>
      <c r="Z11" s="13" t="s">
        <v>33</v>
      </c>
      <c r="AA11" s="13" t="b">
        <v>0</v>
      </c>
      <c r="AB11" s="48"/>
      <c r="AC11" s="49"/>
    </row>
    <row r="12" ht="14.25" customHeight="1">
      <c r="A12" s="13">
        <v>24886.0</v>
      </c>
      <c r="B12" s="13" t="str">
        <f t="shared" si="1"/>
        <v>Observational</v>
      </c>
      <c r="C12" s="13" t="s">
        <v>4856</v>
      </c>
      <c r="D12" s="1" t="s">
        <v>4853</v>
      </c>
      <c r="E12" s="2" t="s">
        <v>4854</v>
      </c>
      <c r="F12" s="13" t="s">
        <v>3208</v>
      </c>
      <c r="G12" s="13" t="s">
        <v>3210</v>
      </c>
      <c r="H12" s="13" t="s">
        <v>3195</v>
      </c>
      <c r="I12" s="13" t="s">
        <v>3171</v>
      </c>
      <c r="J12" s="13" t="s">
        <v>4018</v>
      </c>
      <c r="K12" s="13" t="s">
        <v>3153</v>
      </c>
      <c r="L12" s="13" t="s">
        <v>3169</v>
      </c>
      <c r="M12" s="13" t="s">
        <v>3480</v>
      </c>
      <c r="N12" s="13" t="s">
        <v>3162</v>
      </c>
      <c r="O12" s="13" t="s">
        <v>33</v>
      </c>
      <c r="P12" s="13">
        <v>1.0</v>
      </c>
      <c r="Q12" s="13" t="s">
        <v>3160</v>
      </c>
      <c r="R12" s="13" t="s">
        <v>3163</v>
      </c>
      <c r="S12" s="13" t="s">
        <v>33</v>
      </c>
      <c r="T12" s="13" t="s">
        <v>3167</v>
      </c>
      <c r="U12" s="13" t="s">
        <v>3195</v>
      </c>
      <c r="V12" s="13" t="s">
        <v>3195</v>
      </c>
      <c r="W12" s="13" t="s">
        <v>3167</v>
      </c>
      <c r="X12" s="13" t="s">
        <v>3170</v>
      </c>
      <c r="Y12" s="13" t="s">
        <v>3202</v>
      </c>
      <c r="Z12" s="13">
        <v>60.0</v>
      </c>
      <c r="AA12" s="13" t="b">
        <v>0</v>
      </c>
      <c r="AB12" s="48"/>
      <c r="AC12" s="49"/>
    </row>
    <row r="13" ht="14.25" customHeight="1">
      <c r="A13" s="13" t="s">
        <v>2050</v>
      </c>
      <c r="B13" s="13" t="str">
        <f t="shared" si="1"/>
        <v>Observational</v>
      </c>
      <c r="C13" s="13" t="s">
        <v>4856</v>
      </c>
      <c r="D13" s="1" t="s">
        <v>4853</v>
      </c>
      <c r="E13" s="2" t="s">
        <v>4854</v>
      </c>
      <c r="F13" s="13" t="s">
        <v>3183</v>
      </c>
      <c r="G13" s="13" t="s">
        <v>3335</v>
      </c>
      <c r="H13" s="13" t="s">
        <v>3195</v>
      </c>
      <c r="I13" s="13" t="s">
        <v>3167</v>
      </c>
      <c r="J13" s="13" t="s">
        <v>3167</v>
      </c>
      <c r="K13" s="13" t="s">
        <v>3153</v>
      </c>
      <c r="L13" s="13" t="s">
        <v>3169</v>
      </c>
      <c r="M13" s="13" t="s">
        <v>3480</v>
      </c>
      <c r="N13" s="13" t="s">
        <v>3162</v>
      </c>
      <c r="O13" s="13" t="s">
        <v>4217</v>
      </c>
      <c r="P13" s="13">
        <v>1.0</v>
      </c>
      <c r="Q13" s="13" t="s">
        <v>3177</v>
      </c>
      <c r="R13" s="13" t="s">
        <v>3163</v>
      </c>
      <c r="S13" s="13" t="s">
        <v>3937</v>
      </c>
      <c r="T13" s="13" t="s">
        <v>3167</v>
      </c>
      <c r="U13" s="13" t="s">
        <v>3195</v>
      </c>
      <c r="V13" s="13" t="s">
        <v>3195</v>
      </c>
      <c r="W13" s="13" t="s">
        <v>3167</v>
      </c>
      <c r="X13" s="13" t="s">
        <v>3217</v>
      </c>
      <c r="Y13" s="13" t="s">
        <v>3156</v>
      </c>
      <c r="Z13" s="13" t="s">
        <v>33</v>
      </c>
      <c r="AA13" s="13" t="b">
        <v>0</v>
      </c>
      <c r="AB13" s="48"/>
      <c r="AC13" s="49"/>
    </row>
    <row r="14" ht="14.25" customHeight="1">
      <c r="A14" s="13">
        <v>23155.0</v>
      </c>
      <c r="B14" s="13" t="str">
        <f t="shared" si="1"/>
        <v>Observational</v>
      </c>
      <c r="C14" s="13" t="s">
        <v>4856</v>
      </c>
      <c r="D14" s="1" t="s">
        <v>4857</v>
      </c>
      <c r="E14" s="13" t="s">
        <v>4858</v>
      </c>
      <c r="F14" s="13" t="s">
        <v>3186</v>
      </c>
      <c r="G14" s="13" t="s">
        <v>3210</v>
      </c>
      <c r="H14" s="13" t="s">
        <v>3195</v>
      </c>
      <c r="I14" s="13" t="s">
        <v>3157</v>
      </c>
      <c r="J14" s="13" t="s">
        <v>3307</v>
      </c>
      <c r="K14" s="13" t="s">
        <v>3153</v>
      </c>
      <c r="L14" s="13" t="s">
        <v>3169</v>
      </c>
      <c r="M14" s="13" t="s">
        <v>3308</v>
      </c>
      <c r="N14" s="13" t="s">
        <v>3267</v>
      </c>
      <c r="O14" s="13" t="s">
        <v>33</v>
      </c>
      <c r="P14" s="13">
        <v>2.0</v>
      </c>
      <c r="Q14" s="13" t="s">
        <v>3177</v>
      </c>
      <c r="R14" s="13" t="s">
        <v>3163</v>
      </c>
      <c r="S14" s="13" t="s">
        <v>33</v>
      </c>
      <c r="T14" s="13" t="s">
        <v>3167</v>
      </c>
      <c r="U14" s="13" t="s">
        <v>3195</v>
      </c>
      <c r="V14" s="13" t="s">
        <v>3195</v>
      </c>
      <c r="W14" s="13" t="s">
        <v>3167</v>
      </c>
      <c r="X14" s="13" t="s">
        <v>3155</v>
      </c>
      <c r="Y14" s="13" t="s">
        <v>3156</v>
      </c>
      <c r="Z14" s="13" t="s">
        <v>3167</v>
      </c>
      <c r="AA14" s="13" t="b">
        <v>0</v>
      </c>
      <c r="AB14" s="48"/>
      <c r="AC14" s="49"/>
    </row>
    <row r="15" ht="14.25" customHeight="1">
      <c r="A15" s="13">
        <v>23938.0</v>
      </c>
      <c r="B15" s="13" t="str">
        <f t="shared" si="1"/>
        <v>Observational</v>
      </c>
      <c r="C15" s="13" t="s">
        <v>4856</v>
      </c>
      <c r="D15" s="1" t="s">
        <v>4859</v>
      </c>
      <c r="E15" s="13" t="s">
        <v>4860</v>
      </c>
      <c r="F15" s="13" t="s">
        <v>3282</v>
      </c>
      <c r="G15" s="13" t="s">
        <v>3183</v>
      </c>
      <c r="H15" s="13" t="s">
        <v>3166</v>
      </c>
      <c r="I15" s="13" t="s">
        <v>3157</v>
      </c>
      <c r="J15" s="13" t="s">
        <v>3307</v>
      </c>
      <c r="K15" s="13" t="s">
        <v>3153</v>
      </c>
      <c r="L15" s="13" t="s">
        <v>3169</v>
      </c>
      <c r="M15" s="13" t="s">
        <v>3692</v>
      </c>
      <c r="N15" s="13" t="s">
        <v>3267</v>
      </c>
      <c r="O15" s="13" t="s">
        <v>3693</v>
      </c>
      <c r="P15" s="13">
        <v>7.0</v>
      </c>
      <c r="Q15" s="13" t="s">
        <v>3160</v>
      </c>
      <c r="R15" s="13" t="s">
        <v>3177</v>
      </c>
      <c r="S15" s="13" t="s">
        <v>3694</v>
      </c>
      <c r="T15" s="13" t="s">
        <v>3178</v>
      </c>
      <c r="U15" s="13" t="s">
        <v>3232</v>
      </c>
      <c r="V15" s="13" t="s">
        <v>3232</v>
      </c>
      <c r="W15" s="13" t="s">
        <v>3167</v>
      </c>
      <c r="X15" s="13" t="s">
        <v>3170</v>
      </c>
      <c r="Y15" s="13" t="s">
        <v>3156</v>
      </c>
      <c r="Z15" s="13" t="s">
        <v>33</v>
      </c>
      <c r="AA15" s="13" t="b">
        <v>0</v>
      </c>
      <c r="AB15" s="48"/>
      <c r="AC15" s="49"/>
    </row>
    <row r="16" ht="14.25" customHeight="1">
      <c r="A16" s="13">
        <v>23071.0</v>
      </c>
      <c r="B16" s="13" t="str">
        <f t="shared" si="1"/>
        <v>Observational</v>
      </c>
      <c r="C16" s="13" t="s">
        <v>4856</v>
      </c>
      <c r="D16" s="1" t="s">
        <v>4861</v>
      </c>
      <c r="E16" s="13" t="s">
        <v>4862</v>
      </c>
      <c r="F16" s="13" t="s">
        <v>3218</v>
      </c>
      <c r="G16" s="13" t="s">
        <v>3210</v>
      </c>
      <c r="H16" s="13" t="s">
        <v>3195</v>
      </c>
      <c r="I16" s="13" t="s">
        <v>3167</v>
      </c>
      <c r="J16" s="13" t="s">
        <v>3167</v>
      </c>
      <c r="K16" s="13" t="s">
        <v>3153</v>
      </c>
      <c r="L16" s="13" t="s">
        <v>3169</v>
      </c>
      <c r="M16" s="13" t="s">
        <v>3235</v>
      </c>
      <c r="N16" s="13" t="s">
        <v>3175</v>
      </c>
      <c r="O16" s="13" t="s">
        <v>3236</v>
      </c>
      <c r="P16" s="13">
        <v>7.0</v>
      </c>
      <c r="Q16" s="13" t="s">
        <v>3177</v>
      </c>
      <c r="R16" s="13" t="s">
        <v>3163</v>
      </c>
      <c r="S16" s="13" t="s">
        <v>3237</v>
      </c>
      <c r="T16" s="13" t="s">
        <v>3167</v>
      </c>
      <c r="U16" s="13" t="s">
        <v>3195</v>
      </c>
      <c r="V16" s="13" t="s">
        <v>3195</v>
      </c>
      <c r="W16" s="13" t="s">
        <v>3167</v>
      </c>
      <c r="X16" s="13" t="s">
        <v>3217</v>
      </c>
      <c r="Y16" s="13" t="s">
        <v>3156</v>
      </c>
      <c r="Z16" s="13" t="s">
        <v>33</v>
      </c>
      <c r="AA16" s="13" t="b">
        <v>0</v>
      </c>
      <c r="AB16" s="48"/>
      <c r="AC16" s="49"/>
    </row>
    <row r="17" ht="14.25" customHeight="1">
      <c r="A17" s="13">
        <v>23399.0</v>
      </c>
      <c r="B17" s="13" t="str">
        <f t="shared" si="1"/>
        <v>Observational</v>
      </c>
      <c r="C17" s="13" t="s">
        <v>4856</v>
      </c>
      <c r="D17" s="1" t="s">
        <v>4861</v>
      </c>
      <c r="E17" s="13" t="s">
        <v>4862</v>
      </c>
      <c r="F17" s="13" t="s">
        <v>3183</v>
      </c>
      <c r="G17" s="13" t="s">
        <v>3210</v>
      </c>
      <c r="H17" s="13" t="s">
        <v>3195</v>
      </c>
      <c r="I17" s="13" t="s">
        <v>3188</v>
      </c>
      <c r="J17" s="13" t="s">
        <v>3432</v>
      </c>
      <c r="K17" s="13" t="s">
        <v>3153</v>
      </c>
      <c r="L17" s="13" t="s">
        <v>3169</v>
      </c>
      <c r="M17" s="13" t="s">
        <v>3235</v>
      </c>
      <c r="N17" s="13" t="s">
        <v>3175</v>
      </c>
      <c r="O17" s="13" t="s">
        <v>33</v>
      </c>
      <c r="P17" s="13">
        <v>7.0</v>
      </c>
      <c r="Q17" s="13" t="s">
        <v>3177</v>
      </c>
      <c r="R17" s="13" t="s">
        <v>3163</v>
      </c>
      <c r="S17" s="13" t="s">
        <v>33</v>
      </c>
      <c r="T17" s="13" t="s">
        <v>3167</v>
      </c>
      <c r="U17" s="13" t="s">
        <v>3195</v>
      </c>
      <c r="V17" s="13" t="s">
        <v>3195</v>
      </c>
      <c r="W17" s="13" t="s">
        <v>3167</v>
      </c>
      <c r="X17" s="13" t="s">
        <v>3155</v>
      </c>
      <c r="Y17" s="13" t="s">
        <v>3187</v>
      </c>
      <c r="Z17" s="13">
        <v>1.0</v>
      </c>
      <c r="AA17" s="13" t="b">
        <v>0</v>
      </c>
      <c r="AB17" s="48"/>
      <c r="AC17" s="49"/>
    </row>
    <row r="18" ht="14.25" customHeight="1">
      <c r="A18" s="13">
        <v>23657.0</v>
      </c>
      <c r="B18" s="13" t="str">
        <f t="shared" si="1"/>
        <v>Observational</v>
      </c>
      <c r="C18" s="13" t="s">
        <v>4856</v>
      </c>
      <c r="D18" s="1" t="s">
        <v>4861</v>
      </c>
      <c r="E18" s="13" t="s">
        <v>4862</v>
      </c>
      <c r="F18" s="13" t="s">
        <v>3186</v>
      </c>
      <c r="G18" s="13" t="s">
        <v>3208</v>
      </c>
      <c r="H18" s="13" t="s">
        <v>3242</v>
      </c>
      <c r="I18" s="13" t="s">
        <v>3188</v>
      </c>
      <c r="J18" s="13" t="s">
        <v>3432</v>
      </c>
      <c r="K18" s="13" t="s">
        <v>3153</v>
      </c>
      <c r="L18" s="13" t="s">
        <v>3169</v>
      </c>
      <c r="M18" s="13" t="s">
        <v>3235</v>
      </c>
      <c r="N18" s="13" t="s">
        <v>3175</v>
      </c>
      <c r="O18" s="13" t="s">
        <v>3560</v>
      </c>
      <c r="P18" s="13">
        <v>7.0</v>
      </c>
      <c r="Q18" s="13" t="s">
        <v>3177</v>
      </c>
      <c r="R18" s="13" t="s">
        <v>3163</v>
      </c>
      <c r="S18" s="13" t="s">
        <v>33</v>
      </c>
      <c r="T18" s="13" t="s">
        <v>3167</v>
      </c>
      <c r="U18" s="13" t="s">
        <v>3247</v>
      </c>
      <c r="V18" s="13" t="s">
        <v>3247</v>
      </c>
      <c r="W18" s="13" t="s">
        <v>3356</v>
      </c>
      <c r="X18" s="13" t="s">
        <v>3192</v>
      </c>
      <c r="Y18" s="13" t="s">
        <v>3187</v>
      </c>
      <c r="Z18" s="13">
        <v>1.0</v>
      </c>
      <c r="AA18" s="13" t="b">
        <v>0</v>
      </c>
      <c r="AB18" s="48"/>
      <c r="AC18" s="49"/>
    </row>
    <row r="19" ht="14.25" customHeight="1">
      <c r="A19" s="13">
        <v>23726.0</v>
      </c>
      <c r="B19" s="13" t="str">
        <f t="shared" si="1"/>
        <v>Observational</v>
      </c>
      <c r="C19" s="13" t="s">
        <v>4856</v>
      </c>
      <c r="D19" s="1" t="s">
        <v>4861</v>
      </c>
      <c r="E19" s="13" t="s">
        <v>4862</v>
      </c>
      <c r="F19" s="13" t="s">
        <v>3218</v>
      </c>
      <c r="G19" s="13" t="s">
        <v>3183</v>
      </c>
      <c r="H19" s="13" t="s">
        <v>3166</v>
      </c>
      <c r="I19" s="13" t="s">
        <v>3167</v>
      </c>
      <c r="J19" s="13" t="s">
        <v>3167</v>
      </c>
      <c r="K19" s="13" t="s">
        <v>3153</v>
      </c>
      <c r="L19" s="13" t="s">
        <v>3169</v>
      </c>
      <c r="M19" s="13" t="s">
        <v>3235</v>
      </c>
      <c r="N19" s="13" t="s">
        <v>3175</v>
      </c>
      <c r="O19" s="13" t="s">
        <v>3236</v>
      </c>
      <c r="P19" s="13">
        <v>7.0</v>
      </c>
      <c r="Q19" s="13" t="s">
        <v>3177</v>
      </c>
      <c r="R19" s="13" t="s">
        <v>3163</v>
      </c>
      <c r="S19" s="13" t="s">
        <v>3397</v>
      </c>
      <c r="T19" s="13" t="s">
        <v>3178</v>
      </c>
      <c r="U19" s="13" t="s">
        <v>3232</v>
      </c>
      <c r="V19" s="13" t="s">
        <v>3232</v>
      </c>
      <c r="W19" s="13" t="s">
        <v>3167</v>
      </c>
      <c r="X19" s="13" t="s">
        <v>3217</v>
      </c>
      <c r="Y19" s="13" t="s">
        <v>3187</v>
      </c>
      <c r="Z19" s="13">
        <v>1.0</v>
      </c>
      <c r="AA19" s="13" t="b">
        <v>0</v>
      </c>
      <c r="AB19" s="48"/>
      <c r="AC19" s="49"/>
    </row>
    <row r="20" ht="14.25" customHeight="1">
      <c r="A20" s="13">
        <v>24108.0</v>
      </c>
      <c r="B20" s="13" t="str">
        <f t="shared" si="1"/>
        <v>Observational</v>
      </c>
      <c r="C20" s="13" t="s">
        <v>4856</v>
      </c>
      <c r="D20" s="1" t="s">
        <v>4861</v>
      </c>
      <c r="E20" s="13" t="s">
        <v>4862</v>
      </c>
      <c r="F20" s="13" t="s">
        <v>3218</v>
      </c>
      <c r="G20" s="13" t="s">
        <v>3183</v>
      </c>
      <c r="H20" s="13" t="s">
        <v>3166</v>
      </c>
      <c r="I20" s="13" t="s">
        <v>3167</v>
      </c>
      <c r="J20" s="13" t="s">
        <v>3167</v>
      </c>
      <c r="K20" s="13" t="s">
        <v>3153</v>
      </c>
      <c r="L20" s="13" t="s">
        <v>3169</v>
      </c>
      <c r="M20" s="13" t="s">
        <v>3235</v>
      </c>
      <c r="N20" s="13" t="s">
        <v>3175</v>
      </c>
      <c r="O20" s="13" t="s">
        <v>3236</v>
      </c>
      <c r="P20" s="13">
        <v>7.0</v>
      </c>
      <c r="Q20" s="13" t="s">
        <v>3177</v>
      </c>
      <c r="R20" s="13" t="s">
        <v>3177</v>
      </c>
      <c r="S20" s="13" t="s">
        <v>3747</v>
      </c>
      <c r="T20" s="13" t="s">
        <v>3216</v>
      </c>
      <c r="U20" s="13" t="s">
        <v>3232</v>
      </c>
      <c r="V20" s="13" t="s">
        <v>3232</v>
      </c>
      <c r="W20" s="13" t="s">
        <v>3167</v>
      </c>
      <c r="X20" s="13" t="s">
        <v>3217</v>
      </c>
      <c r="Y20" s="13" t="s">
        <v>3180</v>
      </c>
      <c r="Z20" s="13">
        <v>1.0</v>
      </c>
      <c r="AA20" s="13" t="b">
        <v>0</v>
      </c>
      <c r="AB20" s="48"/>
      <c r="AC20" s="49"/>
    </row>
    <row r="21" ht="14.25" customHeight="1">
      <c r="A21" s="13">
        <v>25734.0</v>
      </c>
      <c r="B21" s="13" t="str">
        <f t="shared" si="1"/>
        <v>Observational</v>
      </c>
      <c r="C21" s="13" t="s">
        <v>4856</v>
      </c>
      <c r="D21" s="1" t="s">
        <v>4861</v>
      </c>
      <c r="E21" s="13" t="s">
        <v>4862</v>
      </c>
      <c r="F21" s="13" t="s">
        <v>3183</v>
      </c>
      <c r="G21" s="13" t="s">
        <v>3210</v>
      </c>
      <c r="H21" s="13" t="s">
        <v>3195</v>
      </c>
      <c r="I21" s="13" t="s">
        <v>3244</v>
      </c>
      <c r="J21" s="13" t="s">
        <v>3345</v>
      </c>
      <c r="K21" s="13" t="s">
        <v>3153</v>
      </c>
      <c r="L21" s="13" t="s">
        <v>3169</v>
      </c>
      <c r="M21" s="13" t="s">
        <v>3235</v>
      </c>
      <c r="N21" s="13" t="s">
        <v>3175</v>
      </c>
      <c r="O21" s="13" t="s">
        <v>3689</v>
      </c>
      <c r="P21" s="13">
        <v>7.0</v>
      </c>
      <c r="Q21" s="13" t="s">
        <v>3177</v>
      </c>
      <c r="R21" s="13" t="s">
        <v>3163</v>
      </c>
      <c r="S21" s="13" t="s">
        <v>33</v>
      </c>
      <c r="T21" s="13" t="s">
        <v>3167</v>
      </c>
      <c r="U21" s="13" t="s">
        <v>3195</v>
      </c>
      <c r="V21" s="13" t="s">
        <v>3195</v>
      </c>
      <c r="W21" s="13" t="s">
        <v>3167</v>
      </c>
      <c r="X21" s="13" t="s">
        <v>3192</v>
      </c>
      <c r="Y21" s="13" t="s">
        <v>3202</v>
      </c>
      <c r="Z21" s="13">
        <v>100.0</v>
      </c>
      <c r="AA21" s="13" t="b">
        <v>0</v>
      </c>
      <c r="AB21" s="48"/>
      <c r="AC21" s="49"/>
    </row>
    <row r="22" ht="14.25" customHeight="1">
      <c r="A22" s="13">
        <v>25830.0</v>
      </c>
      <c r="B22" s="13" t="str">
        <f t="shared" si="1"/>
        <v>Observational</v>
      </c>
      <c r="C22" s="13" t="s">
        <v>4856</v>
      </c>
      <c r="D22" s="1" t="s">
        <v>4861</v>
      </c>
      <c r="E22" s="13" t="s">
        <v>4862</v>
      </c>
      <c r="F22" s="13" t="s">
        <v>3218</v>
      </c>
      <c r="G22" s="13" t="s">
        <v>3282</v>
      </c>
      <c r="H22" s="13" t="s">
        <v>3166</v>
      </c>
      <c r="I22" s="13" t="s">
        <v>3167</v>
      </c>
      <c r="J22" s="13" t="s">
        <v>3167</v>
      </c>
      <c r="K22" s="13" t="s">
        <v>3153</v>
      </c>
      <c r="L22" s="13" t="s">
        <v>3169</v>
      </c>
      <c r="M22" s="13" t="s">
        <v>3235</v>
      </c>
      <c r="N22" s="13" t="s">
        <v>3175</v>
      </c>
      <c r="O22" s="13" t="s">
        <v>4342</v>
      </c>
      <c r="P22" s="13">
        <v>7.0</v>
      </c>
      <c r="Q22" s="13" t="s">
        <v>3177</v>
      </c>
      <c r="R22" s="13" t="s">
        <v>3163</v>
      </c>
      <c r="S22" s="13" t="s">
        <v>4343</v>
      </c>
      <c r="T22" s="13" t="s">
        <v>3178</v>
      </c>
      <c r="U22" s="13" t="s">
        <v>3232</v>
      </c>
      <c r="V22" s="13" t="s">
        <v>3232</v>
      </c>
      <c r="W22" s="13" t="s">
        <v>3167</v>
      </c>
      <c r="X22" s="13" t="s">
        <v>3217</v>
      </c>
      <c r="Y22" s="13" t="s">
        <v>3187</v>
      </c>
      <c r="Z22" s="13">
        <v>1.0</v>
      </c>
      <c r="AA22" s="13" t="b">
        <v>0</v>
      </c>
      <c r="AB22" s="48"/>
      <c r="AC22" s="49"/>
    </row>
    <row r="23" ht="14.25" customHeight="1">
      <c r="A23" s="13">
        <v>24314.0</v>
      </c>
      <c r="B23" s="13" t="str">
        <f t="shared" si="1"/>
        <v>Observational</v>
      </c>
      <c r="C23" s="13" t="s">
        <v>4856</v>
      </c>
      <c r="D23" s="1" t="s">
        <v>4863</v>
      </c>
      <c r="E23" s="13" t="s">
        <v>4862</v>
      </c>
      <c r="F23" s="13" t="s">
        <v>3282</v>
      </c>
      <c r="G23" s="13" t="s">
        <v>3210</v>
      </c>
      <c r="H23" s="13" t="s">
        <v>3195</v>
      </c>
      <c r="I23" s="13" t="s">
        <v>3222</v>
      </c>
      <c r="J23" s="13" t="s">
        <v>3182</v>
      </c>
      <c r="K23" s="13" t="s">
        <v>3153</v>
      </c>
      <c r="L23" s="13" t="s">
        <v>3169</v>
      </c>
      <c r="M23" s="13" t="s">
        <v>3852</v>
      </c>
      <c r="N23" s="13" t="s">
        <v>3162</v>
      </c>
      <c r="O23" s="13" t="s">
        <v>3853</v>
      </c>
      <c r="P23" s="13">
        <v>7.0</v>
      </c>
      <c r="Q23" s="13" t="s">
        <v>3177</v>
      </c>
      <c r="R23" s="13" t="s">
        <v>3231</v>
      </c>
      <c r="S23" s="13" t="s">
        <v>33</v>
      </c>
      <c r="T23" s="13" t="s">
        <v>3167</v>
      </c>
      <c r="U23" s="13" t="s">
        <v>3195</v>
      </c>
      <c r="V23" s="13" t="s">
        <v>3195</v>
      </c>
      <c r="W23" s="13" t="s">
        <v>3167</v>
      </c>
      <c r="X23" s="13" t="s">
        <v>3192</v>
      </c>
      <c r="Y23" s="13" t="s">
        <v>3187</v>
      </c>
      <c r="Z23" s="13">
        <v>1.0</v>
      </c>
      <c r="AA23" s="13" t="b">
        <v>0</v>
      </c>
      <c r="AB23" s="48"/>
      <c r="AC23" s="49"/>
    </row>
    <row r="24" ht="14.25" customHeight="1">
      <c r="A24" s="13">
        <v>23135.0</v>
      </c>
      <c r="B24" s="13" t="str">
        <f t="shared" si="1"/>
        <v>Observational</v>
      </c>
      <c r="C24" s="13" t="s">
        <v>4864</v>
      </c>
      <c r="D24" s="1" t="s">
        <v>4865</v>
      </c>
      <c r="E24" s="13" t="s">
        <v>4866</v>
      </c>
      <c r="F24" s="13" t="s">
        <v>3296</v>
      </c>
      <c r="G24" s="13" t="s">
        <v>3190</v>
      </c>
      <c r="H24" s="13" t="s">
        <v>3253</v>
      </c>
      <c r="I24" s="13" t="s">
        <v>3261</v>
      </c>
      <c r="J24" s="13" t="s">
        <v>3277</v>
      </c>
      <c r="K24" s="13" t="s">
        <v>3153</v>
      </c>
      <c r="L24" s="13" t="s">
        <v>3179</v>
      </c>
      <c r="M24" s="13" t="s">
        <v>3297</v>
      </c>
      <c r="N24" s="13" t="s">
        <v>3162</v>
      </c>
      <c r="O24" s="13" t="s">
        <v>33</v>
      </c>
      <c r="P24" s="13">
        <v>10.0</v>
      </c>
      <c r="Q24" s="13" t="s">
        <v>3177</v>
      </c>
      <c r="R24" s="13" t="s">
        <v>3163</v>
      </c>
      <c r="S24" s="13" t="s">
        <v>33</v>
      </c>
      <c r="T24" s="13" t="s">
        <v>3168</v>
      </c>
      <c r="U24" s="13" t="s">
        <v>3232</v>
      </c>
      <c r="V24" s="13" t="s">
        <v>3252</v>
      </c>
      <c r="W24" s="13" t="s">
        <v>3298</v>
      </c>
      <c r="X24" s="13" t="s">
        <v>3155</v>
      </c>
      <c r="Y24" s="13" t="s">
        <v>3202</v>
      </c>
      <c r="Z24" s="13">
        <v>500.0</v>
      </c>
      <c r="AA24" s="13" t="b">
        <v>0</v>
      </c>
      <c r="AB24" s="48"/>
      <c r="AC24" s="49"/>
    </row>
    <row r="25" ht="14.25" customHeight="1">
      <c r="A25" s="13">
        <v>26127.0</v>
      </c>
      <c r="B25" s="13" t="str">
        <f t="shared" si="1"/>
        <v>Observational</v>
      </c>
      <c r="C25" s="13" t="s">
        <v>4864</v>
      </c>
      <c r="D25" s="1" t="s">
        <v>4867</v>
      </c>
      <c r="E25" s="13" t="s">
        <v>4868</v>
      </c>
      <c r="F25" s="13" t="s">
        <v>4457</v>
      </c>
      <c r="G25" s="13" t="s">
        <v>3370</v>
      </c>
      <c r="H25" s="13" t="s">
        <v>3166</v>
      </c>
      <c r="I25" s="13" t="s">
        <v>3167</v>
      </c>
      <c r="J25" s="13" t="s">
        <v>3167</v>
      </c>
      <c r="K25" s="13" t="s">
        <v>3153</v>
      </c>
      <c r="L25" s="13" t="s">
        <v>3179</v>
      </c>
      <c r="M25" s="13" t="s">
        <v>4458</v>
      </c>
      <c r="N25" s="13" t="s">
        <v>3162</v>
      </c>
      <c r="O25" s="13" t="s">
        <v>3167</v>
      </c>
      <c r="P25" s="13">
        <v>11.0</v>
      </c>
      <c r="Q25" s="13" t="s">
        <v>3177</v>
      </c>
      <c r="R25" s="13" t="s">
        <v>3231</v>
      </c>
      <c r="S25" s="13" t="s">
        <v>33</v>
      </c>
      <c r="T25" s="13" t="s">
        <v>3225</v>
      </c>
      <c r="U25" s="13" t="s">
        <v>3215</v>
      </c>
      <c r="V25" s="13" t="s">
        <v>3215</v>
      </c>
      <c r="W25" s="13" t="s">
        <v>3167</v>
      </c>
      <c r="X25" s="13" t="s">
        <v>3217</v>
      </c>
      <c r="Y25" s="13" t="s">
        <v>3187</v>
      </c>
      <c r="Z25" s="13">
        <v>1.0</v>
      </c>
      <c r="AA25" s="13" t="b">
        <v>0</v>
      </c>
      <c r="AB25" s="48"/>
      <c r="AC25" s="49"/>
    </row>
    <row r="26" ht="14.25" customHeight="1">
      <c r="A26" s="13">
        <v>24842.0</v>
      </c>
      <c r="B26" s="13" t="str">
        <f t="shared" si="1"/>
        <v>Observational</v>
      </c>
      <c r="C26" s="13" t="s">
        <v>4856</v>
      </c>
      <c r="D26" s="1" t="s">
        <v>4869</v>
      </c>
      <c r="E26" s="13" t="s">
        <v>4870</v>
      </c>
      <c r="F26" s="13" t="s">
        <v>3208</v>
      </c>
      <c r="G26" s="13" t="s">
        <v>3208</v>
      </c>
      <c r="H26" s="13" t="s">
        <v>3242</v>
      </c>
      <c r="I26" s="13" t="s">
        <v>3188</v>
      </c>
      <c r="J26" s="13" t="s">
        <v>3207</v>
      </c>
      <c r="K26" s="13" t="s">
        <v>3153</v>
      </c>
      <c r="L26" s="13" t="s">
        <v>3169</v>
      </c>
      <c r="M26" s="13" t="s">
        <v>4049</v>
      </c>
      <c r="N26" s="13" t="s">
        <v>3162</v>
      </c>
      <c r="O26" s="13" t="s">
        <v>33</v>
      </c>
      <c r="P26" s="13">
        <v>4.0</v>
      </c>
      <c r="Q26" s="13" t="s">
        <v>3160</v>
      </c>
      <c r="R26" s="13" t="s">
        <v>3163</v>
      </c>
      <c r="S26" s="13" t="s">
        <v>33</v>
      </c>
      <c r="T26" s="13" t="s">
        <v>3167</v>
      </c>
      <c r="U26" s="13" t="s">
        <v>3247</v>
      </c>
      <c r="V26" s="13" t="s">
        <v>3247</v>
      </c>
      <c r="W26" s="13" t="s">
        <v>3572</v>
      </c>
      <c r="X26" s="13" t="s">
        <v>3192</v>
      </c>
      <c r="Y26" s="13" t="s">
        <v>33</v>
      </c>
      <c r="Z26" s="13" t="s">
        <v>33</v>
      </c>
      <c r="AA26" s="13" t="b">
        <v>0</v>
      </c>
      <c r="AB26" s="48"/>
      <c r="AC26" s="49"/>
    </row>
    <row r="27" ht="14.25" customHeight="1">
      <c r="A27" s="13">
        <v>23125.0</v>
      </c>
      <c r="B27" s="13" t="str">
        <f t="shared" si="1"/>
        <v>Observational</v>
      </c>
      <c r="C27" s="13" t="s">
        <v>4856</v>
      </c>
      <c r="D27" s="1" t="s">
        <v>4871</v>
      </c>
      <c r="E27" s="13" t="s">
        <v>4870</v>
      </c>
      <c r="F27" s="13" t="s">
        <v>3183</v>
      </c>
      <c r="G27" s="13" t="s">
        <v>3186</v>
      </c>
      <c r="H27" s="13" t="s">
        <v>3253</v>
      </c>
      <c r="I27" s="13" t="s">
        <v>3157</v>
      </c>
      <c r="J27" s="13" t="s">
        <v>3167</v>
      </c>
      <c r="K27" s="13" t="s">
        <v>3153</v>
      </c>
      <c r="L27" s="13" t="s">
        <v>3169</v>
      </c>
      <c r="M27" s="13" t="s">
        <v>3292</v>
      </c>
      <c r="N27" s="13" t="s">
        <v>3162</v>
      </c>
      <c r="O27" s="13" t="s">
        <v>3293</v>
      </c>
      <c r="P27" s="13">
        <v>3.0</v>
      </c>
      <c r="Q27" s="13" t="s">
        <v>3177</v>
      </c>
      <c r="R27" s="13" t="s">
        <v>3163</v>
      </c>
      <c r="S27" s="13" t="s">
        <v>33</v>
      </c>
      <c r="T27" s="13" t="s">
        <v>3295</v>
      </c>
      <c r="U27" s="13" t="s">
        <v>3232</v>
      </c>
      <c r="V27" s="13" t="s">
        <v>3252</v>
      </c>
      <c r="W27" s="13" t="s">
        <v>3294</v>
      </c>
      <c r="X27" s="13" t="s">
        <v>3284</v>
      </c>
      <c r="Y27" s="13" t="s">
        <v>3187</v>
      </c>
      <c r="Z27" s="13">
        <v>50.0</v>
      </c>
      <c r="AA27" s="13" t="b">
        <v>0</v>
      </c>
      <c r="AB27" s="48"/>
      <c r="AC27" s="49"/>
    </row>
    <row r="28" ht="14.25" customHeight="1">
      <c r="A28" s="13">
        <v>25077.0</v>
      </c>
      <c r="B28" s="13" t="str">
        <f t="shared" si="1"/>
        <v>Observational</v>
      </c>
      <c r="C28" s="13" t="s">
        <v>4856</v>
      </c>
      <c r="D28" s="1" t="s">
        <v>4872</v>
      </c>
      <c r="E28" s="13" t="s">
        <v>4873</v>
      </c>
      <c r="F28" s="13" t="s">
        <v>3208</v>
      </c>
      <c r="G28" s="13" t="s">
        <v>3173</v>
      </c>
      <c r="H28" s="13" t="s">
        <v>3166</v>
      </c>
      <c r="I28" s="13" t="s">
        <v>3222</v>
      </c>
      <c r="J28" s="13" t="s">
        <v>3229</v>
      </c>
      <c r="K28" s="13" t="s">
        <v>3153</v>
      </c>
      <c r="L28" s="13" t="s">
        <v>3169</v>
      </c>
      <c r="M28" s="13" t="s">
        <v>4126</v>
      </c>
      <c r="N28" s="13" t="s">
        <v>3162</v>
      </c>
      <c r="O28" s="13" t="s">
        <v>3167</v>
      </c>
      <c r="P28" s="13">
        <v>10.0</v>
      </c>
      <c r="Q28" s="13" t="s">
        <v>3160</v>
      </c>
      <c r="R28" s="13" t="s">
        <v>3231</v>
      </c>
      <c r="S28" s="13" t="s">
        <v>4127</v>
      </c>
      <c r="T28" s="13" t="s">
        <v>3178</v>
      </c>
      <c r="U28" s="13" t="s">
        <v>3164</v>
      </c>
      <c r="V28" s="13" t="s">
        <v>3164</v>
      </c>
      <c r="W28" s="13" t="s">
        <v>3167</v>
      </c>
      <c r="X28" s="13" t="s">
        <v>3192</v>
      </c>
      <c r="Y28" s="13" t="s">
        <v>3202</v>
      </c>
      <c r="Z28" s="13">
        <v>30.0</v>
      </c>
      <c r="AA28" s="13" t="b">
        <v>0</v>
      </c>
      <c r="AB28" s="48"/>
      <c r="AC28" s="49"/>
    </row>
    <row r="29" ht="14.25" customHeight="1">
      <c r="A29" s="13">
        <v>23072.0</v>
      </c>
      <c r="B29" s="13" t="str">
        <f t="shared" si="1"/>
        <v>Observational</v>
      </c>
      <c r="C29" s="13" t="s">
        <v>4856</v>
      </c>
      <c r="D29" s="1" t="s">
        <v>4874</v>
      </c>
      <c r="E29" s="13" t="s">
        <v>4875</v>
      </c>
      <c r="F29" s="13" t="s">
        <v>3218</v>
      </c>
      <c r="G29" s="13" t="s">
        <v>3183</v>
      </c>
      <c r="H29" s="13" t="s">
        <v>3166</v>
      </c>
      <c r="I29" s="13" t="s">
        <v>3167</v>
      </c>
      <c r="J29" s="13" t="s">
        <v>3167</v>
      </c>
      <c r="K29" s="13" t="s">
        <v>3153</v>
      </c>
      <c r="L29" s="13" t="s">
        <v>3169</v>
      </c>
      <c r="M29" s="13" t="s">
        <v>3238</v>
      </c>
      <c r="N29" s="13" t="s">
        <v>3175</v>
      </c>
      <c r="O29" s="13" t="s">
        <v>3236</v>
      </c>
      <c r="P29" s="13">
        <v>15.0</v>
      </c>
      <c r="Q29" s="13" t="s">
        <v>3177</v>
      </c>
      <c r="R29" s="13" t="s">
        <v>3177</v>
      </c>
      <c r="S29" s="13" t="s">
        <v>3221</v>
      </c>
      <c r="T29" s="13" t="s">
        <v>3239</v>
      </c>
      <c r="U29" s="13" t="s">
        <v>3197</v>
      </c>
      <c r="V29" s="13" t="s">
        <v>3197</v>
      </c>
      <c r="W29" s="13" t="s">
        <v>3167</v>
      </c>
      <c r="X29" s="13" t="s">
        <v>3217</v>
      </c>
      <c r="Y29" s="13" t="s">
        <v>3187</v>
      </c>
      <c r="Z29" s="13">
        <v>30.0</v>
      </c>
      <c r="AA29" s="13" t="b">
        <v>0</v>
      </c>
      <c r="AB29" s="48"/>
      <c r="AC29" s="49"/>
    </row>
    <row r="30" ht="14.25" customHeight="1">
      <c r="A30" s="13">
        <v>23477.0</v>
      </c>
      <c r="B30" s="13" t="str">
        <f t="shared" si="1"/>
        <v>Observational</v>
      </c>
      <c r="C30" s="13" t="s">
        <v>4856</v>
      </c>
      <c r="D30" s="1" t="s">
        <v>4876</v>
      </c>
      <c r="E30" s="13" t="s">
        <v>4877</v>
      </c>
      <c r="F30" s="13" t="s">
        <v>3208</v>
      </c>
      <c r="G30" s="13" t="s">
        <v>3208</v>
      </c>
      <c r="H30" s="13" t="s">
        <v>3242</v>
      </c>
      <c r="I30" s="13" t="s">
        <v>3244</v>
      </c>
      <c r="J30" s="13" t="s">
        <v>3289</v>
      </c>
      <c r="K30" s="13" t="s">
        <v>3153</v>
      </c>
      <c r="L30" s="13" t="s">
        <v>3169</v>
      </c>
      <c r="M30" s="13" t="s">
        <v>3460</v>
      </c>
      <c r="N30" s="13" t="s">
        <v>3162</v>
      </c>
      <c r="O30" s="13" t="s">
        <v>3461</v>
      </c>
      <c r="P30" s="13">
        <v>5.0</v>
      </c>
      <c r="Q30" s="13" t="s">
        <v>3160</v>
      </c>
      <c r="R30" s="13" t="s">
        <v>3231</v>
      </c>
      <c r="S30" s="13" t="s">
        <v>33</v>
      </c>
      <c r="T30" s="13" t="s">
        <v>3167</v>
      </c>
      <c r="U30" s="13" t="s">
        <v>3247</v>
      </c>
      <c r="V30" s="13" t="s">
        <v>3247</v>
      </c>
      <c r="W30" s="13" t="s">
        <v>3248</v>
      </c>
      <c r="X30" s="13" t="s">
        <v>3192</v>
      </c>
      <c r="Y30" s="13" t="s">
        <v>3187</v>
      </c>
      <c r="Z30" s="13">
        <v>100.0</v>
      </c>
      <c r="AA30" s="13" t="b">
        <v>0</v>
      </c>
      <c r="AB30" s="48"/>
      <c r="AC30" s="49"/>
    </row>
    <row r="31" ht="14.25" customHeight="1">
      <c r="A31" s="13">
        <v>24050.0</v>
      </c>
      <c r="B31" s="13" t="str">
        <f t="shared" si="1"/>
        <v>Observational</v>
      </c>
      <c r="C31" s="13" t="s">
        <v>4855</v>
      </c>
      <c r="D31" s="1" t="s">
        <v>4878</v>
      </c>
      <c r="E31" s="13" t="s">
        <v>4879</v>
      </c>
      <c r="F31" s="13" t="s">
        <v>3208</v>
      </c>
      <c r="G31" s="13" t="s">
        <v>3208</v>
      </c>
      <c r="H31" s="13" t="s">
        <v>3242</v>
      </c>
      <c r="I31" s="13" t="s">
        <v>3167</v>
      </c>
      <c r="J31" s="13" t="s">
        <v>3167</v>
      </c>
      <c r="K31" s="13" t="s">
        <v>3153</v>
      </c>
      <c r="L31" s="13" t="s">
        <v>3395</v>
      </c>
      <c r="M31" s="13" t="s">
        <v>3732</v>
      </c>
      <c r="N31" s="13" t="s">
        <v>3267</v>
      </c>
      <c r="O31" s="13" t="s">
        <v>3167</v>
      </c>
      <c r="P31" s="13">
        <v>6.0</v>
      </c>
      <c r="Q31" s="13" t="s">
        <v>3160</v>
      </c>
      <c r="R31" s="13" t="s">
        <v>3231</v>
      </c>
      <c r="S31" s="13" t="s">
        <v>33</v>
      </c>
      <c r="T31" s="13" t="s">
        <v>3167</v>
      </c>
      <c r="U31" s="13" t="s">
        <v>3197</v>
      </c>
      <c r="V31" s="13" t="s">
        <v>3197</v>
      </c>
      <c r="W31" s="13" t="s">
        <v>3481</v>
      </c>
      <c r="X31" s="13" t="s">
        <v>3217</v>
      </c>
      <c r="Y31" s="13" t="s">
        <v>3202</v>
      </c>
      <c r="Z31" s="13">
        <v>30.0</v>
      </c>
      <c r="AA31" s="13" t="b">
        <v>0</v>
      </c>
      <c r="AB31" s="48"/>
      <c r="AC31" s="49"/>
    </row>
    <row r="32" ht="14.25" customHeight="1">
      <c r="A32" s="13">
        <v>24862.0</v>
      </c>
      <c r="B32" s="13" t="str">
        <f t="shared" si="1"/>
        <v>Observational</v>
      </c>
      <c r="C32" s="13" t="s">
        <v>4880</v>
      </c>
      <c r="D32" s="13" t="s">
        <v>4881</v>
      </c>
      <c r="E32" s="13" t="s">
        <v>4862</v>
      </c>
      <c r="F32" s="13" t="s">
        <v>3183</v>
      </c>
      <c r="G32" s="13" t="s">
        <v>3183</v>
      </c>
      <c r="H32" s="13" t="s">
        <v>3166</v>
      </c>
      <c r="I32" s="13" t="s">
        <v>3167</v>
      </c>
      <c r="J32" s="13" t="s">
        <v>3167</v>
      </c>
      <c r="K32" s="13" t="s">
        <v>3153</v>
      </c>
      <c r="L32" s="13" t="s">
        <v>3684</v>
      </c>
      <c r="M32" s="13" t="s">
        <v>4057</v>
      </c>
      <c r="N32" s="13" t="s">
        <v>3175</v>
      </c>
      <c r="O32" s="13" t="s">
        <v>4058</v>
      </c>
      <c r="P32" s="13">
        <v>6.0</v>
      </c>
      <c r="Q32" s="13" t="s">
        <v>3177</v>
      </c>
      <c r="R32" s="13" t="s">
        <v>3260</v>
      </c>
      <c r="S32" s="13" t="s">
        <v>3397</v>
      </c>
      <c r="T32" s="13" t="s">
        <v>3632</v>
      </c>
      <c r="U32" s="13" t="s">
        <v>3247</v>
      </c>
      <c r="V32" s="13" t="s">
        <v>3247</v>
      </c>
      <c r="W32" s="13" t="s">
        <v>3167</v>
      </c>
      <c r="X32" s="13" t="s">
        <v>3217</v>
      </c>
      <c r="Y32" s="13" t="s">
        <v>3156</v>
      </c>
      <c r="Z32" s="13" t="s">
        <v>3167</v>
      </c>
      <c r="AA32" s="13" t="b">
        <v>1</v>
      </c>
      <c r="AB32" s="48"/>
      <c r="AC32" s="49"/>
    </row>
    <row r="33" ht="14.25" customHeight="1">
      <c r="A33" s="13">
        <v>26092.0</v>
      </c>
      <c r="B33" s="13" t="str">
        <f t="shared" si="1"/>
        <v>Observational</v>
      </c>
      <c r="C33" s="13" t="s">
        <v>4856</v>
      </c>
      <c r="D33" s="1" t="s">
        <v>4882</v>
      </c>
      <c r="E33" s="13" t="s">
        <v>4883</v>
      </c>
      <c r="F33" s="13" t="s">
        <v>3381</v>
      </c>
      <c r="G33" s="13" t="s">
        <v>3335</v>
      </c>
      <c r="H33" s="13" t="s">
        <v>3195</v>
      </c>
      <c r="I33" s="13" t="s">
        <v>3188</v>
      </c>
      <c r="J33" s="13" t="s">
        <v>3432</v>
      </c>
      <c r="K33" s="13" t="s">
        <v>3153</v>
      </c>
      <c r="L33" s="13" t="s">
        <v>3169</v>
      </c>
      <c r="M33" s="13" t="s">
        <v>4446</v>
      </c>
      <c r="N33" s="13" t="s">
        <v>3175</v>
      </c>
      <c r="O33" s="13" t="s">
        <v>3689</v>
      </c>
      <c r="P33" s="13">
        <v>6.0</v>
      </c>
      <c r="Q33" s="13" t="s">
        <v>3177</v>
      </c>
      <c r="R33" s="13" t="s">
        <v>3231</v>
      </c>
      <c r="S33" s="13" t="s">
        <v>33</v>
      </c>
      <c r="T33" s="13" t="s">
        <v>3167</v>
      </c>
      <c r="U33" s="13" t="s">
        <v>3195</v>
      </c>
      <c r="V33" s="13" t="s">
        <v>3195</v>
      </c>
      <c r="W33" s="13" t="s">
        <v>3167</v>
      </c>
      <c r="X33" s="13" t="s">
        <v>3192</v>
      </c>
      <c r="Y33" s="13" t="s">
        <v>3187</v>
      </c>
      <c r="Z33" s="13">
        <v>1.0</v>
      </c>
      <c r="AA33" s="13" t="b">
        <v>0</v>
      </c>
      <c r="AB33" s="48"/>
      <c r="AC33" s="49"/>
    </row>
    <row r="34" ht="14.25" customHeight="1">
      <c r="A34" s="13">
        <v>25028.0</v>
      </c>
      <c r="B34" s="13" t="str">
        <f t="shared" si="1"/>
        <v>Observational</v>
      </c>
      <c r="C34" s="13" t="s">
        <v>4880</v>
      </c>
      <c r="D34" s="13" t="s">
        <v>4884</v>
      </c>
      <c r="E34" s="13" t="s">
        <v>4885</v>
      </c>
      <c r="F34" s="13" t="s">
        <v>3159</v>
      </c>
      <c r="G34" s="13" t="s">
        <v>3159</v>
      </c>
      <c r="H34" s="13" t="s">
        <v>3166</v>
      </c>
      <c r="I34" s="13" t="s">
        <v>3188</v>
      </c>
      <c r="J34" s="13" t="s">
        <v>3404</v>
      </c>
      <c r="K34" s="13" t="s">
        <v>3153</v>
      </c>
      <c r="L34" s="13" t="s">
        <v>3684</v>
      </c>
      <c r="M34" s="13" t="s">
        <v>4107</v>
      </c>
      <c r="N34" s="13" t="s">
        <v>3162</v>
      </c>
      <c r="O34" s="13" t="s">
        <v>3167</v>
      </c>
      <c r="P34" s="13">
        <v>5.0</v>
      </c>
      <c r="Q34" s="13" t="s">
        <v>3177</v>
      </c>
      <c r="R34" s="13" t="s">
        <v>3260</v>
      </c>
      <c r="S34" s="13" t="s">
        <v>33</v>
      </c>
      <c r="T34" s="13" t="s">
        <v>3224</v>
      </c>
      <c r="U34" s="13" t="s">
        <v>3232</v>
      </c>
      <c r="V34" s="13" t="s">
        <v>3232</v>
      </c>
      <c r="W34" s="13" t="s">
        <v>3167</v>
      </c>
      <c r="X34" s="13" t="s">
        <v>3170</v>
      </c>
      <c r="Y34" s="13" t="s">
        <v>3187</v>
      </c>
      <c r="Z34" s="13">
        <v>1.0</v>
      </c>
      <c r="AA34" s="13" t="b">
        <v>1</v>
      </c>
      <c r="AB34" s="48"/>
      <c r="AC34" s="49"/>
    </row>
    <row r="35" ht="14.25" customHeight="1">
      <c r="A35" s="13">
        <v>24766.0</v>
      </c>
      <c r="B35" s="13" t="str">
        <f t="shared" si="1"/>
        <v>Observational</v>
      </c>
      <c r="C35" s="13" t="s">
        <v>4886</v>
      </c>
      <c r="D35" s="13" t="s">
        <v>4887</v>
      </c>
      <c r="E35" s="13" t="s">
        <v>4873</v>
      </c>
      <c r="F35" s="13" t="s">
        <v>3290</v>
      </c>
      <c r="G35" s="13" t="s">
        <v>4029</v>
      </c>
      <c r="H35" s="13" t="s">
        <v>3166</v>
      </c>
      <c r="I35" s="13" t="s">
        <v>3188</v>
      </c>
      <c r="J35" s="13" t="s">
        <v>3286</v>
      </c>
      <c r="K35" s="13" t="s">
        <v>3153</v>
      </c>
      <c r="L35" s="13" t="s">
        <v>3465</v>
      </c>
      <c r="M35" s="13" t="s">
        <v>4027</v>
      </c>
      <c r="N35" s="13" t="s">
        <v>3162</v>
      </c>
      <c r="O35" s="13" t="s">
        <v>4028</v>
      </c>
      <c r="P35" s="13">
        <v>8.0</v>
      </c>
      <c r="Q35" s="13" t="s">
        <v>3177</v>
      </c>
      <c r="R35" s="13" t="s">
        <v>3260</v>
      </c>
      <c r="S35" s="13" t="s">
        <v>33</v>
      </c>
      <c r="T35" s="13" t="s">
        <v>3518</v>
      </c>
      <c r="U35" s="13" t="s">
        <v>3197</v>
      </c>
      <c r="V35" s="13" t="s">
        <v>3197</v>
      </c>
      <c r="W35" s="13" t="s">
        <v>3167</v>
      </c>
      <c r="X35" s="13" t="s">
        <v>3192</v>
      </c>
      <c r="Y35" s="13" t="s">
        <v>3202</v>
      </c>
      <c r="Z35" s="13">
        <v>30.0</v>
      </c>
      <c r="AA35" s="13" t="b">
        <v>1</v>
      </c>
      <c r="AB35" s="48"/>
      <c r="AC35" s="49"/>
    </row>
    <row r="36" ht="14.25" customHeight="1">
      <c r="A36" s="13">
        <v>23988.0</v>
      </c>
      <c r="B36" s="13" t="str">
        <f t="shared" si="1"/>
        <v>Observational</v>
      </c>
      <c r="C36" s="13" t="s">
        <v>4856</v>
      </c>
      <c r="D36" s="13" t="s">
        <v>4888</v>
      </c>
      <c r="E36" s="13" t="s">
        <v>4889</v>
      </c>
      <c r="F36" s="13" t="s">
        <v>3183</v>
      </c>
      <c r="G36" s="13" t="s">
        <v>3183</v>
      </c>
      <c r="H36" s="13" t="s">
        <v>3166</v>
      </c>
      <c r="I36" s="13" t="s">
        <v>3157</v>
      </c>
      <c r="J36" s="13" t="s">
        <v>3570</v>
      </c>
      <c r="K36" s="13" t="s">
        <v>3153</v>
      </c>
      <c r="L36" s="13" t="s">
        <v>3169</v>
      </c>
      <c r="M36" s="13" t="s">
        <v>3716</v>
      </c>
      <c r="N36" s="13" t="s">
        <v>3162</v>
      </c>
      <c r="O36" s="13" t="s">
        <v>3717</v>
      </c>
      <c r="P36" s="13">
        <v>11.0</v>
      </c>
      <c r="Q36" s="13" t="s">
        <v>3177</v>
      </c>
      <c r="R36" s="13" t="s">
        <v>3260</v>
      </c>
      <c r="S36" s="13" t="s">
        <v>33</v>
      </c>
      <c r="T36" s="13" t="s">
        <v>3224</v>
      </c>
      <c r="U36" s="13" t="s">
        <v>3232</v>
      </c>
      <c r="V36" s="13" t="s">
        <v>3232</v>
      </c>
      <c r="W36" s="13" t="s">
        <v>3167</v>
      </c>
      <c r="X36" s="13" t="s">
        <v>3192</v>
      </c>
      <c r="Y36" s="13" t="s">
        <v>3156</v>
      </c>
      <c r="Z36" s="13" t="s">
        <v>3167</v>
      </c>
      <c r="AA36" s="13" t="b">
        <v>1</v>
      </c>
      <c r="AB36" s="48"/>
      <c r="AC36" s="49"/>
    </row>
    <row r="37" ht="14.25" customHeight="1">
      <c r="A37" s="13">
        <v>24222.0</v>
      </c>
      <c r="B37" s="13" t="str">
        <f t="shared" si="1"/>
        <v>Observational</v>
      </c>
      <c r="C37" s="13" t="s">
        <v>4886</v>
      </c>
      <c r="D37" s="13" t="s">
        <v>4890</v>
      </c>
      <c r="E37" s="13" t="s">
        <v>4891</v>
      </c>
      <c r="F37" s="13" t="s">
        <v>3183</v>
      </c>
      <c r="G37" s="13" t="s">
        <v>3210</v>
      </c>
      <c r="H37" s="13" t="s">
        <v>3195</v>
      </c>
      <c r="I37" s="13" t="s">
        <v>3222</v>
      </c>
      <c r="J37" s="13" t="s">
        <v>3182</v>
      </c>
      <c r="K37" s="13" t="s">
        <v>3153</v>
      </c>
      <c r="L37" s="13" t="s">
        <v>3465</v>
      </c>
      <c r="M37" s="13" t="s">
        <v>3805</v>
      </c>
      <c r="N37" s="13" t="s">
        <v>3162</v>
      </c>
      <c r="O37" s="13" t="s">
        <v>3689</v>
      </c>
      <c r="P37" s="13">
        <v>6.0</v>
      </c>
      <c r="Q37" s="13" t="s">
        <v>3160</v>
      </c>
      <c r="R37" s="13" t="s">
        <v>3163</v>
      </c>
      <c r="S37" s="13" t="s">
        <v>33</v>
      </c>
      <c r="T37" s="13" t="s">
        <v>3167</v>
      </c>
      <c r="U37" s="13" t="s">
        <v>3195</v>
      </c>
      <c r="V37" s="13" t="s">
        <v>3195</v>
      </c>
      <c r="W37" s="13" t="s">
        <v>3167</v>
      </c>
      <c r="X37" s="13" t="s">
        <v>3192</v>
      </c>
      <c r="Y37" s="13" t="s">
        <v>3202</v>
      </c>
      <c r="Z37" s="13">
        <v>30.0</v>
      </c>
      <c r="AA37" s="13" t="b">
        <v>1</v>
      </c>
      <c r="AB37" s="48"/>
      <c r="AC37" s="49"/>
    </row>
    <row r="38" ht="14.25" customHeight="1">
      <c r="A38" s="13">
        <v>24150.0</v>
      </c>
      <c r="B38" s="13" t="str">
        <f t="shared" si="1"/>
        <v>Observational</v>
      </c>
      <c r="C38" s="13" t="s">
        <v>4856</v>
      </c>
      <c r="D38" s="13" t="s">
        <v>4892</v>
      </c>
      <c r="E38" s="13" t="s">
        <v>4893</v>
      </c>
      <c r="F38" s="13" t="s">
        <v>3265</v>
      </c>
      <c r="G38" s="13" t="s">
        <v>3183</v>
      </c>
      <c r="H38" s="13" t="s">
        <v>3253</v>
      </c>
      <c r="I38" s="13" t="s">
        <v>3766</v>
      </c>
      <c r="J38" s="13" t="s">
        <v>3767</v>
      </c>
      <c r="K38" s="13" t="s">
        <v>3153</v>
      </c>
      <c r="L38" s="13" t="s">
        <v>3169</v>
      </c>
      <c r="M38" s="13" t="s">
        <v>3768</v>
      </c>
      <c r="N38" s="13" t="s">
        <v>3175</v>
      </c>
      <c r="O38" s="13" t="s">
        <v>33</v>
      </c>
      <c r="P38" s="13">
        <v>6.0</v>
      </c>
      <c r="Q38" s="13" t="s">
        <v>3177</v>
      </c>
      <c r="R38" s="13" t="s">
        <v>3177</v>
      </c>
      <c r="S38" s="13" t="s">
        <v>33</v>
      </c>
      <c r="T38" s="13" t="s">
        <v>3632</v>
      </c>
      <c r="U38" s="13" t="s">
        <v>3252</v>
      </c>
      <c r="V38" s="13" t="s">
        <v>3252</v>
      </c>
      <c r="W38" s="13" t="s">
        <v>3634</v>
      </c>
      <c r="X38" s="13" t="s">
        <v>3170</v>
      </c>
      <c r="Y38" s="13" t="s">
        <v>3202</v>
      </c>
      <c r="Z38" s="13">
        <v>15.0</v>
      </c>
      <c r="AA38" s="13" t="b">
        <v>1</v>
      </c>
      <c r="AB38" s="48"/>
      <c r="AC38" s="49"/>
    </row>
    <row r="39" ht="14.25" customHeight="1">
      <c r="A39" s="13">
        <v>24790.0</v>
      </c>
      <c r="B39" s="13" t="str">
        <f t="shared" si="1"/>
        <v>Observational</v>
      </c>
      <c r="C39" s="13" t="s">
        <v>4864</v>
      </c>
      <c r="D39" s="1" t="s">
        <v>4894</v>
      </c>
      <c r="E39" s="13" t="s">
        <v>4895</v>
      </c>
      <c r="F39" s="13" t="s">
        <v>3186</v>
      </c>
      <c r="G39" s="13" t="s">
        <v>3186</v>
      </c>
      <c r="H39" s="13" t="s">
        <v>3253</v>
      </c>
      <c r="I39" s="13" t="s">
        <v>3249</v>
      </c>
      <c r="J39" s="13" t="s">
        <v>4039</v>
      </c>
      <c r="K39" s="13" t="s">
        <v>3153</v>
      </c>
      <c r="L39" s="13" t="s">
        <v>3179</v>
      </c>
      <c r="M39" s="13" t="s">
        <v>4040</v>
      </c>
      <c r="N39" s="13" t="s">
        <v>3175</v>
      </c>
      <c r="O39" s="13" t="s">
        <v>33</v>
      </c>
      <c r="P39" s="13">
        <v>12.0</v>
      </c>
      <c r="Q39" s="13" t="s">
        <v>3177</v>
      </c>
      <c r="R39" s="13" t="s">
        <v>3177</v>
      </c>
      <c r="S39" s="13" t="s">
        <v>33</v>
      </c>
      <c r="T39" s="13" t="s">
        <v>3255</v>
      </c>
      <c r="U39" s="13" t="s">
        <v>3252</v>
      </c>
      <c r="V39" s="13" t="s">
        <v>3252</v>
      </c>
      <c r="W39" s="13" t="s">
        <v>3356</v>
      </c>
      <c r="X39" s="13" t="s">
        <v>3211</v>
      </c>
      <c r="Y39" s="13" t="s">
        <v>3187</v>
      </c>
      <c r="Z39" s="13">
        <v>1.0</v>
      </c>
      <c r="AA39" s="13" t="b">
        <v>0</v>
      </c>
      <c r="AB39" s="48"/>
      <c r="AC39" s="49"/>
    </row>
    <row r="40" ht="14.25" customHeight="1">
      <c r="A40" s="13">
        <v>24962.0</v>
      </c>
      <c r="B40" s="13" t="str">
        <f t="shared" si="1"/>
        <v>Observational</v>
      </c>
      <c r="C40" s="13" t="s">
        <v>4856</v>
      </c>
      <c r="D40" s="1" t="s">
        <v>4896</v>
      </c>
      <c r="E40" s="13" t="s">
        <v>4897</v>
      </c>
      <c r="F40" s="13" t="s">
        <v>3270</v>
      </c>
      <c r="G40" s="13" t="s">
        <v>3159</v>
      </c>
      <c r="H40" s="13" t="s">
        <v>3166</v>
      </c>
      <c r="I40" s="13" t="s">
        <v>3222</v>
      </c>
      <c r="J40" s="13" t="s">
        <v>3182</v>
      </c>
      <c r="K40" s="13" t="s">
        <v>3153</v>
      </c>
      <c r="L40" s="13" t="s">
        <v>3169</v>
      </c>
      <c r="M40" s="13" t="s">
        <v>4091</v>
      </c>
      <c r="N40" s="13" t="s">
        <v>3162</v>
      </c>
      <c r="O40" s="13" t="s">
        <v>33</v>
      </c>
      <c r="P40" s="13">
        <v>4.0</v>
      </c>
      <c r="Q40" s="13" t="s">
        <v>3177</v>
      </c>
      <c r="R40" s="13" t="s">
        <v>3163</v>
      </c>
      <c r="S40" s="13" t="s">
        <v>33</v>
      </c>
      <c r="T40" s="13" t="s">
        <v>3178</v>
      </c>
      <c r="U40" s="13" t="s">
        <v>3165</v>
      </c>
      <c r="V40" s="13" t="s">
        <v>3165</v>
      </c>
      <c r="W40" s="13" t="s">
        <v>3167</v>
      </c>
      <c r="X40" s="13" t="s">
        <v>3170</v>
      </c>
      <c r="Y40" s="13" t="s">
        <v>3187</v>
      </c>
      <c r="Z40" s="13">
        <v>1.0</v>
      </c>
      <c r="AA40" s="13" t="b">
        <v>0</v>
      </c>
      <c r="AB40" s="48"/>
      <c r="AC40" s="49"/>
    </row>
    <row r="41" ht="14.25" customHeight="1">
      <c r="A41" s="13">
        <v>24269.0</v>
      </c>
      <c r="B41" s="13" t="str">
        <f t="shared" si="1"/>
        <v>Observational</v>
      </c>
      <c r="C41" s="13" t="s">
        <v>4855</v>
      </c>
      <c r="D41" s="1" t="s">
        <v>4898</v>
      </c>
      <c r="E41" s="13" t="s">
        <v>4899</v>
      </c>
      <c r="F41" s="13" t="s">
        <v>3208</v>
      </c>
      <c r="G41" s="13" t="s">
        <v>3208</v>
      </c>
      <c r="H41" s="13" t="s">
        <v>3242</v>
      </c>
      <c r="I41" s="13" t="s">
        <v>3188</v>
      </c>
      <c r="J41" s="13" t="s">
        <v>3233</v>
      </c>
      <c r="K41" s="13" t="s">
        <v>3153</v>
      </c>
      <c r="L41" s="13" t="s">
        <v>3395</v>
      </c>
      <c r="M41" s="13" t="s">
        <v>3824</v>
      </c>
      <c r="N41" s="13" t="s">
        <v>3162</v>
      </c>
      <c r="O41" s="13" t="s">
        <v>33</v>
      </c>
      <c r="P41" s="13">
        <v>5.0</v>
      </c>
      <c r="Q41" s="13" t="s">
        <v>3160</v>
      </c>
      <c r="R41" s="13" t="s">
        <v>3163</v>
      </c>
      <c r="S41" s="13" t="s">
        <v>33</v>
      </c>
      <c r="T41" s="13" t="s">
        <v>3167</v>
      </c>
      <c r="U41" s="13" t="s">
        <v>3164</v>
      </c>
      <c r="V41" s="13" t="s">
        <v>3197</v>
      </c>
      <c r="W41" s="13" t="s">
        <v>3481</v>
      </c>
      <c r="X41" s="13" t="s">
        <v>3170</v>
      </c>
      <c r="Y41" s="13" t="s">
        <v>33</v>
      </c>
      <c r="Z41" s="13" t="s">
        <v>33</v>
      </c>
      <c r="AA41" s="13" t="b">
        <v>0</v>
      </c>
      <c r="AB41" s="48"/>
      <c r="AC41" s="49"/>
    </row>
    <row r="42" ht="14.25" customHeight="1">
      <c r="A42" s="13">
        <v>25865.0</v>
      </c>
      <c r="B42" s="13" t="str">
        <f t="shared" si="1"/>
        <v>Observational</v>
      </c>
      <c r="C42" s="13" t="s">
        <v>4856</v>
      </c>
      <c r="D42" s="13" t="s">
        <v>4900</v>
      </c>
      <c r="E42" s="13" t="s">
        <v>4901</v>
      </c>
      <c r="F42" s="13" t="s">
        <v>3580</v>
      </c>
      <c r="G42" s="13" t="s">
        <v>3159</v>
      </c>
      <c r="H42" s="13" t="s">
        <v>3253</v>
      </c>
      <c r="I42" s="13" t="s">
        <v>3244</v>
      </c>
      <c r="J42" s="13" t="s">
        <v>4357</v>
      </c>
      <c r="K42" s="13" t="s">
        <v>3153</v>
      </c>
      <c r="L42" s="13" t="s">
        <v>3169</v>
      </c>
      <c r="M42" s="13" t="s">
        <v>4358</v>
      </c>
      <c r="N42" s="13" t="s">
        <v>3162</v>
      </c>
      <c r="O42" s="13" t="s">
        <v>3167</v>
      </c>
      <c r="P42" s="13">
        <v>11.0</v>
      </c>
      <c r="Q42" s="13" t="s">
        <v>3160</v>
      </c>
      <c r="R42" s="13" t="s">
        <v>3231</v>
      </c>
      <c r="S42" s="13" t="s">
        <v>33</v>
      </c>
      <c r="T42" s="13" t="s">
        <v>4113</v>
      </c>
      <c r="U42" s="13" t="s">
        <v>3164</v>
      </c>
      <c r="V42" s="13" t="s">
        <v>3252</v>
      </c>
      <c r="W42" s="13" t="s">
        <v>4359</v>
      </c>
      <c r="X42" s="13" t="s">
        <v>3170</v>
      </c>
      <c r="Y42" s="13" t="s">
        <v>3156</v>
      </c>
      <c r="Z42" s="13" t="s">
        <v>3167</v>
      </c>
      <c r="AA42" s="13" t="b">
        <v>1</v>
      </c>
      <c r="AB42" s="48"/>
      <c r="AC42" s="49"/>
    </row>
    <row r="43" ht="14.25" customHeight="1">
      <c r="A43" s="13">
        <v>23841.0</v>
      </c>
      <c r="B43" s="13" t="str">
        <f t="shared" si="1"/>
        <v>Observational</v>
      </c>
      <c r="C43" s="13" t="s">
        <v>4856</v>
      </c>
      <c r="D43" s="1" t="s">
        <v>4902</v>
      </c>
      <c r="E43" s="13" t="s">
        <v>4903</v>
      </c>
      <c r="F43" s="13" t="s">
        <v>3208</v>
      </c>
      <c r="G43" s="13" t="s">
        <v>3208</v>
      </c>
      <c r="H43" s="13" t="s">
        <v>3242</v>
      </c>
      <c r="I43" s="13" t="s">
        <v>3188</v>
      </c>
      <c r="J43" s="13" t="s">
        <v>3194</v>
      </c>
      <c r="K43" s="13" t="s">
        <v>3153</v>
      </c>
      <c r="L43" s="13" t="s">
        <v>3169</v>
      </c>
      <c r="M43" s="13" t="s">
        <v>3639</v>
      </c>
      <c r="N43" s="13" t="s">
        <v>3162</v>
      </c>
      <c r="O43" s="13" t="s">
        <v>33</v>
      </c>
      <c r="P43" s="13">
        <v>4.0</v>
      </c>
      <c r="Q43" s="13" t="s">
        <v>3160</v>
      </c>
      <c r="R43" s="13" t="s">
        <v>3163</v>
      </c>
      <c r="S43" s="13" t="s">
        <v>33</v>
      </c>
      <c r="T43" s="13" t="s">
        <v>3167</v>
      </c>
      <c r="U43" s="13" t="s">
        <v>3247</v>
      </c>
      <c r="V43" s="13" t="s">
        <v>3247</v>
      </c>
      <c r="W43" s="13" t="s">
        <v>3248</v>
      </c>
      <c r="X43" s="13" t="s">
        <v>3170</v>
      </c>
      <c r="Y43" s="13" t="s">
        <v>3202</v>
      </c>
      <c r="Z43" s="13">
        <v>30.0</v>
      </c>
      <c r="AA43" s="13" t="b">
        <v>0</v>
      </c>
      <c r="AB43" s="48"/>
      <c r="AC43" s="49"/>
    </row>
    <row r="44" ht="14.25" customHeight="1">
      <c r="A44" s="13">
        <v>25496.0</v>
      </c>
      <c r="B44" s="2" t="s">
        <v>4904</v>
      </c>
      <c r="C44" s="13" t="s">
        <v>4864</v>
      </c>
      <c r="D44" s="1" t="s">
        <v>4905</v>
      </c>
      <c r="E44" s="13" t="s">
        <v>4906</v>
      </c>
      <c r="F44" s="13" t="s">
        <v>3173</v>
      </c>
      <c r="G44" s="13" t="s">
        <v>3173</v>
      </c>
      <c r="H44" s="13" t="s">
        <v>3166</v>
      </c>
      <c r="I44" s="13" t="s">
        <v>3167</v>
      </c>
      <c r="J44" s="13" t="s">
        <v>3167</v>
      </c>
      <c r="K44" s="13" t="s">
        <v>3315</v>
      </c>
      <c r="L44" s="13" t="s">
        <v>3179</v>
      </c>
      <c r="M44" s="13" t="s">
        <v>4251</v>
      </c>
      <c r="N44" s="13" t="s">
        <v>3175</v>
      </c>
      <c r="O44" s="13" t="s">
        <v>33</v>
      </c>
      <c r="P44" s="13">
        <v>10.0</v>
      </c>
      <c r="Q44" s="13" t="s">
        <v>3160</v>
      </c>
      <c r="R44" s="13" t="s">
        <v>3163</v>
      </c>
      <c r="S44" s="13" t="s">
        <v>33</v>
      </c>
      <c r="T44" s="13" t="s">
        <v>3168</v>
      </c>
      <c r="U44" s="13" t="s">
        <v>3164</v>
      </c>
      <c r="V44" s="13" t="s">
        <v>3164</v>
      </c>
      <c r="W44" s="13" t="s">
        <v>3167</v>
      </c>
      <c r="X44" s="13" t="s">
        <v>3217</v>
      </c>
      <c r="Y44" s="13" t="s">
        <v>3156</v>
      </c>
      <c r="Z44" s="13" t="s">
        <v>33</v>
      </c>
      <c r="AA44" s="13" t="b">
        <v>0</v>
      </c>
      <c r="AB44" s="48"/>
      <c r="AC44" s="49"/>
    </row>
    <row r="45" ht="14.25" customHeight="1">
      <c r="A45" s="13">
        <v>25127.0</v>
      </c>
      <c r="B45" s="13" t="str">
        <f t="shared" ref="B45:B223" si="2">K45</f>
        <v>Observational</v>
      </c>
      <c r="C45" s="13" t="s">
        <v>4856</v>
      </c>
      <c r="D45" s="1" t="s">
        <v>4907</v>
      </c>
      <c r="E45" s="13" t="s">
        <v>4908</v>
      </c>
      <c r="F45" s="13" t="s">
        <v>3381</v>
      </c>
      <c r="G45" s="13" t="s">
        <v>3335</v>
      </c>
      <c r="H45" s="13" t="s">
        <v>3195</v>
      </c>
      <c r="I45" s="13" t="s">
        <v>4144</v>
      </c>
      <c r="J45" s="13" t="s">
        <v>4145</v>
      </c>
      <c r="K45" s="13" t="s">
        <v>3153</v>
      </c>
      <c r="L45" s="13" t="s">
        <v>3169</v>
      </c>
      <c r="M45" s="13" t="s">
        <v>4146</v>
      </c>
      <c r="N45" s="13" t="s">
        <v>3175</v>
      </c>
      <c r="O45" s="13" t="s">
        <v>3689</v>
      </c>
      <c r="P45" s="13">
        <v>4.0</v>
      </c>
      <c r="Q45" s="13" t="s">
        <v>3177</v>
      </c>
      <c r="R45" s="13" t="s">
        <v>3163</v>
      </c>
      <c r="S45" s="13" t="s">
        <v>4147</v>
      </c>
      <c r="T45" s="13" t="s">
        <v>3167</v>
      </c>
      <c r="U45" s="13" t="s">
        <v>3195</v>
      </c>
      <c r="V45" s="13" t="s">
        <v>3195</v>
      </c>
      <c r="W45" s="13" t="s">
        <v>3167</v>
      </c>
      <c r="X45" s="13" t="s">
        <v>3155</v>
      </c>
      <c r="Y45" s="13" t="s">
        <v>3187</v>
      </c>
      <c r="Z45" s="13">
        <v>2500.0</v>
      </c>
      <c r="AA45" s="13" t="b">
        <v>0</v>
      </c>
      <c r="AB45" s="48"/>
      <c r="AC45" s="49"/>
    </row>
    <row r="46" ht="14.25" customHeight="1">
      <c r="A46" s="13">
        <v>25877.0</v>
      </c>
      <c r="B46" s="13" t="str">
        <f t="shared" si="2"/>
        <v>Observational</v>
      </c>
      <c r="C46" s="13" t="s">
        <v>4856</v>
      </c>
      <c r="D46" s="13" t="s">
        <v>4909</v>
      </c>
      <c r="E46" s="13" t="s">
        <v>4860</v>
      </c>
      <c r="F46" s="13" t="s">
        <v>3381</v>
      </c>
      <c r="G46" s="13" t="s">
        <v>3210</v>
      </c>
      <c r="H46" s="13" t="s">
        <v>3195</v>
      </c>
      <c r="I46" s="13" t="s">
        <v>3171</v>
      </c>
      <c r="J46" s="13" t="s">
        <v>4289</v>
      </c>
      <c r="K46" s="13" t="s">
        <v>3153</v>
      </c>
      <c r="L46" s="13" t="s">
        <v>3169</v>
      </c>
      <c r="M46" s="13" t="s">
        <v>4370</v>
      </c>
      <c r="N46" s="13" t="s">
        <v>3175</v>
      </c>
      <c r="O46" s="13" t="s">
        <v>3689</v>
      </c>
      <c r="P46" s="13">
        <v>5.0</v>
      </c>
      <c r="Q46" s="13" t="s">
        <v>3177</v>
      </c>
      <c r="R46" s="13" t="s">
        <v>3163</v>
      </c>
      <c r="S46" s="13" t="s">
        <v>33</v>
      </c>
      <c r="T46" s="13" t="s">
        <v>3167</v>
      </c>
      <c r="U46" s="13" t="s">
        <v>3195</v>
      </c>
      <c r="V46" s="13" t="s">
        <v>3195</v>
      </c>
      <c r="W46" s="13" t="s">
        <v>3167</v>
      </c>
      <c r="X46" s="13" t="s">
        <v>3170</v>
      </c>
      <c r="Y46" s="13" t="s">
        <v>33</v>
      </c>
      <c r="Z46" s="13" t="s">
        <v>33</v>
      </c>
      <c r="AA46" s="13" t="b">
        <v>1</v>
      </c>
      <c r="AB46" s="48"/>
      <c r="AC46" s="49"/>
    </row>
    <row r="47" ht="14.25" customHeight="1">
      <c r="A47" s="13">
        <v>24229.0</v>
      </c>
      <c r="B47" s="13" t="str">
        <f t="shared" si="2"/>
        <v>Observational</v>
      </c>
      <c r="C47" s="13" t="s">
        <v>4864</v>
      </c>
      <c r="D47" s="13" t="s">
        <v>4910</v>
      </c>
      <c r="E47" s="13" t="s">
        <v>4911</v>
      </c>
      <c r="F47" s="13" t="s">
        <v>3333</v>
      </c>
      <c r="G47" s="13" t="s">
        <v>3338</v>
      </c>
      <c r="H47" s="13" t="s">
        <v>3242</v>
      </c>
      <c r="I47" s="13" t="s">
        <v>3249</v>
      </c>
      <c r="J47" s="13" t="s">
        <v>3348</v>
      </c>
      <c r="K47" s="13" t="s">
        <v>3153</v>
      </c>
      <c r="L47" s="13" t="s">
        <v>3179</v>
      </c>
      <c r="M47" s="13" t="s">
        <v>3809</v>
      </c>
      <c r="N47" s="13" t="s">
        <v>3162</v>
      </c>
      <c r="O47" s="13" t="s">
        <v>3810</v>
      </c>
      <c r="P47" s="13">
        <v>8.0</v>
      </c>
      <c r="Q47" s="13" t="s">
        <v>3160</v>
      </c>
      <c r="R47" s="13" t="s">
        <v>3231</v>
      </c>
      <c r="S47" s="13" t="s">
        <v>3811</v>
      </c>
      <c r="T47" s="13" t="s">
        <v>3167</v>
      </c>
      <c r="U47" s="13" t="s">
        <v>3164</v>
      </c>
      <c r="V47" s="13" t="s">
        <v>3164</v>
      </c>
      <c r="W47" s="13" t="s">
        <v>3254</v>
      </c>
      <c r="X47" s="13" t="s">
        <v>3211</v>
      </c>
      <c r="Y47" s="13" t="s">
        <v>3202</v>
      </c>
      <c r="Z47" s="13">
        <v>50.0</v>
      </c>
      <c r="AA47" s="13" t="b">
        <v>1</v>
      </c>
      <c r="AB47" s="48"/>
      <c r="AC47" s="49"/>
    </row>
    <row r="48" ht="14.25" customHeight="1">
      <c r="A48" s="13">
        <v>24227.0</v>
      </c>
      <c r="B48" s="13" t="str">
        <f t="shared" si="2"/>
        <v>Observational</v>
      </c>
      <c r="C48" s="13" t="s">
        <v>4864</v>
      </c>
      <c r="D48" s="13" t="s">
        <v>4912</v>
      </c>
      <c r="E48" s="13" t="s">
        <v>4913</v>
      </c>
      <c r="F48" s="13" t="s">
        <v>3186</v>
      </c>
      <c r="G48" s="13" t="s">
        <v>3173</v>
      </c>
      <c r="H48" s="13" t="s">
        <v>3253</v>
      </c>
      <c r="I48" s="13" t="s">
        <v>3249</v>
      </c>
      <c r="J48" s="13" t="s">
        <v>3348</v>
      </c>
      <c r="K48" s="13" t="s">
        <v>3153</v>
      </c>
      <c r="L48" s="13" t="s">
        <v>3179</v>
      </c>
      <c r="M48" s="13" t="s">
        <v>3807</v>
      </c>
      <c r="N48" s="13" t="s">
        <v>3175</v>
      </c>
      <c r="O48" s="13" t="s">
        <v>33</v>
      </c>
      <c r="P48" s="13">
        <v>8.0</v>
      </c>
      <c r="Q48" s="13" t="s">
        <v>3177</v>
      </c>
      <c r="R48" s="13" t="s">
        <v>3163</v>
      </c>
      <c r="S48" s="13" t="s">
        <v>33</v>
      </c>
      <c r="T48" s="13" t="s">
        <v>3755</v>
      </c>
      <c r="U48" s="13" t="s">
        <v>3252</v>
      </c>
      <c r="V48" s="13" t="s">
        <v>3252</v>
      </c>
      <c r="W48" s="13" t="s">
        <v>3356</v>
      </c>
      <c r="X48" s="13" t="s">
        <v>3192</v>
      </c>
      <c r="Y48" s="13" t="s">
        <v>3202</v>
      </c>
      <c r="Z48" s="13">
        <v>20.0</v>
      </c>
      <c r="AA48" s="13" t="b">
        <v>1</v>
      </c>
      <c r="AB48" s="48"/>
      <c r="AC48" s="49"/>
    </row>
    <row r="49" ht="14.25" customHeight="1">
      <c r="A49" s="13">
        <v>25413.0</v>
      </c>
      <c r="B49" s="13" t="str">
        <f t="shared" si="2"/>
        <v>Observational</v>
      </c>
      <c r="C49" s="13" t="s">
        <v>4886</v>
      </c>
      <c r="D49" s="13" t="s">
        <v>4914</v>
      </c>
      <c r="E49" s="13" t="s">
        <v>4862</v>
      </c>
      <c r="F49" s="13" t="s">
        <v>3218</v>
      </c>
      <c r="G49" s="13" t="s">
        <v>3338</v>
      </c>
      <c r="H49" s="13" t="s">
        <v>3166</v>
      </c>
      <c r="I49" s="13" t="s">
        <v>3244</v>
      </c>
      <c r="J49" s="13" t="s">
        <v>3245</v>
      </c>
      <c r="K49" s="13" t="s">
        <v>3153</v>
      </c>
      <c r="L49" s="13" t="s">
        <v>3465</v>
      </c>
      <c r="M49" s="13" t="s">
        <v>4233</v>
      </c>
      <c r="N49" s="13" t="s">
        <v>3175</v>
      </c>
      <c r="O49" s="13" t="s">
        <v>4234</v>
      </c>
      <c r="P49" s="13">
        <v>5.0</v>
      </c>
      <c r="Q49" s="13" t="s">
        <v>3177</v>
      </c>
      <c r="R49" s="13" t="s">
        <v>3260</v>
      </c>
      <c r="S49" s="13" t="s">
        <v>33</v>
      </c>
      <c r="T49" s="13" t="s">
        <v>3324</v>
      </c>
      <c r="U49" s="13" t="s">
        <v>3232</v>
      </c>
      <c r="V49" s="13" t="s">
        <v>3232</v>
      </c>
      <c r="W49" s="13" t="s">
        <v>3167</v>
      </c>
      <c r="X49" s="13" t="s">
        <v>3155</v>
      </c>
      <c r="Y49" s="13" t="s">
        <v>3180</v>
      </c>
      <c r="Z49" s="13">
        <v>0.5</v>
      </c>
      <c r="AA49" s="13" t="b">
        <v>1</v>
      </c>
      <c r="AB49" s="48"/>
      <c r="AC49" s="49"/>
    </row>
    <row r="50" ht="14.25" customHeight="1">
      <c r="A50" s="13">
        <v>23405.0</v>
      </c>
      <c r="B50" s="13" t="str">
        <f t="shared" si="2"/>
        <v>Observational</v>
      </c>
      <c r="C50" s="13" t="s">
        <v>4856</v>
      </c>
      <c r="D50" s="50" t="s">
        <v>4915</v>
      </c>
      <c r="E50" s="2" t="s">
        <v>4916</v>
      </c>
      <c r="F50" s="13" t="s">
        <v>3186</v>
      </c>
      <c r="G50" s="13" t="s">
        <v>3159</v>
      </c>
      <c r="H50" s="13" t="s">
        <v>3166</v>
      </c>
      <c r="I50" s="13" t="s">
        <v>3222</v>
      </c>
      <c r="J50" s="13" t="s">
        <v>3182</v>
      </c>
      <c r="K50" s="13" t="s">
        <v>3153</v>
      </c>
      <c r="L50" s="13" t="s">
        <v>3169</v>
      </c>
      <c r="M50" s="13" t="s">
        <v>3434</v>
      </c>
      <c r="N50" s="13" t="s">
        <v>3162</v>
      </c>
      <c r="O50" s="13" t="s">
        <v>3167</v>
      </c>
      <c r="P50" s="13">
        <v>2.0</v>
      </c>
      <c r="Q50" s="13" t="s">
        <v>3177</v>
      </c>
      <c r="R50" s="13" t="s">
        <v>3231</v>
      </c>
      <c r="S50" s="13" t="s">
        <v>33</v>
      </c>
      <c r="T50" s="13" t="s">
        <v>3178</v>
      </c>
      <c r="U50" s="13" t="s">
        <v>3164</v>
      </c>
      <c r="V50" s="13" t="s">
        <v>3164</v>
      </c>
      <c r="W50" s="13" t="s">
        <v>3167</v>
      </c>
      <c r="X50" s="13" t="s">
        <v>3192</v>
      </c>
      <c r="Y50" s="13" t="s">
        <v>3202</v>
      </c>
      <c r="Z50" s="13">
        <v>100.0</v>
      </c>
      <c r="AA50" s="13" t="b">
        <v>1</v>
      </c>
      <c r="AB50" s="48"/>
      <c r="AC50" s="49"/>
    </row>
    <row r="51" ht="14.25" customHeight="1">
      <c r="A51" s="13">
        <v>25821.0</v>
      </c>
      <c r="B51" s="13" t="str">
        <f t="shared" si="2"/>
        <v>Observational</v>
      </c>
      <c r="C51" s="13" t="s">
        <v>4852</v>
      </c>
      <c r="D51" s="13" t="s">
        <v>4917</v>
      </c>
      <c r="E51" s="13" t="s">
        <v>4918</v>
      </c>
      <c r="F51" s="13" t="s">
        <v>3218</v>
      </c>
      <c r="G51" s="13" t="s">
        <v>3173</v>
      </c>
      <c r="H51" s="13" t="s">
        <v>3166</v>
      </c>
      <c r="I51" s="13" t="s">
        <v>3222</v>
      </c>
      <c r="J51" s="13" t="s">
        <v>3182</v>
      </c>
      <c r="K51" s="13" t="s">
        <v>3153</v>
      </c>
      <c r="L51" s="13" t="s">
        <v>3154</v>
      </c>
      <c r="M51" s="13" t="s">
        <v>4337</v>
      </c>
      <c r="N51" s="13" t="s">
        <v>3175</v>
      </c>
      <c r="O51" s="13" t="s">
        <v>4338</v>
      </c>
      <c r="P51" s="13">
        <v>6.0</v>
      </c>
      <c r="Q51" s="13" t="s">
        <v>3160</v>
      </c>
      <c r="R51" s="13" t="s">
        <v>3177</v>
      </c>
      <c r="S51" s="13" t="s">
        <v>33</v>
      </c>
      <c r="T51" s="13" t="s">
        <v>3255</v>
      </c>
      <c r="U51" s="13" t="s">
        <v>3197</v>
      </c>
      <c r="V51" s="13" t="s">
        <v>3197</v>
      </c>
      <c r="W51" s="13" t="s">
        <v>3167</v>
      </c>
      <c r="X51" s="13" t="s">
        <v>3192</v>
      </c>
      <c r="Y51" s="13" t="s">
        <v>3156</v>
      </c>
      <c r="Z51" s="13" t="s">
        <v>33</v>
      </c>
      <c r="AA51" s="13" t="b">
        <v>1</v>
      </c>
      <c r="AB51" s="48"/>
      <c r="AC51" s="49"/>
    </row>
    <row r="52" ht="14.25" customHeight="1">
      <c r="A52" s="13">
        <v>25846.0</v>
      </c>
      <c r="B52" s="13" t="str">
        <f t="shared" si="2"/>
        <v>Observational</v>
      </c>
      <c r="C52" s="13" t="s">
        <v>4856</v>
      </c>
      <c r="D52" s="1" t="s">
        <v>4919</v>
      </c>
      <c r="E52" s="13" t="s">
        <v>4920</v>
      </c>
      <c r="F52" s="13" t="s">
        <v>3901</v>
      </c>
      <c r="G52" s="13" t="s">
        <v>3370</v>
      </c>
      <c r="H52" s="13" t="s">
        <v>3166</v>
      </c>
      <c r="I52" s="13" t="s">
        <v>3222</v>
      </c>
      <c r="J52" s="13" t="s">
        <v>3182</v>
      </c>
      <c r="K52" s="13" t="s">
        <v>3153</v>
      </c>
      <c r="L52" s="13" t="s">
        <v>3169</v>
      </c>
      <c r="M52" s="13" t="s">
        <v>4349</v>
      </c>
      <c r="N52" s="13" t="s">
        <v>3175</v>
      </c>
      <c r="O52" s="13" t="s">
        <v>4350</v>
      </c>
      <c r="P52" s="13">
        <v>14.0</v>
      </c>
      <c r="Q52" s="13" t="s">
        <v>3177</v>
      </c>
      <c r="R52" s="13" t="s">
        <v>3231</v>
      </c>
      <c r="S52" s="13" t="s">
        <v>33</v>
      </c>
      <c r="T52" s="13" t="s">
        <v>4351</v>
      </c>
      <c r="U52" s="13" t="s">
        <v>3247</v>
      </c>
      <c r="V52" s="13" t="s">
        <v>3247</v>
      </c>
      <c r="W52" s="13" t="s">
        <v>3167</v>
      </c>
      <c r="X52" s="13" t="s">
        <v>3192</v>
      </c>
      <c r="Y52" s="13" t="s">
        <v>3202</v>
      </c>
      <c r="Z52" s="13" t="s">
        <v>3202</v>
      </c>
      <c r="AA52" s="13" t="b">
        <v>0</v>
      </c>
      <c r="AB52" s="48"/>
      <c r="AC52" s="49"/>
    </row>
    <row r="53" ht="14.25" customHeight="1">
      <c r="A53" s="13">
        <v>24500.0</v>
      </c>
      <c r="B53" s="13" t="str">
        <f t="shared" si="2"/>
        <v>Observational</v>
      </c>
      <c r="C53" s="13" t="s">
        <v>4880</v>
      </c>
      <c r="D53" s="13" t="s">
        <v>4921</v>
      </c>
      <c r="E53" s="13" t="s">
        <v>4922</v>
      </c>
      <c r="F53" s="13" t="s">
        <v>3183</v>
      </c>
      <c r="G53" s="13" t="s">
        <v>3183</v>
      </c>
      <c r="H53" s="13" t="s">
        <v>3253</v>
      </c>
      <c r="I53" s="13" t="s">
        <v>3167</v>
      </c>
      <c r="J53" s="13" t="s">
        <v>3167</v>
      </c>
      <c r="K53" s="13" t="s">
        <v>3153</v>
      </c>
      <c r="L53" s="13" t="s">
        <v>3684</v>
      </c>
      <c r="M53" s="13" t="s">
        <v>3938</v>
      </c>
      <c r="N53" s="13" t="s">
        <v>3267</v>
      </c>
      <c r="O53" s="13" t="s">
        <v>3397</v>
      </c>
      <c r="P53" s="13">
        <v>8.0</v>
      </c>
      <c r="Q53" s="13" t="s">
        <v>3160</v>
      </c>
      <c r="R53" s="13" t="s">
        <v>3231</v>
      </c>
      <c r="S53" s="13" t="s">
        <v>3221</v>
      </c>
      <c r="T53" s="13" t="s">
        <v>3939</v>
      </c>
      <c r="U53" s="13" t="s">
        <v>3252</v>
      </c>
      <c r="V53" s="13" t="s">
        <v>3252</v>
      </c>
      <c r="W53" s="13" t="s">
        <v>3634</v>
      </c>
      <c r="X53" s="13" t="s">
        <v>3217</v>
      </c>
      <c r="Y53" s="13" t="s">
        <v>3156</v>
      </c>
      <c r="Z53" s="13" t="s">
        <v>3167</v>
      </c>
      <c r="AA53" s="13" t="b">
        <v>1</v>
      </c>
      <c r="AB53" s="48"/>
      <c r="AC53" s="49"/>
    </row>
    <row r="54" ht="14.25" customHeight="1">
      <c r="A54" s="13">
        <v>25230.0</v>
      </c>
      <c r="B54" s="13" t="str">
        <f t="shared" si="2"/>
        <v>Observational</v>
      </c>
      <c r="C54" s="13" t="s">
        <v>4886</v>
      </c>
      <c r="D54" s="1" t="s">
        <v>4923</v>
      </c>
      <c r="E54" s="13" t="s">
        <v>4924</v>
      </c>
      <c r="F54" s="13" t="s">
        <v>3208</v>
      </c>
      <c r="G54" s="13" t="s">
        <v>3335</v>
      </c>
      <c r="H54" s="13" t="s">
        <v>3195</v>
      </c>
      <c r="I54" s="13" t="s">
        <v>3171</v>
      </c>
      <c r="J54" s="13" t="s">
        <v>4180</v>
      </c>
      <c r="K54" s="13" t="s">
        <v>3153</v>
      </c>
      <c r="L54" s="13" t="s">
        <v>3465</v>
      </c>
      <c r="M54" s="13" t="s">
        <v>4182</v>
      </c>
      <c r="N54" s="13" t="s">
        <v>3162</v>
      </c>
      <c r="O54" s="13" t="s">
        <v>33</v>
      </c>
      <c r="P54" s="13">
        <v>2.0</v>
      </c>
      <c r="Q54" s="13" t="s">
        <v>3160</v>
      </c>
      <c r="R54" s="13" t="s">
        <v>3163</v>
      </c>
      <c r="S54" s="13" t="s">
        <v>3329</v>
      </c>
      <c r="T54" s="13" t="s">
        <v>3167</v>
      </c>
      <c r="U54" s="13" t="s">
        <v>3195</v>
      </c>
      <c r="V54" s="13" t="s">
        <v>3195</v>
      </c>
      <c r="W54" s="13" t="s">
        <v>3167</v>
      </c>
      <c r="X54" s="13" t="s">
        <v>3170</v>
      </c>
      <c r="Y54" s="13" t="s">
        <v>3156</v>
      </c>
      <c r="Z54" s="13" t="s">
        <v>33</v>
      </c>
      <c r="AA54" s="13" t="b">
        <v>0</v>
      </c>
      <c r="AB54" s="48"/>
      <c r="AC54" s="49"/>
    </row>
    <row r="55" ht="14.25" customHeight="1">
      <c r="A55" s="13">
        <v>25560.0</v>
      </c>
      <c r="B55" s="13" t="str">
        <f t="shared" si="2"/>
        <v>Observational</v>
      </c>
      <c r="C55" s="13" t="s">
        <v>4856</v>
      </c>
      <c r="D55" s="1" t="s">
        <v>4923</v>
      </c>
      <c r="E55" s="13" t="s">
        <v>4924</v>
      </c>
      <c r="F55" s="13" t="s">
        <v>3208</v>
      </c>
      <c r="G55" s="13" t="s">
        <v>3201</v>
      </c>
      <c r="H55" s="13" t="s">
        <v>3166</v>
      </c>
      <c r="I55" s="13" t="s">
        <v>3188</v>
      </c>
      <c r="J55" s="13" t="s">
        <v>3483</v>
      </c>
      <c r="K55" s="13" t="s">
        <v>3153</v>
      </c>
      <c r="L55" s="13" t="s">
        <v>3169</v>
      </c>
      <c r="M55" s="13" t="s">
        <v>4182</v>
      </c>
      <c r="N55" s="13" t="s">
        <v>3162</v>
      </c>
      <c r="O55" s="13" t="s">
        <v>33</v>
      </c>
      <c r="P55" s="13">
        <v>2.0</v>
      </c>
      <c r="Q55" s="13" t="s">
        <v>3160</v>
      </c>
      <c r="R55" s="13" t="s">
        <v>3163</v>
      </c>
      <c r="S55" s="13" t="s">
        <v>33</v>
      </c>
      <c r="T55" s="13" t="s">
        <v>3178</v>
      </c>
      <c r="U55" s="13" t="s">
        <v>3164</v>
      </c>
      <c r="V55" s="13" t="s">
        <v>3164</v>
      </c>
      <c r="W55" s="13" t="s">
        <v>3167</v>
      </c>
      <c r="X55" s="13" t="s">
        <v>3155</v>
      </c>
      <c r="Y55" s="13" t="s">
        <v>3156</v>
      </c>
      <c r="Z55" s="13" t="s">
        <v>33</v>
      </c>
      <c r="AA55" s="13" t="b">
        <v>0</v>
      </c>
      <c r="AB55" s="48"/>
      <c r="AC55" s="49"/>
    </row>
    <row r="56" ht="14.25" customHeight="1">
      <c r="A56" s="13">
        <v>25511.0</v>
      </c>
      <c r="B56" s="13" t="str">
        <f t="shared" si="2"/>
        <v>Observational</v>
      </c>
      <c r="C56" s="13" t="s">
        <v>4856</v>
      </c>
      <c r="D56" s="1" t="s">
        <v>4925</v>
      </c>
      <c r="E56" s="13" t="s">
        <v>4924</v>
      </c>
      <c r="F56" s="13" t="s">
        <v>3208</v>
      </c>
      <c r="G56" s="13" t="s">
        <v>3208</v>
      </c>
      <c r="H56" s="13" t="s">
        <v>3242</v>
      </c>
      <c r="I56" s="13" t="s">
        <v>3171</v>
      </c>
      <c r="J56" s="13" t="s">
        <v>3385</v>
      </c>
      <c r="K56" s="13" t="s">
        <v>3153</v>
      </c>
      <c r="L56" s="13" t="s">
        <v>3169</v>
      </c>
      <c r="M56" s="13" t="s">
        <v>4253</v>
      </c>
      <c r="N56" s="13" t="s">
        <v>3162</v>
      </c>
      <c r="O56" s="13" t="s">
        <v>33</v>
      </c>
      <c r="P56" s="13">
        <v>3.0</v>
      </c>
      <c r="Q56" s="13" t="s">
        <v>3160</v>
      </c>
      <c r="R56" s="13" t="s">
        <v>3163</v>
      </c>
      <c r="S56" s="13" t="s">
        <v>33</v>
      </c>
      <c r="T56" s="13" t="s">
        <v>3167</v>
      </c>
      <c r="U56" s="13" t="s">
        <v>3247</v>
      </c>
      <c r="V56" s="13" t="s">
        <v>3247</v>
      </c>
      <c r="W56" s="13" t="s">
        <v>4204</v>
      </c>
      <c r="X56" s="13" t="s">
        <v>3170</v>
      </c>
      <c r="Y56" s="13" t="s">
        <v>33</v>
      </c>
      <c r="Z56" s="13" t="s">
        <v>33</v>
      </c>
      <c r="AA56" s="13" t="b">
        <v>0</v>
      </c>
      <c r="AB56" s="48"/>
      <c r="AC56" s="49"/>
    </row>
    <row r="57" ht="14.25" customHeight="1">
      <c r="A57" s="13">
        <v>23714.0</v>
      </c>
      <c r="B57" s="13" t="str">
        <f t="shared" si="2"/>
        <v>Observational</v>
      </c>
      <c r="C57" s="13" t="s">
        <v>4886</v>
      </c>
      <c r="D57" s="1" t="s">
        <v>4926</v>
      </c>
      <c r="E57" s="13" t="s">
        <v>4924</v>
      </c>
      <c r="F57" s="13" t="s">
        <v>3208</v>
      </c>
      <c r="G57" s="13" t="s">
        <v>3208</v>
      </c>
      <c r="H57" s="13" t="s">
        <v>3242</v>
      </c>
      <c r="I57" s="13" t="s">
        <v>3171</v>
      </c>
      <c r="J57" s="13" t="s">
        <v>3318</v>
      </c>
      <c r="K57" s="13" t="s">
        <v>3153</v>
      </c>
      <c r="L57" s="13" t="s">
        <v>3465</v>
      </c>
      <c r="M57" s="13" t="s">
        <v>3583</v>
      </c>
      <c r="N57" s="13" t="s">
        <v>3162</v>
      </c>
      <c r="O57" s="13" t="s">
        <v>3167</v>
      </c>
      <c r="P57" s="13">
        <v>4.0</v>
      </c>
      <c r="Q57" s="13" t="s">
        <v>3160</v>
      </c>
      <c r="R57" s="13" t="s">
        <v>3231</v>
      </c>
      <c r="S57" s="13" t="s">
        <v>33</v>
      </c>
      <c r="T57" s="13" t="s">
        <v>3167</v>
      </c>
      <c r="U57" s="13" t="s">
        <v>3247</v>
      </c>
      <c r="V57" s="13" t="s">
        <v>3247</v>
      </c>
      <c r="W57" s="13" t="s">
        <v>3248</v>
      </c>
      <c r="X57" s="13" t="s">
        <v>3170</v>
      </c>
      <c r="Y57" s="13" t="s">
        <v>3202</v>
      </c>
      <c r="Z57" s="13">
        <v>57.0</v>
      </c>
      <c r="AA57" s="13" t="b">
        <v>0</v>
      </c>
      <c r="AB57" s="48"/>
      <c r="AC57" s="49"/>
    </row>
    <row r="58" ht="14.25" customHeight="1">
      <c r="A58" s="13">
        <v>23845.0</v>
      </c>
      <c r="B58" s="13" t="str">
        <f t="shared" si="2"/>
        <v>Observational</v>
      </c>
      <c r="C58" s="13" t="s">
        <v>4856</v>
      </c>
      <c r="D58" s="1" t="s">
        <v>4927</v>
      </c>
      <c r="E58" s="13" t="s">
        <v>4928</v>
      </c>
      <c r="F58" s="13" t="s">
        <v>3417</v>
      </c>
      <c r="G58" s="13" t="s">
        <v>3381</v>
      </c>
      <c r="H58" s="13" t="s">
        <v>3166</v>
      </c>
      <c r="I58" s="13" t="s">
        <v>3244</v>
      </c>
      <c r="J58" s="13" t="s">
        <v>3245</v>
      </c>
      <c r="K58" s="13" t="s">
        <v>3153</v>
      </c>
      <c r="L58" s="13" t="s">
        <v>3169</v>
      </c>
      <c r="M58" s="13" t="s">
        <v>3640</v>
      </c>
      <c r="N58" s="13" t="s">
        <v>3175</v>
      </c>
      <c r="O58" s="13" t="s">
        <v>3641</v>
      </c>
      <c r="P58" s="13">
        <v>6.0</v>
      </c>
      <c r="Q58" s="13" t="s">
        <v>3177</v>
      </c>
      <c r="R58" s="13" t="s">
        <v>3260</v>
      </c>
      <c r="S58" s="13" t="s">
        <v>3642</v>
      </c>
      <c r="T58" s="13" t="s">
        <v>3643</v>
      </c>
      <c r="U58" s="13" t="s">
        <v>3197</v>
      </c>
      <c r="V58" s="13" t="s">
        <v>3197</v>
      </c>
      <c r="W58" s="13" t="s">
        <v>3167</v>
      </c>
      <c r="X58" s="13" t="s">
        <v>3155</v>
      </c>
      <c r="Y58" s="13" t="s">
        <v>3187</v>
      </c>
      <c r="Z58" s="13">
        <v>1.0</v>
      </c>
      <c r="AA58" s="13" t="b">
        <v>0</v>
      </c>
      <c r="AB58" s="48"/>
      <c r="AC58" s="49"/>
    </row>
    <row r="59" ht="14.25" customHeight="1">
      <c r="A59" s="13">
        <v>23838.0</v>
      </c>
      <c r="B59" s="13" t="str">
        <f t="shared" si="2"/>
        <v>Observational</v>
      </c>
      <c r="C59" s="13" t="s">
        <v>4852</v>
      </c>
      <c r="D59" s="1" t="s">
        <v>4929</v>
      </c>
      <c r="E59" s="13" t="s">
        <v>4930</v>
      </c>
      <c r="F59" s="13" t="s">
        <v>3173</v>
      </c>
      <c r="G59" s="13" t="s">
        <v>3333</v>
      </c>
      <c r="H59" s="13" t="s">
        <v>3166</v>
      </c>
      <c r="I59" s="13" t="s">
        <v>3222</v>
      </c>
      <c r="J59" s="13" t="s">
        <v>3637</v>
      </c>
      <c r="K59" s="13" t="s">
        <v>3153</v>
      </c>
      <c r="L59" s="13" t="s">
        <v>3154</v>
      </c>
      <c r="M59" s="13" t="s">
        <v>3638</v>
      </c>
      <c r="N59" s="13" t="s">
        <v>3175</v>
      </c>
      <c r="O59" s="13" t="s">
        <v>33</v>
      </c>
      <c r="P59" s="13">
        <v>5.0</v>
      </c>
      <c r="Q59" s="13" t="s">
        <v>3177</v>
      </c>
      <c r="R59" s="13" t="s">
        <v>3163</v>
      </c>
      <c r="S59" s="13" t="s">
        <v>33</v>
      </c>
      <c r="T59" s="13" t="s">
        <v>3255</v>
      </c>
      <c r="U59" s="13" t="s">
        <v>3197</v>
      </c>
      <c r="V59" s="13" t="s">
        <v>3197</v>
      </c>
      <c r="W59" s="13" t="s">
        <v>3167</v>
      </c>
      <c r="X59" s="13" t="s">
        <v>3211</v>
      </c>
      <c r="Y59" s="13" t="s">
        <v>3156</v>
      </c>
      <c r="Z59" s="13" t="s">
        <v>33</v>
      </c>
      <c r="AA59" s="13" t="b">
        <v>0</v>
      </c>
      <c r="AB59" s="48"/>
      <c r="AC59" s="49"/>
    </row>
    <row r="60" ht="14.25" customHeight="1">
      <c r="A60" s="13">
        <v>23982.0</v>
      </c>
      <c r="B60" s="13" t="str">
        <f t="shared" si="2"/>
        <v>Observational</v>
      </c>
      <c r="C60" s="13" t="s">
        <v>4856</v>
      </c>
      <c r="D60" s="1" t="s">
        <v>4931</v>
      </c>
      <c r="E60" s="13" t="s">
        <v>4932</v>
      </c>
      <c r="F60" s="13" t="s">
        <v>3381</v>
      </c>
      <c r="G60" s="13" t="s">
        <v>3183</v>
      </c>
      <c r="H60" s="13" t="s">
        <v>3166</v>
      </c>
      <c r="I60" s="13" t="s">
        <v>3167</v>
      </c>
      <c r="J60" s="13" t="s">
        <v>3167</v>
      </c>
      <c r="K60" s="13" t="s">
        <v>3153</v>
      </c>
      <c r="L60" s="13" t="s">
        <v>3169</v>
      </c>
      <c r="M60" s="13" t="s">
        <v>3712</v>
      </c>
      <c r="N60" s="13" t="s">
        <v>3162</v>
      </c>
      <c r="O60" s="13" t="s">
        <v>3713</v>
      </c>
      <c r="P60" s="13">
        <v>5.0</v>
      </c>
      <c r="Q60" s="13" t="s">
        <v>3160</v>
      </c>
      <c r="R60" s="13" t="s">
        <v>3163</v>
      </c>
      <c r="S60" s="13" t="s">
        <v>3397</v>
      </c>
      <c r="T60" s="13" t="s">
        <v>3178</v>
      </c>
      <c r="U60" s="13" t="s">
        <v>3164</v>
      </c>
      <c r="V60" s="13" t="s">
        <v>3232</v>
      </c>
      <c r="W60" s="13" t="s">
        <v>3167</v>
      </c>
      <c r="X60" s="13" t="s">
        <v>3217</v>
      </c>
      <c r="Y60" s="13" t="s">
        <v>3588</v>
      </c>
      <c r="Z60" s="13">
        <v>30.0</v>
      </c>
      <c r="AA60" s="13" t="b">
        <v>0</v>
      </c>
      <c r="AB60" s="48"/>
      <c r="AC60" s="49"/>
    </row>
    <row r="61" ht="14.25" customHeight="1">
      <c r="A61" s="13">
        <v>24460.0</v>
      </c>
      <c r="B61" s="13" t="str">
        <f t="shared" si="2"/>
        <v>Observational</v>
      </c>
      <c r="C61" s="13" t="s">
        <v>4856</v>
      </c>
      <c r="D61" s="1" t="s">
        <v>4933</v>
      </c>
      <c r="E61" s="13" t="s">
        <v>4934</v>
      </c>
      <c r="F61" s="13" t="s">
        <v>3186</v>
      </c>
      <c r="G61" s="13" t="s">
        <v>3186</v>
      </c>
      <c r="H61" s="13" t="s">
        <v>3242</v>
      </c>
      <c r="I61" s="13" t="s">
        <v>3171</v>
      </c>
      <c r="J61" s="13" t="s">
        <v>3915</v>
      </c>
      <c r="K61" s="13" t="s">
        <v>3153</v>
      </c>
      <c r="L61" s="13" t="s">
        <v>3169</v>
      </c>
      <c r="M61" s="13" t="s">
        <v>3916</v>
      </c>
      <c r="N61" s="13" t="s">
        <v>3162</v>
      </c>
      <c r="O61" s="13" t="s">
        <v>33</v>
      </c>
      <c r="P61" s="13">
        <v>4.0</v>
      </c>
      <c r="Q61" s="13" t="s">
        <v>3160</v>
      </c>
      <c r="R61" s="13" t="s">
        <v>3163</v>
      </c>
      <c r="S61" s="13" t="s">
        <v>33</v>
      </c>
      <c r="T61" s="13" t="s">
        <v>3167</v>
      </c>
      <c r="U61" s="13" t="s">
        <v>3247</v>
      </c>
      <c r="V61" s="13" t="s">
        <v>3247</v>
      </c>
      <c r="W61" s="13" t="s">
        <v>3496</v>
      </c>
      <c r="X61" s="13" t="s">
        <v>3170</v>
      </c>
      <c r="Y61" s="13" t="s">
        <v>3202</v>
      </c>
      <c r="Z61" s="13">
        <v>25.0</v>
      </c>
      <c r="AA61" s="13" t="b">
        <v>0</v>
      </c>
      <c r="AB61" s="48"/>
      <c r="AC61" s="49"/>
    </row>
    <row r="62" ht="14.25" customHeight="1">
      <c r="A62" s="13">
        <v>23117.0</v>
      </c>
      <c r="B62" s="13" t="str">
        <f t="shared" si="2"/>
        <v>Observational</v>
      </c>
      <c r="C62" s="13" t="s">
        <v>4856</v>
      </c>
      <c r="D62" s="1" t="s">
        <v>4935</v>
      </c>
      <c r="E62" s="13" t="s">
        <v>4924</v>
      </c>
      <c r="F62" s="13" t="s">
        <v>3287</v>
      </c>
      <c r="G62" s="13" t="s">
        <v>3159</v>
      </c>
      <c r="H62" s="13" t="s">
        <v>3166</v>
      </c>
      <c r="I62" s="13" t="s">
        <v>3188</v>
      </c>
      <c r="J62" s="13" t="s">
        <v>3286</v>
      </c>
      <c r="K62" s="13" t="s">
        <v>3153</v>
      </c>
      <c r="L62" s="13" t="s">
        <v>3169</v>
      </c>
      <c r="M62" s="13" t="s">
        <v>3288</v>
      </c>
      <c r="N62" s="13" t="s">
        <v>3267</v>
      </c>
      <c r="O62" s="13" t="s">
        <v>33</v>
      </c>
      <c r="P62" s="13">
        <v>3.0</v>
      </c>
      <c r="Q62" s="13" t="s">
        <v>3160</v>
      </c>
      <c r="R62" s="13" t="s">
        <v>3163</v>
      </c>
      <c r="S62" s="13" t="s">
        <v>33</v>
      </c>
      <c r="T62" s="13" t="s">
        <v>3178</v>
      </c>
      <c r="U62" s="13" t="s">
        <v>3164</v>
      </c>
      <c r="V62" s="13" t="s">
        <v>3164</v>
      </c>
      <c r="W62" s="13" t="s">
        <v>3167</v>
      </c>
      <c r="X62" s="13" t="s">
        <v>3170</v>
      </c>
      <c r="Y62" s="13" t="s">
        <v>3156</v>
      </c>
      <c r="Z62" s="13" t="s">
        <v>33</v>
      </c>
      <c r="AA62" s="13" t="b">
        <v>0</v>
      </c>
      <c r="AB62" s="48"/>
      <c r="AC62" s="49"/>
    </row>
    <row r="63" ht="14.25" customHeight="1">
      <c r="A63" s="13">
        <v>23190.0</v>
      </c>
      <c r="B63" s="13" t="str">
        <f t="shared" si="2"/>
        <v>Observational</v>
      </c>
      <c r="C63" s="13" t="s">
        <v>4856</v>
      </c>
      <c r="D63" s="1" t="s">
        <v>4935</v>
      </c>
      <c r="E63" s="13" t="s">
        <v>4924</v>
      </c>
      <c r="F63" s="13" t="s">
        <v>3208</v>
      </c>
      <c r="G63" s="13" t="s">
        <v>3159</v>
      </c>
      <c r="H63" s="13" t="s">
        <v>3166</v>
      </c>
      <c r="I63" s="13" t="s">
        <v>3222</v>
      </c>
      <c r="J63" s="13" t="s">
        <v>3182</v>
      </c>
      <c r="K63" s="13" t="s">
        <v>3153</v>
      </c>
      <c r="L63" s="13" t="s">
        <v>3169</v>
      </c>
      <c r="M63" s="13" t="s">
        <v>3288</v>
      </c>
      <c r="N63" s="13" t="s">
        <v>3267</v>
      </c>
      <c r="O63" s="13" t="s">
        <v>3167</v>
      </c>
      <c r="P63" s="13">
        <v>2.0</v>
      </c>
      <c r="Q63" s="13" t="s">
        <v>3160</v>
      </c>
      <c r="R63" s="13" t="s">
        <v>3231</v>
      </c>
      <c r="S63" s="13" t="s">
        <v>33</v>
      </c>
      <c r="T63" s="13" t="s">
        <v>3178</v>
      </c>
      <c r="U63" s="13" t="s">
        <v>3164</v>
      </c>
      <c r="V63" s="13" t="s">
        <v>3164</v>
      </c>
      <c r="W63" s="13" t="s">
        <v>3167</v>
      </c>
      <c r="X63" s="13" t="s">
        <v>3192</v>
      </c>
      <c r="Y63" s="13" t="s">
        <v>3187</v>
      </c>
      <c r="Z63" s="13">
        <v>25.0</v>
      </c>
      <c r="AA63" s="13" t="b">
        <v>0</v>
      </c>
      <c r="AB63" s="48"/>
      <c r="AC63" s="49"/>
    </row>
    <row r="64" ht="14.25" customHeight="1">
      <c r="A64" s="13">
        <v>25642.0</v>
      </c>
      <c r="B64" s="13" t="str">
        <f t="shared" si="2"/>
        <v>Observational</v>
      </c>
      <c r="C64" s="13" t="s">
        <v>4856</v>
      </c>
      <c r="D64" s="1" t="s">
        <v>4935</v>
      </c>
      <c r="E64" s="13" t="s">
        <v>4924</v>
      </c>
      <c r="F64" s="13" t="s">
        <v>3159</v>
      </c>
      <c r="G64" s="13" t="s">
        <v>3159</v>
      </c>
      <c r="H64" s="13" t="s">
        <v>3166</v>
      </c>
      <c r="I64" s="13" t="s">
        <v>3171</v>
      </c>
      <c r="J64" s="13" t="s">
        <v>4289</v>
      </c>
      <c r="K64" s="13" t="s">
        <v>3153</v>
      </c>
      <c r="L64" s="13" t="s">
        <v>3169</v>
      </c>
      <c r="M64" s="13" t="s">
        <v>3288</v>
      </c>
      <c r="N64" s="13" t="s">
        <v>3162</v>
      </c>
      <c r="O64" s="13" t="s">
        <v>4290</v>
      </c>
      <c r="P64" s="13">
        <v>3.0</v>
      </c>
      <c r="Q64" s="13" t="s">
        <v>3160</v>
      </c>
      <c r="R64" s="13" t="s">
        <v>3260</v>
      </c>
      <c r="S64" s="13" t="s">
        <v>33</v>
      </c>
      <c r="T64" s="13" t="s">
        <v>3178</v>
      </c>
      <c r="U64" s="13" t="s">
        <v>3164</v>
      </c>
      <c r="V64" s="13" t="s">
        <v>3164</v>
      </c>
      <c r="W64" s="13" t="s">
        <v>3167</v>
      </c>
      <c r="X64" s="13" t="s">
        <v>3170</v>
      </c>
      <c r="Y64" s="13" t="s">
        <v>3156</v>
      </c>
      <c r="Z64" s="13" t="s">
        <v>3167</v>
      </c>
      <c r="AA64" s="13" t="b">
        <v>0</v>
      </c>
      <c r="AB64" s="48"/>
      <c r="AC64" s="49"/>
    </row>
    <row r="65" ht="14.25" customHeight="1">
      <c r="A65" s="13">
        <v>25671.0</v>
      </c>
      <c r="B65" s="13" t="str">
        <f t="shared" si="2"/>
        <v>Observational</v>
      </c>
      <c r="C65" s="13" t="s">
        <v>4852</v>
      </c>
      <c r="D65" s="1" t="s">
        <v>4935</v>
      </c>
      <c r="E65" s="13" t="s">
        <v>4924</v>
      </c>
      <c r="F65" s="13" t="s">
        <v>3265</v>
      </c>
      <c r="G65" s="13" t="s">
        <v>3186</v>
      </c>
      <c r="H65" s="13" t="s">
        <v>3166</v>
      </c>
      <c r="I65" s="13" t="s">
        <v>3244</v>
      </c>
      <c r="J65" s="13" t="s">
        <v>4296</v>
      </c>
      <c r="K65" s="13" t="s">
        <v>3153</v>
      </c>
      <c r="L65" s="13" t="s">
        <v>3154</v>
      </c>
      <c r="M65" s="13" t="s">
        <v>3288</v>
      </c>
      <c r="N65" s="13" t="s">
        <v>3162</v>
      </c>
      <c r="O65" s="13" t="s">
        <v>33</v>
      </c>
      <c r="P65" s="13">
        <v>3.0</v>
      </c>
      <c r="Q65" s="13" t="s">
        <v>3160</v>
      </c>
      <c r="R65" s="13" t="s">
        <v>3177</v>
      </c>
      <c r="S65" s="13" t="s">
        <v>33</v>
      </c>
      <c r="T65" s="13" t="s">
        <v>3224</v>
      </c>
      <c r="U65" s="13" t="s">
        <v>3232</v>
      </c>
      <c r="V65" s="13" t="s">
        <v>3232</v>
      </c>
      <c r="W65" s="13" t="s">
        <v>3167</v>
      </c>
      <c r="X65" s="13" t="s">
        <v>3211</v>
      </c>
      <c r="Y65" s="13" t="s">
        <v>33</v>
      </c>
      <c r="Z65" s="13" t="s">
        <v>33</v>
      </c>
      <c r="AA65" s="13" t="b">
        <v>0</v>
      </c>
      <c r="AB65" s="48"/>
      <c r="AC65" s="49"/>
    </row>
    <row r="66" ht="14.25" customHeight="1">
      <c r="A66" s="13">
        <v>23509.0</v>
      </c>
      <c r="B66" s="13" t="str">
        <f t="shared" si="2"/>
        <v>Observational</v>
      </c>
      <c r="C66" s="13" t="s">
        <v>4856</v>
      </c>
      <c r="D66" s="1" t="s">
        <v>4936</v>
      </c>
      <c r="E66" s="13" t="s">
        <v>4924</v>
      </c>
      <c r="F66" s="13" t="s">
        <v>3183</v>
      </c>
      <c r="G66" s="13" t="s">
        <v>3183</v>
      </c>
      <c r="H66" s="13" t="s">
        <v>3166</v>
      </c>
      <c r="I66" s="13" t="s">
        <v>3167</v>
      </c>
      <c r="J66" s="13" t="s">
        <v>3167</v>
      </c>
      <c r="K66" s="13" t="s">
        <v>3153</v>
      </c>
      <c r="L66" s="13" t="s">
        <v>3169</v>
      </c>
      <c r="M66" s="13" t="s">
        <v>3472</v>
      </c>
      <c r="N66" s="13" t="s">
        <v>3175</v>
      </c>
      <c r="O66" s="13" t="s">
        <v>3397</v>
      </c>
      <c r="P66" s="13">
        <v>4.0</v>
      </c>
      <c r="Q66" s="13" t="s">
        <v>3160</v>
      </c>
      <c r="R66" s="13" t="s">
        <v>3177</v>
      </c>
      <c r="S66" s="13" t="s">
        <v>3397</v>
      </c>
      <c r="T66" s="13" t="s">
        <v>3473</v>
      </c>
      <c r="U66" s="13" t="s">
        <v>3197</v>
      </c>
      <c r="V66" s="13" t="s">
        <v>3197</v>
      </c>
      <c r="W66" s="13" t="s">
        <v>3167</v>
      </c>
      <c r="X66" s="13" t="s">
        <v>3217</v>
      </c>
      <c r="Y66" s="13" t="s">
        <v>3156</v>
      </c>
      <c r="Z66" s="13" t="s">
        <v>33</v>
      </c>
      <c r="AA66" s="13" t="b">
        <v>0</v>
      </c>
      <c r="AB66" s="48"/>
      <c r="AC66" s="49"/>
    </row>
    <row r="67" ht="14.25" customHeight="1">
      <c r="A67" s="13">
        <v>26104.0</v>
      </c>
      <c r="B67" s="13" t="str">
        <f t="shared" si="2"/>
        <v>Observational</v>
      </c>
      <c r="C67" s="13" t="s">
        <v>4856</v>
      </c>
      <c r="D67" s="1" t="s">
        <v>4937</v>
      </c>
      <c r="E67" s="13" t="s">
        <v>4938</v>
      </c>
      <c r="F67" s="13" t="s">
        <v>3173</v>
      </c>
      <c r="G67" s="13" t="s">
        <v>3338</v>
      </c>
      <c r="H67" s="13" t="s">
        <v>3253</v>
      </c>
      <c r="I67" s="13" t="s">
        <v>3171</v>
      </c>
      <c r="J67" s="13" t="s">
        <v>4454</v>
      </c>
      <c r="K67" s="13" t="s">
        <v>3153</v>
      </c>
      <c r="L67" s="13" t="s">
        <v>3169</v>
      </c>
      <c r="M67" s="13" t="s">
        <v>4455</v>
      </c>
      <c r="N67" s="13" t="s">
        <v>3162</v>
      </c>
      <c r="O67" s="13" t="s">
        <v>3167</v>
      </c>
      <c r="P67" s="13">
        <v>5.0</v>
      </c>
      <c r="Q67" s="13" t="s">
        <v>3160</v>
      </c>
      <c r="R67" s="13" t="s">
        <v>3231</v>
      </c>
      <c r="S67" s="13" t="s">
        <v>33</v>
      </c>
      <c r="T67" s="13" t="s">
        <v>3893</v>
      </c>
      <c r="U67" s="13" t="s">
        <v>3252</v>
      </c>
      <c r="V67" s="13" t="s">
        <v>3252</v>
      </c>
      <c r="W67" s="13" t="s">
        <v>4456</v>
      </c>
      <c r="X67" s="13" t="s">
        <v>3170</v>
      </c>
      <c r="Y67" s="13" t="s">
        <v>3187</v>
      </c>
      <c r="Z67" s="13">
        <v>1.0</v>
      </c>
      <c r="AA67" s="13" t="b">
        <v>0</v>
      </c>
      <c r="AB67" s="48"/>
      <c r="AC67" s="49"/>
    </row>
    <row r="68" ht="14.25" customHeight="1">
      <c r="A68" s="13">
        <v>23237.0</v>
      </c>
      <c r="B68" s="13" t="str">
        <f t="shared" si="2"/>
        <v>Observational</v>
      </c>
      <c r="C68" s="13" t="s">
        <v>4856</v>
      </c>
      <c r="D68" s="1" t="s">
        <v>4939</v>
      </c>
      <c r="E68" s="13" t="s">
        <v>4940</v>
      </c>
      <c r="F68" s="13" t="s">
        <v>3214</v>
      </c>
      <c r="G68" s="13" t="s">
        <v>3210</v>
      </c>
      <c r="H68" s="13" t="s">
        <v>3195</v>
      </c>
      <c r="I68" s="13" t="s">
        <v>3188</v>
      </c>
      <c r="J68" s="13" t="s">
        <v>3207</v>
      </c>
      <c r="K68" s="13" t="s">
        <v>3153</v>
      </c>
      <c r="L68" s="13" t="s">
        <v>3169</v>
      </c>
      <c r="M68" s="13" t="s">
        <v>3344</v>
      </c>
      <c r="N68" s="13" t="s">
        <v>3267</v>
      </c>
      <c r="O68" s="13" t="s">
        <v>33</v>
      </c>
      <c r="P68" s="13">
        <v>8.0</v>
      </c>
      <c r="Q68" s="13" t="s">
        <v>3177</v>
      </c>
      <c r="R68" s="13" t="s">
        <v>3163</v>
      </c>
      <c r="S68" s="13" t="s">
        <v>33</v>
      </c>
      <c r="T68" s="13" t="s">
        <v>3167</v>
      </c>
      <c r="U68" s="13" t="s">
        <v>3195</v>
      </c>
      <c r="V68" s="13" t="s">
        <v>3195</v>
      </c>
      <c r="W68" s="13" t="s">
        <v>3167</v>
      </c>
      <c r="X68" s="13" t="s">
        <v>3170</v>
      </c>
      <c r="Y68" s="13" t="s">
        <v>3304</v>
      </c>
      <c r="Z68" s="13">
        <v>30.0</v>
      </c>
      <c r="AA68" s="13" t="b">
        <v>0</v>
      </c>
      <c r="AB68" s="48"/>
      <c r="AC68" s="49"/>
    </row>
    <row r="69" ht="14.25" customHeight="1">
      <c r="A69" s="13">
        <v>25065.0</v>
      </c>
      <c r="B69" s="13" t="str">
        <f t="shared" si="2"/>
        <v>Observational</v>
      </c>
      <c r="C69" s="13" t="s">
        <v>4856</v>
      </c>
      <c r="D69" s="1" t="s">
        <v>4941</v>
      </c>
      <c r="E69" s="13" t="s">
        <v>4932</v>
      </c>
      <c r="F69" s="13" t="s">
        <v>3208</v>
      </c>
      <c r="G69" s="13" t="s">
        <v>3273</v>
      </c>
      <c r="H69" s="13" t="s">
        <v>3242</v>
      </c>
      <c r="I69" s="13" t="s">
        <v>3222</v>
      </c>
      <c r="J69" s="13" t="s">
        <v>3182</v>
      </c>
      <c r="K69" s="13" t="s">
        <v>3153</v>
      </c>
      <c r="L69" s="13" t="s">
        <v>3169</v>
      </c>
      <c r="M69" s="13" t="s">
        <v>4123</v>
      </c>
      <c r="N69" s="13" t="s">
        <v>3162</v>
      </c>
      <c r="O69" s="13" t="s">
        <v>3167</v>
      </c>
      <c r="P69" s="13">
        <v>4.0</v>
      </c>
      <c r="Q69" s="13" t="s">
        <v>3160</v>
      </c>
      <c r="R69" s="13" t="s">
        <v>3231</v>
      </c>
      <c r="S69" s="13" t="s">
        <v>33</v>
      </c>
      <c r="T69" s="13" t="s">
        <v>3167</v>
      </c>
      <c r="U69" s="13" t="s">
        <v>3197</v>
      </c>
      <c r="V69" s="13" t="s">
        <v>3197</v>
      </c>
      <c r="W69" s="13" t="s">
        <v>3356</v>
      </c>
      <c r="X69" s="13" t="s">
        <v>3192</v>
      </c>
      <c r="Y69" s="13" t="s">
        <v>3304</v>
      </c>
      <c r="Z69" s="13">
        <v>2.25</v>
      </c>
      <c r="AA69" s="13" t="b">
        <v>0</v>
      </c>
      <c r="AB69" s="48"/>
      <c r="AC69" s="49"/>
    </row>
    <row r="70" ht="14.25" customHeight="1">
      <c r="A70" s="13">
        <v>24122.0</v>
      </c>
      <c r="B70" s="13" t="str">
        <f t="shared" si="2"/>
        <v>Observational</v>
      </c>
      <c r="C70" s="13" t="s">
        <v>4856</v>
      </c>
      <c r="D70" s="1" t="s">
        <v>4942</v>
      </c>
      <c r="E70" s="13" t="s">
        <v>4943</v>
      </c>
      <c r="F70" s="13" t="s">
        <v>3183</v>
      </c>
      <c r="G70" s="13" t="s">
        <v>3183</v>
      </c>
      <c r="H70" s="13" t="s">
        <v>3166</v>
      </c>
      <c r="I70" s="13" t="s">
        <v>3222</v>
      </c>
      <c r="J70" s="13" t="s">
        <v>3182</v>
      </c>
      <c r="K70" s="13" t="s">
        <v>3153</v>
      </c>
      <c r="L70" s="13" t="s">
        <v>3169</v>
      </c>
      <c r="M70" s="13" t="s">
        <v>3751</v>
      </c>
      <c r="N70" s="13" t="s">
        <v>3267</v>
      </c>
      <c r="O70" s="13" t="s">
        <v>3752</v>
      </c>
      <c r="P70" s="13">
        <v>6.0</v>
      </c>
      <c r="Q70" s="13" t="s">
        <v>3177</v>
      </c>
      <c r="R70" s="13" t="s">
        <v>3177</v>
      </c>
      <c r="S70" s="13" t="s">
        <v>3753</v>
      </c>
      <c r="T70" s="13" t="s">
        <v>3224</v>
      </c>
      <c r="U70" s="13" t="s">
        <v>3232</v>
      </c>
      <c r="V70" s="13" t="s">
        <v>3232</v>
      </c>
      <c r="W70" s="13" t="s">
        <v>3167</v>
      </c>
      <c r="X70" s="13" t="s">
        <v>3192</v>
      </c>
      <c r="Y70" s="13" t="s">
        <v>3202</v>
      </c>
      <c r="Z70" s="13">
        <v>90.0</v>
      </c>
      <c r="AA70" s="13" t="b">
        <v>0</v>
      </c>
      <c r="AB70" s="48"/>
      <c r="AC70" s="49"/>
    </row>
    <row r="71" ht="14.25" customHeight="1">
      <c r="A71" s="13">
        <v>24867.0</v>
      </c>
      <c r="B71" s="13" t="str">
        <f t="shared" si="2"/>
        <v>Observational</v>
      </c>
      <c r="C71" s="13" t="s">
        <v>4856</v>
      </c>
      <c r="D71" s="1" t="s">
        <v>4944</v>
      </c>
      <c r="E71" s="13" t="s">
        <v>4945</v>
      </c>
      <c r="F71" s="13" t="s">
        <v>3183</v>
      </c>
      <c r="G71" s="13" t="s">
        <v>3183</v>
      </c>
      <c r="H71" s="13" t="s">
        <v>3242</v>
      </c>
      <c r="I71" s="13" t="s">
        <v>3157</v>
      </c>
      <c r="J71" s="13" t="s">
        <v>3570</v>
      </c>
      <c r="K71" s="13" t="s">
        <v>3153</v>
      </c>
      <c r="L71" s="13" t="s">
        <v>3169</v>
      </c>
      <c r="M71" s="13" t="s">
        <v>4060</v>
      </c>
      <c r="N71" s="13" t="s">
        <v>3162</v>
      </c>
      <c r="O71" s="13" t="s">
        <v>4061</v>
      </c>
      <c r="P71" s="13">
        <v>6.0</v>
      </c>
      <c r="Q71" s="13" t="s">
        <v>3160</v>
      </c>
      <c r="R71" s="13" t="s">
        <v>3163</v>
      </c>
      <c r="S71" s="13" t="s">
        <v>4062</v>
      </c>
      <c r="T71" s="13" t="s">
        <v>3167</v>
      </c>
      <c r="U71" s="13" t="s">
        <v>3247</v>
      </c>
      <c r="V71" s="13" t="s">
        <v>3247</v>
      </c>
      <c r="W71" s="13" t="s">
        <v>3634</v>
      </c>
      <c r="X71" s="13" t="s">
        <v>3170</v>
      </c>
      <c r="Y71" s="13" t="s">
        <v>3202</v>
      </c>
      <c r="Z71" s="13">
        <v>5.0</v>
      </c>
      <c r="AA71" s="13" t="b">
        <v>0</v>
      </c>
      <c r="AB71" s="48"/>
      <c r="AC71" s="49"/>
    </row>
    <row r="72" ht="14.25" customHeight="1">
      <c r="A72" s="13">
        <v>25355.0</v>
      </c>
      <c r="B72" s="13" t="str">
        <f t="shared" si="2"/>
        <v>Observational</v>
      </c>
      <c r="C72" s="13" t="s">
        <v>4855</v>
      </c>
      <c r="D72" s="1" t="s">
        <v>4946</v>
      </c>
      <c r="E72" s="13" t="s">
        <v>4924</v>
      </c>
      <c r="F72" s="13" t="s">
        <v>3257</v>
      </c>
      <c r="G72" s="13" t="s">
        <v>3338</v>
      </c>
      <c r="H72" s="13" t="s">
        <v>3242</v>
      </c>
      <c r="I72" s="13" t="s">
        <v>3188</v>
      </c>
      <c r="J72" s="13" t="s">
        <v>4207</v>
      </c>
      <c r="K72" s="13" t="s">
        <v>3153</v>
      </c>
      <c r="L72" s="13" t="s">
        <v>3395</v>
      </c>
      <c r="M72" s="13" t="s">
        <v>4208</v>
      </c>
      <c r="N72" s="13" t="s">
        <v>3162</v>
      </c>
      <c r="O72" s="13" t="s">
        <v>3167</v>
      </c>
      <c r="P72" s="13">
        <v>3.0</v>
      </c>
      <c r="Q72" s="13" t="s">
        <v>3177</v>
      </c>
      <c r="R72" s="13" t="s">
        <v>3260</v>
      </c>
      <c r="S72" s="13" t="s">
        <v>4209</v>
      </c>
      <c r="T72" s="13" t="s">
        <v>3167</v>
      </c>
      <c r="U72" s="13" t="s">
        <v>3197</v>
      </c>
      <c r="V72" s="13" t="s">
        <v>3197</v>
      </c>
      <c r="W72" s="13" t="s">
        <v>3481</v>
      </c>
      <c r="X72" s="13" t="s">
        <v>3211</v>
      </c>
      <c r="Y72" s="13" t="s">
        <v>3180</v>
      </c>
      <c r="Z72" s="13">
        <v>1.0</v>
      </c>
      <c r="AA72" s="13" t="b">
        <v>0</v>
      </c>
      <c r="AB72" s="48"/>
      <c r="AC72" s="49"/>
    </row>
    <row r="73" ht="14.25" customHeight="1">
      <c r="A73" s="13">
        <v>26050.0</v>
      </c>
      <c r="B73" s="13" t="str">
        <f t="shared" si="2"/>
        <v>Observational</v>
      </c>
      <c r="C73" s="13" t="s">
        <v>4856</v>
      </c>
      <c r="D73" s="1" t="s">
        <v>4947</v>
      </c>
      <c r="E73" s="13" t="s">
        <v>4928</v>
      </c>
      <c r="F73" s="13" t="s">
        <v>3208</v>
      </c>
      <c r="G73" s="13" t="s">
        <v>3173</v>
      </c>
      <c r="H73" s="13" t="s">
        <v>3166</v>
      </c>
      <c r="I73" s="13" t="s">
        <v>3222</v>
      </c>
      <c r="J73" s="13" t="s">
        <v>3182</v>
      </c>
      <c r="K73" s="13" t="s">
        <v>3153</v>
      </c>
      <c r="L73" s="13" t="s">
        <v>3169</v>
      </c>
      <c r="M73" s="13" t="s">
        <v>4424</v>
      </c>
      <c r="N73" s="13" t="s">
        <v>3162</v>
      </c>
      <c r="O73" s="13" t="s">
        <v>3167</v>
      </c>
      <c r="P73" s="13">
        <v>5.0</v>
      </c>
      <c r="Q73" s="13" t="s">
        <v>3160</v>
      </c>
      <c r="R73" s="13" t="s">
        <v>3231</v>
      </c>
      <c r="S73" s="13" t="s">
        <v>33</v>
      </c>
      <c r="T73" s="13" t="s">
        <v>3216</v>
      </c>
      <c r="U73" s="13" t="s">
        <v>3164</v>
      </c>
      <c r="V73" s="13" t="s">
        <v>3164</v>
      </c>
      <c r="W73" s="13" t="s">
        <v>3167</v>
      </c>
      <c r="X73" s="13" t="s">
        <v>3192</v>
      </c>
      <c r="Y73" s="13" t="s">
        <v>3202</v>
      </c>
      <c r="Z73" s="13">
        <v>1.0</v>
      </c>
      <c r="AA73" s="13" t="b">
        <v>0</v>
      </c>
      <c r="AB73" s="48"/>
      <c r="AC73" s="49"/>
    </row>
    <row r="74" ht="14.25" customHeight="1">
      <c r="A74" s="13">
        <v>25862.0</v>
      </c>
      <c r="B74" s="13" t="str">
        <f t="shared" si="2"/>
        <v>Observational</v>
      </c>
      <c r="C74" s="13" t="s">
        <v>4856</v>
      </c>
      <c r="D74" s="1" t="s">
        <v>4948</v>
      </c>
      <c r="E74" s="13" t="s">
        <v>4930</v>
      </c>
      <c r="F74" s="13" t="s">
        <v>3183</v>
      </c>
      <c r="G74" s="13" t="s">
        <v>3379</v>
      </c>
      <c r="H74" s="13" t="s">
        <v>3242</v>
      </c>
      <c r="I74" s="13" t="s">
        <v>3171</v>
      </c>
      <c r="J74" s="13" t="s">
        <v>4362</v>
      </c>
      <c r="K74" s="13" t="s">
        <v>3153</v>
      </c>
      <c r="L74" s="13" t="s">
        <v>3169</v>
      </c>
      <c r="M74" s="13" t="s">
        <v>4181</v>
      </c>
      <c r="N74" s="13" t="s">
        <v>3175</v>
      </c>
      <c r="O74" s="13" t="s">
        <v>4363</v>
      </c>
      <c r="P74" s="13">
        <v>3.0</v>
      </c>
      <c r="Q74" s="13" t="s">
        <v>3177</v>
      </c>
      <c r="R74" s="13" t="s">
        <v>3163</v>
      </c>
      <c r="S74" s="13" t="s">
        <v>4364</v>
      </c>
      <c r="T74" s="13" t="s">
        <v>3167</v>
      </c>
      <c r="U74" s="13" t="s">
        <v>3247</v>
      </c>
      <c r="V74" s="13" t="s">
        <v>3247</v>
      </c>
      <c r="W74" s="13" t="s">
        <v>3496</v>
      </c>
      <c r="X74" s="13" t="s">
        <v>3211</v>
      </c>
      <c r="Y74" s="13" t="s">
        <v>3202</v>
      </c>
      <c r="Z74" s="13">
        <v>900.0</v>
      </c>
      <c r="AA74" s="13" t="b">
        <v>0</v>
      </c>
      <c r="AB74" s="48"/>
      <c r="AC74" s="49"/>
    </row>
    <row r="75" ht="14.25" customHeight="1">
      <c r="A75" s="13">
        <v>26081.0</v>
      </c>
      <c r="B75" s="13" t="str">
        <f t="shared" si="2"/>
        <v>Observational</v>
      </c>
      <c r="C75" s="13" t="s">
        <v>4856</v>
      </c>
      <c r="D75" s="1" t="s">
        <v>4948</v>
      </c>
      <c r="E75" s="13" t="s">
        <v>4930</v>
      </c>
      <c r="F75" s="13" t="s">
        <v>3290</v>
      </c>
      <c r="G75" s="13" t="s">
        <v>3173</v>
      </c>
      <c r="H75" s="13" t="s">
        <v>3166</v>
      </c>
      <c r="I75" s="13" t="s">
        <v>3188</v>
      </c>
      <c r="J75" s="13" t="s">
        <v>3207</v>
      </c>
      <c r="K75" s="13" t="s">
        <v>3153</v>
      </c>
      <c r="L75" s="13" t="s">
        <v>3169</v>
      </c>
      <c r="M75" s="13" t="s">
        <v>4181</v>
      </c>
      <c r="N75" s="13" t="s">
        <v>3267</v>
      </c>
      <c r="O75" s="13" t="s">
        <v>3167</v>
      </c>
      <c r="P75" s="13">
        <v>3.0</v>
      </c>
      <c r="Q75" s="13" t="s">
        <v>3160</v>
      </c>
      <c r="R75" s="13" t="s">
        <v>3231</v>
      </c>
      <c r="S75" s="13" t="s">
        <v>33</v>
      </c>
      <c r="T75" s="13" t="s">
        <v>3178</v>
      </c>
      <c r="U75" s="13" t="s">
        <v>3164</v>
      </c>
      <c r="V75" s="13" t="s">
        <v>3164</v>
      </c>
      <c r="W75" s="13" t="s">
        <v>3167</v>
      </c>
      <c r="X75" s="13" t="s">
        <v>3170</v>
      </c>
      <c r="Y75" s="13" t="s">
        <v>3156</v>
      </c>
      <c r="Z75" s="13" t="s">
        <v>3202</v>
      </c>
      <c r="AA75" s="13" t="b">
        <v>0</v>
      </c>
      <c r="AB75" s="48"/>
      <c r="AC75" s="49"/>
    </row>
    <row r="76" ht="14.25" customHeight="1">
      <c r="A76" s="13">
        <v>25229.0</v>
      </c>
      <c r="B76" s="13" t="str">
        <f t="shared" si="2"/>
        <v>Observational</v>
      </c>
      <c r="C76" s="13" t="s">
        <v>4886</v>
      </c>
      <c r="D76" s="1" t="s">
        <v>4948</v>
      </c>
      <c r="E76" s="13" t="s">
        <v>4930</v>
      </c>
      <c r="F76" s="13" t="s">
        <v>3208</v>
      </c>
      <c r="G76" s="13" t="s">
        <v>3335</v>
      </c>
      <c r="H76" s="13" t="s">
        <v>3195</v>
      </c>
      <c r="I76" s="13" t="s">
        <v>3171</v>
      </c>
      <c r="J76" s="13" t="s">
        <v>4180</v>
      </c>
      <c r="K76" s="13" t="s">
        <v>3153</v>
      </c>
      <c r="L76" s="13" t="s">
        <v>3465</v>
      </c>
      <c r="M76" s="13" t="s">
        <v>4181</v>
      </c>
      <c r="N76" s="13" t="s">
        <v>3162</v>
      </c>
      <c r="O76" s="13" t="s">
        <v>33</v>
      </c>
      <c r="P76" s="13">
        <v>3.0</v>
      </c>
      <c r="Q76" s="13" t="s">
        <v>3160</v>
      </c>
      <c r="R76" s="13" t="s">
        <v>3163</v>
      </c>
      <c r="S76" s="13" t="s">
        <v>3329</v>
      </c>
      <c r="T76" s="13" t="s">
        <v>3167</v>
      </c>
      <c r="U76" s="13" t="s">
        <v>3195</v>
      </c>
      <c r="V76" s="13" t="s">
        <v>3195</v>
      </c>
      <c r="W76" s="13" t="s">
        <v>3167</v>
      </c>
      <c r="X76" s="13" t="s">
        <v>3170</v>
      </c>
      <c r="Y76" s="13" t="s">
        <v>3156</v>
      </c>
      <c r="Z76" s="13" t="s">
        <v>33</v>
      </c>
      <c r="AA76" s="13" t="b">
        <v>0</v>
      </c>
      <c r="AB76" s="48"/>
      <c r="AC76" s="49"/>
    </row>
    <row r="77" ht="14.25" customHeight="1">
      <c r="A77" s="13">
        <v>25444.0</v>
      </c>
      <c r="B77" s="13" t="str">
        <f t="shared" si="2"/>
        <v>Observational</v>
      </c>
      <c r="C77" s="13" t="s">
        <v>4886</v>
      </c>
      <c r="D77" s="1" t="s">
        <v>4948</v>
      </c>
      <c r="E77" s="13" t="s">
        <v>4930</v>
      </c>
      <c r="F77" s="13" t="s">
        <v>3208</v>
      </c>
      <c r="G77" s="13" t="s">
        <v>3208</v>
      </c>
      <c r="H77" s="13" t="s">
        <v>3242</v>
      </c>
      <c r="I77" s="13" t="s">
        <v>3188</v>
      </c>
      <c r="J77" s="13" t="s">
        <v>3207</v>
      </c>
      <c r="K77" s="13" t="s">
        <v>3153</v>
      </c>
      <c r="L77" s="13" t="s">
        <v>3465</v>
      </c>
      <c r="M77" s="13" t="s">
        <v>4181</v>
      </c>
      <c r="N77" s="13" t="s">
        <v>3162</v>
      </c>
      <c r="O77" s="13" t="s">
        <v>33</v>
      </c>
      <c r="P77" s="13">
        <v>3.0</v>
      </c>
      <c r="Q77" s="13" t="s">
        <v>3160</v>
      </c>
      <c r="R77" s="13" t="s">
        <v>3163</v>
      </c>
      <c r="S77" s="13" t="s">
        <v>33</v>
      </c>
      <c r="T77" s="13" t="s">
        <v>3167</v>
      </c>
      <c r="U77" s="13" t="s">
        <v>3197</v>
      </c>
      <c r="V77" s="13" t="s">
        <v>3197</v>
      </c>
      <c r="W77" s="13" t="s">
        <v>3481</v>
      </c>
      <c r="X77" s="13" t="s">
        <v>3170</v>
      </c>
      <c r="Y77" s="13" t="s">
        <v>33</v>
      </c>
      <c r="Z77" s="13" t="s">
        <v>33</v>
      </c>
      <c r="AA77" s="13" t="b">
        <v>0</v>
      </c>
      <c r="AB77" s="48"/>
      <c r="AC77" s="49"/>
    </row>
    <row r="78" ht="14.25" customHeight="1">
      <c r="A78" s="13">
        <v>25745.0</v>
      </c>
      <c r="B78" s="13" t="str">
        <f t="shared" si="2"/>
        <v>Observational</v>
      </c>
      <c r="C78" s="13" t="s">
        <v>4856</v>
      </c>
      <c r="D78" s="1" t="s">
        <v>4949</v>
      </c>
      <c r="E78" s="13" t="s">
        <v>4930</v>
      </c>
      <c r="F78" s="13" t="s">
        <v>3208</v>
      </c>
      <c r="G78" s="13" t="s">
        <v>3208</v>
      </c>
      <c r="H78" s="13" t="s">
        <v>3242</v>
      </c>
      <c r="I78" s="13" t="s">
        <v>3157</v>
      </c>
      <c r="J78" s="13" t="s">
        <v>3199</v>
      </c>
      <c r="K78" s="13" t="s">
        <v>3153</v>
      </c>
      <c r="L78" s="13" t="s">
        <v>3169</v>
      </c>
      <c r="M78" s="13" t="s">
        <v>4319</v>
      </c>
      <c r="N78" s="13" t="s">
        <v>3162</v>
      </c>
      <c r="O78" s="13" t="s">
        <v>33</v>
      </c>
      <c r="P78" s="13">
        <v>4.0</v>
      </c>
      <c r="Q78" s="13" t="s">
        <v>3160</v>
      </c>
      <c r="R78" s="13" t="s">
        <v>3163</v>
      </c>
      <c r="S78" s="13" t="s">
        <v>33</v>
      </c>
      <c r="T78" s="13" t="s">
        <v>3167</v>
      </c>
      <c r="U78" s="13" t="s">
        <v>3247</v>
      </c>
      <c r="V78" s="13" t="s">
        <v>3247</v>
      </c>
      <c r="W78" s="13" t="s">
        <v>3248</v>
      </c>
      <c r="X78" s="13" t="s">
        <v>3192</v>
      </c>
      <c r="Y78" s="13" t="s">
        <v>3187</v>
      </c>
      <c r="Z78" s="13">
        <v>100.0</v>
      </c>
      <c r="AA78" s="13" t="b">
        <v>0</v>
      </c>
      <c r="AB78" s="48"/>
      <c r="AC78" s="49"/>
    </row>
    <row r="79" ht="14.25" customHeight="1">
      <c r="A79" s="13">
        <v>24736.0</v>
      </c>
      <c r="B79" s="13" t="str">
        <f t="shared" si="2"/>
        <v>Observational</v>
      </c>
      <c r="C79" s="13" t="s">
        <v>4856</v>
      </c>
      <c r="D79" s="13" t="s">
        <v>4950</v>
      </c>
      <c r="E79" s="13" t="s">
        <v>4930</v>
      </c>
      <c r="F79" s="13" t="s">
        <v>3208</v>
      </c>
      <c r="G79" s="13" t="s">
        <v>3208</v>
      </c>
      <c r="H79" s="13" t="s">
        <v>3242</v>
      </c>
      <c r="I79" s="13" t="s">
        <v>3222</v>
      </c>
      <c r="J79" s="13" t="s">
        <v>3182</v>
      </c>
      <c r="K79" s="13" t="s">
        <v>3153</v>
      </c>
      <c r="L79" s="13" t="s">
        <v>3169</v>
      </c>
      <c r="M79" s="13" t="s">
        <v>4016</v>
      </c>
      <c r="N79" s="13" t="s">
        <v>3162</v>
      </c>
      <c r="O79" s="13" t="s">
        <v>33</v>
      </c>
      <c r="P79" s="13">
        <v>4.0</v>
      </c>
      <c r="Q79" s="13" t="s">
        <v>3160</v>
      </c>
      <c r="R79" s="13" t="s">
        <v>3163</v>
      </c>
      <c r="S79" s="13" t="s">
        <v>33</v>
      </c>
      <c r="T79" s="13" t="s">
        <v>3167</v>
      </c>
      <c r="U79" s="13" t="s">
        <v>3164</v>
      </c>
      <c r="V79" s="13" t="s">
        <v>3164</v>
      </c>
      <c r="W79" s="13" t="s">
        <v>3433</v>
      </c>
      <c r="X79" s="13" t="s">
        <v>3192</v>
      </c>
      <c r="Y79" s="13" t="s">
        <v>3156</v>
      </c>
      <c r="Z79" s="13" t="s">
        <v>33</v>
      </c>
      <c r="AA79" s="13" t="b">
        <v>1</v>
      </c>
      <c r="AB79" s="48"/>
      <c r="AC79" s="49"/>
    </row>
    <row r="80" ht="14.25" customHeight="1">
      <c r="A80" s="13">
        <v>24661.0</v>
      </c>
      <c r="B80" s="13" t="str">
        <f t="shared" si="2"/>
        <v>Observational</v>
      </c>
      <c r="C80" s="13" t="s">
        <v>4856</v>
      </c>
      <c r="D80" s="1" t="s">
        <v>4951</v>
      </c>
      <c r="E80" s="13" t="s">
        <v>4952</v>
      </c>
      <c r="F80" s="13" t="s">
        <v>3208</v>
      </c>
      <c r="G80" s="13" t="s">
        <v>3987</v>
      </c>
      <c r="H80" s="13" t="s">
        <v>3242</v>
      </c>
      <c r="I80" s="13" t="s">
        <v>3171</v>
      </c>
      <c r="J80" s="13" t="s">
        <v>3657</v>
      </c>
      <c r="K80" s="13" t="s">
        <v>3153</v>
      </c>
      <c r="L80" s="13" t="s">
        <v>3169</v>
      </c>
      <c r="M80" s="13" t="s">
        <v>3986</v>
      </c>
      <c r="N80" s="13" t="s">
        <v>3162</v>
      </c>
      <c r="O80" s="13" t="s">
        <v>3167</v>
      </c>
      <c r="P80" s="13">
        <v>4.0</v>
      </c>
      <c r="Q80" s="13" t="s">
        <v>3160</v>
      </c>
      <c r="R80" s="13" t="s">
        <v>3231</v>
      </c>
      <c r="S80" s="13" t="s">
        <v>3988</v>
      </c>
      <c r="T80" s="13" t="s">
        <v>3167</v>
      </c>
      <c r="U80" s="13" t="s">
        <v>3197</v>
      </c>
      <c r="V80" s="13" t="s">
        <v>3197</v>
      </c>
      <c r="W80" s="13" t="s">
        <v>3248</v>
      </c>
      <c r="X80" s="13" t="s">
        <v>3192</v>
      </c>
      <c r="Y80" s="13" t="s">
        <v>3202</v>
      </c>
      <c r="Z80" s="13">
        <v>60.0</v>
      </c>
      <c r="AA80" s="13" t="b">
        <v>0</v>
      </c>
      <c r="AB80" s="48"/>
      <c r="AC80" s="49"/>
    </row>
    <row r="81" ht="14.25" customHeight="1">
      <c r="A81" s="13">
        <v>23185.0</v>
      </c>
      <c r="B81" s="13" t="str">
        <f t="shared" si="2"/>
        <v>Observational</v>
      </c>
      <c r="C81" s="13" t="s">
        <v>4856</v>
      </c>
      <c r="D81" s="1" t="s">
        <v>4953</v>
      </c>
      <c r="E81" s="13" t="s">
        <v>4932</v>
      </c>
      <c r="F81" s="13" t="s">
        <v>3159</v>
      </c>
      <c r="G81" s="13" t="s">
        <v>3159</v>
      </c>
      <c r="H81" s="13" t="s">
        <v>3166</v>
      </c>
      <c r="I81" s="13" t="s">
        <v>3171</v>
      </c>
      <c r="J81" s="13" t="s">
        <v>3325</v>
      </c>
      <c r="K81" s="13" t="s">
        <v>3153</v>
      </c>
      <c r="L81" s="13" t="s">
        <v>3169</v>
      </c>
      <c r="M81" s="13" t="s">
        <v>3326</v>
      </c>
      <c r="N81" s="13" t="s">
        <v>3175</v>
      </c>
      <c r="O81" s="13" t="s">
        <v>33</v>
      </c>
      <c r="P81" s="13">
        <v>4.0</v>
      </c>
      <c r="Q81" s="13" t="s">
        <v>3160</v>
      </c>
      <c r="R81" s="13" t="s">
        <v>3163</v>
      </c>
      <c r="S81" s="13" t="s">
        <v>33</v>
      </c>
      <c r="T81" s="13" t="s">
        <v>3178</v>
      </c>
      <c r="U81" s="13" t="s">
        <v>3164</v>
      </c>
      <c r="V81" s="13" t="s">
        <v>3164</v>
      </c>
      <c r="W81" s="13" t="s">
        <v>3167</v>
      </c>
      <c r="X81" s="13" t="s">
        <v>3170</v>
      </c>
      <c r="Y81" s="13" t="s">
        <v>3156</v>
      </c>
      <c r="Z81" s="13" t="s">
        <v>3167</v>
      </c>
      <c r="AA81" s="13" t="b">
        <v>0</v>
      </c>
      <c r="AB81" s="48"/>
      <c r="AC81" s="49"/>
    </row>
    <row r="82" ht="14.25" customHeight="1">
      <c r="A82" s="13">
        <v>25507.0</v>
      </c>
      <c r="B82" s="13" t="str">
        <f t="shared" si="2"/>
        <v>Observational</v>
      </c>
      <c r="C82" s="13" t="s">
        <v>4856</v>
      </c>
      <c r="D82" s="1" t="s">
        <v>4954</v>
      </c>
      <c r="E82" s="13" t="s">
        <v>4924</v>
      </c>
      <c r="F82" s="13" t="s">
        <v>3159</v>
      </c>
      <c r="G82" s="13" t="s">
        <v>3159</v>
      </c>
      <c r="H82" s="13" t="s">
        <v>3166</v>
      </c>
      <c r="I82" s="13" t="s">
        <v>3171</v>
      </c>
      <c r="J82" s="13" t="s">
        <v>3385</v>
      </c>
      <c r="K82" s="13" t="s">
        <v>3153</v>
      </c>
      <c r="L82" s="13" t="s">
        <v>3169</v>
      </c>
      <c r="M82" s="13" t="s">
        <v>4252</v>
      </c>
      <c r="N82" s="13" t="s">
        <v>3162</v>
      </c>
      <c r="O82" s="13" t="s">
        <v>33</v>
      </c>
      <c r="P82" s="13">
        <v>2.0</v>
      </c>
      <c r="Q82" s="13" t="s">
        <v>3177</v>
      </c>
      <c r="R82" s="13" t="s">
        <v>3177</v>
      </c>
      <c r="S82" s="13" t="s">
        <v>33</v>
      </c>
      <c r="T82" s="13" t="s">
        <v>3178</v>
      </c>
      <c r="U82" s="13" t="s">
        <v>3164</v>
      </c>
      <c r="V82" s="13" t="s">
        <v>3232</v>
      </c>
      <c r="W82" s="13" t="s">
        <v>3167</v>
      </c>
      <c r="X82" s="13" t="s">
        <v>3170</v>
      </c>
      <c r="Y82" s="13" t="s">
        <v>3156</v>
      </c>
      <c r="Z82" s="13" t="s">
        <v>33</v>
      </c>
      <c r="AA82" s="13" t="b">
        <v>0</v>
      </c>
      <c r="AB82" s="48"/>
      <c r="AC82" s="49"/>
    </row>
    <row r="83" ht="14.25" customHeight="1">
      <c r="A83" s="13">
        <v>24139.0</v>
      </c>
      <c r="B83" s="13" t="str">
        <f t="shared" si="2"/>
        <v>Observational</v>
      </c>
      <c r="C83" s="13" t="s">
        <v>4856</v>
      </c>
      <c r="D83" s="1" t="s">
        <v>4955</v>
      </c>
      <c r="E83" s="13" t="s">
        <v>4930</v>
      </c>
      <c r="F83" s="13" t="s">
        <v>3173</v>
      </c>
      <c r="G83" s="13" t="s">
        <v>3270</v>
      </c>
      <c r="H83" s="13" t="s">
        <v>3242</v>
      </c>
      <c r="I83" s="13" t="s">
        <v>3188</v>
      </c>
      <c r="J83" s="13" t="s">
        <v>3432</v>
      </c>
      <c r="K83" s="13" t="s">
        <v>3153</v>
      </c>
      <c r="L83" s="13" t="s">
        <v>3169</v>
      </c>
      <c r="M83" s="13" t="s">
        <v>3760</v>
      </c>
      <c r="N83" s="13" t="s">
        <v>3175</v>
      </c>
      <c r="O83" s="13" t="s">
        <v>3761</v>
      </c>
      <c r="P83" s="13">
        <v>3.0</v>
      </c>
      <c r="Q83" s="13" t="s">
        <v>3160</v>
      </c>
      <c r="R83" s="13" t="s">
        <v>3260</v>
      </c>
      <c r="S83" s="13" t="s">
        <v>3762</v>
      </c>
      <c r="T83" s="13" t="s">
        <v>3167</v>
      </c>
      <c r="U83" s="13" t="s">
        <v>3247</v>
      </c>
      <c r="V83" s="13" t="s">
        <v>3247</v>
      </c>
      <c r="W83" s="13" t="s">
        <v>3634</v>
      </c>
      <c r="X83" s="13" t="s">
        <v>3192</v>
      </c>
      <c r="Y83" s="13" t="s">
        <v>3187</v>
      </c>
      <c r="Z83" s="13" t="s">
        <v>3187</v>
      </c>
      <c r="AA83" s="13" t="b">
        <v>0</v>
      </c>
      <c r="AB83" s="48"/>
      <c r="AC83" s="49"/>
    </row>
    <row r="84" ht="14.25" customHeight="1">
      <c r="A84" s="13">
        <v>24574.0</v>
      </c>
      <c r="B84" s="13" t="str">
        <f t="shared" si="2"/>
        <v>Observational</v>
      </c>
      <c r="C84" s="13" t="s">
        <v>4856</v>
      </c>
      <c r="D84" s="1" t="s">
        <v>4956</v>
      </c>
      <c r="E84" s="13" t="s">
        <v>4932</v>
      </c>
      <c r="F84" s="13" t="s">
        <v>3190</v>
      </c>
      <c r="G84" s="13" t="s">
        <v>3173</v>
      </c>
      <c r="H84" s="13" t="s">
        <v>3166</v>
      </c>
      <c r="I84" s="13" t="s">
        <v>3171</v>
      </c>
      <c r="J84" s="13" t="s">
        <v>3718</v>
      </c>
      <c r="K84" s="13" t="s">
        <v>3153</v>
      </c>
      <c r="L84" s="13" t="s">
        <v>3169</v>
      </c>
      <c r="M84" s="13" t="s">
        <v>3960</v>
      </c>
      <c r="N84" s="13" t="s">
        <v>3162</v>
      </c>
      <c r="O84" s="13" t="s">
        <v>3167</v>
      </c>
      <c r="P84" s="13">
        <v>4.0</v>
      </c>
      <c r="Q84" s="13" t="s">
        <v>3160</v>
      </c>
      <c r="R84" s="13" t="s">
        <v>3231</v>
      </c>
      <c r="S84" s="13" t="s">
        <v>33</v>
      </c>
      <c r="T84" s="13" t="s">
        <v>3178</v>
      </c>
      <c r="U84" s="13" t="s">
        <v>3164</v>
      </c>
      <c r="V84" s="13" t="s">
        <v>3164</v>
      </c>
      <c r="W84" s="13" t="s">
        <v>3167</v>
      </c>
      <c r="X84" s="13" t="s">
        <v>3284</v>
      </c>
      <c r="Y84" s="13" t="s">
        <v>3156</v>
      </c>
      <c r="Z84" s="13" t="s">
        <v>3167</v>
      </c>
      <c r="AA84" s="13" t="b">
        <v>0</v>
      </c>
      <c r="AB84" s="48"/>
      <c r="AC84" s="49"/>
    </row>
    <row r="85" ht="14.25" customHeight="1">
      <c r="A85" s="13">
        <v>23013.0</v>
      </c>
      <c r="B85" s="13" t="str">
        <f t="shared" si="2"/>
        <v>Observational</v>
      </c>
      <c r="C85" s="13" t="s">
        <v>4856</v>
      </c>
      <c r="D85" s="1" t="s">
        <v>4957</v>
      </c>
      <c r="E85" s="13" t="s">
        <v>4958</v>
      </c>
      <c r="F85" s="13" t="s">
        <v>3173</v>
      </c>
      <c r="G85" s="13" t="s">
        <v>3159</v>
      </c>
      <c r="H85" s="13" t="s">
        <v>3166</v>
      </c>
      <c r="I85" s="13" t="s">
        <v>3171</v>
      </c>
      <c r="J85" s="13" t="s">
        <v>3172</v>
      </c>
      <c r="K85" s="13" t="s">
        <v>3153</v>
      </c>
      <c r="L85" s="13" t="s">
        <v>3169</v>
      </c>
      <c r="M85" s="13" t="s">
        <v>3174</v>
      </c>
      <c r="N85" s="13" t="s">
        <v>3175</v>
      </c>
      <c r="O85" s="13" t="s">
        <v>3176</v>
      </c>
      <c r="P85" s="13">
        <v>4.0</v>
      </c>
      <c r="Q85" s="13" t="s">
        <v>3160</v>
      </c>
      <c r="R85" s="13" t="s">
        <v>3177</v>
      </c>
      <c r="S85" s="13" t="s">
        <v>3167</v>
      </c>
      <c r="T85" s="13" t="s">
        <v>3178</v>
      </c>
      <c r="U85" s="13" t="s">
        <v>3164</v>
      </c>
      <c r="V85" s="13" t="s">
        <v>3164</v>
      </c>
      <c r="W85" s="13" t="s">
        <v>3167</v>
      </c>
      <c r="X85" s="13" t="s">
        <v>3170</v>
      </c>
      <c r="Y85" s="13" t="s">
        <v>3156</v>
      </c>
      <c r="Z85" s="13" t="s">
        <v>3167</v>
      </c>
      <c r="AA85" s="13" t="b">
        <v>0</v>
      </c>
      <c r="AB85" s="48"/>
      <c r="AC85" s="49"/>
    </row>
    <row r="86" ht="14.25" customHeight="1">
      <c r="A86" s="13">
        <v>23091.0</v>
      </c>
      <c r="B86" s="13" t="str">
        <f t="shared" si="2"/>
        <v>Observational</v>
      </c>
      <c r="C86" s="13" t="s">
        <v>4856</v>
      </c>
      <c r="D86" s="13" t="s">
        <v>4959</v>
      </c>
      <c r="E86" s="13" t="s">
        <v>4924</v>
      </c>
      <c r="F86" s="13" t="s">
        <v>3208</v>
      </c>
      <c r="G86" s="13" t="s">
        <v>3273</v>
      </c>
      <c r="H86" s="13" t="s">
        <v>3242</v>
      </c>
      <c r="I86" s="13" t="s">
        <v>3188</v>
      </c>
      <c r="J86" s="13" t="s">
        <v>3207</v>
      </c>
      <c r="K86" s="13" t="s">
        <v>3153</v>
      </c>
      <c r="L86" s="13" t="s">
        <v>3169</v>
      </c>
      <c r="M86" s="13" t="s">
        <v>3272</v>
      </c>
      <c r="N86" s="13" t="s">
        <v>3162</v>
      </c>
      <c r="O86" s="13" t="s">
        <v>33</v>
      </c>
      <c r="P86" s="13">
        <v>3.0</v>
      </c>
      <c r="Q86" s="13" t="s">
        <v>3160</v>
      </c>
      <c r="R86" s="13" t="s">
        <v>3163</v>
      </c>
      <c r="S86" s="13" t="s">
        <v>33</v>
      </c>
      <c r="T86" s="13" t="s">
        <v>3167</v>
      </c>
      <c r="U86" s="13" t="s">
        <v>3228</v>
      </c>
      <c r="V86" s="13" t="s">
        <v>3228</v>
      </c>
      <c r="W86" s="13" t="s">
        <v>3254</v>
      </c>
      <c r="X86" s="13" t="s">
        <v>3170</v>
      </c>
      <c r="Y86" s="13" t="s">
        <v>3202</v>
      </c>
      <c r="Z86" s="13">
        <v>250.0</v>
      </c>
      <c r="AA86" s="13" t="b">
        <v>1</v>
      </c>
      <c r="AB86" s="48"/>
      <c r="AC86" s="49"/>
    </row>
    <row r="87" ht="14.25" customHeight="1">
      <c r="A87" s="13">
        <v>23082.0</v>
      </c>
      <c r="B87" s="13" t="str">
        <f t="shared" si="2"/>
        <v>Observational</v>
      </c>
      <c r="C87" s="13" t="s">
        <v>4864</v>
      </c>
      <c r="D87" s="1" t="s">
        <v>4960</v>
      </c>
      <c r="E87" s="13" t="s">
        <v>4958</v>
      </c>
      <c r="F87" s="13" t="s">
        <v>3250</v>
      </c>
      <c r="G87" s="13" t="s">
        <v>3250</v>
      </c>
      <c r="H87" s="13" t="s">
        <v>3253</v>
      </c>
      <c r="I87" s="13" t="s">
        <v>3249</v>
      </c>
      <c r="J87" s="13" t="s">
        <v>3199</v>
      </c>
      <c r="K87" s="13" t="s">
        <v>3153</v>
      </c>
      <c r="L87" s="13" t="s">
        <v>3179</v>
      </c>
      <c r="M87" s="13" t="s">
        <v>3251</v>
      </c>
      <c r="N87" s="13" t="s">
        <v>3175</v>
      </c>
      <c r="O87" s="13" t="s">
        <v>33</v>
      </c>
      <c r="P87" s="13">
        <v>4.0</v>
      </c>
      <c r="Q87" s="13" t="s">
        <v>3177</v>
      </c>
      <c r="R87" s="13" t="s">
        <v>3177</v>
      </c>
      <c r="S87" s="13" t="s">
        <v>33</v>
      </c>
      <c r="T87" s="13" t="s">
        <v>3255</v>
      </c>
      <c r="U87" s="13" t="s">
        <v>3252</v>
      </c>
      <c r="V87" s="13" t="s">
        <v>3252</v>
      </c>
      <c r="W87" s="13" t="s">
        <v>3254</v>
      </c>
      <c r="X87" s="13" t="s">
        <v>3192</v>
      </c>
      <c r="Y87" s="13" t="s">
        <v>3202</v>
      </c>
      <c r="Z87" s="13">
        <v>300.0</v>
      </c>
      <c r="AA87" s="13" t="b">
        <v>0</v>
      </c>
      <c r="AB87" s="48"/>
      <c r="AC87" s="49"/>
    </row>
    <row r="88" ht="14.25" customHeight="1">
      <c r="A88" s="13">
        <v>23684.0</v>
      </c>
      <c r="B88" s="13" t="str">
        <f t="shared" si="2"/>
        <v>Observational</v>
      </c>
      <c r="C88" s="13" t="s">
        <v>4856</v>
      </c>
      <c r="D88" s="50" t="s">
        <v>4853</v>
      </c>
      <c r="E88" s="2" t="s">
        <v>4961</v>
      </c>
      <c r="F88" s="13" t="s">
        <v>3208</v>
      </c>
      <c r="G88" s="13" t="s">
        <v>3208</v>
      </c>
      <c r="H88" s="13" t="s">
        <v>3242</v>
      </c>
      <c r="I88" s="13" t="s">
        <v>3157</v>
      </c>
      <c r="J88" s="13" t="s">
        <v>3570</v>
      </c>
      <c r="K88" s="13" t="s">
        <v>3153</v>
      </c>
      <c r="L88" s="13" t="s">
        <v>3169</v>
      </c>
      <c r="M88" s="13" t="s">
        <v>3571</v>
      </c>
      <c r="N88" s="13" t="s">
        <v>3267</v>
      </c>
      <c r="O88" s="13" t="s">
        <v>33</v>
      </c>
      <c r="P88" s="13">
        <v>2.0</v>
      </c>
      <c r="Q88" s="13" t="s">
        <v>3160</v>
      </c>
      <c r="R88" s="13" t="s">
        <v>3163</v>
      </c>
      <c r="S88" s="13" t="s">
        <v>33</v>
      </c>
      <c r="T88" s="13" t="s">
        <v>3167</v>
      </c>
      <c r="U88" s="13" t="s">
        <v>3247</v>
      </c>
      <c r="V88" s="13" t="s">
        <v>3247</v>
      </c>
      <c r="W88" s="13" t="s">
        <v>3572</v>
      </c>
      <c r="X88" s="13" t="s">
        <v>3170</v>
      </c>
      <c r="Y88" s="13" t="s">
        <v>3156</v>
      </c>
      <c r="Z88" s="13" t="s">
        <v>33</v>
      </c>
      <c r="AA88" s="13" t="b">
        <v>1</v>
      </c>
      <c r="AB88" s="48"/>
      <c r="AC88" s="49"/>
    </row>
    <row r="89" ht="14.25" customHeight="1">
      <c r="A89" s="13">
        <v>24101.0</v>
      </c>
      <c r="B89" s="13" t="str">
        <f t="shared" si="2"/>
        <v>Observational</v>
      </c>
      <c r="C89" s="13" t="s">
        <v>4856</v>
      </c>
      <c r="D89" s="50" t="s">
        <v>4853</v>
      </c>
      <c r="E89" s="2" t="s">
        <v>4854</v>
      </c>
      <c r="F89" s="13" t="s">
        <v>3173</v>
      </c>
      <c r="G89" s="13" t="s">
        <v>3680</v>
      </c>
      <c r="H89" s="13" t="s">
        <v>3242</v>
      </c>
      <c r="I89" s="13" t="s">
        <v>3244</v>
      </c>
      <c r="J89" s="13" t="s">
        <v>3289</v>
      </c>
      <c r="K89" s="13" t="s">
        <v>3153</v>
      </c>
      <c r="L89" s="13" t="s">
        <v>3169</v>
      </c>
      <c r="M89" s="13" t="s">
        <v>3571</v>
      </c>
      <c r="N89" s="13" t="s">
        <v>3267</v>
      </c>
      <c r="O89" s="13" t="s">
        <v>33</v>
      </c>
      <c r="P89" s="13">
        <v>2.0</v>
      </c>
      <c r="Q89" s="13" t="s">
        <v>3160</v>
      </c>
      <c r="R89" s="13" t="s">
        <v>3163</v>
      </c>
      <c r="S89" s="13" t="s">
        <v>3323</v>
      </c>
      <c r="T89" s="13" t="s">
        <v>3167</v>
      </c>
      <c r="U89" s="13" t="s">
        <v>3247</v>
      </c>
      <c r="V89" s="13" t="s">
        <v>3247</v>
      </c>
      <c r="W89" s="13" t="s">
        <v>3248</v>
      </c>
      <c r="X89" s="13" t="s">
        <v>3170</v>
      </c>
      <c r="Y89" s="13" t="s">
        <v>3156</v>
      </c>
      <c r="Z89" s="13" t="s">
        <v>33</v>
      </c>
      <c r="AA89" s="13" t="b">
        <v>1</v>
      </c>
      <c r="AB89" s="48"/>
      <c r="AC89" s="49"/>
    </row>
    <row r="90" ht="14.25" customHeight="1">
      <c r="A90" s="13">
        <v>24270.0</v>
      </c>
      <c r="B90" s="13" t="str">
        <f t="shared" si="2"/>
        <v>Observational</v>
      </c>
      <c r="C90" s="13" t="s">
        <v>4856</v>
      </c>
      <c r="D90" s="50" t="s">
        <v>4853</v>
      </c>
      <c r="E90" s="2" t="s">
        <v>4854</v>
      </c>
      <c r="F90" s="13" t="s">
        <v>3159</v>
      </c>
      <c r="G90" s="13" t="s">
        <v>3159</v>
      </c>
      <c r="H90" s="13" t="s">
        <v>3166</v>
      </c>
      <c r="I90" s="13" t="s">
        <v>3171</v>
      </c>
      <c r="J90" s="13" t="s">
        <v>3825</v>
      </c>
      <c r="K90" s="13" t="s">
        <v>3153</v>
      </c>
      <c r="L90" s="13" t="s">
        <v>3169</v>
      </c>
      <c r="M90" s="13" t="s">
        <v>3571</v>
      </c>
      <c r="N90" s="13" t="s">
        <v>3267</v>
      </c>
      <c r="O90" s="13" t="s">
        <v>33</v>
      </c>
      <c r="P90" s="13">
        <v>2.0</v>
      </c>
      <c r="Q90" s="13" t="s">
        <v>3160</v>
      </c>
      <c r="R90" s="13" t="s">
        <v>3177</v>
      </c>
      <c r="S90" s="13" t="s">
        <v>33</v>
      </c>
      <c r="T90" s="13" t="s">
        <v>3224</v>
      </c>
      <c r="U90" s="13" t="s">
        <v>3164</v>
      </c>
      <c r="V90" s="13" t="s">
        <v>3164</v>
      </c>
      <c r="W90" s="13" t="s">
        <v>3167</v>
      </c>
      <c r="X90" s="13" t="s">
        <v>3170</v>
      </c>
      <c r="Y90" s="13" t="s">
        <v>33</v>
      </c>
      <c r="Z90" s="13" t="s">
        <v>33</v>
      </c>
      <c r="AA90" s="13" t="b">
        <v>1</v>
      </c>
      <c r="AB90" s="48"/>
      <c r="AC90" s="49"/>
    </row>
    <row r="91" ht="14.25" customHeight="1">
      <c r="A91" s="13">
        <v>24527.0</v>
      </c>
      <c r="B91" s="13" t="str">
        <f t="shared" si="2"/>
        <v>Observational</v>
      </c>
      <c r="C91" s="13" t="s">
        <v>4856</v>
      </c>
      <c r="D91" s="50" t="s">
        <v>4853</v>
      </c>
      <c r="E91" s="2" t="s">
        <v>4854</v>
      </c>
      <c r="F91" s="13" t="s">
        <v>3183</v>
      </c>
      <c r="G91" s="13" t="s">
        <v>3183</v>
      </c>
      <c r="H91" s="13" t="s">
        <v>3242</v>
      </c>
      <c r="I91" s="13" t="s">
        <v>3203</v>
      </c>
      <c r="J91" s="13" t="s">
        <v>3204</v>
      </c>
      <c r="K91" s="13" t="s">
        <v>3153</v>
      </c>
      <c r="L91" s="13" t="s">
        <v>3169</v>
      </c>
      <c r="M91" s="13" t="s">
        <v>3571</v>
      </c>
      <c r="N91" s="13" t="s">
        <v>3267</v>
      </c>
      <c r="O91" s="13" t="s">
        <v>3948</v>
      </c>
      <c r="P91" s="13">
        <v>2.0</v>
      </c>
      <c r="Q91" s="13" t="s">
        <v>3160</v>
      </c>
      <c r="R91" s="13" t="s">
        <v>3163</v>
      </c>
      <c r="S91" s="13" t="s">
        <v>3948</v>
      </c>
      <c r="T91" s="13" t="s">
        <v>3167</v>
      </c>
      <c r="U91" s="13" t="s">
        <v>3247</v>
      </c>
      <c r="V91" s="13" t="s">
        <v>3247</v>
      </c>
      <c r="W91" s="13" t="s">
        <v>3248</v>
      </c>
      <c r="X91" s="13" t="s">
        <v>3192</v>
      </c>
      <c r="Y91" s="13" t="s">
        <v>3187</v>
      </c>
      <c r="Z91" s="13">
        <v>1.0</v>
      </c>
      <c r="AA91" s="13" t="b">
        <v>1</v>
      </c>
      <c r="AB91" s="48"/>
      <c r="AC91" s="49"/>
    </row>
    <row r="92" ht="14.25" customHeight="1">
      <c r="A92" s="13">
        <v>25276.0</v>
      </c>
      <c r="B92" s="13" t="str">
        <f t="shared" si="2"/>
        <v>Observational</v>
      </c>
      <c r="C92" s="13" t="s">
        <v>4856</v>
      </c>
      <c r="D92" s="50" t="s">
        <v>4853</v>
      </c>
      <c r="E92" s="2" t="s">
        <v>4854</v>
      </c>
      <c r="F92" s="13" t="s">
        <v>3208</v>
      </c>
      <c r="G92" s="13" t="s">
        <v>3265</v>
      </c>
      <c r="H92" s="13" t="s">
        <v>3242</v>
      </c>
      <c r="I92" s="13" t="s">
        <v>3188</v>
      </c>
      <c r="J92" s="13" t="s">
        <v>3207</v>
      </c>
      <c r="K92" s="13" t="s">
        <v>3153</v>
      </c>
      <c r="L92" s="13" t="s">
        <v>3169</v>
      </c>
      <c r="M92" s="13" t="s">
        <v>3571</v>
      </c>
      <c r="N92" s="13" t="s">
        <v>3267</v>
      </c>
      <c r="O92" s="13" t="s">
        <v>33</v>
      </c>
      <c r="P92" s="13">
        <v>2.0</v>
      </c>
      <c r="Q92" s="13" t="s">
        <v>3160</v>
      </c>
      <c r="R92" s="13" t="s">
        <v>3163</v>
      </c>
      <c r="S92" s="13" t="s">
        <v>33</v>
      </c>
      <c r="T92" s="13" t="s">
        <v>3167</v>
      </c>
      <c r="U92" s="13" t="s">
        <v>3247</v>
      </c>
      <c r="V92" s="13" t="s">
        <v>3247</v>
      </c>
      <c r="W92" s="13" t="s">
        <v>4189</v>
      </c>
      <c r="X92" s="13" t="s">
        <v>3192</v>
      </c>
      <c r="Y92" s="13" t="s">
        <v>33</v>
      </c>
      <c r="Z92" s="13" t="s">
        <v>33</v>
      </c>
      <c r="AA92" s="13" t="b">
        <v>1</v>
      </c>
      <c r="AB92" s="48"/>
      <c r="AC92" s="49"/>
    </row>
    <row r="93" ht="14.25" customHeight="1">
      <c r="A93" s="13">
        <v>24411.0</v>
      </c>
      <c r="B93" s="13" t="str">
        <f t="shared" si="2"/>
        <v>Observational</v>
      </c>
      <c r="C93" s="13" t="s">
        <v>4852</v>
      </c>
      <c r="D93" s="50" t="s">
        <v>4853</v>
      </c>
      <c r="E93" s="2" t="s">
        <v>4854</v>
      </c>
      <c r="F93" s="13" t="s">
        <v>3183</v>
      </c>
      <c r="G93" s="13" t="s">
        <v>3159</v>
      </c>
      <c r="H93" s="13" t="s">
        <v>3166</v>
      </c>
      <c r="I93" s="13" t="s">
        <v>3222</v>
      </c>
      <c r="J93" s="13" t="s">
        <v>3182</v>
      </c>
      <c r="K93" s="13" t="s">
        <v>3153</v>
      </c>
      <c r="L93" s="13" t="s">
        <v>3154</v>
      </c>
      <c r="M93" s="13" t="s">
        <v>3571</v>
      </c>
      <c r="N93" s="13" t="s">
        <v>3162</v>
      </c>
      <c r="O93" s="13" t="s">
        <v>3890</v>
      </c>
      <c r="P93" s="13">
        <v>2.0</v>
      </c>
      <c r="Q93" s="13" t="s">
        <v>3177</v>
      </c>
      <c r="R93" s="13" t="s">
        <v>3177</v>
      </c>
      <c r="S93" s="13" t="s">
        <v>33</v>
      </c>
      <c r="T93" s="13" t="s">
        <v>3255</v>
      </c>
      <c r="U93" s="13" t="s">
        <v>3197</v>
      </c>
      <c r="V93" s="13" t="s">
        <v>3197</v>
      </c>
      <c r="W93" s="13" t="s">
        <v>3167</v>
      </c>
      <c r="X93" s="13" t="s">
        <v>3170</v>
      </c>
      <c r="Y93" s="13" t="s">
        <v>3202</v>
      </c>
      <c r="Z93" s="13">
        <v>30.0</v>
      </c>
      <c r="AA93" s="13" t="b">
        <v>1</v>
      </c>
      <c r="AB93" s="48"/>
      <c r="AC93" s="49"/>
    </row>
    <row r="94" ht="14.25" customHeight="1">
      <c r="A94" s="13">
        <v>26089.0</v>
      </c>
      <c r="B94" s="13" t="str">
        <f t="shared" si="2"/>
        <v>Observational</v>
      </c>
      <c r="C94" s="13" t="s">
        <v>4856</v>
      </c>
      <c r="D94" s="13" t="s">
        <v>4962</v>
      </c>
      <c r="E94" s="13" t="s">
        <v>4963</v>
      </c>
      <c r="F94" s="13" t="s">
        <v>3208</v>
      </c>
      <c r="G94" s="13" t="s">
        <v>3205</v>
      </c>
      <c r="H94" s="13" t="s">
        <v>3195</v>
      </c>
      <c r="I94" s="13" t="s">
        <v>3188</v>
      </c>
      <c r="J94" s="13" t="s">
        <v>3432</v>
      </c>
      <c r="K94" s="13" t="s">
        <v>3153</v>
      </c>
      <c r="L94" s="13" t="s">
        <v>3169</v>
      </c>
      <c r="M94" s="13" t="s">
        <v>4444</v>
      </c>
      <c r="N94" s="13" t="s">
        <v>3175</v>
      </c>
      <c r="O94" s="13" t="s">
        <v>33</v>
      </c>
      <c r="P94" s="13">
        <v>4.0</v>
      </c>
      <c r="Q94" s="13" t="s">
        <v>3160</v>
      </c>
      <c r="R94" s="13" t="s">
        <v>3163</v>
      </c>
      <c r="S94" s="13" t="s">
        <v>3449</v>
      </c>
      <c r="T94" s="13" t="s">
        <v>3167</v>
      </c>
      <c r="U94" s="13" t="s">
        <v>3195</v>
      </c>
      <c r="V94" s="13" t="s">
        <v>3195</v>
      </c>
      <c r="W94" s="13" t="s">
        <v>3167</v>
      </c>
      <c r="X94" s="13" t="s">
        <v>3192</v>
      </c>
      <c r="Y94" s="13" t="s">
        <v>3202</v>
      </c>
      <c r="Z94" s="13">
        <v>30.0</v>
      </c>
      <c r="AA94" s="13" t="b">
        <v>1</v>
      </c>
      <c r="AB94" s="48"/>
      <c r="AC94" s="49"/>
    </row>
    <row r="95" ht="14.25" customHeight="1">
      <c r="A95" s="13">
        <v>24713.0</v>
      </c>
      <c r="B95" s="13" t="str">
        <f t="shared" si="2"/>
        <v>Observational</v>
      </c>
      <c r="C95" s="13" t="s">
        <v>4856</v>
      </c>
      <c r="D95" s="13" t="s">
        <v>4964</v>
      </c>
      <c r="E95" s="13" t="s">
        <v>4928</v>
      </c>
      <c r="F95" s="13" t="s">
        <v>3381</v>
      </c>
      <c r="G95" s="13" t="s">
        <v>3338</v>
      </c>
      <c r="H95" s="13" t="s">
        <v>3253</v>
      </c>
      <c r="I95" s="13" t="s">
        <v>3244</v>
      </c>
      <c r="J95" s="13" t="s">
        <v>3278</v>
      </c>
      <c r="K95" s="13" t="s">
        <v>3153</v>
      </c>
      <c r="L95" s="13" t="s">
        <v>3169</v>
      </c>
      <c r="M95" s="13" t="s">
        <v>4005</v>
      </c>
      <c r="N95" s="13" t="s">
        <v>3175</v>
      </c>
      <c r="O95" s="13" t="s">
        <v>3236</v>
      </c>
      <c r="P95" s="13">
        <v>4.0</v>
      </c>
      <c r="Q95" s="13" t="s">
        <v>3177</v>
      </c>
      <c r="R95" s="13" t="s">
        <v>3231</v>
      </c>
      <c r="S95" s="13" t="s">
        <v>33</v>
      </c>
      <c r="T95" s="13" t="s">
        <v>3518</v>
      </c>
      <c r="U95" s="13" t="s">
        <v>3164</v>
      </c>
      <c r="V95" s="13" t="s">
        <v>3252</v>
      </c>
      <c r="W95" s="13" t="s">
        <v>4006</v>
      </c>
      <c r="X95" s="13" t="s">
        <v>3192</v>
      </c>
      <c r="Y95" s="13" t="s">
        <v>3187</v>
      </c>
      <c r="Z95" s="13">
        <v>1.0</v>
      </c>
      <c r="AA95" s="13" t="b">
        <v>1</v>
      </c>
      <c r="AB95" s="48"/>
      <c r="AC95" s="49"/>
    </row>
    <row r="96" ht="14.25" customHeight="1">
      <c r="A96" s="13">
        <v>24945.0</v>
      </c>
      <c r="B96" s="13" t="str">
        <f t="shared" si="2"/>
        <v>Observational</v>
      </c>
      <c r="C96" s="13" t="s">
        <v>4856</v>
      </c>
      <c r="D96" s="13" t="s">
        <v>4964</v>
      </c>
      <c r="E96" s="13" t="s">
        <v>4928</v>
      </c>
      <c r="F96" s="13" t="s">
        <v>3183</v>
      </c>
      <c r="G96" s="13" t="s">
        <v>3210</v>
      </c>
      <c r="H96" s="13" t="s">
        <v>3195</v>
      </c>
      <c r="I96" s="13" t="s">
        <v>3188</v>
      </c>
      <c r="J96" s="13" t="s">
        <v>3286</v>
      </c>
      <c r="K96" s="13" t="s">
        <v>3153</v>
      </c>
      <c r="L96" s="13" t="s">
        <v>3169</v>
      </c>
      <c r="M96" s="13" t="s">
        <v>4005</v>
      </c>
      <c r="N96" s="13" t="s">
        <v>3162</v>
      </c>
      <c r="O96" s="13" t="s">
        <v>3689</v>
      </c>
      <c r="P96" s="13">
        <v>4.0</v>
      </c>
      <c r="Q96" s="13" t="s">
        <v>3160</v>
      </c>
      <c r="R96" s="13" t="s">
        <v>3163</v>
      </c>
      <c r="S96" s="13" t="s">
        <v>33</v>
      </c>
      <c r="T96" s="13" t="s">
        <v>3167</v>
      </c>
      <c r="U96" s="13" t="s">
        <v>3195</v>
      </c>
      <c r="V96" s="13" t="s">
        <v>3195</v>
      </c>
      <c r="W96" s="13" t="s">
        <v>3167</v>
      </c>
      <c r="X96" s="13" t="s">
        <v>3192</v>
      </c>
      <c r="Y96" s="13" t="s">
        <v>3187</v>
      </c>
      <c r="Z96" s="13">
        <v>1.0</v>
      </c>
      <c r="AA96" s="13" t="b">
        <v>1</v>
      </c>
      <c r="AB96" s="48"/>
      <c r="AC96" s="49"/>
    </row>
    <row r="97" ht="14.25" customHeight="1">
      <c r="A97" s="13">
        <v>25645.0</v>
      </c>
      <c r="B97" s="13" t="str">
        <f t="shared" si="2"/>
        <v>Observational</v>
      </c>
      <c r="C97" s="13" t="s">
        <v>4886</v>
      </c>
      <c r="D97" s="50" t="s">
        <v>4915</v>
      </c>
      <c r="E97" s="2" t="s">
        <v>4965</v>
      </c>
      <c r="F97" s="13" t="s">
        <v>3208</v>
      </c>
      <c r="G97" s="13" t="s">
        <v>3379</v>
      </c>
      <c r="H97" s="13" t="s">
        <v>3242</v>
      </c>
      <c r="I97" s="13" t="s">
        <v>3188</v>
      </c>
      <c r="J97" s="13" t="s">
        <v>3194</v>
      </c>
      <c r="K97" s="13" t="s">
        <v>3153</v>
      </c>
      <c r="L97" s="13" t="s">
        <v>3465</v>
      </c>
      <c r="M97" s="13" t="s">
        <v>4265</v>
      </c>
      <c r="N97" s="13" t="s">
        <v>3267</v>
      </c>
      <c r="O97" s="13" t="s">
        <v>3167</v>
      </c>
      <c r="P97" s="13">
        <v>3.0</v>
      </c>
      <c r="Q97" s="13" t="s">
        <v>3160</v>
      </c>
      <c r="R97" s="13" t="s">
        <v>3231</v>
      </c>
      <c r="S97" s="13" t="s">
        <v>33</v>
      </c>
      <c r="T97" s="13" t="s">
        <v>3167</v>
      </c>
      <c r="U97" s="13" t="s">
        <v>3247</v>
      </c>
      <c r="V97" s="13" t="s">
        <v>3247</v>
      </c>
      <c r="W97" s="13" t="s">
        <v>3248</v>
      </c>
      <c r="X97" s="13" t="s">
        <v>3170</v>
      </c>
      <c r="Y97" s="13" t="s">
        <v>3202</v>
      </c>
      <c r="Z97" s="13">
        <v>500.0</v>
      </c>
      <c r="AA97" s="13" t="b">
        <v>1</v>
      </c>
      <c r="AB97" s="48"/>
      <c r="AC97" s="49"/>
    </row>
    <row r="98" ht="14.25" customHeight="1">
      <c r="A98" s="13">
        <v>25559.0</v>
      </c>
      <c r="B98" s="13" t="str">
        <f t="shared" si="2"/>
        <v>Observational</v>
      </c>
      <c r="C98" s="13" t="s">
        <v>4856</v>
      </c>
      <c r="D98" s="50" t="s">
        <v>4966</v>
      </c>
      <c r="E98" s="2" t="s">
        <v>4965</v>
      </c>
      <c r="F98" s="13" t="s">
        <v>3208</v>
      </c>
      <c r="G98" s="13" t="s">
        <v>3210</v>
      </c>
      <c r="H98" s="13" t="s">
        <v>3195</v>
      </c>
      <c r="I98" s="13" t="s">
        <v>3188</v>
      </c>
      <c r="J98" s="13" t="s">
        <v>3483</v>
      </c>
      <c r="K98" s="13" t="s">
        <v>3153</v>
      </c>
      <c r="L98" s="13" t="s">
        <v>3169</v>
      </c>
      <c r="M98" s="13" t="s">
        <v>4265</v>
      </c>
      <c r="N98" s="13" t="s">
        <v>3162</v>
      </c>
      <c r="O98" s="13" t="s">
        <v>33</v>
      </c>
      <c r="P98" s="13">
        <v>3.0</v>
      </c>
      <c r="Q98" s="13" t="s">
        <v>3160</v>
      </c>
      <c r="R98" s="13" t="s">
        <v>3163</v>
      </c>
      <c r="S98" s="13" t="s">
        <v>33</v>
      </c>
      <c r="T98" s="13" t="s">
        <v>3167</v>
      </c>
      <c r="U98" s="13" t="s">
        <v>3195</v>
      </c>
      <c r="V98" s="13" t="s">
        <v>3195</v>
      </c>
      <c r="W98" s="13" t="s">
        <v>3167</v>
      </c>
      <c r="X98" s="13" t="s">
        <v>3192</v>
      </c>
      <c r="Y98" s="13" t="s">
        <v>33</v>
      </c>
      <c r="Z98" s="13" t="s">
        <v>33</v>
      </c>
      <c r="AA98" s="13" t="b">
        <v>1</v>
      </c>
      <c r="AB98" s="48"/>
      <c r="AC98" s="49"/>
    </row>
    <row r="99" ht="14.25" customHeight="1">
      <c r="A99" s="13">
        <v>26063.0</v>
      </c>
      <c r="B99" s="13" t="str">
        <f t="shared" si="2"/>
        <v>Observational</v>
      </c>
      <c r="C99" s="13" t="s">
        <v>4856</v>
      </c>
      <c r="D99" s="50" t="s">
        <v>4915</v>
      </c>
      <c r="E99" s="2" t="s">
        <v>4965</v>
      </c>
      <c r="F99" s="13" t="s">
        <v>3208</v>
      </c>
      <c r="G99" s="13" t="s">
        <v>3208</v>
      </c>
      <c r="H99" s="13" t="s">
        <v>3242</v>
      </c>
      <c r="I99" s="13" t="s">
        <v>3188</v>
      </c>
      <c r="J99" s="13" t="s">
        <v>4428</v>
      </c>
      <c r="K99" s="13" t="s">
        <v>3153</v>
      </c>
      <c r="L99" s="13" t="s">
        <v>3169</v>
      </c>
      <c r="M99" s="13" t="s">
        <v>4265</v>
      </c>
      <c r="N99" s="13" t="s">
        <v>3162</v>
      </c>
      <c r="O99" s="13" t="s">
        <v>33</v>
      </c>
      <c r="P99" s="13">
        <v>3.0</v>
      </c>
      <c r="Q99" s="13" t="s">
        <v>3160</v>
      </c>
      <c r="R99" s="13" t="s">
        <v>3163</v>
      </c>
      <c r="S99" s="13" t="s">
        <v>33</v>
      </c>
      <c r="T99" s="13" t="s">
        <v>3167</v>
      </c>
      <c r="U99" s="13" t="s">
        <v>3247</v>
      </c>
      <c r="V99" s="13" t="s">
        <v>3247</v>
      </c>
      <c r="W99" s="13" t="s">
        <v>3572</v>
      </c>
      <c r="X99" s="13" t="s">
        <v>3211</v>
      </c>
      <c r="Y99" s="13" t="s">
        <v>3202</v>
      </c>
      <c r="Z99" s="13">
        <v>30.0</v>
      </c>
      <c r="AA99" s="13" t="b">
        <v>1</v>
      </c>
      <c r="AB99" s="48"/>
      <c r="AC99" s="49"/>
    </row>
    <row r="100" ht="14.25" customHeight="1">
      <c r="A100" s="13">
        <v>25411.0</v>
      </c>
      <c r="B100" s="13" t="str">
        <f t="shared" si="2"/>
        <v>Observational</v>
      </c>
      <c r="C100" s="13" t="s">
        <v>4856</v>
      </c>
      <c r="D100" s="13" t="s">
        <v>4967</v>
      </c>
      <c r="E100" s="13" t="s">
        <v>4968</v>
      </c>
      <c r="F100" s="13" t="s">
        <v>3186</v>
      </c>
      <c r="G100" s="13" t="s">
        <v>3335</v>
      </c>
      <c r="H100" s="13" t="s">
        <v>3195</v>
      </c>
      <c r="I100" s="13" t="s">
        <v>3171</v>
      </c>
      <c r="J100" s="13" t="s">
        <v>3454</v>
      </c>
      <c r="K100" s="13" t="s">
        <v>3153</v>
      </c>
      <c r="L100" s="13" t="s">
        <v>3169</v>
      </c>
      <c r="M100" s="13" t="s">
        <v>4231</v>
      </c>
      <c r="N100" s="13" t="s">
        <v>3175</v>
      </c>
      <c r="O100" s="13" t="s">
        <v>3167</v>
      </c>
      <c r="P100" s="13">
        <v>4.0</v>
      </c>
      <c r="Q100" s="13" t="s">
        <v>3160</v>
      </c>
      <c r="R100" s="13" t="s">
        <v>3231</v>
      </c>
      <c r="S100" s="13" t="s">
        <v>4232</v>
      </c>
      <c r="T100" s="13" t="s">
        <v>3167</v>
      </c>
      <c r="U100" s="13" t="s">
        <v>3195</v>
      </c>
      <c r="V100" s="13" t="s">
        <v>3195</v>
      </c>
      <c r="W100" s="13" t="s">
        <v>3167</v>
      </c>
      <c r="X100" s="13" t="s">
        <v>3155</v>
      </c>
      <c r="Y100" s="13" t="s">
        <v>3156</v>
      </c>
      <c r="Z100" s="13" t="s">
        <v>3311</v>
      </c>
      <c r="AA100" s="13" t="b">
        <v>1</v>
      </c>
      <c r="AB100" s="48"/>
      <c r="AC100" s="49"/>
    </row>
    <row r="101" ht="14.25" customHeight="1">
      <c r="A101" s="13">
        <v>25908.0</v>
      </c>
      <c r="B101" s="13" t="str">
        <f t="shared" si="2"/>
        <v>Observational</v>
      </c>
      <c r="C101" s="13" t="s">
        <v>4856</v>
      </c>
      <c r="D101" s="13" t="s">
        <v>4969</v>
      </c>
      <c r="E101" s="13" t="s">
        <v>4932</v>
      </c>
      <c r="F101" s="13" t="s">
        <v>3183</v>
      </c>
      <c r="G101" s="13" t="s">
        <v>3183</v>
      </c>
      <c r="H101" s="13" t="s">
        <v>3166</v>
      </c>
      <c r="I101" s="13" t="s">
        <v>4385</v>
      </c>
      <c r="J101" s="13" t="s">
        <v>3167</v>
      </c>
      <c r="K101" s="13" t="s">
        <v>3153</v>
      </c>
      <c r="L101" s="13" t="s">
        <v>3169</v>
      </c>
      <c r="M101" s="13" t="s">
        <v>4386</v>
      </c>
      <c r="N101" s="13" t="s">
        <v>3162</v>
      </c>
      <c r="O101" s="13" t="s">
        <v>4387</v>
      </c>
      <c r="P101" s="13">
        <v>2.0</v>
      </c>
      <c r="Q101" s="13" t="s">
        <v>3160</v>
      </c>
      <c r="R101" s="13" t="s">
        <v>3163</v>
      </c>
      <c r="S101" s="13" t="s">
        <v>3864</v>
      </c>
      <c r="T101" s="13" t="s">
        <v>3224</v>
      </c>
      <c r="U101" s="13" t="s">
        <v>3165</v>
      </c>
      <c r="V101" s="13" t="s">
        <v>3165</v>
      </c>
      <c r="W101" s="13" t="s">
        <v>3167</v>
      </c>
      <c r="X101" s="13" t="s">
        <v>3284</v>
      </c>
      <c r="Y101" s="13" t="s">
        <v>3180</v>
      </c>
      <c r="Z101" s="13">
        <v>0.5</v>
      </c>
      <c r="AA101" s="13" t="b">
        <v>1</v>
      </c>
      <c r="AB101" s="48"/>
      <c r="AC101" s="49"/>
    </row>
    <row r="102" ht="14.25" customHeight="1">
      <c r="A102" s="13">
        <v>23303.0</v>
      </c>
      <c r="B102" s="13" t="str">
        <f t="shared" si="2"/>
        <v>Observational</v>
      </c>
      <c r="C102" s="13" t="s">
        <v>4852</v>
      </c>
      <c r="D102" s="50" t="s">
        <v>4970</v>
      </c>
      <c r="E102" s="2" t="s">
        <v>4971</v>
      </c>
      <c r="F102" s="13" t="s">
        <v>3381</v>
      </c>
      <c r="G102" s="13" t="s">
        <v>3186</v>
      </c>
      <c r="H102" s="13" t="s">
        <v>3166</v>
      </c>
      <c r="I102" s="13" t="s">
        <v>3188</v>
      </c>
      <c r="J102" s="13" t="s">
        <v>3207</v>
      </c>
      <c r="K102" s="13" t="s">
        <v>3153</v>
      </c>
      <c r="L102" s="13" t="s">
        <v>3154</v>
      </c>
      <c r="M102" s="13" t="s">
        <v>3382</v>
      </c>
      <c r="N102" s="13" t="s">
        <v>3175</v>
      </c>
      <c r="O102" s="13" t="s">
        <v>3383</v>
      </c>
      <c r="P102" s="13">
        <v>3.0</v>
      </c>
      <c r="Q102" s="13" t="s">
        <v>3177</v>
      </c>
      <c r="R102" s="13" t="s">
        <v>3177</v>
      </c>
      <c r="S102" s="13" t="s">
        <v>3384</v>
      </c>
      <c r="T102" s="13" t="s">
        <v>3255</v>
      </c>
      <c r="U102" s="13" t="s">
        <v>3197</v>
      </c>
      <c r="V102" s="13" t="s">
        <v>3197</v>
      </c>
      <c r="W102" s="13" t="s">
        <v>3167</v>
      </c>
      <c r="X102" s="13" t="s">
        <v>3155</v>
      </c>
      <c r="Y102" s="13" t="s">
        <v>33</v>
      </c>
      <c r="Z102" s="13" t="s">
        <v>33</v>
      </c>
      <c r="AA102" s="13" t="b">
        <v>1</v>
      </c>
      <c r="AB102" s="48"/>
      <c r="AC102" s="49"/>
    </row>
    <row r="103" ht="14.25" customHeight="1">
      <c r="A103" s="13">
        <v>23163.0</v>
      </c>
      <c r="B103" s="13" t="str">
        <f t="shared" si="2"/>
        <v>Observational</v>
      </c>
      <c r="C103" s="13" t="s">
        <v>4864</v>
      </c>
      <c r="D103" s="1" t="s">
        <v>4972</v>
      </c>
      <c r="E103" s="13" t="s">
        <v>4973</v>
      </c>
      <c r="F103" s="13" t="s">
        <v>3208</v>
      </c>
      <c r="G103" s="13" t="s">
        <v>3208</v>
      </c>
      <c r="H103" s="13" t="s">
        <v>3166</v>
      </c>
      <c r="I103" s="13" t="s">
        <v>3167</v>
      </c>
      <c r="J103" s="13" t="s">
        <v>3167</v>
      </c>
      <c r="K103" s="13" t="s">
        <v>3153</v>
      </c>
      <c r="L103" s="13" t="s">
        <v>3179</v>
      </c>
      <c r="M103" s="13" t="s">
        <v>3312</v>
      </c>
      <c r="N103" s="13" t="s">
        <v>3175</v>
      </c>
      <c r="O103" s="13" t="s">
        <v>3313</v>
      </c>
      <c r="P103" s="13">
        <v>3.0</v>
      </c>
      <c r="Q103" s="13" t="s">
        <v>3177</v>
      </c>
      <c r="R103" s="13" t="s">
        <v>3231</v>
      </c>
      <c r="S103" s="13" t="s">
        <v>33</v>
      </c>
      <c r="T103" s="13" t="s">
        <v>3168</v>
      </c>
      <c r="U103" s="13" t="s">
        <v>3165</v>
      </c>
      <c r="V103" s="13" t="s">
        <v>3165</v>
      </c>
      <c r="W103" s="13" t="s">
        <v>3167</v>
      </c>
      <c r="X103" s="13" t="s">
        <v>3217</v>
      </c>
      <c r="Y103" s="13" t="s">
        <v>3311</v>
      </c>
      <c r="Z103" s="13" t="s">
        <v>3311</v>
      </c>
      <c r="AA103" s="13" t="b">
        <v>0</v>
      </c>
      <c r="AB103" s="48"/>
      <c r="AC103" s="49"/>
    </row>
    <row r="104" ht="14.25" customHeight="1">
      <c r="A104" s="13">
        <v>24694.0</v>
      </c>
      <c r="B104" s="13" t="str">
        <f t="shared" si="2"/>
        <v>Observational</v>
      </c>
      <c r="C104" s="13" t="s">
        <v>4864</v>
      </c>
      <c r="D104" s="13" t="s">
        <v>4974</v>
      </c>
      <c r="E104" s="13" t="s">
        <v>4975</v>
      </c>
      <c r="F104" s="13" t="s">
        <v>3265</v>
      </c>
      <c r="G104" s="13" t="s">
        <v>3998</v>
      </c>
      <c r="H104" s="13" t="s">
        <v>3242</v>
      </c>
      <c r="I104" s="13" t="s">
        <v>3249</v>
      </c>
      <c r="J104" s="13" t="s">
        <v>3996</v>
      </c>
      <c r="K104" s="13" t="s">
        <v>3153</v>
      </c>
      <c r="L104" s="13" t="s">
        <v>3179</v>
      </c>
      <c r="M104" s="13" t="s">
        <v>3997</v>
      </c>
      <c r="N104" s="13" t="s">
        <v>3162</v>
      </c>
      <c r="O104" s="13" t="s">
        <v>33</v>
      </c>
      <c r="P104" s="13">
        <v>3.0</v>
      </c>
      <c r="Q104" s="13" t="s">
        <v>3177</v>
      </c>
      <c r="R104" s="13" t="s">
        <v>3177</v>
      </c>
      <c r="S104" s="13" t="s">
        <v>3999</v>
      </c>
      <c r="T104" s="13" t="s">
        <v>3167</v>
      </c>
      <c r="U104" s="13" t="s">
        <v>3247</v>
      </c>
      <c r="V104" s="13" t="s">
        <v>3247</v>
      </c>
      <c r="W104" s="13" t="s">
        <v>3634</v>
      </c>
      <c r="X104" s="13" t="s">
        <v>3211</v>
      </c>
      <c r="Y104" s="13" t="s">
        <v>3187</v>
      </c>
      <c r="Z104" s="13">
        <v>1.0</v>
      </c>
      <c r="AA104" s="13" t="b">
        <v>1</v>
      </c>
      <c r="AB104" s="48"/>
      <c r="AC104" s="49"/>
    </row>
    <row r="105" ht="14.25" customHeight="1">
      <c r="A105" s="13">
        <v>24518.0</v>
      </c>
      <c r="B105" s="13" t="str">
        <f t="shared" si="2"/>
        <v>Observational</v>
      </c>
      <c r="C105" s="13" t="s">
        <v>4852</v>
      </c>
      <c r="D105" s="13" t="s">
        <v>4976</v>
      </c>
      <c r="E105" s="13" t="s">
        <v>4977</v>
      </c>
      <c r="F105" s="13" t="s">
        <v>3186</v>
      </c>
      <c r="G105" s="13" t="s">
        <v>3186</v>
      </c>
      <c r="H105" s="13" t="s">
        <v>3166</v>
      </c>
      <c r="I105" s="13" t="s">
        <v>3244</v>
      </c>
      <c r="J105" s="13" t="s">
        <v>3345</v>
      </c>
      <c r="K105" s="13" t="s">
        <v>3153</v>
      </c>
      <c r="L105" s="13" t="s">
        <v>3154</v>
      </c>
      <c r="M105" s="13" t="s">
        <v>3946</v>
      </c>
      <c r="N105" s="13" t="s">
        <v>3175</v>
      </c>
      <c r="O105" s="13" t="s">
        <v>33</v>
      </c>
      <c r="P105" s="13">
        <v>8.0</v>
      </c>
      <c r="Q105" s="13" t="s">
        <v>3177</v>
      </c>
      <c r="R105" s="13" t="s">
        <v>3177</v>
      </c>
      <c r="S105" s="13" t="s">
        <v>33</v>
      </c>
      <c r="T105" s="13" t="s">
        <v>3168</v>
      </c>
      <c r="U105" s="13" t="s">
        <v>3197</v>
      </c>
      <c r="V105" s="13" t="s">
        <v>3247</v>
      </c>
      <c r="W105" s="13" t="s">
        <v>3167</v>
      </c>
      <c r="X105" s="13" t="s">
        <v>3192</v>
      </c>
      <c r="Y105" s="13" t="s">
        <v>3187</v>
      </c>
      <c r="Z105" s="13">
        <v>0.25</v>
      </c>
      <c r="AA105" s="13" t="b">
        <v>1</v>
      </c>
      <c r="AB105" s="48"/>
      <c r="AC105" s="49"/>
    </row>
    <row r="106" ht="14.25" customHeight="1">
      <c r="A106" s="13">
        <v>25622.0</v>
      </c>
      <c r="B106" s="13" t="str">
        <f t="shared" si="2"/>
        <v>Observational</v>
      </c>
      <c r="C106" s="13" t="s">
        <v>4856</v>
      </c>
      <c r="D106" s="13" t="s">
        <v>4978</v>
      </c>
      <c r="E106" s="13" t="s">
        <v>4979</v>
      </c>
      <c r="F106" s="13" t="s">
        <v>3186</v>
      </c>
      <c r="G106" s="13" t="s">
        <v>3201</v>
      </c>
      <c r="H106" s="13" t="s">
        <v>3166</v>
      </c>
      <c r="I106" s="13" t="s">
        <v>3222</v>
      </c>
      <c r="J106" s="13" t="s">
        <v>3182</v>
      </c>
      <c r="K106" s="13" t="s">
        <v>3153</v>
      </c>
      <c r="L106" s="13" t="s">
        <v>3169</v>
      </c>
      <c r="M106" s="13" t="s">
        <v>4281</v>
      </c>
      <c r="N106" s="13" t="s">
        <v>3175</v>
      </c>
      <c r="O106" s="13" t="s">
        <v>33</v>
      </c>
      <c r="P106" s="13">
        <v>4.0</v>
      </c>
      <c r="Q106" s="13" t="s">
        <v>3177</v>
      </c>
      <c r="R106" s="13" t="s">
        <v>3177</v>
      </c>
      <c r="S106" s="13" t="s">
        <v>33</v>
      </c>
      <c r="T106" s="13" t="s">
        <v>3224</v>
      </c>
      <c r="U106" s="13" t="s">
        <v>3164</v>
      </c>
      <c r="V106" s="13" t="s">
        <v>3164</v>
      </c>
      <c r="W106" s="13" t="s">
        <v>3167</v>
      </c>
      <c r="X106" s="13" t="s">
        <v>3170</v>
      </c>
      <c r="Y106" s="13" t="s">
        <v>3202</v>
      </c>
      <c r="Z106" s="13">
        <v>30.0</v>
      </c>
      <c r="AA106" s="13" t="b">
        <v>1</v>
      </c>
      <c r="AB106" s="48"/>
      <c r="AC106" s="49"/>
    </row>
    <row r="107" ht="14.25" customHeight="1">
      <c r="A107" s="13">
        <v>23602.0</v>
      </c>
      <c r="B107" s="13" t="str">
        <f t="shared" si="2"/>
        <v>Observational</v>
      </c>
      <c r="C107" s="13" t="s">
        <v>4856</v>
      </c>
      <c r="D107" s="1" t="s">
        <v>4915</v>
      </c>
      <c r="E107" s="2" t="s">
        <v>4980</v>
      </c>
      <c r="F107" s="13" t="s">
        <v>3186</v>
      </c>
      <c r="G107" s="13" t="s">
        <v>3335</v>
      </c>
      <c r="H107" s="13" t="s">
        <v>3195</v>
      </c>
      <c r="I107" s="13" t="s">
        <v>3244</v>
      </c>
      <c r="J107" s="13" t="s">
        <v>3245</v>
      </c>
      <c r="K107" s="13" t="s">
        <v>3153</v>
      </c>
      <c r="L107" s="13" t="s">
        <v>3169</v>
      </c>
      <c r="M107" s="13" t="s">
        <v>3349</v>
      </c>
      <c r="N107" s="13" t="s">
        <v>3175</v>
      </c>
      <c r="O107" s="13" t="s">
        <v>33</v>
      </c>
      <c r="P107" s="13">
        <v>2.0</v>
      </c>
      <c r="Q107" s="13" t="s">
        <v>3177</v>
      </c>
      <c r="R107" s="13" t="s">
        <v>3163</v>
      </c>
      <c r="S107" s="13" t="s">
        <v>3323</v>
      </c>
      <c r="T107" s="13" t="s">
        <v>3167</v>
      </c>
      <c r="U107" s="13" t="s">
        <v>3195</v>
      </c>
      <c r="V107" s="13" t="s">
        <v>3195</v>
      </c>
      <c r="W107" s="13" t="s">
        <v>3167</v>
      </c>
      <c r="X107" s="13" t="s">
        <v>3155</v>
      </c>
      <c r="Y107" s="13" t="s">
        <v>3202</v>
      </c>
      <c r="Z107" s="13">
        <v>300.0</v>
      </c>
      <c r="AA107" s="13" t="b">
        <v>0</v>
      </c>
      <c r="AB107" s="48"/>
      <c r="AC107" s="49"/>
    </row>
    <row r="108" ht="14.25" customHeight="1">
      <c r="A108" s="13">
        <v>23247.0</v>
      </c>
      <c r="B108" s="13" t="str">
        <f t="shared" si="2"/>
        <v>Observational</v>
      </c>
      <c r="C108" s="13" t="s">
        <v>4856</v>
      </c>
      <c r="D108" s="1" t="s">
        <v>4915</v>
      </c>
      <c r="E108" s="2" t="s">
        <v>4980</v>
      </c>
      <c r="F108" s="13" t="s">
        <v>3208</v>
      </c>
      <c r="G108" s="13" t="s">
        <v>3159</v>
      </c>
      <c r="H108" s="13" t="s">
        <v>3166</v>
      </c>
      <c r="I108" s="13" t="s">
        <v>3157</v>
      </c>
      <c r="J108" s="13" t="s">
        <v>3348</v>
      </c>
      <c r="K108" s="13" t="s">
        <v>3153</v>
      </c>
      <c r="L108" s="13" t="s">
        <v>3169</v>
      </c>
      <c r="M108" s="13" t="s">
        <v>3349</v>
      </c>
      <c r="N108" s="13" t="s">
        <v>3162</v>
      </c>
      <c r="O108" s="13" t="s">
        <v>33</v>
      </c>
      <c r="P108" s="13">
        <v>2.0</v>
      </c>
      <c r="Q108" s="13" t="s">
        <v>3160</v>
      </c>
      <c r="R108" s="13" t="s">
        <v>3163</v>
      </c>
      <c r="S108" s="13" t="s">
        <v>33</v>
      </c>
      <c r="T108" s="13" t="s">
        <v>3178</v>
      </c>
      <c r="U108" s="13" t="s">
        <v>3164</v>
      </c>
      <c r="V108" s="13" t="s">
        <v>3164</v>
      </c>
      <c r="W108" s="13" t="s">
        <v>3167</v>
      </c>
      <c r="X108" s="13" t="s">
        <v>3170</v>
      </c>
      <c r="Y108" s="13" t="s">
        <v>3202</v>
      </c>
      <c r="Z108" s="13">
        <v>0.5</v>
      </c>
      <c r="AA108" s="13" t="b">
        <v>0</v>
      </c>
      <c r="AB108" s="48"/>
      <c r="AC108" s="49"/>
    </row>
    <row r="109" ht="14.25" customHeight="1">
      <c r="A109" s="13" t="s">
        <v>2888</v>
      </c>
      <c r="B109" s="13" t="str">
        <f t="shared" si="2"/>
        <v>Observational</v>
      </c>
      <c r="C109" s="13" t="s">
        <v>4856</v>
      </c>
      <c r="D109" s="1" t="s">
        <v>4915</v>
      </c>
      <c r="E109" s="2" t="s">
        <v>4980</v>
      </c>
      <c r="F109" s="13" t="s">
        <v>3159</v>
      </c>
      <c r="G109" s="13" t="s">
        <v>3159</v>
      </c>
      <c r="H109" s="13" t="s">
        <v>3166</v>
      </c>
      <c r="I109" s="13" t="s">
        <v>3188</v>
      </c>
      <c r="J109" s="13" t="s">
        <v>3464</v>
      </c>
      <c r="K109" s="13" t="s">
        <v>3153</v>
      </c>
      <c r="L109" s="13" t="s">
        <v>3169</v>
      </c>
      <c r="M109" s="13" t="s">
        <v>3349</v>
      </c>
      <c r="N109" s="13" t="s">
        <v>3162</v>
      </c>
      <c r="O109" s="13" t="s">
        <v>33</v>
      </c>
      <c r="P109" s="13">
        <v>2.0</v>
      </c>
      <c r="Q109" s="13" t="s">
        <v>3160</v>
      </c>
      <c r="R109" s="13" t="s">
        <v>3177</v>
      </c>
      <c r="S109" s="13" t="s">
        <v>33</v>
      </c>
      <c r="T109" s="13" t="s">
        <v>3178</v>
      </c>
      <c r="U109" s="13" t="s">
        <v>3164</v>
      </c>
      <c r="V109" s="13" t="s">
        <v>3164</v>
      </c>
      <c r="W109" s="13" t="s">
        <v>3167</v>
      </c>
      <c r="X109" s="13" t="s">
        <v>3211</v>
      </c>
      <c r="Y109" s="13" t="s">
        <v>3187</v>
      </c>
      <c r="Z109" s="13">
        <v>15.0</v>
      </c>
      <c r="AA109" s="13" t="b">
        <v>0</v>
      </c>
      <c r="AB109" s="48"/>
      <c r="AC109" s="49"/>
    </row>
    <row r="110" ht="14.25" customHeight="1">
      <c r="A110" s="13">
        <v>23663.0</v>
      </c>
      <c r="B110" s="13" t="str">
        <f t="shared" si="2"/>
        <v>Observational</v>
      </c>
      <c r="C110" s="13" t="s">
        <v>4852</v>
      </c>
      <c r="D110" s="1" t="s">
        <v>4915</v>
      </c>
      <c r="E110" s="2" t="s">
        <v>4980</v>
      </c>
      <c r="F110" s="13" t="s">
        <v>3183</v>
      </c>
      <c r="G110" s="13" t="s">
        <v>3208</v>
      </c>
      <c r="H110" s="13" t="s">
        <v>3242</v>
      </c>
      <c r="I110" s="13" t="s">
        <v>3188</v>
      </c>
      <c r="J110" s="13" t="s">
        <v>3207</v>
      </c>
      <c r="K110" s="13" t="s">
        <v>3153</v>
      </c>
      <c r="L110" s="13" t="s">
        <v>3154</v>
      </c>
      <c r="M110" s="13" t="s">
        <v>3349</v>
      </c>
      <c r="N110" s="13" t="s">
        <v>3162</v>
      </c>
      <c r="O110" s="13" t="s">
        <v>3562</v>
      </c>
      <c r="P110" s="13">
        <v>2.0</v>
      </c>
      <c r="Q110" s="13" t="s">
        <v>3177</v>
      </c>
      <c r="R110" s="13" t="s">
        <v>3163</v>
      </c>
      <c r="S110" s="13" t="s">
        <v>33</v>
      </c>
      <c r="T110" s="13" t="s">
        <v>3167</v>
      </c>
      <c r="U110" s="13" t="s">
        <v>3247</v>
      </c>
      <c r="V110" s="13" t="s">
        <v>3247</v>
      </c>
      <c r="W110" s="13" t="s">
        <v>3356</v>
      </c>
      <c r="X110" s="13" t="s">
        <v>3170</v>
      </c>
      <c r="Y110" s="13" t="s">
        <v>33</v>
      </c>
      <c r="Z110" s="13" t="s">
        <v>33</v>
      </c>
      <c r="AA110" s="13" t="b">
        <v>0</v>
      </c>
      <c r="AB110" s="48"/>
      <c r="AC110" s="49"/>
    </row>
    <row r="111" ht="14.25" customHeight="1">
      <c r="A111" s="13">
        <v>23788.0</v>
      </c>
      <c r="B111" s="13" t="str">
        <f t="shared" si="2"/>
        <v>Observational</v>
      </c>
      <c r="C111" s="13" t="s">
        <v>4856</v>
      </c>
      <c r="D111" s="1" t="s">
        <v>4915</v>
      </c>
      <c r="E111" s="2" t="s">
        <v>4980</v>
      </c>
      <c r="F111" s="13" t="s">
        <v>3208</v>
      </c>
      <c r="G111" s="13" t="s">
        <v>3273</v>
      </c>
      <c r="H111" s="13" t="s">
        <v>3242</v>
      </c>
      <c r="I111" s="13" t="s">
        <v>3188</v>
      </c>
      <c r="J111" s="13" t="s">
        <v>3207</v>
      </c>
      <c r="K111" s="13" t="s">
        <v>3153</v>
      </c>
      <c r="L111" s="13" t="s">
        <v>3169</v>
      </c>
      <c r="M111" s="13" t="s">
        <v>3349</v>
      </c>
      <c r="N111" s="13" t="s">
        <v>3162</v>
      </c>
      <c r="O111" s="13" t="s">
        <v>3167</v>
      </c>
      <c r="P111" s="13">
        <v>2.0</v>
      </c>
      <c r="Q111" s="13" t="s">
        <v>3160</v>
      </c>
      <c r="R111" s="13" t="s">
        <v>3231</v>
      </c>
      <c r="S111" s="13" t="s">
        <v>33</v>
      </c>
      <c r="T111" s="13" t="s">
        <v>3167</v>
      </c>
      <c r="U111" s="13" t="s">
        <v>3247</v>
      </c>
      <c r="V111" s="13" t="s">
        <v>3247</v>
      </c>
      <c r="W111" s="13" t="s">
        <v>3248</v>
      </c>
      <c r="X111" s="13" t="s">
        <v>3170</v>
      </c>
      <c r="Y111" s="13" t="s">
        <v>3156</v>
      </c>
      <c r="Z111" s="13" t="s">
        <v>3202</v>
      </c>
      <c r="AA111" s="13" t="b">
        <v>0</v>
      </c>
      <c r="AB111" s="48"/>
      <c r="AC111" s="49"/>
    </row>
    <row r="112" ht="14.25" customHeight="1">
      <c r="A112" s="13">
        <v>24167.0</v>
      </c>
      <c r="B112" s="13" t="str">
        <f t="shared" si="2"/>
        <v>Observational</v>
      </c>
      <c r="C112" s="13" t="s">
        <v>4855</v>
      </c>
      <c r="D112" s="1" t="s">
        <v>4915</v>
      </c>
      <c r="E112" s="2" t="s">
        <v>4980</v>
      </c>
      <c r="F112" s="13" t="s">
        <v>3282</v>
      </c>
      <c r="G112" s="13" t="s">
        <v>3208</v>
      </c>
      <c r="H112" s="13" t="s">
        <v>3242</v>
      </c>
      <c r="I112" s="13" t="s">
        <v>3244</v>
      </c>
      <c r="J112" s="13" t="s">
        <v>3289</v>
      </c>
      <c r="K112" s="13" t="s">
        <v>3153</v>
      </c>
      <c r="L112" s="13" t="s">
        <v>3395</v>
      </c>
      <c r="M112" s="13" t="s">
        <v>3349</v>
      </c>
      <c r="N112" s="13" t="s">
        <v>3162</v>
      </c>
      <c r="O112" s="13" t="s">
        <v>3781</v>
      </c>
      <c r="P112" s="13">
        <v>2.0</v>
      </c>
      <c r="Q112" s="13" t="s">
        <v>3160</v>
      </c>
      <c r="R112" s="13" t="s">
        <v>3163</v>
      </c>
      <c r="S112" s="13" t="s">
        <v>33</v>
      </c>
      <c r="T112" s="13" t="s">
        <v>3167</v>
      </c>
      <c r="U112" s="13" t="s">
        <v>3197</v>
      </c>
      <c r="V112" s="13" t="s">
        <v>3197</v>
      </c>
      <c r="W112" s="13" t="s">
        <v>3481</v>
      </c>
      <c r="X112" s="13" t="s">
        <v>3192</v>
      </c>
      <c r="Y112" s="13" t="s">
        <v>3202</v>
      </c>
      <c r="Z112" s="13">
        <v>5.0</v>
      </c>
      <c r="AA112" s="13" t="b">
        <v>0</v>
      </c>
      <c r="AB112" s="47"/>
      <c r="AC112" s="49"/>
    </row>
    <row r="113" ht="14.25" customHeight="1">
      <c r="A113" s="13">
        <v>25531.0</v>
      </c>
      <c r="B113" s="13" t="str">
        <f t="shared" si="2"/>
        <v>Observational</v>
      </c>
      <c r="C113" s="13" t="s">
        <v>4856</v>
      </c>
      <c r="D113" s="1" t="s">
        <v>4915</v>
      </c>
      <c r="E113" s="2" t="s">
        <v>4980</v>
      </c>
      <c r="F113" s="13" t="s">
        <v>3208</v>
      </c>
      <c r="G113" s="13" t="s">
        <v>3273</v>
      </c>
      <c r="H113" s="13" t="s">
        <v>3242</v>
      </c>
      <c r="I113" s="13" t="s">
        <v>3188</v>
      </c>
      <c r="J113" s="13" t="s">
        <v>3207</v>
      </c>
      <c r="K113" s="13" t="s">
        <v>3153</v>
      </c>
      <c r="L113" s="13" t="s">
        <v>3169</v>
      </c>
      <c r="M113" s="13" t="s">
        <v>3349</v>
      </c>
      <c r="N113" s="13" t="s">
        <v>3162</v>
      </c>
      <c r="O113" s="13" t="s">
        <v>33</v>
      </c>
      <c r="P113" s="13">
        <v>2.0</v>
      </c>
      <c r="Q113" s="13" t="s">
        <v>3160</v>
      </c>
      <c r="R113" s="13" t="s">
        <v>3163</v>
      </c>
      <c r="S113" s="13" t="s">
        <v>33</v>
      </c>
      <c r="T113" s="13" t="s">
        <v>3167</v>
      </c>
      <c r="U113" s="13" t="s">
        <v>3247</v>
      </c>
      <c r="V113" s="13" t="s">
        <v>3247</v>
      </c>
      <c r="W113" s="13" t="s">
        <v>3496</v>
      </c>
      <c r="X113" s="13" t="s">
        <v>3170</v>
      </c>
      <c r="Y113" s="13" t="s">
        <v>33</v>
      </c>
      <c r="Z113" s="13" t="s">
        <v>33</v>
      </c>
      <c r="AA113" s="13" t="b">
        <v>0</v>
      </c>
      <c r="AB113" s="48"/>
      <c r="AC113" s="49"/>
    </row>
    <row r="114" ht="14.25" customHeight="1">
      <c r="A114" s="13">
        <v>26102.0</v>
      </c>
      <c r="B114" s="13" t="str">
        <f t="shared" si="2"/>
        <v>Observational</v>
      </c>
      <c r="C114" s="13" t="s">
        <v>4856</v>
      </c>
      <c r="D114" s="1" t="s">
        <v>4915</v>
      </c>
      <c r="E114" s="2" t="s">
        <v>4980</v>
      </c>
      <c r="F114" s="13" t="s">
        <v>3208</v>
      </c>
      <c r="G114" s="13" t="s">
        <v>3159</v>
      </c>
      <c r="H114" s="13" t="s">
        <v>3166</v>
      </c>
      <c r="I114" s="13" t="s">
        <v>3188</v>
      </c>
      <c r="J114" s="13" t="s">
        <v>3207</v>
      </c>
      <c r="K114" s="13" t="s">
        <v>3153</v>
      </c>
      <c r="L114" s="13" t="s">
        <v>3169</v>
      </c>
      <c r="M114" s="13" t="s">
        <v>3349</v>
      </c>
      <c r="N114" s="13" t="s">
        <v>3162</v>
      </c>
      <c r="O114" s="13" t="s">
        <v>33</v>
      </c>
      <c r="P114" s="13">
        <v>2.0</v>
      </c>
      <c r="Q114" s="13" t="s">
        <v>3160</v>
      </c>
      <c r="R114" s="13" t="s">
        <v>3163</v>
      </c>
      <c r="S114" s="13" t="s">
        <v>33</v>
      </c>
      <c r="T114" s="13" t="s">
        <v>3178</v>
      </c>
      <c r="U114" s="13" t="s">
        <v>3164</v>
      </c>
      <c r="V114" s="13" t="s">
        <v>3164</v>
      </c>
      <c r="W114" s="13" t="s">
        <v>3167</v>
      </c>
      <c r="X114" s="13" t="s">
        <v>3192</v>
      </c>
      <c r="Y114" s="13" t="s">
        <v>3187</v>
      </c>
      <c r="Z114" s="13">
        <v>100.0</v>
      </c>
      <c r="AA114" s="13" t="b">
        <v>0</v>
      </c>
      <c r="AB114" s="48"/>
      <c r="AC114" s="49"/>
    </row>
    <row r="115" ht="14.25" customHeight="1">
      <c r="A115" s="13">
        <v>24257.0</v>
      </c>
      <c r="B115" s="13" t="str">
        <f t="shared" si="2"/>
        <v>Observational</v>
      </c>
      <c r="C115" s="13" t="s">
        <v>4856</v>
      </c>
      <c r="D115" s="1" t="s">
        <v>4981</v>
      </c>
      <c r="E115" s="13" t="s">
        <v>4982</v>
      </c>
      <c r="F115" s="13" t="s">
        <v>3159</v>
      </c>
      <c r="G115" s="13" t="s">
        <v>3437</v>
      </c>
      <c r="H115" s="13" t="s">
        <v>3166</v>
      </c>
      <c r="I115" s="13" t="s">
        <v>3188</v>
      </c>
      <c r="J115" s="13" t="s">
        <v>3432</v>
      </c>
      <c r="K115" s="13" t="s">
        <v>3153</v>
      </c>
      <c r="L115" s="13" t="s">
        <v>3169</v>
      </c>
      <c r="M115" s="13" t="s">
        <v>3818</v>
      </c>
      <c r="N115" s="13" t="s">
        <v>3162</v>
      </c>
      <c r="O115" s="13" t="s">
        <v>33</v>
      </c>
      <c r="P115" s="13">
        <v>3.0</v>
      </c>
      <c r="Q115" s="13" t="s">
        <v>3160</v>
      </c>
      <c r="R115" s="13" t="s">
        <v>3163</v>
      </c>
      <c r="S115" s="13" t="s">
        <v>33</v>
      </c>
      <c r="T115" s="13" t="s">
        <v>3178</v>
      </c>
      <c r="U115" s="13" t="s">
        <v>3164</v>
      </c>
      <c r="V115" s="13" t="s">
        <v>3164</v>
      </c>
      <c r="W115" s="13" t="s">
        <v>3167</v>
      </c>
      <c r="X115" s="13" t="s">
        <v>3170</v>
      </c>
      <c r="Y115" s="13" t="s">
        <v>3156</v>
      </c>
      <c r="Z115" s="13" t="s">
        <v>33</v>
      </c>
      <c r="AA115" s="13" t="b">
        <v>0</v>
      </c>
      <c r="AB115" s="48"/>
      <c r="AC115" s="49"/>
    </row>
    <row r="116" ht="14.25" customHeight="1">
      <c r="A116" s="13">
        <v>24856.0</v>
      </c>
      <c r="B116" s="13" t="str">
        <f t="shared" si="2"/>
        <v>Observational</v>
      </c>
      <c r="C116" s="13" t="s">
        <v>4856</v>
      </c>
      <c r="D116" s="1" t="s">
        <v>4983</v>
      </c>
      <c r="E116" s="13" t="s">
        <v>4984</v>
      </c>
      <c r="F116" s="13" t="s">
        <v>3333</v>
      </c>
      <c r="G116" s="13" t="s">
        <v>3173</v>
      </c>
      <c r="H116" s="13" t="s">
        <v>3166</v>
      </c>
      <c r="I116" s="13" t="s">
        <v>3222</v>
      </c>
      <c r="J116" s="13" t="s">
        <v>3262</v>
      </c>
      <c r="K116" s="13" t="s">
        <v>3153</v>
      </c>
      <c r="L116" s="13" t="s">
        <v>3169</v>
      </c>
      <c r="M116" s="13" t="s">
        <v>4056</v>
      </c>
      <c r="N116" s="13" t="s">
        <v>3162</v>
      </c>
      <c r="O116" s="13" t="s">
        <v>33</v>
      </c>
      <c r="P116" s="13">
        <v>2.0</v>
      </c>
      <c r="Q116" s="13" t="s">
        <v>3177</v>
      </c>
      <c r="R116" s="13" t="s">
        <v>3177</v>
      </c>
      <c r="S116" s="13" t="s">
        <v>33</v>
      </c>
      <c r="T116" s="13" t="s">
        <v>3178</v>
      </c>
      <c r="U116" s="13" t="s">
        <v>3164</v>
      </c>
      <c r="V116" s="13" t="s">
        <v>3165</v>
      </c>
      <c r="W116" s="13" t="s">
        <v>3167</v>
      </c>
      <c r="X116" s="13" t="s">
        <v>3155</v>
      </c>
      <c r="Y116" s="13" t="s">
        <v>3187</v>
      </c>
      <c r="Z116" s="13">
        <v>1.0</v>
      </c>
      <c r="AA116" s="13" t="b">
        <v>0</v>
      </c>
      <c r="AB116" s="47"/>
      <c r="AC116" s="49"/>
    </row>
    <row r="117" ht="14.25" customHeight="1">
      <c r="A117" s="13">
        <v>23867.0</v>
      </c>
      <c r="B117" s="13" t="str">
        <f t="shared" si="2"/>
        <v>Observational</v>
      </c>
      <c r="C117" s="13" t="s">
        <v>4856</v>
      </c>
      <c r="D117" s="1" t="s">
        <v>4985</v>
      </c>
      <c r="E117" s="2" t="s">
        <v>4986</v>
      </c>
      <c r="F117" s="13" t="s">
        <v>3208</v>
      </c>
      <c r="G117" s="13" t="s">
        <v>3210</v>
      </c>
      <c r="H117" s="13" t="s">
        <v>3195</v>
      </c>
      <c r="I117" s="13" t="s">
        <v>3188</v>
      </c>
      <c r="J117" s="13" t="s">
        <v>3189</v>
      </c>
      <c r="K117" s="13" t="s">
        <v>3153</v>
      </c>
      <c r="L117" s="13" t="s">
        <v>3169</v>
      </c>
      <c r="M117" s="13" t="s">
        <v>3662</v>
      </c>
      <c r="N117" s="13" t="s">
        <v>3162</v>
      </c>
      <c r="O117" s="13" t="s">
        <v>33</v>
      </c>
      <c r="P117" s="13">
        <v>3.0</v>
      </c>
      <c r="Q117" s="13" t="s">
        <v>3160</v>
      </c>
      <c r="R117" s="13" t="s">
        <v>3163</v>
      </c>
      <c r="S117" s="13" t="s">
        <v>33</v>
      </c>
      <c r="T117" s="13" t="s">
        <v>3167</v>
      </c>
      <c r="U117" s="13" t="s">
        <v>3195</v>
      </c>
      <c r="V117" s="13" t="s">
        <v>3195</v>
      </c>
      <c r="W117" s="13" t="s">
        <v>3167</v>
      </c>
      <c r="X117" s="13" t="s">
        <v>3170</v>
      </c>
      <c r="Y117" s="13" t="s">
        <v>3156</v>
      </c>
      <c r="Z117" s="13" t="s">
        <v>33</v>
      </c>
      <c r="AA117" s="13" t="b">
        <v>0</v>
      </c>
      <c r="AB117" s="48"/>
      <c r="AC117" s="49"/>
    </row>
    <row r="118" ht="14.25" customHeight="1">
      <c r="A118" s="13">
        <v>24895.0</v>
      </c>
      <c r="B118" s="13" t="str">
        <f t="shared" si="2"/>
        <v>Observational</v>
      </c>
      <c r="C118" s="13" t="s">
        <v>4856</v>
      </c>
      <c r="D118" s="1" t="s">
        <v>4987</v>
      </c>
      <c r="E118" s="13" t="s">
        <v>4988</v>
      </c>
      <c r="F118" s="13" t="s">
        <v>3381</v>
      </c>
      <c r="G118" s="13" t="s">
        <v>3210</v>
      </c>
      <c r="H118" s="13" t="s">
        <v>3195</v>
      </c>
      <c r="I118" s="13" t="s">
        <v>3244</v>
      </c>
      <c r="J118" s="13" t="s">
        <v>3262</v>
      </c>
      <c r="K118" s="13" t="s">
        <v>3153</v>
      </c>
      <c r="L118" s="13" t="s">
        <v>3169</v>
      </c>
      <c r="M118" s="13" t="s">
        <v>4073</v>
      </c>
      <c r="N118" s="13" t="s">
        <v>3162</v>
      </c>
      <c r="O118" s="13" t="s">
        <v>3689</v>
      </c>
      <c r="P118" s="13">
        <v>6.0</v>
      </c>
      <c r="Q118" s="13" t="s">
        <v>3177</v>
      </c>
      <c r="R118" s="13" t="s">
        <v>3163</v>
      </c>
      <c r="S118" s="13" t="s">
        <v>33</v>
      </c>
      <c r="T118" s="13" t="s">
        <v>3167</v>
      </c>
      <c r="U118" s="13" t="s">
        <v>3195</v>
      </c>
      <c r="V118" s="13" t="s">
        <v>3195</v>
      </c>
      <c r="W118" s="13" t="s">
        <v>3167</v>
      </c>
      <c r="X118" s="13" t="s">
        <v>3155</v>
      </c>
      <c r="Y118" s="13" t="s">
        <v>3187</v>
      </c>
      <c r="Z118" s="13">
        <v>1.0</v>
      </c>
      <c r="AA118" s="13" t="b">
        <v>0</v>
      </c>
      <c r="AB118" s="48"/>
      <c r="AC118" s="49"/>
    </row>
    <row r="119" ht="14.25" customHeight="1">
      <c r="A119" s="13">
        <v>25636.0</v>
      </c>
      <c r="B119" s="13" t="str">
        <f t="shared" si="2"/>
        <v>Observational</v>
      </c>
      <c r="C119" s="13" t="s">
        <v>4856</v>
      </c>
      <c r="D119" s="13" t="s">
        <v>4989</v>
      </c>
      <c r="E119" s="13" t="s">
        <v>4990</v>
      </c>
      <c r="F119" s="13" t="s">
        <v>3173</v>
      </c>
      <c r="G119" s="13" t="s">
        <v>3159</v>
      </c>
      <c r="H119" s="13" t="s">
        <v>3166</v>
      </c>
      <c r="I119" s="13" t="s">
        <v>3171</v>
      </c>
      <c r="J119" s="13" t="s">
        <v>4285</v>
      </c>
      <c r="K119" s="13" t="s">
        <v>3153</v>
      </c>
      <c r="L119" s="13" t="s">
        <v>3169</v>
      </c>
      <c r="M119" s="13" t="s">
        <v>4286</v>
      </c>
      <c r="N119" s="13" t="s">
        <v>3162</v>
      </c>
      <c r="O119" s="13" t="s">
        <v>33</v>
      </c>
      <c r="P119" s="13">
        <v>5.0</v>
      </c>
      <c r="Q119" s="13" t="s">
        <v>3160</v>
      </c>
      <c r="R119" s="13" t="s">
        <v>3163</v>
      </c>
      <c r="S119" s="13" t="s">
        <v>33</v>
      </c>
      <c r="T119" s="13" t="s">
        <v>3178</v>
      </c>
      <c r="U119" s="13" t="s">
        <v>3164</v>
      </c>
      <c r="V119" s="13" t="s">
        <v>3232</v>
      </c>
      <c r="W119" s="13" t="s">
        <v>3167</v>
      </c>
      <c r="X119" s="13" t="s">
        <v>3170</v>
      </c>
      <c r="Y119" s="13" t="s">
        <v>3156</v>
      </c>
      <c r="Z119" s="13" t="s">
        <v>33</v>
      </c>
      <c r="AA119" s="13" t="b">
        <v>1</v>
      </c>
      <c r="AB119" s="48"/>
      <c r="AC119" s="49"/>
    </row>
    <row r="120" ht="14.25" customHeight="1">
      <c r="A120" s="13">
        <v>26086.0</v>
      </c>
      <c r="B120" s="13" t="str">
        <f t="shared" si="2"/>
        <v>Observational</v>
      </c>
      <c r="C120" s="13" t="s">
        <v>4856</v>
      </c>
      <c r="D120" s="1" t="s">
        <v>4991</v>
      </c>
      <c r="E120" s="13" t="s">
        <v>4992</v>
      </c>
      <c r="F120" s="13" t="s">
        <v>3208</v>
      </c>
      <c r="G120" s="13" t="s">
        <v>3210</v>
      </c>
      <c r="H120" s="13" t="s">
        <v>3195</v>
      </c>
      <c r="I120" s="13" t="s">
        <v>3188</v>
      </c>
      <c r="J120" s="13" t="s">
        <v>3432</v>
      </c>
      <c r="K120" s="13" t="s">
        <v>3153</v>
      </c>
      <c r="L120" s="13" t="s">
        <v>3169</v>
      </c>
      <c r="M120" s="13" t="s">
        <v>4443</v>
      </c>
      <c r="N120" s="13" t="s">
        <v>3162</v>
      </c>
      <c r="O120" s="13" t="s">
        <v>33</v>
      </c>
      <c r="P120" s="13">
        <v>3.0</v>
      </c>
      <c r="Q120" s="13" t="s">
        <v>3160</v>
      </c>
      <c r="R120" s="13" t="s">
        <v>3163</v>
      </c>
      <c r="S120" s="13" t="s">
        <v>33</v>
      </c>
      <c r="T120" s="13" t="s">
        <v>3167</v>
      </c>
      <c r="U120" s="13" t="s">
        <v>3195</v>
      </c>
      <c r="V120" s="13" t="s">
        <v>3195</v>
      </c>
      <c r="W120" s="13" t="s">
        <v>3167</v>
      </c>
      <c r="X120" s="13" t="s">
        <v>3192</v>
      </c>
      <c r="Y120" s="13" t="s">
        <v>3202</v>
      </c>
      <c r="Z120" s="13">
        <v>30.0</v>
      </c>
      <c r="AA120" s="13" t="b">
        <v>0</v>
      </c>
      <c r="AB120" s="48"/>
      <c r="AC120" s="49"/>
    </row>
    <row r="121" ht="14.25" customHeight="1">
      <c r="A121" s="13">
        <v>24772.0</v>
      </c>
      <c r="B121" s="13" t="str">
        <f t="shared" si="2"/>
        <v>Observational</v>
      </c>
      <c r="C121" s="13" t="s">
        <v>4864</v>
      </c>
      <c r="D121" s="13" t="s">
        <v>4993</v>
      </c>
      <c r="E121" s="13" t="s">
        <v>4994</v>
      </c>
      <c r="F121" s="13" t="s">
        <v>3183</v>
      </c>
      <c r="G121" s="13" t="s">
        <v>3159</v>
      </c>
      <c r="H121" s="13" t="s">
        <v>3166</v>
      </c>
      <c r="I121" s="13" t="s">
        <v>3865</v>
      </c>
      <c r="J121" s="13" t="s">
        <v>3167</v>
      </c>
      <c r="K121" s="13" t="s">
        <v>3153</v>
      </c>
      <c r="L121" s="13" t="s">
        <v>3179</v>
      </c>
      <c r="M121" s="13" t="s">
        <v>4030</v>
      </c>
      <c r="N121" s="13" t="s">
        <v>3175</v>
      </c>
      <c r="O121" s="13" t="s">
        <v>3689</v>
      </c>
      <c r="P121" s="13">
        <v>5.0</v>
      </c>
      <c r="Q121" s="13" t="s">
        <v>3177</v>
      </c>
      <c r="R121" s="13" t="s">
        <v>3177</v>
      </c>
      <c r="S121" s="13" t="s">
        <v>33</v>
      </c>
      <c r="T121" s="13" t="s">
        <v>3255</v>
      </c>
      <c r="U121" s="13" t="s">
        <v>3197</v>
      </c>
      <c r="V121" s="13" t="s">
        <v>3197</v>
      </c>
      <c r="W121" s="13" t="s">
        <v>3167</v>
      </c>
      <c r="X121" s="13" t="s">
        <v>3284</v>
      </c>
      <c r="Y121" s="13" t="s">
        <v>3187</v>
      </c>
      <c r="Z121" s="13">
        <v>81.0</v>
      </c>
      <c r="AA121" s="13" t="b">
        <v>1</v>
      </c>
      <c r="AB121" s="48"/>
      <c r="AC121" s="49"/>
    </row>
    <row r="122" ht="14.25" customHeight="1">
      <c r="A122" s="13">
        <v>23631.0</v>
      </c>
      <c r="B122" s="13" t="str">
        <f t="shared" si="2"/>
        <v>Observational</v>
      </c>
      <c r="C122" s="13" t="s">
        <v>4864</v>
      </c>
      <c r="D122" s="13" t="s">
        <v>4995</v>
      </c>
      <c r="E122" s="13" t="s">
        <v>4996</v>
      </c>
      <c r="F122" s="13" t="s">
        <v>3183</v>
      </c>
      <c r="G122" s="13" t="s">
        <v>3183</v>
      </c>
      <c r="H122" s="13" t="s">
        <v>3166</v>
      </c>
      <c r="I122" s="13" t="s">
        <v>3181</v>
      </c>
      <c r="J122" s="13" t="s">
        <v>3262</v>
      </c>
      <c r="K122" s="13" t="s">
        <v>3153</v>
      </c>
      <c r="L122" s="13" t="s">
        <v>3179</v>
      </c>
      <c r="M122" s="13" t="s">
        <v>3544</v>
      </c>
      <c r="N122" s="13" t="s">
        <v>3162</v>
      </c>
      <c r="O122" s="13" t="s">
        <v>3503</v>
      </c>
      <c r="P122" s="13">
        <v>4.0</v>
      </c>
      <c r="Q122" s="13" t="s">
        <v>3160</v>
      </c>
      <c r="R122" s="13" t="s">
        <v>3231</v>
      </c>
      <c r="S122" s="13" t="s">
        <v>33</v>
      </c>
      <c r="T122" s="13" t="s">
        <v>3178</v>
      </c>
      <c r="U122" s="13" t="s">
        <v>3165</v>
      </c>
      <c r="V122" s="13" t="s">
        <v>3165</v>
      </c>
      <c r="W122" s="13" t="s">
        <v>3167</v>
      </c>
      <c r="X122" s="13" t="s">
        <v>3192</v>
      </c>
      <c r="Y122" s="13" t="s">
        <v>3311</v>
      </c>
      <c r="Z122" s="13">
        <v>22.2</v>
      </c>
      <c r="AA122" s="13" t="b">
        <v>1</v>
      </c>
      <c r="AB122" s="48"/>
      <c r="AC122" s="49"/>
    </row>
    <row r="123" ht="14.25" customHeight="1">
      <c r="A123" s="13">
        <v>24673.0</v>
      </c>
      <c r="B123" s="13" t="str">
        <f t="shared" si="2"/>
        <v>Observational</v>
      </c>
      <c r="C123" s="13" t="s">
        <v>4856</v>
      </c>
      <c r="D123" s="1" t="s">
        <v>4997</v>
      </c>
      <c r="E123" s="13" t="s">
        <v>4998</v>
      </c>
      <c r="F123" s="13" t="s">
        <v>3183</v>
      </c>
      <c r="G123" s="13" t="s">
        <v>3335</v>
      </c>
      <c r="H123" s="13" t="s">
        <v>3195</v>
      </c>
      <c r="I123" s="13" t="s">
        <v>3171</v>
      </c>
      <c r="J123" s="13" t="s">
        <v>3378</v>
      </c>
      <c r="K123" s="13" t="s">
        <v>3153</v>
      </c>
      <c r="L123" s="13" t="s">
        <v>3169</v>
      </c>
      <c r="M123" s="13" t="s">
        <v>3990</v>
      </c>
      <c r="N123" s="13" t="s">
        <v>3162</v>
      </c>
      <c r="O123" s="13" t="s">
        <v>3991</v>
      </c>
      <c r="P123" s="13">
        <v>4.0</v>
      </c>
      <c r="Q123" s="13" t="s">
        <v>3160</v>
      </c>
      <c r="R123" s="13" t="s">
        <v>3163</v>
      </c>
      <c r="S123" s="13" t="s">
        <v>3323</v>
      </c>
      <c r="T123" s="13" t="s">
        <v>3167</v>
      </c>
      <c r="U123" s="13" t="s">
        <v>3195</v>
      </c>
      <c r="V123" s="13" t="s">
        <v>3195</v>
      </c>
      <c r="W123" s="13" t="s">
        <v>3167</v>
      </c>
      <c r="X123" s="13" t="s">
        <v>3170</v>
      </c>
      <c r="Y123" s="13" t="s">
        <v>3156</v>
      </c>
      <c r="Z123" s="13" t="s">
        <v>33</v>
      </c>
      <c r="AA123" s="13" t="b">
        <v>0</v>
      </c>
      <c r="AB123" s="48"/>
      <c r="AC123" s="49"/>
    </row>
    <row r="124" ht="14.25" customHeight="1">
      <c r="A124" s="13">
        <v>23877.0</v>
      </c>
      <c r="B124" s="13" t="str">
        <f t="shared" si="2"/>
        <v>Observational</v>
      </c>
      <c r="C124" s="13" t="s">
        <v>4864</v>
      </c>
      <c r="D124" s="1" t="s">
        <v>4999</v>
      </c>
      <c r="E124" s="13" t="s">
        <v>5000</v>
      </c>
      <c r="F124" s="13" t="s">
        <v>3183</v>
      </c>
      <c r="G124" s="13" t="s">
        <v>3183</v>
      </c>
      <c r="H124" s="13" t="s">
        <v>3166</v>
      </c>
      <c r="I124" s="13" t="s">
        <v>3181</v>
      </c>
      <c r="J124" s="13" t="s">
        <v>3182</v>
      </c>
      <c r="K124" s="13" t="s">
        <v>3153</v>
      </c>
      <c r="L124" s="13" t="s">
        <v>3179</v>
      </c>
      <c r="M124" s="13" t="s">
        <v>3489</v>
      </c>
      <c r="N124" s="13" t="s">
        <v>3267</v>
      </c>
      <c r="O124" s="13" t="s">
        <v>3665</v>
      </c>
      <c r="P124" s="13">
        <v>2.0</v>
      </c>
      <c r="Q124" s="13" t="s">
        <v>3160</v>
      </c>
      <c r="R124" s="13" t="s">
        <v>3163</v>
      </c>
      <c r="S124" s="13" t="s">
        <v>3665</v>
      </c>
      <c r="T124" s="13" t="s">
        <v>3255</v>
      </c>
      <c r="U124" s="13" t="s">
        <v>3164</v>
      </c>
      <c r="V124" s="13" t="s">
        <v>3164</v>
      </c>
      <c r="W124" s="13" t="s">
        <v>3167</v>
      </c>
      <c r="X124" s="13" t="s">
        <v>3170</v>
      </c>
      <c r="Y124" s="13" t="s">
        <v>3202</v>
      </c>
      <c r="Z124" s="13">
        <v>30.0</v>
      </c>
      <c r="AA124" s="13" t="b">
        <v>0</v>
      </c>
      <c r="AB124" s="48"/>
      <c r="AC124" s="49"/>
    </row>
    <row r="125" ht="14.25" customHeight="1">
      <c r="A125" s="13">
        <v>23537.0</v>
      </c>
      <c r="B125" s="13" t="str">
        <f t="shared" si="2"/>
        <v>Observational</v>
      </c>
      <c r="C125" s="13" t="s">
        <v>4852</v>
      </c>
      <c r="D125" s="1" t="s">
        <v>4999</v>
      </c>
      <c r="E125" s="13" t="s">
        <v>5000</v>
      </c>
      <c r="F125" s="13" t="s">
        <v>3159</v>
      </c>
      <c r="G125" s="13" t="s">
        <v>3335</v>
      </c>
      <c r="H125" s="13" t="s">
        <v>3195</v>
      </c>
      <c r="I125" s="13" t="s">
        <v>3188</v>
      </c>
      <c r="J125" s="13" t="s">
        <v>3207</v>
      </c>
      <c r="K125" s="13" t="s">
        <v>3153</v>
      </c>
      <c r="L125" s="13" t="s">
        <v>3154</v>
      </c>
      <c r="M125" s="13" t="s">
        <v>3489</v>
      </c>
      <c r="N125" s="13" t="s">
        <v>3162</v>
      </c>
      <c r="O125" s="13" t="s">
        <v>33</v>
      </c>
      <c r="P125" s="13">
        <v>2.0</v>
      </c>
      <c r="Q125" s="13" t="s">
        <v>3177</v>
      </c>
      <c r="R125" s="13" t="s">
        <v>3163</v>
      </c>
      <c r="S125" s="13" t="s">
        <v>33</v>
      </c>
      <c r="T125" s="13" t="s">
        <v>3167</v>
      </c>
      <c r="U125" s="13" t="s">
        <v>3195</v>
      </c>
      <c r="V125" s="13" t="s">
        <v>3195</v>
      </c>
      <c r="W125" s="13" t="s">
        <v>3167</v>
      </c>
      <c r="X125" s="13" t="s">
        <v>3170</v>
      </c>
      <c r="Y125" s="13" t="s">
        <v>3156</v>
      </c>
      <c r="Z125" s="13" t="s">
        <v>33</v>
      </c>
      <c r="AA125" s="13" t="b">
        <v>0</v>
      </c>
      <c r="AB125" s="48"/>
      <c r="AC125" s="49"/>
    </row>
    <row r="126" ht="14.25" customHeight="1">
      <c r="A126" s="13">
        <v>23710.0</v>
      </c>
      <c r="B126" s="13" t="str">
        <f t="shared" si="2"/>
        <v>Observational</v>
      </c>
      <c r="C126" s="13" t="s">
        <v>4856</v>
      </c>
      <c r="D126" s="1" t="s">
        <v>5001</v>
      </c>
      <c r="E126" s="13" t="s">
        <v>5002</v>
      </c>
      <c r="F126" s="13" t="s">
        <v>3183</v>
      </c>
      <c r="G126" s="13" t="s">
        <v>3379</v>
      </c>
      <c r="H126" s="13" t="s">
        <v>3166</v>
      </c>
      <c r="I126" s="13" t="s">
        <v>3157</v>
      </c>
      <c r="J126" s="13" t="s">
        <v>3167</v>
      </c>
      <c r="K126" s="13" t="s">
        <v>3153</v>
      </c>
      <c r="L126" s="13" t="s">
        <v>3169</v>
      </c>
      <c r="M126" s="13" t="s">
        <v>3581</v>
      </c>
      <c r="N126" s="13" t="s">
        <v>3175</v>
      </c>
      <c r="O126" s="13" t="s">
        <v>3582</v>
      </c>
      <c r="P126" s="13">
        <v>20.0</v>
      </c>
      <c r="Q126" s="13" t="s">
        <v>3160</v>
      </c>
      <c r="R126" s="13" t="s">
        <v>3163</v>
      </c>
      <c r="S126" s="13" t="s">
        <v>3397</v>
      </c>
      <c r="T126" s="13" t="s">
        <v>3276</v>
      </c>
      <c r="U126" s="13" t="s">
        <v>3197</v>
      </c>
      <c r="V126" s="13" t="s">
        <v>3197</v>
      </c>
      <c r="W126" s="13" t="s">
        <v>3167</v>
      </c>
      <c r="X126" s="13" t="s">
        <v>3284</v>
      </c>
      <c r="Y126" s="13" t="s">
        <v>3187</v>
      </c>
      <c r="Z126" s="13">
        <v>9.0</v>
      </c>
      <c r="AA126" s="13" t="b">
        <v>0</v>
      </c>
      <c r="AB126" s="48"/>
      <c r="AC126" s="49"/>
    </row>
    <row r="127" ht="14.25" customHeight="1">
      <c r="A127" s="13">
        <v>23953.0</v>
      </c>
      <c r="B127" s="13" t="str">
        <f t="shared" si="2"/>
        <v>Observational</v>
      </c>
      <c r="C127" s="13" t="s">
        <v>4855</v>
      </c>
      <c r="D127" s="1" t="s">
        <v>5003</v>
      </c>
      <c r="E127" s="2" t="s">
        <v>5004</v>
      </c>
      <c r="F127" s="13" t="s">
        <v>3282</v>
      </c>
      <c r="G127" s="13" t="s">
        <v>3183</v>
      </c>
      <c r="H127" s="13" t="s">
        <v>3166</v>
      </c>
      <c r="I127" s="13" t="s">
        <v>3261</v>
      </c>
      <c r="J127" s="13" t="s">
        <v>3182</v>
      </c>
      <c r="K127" s="13" t="s">
        <v>3153</v>
      </c>
      <c r="L127" s="13" t="s">
        <v>3395</v>
      </c>
      <c r="M127" s="13" t="s">
        <v>3697</v>
      </c>
      <c r="N127" s="13" t="s">
        <v>3162</v>
      </c>
      <c r="O127" s="13" t="s">
        <v>3167</v>
      </c>
      <c r="P127" s="13">
        <v>2.0</v>
      </c>
      <c r="Q127" s="13" t="s">
        <v>3177</v>
      </c>
      <c r="R127" s="13" t="s">
        <v>3260</v>
      </c>
      <c r="S127" s="13" t="s">
        <v>3506</v>
      </c>
      <c r="T127" s="13" t="s">
        <v>3216</v>
      </c>
      <c r="U127" s="13" t="s">
        <v>3164</v>
      </c>
      <c r="V127" s="13" t="s">
        <v>3228</v>
      </c>
      <c r="W127" s="13" t="s">
        <v>3167</v>
      </c>
      <c r="X127" s="13" t="s">
        <v>3192</v>
      </c>
      <c r="Y127" s="13" t="s">
        <v>3156</v>
      </c>
      <c r="Z127" s="13" t="s">
        <v>3202</v>
      </c>
      <c r="AA127" s="13" t="b">
        <v>0</v>
      </c>
      <c r="AB127" s="48"/>
      <c r="AC127" s="49"/>
    </row>
    <row r="128" ht="14.25" customHeight="1">
      <c r="A128" s="13">
        <v>24194.0</v>
      </c>
      <c r="B128" s="13" t="str">
        <f t="shared" si="2"/>
        <v>Observational</v>
      </c>
      <c r="C128" s="13" t="s">
        <v>4864</v>
      </c>
      <c r="D128" s="1" t="s">
        <v>5005</v>
      </c>
      <c r="E128" s="13" t="s">
        <v>4858</v>
      </c>
      <c r="F128" s="13" t="s">
        <v>3208</v>
      </c>
      <c r="G128" s="13" t="s">
        <v>3159</v>
      </c>
      <c r="H128" s="13" t="s">
        <v>3166</v>
      </c>
      <c r="I128" s="13" t="s">
        <v>3392</v>
      </c>
      <c r="J128" s="13" t="s">
        <v>3286</v>
      </c>
      <c r="K128" s="13" t="s">
        <v>3153</v>
      </c>
      <c r="L128" s="13" t="s">
        <v>3179</v>
      </c>
      <c r="M128" s="13" t="s">
        <v>3792</v>
      </c>
      <c r="N128" s="13" t="s">
        <v>3162</v>
      </c>
      <c r="O128" s="13" t="s">
        <v>3167</v>
      </c>
      <c r="P128" s="13">
        <v>1.0</v>
      </c>
      <c r="Q128" s="13" t="s">
        <v>3160</v>
      </c>
      <c r="R128" s="13" t="s">
        <v>3231</v>
      </c>
      <c r="S128" s="13" t="s">
        <v>33</v>
      </c>
      <c r="T128" s="13" t="s">
        <v>3178</v>
      </c>
      <c r="U128" s="13" t="s">
        <v>3164</v>
      </c>
      <c r="V128" s="13" t="s">
        <v>3164</v>
      </c>
      <c r="W128" s="13" t="s">
        <v>3167</v>
      </c>
      <c r="X128" s="13" t="s">
        <v>3170</v>
      </c>
      <c r="Y128" s="13" t="s">
        <v>3187</v>
      </c>
      <c r="Z128" s="13">
        <v>4.0</v>
      </c>
      <c r="AA128" s="13" t="b">
        <v>0</v>
      </c>
      <c r="AB128" s="48"/>
      <c r="AC128" s="49"/>
    </row>
    <row r="129" ht="14.25" customHeight="1">
      <c r="A129" s="13">
        <v>25959.0</v>
      </c>
      <c r="B129" s="13" t="str">
        <f t="shared" si="2"/>
        <v>Observational</v>
      </c>
      <c r="C129" s="13" t="s">
        <v>4864</v>
      </c>
      <c r="D129" s="1" t="s">
        <v>5005</v>
      </c>
      <c r="E129" s="13" t="s">
        <v>4858</v>
      </c>
      <c r="F129" s="13" t="s">
        <v>3208</v>
      </c>
      <c r="G129" s="13" t="s">
        <v>3335</v>
      </c>
      <c r="H129" s="13" t="s">
        <v>3195</v>
      </c>
      <c r="I129" s="13" t="s">
        <v>3264</v>
      </c>
      <c r="J129" s="13" t="s">
        <v>3204</v>
      </c>
      <c r="K129" s="13" t="s">
        <v>3153</v>
      </c>
      <c r="L129" s="13" t="s">
        <v>3179</v>
      </c>
      <c r="M129" s="13" t="s">
        <v>3792</v>
      </c>
      <c r="N129" s="13" t="s">
        <v>3162</v>
      </c>
      <c r="O129" s="13" t="s">
        <v>33</v>
      </c>
      <c r="P129" s="13">
        <v>1.0</v>
      </c>
      <c r="Q129" s="13" t="s">
        <v>3160</v>
      </c>
      <c r="R129" s="13" t="s">
        <v>3163</v>
      </c>
      <c r="S129" s="13" t="s">
        <v>4406</v>
      </c>
      <c r="T129" s="13" t="s">
        <v>3167</v>
      </c>
      <c r="U129" s="13" t="s">
        <v>3195</v>
      </c>
      <c r="V129" s="13" t="s">
        <v>3195</v>
      </c>
      <c r="W129" s="13" t="s">
        <v>3167</v>
      </c>
      <c r="X129" s="13" t="s">
        <v>3192</v>
      </c>
      <c r="Y129" s="13" t="s">
        <v>3156</v>
      </c>
      <c r="Z129" s="13" t="s">
        <v>33</v>
      </c>
      <c r="AA129" s="13" t="b">
        <v>0</v>
      </c>
      <c r="AB129" s="48"/>
      <c r="AC129" s="49"/>
    </row>
    <row r="130" ht="14.25" customHeight="1">
      <c r="A130" s="13">
        <v>24228.0</v>
      </c>
      <c r="B130" s="13" t="str">
        <f t="shared" si="2"/>
        <v>Observational</v>
      </c>
      <c r="C130" s="13" t="s">
        <v>4864</v>
      </c>
      <c r="D130" s="1" t="s">
        <v>5006</v>
      </c>
      <c r="E130" s="13" t="s">
        <v>5007</v>
      </c>
      <c r="F130" s="13" t="s">
        <v>3208</v>
      </c>
      <c r="G130" s="13" t="s">
        <v>3208</v>
      </c>
      <c r="H130" s="13" t="s">
        <v>3242</v>
      </c>
      <c r="I130" s="13" t="s">
        <v>3249</v>
      </c>
      <c r="J130" s="13" t="s">
        <v>3348</v>
      </c>
      <c r="K130" s="13" t="s">
        <v>3153</v>
      </c>
      <c r="L130" s="13" t="s">
        <v>3179</v>
      </c>
      <c r="M130" s="13" t="s">
        <v>3808</v>
      </c>
      <c r="N130" s="13" t="s">
        <v>3162</v>
      </c>
      <c r="O130" s="13" t="s">
        <v>33</v>
      </c>
      <c r="P130" s="13">
        <v>3.0</v>
      </c>
      <c r="Q130" s="13" t="s">
        <v>3160</v>
      </c>
      <c r="R130" s="13" t="s">
        <v>3163</v>
      </c>
      <c r="S130" s="13" t="s">
        <v>33</v>
      </c>
      <c r="T130" s="13" t="s">
        <v>3167</v>
      </c>
      <c r="U130" s="13" t="s">
        <v>3164</v>
      </c>
      <c r="V130" s="13" t="s">
        <v>3164</v>
      </c>
      <c r="W130" s="13" t="s">
        <v>3254</v>
      </c>
      <c r="X130" s="13" t="s">
        <v>3170</v>
      </c>
      <c r="Y130" s="13" t="s">
        <v>3187</v>
      </c>
      <c r="Z130" s="13">
        <v>25.0</v>
      </c>
      <c r="AA130" s="13" t="b">
        <v>0</v>
      </c>
      <c r="AB130" s="48"/>
      <c r="AC130" s="49"/>
    </row>
    <row r="131" ht="14.25" customHeight="1">
      <c r="A131" s="13">
        <v>24328.0</v>
      </c>
      <c r="B131" s="13" t="str">
        <f t="shared" si="2"/>
        <v>Observational</v>
      </c>
      <c r="C131" s="13" t="s">
        <v>4864</v>
      </c>
      <c r="D131" s="1" t="s">
        <v>5008</v>
      </c>
      <c r="E131" s="13" t="s">
        <v>5009</v>
      </c>
      <c r="F131" s="13" t="s">
        <v>3545</v>
      </c>
      <c r="G131" s="13" t="s">
        <v>3183</v>
      </c>
      <c r="H131" s="13" t="s">
        <v>3242</v>
      </c>
      <c r="I131" s="13" t="s">
        <v>3392</v>
      </c>
      <c r="J131" s="13" t="s">
        <v>3204</v>
      </c>
      <c r="K131" s="13" t="s">
        <v>3153</v>
      </c>
      <c r="L131" s="13" t="s">
        <v>3179</v>
      </c>
      <c r="M131" s="13" t="s">
        <v>3857</v>
      </c>
      <c r="N131" s="13" t="s">
        <v>3162</v>
      </c>
      <c r="O131" s="13" t="s">
        <v>3858</v>
      </c>
      <c r="P131" s="13">
        <v>13.0</v>
      </c>
      <c r="Q131" s="13" t="s">
        <v>3177</v>
      </c>
      <c r="R131" s="13" t="s">
        <v>3163</v>
      </c>
      <c r="S131" s="13" t="s">
        <v>3859</v>
      </c>
      <c r="T131" s="13" t="s">
        <v>3167</v>
      </c>
      <c r="U131" s="13" t="s">
        <v>3165</v>
      </c>
      <c r="V131" s="13" t="s">
        <v>3247</v>
      </c>
      <c r="W131" s="13" t="s">
        <v>3860</v>
      </c>
      <c r="X131" s="13" t="s">
        <v>3192</v>
      </c>
      <c r="Y131" s="13" t="s">
        <v>3202</v>
      </c>
      <c r="Z131" s="13">
        <v>250.0</v>
      </c>
      <c r="AA131" s="13" t="b">
        <v>0</v>
      </c>
      <c r="AB131" s="48"/>
      <c r="AC131" s="49"/>
    </row>
    <row r="132" ht="14.25" customHeight="1">
      <c r="A132" s="13">
        <v>23583.0</v>
      </c>
      <c r="B132" s="13" t="str">
        <f t="shared" si="2"/>
        <v>Observational</v>
      </c>
      <c r="C132" s="13" t="s">
        <v>4864</v>
      </c>
      <c r="D132" s="1" t="s">
        <v>5010</v>
      </c>
      <c r="E132" s="13" t="s">
        <v>4868</v>
      </c>
      <c r="F132" s="13" t="s">
        <v>3173</v>
      </c>
      <c r="G132" s="13" t="s">
        <v>3183</v>
      </c>
      <c r="H132" s="13" t="s">
        <v>3166</v>
      </c>
      <c r="I132" s="13" t="s">
        <v>3249</v>
      </c>
      <c r="J132" s="13" t="s">
        <v>3508</v>
      </c>
      <c r="K132" s="13" t="s">
        <v>3153</v>
      </c>
      <c r="L132" s="13" t="s">
        <v>3179</v>
      </c>
      <c r="M132" s="13" t="s">
        <v>3511</v>
      </c>
      <c r="N132" s="13" t="s">
        <v>3175</v>
      </c>
      <c r="O132" s="13" t="s">
        <v>3512</v>
      </c>
      <c r="P132" s="13">
        <v>10.0</v>
      </c>
      <c r="Q132" s="13" t="s">
        <v>3160</v>
      </c>
      <c r="R132" s="13" t="s">
        <v>3260</v>
      </c>
      <c r="S132" s="13" t="s">
        <v>3397</v>
      </c>
      <c r="T132" s="13" t="s">
        <v>3513</v>
      </c>
      <c r="U132" s="13" t="s">
        <v>3232</v>
      </c>
      <c r="V132" s="13" t="s">
        <v>3197</v>
      </c>
      <c r="W132" s="13" t="s">
        <v>3167</v>
      </c>
      <c r="X132" s="13" t="s">
        <v>3211</v>
      </c>
      <c r="Y132" s="13" t="s">
        <v>3180</v>
      </c>
      <c r="Z132" s="13">
        <v>0.1</v>
      </c>
      <c r="AA132" s="13" t="b">
        <v>1</v>
      </c>
      <c r="AB132" s="48"/>
      <c r="AC132" s="49"/>
    </row>
    <row r="133" ht="14.25" customHeight="1">
      <c r="A133" s="13">
        <v>24304.0</v>
      </c>
      <c r="B133" s="13" t="str">
        <f t="shared" si="2"/>
        <v>Observational</v>
      </c>
      <c r="C133" s="13" t="s">
        <v>4856</v>
      </c>
      <c r="D133" s="1" t="s">
        <v>5011</v>
      </c>
      <c r="E133" s="13" t="s">
        <v>5012</v>
      </c>
      <c r="F133" s="13" t="s">
        <v>3257</v>
      </c>
      <c r="G133" s="13" t="s">
        <v>3335</v>
      </c>
      <c r="H133" s="13" t="s">
        <v>3253</v>
      </c>
      <c r="I133" s="13" t="s">
        <v>3244</v>
      </c>
      <c r="J133" s="13" t="s">
        <v>3167</v>
      </c>
      <c r="K133" s="13" t="s">
        <v>3153</v>
      </c>
      <c r="L133" s="13" t="s">
        <v>3169</v>
      </c>
      <c r="M133" s="13" t="s">
        <v>3841</v>
      </c>
      <c r="N133" s="13" t="s">
        <v>3162</v>
      </c>
      <c r="O133" s="13" t="s">
        <v>3689</v>
      </c>
      <c r="P133" s="13">
        <v>6.0</v>
      </c>
      <c r="Q133" s="13" t="s">
        <v>3177</v>
      </c>
      <c r="R133" s="13" t="s">
        <v>3231</v>
      </c>
      <c r="S133" s="13" t="s">
        <v>33</v>
      </c>
      <c r="T133" s="13" t="s">
        <v>3755</v>
      </c>
      <c r="U133" s="13" t="s">
        <v>3252</v>
      </c>
      <c r="V133" s="13" t="s">
        <v>3252</v>
      </c>
      <c r="W133" s="13" t="s">
        <v>3755</v>
      </c>
      <c r="X133" s="13" t="s">
        <v>3284</v>
      </c>
      <c r="Y133" s="13" t="s">
        <v>3187</v>
      </c>
      <c r="Z133" s="13">
        <v>1.0</v>
      </c>
      <c r="AA133" s="13" t="b">
        <v>0</v>
      </c>
      <c r="AB133" s="48"/>
      <c r="AC133" s="49"/>
    </row>
    <row r="134" ht="14.25" customHeight="1">
      <c r="A134" s="13">
        <v>24443.0</v>
      </c>
      <c r="B134" s="13" t="str">
        <f t="shared" si="2"/>
        <v>Observational</v>
      </c>
      <c r="C134" s="13" t="s">
        <v>4856</v>
      </c>
      <c r="D134" s="1" t="s">
        <v>5013</v>
      </c>
      <c r="E134" s="13" t="s">
        <v>5014</v>
      </c>
      <c r="F134" s="13" t="s">
        <v>3183</v>
      </c>
      <c r="G134" s="13" t="s">
        <v>3370</v>
      </c>
      <c r="H134" s="13" t="s">
        <v>3166</v>
      </c>
      <c r="I134" s="13" t="s">
        <v>3188</v>
      </c>
      <c r="J134" s="13" t="s">
        <v>3423</v>
      </c>
      <c r="K134" s="13" t="s">
        <v>3153</v>
      </c>
      <c r="L134" s="13" t="s">
        <v>3169</v>
      </c>
      <c r="M134" s="13" t="s">
        <v>3911</v>
      </c>
      <c r="N134" s="13" t="s">
        <v>3162</v>
      </c>
      <c r="O134" s="13" t="s">
        <v>3912</v>
      </c>
      <c r="P134" s="13">
        <v>2.0</v>
      </c>
      <c r="Q134" s="13" t="s">
        <v>3177</v>
      </c>
      <c r="R134" s="13" t="s">
        <v>3260</v>
      </c>
      <c r="S134" s="13" t="s">
        <v>33</v>
      </c>
      <c r="T134" s="13" t="s">
        <v>3178</v>
      </c>
      <c r="U134" s="13" t="s">
        <v>3164</v>
      </c>
      <c r="V134" s="13" t="s">
        <v>3164</v>
      </c>
      <c r="W134" s="13" t="s">
        <v>3167</v>
      </c>
      <c r="X134" s="13" t="s">
        <v>3192</v>
      </c>
      <c r="Y134" s="13" t="s">
        <v>3187</v>
      </c>
      <c r="Z134" s="13">
        <v>10.0</v>
      </c>
      <c r="AA134" s="13" t="b">
        <v>0</v>
      </c>
      <c r="AB134" s="48"/>
      <c r="AC134" s="49"/>
    </row>
    <row r="135" ht="14.25" customHeight="1">
      <c r="A135" s="13">
        <v>23958.0</v>
      </c>
      <c r="B135" s="13" t="str">
        <f t="shared" si="2"/>
        <v>Observational</v>
      </c>
      <c r="C135" s="13" t="s">
        <v>4864</v>
      </c>
      <c r="D135" s="1" t="s">
        <v>5015</v>
      </c>
      <c r="E135" s="13" t="s">
        <v>5016</v>
      </c>
      <c r="F135" s="13" t="s">
        <v>3381</v>
      </c>
      <c r="G135" s="13" t="s">
        <v>3379</v>
      </c>
      <c r="H135" s="13" t="s">
        <v>3253</v>
      </c>
      <c r="I135" s="13" t="s">
        <v>3249</v>
      </c>
      <c r="J135" s="13" t="s">
        <v>3699</v>
      </c>
      <c r="K135" s="13" t="s">
        <v>3153</v>
      </c>
      <c r="L135" s="13" t="s">
        <v>3179</v>
      </c>
      <c r="M135" s="13" t="s">
        <v>3701</v>
      </c>
      <c r="N135" s="13" t="s">
        <v>3175</v>
      </c>
      <c r="O135" s="13" t="s">
        <v>3689</v>
      </c>
      <c r="P135" s="13">
        <v>8.0</v>
      </c>
      <c r="Q135" s="13" t="s">
        <v>3177</v>
      </c>
      <c r="R135" s="13" t="s">
        <v>3163</v>
      </c>
      <c r="S135" s="13" t="s">
        <v>33</v>
      </c>
      <c r="T135" s="13" t="s">
        <v>3168</v>
      </c>
      <c r="U135" s="13" t="s">
        <v>3165</v>
      </c>
      <c r="V135" s="13" t="s">
        <v>3252</v>
      </c>
      <c r="W135" s="13" t="s">
        <v>3254</v>
      </c>
      <c r="X135" s="13" t="s">
        <v>3211</v>
      </c>
      <c r="Y135" s="13" t="s">
        <v>3156</v>
      </c>
      <c r="Z135" s="13" t="s">
        <v>33</v>
      </c>
      <c r="AA135" s="13" t="b">
        <v>0</v>
      </c>
      <c r="AB135" s="48"/>
      <c r="AC135" s="49"/>
    </row>
    <row r="136" ht="14.25" customHeight="1">
      <c r="A136" s="13">
        <v>24710.0</v>
      </c>
      <c r="B136" s="13" t="str">
        <f t="shared" si="2"/>
        <v>Observational</v>
      </c>
      <c r="C136" s="13" t="s">
        <v>4864</v>
      </c>
      <c r="D136" s="1" t="s">
        <v>5017</v>
      </c>
      <c r="E136" s="13" t="s">
        <v>5018</v>
      </c>
      <c r="F136" s="13" t="s">
        <v>3186</v>
      </c>
      <c r="G136" s="13" t="s">
        <v>3208</v>
      </c>
      <c r="H136" s="13" t="s">
        <v>3166</v>
      </c>
      <c r="I136" s="13" t="s">
        <v>3533</v>
      </c>
      <c r="J136" s="13" t="s">
        <v>3289</v>
      </c>
      <c r="K136" s="13" t="s">
        <v>3153</v>
      </c>
      <c r="L136" s="13" t="s">
        <v>3179</v>
      </c>
      <c r="M136" s="13" t="s">
        <v>4004</v>
      </c>
      <c r="N136" s="13" t="s">
        <v>3162</v>
      </c>
      <c r="O136" s="13" t="s">
        <v>33</v>
      </c>
      <c r="P136" s="13">
        <v>3.0</v>
      </c>
      <c r="Q136" s="13" t="s">
        <v>3160</v>
      </c>
      <c r="R136" s="13" t="s">
        <v>3163</v>
      </c>
      <c r="S136" s="13" t="s">
        <v>33</v>
      </c>
      <c r="T136" s="13" t="s">
        <v>3178</v>
      </c>
      <c r="U136" s="13" t="s">
        <v>3164</v>
      </c>
      <c r="V136" s="13" t="s">
        <v>3164</v>
      </c>
      <c r="W136" s="13" t="s">
        <v>3167</v>
      </c>
      <c r="X136" s="13" t="s">
        <v>3192</v>
      </c>
      <c r="Y136" s="13" t="s">
        <v>3156</v>
      </c>
      <c r="Z136" s="13" t="s">
        <v>33</v>
      </c>
      <c r="AA136" s="13" t="b">
        <v>0</v>
      </c>
      <c r="AB136" s="48"/>
      <c r="AC136" s="49"/>
    </row>
    <row r="137" ht="14.25" customHeight="1">
      <c r="A137" s="13">
        <v>23061.0</v>
      </c>
      <c r="B137" s="13" t="str">
        <f t="shared" si="2"/>
        <v>Observational</v>
      </c>
      <c r="C137" s="13" t="s">
        <v>4864</v>
      </c>
      <c r="D137" s="1" t="s">
        <v>5019</v>
      </c>
      <c r="E137" s="13" t="s">
        <v>4895</v>
      </c>
      <c r="F137" s="13" t="s">
        <v>3218</v>
      </c>
      <c r="G137" s="13" t="s">
        <v>3183</v>
      </c>
      <c r="H137" s="13" t="s">
        <v>3166</v>
      </c>
      <c r="I137" s="13" t="s">
        <v>3167</v>
      </c>
      <c r="J137" s="13" t="s">
        <v>3167</v>
      </c>
      <c r="K137" s="13" t="s">
        <v>3153</v>
      </c>
      <c r="L137" s="13" t="s">
        <v>3179</v>
      </c>
      <c r="M137" s="13" t="s">
        <v>3219</v>
      </c>
      <c r="N137" s="13" t="s">
        <v>3175</v>
      </c>
      <c r="O137" s="13" t="s">
        <v>3220</v>
      </c>
      <c r="P137" s="13">
        <v>10.0</v>
      </c>
      <c r="Q137" s="13" t="s">
        <v>3160</v>
      </c>
      <c r="R137" s="13" t="s">
        <v>3177</v>
      </c>
      <c r="S137" s="13" t="s">
        <v>3221</v>
      </c>
      <c r="T137" s="13" t="s">
        <v>3178</v>
      </c>
      <c r="U137" s="13" t="s">
        <v>3165</v>
      </c>
      <c r="V137" s="13" t="s">
        <v>3165</v>
      </c>
      <c r="W137" s="13" t="s">
        <v>3167</v>
      </c>
      <c r="X137" s="13" t="s">
        <v>3217</v>
      </c>
      <c r="Y137" s="13" t="s">
        <v>3180</v>
      </c>
      <c r="Z137" s="13">
        <v>1.0</v>
      </c>
      <c r="AA137" s="13" t="b">
        <v>1</v>
      </c>
      <c r="AB137" s="48"/>
      <c r="AC137" s="49"/>
    </row>
    <row r="138" ht="14.25" customHeight="1">
      <c r="A138" s="13">
        <v>24307.0</v>
      </c>
      <c r="B138" s="13" t="str">
        <f t="shared" si="2"/>
        <v>Observational</v>
      </c>
      <c r="C138" s="13" t="s">
        <v>4864</v>
      </c>
      <c r="D138" s="1" t="s">
        <v>5019</v>
      </c>
      <c r="E138" s="13" t="s">
        <v>4895</v>
      </c>
      <c r="F138" s="13" t="s">
        <v>3183</v>
      </c>
      <c r="G138" s="13" t="s">
        <v>3183</v>
      </c>
      <c r="H138" s="13" t="s">
        <v>3253</v>
      </c>
      <c r="I138" s="13" t="s">
        <v>3167</v>
      </c>
      <c r="J138" s="13" t="s">
        <v>3167</v>
      </c>
      <c r="K138" s="13" t="s">
        <v>3153</v>
      </c>
      <c r="L138" s="13" t="s">
        <v>3179</v>
      </c>
      <c r="M138" s="13" t="s">
        <v>3219</v>
      </c>
      <c r="N138" s="13" t="s">
        <v>3175</v>
      </c>
      <c r="O138" s="13" t="s">
        <v>3842</v>
      </c>
      <c r="P138" s="13">
        <v>8.0</v>
      </c>
      <c r="Q138" s="13" t="s">
        <v>3177</v>
      </c>
      <c r="R138" s="13" t="s">
        <v>3177</v>
      </c>
      <c r="S138" s="13" t="s">
        <v>3843</v>
      </c>
      <c r="T138" s="13" t="s">
        <v>3844</v>
      </c>
      <c r="U138" s="13" t="s">
        <v>3252</v>
      </c>
      <c r="V138" s="13" t="s">
        <v>3252</v>
      </c>
      <c r="W138" s="13" t="s">
        <v>3298</v>
      </c>
      <c r="X138" s="13" t="s">
        <v>3217</v>
      </c>
      <c r="Y138" s="13" t="s">
        <v>3187</v>
      </c>
      <c r="Z138" s="13">
        <v>2500.0</v>
      </c>
      <c r="AA138" s="13" t="b">
        <v>1</v>
      </c>
      <c r="AB138" s="48"/>
      <c r="AC138" s="49"/>
    </row>
    <row r="139" ht="14.25" customHeight="1">
      <c r="A139" s="13">
        <v>23565.0</v>
      </c>
      <c r="B139" s="13" t="str">
        <f t="shared" si="2"/>
        <v>Observational</v>
      </c>
      <c r="C139" s="13" t="s">
        <v>4864</v>
      </c>
      <c r="D139" s="1" t="s">
        <v>5020</v>
      </c>
      <c r="E139" s="13" t="s">
        <v>4895</v>
      </c>
      <c r="F139" s="13" t="s">
        <v>3333</v>
      </c>
      <c r="G139" s="13" t="s">
        <v>3499</v>
      </c>
      <c r="H139" s="13" t="s">
        <v>3195</v>
      </c>
      <c r="I139" s="13" t="s">
        <v>3181</v>
      </c>
      <c r="J139" s="13" t="s">
        <v>3229</v>
      </c>
      <c r="K139" s="13" t="s">
        <v>3153</v>
      </c>
      <c r="L139" s="13" t="s">
        <v>3179</v>
      </c>
      <c r="M139" s="13" t="s">
        <v>3498</v>
      </c>
      <c r="N139" s="13" t="s">
        <v>3175</v>
      </c>
      <c r="O139" s="13" t="s">
        <v>33</v>
      </c>
      <c r="P139" s="13">
        <v>10.0</v>
      </c>
      <c r="Q139" s="13" t="s">
        <v>3177</v>
      </c>
      <c r="R139" s="13" t="s">
        <v>3163</v>
      </c>
      <c r="S139" s="13" t="s">
        <v>33</v>
      </c>
      <c r="T139" s="13" t="s">
        <v>3167</v>
      </c>
      <c r="U139" s="13" t="s">
        <v>3195</v>
      </c>
      <c r="V139" s="13" t="s">
        <v>3195</v>
      </c>
      <c r="W139" s="13" t="s">
        <v>3167</v>
      </c>
      <c r="X139" s="13" t="s">
        <v>3192</v>
      </c>
      <c r="Y139" s="13" t="s">
        <v>33</v>
      </c>
      <c r="Z139" s="13" t="s">
        <v>33</v>
      </c>
      <c r="AA139" s="13" t="b">
        <v>1</v>
      </c>
      <c r="AB139" s="48"/>
      <c r="AC139" s="49"/>
    </row>
    <row r="140" ht="14.25" customHeight="1">
      <c r="A140" s="13">
        <v>25082.0</v>
      </c>
      <c r="B140" s="13" t="str">
        <f t="shared" si="2"/>
        <v>Observational</v>
      </c>
      <c r="C140" s="13" t="s">
        <v>4864</v>
      </c>
      <c r="D140" s="1" t="s">
        <v>5021</v>
      </c>
      <c r="E140" s="13" t="s">
        <v>4895</v>
      </c>
      <c r="F140" s="13" t="s">
        <v>3183</v>
      </c>
      <c r="G140" s="13" t="s">
        <v>3183</v>
      </c>
      <c r="H140" s="13" t="s">
        <v>3166</v>
      </c>
      <c r="I140" s="13" t="s">
        <v>3666</v>
      </c>
      <c r="J140" s="13" t="s">
        <v>3289</v>
      </c>
      <c r="K140" s="13" t="s">
        <v>3153</v>
      </c>
      <c r="L140" s="13" t="s">
        <v>3179</v>
      </c>
      <c r="M140" s="13" t="s">
        <v>4132</v>
      </c>
      <c r="N140" s="13" t="s">
        <v>3175</v>
      </c>
      <c r="O140" s="13" t="s">
        <v>4133</v>
      </c>
      <c r="P140" s="13">
        <v>9.0</v>
      </c>
      <c r="Q140" s="13" t="s">
        <v>3160</v>
      </c>
      <c r="R140" s="13" t="s">
        <v>3163</v>
      </c>
      <c r="S140" s="13" t="s">
        <v>33</v>
      </c>
      <c r="T140" s="13" t="s">
        <v>3168</v>
      </c>
      <c r="U140" s="13" t="s">
        <v>3232</v>
      </c>
      <c r="V140" s="13" t="s">
        <v>3232</v>
      </c>
      <c r="W140" s="13" t="s">
        <v>3167</v>
      </c>
      <c r="X140" s="13" t="s">
        <v>3155</v>
      </c>
      <c r="Y140" s="13" t="s">
        <v>3520</v>
      </c>
      <c r="Z140" s="13">
        <v>5.0</v>
      </c>
      <c r="AA140" s="13" t="b">
        <v>1</v>
      </c>
      <c r="AB140" s="48"/>
      <c r="AC140" s="49"/>
    </row>
    <row r="141" ht="14.25" customHeight="1">
      <c r="A141" s="13">
        <v>25687.0</v>
      </c>
      <c r="B141" s="13" t="str">
        <f t="shared" si="2"/>
        <v>Observational</v>
      </c>
      <c r="C141" s="13" t="s">
        <v>4864</v>
      </c>
      <c r="D141" s="1" t="s">
        <v>5021</v>
      </c>
      <c r="E141" s="13" t="s">
        <v>4895</v>
      </c>
      <c r="F141" s="13" t="s">
        <v>3218</v>
      </c>
      <c r="G141" s="13" t="s">
        <v>3183</v>
      </c>
      <c r="H141" s="13" t="s">
        <v>3166</v>
      </c>
      <c r="I141" s="13" t="s">
        <v>3181</v>
      </c>
      <c r="J141" s="13" t="s">
        <v>3182</v>
      </c>
      <c r="K141" s="13" t="s">
        <v>3153</v>
      </c>
      <c r="L141" s="13" t="s">
        <v>3179</v>
      </c>
      <c r="M141" s="13" t="s">
        <v>4132</v>
      </c>
      <c r="N141" s="13" t="s">
        <v>3175</v>
      </c>
      <c r="O141" s="13" t="s">
        <v>4301</v>
      </c>
      <c r="P141" s="13">
        <v>9.0</v>
      </c>
      <c r="Q141" s="13" t="s">
        <v>3177</v>
      </c>
      <c r="R141" s="13" t="s">
        <v>3177</v>
      </c>
      <c r="S141" s="13" t="s">
        <v>4302</v>
      </c>
      <c r="T141" s="13" t="s">
        <v>3255</v>
      </c>
      <c r="U141" s="13" t="s">
        <v>3197</v>
      </c>
      <c r="V141" s="13" t="s">
        <v>3197</v>
      </c>
      <c r="W141" s="13" t="s">
        <v>3167</v>
      </c>
      <c r="X141" s="13" t="s">
        <v>3192</v>
      </c>
      <c r="Y141" s="13" t="s">
        <v>3156</v>
      </c>
      <c r="Z141" s="13" t="s">
        <v>33</v>
      </c>
      <c r="AA141" s="13" t="b">
        <v>1</v>
      </c>
      <c r="AB141" s="48"/>
      <c r="AC141" s="49"/>
    </row>
    <row r="142" ht="14.25" customHeight="1">
      <c r="A142" s="13">
        <v>26080.0</v>
      </c>
      <c r="B142" s="13" t="str">
        <f t="shared" si="2"/>
        <v>Observational</v>
      </c>
      <c r="C142" s="13" t="s">
        <v>4856</v>
      </c>
      <c r="D142" s="1" t="s">
        <v>5021</v>
      </c>
      <c r="E142" s="13" t="s">
        <v>4895</v>
      </c>
      <c r="F142" s="13" t="s">
        <v>4440</v>
      </c>
      <c r="G142" s="13" t="s">
        <v>3173</v>
      </c>
      <c r="H142" s="13" t="s">
        <v>3166</v>
      </c>
      <c r="I142" s="13" t="s">
        <v>4439</v>
      </c>
      <c r="J142" s="13" t="s">
        <v>3167</v>
      </c>
      <c r="K142" s="13" t="s">
        <v>3153</v>
      </c>
      <c r="L142" s="13" t="s">
        <v>3169</v>
      </c>
      <c r="M142" s="13" t="s">
        <v>4132</v>
      </c>
      <c r="N142" s="13" t="s">
        <v>3175</v>
      </c>
      <c r="O142" s="13" t="s">
        <v>4441</v>
      </c>
      <c r="P142" s="13">
        <v>9.0</v>
      </c>
      <c r="Q142" s="13" t="s">
        <v>3160</v>
      </c>
      <c r="R142" s="13" t="s">
        <v>3163</v>
      </c>
      <c r="S142" s="13" t="s">
        <v>33</v>
      </c>
      <c r="T142" s="13" t="s">
        <v>3178</v>
      </c>
      <c r="U142" s="13" t="s">
        <v>3164</v>
      </c>
      <c r="V142" s="13" t="s">
        <v>3232</v>
      </c>
      <c r="W142" s="13" t="s">
        <v>3167</v>
      </c>
      <c r="X142" s="13" t="s">
        <v>3284</v>
      </c>
      <c r="Y142" s="13" t="s">
        <v>3187</v>
      </c>
      <c r="Z142" s="13">
        <v>2500.0</v>
      </c>
      <c r="AA142" s="13" t="b">
        <v>1</v>
      </c>
      <c r="AB142" s="48"/>
      <c r="AC142" s="49"/>
    </row>
    <row r="143" ht="14.25" customHeight="1">
      <c r="A143" s="13">
        <v>23888.0</v>
      </c>
      <c r="B143" s="13" t="str">
        <f t="shared" si="2"/>
        <v>Observational</v>
      </c>
      <c r="C143" s="13" t="s">
        <v>4864</v>
      </c>
      <c r="D143" s="1" t="s">
        <v>5022</v>
      </c>
      <c r="E143" s="13" t="s">
        <v>5023</v>
      </c>
      <c r="F143" s="13" t="s">
        <v>3218</v>
      </c>
      <c r="G143" s="13" t="s">
        <v>3205</v>
      </c>
      <c r="H143" s="13" t="s">
        <v>3195</v>
      </c>
      <c r="I143" s="13" t="s">
        <v>3261</v>
      </c>
      <c r="J143" s="13" t="s">
        <v>3570</v>
      </c>
      <c r="K143" s="13" t="s">
        <v>3153</v>
      </c>
      <c r="L143" s="13" t="s">
        <v>3179</v>
      </c>
      <c r="M143" s="13" t="s">
        <v>3669</v>
      </c>
      <c r="N143" s="13" t="s">
        <v>3175</v>
      </c>
      <c r="O143" s="13" t="s">
        <v>3220</v>
      </c>
      <c r="P143" s="13">
        <v>12.0</v>
      </c>
      <c r="Q143" s="13" t="s">
        <v>3177</v>
      </c>
      <c r="R143" s="13" t="s">
        <v>3163</v>
      </c>
      <c r="S143" s="13" t="s">
        <v>33</v>
      </c>
      <c r="T143" s="13" t="s">
        <v>3167</v>
      </c>
      <c r="U143" s="13" t="s">
        <v>3195</v>
      </c>
      <c r="V143" s="13" t="s">
        <v>3195</v>
      </c>
      <c r="W143" s="13" t="s">
        <v>3167</v>
      </c>
      <c r="X143" s="13" t="s">
        <v>3155</v>
      </c>
      <c r="Y143" s="13" t="s">
        <v>3187</v>
      </c>
      <c r="Z143" s="13">
        <v>25.0</v>
      </c>
      <c r="AA143" s="13" t="b">
        <v>1</v>
      </c>
      <c r="AB143" s="48"/>
      <c r="AC143" s="49"/>
    </row>
    <row r="144" ht="14.25" customHeight="1">
      <c r="A144" s="13">
        <v>23454.0</v>
      </c>
      <c r="B144" s="13" t="str">
        <f t="shared" si="2"/>
        <v>Observational</v>
      </c>
      <c r="C144" s="13" t="s">
        <v>4856</v>
      </c>
      <c r="D144" s="1" t="s">
        <v>5024</v>
      </c>
      <c r="E144" s="13" t="s">
        <v>5025</v>
      </c>
      <c r="F144" s="13" t="s">
        <v>3159</v>
      </c>
      <c r="G144" s="13" t="s">
        <v>3159</v>
      </c>
      <c r="H144" s="13" t="s">
        <v>3242</v>
      </c>
      <c r="I144" s="13" t="s">
        <v>3244</v>
      </c>
      <c r="J144" s="13" t="s">
        <v>3289</v>
      </c>
      <c r="K144" s="13" t="s">
        <v>3153</v>
      </c>
      <c r="L144" s="13" t="s">
        <v>3169</v>
      </c>
      <c r="M144" s="13" t="s">
        <v>3452</v>
      </c>
      <c r="N144" s="13" t="s">
        <v>3162</v>
      </c>
      <c r="O144" s="13" t="s">
        <v>33</v>
      </c>
      <c r="P144" s="13">
        <v>3.0</v>
      </c>
      <c r="Q144" s="13" t="s">
        <v>3160</v>
      </c>
      <c r="R144" s="13" t="s">
        <v>3177</v>
      </c>
      <c r="S144" s="13" t="s">
        <v>33</v>
      </c>
      <c r="T144" s="13" t="s">
        <v>3167</v>
      </c>
      <c r="U144" s="13" t="s">
        <v>3228</v>
      </c>
      <c r="V144" s="13" t="s">
        <v>3228</v>
      </c>
      <c r="W144" s="13" t="s">
        <v>3377</v>
      </c>
      <c r="X144" s="13" t="s">
        <v>3192</v>
      </c>
      <c r="Y144" s="13" t="s">
        <v>3180</v>
      </c>
      <c r="Z144" s="13">
        <v>0.2</v>
      </c>
      <c r="AA144" s="13" t="b">
        <v>0</v>
      </c>
      <c r="AB144" s="48"/>
      <c r="AC144" s="49"/>
    </row>
    <row r="145" ht="14.25" customHeight="1">
      <c r="A145" s="13">
        <v>24878.0</v>
      </c>
      <c r="B145" s="13" t="str">
        <f t="shared" si="2"/>
        <v>Observational</v>
      </c>
      <c r="C145" s="13" t="s">
        <v>4864</v>
      </c>
      <c r="D145" s="1" t="s">
        <v>5026</v>
      </c>
      <c r="E145" s="13" t="s">
        <v>5027</v>
      </c>
      <c r="F145" s="13" t="s">
        <v>3159</v>
      </c>
      <c r="G145" s="13" t="s">
        <v>3159</v>
      </c>
      <c r="H145" s="13" t="s">
        <v>3166</v>
      </c>
      <c r="I145" s="13" t="s">
        <v>3249</v>
      </c>
      <c r="J145" s="13" t="s">
        <v>3364</v>
      </c>
      <c r="K145" s="13" t="s">
        <v>3153</v>
      </c>
      <c r="L145" s="13" t="s">
        <v>3179</v>
      </c>
      <c r="M145" s="13" t="s">
        <v>4065</v>
      </c>
      <c r="N145" s="13" t="s">
        <v>3162</v>
      </c>
      <c r="O145" s="13" t="s">
        <v>3167</v>
      </c>
      <c r="P145" s="13">
        <v>2.0</v>
      </c>
      <c r="Q145" s="13" t="s">
        <v>3160</v>
      </c>
      <c r="R145" s="13" t="s">
        <v>3231</v>
      </c>
      <c r="S145" s="13" t="s">
        <v>33</v>
      </c>
      <c r="T145" s="13" t="s">
        <v>4066</v>
      </c>
      <c r="U145" s="13" t="s">
        <v>3247</v>
      </c>
      <c r="V145" s="13" t="s">
        <v>3247</v>
      </c>
      <c r="W145" s="13" t="s">
        <v>3167</v>
      </c>
      <c r="X145" s="13" t="s">
        <v>3170</v>
      </c>
      <c r="Y145" s="13" t="s">
        <v>3156</v>
      </c>
      <c r="Z145" s="13" t="s">
        <v>3167</v>
      </c>
      <c r="AA145" s="13" t="b">
        <v>0</v>
      </c>
      <c r="AB145" s="48"/>
      <c r="AC145" s="49"/>
    </row>
    <row r="146" ht="14.25" customHeight="1">
      <c r="A146" s="13">
        <v>24397.0</v>
      </c>
      <c r="B146" s="13" t="str">
        <f t="shared" si="2"/>
        <v>Observational</v>
      </c>
      <c r="C146" s="13" t="s">
        <v>4856</v>
      </c>
      <c r="D146" s="1" t="s">
        <v>5028</v>
      </c>
      <c r="E146" s="13" t="s">
        <v>5007</v>
      </c>
      <c r="F146" s="13" t="s">
        <v>3183</v>
      </c>
      <c r="G146" s="13" t="s">
        <v>3886</v>
      </c>
      <c r="H146" s="13" t="s">
        <v>3166</v>
      </c>
      <c r="I146" s="13" t="s">
        <v>3222</v>
      </c>
      <c r="J146" s="13" t="s">
        <v>3182</v>
      </c>
      <c r="K146" s="13" t="s">
        <v>3153</v>
      </c>
      <c r="L146" s="13" t="s">
        <v>3169</v>
      </c>
      <c r="M146" s="13" t="s">
        <v>3884</v>
      </c>
      <c r="N146" s="13" t="s">
        <v>3162</v>
      </c>
      <c r="O146" s="13" t="s">
        <v>3885</v>
      </c>
      <c r="P146" s="13">
        <v>2.0</v>
      </c>
      <c r="Q146" s="13" t="s">
        <v>3160</v>
      </c>
      <c r="R146" s="13" t="s">
        <v>3177</v>
      </c>
      <c r="S146" s="13" t="s">
        <v>33</v>
      </c>
      <c r="T146" s="13" t="s">
        <v>3224</v>
      </c>
      <c r="U146" s="13" t="s">
        <v>3164</v>
      </c>
      <c r="V146" s="13" t="s">
        <v>3164</v>
      </c>
      <c r="W146" s="13" t="s">
        <v>3167</v>
      </c>
      <c r="X146" s="13" t="s">
        <v>3170</v>
      </c>
      <c r="Y146" s="13" t="s">
        <v>3202</v>
      </c>
      <c r="Z146" s="13">
        <v>30.0</v>
      </c>
      <c r="AA146" s="13" t="b">
        <v>0</v>
      </c>
      <c r="AB146" s="48"/>
      <c r="AC146" s="49"/>
    </row>
    <row r="147" ht="14.25" customHeight="1">
      <c r="A147" s="13">
        <v>23146.0</v>
      </c>
      <c r="B147" s="13" t="str">
        <f t="shared" si="2"/>
        <v>Observational</v>
      </c>
      <c r="C147" s="13" t="s">
        <v>4856</v>
      </c>
      <c r="D147" s="1" t="s">
        <v>5029</v>
      </c>
      <c r="E147" s="13" t="s">
        <v>5030</v>
      </c>
      <c r="F147" s="13" t="s">
        <v>3287</v>
      </c>
      <c r="G147" s="13" t="s">
        <v>3287</v>
      </c>
      <c r="H147" s="13" t="s">
        <v>3242</v>
      </c>
      <c r="I147" s="13" t="s">
        <v>3188</v>
      </c>
      <c r="J147" s="13" t="s">
        <v>3286</v>
      </c>
      <c r="K147" s="13" t="s">
        <v>3153</v>
      </c>
      <c r="L147" s="13" t="s">
        <v>3169</v>
      </c>
      <c r="M147" s="13" t="s">
        <v>3302</v>
      </c>
      <c r="N147" s="13" t="s">
        <v>3162</v>
      </c>
      <c r="O147" s="13" t="s">
        <v>33</v>
      </c>
      <c r="P147" s="13">
        <v>2.0</v>
      </c>
      <c r="Q147" s="13" t="s">
        <v>3177</v>
      </c>
      <c r="R147" s="13" t="s">
        <v>3163</v>
      </c>
      <c r="S147" s="13" t="s">
        <v>33</v>
      </c>
      <c r="T147" s="13" t="s">
        <v>3167</v>
      </c>
      <c r="U147" s="13" t="s">
        <v>3164</v>
      </c>
      <c r="V147" s="13" t="s">
        <v>3247</v>
      </c>
      <c r="W147" s="13" t="s">
        <v>3303</v>
      </c>
      <c r="X147" s="13" t="s">
        <v>3170</v>
      </c>
      <c r="Y147" s="13" t="s">
        <v>3202</v>
      </c>
      <c r="Z147" s="13">
        <v>20.0</v>
      </c>
      <c r="AA147" s="13" t="b">
        <v>0</v>
      </c>
      <c r="AB147" s="48"/>
      <c r="AC147" s="49"/>
    </row>
    <row r="148" ht="14.25" customHeight="1">
      <c r="A148" s="13">
        <v>25086.0</v>
      </c>
      <c r="B148" s="13" t="str">
        <f t="shared" si="2"/>
        <v>Experimental</v>
      </c>
      <c r="C148" s="13" t="s">
        <v>4856</v>
      </c>
      <c r="D148" s="1" t="s">
        <v>5031</v>
      </c>
      <c r="E148" s="13" t="s">
        <v>4858</v>
      </c>
      <c r="F148" s="13" t="s">
        <v>3186</v>
      </c>
      <c r="G148" s="13" t="s">
        <v>3159</v>
      </c>
      <c r="H148" s="13" t="s">
        <v>3166</v>
      </c>
      <c r="I148" s="13" t="s">
        <v>3157</v>
      </c>
      <c r="J148" s="13" t="s">
        <v>3410</v>
      </c>
      <c r="K148" s="13" t="s">
        <v>3457</v>
      </c>
      <c r="L148" s="13" t="s">
        <v>3169</v>
      </c>
      <c r="M148" s="13" t="s">
        <v>4135</v>
      </c>
      <c r="N148" s="13" t="s">
        <v>3162</v>
      </c>
      <c r="O148" s="13" t="s">
        <v>33</v>
      </c>
      <c r="P148" s="13">
        <v>1.0</v>
      </c>
      <c r="Q148" s="13" t="s">
        <v>3160</v>
      </c>
      <c r="R148" s="13" t="s">
        <v>3177</v>
      </c>
      <c r="S148" s="13" t="s">
        <v>33</v>
      </c>
      <c r="T148" s="13" t="s">
        <v>3224</v>
      </c>
      <c r="U148" s="13" t="s">
        <v>3164</v>
      </c>
      <c r="V148" s="13" t="s">
        <v>3164</v>
      </c>
      <c r="W148" s="13" t="s">
        <v>3167</v>
      </c>
      <c r="X148" s="13" t="s">
        <v>3170</v>
      </c>
      <c r="Y148" s="13" t="s">
        <v>3538</v>
      </c>
      <c r="Z148" s="13">
        <v>625.0</v>
      </c>
      <c r="AA148" s="13" t="b">
        <v>0</v>
      </c>
      <c r="AB148" s="48"/>
      <c r="AC148" s="49"/>
    </row>
    <row r="149" ht="14.25" customHeight="1">
      <c r="A149" s="13">
        <v>24299.0</v>
      </c>
      <c r="B149" s="13" t="str">
        <f t="shared" si="2"/>
        <v>Observational</v>
      </c>
      <c r="C149" s="13" t="s">
        <v>4856</v>
      </c>
      <c r="D149" s="1" t="s">
        <v>5032</v>
      </c>
      <c r="E149" s="13" t="s">
        <v>4908</v>
      </c>
      <c r="F149" s="13" t="s">
        <v>3208</v>
      </c>
      <c r="G149" s="13" t="s">
        <v>3210</v>
      </c>
      <c r="H149" s="13" t="s">
        <v>3195</v>
      </c>
      <c r="I149" s="13" t="s">
        <v>3157</v>
      </c>
      <c r="J149" s="13" t="s">
        <v>3158</v>
      </c>
      <c r="K149" s="13" t="s">
        <v>3153</v>
      </c>
      <c r="L149" s="13" t="s">
        <v>3169</v>
      </c>
      <c r="M149" s="13" t="s">
        <v>3838</v>
      </c>
      <c r="N149" s="13" t="s">
        <v>3162</v>
      </c>
      <c r="O149" s="13" t="s">
        <v>33</v>
      </c>
      <c r="P149" s="13">
        <v>3.0</v>
      </c>
      <c r="Q149" s="13" t="s">
        <v>3177</v>
      </c>
      <c r="R149" s="13" t="s">
        <v>3163</v>
      </c>
      <c r="S149" s="13" t="s">
        <v>33</v>
      </c>
      <c r="T149" s="13" t="s">
        <v>3167</v>
      </c>
      <c r="U149" s="13" t="s">
        <v>3195</v>
      </c>
      <c r="V149" s="13" t="s">
        <v>3195</v>
      </c>
      <c r="W149" s="13" t="s">
        <v>3167</v>
      </c>
      <c r="X149" s="13" t="s">
        <v>3170</v>
      </c>
      <c r="Y149" s="13" t="s">
        <v>3187</v>
      </c>
      <c r="Z149" s="13">
        <v>0.25</v>
      </c>
      <c r="AA149" s="13" t="b">
        <v>0</v>
      </c>
      <c r="AB149" s="48"/>
      <c r="AC149" s="49"/>
    </row>
    <row r="150" ht="14.25" customHeight="1">
      <c r="A150" s="13">
        <v>24696.0</v>
      </c>
      <c r="B150" s="13" t="str">
        <f t="shared" si="2"/>
        <v>Observational</v>
      </c>
      <c r="C150" s="13" t="s">
        <v>4864</v>
      </c>
      <c r="D150" s="13" t="s">
        <v>5033</v>
      </c>
      <c r="E150" s="13" t="s">
        <v>5034</v>
      </c>
      <c r="F150" s="13" t="s">
        <v>3265</v>
      </c>
      <c r="G150" s="13" t="s">
        <v>3265</v>
      </c>
      <c r="H150" s="13" t="s">
        <v>3242</v>
      </c>
      <c r="I150" s="13" t="s">
        <v>3249</v>
      </c>
      <c r="J150" s="13" t="s">
        <v>3307</v>
      </c>
      <c r="K150" s="13" t="s">
        <v>3153</v>
      </c>
      <c r="L150" s="13" t="s">
        <v>3179</v>
      </c>
      <c r="M150" s="13" t="s">
        <v>4001</v>
      </c>
      <c r="N150" s="13" t="s">
        <v>3162</v>
      </c>
      <c r="O150" s="13" t="s">
        <v>33</v>
      </c>
      <c r="P150" s="13">
        <v>5.0</v>
      </c>
      <c r="Q150" s="13" t="s">
        <v>3160</v>
      </c>
      <c r="R150" s="13" t="s">
        <v>3163</v>
      </c>
      <c r="S150" s="13" t="s">
        <v>33</v>
      </c>
      <c r="T150" s="13" t="s">
        <v>3167</v>
      </c>
      <c r="U150" s="13" t="s">
        <v>3247</v>
      </c>
      <c r="V150" s="13" t="s">
        <v>3247</v>
      </c>
      <c r="W150" s="13" t="s">
        <v>3496</v>
      </c>
      <c r="X150" s="13" t="s">
        <v>3192</v>
      </c>
      <c r="Y150" s="13" t="s">
        <v>33</v>
      </c>
      <c r="Z150" s="13" t="s">
        <v>33</v>
      </c>
      <c r="AA150" s="13" t="b">
        <v>1</v>
      </c>
      <c r="AB150" s="48"/>
      <c r="AC150" s="49"/>
    </row>
    <row r="151" ht="14.25" customHeight="1">
      <c r="A151" s="13">
        <v>24437.0</v>
      </c>
      <c r="B151" s="13" t="str">
        <f t="shared" si="2"/>
        <v>Observational</v>
      </c>
      <c r="C151" s="13" t="s">
        <v>4856</v>
      </c>
      <c r="D151" s="1" t="s">
        <v>5035</v>
      </c>
      <c r="E151" s="13" t="s">
        <v>5007</v>
      </c>
      <c r="F151" s="13" t="s">
        <v>3208</v>
      </c>
      <c r="G151" s="13" t="s">
        <v>3159</v>
      </c>
      <c r="H151" s="13" t="s">
        <v>3253</v>
      </c>
      <c r="I151" s="13" t="s">
        <v>3157</v>
      </c>
      <c r="J151" s="13" t="s">
        <v>3600</v>
      </c>
      <c r="K151" s="13" t="s">
        <v>3153</v>
      </c>
      <c r="L151" s="13" t="s">
        <v>3169</v>
      </c>
      <c r="M151" s="13" t="s">
        <v>3908</v>
      </c>
      <c r="N151" s="13" t="s">
        <v>3162</v>
      </c>
      <c r="O151" s="13" t="s">
        <v>3909</v>
      </c>
      <c r="P151" s="13">
        <v>2.0</v>
      </c>
      <c r="Q151" s="13" t="s">
        <v>3177</v>
      </c>
      <c r="R151" s="13" t="s">
        <v>3163</v>
      </c>
      <c r="S151" s="13" t="s">
        <v>33</v>
      </c>
      <c r="T151" s="13" t="s">
        <v>3910</v>
      </c>
      <c r="U151" s="13" t="s">
        <v>3252</v>
      </c>
      <c r="V151" s="13" t="s">
        <v>3252</v>
      </c>
      <c r="W151" s="13" t="s">
        <v>3496</v>
      </c>
      <c r="X151" s="13" t="s">
        <v>3170</v>
      </c>
      <c r="Y151" s="13" t="s">
        <v>3156</v>
      </c>
      <c r="Z151" s="13" t="s">
        <v>33</v>
      </c>
      <c r="AA151" s="13" t="b">
        <v>0</v>
      </c>
      <c r="AB151" s="48"/>
      <c r="AC151" s="49"/>
    </row>
    <row r="152" ht="14.25" customHeight="1">
      <c r="A152" s="13">
        <v>25682.0</v>
      </c>
      <c r="B152" s="13" t="str">
        <f t="shared" si="2"/>
        <v>Observational</v>
      </c>
      <c r="C152" s="13" t="s">
        <v>4856</v>
      </c>
      <c r="D152" s="1" t="s">
        <v>5036</v>
      </c>
      <c r="E152" s="13" t="s">
        <v>4908</v>
      </c>
      <c r="F152" s="13" t="s">
        <v>3183</v>
      </c>
      <c r="G152" s="13" t="s">
        <v>3183</v>
      </c>
      <c r="H152" s="13" t="s">
        <v>3166</v>
      </c>
      <c r="I152" s="13" t="s">
        <v>3167</v>
      </c>
      <c r="J152" s="13" t="s">
        <v>3167</v>
      </c>
      <c r="K152" s="13" t="s">
        <v>3153</v>
      </c>
      <c r="L152" s="13" t="s">
        <v>3169</v>
      </c>
      <c r="M152" s="13" t="s">
        <v>3789</v>
      </c>
      <c r="N152" s="13" t="s">
        <v>3175</v>
      </c>
      <c r="O152" s="13" t="s">
        <v>4078</v>
      </c>
      <c r="P152" s="13">
        <v>2.0</v>
      </c>
      <c r="Q152" s="13" t="s">
        <v>3160</v>
      </c>
      <c r="R152" s="13" t="s">
        <v>3163</v>
      </c>
      <c r="S152" s="13" t="s">
        <v>4078</v>
      </c>
      <c r="T152" s="13" t="s">
        <v>3224</v>
      </c>
      <c r="U152" s="13" t="s">
        <v>3232</v>
      </c>
      <c r="V152" s="13" t="s">
        <v>3232</v>
      </c>
      <c r="W152" s="13" t="s">
        <v>3167</v>
      </c>
      <c r="X152" s="13" t="s">
        <v>3217</v>
      </c>
      <c r="Y152" s="13" t="s">
        <v>33</v>
      </c>
      <c r="Z152" s="13" t="s">
        <v>33</v>
      </c>
      <c r="AA152" s="13" t="b">
        <v>0</v>
      </c>
      <c r="AB152" s="48"/>
      <c r="AC152" s="49"/>
    </row>
    <row r="153" ht="14.25" customHeight="1">
      <c r="A153" s="13">
        <v>24186.0</v>
      </c>
      <c r="B153" s="13" t="str">
        <f t="shared" si="2"/>
        <v>Observational</v>
      </c>
      <c r="C153" s="13" t="s">
        <v>4856</v>
      </c>
      <c r="D153" s="1" t="s">
        <v>5036</v>
      </c>
      <c r="E153" s="13" t="s">
        <v>4908</v>
      </c>
      <c r="F153" s="13" t="s">
        <v>3287</v>
      </c>
      <c r="G153" s="13" t="s">
        <v>3287</v>
      </c>
      <c r="H153" s="13" t="s">
        <v>3166</v>
      </c>
      <c r="I153" s="13" t="s">
        <v>3222</v>
      </c>
      <c r="J153" s="13" t="s">
        <v>3182</v>
      </c>
      <c r="K153" s="13" t="s">
        <v>3153</v>
      </c>
      <c r="L153" s="13" t="s">
        <v>3169</v>
      </c>
      <c r="M153" s="13" t="s">
        <v>3789</v>
      </c>
      <c r="N153" s="13" t="s">
        <v>3162</v>
      </c>
      <c r="O153" s="13" t="s">
        <v>33</v>
      </c>
      <c r="P153" s="13">
        <v>2.0</v>
      </c>
      <c r="Q153" s="13" t="s">
        <v>3177</v>
      </c>
      <c r="R153" s="13" t="s">
        <v>3163</v>
      </c>
      <c r="S153" s="13" t="s">
        <v>33</v>
      </c>
      <c r="T153" s="13" t="s">
        <v>3178</v>
      </c>
      <c r="U153" s="13" t="s">
        <v>3164</v>
      </c>
      <c r="V153" s="13" t="s">
        <v>3164</v>
      </c>
      <c r="W153" s="13" t="s">
        <v>3167</v>
      </c>
      <c r="X153" s="13" t="s">
        <v>3192</v>
      </c>
      <c r="Y153" s="13" t="s">
        <v>33</v>
      </c>
      <c r="Z153" s="13" t="s">
        <v>33</v>
      </c>
      <c r="AA153" s="13" t="b">
        <v>0</v>
      </c>
      <c r="AB153" s="48"/>
      <c r="AC153" s="49"/>
    </row>
    <row r="154" ht="14.25" customHeight="1">
      <c r="A154" s="13">
        <v>24894.0</v>
      </c>
      <c r="B154" s="13" t="str">
        <f t="shared" si="2"/>
        <v>Observational</v>
      </c>
      <c r="C154" s="13" t="s">
        <v>4856</v>
      </c>
      <c r="D154" s="1" t="s">
        <v>5036</v>
      </c>
      <c r="E154" s="13" t="s">
        <v>4908</v>
      </c>
      <c r="F154" s="13" t="s">
        <v>3190</v>
      </c>
      <c r="G154" s="13" t="s">
        <v>3210</v>
      </c>
      <c r="H154" s="13" t="s">
        <v>3195</v>
      </c>
      <c r="I154" s="13" t="s">
        <v>3171</v>
      </c>
      <c r="J154" s="13" t="s">
        <v>4072</v>
      </c>
      <c r="K154" s="13" t="s">
        <v>3153</v>
      </c>
      <c r="L154" s="13" t="s">
        <v>3169</v>
      </c>
      <c r="M154" s="13" t="s">
        <v>3789</v>
      </c>
      <c r="N154" s="13" t="s">
        <v>3162</v>
      </c>
      <c r="O154" s="13" t="s">
        <v>33</v>
      </c>
      <c r="P154" s="13">
        <v>2.0</v>
      </c>
      <c r="Q154" s="13" t="s">
        <v>3160</v>
      </c>
      <c r="R154" s="13" t="s">
        <v>3163</v>
      </c>
      <c r="S154" s="13" t="s">
        <v>33</v>
      </c>
      <c r="T154" s="13" t="s">
        <v>3167</v>
      </c>
      <c r="U154" s="13" t="s">
        <v>3195</v>
      </c>
      <c r="V154" s="13" t="s">
        <v>3195</v>
      </c>
      <c r="W154" s="13" t="s">
        <v>3167</v>
      </c>
      <c r="X154" s="13" t="s">
        <v>3170</v>
      </c>
      <c r="Y154" s="13" t="s">
        <v>3156</v>
      </c>
      <c r="Z154" s="13" t="s">
        <v>33</v>
      </c>
      <c r="AA154" s="13" t="b">
        <v>0</v>
      </c>
      <c r="AB154" s="48"/>
      <c r="AC154" s="49"/>
    </row>
    <row r="155" ht="14.25" customHeight="1">
      <c r="A155" s="13">
        <v>25210.0</v>
      </c>
      <c r="B155" s="13" t="str">
        <f t="shared" si="2"/>
        <v>Observational</v>
      </c>
      <c r="C155" s="13" t="s">
        <v>4856</v>
      </c>
      <c r="D155" s="13" t="s">
        <v>5037</v>
      </c>
      <c r="E155" s="13" t="s">
        <v>5038</v>
      </c>
      <c r="F155" s="13" t="s">
        <v>3159</v>
      </c>
      <c r="G155" s="13" t="s">
        <v>3437</v>
      </c>
      <c r="H155" s="13" t="s">
        <v>3166</v>
      </c>
      <c r="I155" s="13" t="s">
        <v>3157</v>
      </c>
      <c r="J155" s="13" t="s">
        <v>3307</v>
      </c>
      <c r="K155" s="13" t="s">
        <v>3153</v>
      </c>
      <c r="L155" s="13" t="s">
        <v>3169</v>
      </c>
      <c r="M155" s="13" t="s">
        <v>3672</v>
      </c>
      <c r="N155" s="13" t="s">
        <v>3162</v>
      </c>
      <c r="O155" s="13" t="s">
        <v>33</v>
      </c>
      <c r="P155" s="13">
        <v>3.0</v>
      </c>
      <c r="Q155" s="13" t="s">
        <v>3177</v>
      </c>
      <c r="R155" s="13" t="s">
        <v>3163</v>
      </c>
      <c r="S155" s="13" t="s">
        <v>3601</v>
      </c>
      <c r="T155" s="13" t="s">
        <v>3224</v>
      </c>
      <c r="U155" s="13" t="s">
        <v>3232</v>
      </c>
      <c r="V155" s="13" t="s">
        <v>3232</v>
      </c>
      <c r="W155" s="13" t="s">
        <v>3167</v>
      </c>
      <c r="X155" s="13" t="s">
        <v>3192</v>
      </c>
      <c r="Y155" s="13" t="s">
        <v>3156</v>
      </c>
      <c r="Z155" s="13" t="s">
        <v>33</v>
      </c>
      <c r="AA155" s="13" t="b">
        <v>1</v>
      </c>
      <c r="AB155" s="48"/>
      <c r="AC155" s="49"/>
    </row>
    <row r="156" ht="14.25" customHeight="1">
      <c r="A156" s="13">
        <v>23188.0</v>
      </c>
      <c r="B156" s="13" t="str">
        <f t="shared" si="2"/>
        <v>Observational</v>
      </c>
      <c r="C156" s="13" t="s">
        <v>4856</v>
      </c>
      <c r="D156" s="1"/>
      <c r="E156" s="2" t="s">
        <v>4854</v>
      </c>
      <c r="F156" s="13" t="s">
        <v>3208</v>
      </c>
      <c r="G156" s="13" t="s">
        <v>3210</v>
      </c>
      <c r="H156" s="13" t="s">
        <v>3195</v>
      </c>
      <c r="I156" s="13" t="s">
        <v>3188</v>
      </c>
      <c r="J156" s="13" t="s">
        <v>3327</v>
      </c>
      <c r="K156" s="13" t="s">
        <v>3153</v>
      </c>
      <c r="L156" s="13" t="s">
        <v>3169</v>
      </c>
      <c r="M156" s="13" t="s">
        <v>3328</v>
      </c>
      <c r="N156" s="13" t="s">
        <v>3267</v>
      </c>
      <c r="O156" s="13" t="s">
        <v>33</v>
      </c>
      <c r="P156" s="13">
        <v>1.0</v>
      </c>
      <c r="Q156" s="13" t="s">
        <v>3160</v>
      </c>
      <c r="R156" s="13" t="s">
        <v>3163</v>
      </c>
      <c r="S156" s="13" t="s">
        <v>3329</v>
      </c>
      <c r="T156" s="13" t="s">
        <v>3167</v>
      </c>
      <c r="U156" s="13" t="s">
        <v>3195</v>
      </c>
      <c r="V156" s="13" t="s">
        <v>3195</v>
      </c>
      <c r="W156" s="13" t="s">
        <v>3167</v>
      </c>
      <c r="X156" s="13" t="s">
        <v>3170</v>
      </c>
      <c r="Y156" s="13" t="s">
        <v>33</v>
      </c>
      <c r="Z156" s="13" t="s">
        <v>33</v>
      </c>
      <c r="AA156" s="13" t="b">
        <v>1</v>
      </c>
      <c r="AB156" s="48"/>
      <c r="AC156" s="49"/>
    </row>
    <row r="157" ht="14.25" customHeight="1">
      <c r="A157" s="13">
        <v>23236.0</v>
      </c>
      <c r="B157" s="13" t="str">
        <f t="shared" si="2"/>
        <v>Observational</v>
      </c>
      <c r="C157" s="13" t="s">
        <v>4852</v>
      </c>
      <c r="D157" s="1"/>
      <c r="E157" s="2" t="s">
        <v>4854</v>
      </c>
      <c r="F157" s="13" t="s">
        <v>3208</v>
      </c>
      <c r="G157" s="13" t="s">
        <v>3173</v>
      </c>
      <c r="H157" s="13" t="s">
        <v>3166</v>
      </c>
      <c r="I157" s="13" t="s">
        <v>3222</v>
      </c>
      <c r="J157" s="13" t="s">
        <v>3182</v>
      </c>
      <c r="K157" s="13" t="s">
        <v>3153</v>
      </c>
      <c r="L157" s="13" t="s">
        <v>3154</v>
      </c>
      <c r="M157" s="13" t="s">
        <v>3328</v>
      </c>
      <c r="N157" s="13" t="s">
        <v>3267</v>
      </c>
      <c r="O157" s="13" t="s">
        <v>33</v>
      </c>
      <c r="P157" s="13">
        <v>1.0</v>
      </c>
      <c r="Q157" s="13" t="s">
        <v>3160</v>
      </c>
      <c r="R157" s="13" t="s">
        <v>3163</v>
      </c>
      <c r="S157" s="13" t="s">
        <v>3343</v>
      </c>
      <c r="T157" s="13" t="s">
        <v>3255</v>
      </c>
      <c r="U157" s="13" t="s">
        <v>3164</v>
      </c>
      <c r="V157" s="13" t="s">
        <v>3164</v>
      </c>
      <c r="W157" s="13" t="s">
        <v>3167</v>
      </c>
      <c r="X157" s="13" t="s">
        <v>3170</v>
      </c>
      <c r="Y157" s="13" t="s">
        <v>3202</v>
      </c>
      <c r="Z157" s="13">
        <v>30.0</v>
      </c>
      <c r="AA157" s="13" t="b">
        <v>1</v>
      </c>
      <c r="AB157" s="48"/>
      <c r="AC157" s="49"/>
    </row>
    <row r="158" ht="14.25" customHeight="1">
      <c r="A158" s="13">
        <v>23404.0</v>
      </c>
      <c r="B158" s="13" t="str">
        <f t="shared" si="2"/>
        <v>Observational</v>
      </c>
      <c r="C158" s="13" t="s">
        <v>4856</v>
      </c>
      <c r="D158" s="1"/>
      <c r="E158" s="2" t="s">
        <v>4854</v>
      </c>
      <c r="F158" s="13" t="s">
        <v>3208</v>
      </c>
      <c r="G158" s="13" t="s">
        <v>3273</v>
      </c>
      <c r="H158" s="13" t="s">
        <v>3242</v>
      </c>
      <c r="I158" s="13" t="s">
        <v>3188</v>
      </c>
      <c r="J158" s="13" t="s">
        <v>3207</v>
      </c>
      <c r="K158" s="13" t="s">
        <v>3153</v>
      </c>
      <c r="L158" s="13" t="s">
        <v>3169</v>
      </c>
      <c r="M158" s="13" t="s">
        <v>3328</v>
      </c>
      <c r="N158" s="13" t="s">
        <v>3267</v>
      </c>
      <c r="O158" s="13" t="s">
        <v>3167</v>
      </c>
      <c r="P158" s="13">
        <v>1.0</v>
      </c>
      <c r="Q158" s="13" t="s">
        <v>3160</v>
      </c>
      <c r="R158" s="13" t="s">
        <v>3231</v>
      </c>
      <c r="S158" s="13" t="s">
        <v>33</v>
      </c>
      <c r="T158" s="13" t="s">
        <v>3167</v>
      </c>
      <c r="U158" s="13" t="s">
        <v>3247</v>
      </c>
      <c r="V158" s="13" t="s">
        <v>3247</v>
      </c>
      <c r="W158" s="13" t="s">
        <v>3248</v>
      </c>
      <c r="X158" s="13" t="s">
        <v>3170</v>
      </c>
      <c r="Y158" s="13" t="s">
        <v>3202</v>
      </c>
      <c r="Z158" s="13">
        <v>60.0</v>
      </c>
      <c r="AA158" s="13" t="b">
        <v>1</v>
      </c>
      <c r="AB158" s="48"/>
      <c r="AC158" s="49"/>
    </row>
    <row r="159" ht="14.25" customHeight="1">
      <c r="A159" s="13">
        <v>23699.0</v>
      </c>
      <c r="B159" s="13" t="str">
        <f t="shared" si="2"/>
        <v>Observational</v>
      </c>
      <c r="C159" s="13" t="s">
        <v>4856</v>
      </c>
      <c r="D159" s="1"/>
      <c r="E159" s="2" t="s">
        <v>4854</v>
      </c>
      <c r="F159" s="13" t="s">
        <v>3208</v>
      </c>
      <c r="G159" s="13" t="s">
        <v>3346</v>
      </c>
      <c r="H159" s="13" t="s">
        <v>3195</v>
      </c>
      <c r="I159" s="13" t="s">
        <v>3188</v>
      </c>
      <c r="J159" s="13" t="s">
        <v>3207</v>
      </c>
      <c r="K159" s="13" t="s">
        <v>3153</v>
      </c>
      <c r="L159" s="13" t="s">
        <v>3169</v>
      </c>
      <c r="M159" s="13" t="s">
        <v>3328</v>
      </c>
      <c r="N159" s="13" t="s">
        <v>3267</v>
      </c>
      <c r="O159" s="13" t="s">
        <v>33</v>
      </c>
      <c r="P159" s="13">
        <v>1.0</v>
      </c>
      <c r="Q159" s="13" t="s">
        <v>3160</v>
      </c>
      <c r="R159" s="13" t="s">
        <v>3163</v>
      </c>
      <c r="S159" s="13" t="s">
        <v>33</v>
      </c>
      <c r="T159" s="13" t="s">
        <v>3167</v>
      </c>
      <c r="U159" s="13" t="s">
        <v>3195</v>
      </c>
      <c r="V159" s="13" t="s">
        <v>3195</v>
      </c>
      <c r="W159" s="13" t="s">
        <v>3248</v>
      </c>
      <c r="X159" s="13" t="s">
        <v>3170</v>
      </c>
      <c r="Y159" s="13" t="s">
        <v>33</v>
      </c>
      <c r="Z159" s="13" t="s">
        <v>33</v>
      </c>
      <c r="AA159" s="13" t="b">
        <v>1</v>
      </c>
      <c r="AB159" s="48"/>
      <c r="AC159" s="49"/>
    </row>
    <row r="160" ht="14.25" customHeight="1">
      <c r="A160" s="13">
        <v>24120.0</v>
      </c>
      <c r="B160" s="13" t="str">
        <f t="shared" si="2"/>
        <v>Observational</v>
      </c>
      <c r="C160" s="13" t="s">
        <v>4856</v>
      </c>
      <c r="D160" s="1"/>
      <c r="E160" s="2" t="s">
        <v>4854</v>
      </c>
      <c r="F160" s="13" t="s">
        <v>3201</v>
      </c>
      <c r="G160" s="13" t="s">
        <v>3201</v>
      </c>
      <c r="H160" s="13" t="s">
        <v>3166</v>
      </c>
      <c r="I160" s="13" t="s">
        <v>3222</v>
      </c>
      <c r="J160" s="13" t="s">
        <v>3182</v>
      </c>
      <c r="K160" s="13" t="s">
        <v>3153</v>
      </c>
      <c r="L160" s="13" t="s">
        <v>3169</v>
      </c>
      <c r="M160" s="13" t="s">
        <v>3328</v>
      </c>
      <c r="N160" s="13" t="s">
        <v>3267</v>
      </c>
      <c r="O160" s="13" t="s">
        <v>33</v>
      </c>
      <c r="P160" s="13">
        <v>1.0</v>
      </c>
      <c r="Q160" s="13" t="s">
        <v>3177</v>
      </c>
      <c r="R160" s="13" t="s">
        <v>3177</v>
      </c>
      <c r="S160" s="13" t="s">
        <v>33</v>
      </c>
      <c r="T160" s="13" t="s">
        <v>3224</v>
      </c>
      <c r="U160" s="13" t="s">
        <v>3232</v>
      </c>
      <c r="V160" s="13" t="s">
        <v>3232</v>
      </c>
      <c r="W160" s="13" t="s">
        <v>3167</v>
      </c>
      <c r="X160" s="13" t="s">
        <v>3170</v>
      </c>
      <c r="Y160" s="13" t="s">
        <v>33</v>
      </c>
      <c r="Z160" s="13" t="s">
        <v>33</v>
      </c>
      <c r="AA160" s="13" t="b">
        <v>1</v>
      </c>
      <c r="AB160" s="48"/>
      <c r="AC160" s="49"/>
    </row>
    <row r="161" ht="14.25" customHeight="1">
      <c r="A161" s="13">
        <v>24329.0</v>
      </c>
      <c r="B161" s="13" t="str">
        <f t="shared" si="2"/>
        <v>Observational</v>
      </c>
      <c r="C161" s="13" t="s">
        <v>4856</v>
      </c>
      <c r="D161" s="1"/>
      <c r="E161" s="2" t="s">
        <v>4854</v>
      </c>
      <c r="F161" s="13" t="s">
        <v>3183</v>
      </c>
      <c r="G161" s="13" t="s">
        <v>3183</v>
      </c>
      <c r="H161" s="13" t="s">
        <v>3166</v>
      </c>
      <c r="I161" s="13" t="s">
        <v>3222</v>
      </c>
      <c r="J161" s="13" t="s">
        <v>3182</v>
      </c>
      <c r="K161" s="13" t="s">
        <v>3153</v>
      </c>
      <c r="L161" s="13" t="s">
        <v>3169</v>
      </c>
      <c r="M161" s="13" t="s">
        <v>3328</v>
      </c>
      <c r="N161" s="13" t="s">
        <v>3267</v>
      </c>
      <c r="O161" s="13" t="s">
        <v>3861</v>
      </c>
      <c r="P161" s="13">
        <v>1.0</v>
      </c>
      <c r="Q161" s="13" t="s">
        <v>3160</v>
      </c>
      <c r="R161" s="13" t="s">
        <v>3177</v>
      </c>
      <c r="S161" s="13" t="s">
        <v>3862</v>
      </c>
      <c r="T161" s="13" t="s">
        <v>3224</v>
      </c>
      <c r="U161" s="13" t="s">
        <v>3232</v>
      </c>
      <c r="V161" s="13" t="s">
        <v>3232</v>
      </c>
      <c r="W161" s="13" t="s">
        <v>3167</v>
      </c>
      <c r="X161" s="13" t="s">
        <v>3192</v>
      </c>
      <c r="Y161" s="13" t="s">
        <v>3202</v>
      </c>
      <c r="Z161" s="13">
        <v>800.0</v>
      </c>
      <c r="AA161" s="13" t="b">
        <v>1</v>
      </c>
      <c r="AB161" s="48"/>
      <c r="AC161" s="49"/>
    </row>
    <row r="162" ht="14.25" customHeight="1">
      <c r="A162" s="13">
        <v>24114.0</v>
      </c>
      <c r="B162" s="13" t="str">
        <f t="shared" si="2"/>
        <v>Observational</v>
      </c>
      <c r="C162" s="13" t="s">
        <v>4856</v>
      </c>
      <c r="D162" s="1"/>
      <c r="E162" s="2" t="s">
        <v>4854</v>
      </c>
      <c r="F162" s="13" t="s">
        <v>3159</v>
      </c>
      <c r="G162" s="13" t="s">
        <v>3159</v>
      </c>
      <c r="H162" s="13" t="s">
        <v>3166</v>
      </c>
      <c r="I162" s="13" t="s">
        <v>3157</v>
      </c>
      <c r="J162" s="13" t="s">
        <v>3199</v>
      </c>
      <c r="K162" s="13" t="s">
        <v>3153</v>
      </c>
      <c r="L162" s="13" t="s">
        <v>3169</v>
      </c>
      <c r="M162" s="13" t="s">
        <v>3328</v>
      </c>
      <c r="N162" s="13" t="s">
        <v>3162</v>
      </c>
      <c r="O162" s="13" t="s">
        <v>33</v>
      </c>
      <c r="P162" s="13">
        <v>1.0</v>
      </c>
      <c r="Q162" s="13" t="s">
        <v>3177</v>
      </c>
      <c r="R162" s="13" t="s">
        <v>3163</v>
      </c>
      <c r="S162" s="13" t="s">
        <v>33</v>
      </c>
      <c r="T162" s="13" t="s">
        <v>3224</v>
      </c>
      <c r="U162" s="13" t="s">
        <v>3164</v>
      </c>
      <c r="V162" s="13" t="s">
        <v>3164</v>
      </c>
      <c r="W162" s="13" t="s">
        <v>3167</v>
      </c>
      <c r="X162" s="13" t="s">
        <v>3170</v>
      </c>
      <c r="Y162" s="13" t="s">
        <v>3187</v>
      </c>
      <c r="Z162" s="13">
        <v>1.0</v>
      </c>
      <c r="AA162" s="13" t="b">
        <v>1</v>
      </c>
      <c r="AB162" s="48"/>
      <c r="AC162" s="49"/>
    </row>
    <row r="163" ht="14.25" customHeight="1">
      <c r="A163" s="13">
        <v>23599.0</v>
      </c>
      <c r="B163" s="13" t="str">
        <f t="shared" si="2"/>
        <v>Observational</v>
      </c>
      <c r="C163" s="13" t="s">
        <v>4856</v>
      </c>
      <c r="D163" s="13" t="s">
        <v>5039</v>
      </c>
      <c r="E163" s="13" t="s">
        <v>5040</v>
      </c>
      <c r="F163" s="13" t="s">
        <v>3524</v>
      </c>
      <c r="G163" s="13" t="s">
        <v>3173</v>
      </c>
      <c r="H163" s="13" t="s">
        <v>3166</v>
      </c>
      <c r="I163" s="13" t="s">
        <v>3222</v>
      </c>
      <c r="J163" s="13" t="s">
        <v>3226</v>
      </c>
      <c r="K163" s="13" t="s">
        <v>3153</v>
      </c>
      <c r="L163" s="13" t="s">
        <v>3169</v>
      </c>
      <c r="M163" s="13" t="s">
        <v>3525</v>
      </c>
      <c r="N163" s="13" t="s">
        <v>3175</v>
      </c>
      <c r="O163" s="13" t="s">
        <v>3526</v>
      </c>
      <c r="P163" s="13">
        <v>3.0</v>
      </c>
      <c r="Q163" s="13" t="s">
        <v>3160</v>
      </c>
      <c r="R163" s="13" t="s">
        <v>3231</v>
      </c>
      <c r="S163" s="13" t="s">
        <v>33</v>
      </c>
      <c r="T163" s="13" t="s">
        <v>3168</v>
      </c>
      <c r="U163" s="13" t="s">
        <v>3164</v>
      </c>
      <c r="V163" s="13" t="s">
        <v>3165</v>
      </c>
      <c r="W163" s="13" t="s">
        <v>3167</v>
      </c>
      <c r="X163" s="13" t="s">
        <v>3211</v>
      </c>
      <c r="Y163" s="13" t="s">
        <v>3520</v>
      </c>
      <c r="Z163" s="13">
        <v>5.0</v>
      </c>
      <c r="AA163" s="13" t="b">
        <v>1</v>
      </c>
      <c r="AB163" s="48"/>
      <c r="AC163" s="49"/>
    </row>
    <row r="164" ht="14.25" customHeight="1">
      <c r="A164" s="13">
        <v>24064.0</v>
      </c>
      <c r="B164" s="13" t="str">
        <f t="shared" si="2"/>
        <v>Observational</v>
      </c>
      <c r="C164" s="13" t="s">
        <v>4855</v>
      </c>
      <c r="D164" s="13" t="s">
        <v>5041</v>
      </c>
      <c r="E164" s="13" t="s">
        <v>5042</v>
      </c>
      <c r="F164" s="13" t="s">
        <v>3183</v>
      </c>
      <c r="G164" s="13" t="s">
        <v>3183</v>
      </c>
      <c r="H164" s="13" t="s">
        <v>3166</v>
      </c>
      <c r="I164" s="13" t="s">
        <v>3167</v>
      </c>
      <c r="J164" s="13" t="s">
        <v>3167</v>
      </c>
      <c r="K164" s="13" t="s">
        <v>3153</v>
      </c>
      <c r="L164" s="13" t="s">
        <v>3395</v>
      </c>
      <c r="M164" s="13" t="s">
        <v>3739</v>
      </c>
      <c r="N164" s="13" t="s">
        <v>3175</v>
      </c>
      <c r="O164" s="13" t="s">
        <v>3397</v>
      </c>
      <c r="P164" s="13">
        <v>12.0</v>
      </c>
      <c r="Q164" s="13" t="s">
        <v>3177</v>
      </c>
      <c r="R164" s="13" t="s">
        <v>3231</v>
      </c>
      <c r="S164" s="13" t="s">
        <v>3397</v>
      </c>
      <c r="T164" s="13" t="s">
        <v>3178</v>
      </c>
      <c r="U164" s="13" t="s">
        <v>3232</v>
      </c>
      <c r="V164" s="13" t="s">
        <v>3232</v>
      </c>
      <c r="W164" s="13" t="s">
        <v>3167</v>
      </c>
      <c r="X164" s="13" t="s">
        <v>3217</v>
      </c>
      <c r="Y164" s="13" t="s">
        <v>3180</v>
      </c>
      <c r="Z164" s="13">
        <v>2.0</v>
      </c>
      <c r="AA164" s="13" t="b">
        <v>1</v>
      </c>
      <c r="AB164" s="48"/>
      <c r="AC164" s="49"/>
    </row>
    <row r="165" ht="14.25" customHeight="1">
      <c r="A165" s="13">
        <v>24502.0</v>
      </c>
      <c r="B165" s="13" t="str">
        <f t="shared" si="2"/>
        <v>Observational</v>
      </c>
      <c r="C165" s="13" t="s">
        <v>4856</v>
      </c>
      <c r="D165" s="13" t="s">
        <v>5043</v>
      </c>
      <c r="E165" s="13" t="s">
        <v>4870</v>
      </c>
      <c r="F165" s="13" t="s">
        <v>3381</v>
      </c>
      <c r="G165" s="13" t="s">
        <v>3941</v>
      </c>
      <c r="H165" s="13" t="s">
        <v>3195</v>
      </c>
      <c r="I165" s="13" t="s">
        <v>3167</v>
      </c>
      <c r="J165" s="13" t="s">
        <v>3167</v>
      </c>
      <c r="K165" s="13" t="s">
        <v>3153</v>
      </c>
      <c r="L165" s="13" t="s">
        <v>3169</v>
      </c>
      <c r="M165" s="13" t="s">
        <v>3565</v>
      </c>
      <c r="N165" s="13" t="s">
        <v>3175</v>
      </c>
      <c r="O165" s="13" t="s">
        <v>3940</v>
      </c>
      <c r="P165" s="13">
        <v>2.0</v>
      </c>
      <c r="Q165" s="13" t="s">
        <v>3177</v>
      </c>
      <c r="R165" s="13" t="s">
        <v>3163</v>
      </c>
      <c r="S165" s="13" t="s">
        <v>33</v>
      </c>
      <c r="T165" s="13" t="s">
        <v>3167</v>
      </c>
      <c r="U165" s="13" t="s">
        <v>3195</v>
      </c>
      <c r="V165" s="13" t="s">
        <v>3195</v>
      </c>
      <c r="W165" s="13" t="s">
        <v>3167</v>
      </c>
      <c r="X165" s="13" t="s">
        <v>3217</v>
      </c>
      <c r="Y165" s="13" t="s">
        <v>3180</v>
      </c>
      <c r="Z165" s="13">
        <v>0.5</v>
      </c>
      <c r="AA165" s="13" t="b">
        <v>1</v>
      </c>
      <c r="AB165" s="48"/>
      <c r="AC165" s="49"/>
    </row>
    <row r="166" ht="14.25" customHeight="1">
      <c r="A166" s="13">
        <v>23743.0</v>
      </c>
      <c r="B166" s="13" t="str">
        <f t="shared" si="2"/>
        <v>Observational</v>
      </c>
      <c r="C166" s="13" t="s">
        <v>4856</v>
      </c>
      <c r="D166" s="13" t="s">
        <v>5043</v>
      </c>
      <c r="E166" s="13" t="s">
        <v>4870</v>
      </c>
      <c r="F166" s="13" t="s">
        <v>3208</v>
      </c>
      <c r="G166" s="13" t="s">
        <v>3210</v>
      </c>
      <c r="H166" s="13" t="s">
        <v>3195</v>
      </c>
      <c r="I166" s="13" t="s">
        <v>3171</v>
      </c>
      <c r="J166" s="13" t="s">
        <v>3603</v>
      </c>
      <c r="K166" s="13" t="s">
        <v>3153</v>
      </c>
      <c r="L166" s="13" t="s">
        <v>3169</v>
      </c>
      <c r="M166" s="13" t="s">
        <v>3565</v>
      </c>
      <c r="N166" s="13" t="s">
        <v>3267</v>
      </c>
      <c r="O166" s="13" t="s">
        <v>33</v>
      </c>
      <c r="P166" s="13">
        <v>2.0</v>
      </c>
      <c r="Q166" s="13" t="s">
        <v>3160</v>
      </c>
      <c r="R166" s="13" t="s">
        <v>3163</v>
      </c>
      <c r="S166" s="13" t="s">
        <v>33</v>
      </c>
      <c r="T166" s="13" t="s">
        <v>3167</v>
      </c>
      <c r="U166" s="13" t="s">
        <v>3195</v>
      </c>
      <c r="V166" s="13" t="s">
        <v>3195</v>
      </c>
      <c r="W166" s="13" t="s">
        <v>3167</v>
      </c>
      <c r="X166" s="13" t="s">
        <v>3170</v>
      </c>
      <c r="Y166" s="13" t="s">
        <v>33</v>
      </c>
      <c r="Z166" s="13" t="s">
        <v>33</v>
      </c>
      <c r="AA166" s="13" t="b">
        <v>1</v>
      </c>
      <c r="AB166" s="48"/>
      <c r="AC166" s="49"/>
    </row>
    <row r="167" ht="14.25" customHeight="1">
      <c r="A167" s="13">
        <v>25240.0</v>
      </c>
      <c r="B167" s="13" t="str">
        <f t="shared" si="2"/>
        <v>Observational</v>
      </c>
      <c r="C167" s="13" t="s">
        <v>4856</v>
      </c>
      <c r="D167" s="13" t="s">
        <v>5043</v>
      </c>
      <c r="E167" s="13" t="s">
        <v>4870</v>
      </c>
      <c r="F167" s="13" t="s">
        <v>3208</v>
      </c>
      <c r="G167" s="13" t="s">
        <v>3208</v>
      </c>
      <c r="H167" s="13" t="s">
        <v>3242</v>
      </c>
      <c r="I167" s="13" t="s">
        <v>3188</v>
      </c>
      <c r="J167" s="13" t="s">
        <v>3432</v>
      </c>
      <c r="K167" s="13" t="s">
        <v>3153</v>
      </c>
      <c r="L167" s="13" t="s">
        <v>3169</v>
      </c>
      <c r="M167" s="13" t="s">
        <v>3565</v>
      </c>
      <c r="N167" s="13" t="s">
        <v>3267</v>
      </c>
      <c r="O167" s="13" t="s">
        <v>33</v>
      </c>
      <c r="P167" s="13">
        <v>2.0</v>
      </c>
      <c r="Q167" s="13" t="s">
        <v>3160</v>
      </c>
      <c r="R167" s="13" t="s">
        <v>3163</v>
      </c>
      <c r="S167" s="13" t="s">
        <v>33</v>
      </c>
      <c r="T167" s="13" t="s">
        <v>3167</v>
      </c>
      <c r="U167" s="13" t="s">
        <v>3247</v>
      </c>
      <c r="V167" s="13" t="s">
        <v>3247</v>
      </c>
      <c r="W167" s="13" t="s">
        <v>3969</v>
      </c>
      <c r="X167" s="13" t="s">
        <v>3170</v>
      </c>
      <c r="Y167" s="13" t="s">
        <v>3156</v>
      </c>
      <c r="Z167" s="13" t="s">
        <v>33</v>
      </c>
      <c r="AA167" s="13" t="b">
        <v>1</v>
      </c>
      <c r="AB167" s="48"/>
      <c r="AC167" s="49"/>
    </row>
    <row r="168" ht="14.25" customHeight="1">
      <c r="A168" s="13">
        <v>25274.0</v>
      </c>
      <c r="B168" s="13" t="str">
        <f t="shared" si="2"/>
        <v>Observational</v>
      </c>
      <c r="C168" s="13" t="s">
        <v>4856</v>
      </c>
      <c r="D168" s="13" t="s">
        <v>5043</v>
      </c>
      <c r="E168" s="13" t="s">
        <v>4870</v>
      </c>
      <c r="F168" s="13" t="s">
        <v>3208</v>
      </c>
      <c r="G168" s="13" t="s">
        <v>3208</v>
      </c>
      <c r="H168" s="13" t="s">
        <v>3242</v>
      </c>
      <c r="I168" s="13" t="s">
        <v>3188</v>
      </c>
      <c r="J168" s="13" t="s">
        <v>3207</v>
      </c>
      <c r="K168" s="13" t="s">
        <v>3153</v>
      </c>
      <c r="L168" s="13" t="s">
        <v>3169</v>
      </c>
      <c r="M168" s="13" t="s">
        <v>3565</v>
      </c>
      <c r="N168" s="13" t="s">
        <v>3267</v>
      </c>
      <c r="O168" s="13" t="s">
        <v>33</v>
      </c>
      <c r="P168" s="13">
        <v>2.0</v>
      </c>
      <c r="Q168" s="13" t="s">
        <v>3160</v>
      </c>
      <c r="R168" s="13" t="s">
        <v>3163</v>
      </c>
      <c r="S168" s="13" t="s">
        <v>33</v>
      </c>
      <c r="T168" s="13" t="s">
        <v>3167</v>
      </c>
      <c r="U168" s="13" t="s">
        <v>3165</v>
      </c>
      <c r="V168" s="13" t="s">
        <v>3247</v>
      </c>
      <c r="W168" s="13" t="s">
        <v>3572</v>
      </c>
      <c r="X168" s="13" t="s">
        <v>3192</v>
      </c>
      <c r="Y168" s="13" t="s">
        <v>33</v>
      </c>
      <c r="Z168" s="13" t="s">
        <v>33</v>
      </c>
      <c r="AA168" s="13" t="b">
        <v>1</v>
      </c>
      <c r="AB168" s="48"/>
      <c r="AC168" s="49"/>
    </row>
    <row r="169" ht="14.25" customHeight="1">
      <c r="A169" s="13">
        <v>23670.0</v>
      </c>
      <c r="B169" s="13" t="str">
        <f t="shared" si="2"/>
        <v>Observational</v>
      </c>
      <c r="C169" s="13" t="s">
        <v>4855</v>
      </c>
      <c r="D169" s="13" t="s">
        <v>5043</v>
      </c>
      <c r="E169" s="13" t="s">
        <v>4870</v>
      </c>
      <c r="F169" s="13" t="s">
        <v>3208</v>
      </c>
      <c r="G169" s="13" t="s">
        <v>3208</v>
      </c>
      <c r="H169" s="13" t="s">
        <v>3242</v>
      </c>
      <c r="I169" s="13" t="s">
        <v>3188</v>
      </c>
      <c r="J169" s="13" t="s">
        <v>3394</v>
      </c>
      <c r="K169" s="13" t="s">
        <v>3153</v>
      </c>
      <c r="L169" s="13" t="s">
        <v>3395</v>
      </c>
      <c r="M169" s="13" t="s">
        <v>3565</v>
      </c>
      <c r="N169" s="13" t="s">
        <v>3162</v>
      </c>
      <c r="O169" s="13" t="s">
        <v>33</v>
      </c>
      <c r="P169" s="13">
        <v>2.0</v>
      </c>
      <c r="Q169" s="13" t="s">
        <v>3160</v>
      </c>
      <c r="R169" s="13" t="s">
        <v>3163</v>
      </c>
      <c r="S169" s="13" t="s">
        <v>33</v>
      </c>
      <c r="T169" s="13" t="s">
        <v>3167</v>
      </c>
      <c r="U169" s="13" t="s">
        <v>3197</v>
      </c>
      <c r="V169" s="13" t="s">
        <v>3197</v>
      </c>
      <c r="W169" s="13" t="s">
        <v>3481</v>
      </c>
      <c r="X169" s="13" t="s">
        <v>3170</v>
      </c>
      <c r="Y169" s="13" t="s">
        <v>3202</v>
      </c>
      <c r="Z169" s="13">
        <v>30.0</v>
      </c>
      <c r="AA169" s="13" t="b">
        <v>1</v>
      </c>
      <c r="AB169" s="48"/>
      <c r="AC169" s="49"/>
    </row>
    <row r="170" ht="14.25" customHeight="1">
      <c r="A170" s="13">
        <v>24291.0</v>
      </c>
      <c r="B170" s="13" t="str">
        <f t="shared" si="2"/>
        <v>Observational</v>
      </c>
      <c r="C170" s="13" t="s">
        <v>4852</v>
      </c>
      <c r="D170" s="13" t="s">
        <v>5043</v>
      </c>
      <c r="E170" s="13" t="s">
        <v>4870</v>
      </c>
      <c r="F170" s="13" t="s">
        <v>3208</v>
      </c>
      <c r="G170" s="13" t="s">
        <v>3208</v>
      </c>
      <c r="H170" s="13" t="s">
        <v>3242</v>
      </c>
      <c r="I170" s="13" t="s">
        <v>3171</v>
      </c>
      <c r="J170" s="13" t="s">
        <v>3698</v>
      </c>
      <c r="K170" s="13" t="s">
        <v>3153</v>
      </c>
      <c r="L170" s="13" t="s">
        <v>3154</v>
      </c>
      <c r="M170" s="13" t="s">
        <v>3565</v>
      </c>
      <c r="N170" s="13" t="s">
        <v>3162</v>
      </c>
      <c r="O170" s="13" t="s">
        <v>33</v>
      </c>
      <c r="P170" s="13">
        <v>2.0</v>
      </c>
      <c r="Q170" s="13" t="s">
        <v>3160</v>
      </c>
      <c r="R170" s="13" t="s">
        <v>3163</v>
      </c>
      <c r="S170" s="13" t="s">
        <v>33</v>
      </c>
      <c r="T170" s="13" t="s">
        <v>3167</v>
      </c>
      <c r="U170" s="13" t="s">
        <v>3247</v>
      </c>
      <c r="V170" s="13" t="s">
        <v>3247</v>
      </c>
      <c r="W170" s="13" t="s">
        <v>3833</v>
      </c>
      <c r="X170" s="13" t="s">
        <v>3170</v>
      </c>
      <c r="Y170" s="13" t="s">
        <v>33</v>
      </c>
      <c r="Z170" s="13" t="s">
        <v>33</v>
      </c>
      <c r="AA170" s="13" t="b">
        <v>1</v>
      </c>
      <c r="AB170" s="48"/>
      <c r="AC170" s="49"/>
    </row>
    <row r="171" ht="14.25" customHeight="1">
      <c r="A171" s="13">
        <v>25516.0</v>
      </c>
      <c r="B171" s="13" t="str">
        <f t="shared" si="2"/>
        <v>Observational</v>
      </c>
      <c r="C171" s="13" t="s">
        <v>4856</v>
      </c>
      <c r="D171" s="13" t="s">
        <v>5043</v>
      </c>
      <c r="E171" s="13" t="s">
        <v>4870</v>
      </c>
      <c r="F171" s="13" t="s">
        <v>3183</v>
      </c>
      <c r="G171" s="13" t="s">
        <v>3186</v>
      </c>
      <c r="H171" s="13" t="s">
        <v>3166</v>
      </c>
      <c r="I171" s="13" t="s">
        <v>3157</v>
      </c>
      <c r="J171" s="13" t="s">
        <v>3307</v>
      </c>
      <c r="K171" s="13" t="s">
        <v>3153</v>
      </c>
      <c r="L171" s="13" t="s">
        <v>3169</v>
      </c>
      <c r="M171" s="13" t="s">
        <v>3565</v>
      </c>
      <c r="N171" s="13" t="s">
        <v>3162</v>
      </c>
      <c r="O171" s="13" t="s">
        <v>3693</v>
      </c>
      <c r="P171" s="13">
        <v>2.0</v>
      </c>
      <c r="Q171" s="13" t="s">
        <v>3160</v>
      </c>
      <c r="R171" s="13" t="s">
        <v>3177</v>
      </c>
      <c r="S171" s="13" t="s">
        <v>33</v>
      </c>
      <c r="T171" s="13" t="s">
        <v>4255</v>
      </c>
      <c r="U171" s="13" t="s">
        <v>3164</v>
      </c>
      <c r="V171" s="13" t="s">
        <v>3247</v>
      </c>
      <c r="W171" s="13" t="s">
        <v>3167</v>
      </c>
      <c r="X171" s="13" t="s">
        <v>3170</v>
      </c>
      <c r="Y171" s="13" t="s">
        <v>3156</v>
      </c>
      <c r="Z171" s="13" t="s">
        <v>33</v>
      </c>
      <c r="AA171" s="13" t="b">
        <v>1</v>
      </c>
      <c r="AB171" s="48"/>
      <c r="AC171" s="49"/>
    </row>
    <row r="172" ht="14.25" customHeight="1">
      <c r="A172" s="13">
        <v>24567.0</v>
      </c>
      <c r="B172" s="13" t="str">
        <f t="shared" si="2"/>
        <v>Observational</v>
      </c>
      <c r="C172" s="13" t="s">
        <v>4856</v>
      </c>
      <c r="D172" s="13" t="s">
        <v>5044</v>
      </c>
      <c r="E172" s="13" t="s">
        <v>4870</v>
      </c>
      <c r="F172" s="13" t="s">
        <v>3287</v>
      </c>
      <c r="G172" s="13" t="s">
        <v>3159</v>
      </c>
      <c r="H172" s="13" t="s">
        <v>3166</v>
      </c>
      <c r="I172" s="13" t="s">
        <v>3188</v>
      </c>
      <c r="J172" s="13" t="s">
        <v>3955</v>
      </c>
      <c r="K172" s="13" t="s">
        <v>3153</v>
      </c>
      <c r="L172" s="13" t="s">
        <v>3169</v>
      </c>
      <c r="M172" s="13" t="s">
        <v>3959</v>
      </c>
      <c r="N172" s="13" t="s">
        <v>3162</v>
      </c>
      <c r="O172" s="13" t="s">
        <v>3167</v>
      </c>
      <c r="P172" s="13">
        <v>3.0</v>
      </c>
      <c r="Q172" s="13" t="s">
        <v>3160</v>
      </c>
      <c r="R172" s="13" t="s">
        <v>3231</v>
      </c>
      <c r="S172" s="13" t="s">
        <v>33</v>
      </c>
      <c r="T172" s="13" t="s">
        <v>3224</v>
      </c>
      <c r="U172" s="13" t="s">
        <v>3232</v>
      </c>
      <c r="V172" s="13" t="s">
        <v>3232</v>
      </c>
      <c r="W172" s="13" t="s">
        <v>3167</v>
      </c>
      <c r="X172" s="13" t="s">
        <v>3170</v>
      </c>
      <c r="Y172" s="13" t="s">
        <v>3156</v>
      </c>
      <c r="Z172" s="13" t="s">
        <v>3167</v>
      </c>
      <c r="AA172" s="13" t="b">
        <v>1</v>
      </c>
      <c r="AB172" s="48"/>
      <c r="AC172" s="49"/>
    </row>
    <row r="173" ht="14.25" customHeight="1">
      <c r="A173" s="13">
        <v>25283.0</v>
      </c>
      <c r="B173" s="13" t="str">
        <f t="shared" si="2"/>
        <v>Observational</v>
      </c>
      <c r="C173" s="13" t="s">
        <v>4856</v>
      </c>
      <c r="D173" s="13" t="s">
        <v>5045</v>
      </c>
      <c r="E173" s="13" t="s">
        <v>5046</v>
      </c>
      <c r="F173" s="13" t="s">
        <v>3173</v>
      </c>
      <c r="G173" s="13" t="s">
        <v>3379</v>
      </c>
      <c r="H173" s="13" t="s">
        <v>3242</v>
      </c>
      <c r="I173" s="13" t="s">
        <v>3244</v>
      </c>
      <c r="J173" s="13" t="s">
        <v>3167</v>
      </c>
      <c r="K173" s="13" t="s">
        <v>3153</v>
      </c>
      <c r="L173" s="13" t="s">
        <v>3169</v>
      </c>
      <c r="M173" s="13" t="s">
        <v>4192</v>
      </c>
      <c r="N173" s="13" t="s">
        <v>3175</v>
      </c>
      <c r="O173" s="13" t="s">
        <v>4193</v>
      </c>
      <c r="P173" s="13">
        <v>5.0</v>
      </c>
      <c r="Q173" s="13" t="s">
        <v>3177</v>
      </c>
      <c r="R173" s="13" t="s">
        <v>3231</v>
      </c>
      <c r="S173" s="13" t="s">
        <v>3976</v>
      </c>
      <c r="T173" s="13" t="s">
        <v>3167</v>
      </c>
      <c r="U173" s="13" t="s">
        <v>3247</v>
      </c>
      <c r="V173" s="13" t="s">
        <v>3247</v>
      </c>
      <c r="W173" s="13" t="s">
        <v>3634</v>
      </c>
      <c r="X173" s="13" t="s">
        <v>3284</v>
      </c>
      <c r="Y173" s="13" t="s">
        <v>3180</v>
      </c>
      <c r="Z173" s="13">
        <v>0.5</v>
      </c>
      <c r="AA173" s="13" t="b">
        <v>1</v>
      </c>
      <c r="AB173" s="48"/>
      <c r="AC173" s="49"/>
    </row>
    <row r="174" ht="14.25" customHeight="1">
      <c r="A174" s="13">
        <v>24358.0</v>
      </c>
      <c r="B174" s="13" t="str">
        <f t="shared" si="2"/>
        <v>Observational</v>
      </c>
      <c r="C174" s="13" t="s">
        <v>4856</v>
      </c>
      <c r="D174" s="13" t="s">
        <v>5047</v>
      </c>
      <c r="E174" s="13" t="s">
        <v>4862</v>
      </c>
      <c r="F174" s="13" t="s">
        <v>3183</v>
      </c>
      <c r="G174" s="13" t="s">
        <v>3210</v>
      </c>
      <c r="H174" s="13" t="s">
        <v>3195</v>
      </c>
      <c r="I174" s="13" t="s">
        <v>3188</v>
      </c>
      <c r="J174" s="13" t="s">
        <v>3286</v>
      </c>
      <c r="K174" s="13" t="s">
        <v>3153</v>
      </c>
      <c r="L174" s="13" t="s">
        <v>3169</v>
      </c>
      <c r="M174" s="13" t="s">
        <v>3869</v>
      </c>
      <c r="N174" s="13" t="s">
        <v>3175</v>
      </c>
      <c r="O174" s="13" t="s">
        <v>3689</v>
      </c>
      <c r="P174" s="13">
        <v>5.0</v>
      </c>
      <c r="Q174" s="13" t="s">
        <v>3177</v>
      </c>
      <c r="R174" s="13" t="s">
        <v>3163</v>
      </c>
      <c r="S174" s="13" t="s">
        <v>33</v>
      </c>
      <c r="T174" s="13" t="s">
        <v>3167</v>
      </c>
      <c r="U174" s="13" t="s">
        <v>3195</v>
      </c>
      <c r="V174" s="13" t="s">
        <v>3195</v>
      </c>
      <c r="W174" s="13" t="s">
        <v>3167</v>
      </c>
      <c r="X174" s="13" t="s">
        <v>3155</v>
      </c>
      <c r="Y174" s="13" t="s">
        <v>3538</v>
      </c>
      <c r="Z174" s="13">
        <v>100.0</v>
      </c>
      <c r="AA174" s="13" t="b">
        <v>1</v>
      </c>
      <c r="AB174" s="48"/>
      <c r="AC174" s="49"/>
    </row>
    <row r="175" ht="14.25" customHeight="1">
      <c r="A175" s="13">
        <v>24841.0</v>
      </c>
      <c r="B175" s="13" t="str">
        <f t="shared" si="2"/>
        <v>Observational</v>
      </c>
      <c r="C175" s="13" t="s">
        <v>4886</v>
      </c>
      <c r="D175" s="13" t="s">
        <v>5048</v>
      </c>
      <c r="E175" s="13" t="s">
        <v>4860</v>
      </c>
      <c r="F175" s="13" t="s">
        <v>3208</v>
      </c>
      <c r="G175" s="13" t="s">
        <v>3210</v>
      </c>
      <c r="H175" s="13" t="s">
        <v>3195</v>
      </c>
      <c r="I175" s="13" t="s">
        <v>3188</v>
      </c>
      <c r="J175" s="13" t="s">
        <v>3207</v>
      </c>
      <c r="K175" s="13" t="s">
        <v>3153</v>
      </c>
      <c r="L175" s="13" t="s">
        <v>3465</v>
      </c>
      <c r="M175" s="13" t="s">
        <v>4050</v>
      </c>
      <c r="N175" s="13" t="s">
        <v>3162</v>
      </c>
      <c r="O175" s="13" t="s">
        <v>33</v>
      </c>
      <c r="P175" s="13">
        <v>5.0</v>
      </c>
      <c r="Q175" s="13" t="s">
        <v>3160</v>
      </c>
      <c r="R175" s="13" t="s">
        <v>3163</v>
      </c>
      <c r="S175" s="13" t="s">
        <v>33</v>
      </c>
      <c r="T175" s="13" t="s">
        <v>3167</v>
      </c>
      <c r="U175" s="13" t="s">
        <v>3195</v>
      </c>
      <c r="V175" s="13" t="s">
        <v>3195</v>
      </c>
      <c r="W175" s="13" t="s">
        <v>3167</v>
      </c>
      <c r="X175" s="13" t="s">
        <v>3170</v>
      </c>
      <c r="Y175" s="13" t="s">
        <v>33</v>
      </c>
      <c r="Z175" s="13" t="s">
        <v>33</v>
      </c>
      <c r="AA175" s="13" t="b">
        <v>1</v>
      </c>
      <c r="AB175" s="48"/>
      <c r="AC175" s="49"/>
    </row>
    <row r="176" ht="14.25" customHeight="1">
      <c r="A176" s="13">
        <v>23738.0</v>
      </c>
      <c r="B176" s="13" t="str">
        <f t="shared" si="2"/>
        <v>Observational</v>
      </c>
      <c r="C176" s="13" t="s">
        <v>4856</v>
      </c>
      <c r="D176" s="13" t="s">
        <v>5049</v>
      </c>
      <c r="E176" s="13" t="s">
        <v>5050</v>
      </c>
      <c r="F176" s="13" t="s">
        <v>3417</v>
      </c>
      <c r="G176" s="13" t="s">
        <v>3173</v>
      </c>
      <c r="H176" s="13" t="s">
        <v>3242</v>
      </c>
      <c r="I176" s="13" t="s">
        <v>3222</v>
      </c>
      <c r="J176" s="13" t="s">
        <v>3182</v>
      </c>
      <c r="K176" s="13" t="s">
        <v>3153</v>
      </c>
      <c r="L176" s="13" t="s">
        <v>3169</v>
      </c>
      <c r="M176" s="13" t="s">
        <v>3598</v>
      </c>
      <c r="N176" s="13" t="s">
        <v>3162</v>
      </c>
      <c r="O176" s="13" t="s">
        <v>3599</v>
      </c>
      <c r="P176" s="13">
        <v>3.0</v>
      </c>
      <c r="Q176" s="13" t="s">
        <v>3160</v>
      </c>
      <c r="R176" s="13" t="s">
        <v>3231</v>
      </c>
      <c r="S176" s="13" t="s">
        <v>33</v>
      </c>
      <c r="T176" s="13" t="s">
        <v>3167</v>
      </c>
      <c r="U176" s="13" t="s">
        <v>3164</v>
      </c>
      <c r="V176" s="13" t="s">
        <v>3164</v>
      </c>
      <c r="W176" s="13" t="s">
        <v>3377</v>
      </c>
      <c r="X176" s="13" t="s">
        <v>3192</v>
      </c>
      <c r="Y176" s="13" t="s">
        <v>3187</v>
      </c>
      <c r="Z176" s="13">
        <v>1.0</v>
      </c>
      <c r="AA176" s="13" t="b">
        <v>1</v>
      </c>
      <c r="AB176" s="48"/>
      <c r="AC176" s="49"/>
    </row>
    <row r="177" ht="14.25" customHeight="1">
      <c r="A177" s="13">
        <v>24544.0</v>
      </c>
      <c r="B177" s="13" t="str">
        <f t="shared" si="2"/>
        <v>Observational</v>
      </c>
      <c r="C177" s="13" t="s">
        <v>4856</v>
      </c>
      <c r="D177" s="13" t="s">
        <v>5051</v>
      </c>
      <c r="E177" s="13" t="s">
        <v>4860</v>
      </c>
      <c r="F177" s="13" t="s">
        <v>3186</v>
      </c>
      <c r="G177" s="13" t="s">
        <v>3210</v>
      </c>
      <c r="H177" s="13" t="s">
        <v>3195</v>
      </c>
      <c r="I177" s="13" t="s">
        <v>3188</v>
      </c>
      <c r="J177" s="13" t="s">
        <v>3432</v>
      </c>
      <c r="K177" s="13" t="s">
        <v>3153</v>
      </c>
      <c r="L177" s="13" t="s">
        <v>3169</v>
      </c>
      <c r="M177" s="13" t="s">
        <v>3950</v>
      </c>
      <c r="N177" s="13" t="s">
        <v>3175</v>
      </c>
      <c r="O177" s="13" t="s">
        <v>33</v>
      </c>
      <c r="P177" s="13">
        <v>4.0</v>
      </c>
      <c r="Q177" s="13" t="s">
        <v>3177</v>
      </c>
      <c r="R177" s="13" t="s">
        <v>3163</v>
      </c>
      <c r="S177" s="13" t="s">
        <v>33</v>
      </c>
      <c r="T177" s="13" t="s">
        <v>3167</v>
      </c>
      <c r="U177" s="13" t="s">
        <v>3195</v>
      </c>
      <c r="V177" s="13" t="s">
        <v>3195</v>
      </c>
      <c r="W177" s="13" t="s">
        <v>3167</v>
      </c>
      <c r="X177" s="13" t="s">
        <v>3192</v>
      </c>
      <c r="Y177" s="13" t="s">
        <v>3187</v>
      </c>
      <c r="Z177" s="13">
        <v>1.0</v>
      </c>
      <c r="AA177" s="13" t="b">
        <v>1</v>
      </c>
      <c r="AB177" s="48"/>
      <c r="AC177" s="49"/>
    </row>
    <row r="178" ht="14.25" customHeight="1">
      <c r="A178" s="13">
        <v>24545.0</v>
      </c>
      <c r="B178" s="13" t="str">
        <f t="shared" si="2"/>
        <v>Observational</v>
      </c>
      <c r="C178" s="13" t="s">
        <v>4856</v>
      </c>
      <c r="D178" s="13" t="s">
        <v>5051</v>
      </c>
      <c r="E178" s="13" t="s">
        <v>4860</v>
      </c>
      <c r="F178" s="13" t="s">
        <v>3186</v>
      </c>
      <c r="G178" s="13" t="s">
        <v>3335</v>
      </c>
      <c r="H178" s="13" t="s">
        <v>3195</v>
      </c>
      <c r="I178" s="13" t="s">
        <v>3188</v>
      </c>
      <c r="J178" s="13" t="s">
        <v>3432</v>
      </c>
      <c r="K178" s="13" t="s">
        <v>3153</v>
      </c>
      <c r="L178" s="13" t="s">
        <v>3169</v>
      </c>
      <c r="M178" s="13" t="s">
        <v>3950</v>
      </c>
      <c r="N178" s="13" t="s">
        <v>3175</v>
      </c>
      <c r="O178" s="13" t="s">
        <v>33</v>
      </c>
      <c r="P178" s="13">
        <v>4.0</v>
      </c>
      <c r="Q178" s="13" t="s">
        <v>3177</v>
      </c>
      <c r="R178" s="13" t="s">
        <v>3163</v>
      </c>
      <c r="S178" s="13" t="s">
        <v>33</v>
      </c>
      <c r="T178" s="13" t="s">
        <v>3167</v>
      </c>
      <c r="U178" s="13" t="s">
        <v>3195</v>
      </c>
      <c r="V178" s="13" t="s">
        <v>3195</v>
      </c>
      <c r="W178" s="13" t="s">
        <v>3167</v>
      </c>
      <c r="X178" s="13" t="s">
        <v>3192</v>
      </c>
      <c r="Y178" s="13" t="s">
        <v>3156</v>
      </c>
      <c r="Z178" s="13" t="s">
        <v>33</v>
      </c>
      <c r="AA178" s="13" t="b">
        <v>1</v>
      </c>
      <c r="AB178" s="48"/>
      <c r="AC178" s="49"/>
    </row>
    <row r="179" ht="14.25" customHeight="1">
      <c r="A179" s="13">
        <v>25904.0</v>
      </c>
      <c r="B179" s="13" t="str">
        <f t="shared" si="2"/>
        <v>Observational</v>
      </c>
      <c r="C179" s="13" t="s">
        <v>4856</v>
      </c>
      <c r="D179" s="1"/>
      <c r="E179" s="2" t="s">
        <v>5052</v>
      </c>
      <c r="F179" s="13" t="s">
        <v>3186</v>
      </c>
      <c r="G179" s="13" t="s">
        <v>3186</v>
      </c>
      <c r="H179" s="13" t="s">
        <v>3166</v>
      </c>
      <c r="I179" s="13" t="s">
        <v>3188</v>
      </c>
      <c r="J179" s="13" t="s">
        <v>3207</v>
      </c>
      <c r="K179" s="13" t="s">
        <v>3153</v>
      </c>
      <c r="L179" s="13" t="s">
        <v>3169</v>
      </c>
      <c r="M179" s="13" t="s">
        <v>3605</v>
      </c>
      <c r="N179" s="13" t="s">
        <v>3175</v>
      </c>
      <c r="O179" s="13" t="s">
        <v>33</v>
      </c>
      <c r="P179" s="13">
        <v>2.0</v>
      </c>
      <c r="Q179" s="13" t="s">
        <v>3160</v>
      </c>
      <c r="R179" s="13" t="s">
        <v>3163</v>
      </c>
      <c r="S179" s="13" t="s">
        <v>33</v>
      </c>
      <c r="T179" s="13" t="s">
        <v>3178</v>
      </c>
      <c r="U179" s="13" t="s">
        <v>3164</v>
      </c>
      <c r="V179" s="13" t="s">
        <v>3164</v>
      </c>
      <c r="W179" s="13" t="s">
        <v>3167</v>
      </c>
      <c r="X179" s="13" t="s">
        <v>3192</v>
      </c>
      <c r="Y179" s="13" t="s">
        <v>3156</v>
      </c>
      <c r="Z179" s="13" t="s">
        <v>33</v>
      </c>
      <c r="AA179" s="13" t="b">
        <v>1</v>
      </c>
      <c r="AB179" s="48"/>
      <c r="AC179" s="49"/>
    </row>
    <row r="180" ht="14.25" customHeight="1">
      <c r="A180" s="13">
        <v>25942.0</v>
      </c>
      <c r="B180" s="13" t="str">
        <f t="shared" si="2"/>
        <v>Observational</v>
      </c>
      <c r="C180" s="13" t="s">
        <v>4856</v>
      </c>
      <c r="D180" s="1"/>
      <c r="E180" s="2" t="s">
        <v>5052</v>
      </c>
      <c r="F180" s="13" t="s">
        <v>3208</v>
      </c>
      <c r="G180" s="13" t="s">
        <v>3210</v>
      </c>
      <c r="H180" s="13" t="s">
        <v>3195</v>
      </c>
      <c r="I180" s="13" t="s">
        <v>3188</v>
      </c>
      <c r="J180" s="13" t="s">
        <v>3207</v>
      </c>
      <c r="K180" s="13" t="s">
        <v>3153</v>
      </c>
      <c r="L180" s="13" t="s">
        <v>3169</v>
      </c>
      <c r="M180" s="13" t="s">
        <v>3605</v>
      </c>
      <c r="N180" s="13" t="s">
        <v>3175</v>
      </c>
      <c r="O180" s="13" t="s">
        <v>33</v>
      </c>
      <c r="P180" s="13">
        <v>2.0</v>
      </c>
      <c r="Q180" s="13" t="s">
        <v>3160</v>
      </c>
      <c r="R180" s="13" t="s">
        <v>3163</v>
      </c>
      <c r="S180" s="13" t="s">
        <v>33</v>
      </c>
      <c r="T180" s="13" t="s">
        <v>3167</v>
      </c>
      <c r="U180" s="13" t="s">
        <v>3195</v>
      </c>
      <c r="V180" s="13" t="s">
        <v>3195</v>
      </c>
      <c r="W180" s="13" t="s">
        <v>3167</v>
      </c>
      <c r="X180" s="13" t="s">
        <v>3170</v>
      </c>
      <c r="Y180" s="13" t="s">
        <v>3156</v>
      </c>
      <c r="Z180" s="13" t="s">
        <v>33</v>
      </c>
      <c r="AA180" s="13" t="b">
        <v>1</v>
      </c>
      <c r="AB180" s="48"/>
      <c r="AC180" s="49"/>
    </row>
    <row r="181" ht="14.25" customHeight="1">
      <c r="A181" s="13">
        <v>23744.0</v>
      </c>
      <c r="B181" s="13" t="str">
        <f t="shared" si="2"/>
        <v>Observational</v>
      </c>
      <c r="C181" s="13" t="s">
        <v>4856</v>
      </c>
      <c r="D181" s="1"/>
      <c r="E181" s="2" t="s">
        <v>5052</v>
      </c>
      <c r="F181" s="13" t="s">
        <v>3208</v>
      </c>
      <c r="G181" s="13" t="s">
        <v>3208</v>
      </c>
      <c r="H181" s="13" t="s">
        <v>3242</v>
      </c>
      <c r="I181" s="13" t="s">
        <v>3171</v>
      </c>
      <c r="J181" s="13" t="s">
        <v>3604</v>
      </c>
      <c r="K181" s="13" t="s">
        <v>3153</v>
      </c>
      <c r="L181" s="13" t="s">
        <v>3169</v>
      </c>
      <c r="M181" s="13" t="s">
        <v>3605</v>
      </c>
      <c r="N181" s="13" t="s">
        <v>3267</v>
      </c>
      <c r="O181" s="13" t="s">
        <v>3167</v>
      </c>
      <c r="P181" s="13">
        <v>2.0</v>
      </c>
      <c r="Q181" s="13" t="s">
        <v>3160</v>
      </c>
      <c r="R181" s="13" t="s">
        <v>3231</v>
      </c>
      <c r="S181" s="13" t="s">
        <v>33</v>
      </c>
      <c r="T181" s="13" t="s">
        <v>3167</v>
      </c>
      <c r="U181" s="13" t="s">
        <v>3247</v>
      </c>
      <c r="V181" s="13" t="s">
        <v>3247</v>
      </c>
      <c r="W181" s="13" t="s">
        <v>3496</v>
      </c>
      <c r="X181" s="13" t="s">
        <v>3211</v>
      </c>
      <c r="Y181" s="13" t="s">
        <v>3156</v>
      </c>
      <c r="Z181" s="13" t="s">
        <v>3167</v>
      </c>
      <c r="AA181" s="13" t="b">
        <v>1</v>
      </c>
      <c r="AB181" s="48"/>
      <c r="AC181" s="49"/>
    </row>
    <row r="182" ht="14.25" customHeight="1">
      <c r="A182" s="13">
        <v>24138.0</v>
      </c>
      <c r="B182" s="13" t="str">
        <f t="shared" si="2"/>
        <v>Observational</v>
      </c>
      <c r="C182" s="13" t="s">
        <v>4886</v>
      </c>
      <c r="D182" s="1"/>
      <c r="E182" s="2" t="s">
        <v>5052</v>
      </c>
      <c r="F182" s="13" t="s">
        <v>3183</v>
      </c>
      <c r="G182" s="13" t="s">
        <v>3183</v>
      </c>
      <c r="H182" s="13" t="s">
        <v>3242</v>
      </c>
      <c r="I182" s="13" t="s">
        <v>3188</v>
      </c>
      <c r="J182" s="13" t="s">
        <v>3432</v>
      </c>
      <c r="K182" s="13" t="s">
        <v>3153</v>
      </c>
      <c r="L182" s="13" t="s">
        <v>3465</v>
      </c>
      <c r="M182" s="13" t="s">
        <v>3605</v>
      </c>
      <c r="N182" s="13" t="s">
        <v>3267</v>
      </c>
      <c r="O182" s="13" t="s">
        <v>3759</v>
      </c>
      <c r="P182" s="13">
        <v>2.0</v>
      </c>
      <c r="Q182" s="13" t="s">
        <v>3160</v>
      </c>
      <c r="R182" s="13" t="s">
        <v>3163</v>
      </c>
      <c r="S182" s="13" t="s">
        <v>3759</v>
      </c>
      <c r="T182" s="13" t="s">
        <v>3167</v>
      </c>
      <c r="U182" s="13" t="s">
        <v>3247</v>
      </c>
      <c r="V182" s="13" t="s">
        <v>3247</v>
      </c>
      <c r="W182" s="13" t="s">
        <v>3572</v>
      </c>
      <c r="X182" s="13" t="s">
        <v>3192</v>
      </c>
      <c r="Y182" s="13" t="s">
        <v>3187</v>
      </c>
      <c r="Z182" s="13">
        <v>16.0</v>
      </c>
      <c r="AA182" s="13" t="b">
        <v>1</v>
      </c>
      <c r="AB182" s="48"/>
      <c r="AC182" s="49"/>
    </row>
    <row r="183" ht="14.25" customHeight="1">
      <c r="A183" s="13">
        <v>24531.0</v>
      </c>
      <c r="B183" s="13" t="str">
        <f t="shared" si="2"/>
        <v>Observational</v>
      </c>
      <c r="C183" s="13" t="s">
        <v>4856</v>
      </c>
      <c r="D183" s="1"/>
      <c r="E183" s="2" t="s">
        <v>5052</v>
      </c>
      <c r="F183" s="13" t="s">
        <v>3208</v>
      </c>
      <c r="G183" s="13" t="s">
        <v>3208</v>
      </c>
      <c r="H183" s="13" t="s">
        <v>3242</v>
      </c>
      <c r="I183" s="13" t="s">
        <v>3188</v>
      </c>
      <c r="J183" s="13" t="s">
        <v>3432</v>
      </c>
      <c r="K183" s="13" t="s">
        <v>3153</v>
      </c>
      <c r="L183" s="13" t="s">
        <v>3169</v>
      </c>
      <c r="M183" s="13" t="s">
        <v>3605</v>
      </c>
      <c r="N183" s="13" t="s">
        <v>3267</v>
      </c>
      <c r="O183" s="13" t="s">
        <v>33</v>
      </c>
      <c r="P183" s="13">
        <v>2.0</v>
      </c>
      <c r="Q183" s="13" t="s">
        <v>3160</v>
      </c>
      <c r="R183" s="13" t="s">
        <v>3163</v>
      </c>
      <c r="S183" s="13" t="s">
        <v>33</v>
      </c>
      <c r="T183" s="13" t="s">
        <v>3167</v>
      </c>
      <c r="U183" s="13" t="s">
        <v>3247</v>
      </c>
      <c r="V183" s="13" t="s">
        <v>3247</v>
      </c>
      <c r="W183" s="13" t="s">
        <v>3248</v>
      </c>
      <c r="X183" s="13" t="s">
        <v>3170</v>
      </c>
      <c r="Y183" s="13" t="s">
        <v>33</v>
      </c>
      <c r="Z183" s="13" t="s">
        <v>33</v>
      </c>
      <c r="AA183" s="13" t="b">
        <v>1</v>
      </c>
      <c r="AB183" s="48"/>
      <c r="AC183" s="49"/>
    </row>
    <row r="184" ht="14.25" customHeight="1">
      <c r="A184" s="13">
        <v>25390.0</v>
      </c>
      <c r="B184" s="13" t="str">
        <f t="shared" si="2"/>
        <v>Observational</v>
      </c>
      <c r="C184" s="13" t="s">
        <v>4856</v>
      </c>
      <c r="D184" s="1"/>
      <c r="E184" s="2" t="s">
        <v>5052</v>
      </c>
      <c r="F184" s="13" t="s">
        <v>3208</v>
      </c>
      <c r="G184" s="13" t="s">
        <v>3208</v>
      </c>
      <c r="H184" s="13" t="s">
        <v>3242</v>
      </c>
      <c r="I184" s="13" t="s">
        <v>3171</v>
      </c>
      <c r="J184" s="13" t="s">
        <v>4220</v>
      </c>
      <c r="K184" s="13" t="s">
        <v>3153</v>
      </c>
      <c r="L184" s="13" t="s">
        <v>3169</v>
      </c>
      <c r="M184" s="13" t="s">
        <v>3605</v>
      </c>
      <c r="N184" s="13" t="s">
        <v>3267</v>
      </c>
      <c r="O184" s="13" t="s">
        <v>33</v>
      </c>
      <c r="P184" s="13">
        <v>3.0</v>
      </c>
      <c r="Q184" s="13" t="s">
        <v>3160</v>
      </c>
      <c r="R184" s="13" t="s">
        <v>3163</v>
      </c>
      <c r="S184" s="13" t="s">
        <v>33</v>
      </c>
      <c r="T184" s="13" t="s">
        <v>3167</v>
      </c>
      <c r="U184" s="13" t="s">
        <v>3247</v>
      </c>
      <c r="V184" s="13" t="s">
        <v>3247</v>
      </c>
      <c r="W184" s="13" t="s">
        <v>3496</v>
      </c>
      <c r="X184" s="13" t="s">
        <v>3211</v>
      </c>
      <c r="Y184" s="13" t="s">
        <v>3202</v>
      </c>
      <c r="Z184" s="13">
        <v>30.0</v>
      </c>
      <c r="AA184" s="13" t="b">
        <v>1</v>
      </c>
      <c r="AB184" s="48"/>
      <c r="AC184" s="49"/>
    </row>
    <row r="185" ht="14.25" customHeight="1">
      <c r="A185" s="13">
        <v>25601.0</v>
      </c>
      <c r="B185" s="13" t="str">
        <f t="shared" si="2"/>
        <v>Observational</v>
      </c>
      <c r="C185" s="13" t="s">
        <v>4856</v>
      </c>
      <c r="D185" s="1"/>
      <c r="E185" s="2" t="s">
        <v>5052</v>
      </c>
      <c r="F185" s="13" t="s">
        <v>3208</v>
      </c>
      <c r="G185" s="13" t="s">
        <v>3273</v>
      </c>
      <c r="H185" s="13" t="s">
        <v>3242</v>
      </c>
      <c r="I185" s="13" t="s">
        <v>3188</v>
      </c>
      <c r="J185" s="13" t="s">
        <v>3207</v>
      </c>
      <c r="K185" s="13" t="s">
        <v>3153</v>
      </c>
      <c r="L185" s="13" t="s">
        <v>3169</v>
      </c>
      <c r="M185" s="13" t="s">
        <v>3605</v>
      </c>
      <c r="N185" s="13" t="s">
        <v>3267</v>
      </c>
      <c r="O185" s="13" t="s">
        <v>33</v>
      </c>
      <c r="P185" s="13">
        <v>2.0</v>
      </c>
      <c r="Q185" s="13" t="s">
        <v>3160</v>
      </c>
      <c r="R185" s="13" t="s">
        <v>3163</v>
      </c>
      <c r="S185" s="13" t="s">
        <v>33</v>
      </c>
      <c r="T185" s="13" t="s">
        <v>3167</v>
      </c>
      <c r="U185" s="13" t="s">
        <v>3247</v>
      </c>
      <c r="V185" s="13" t="s">
        <v>3247</v>
      </c>
      <c r="W185" s="13" t="s">
        <v>3496</v>
      </c>
      <c r="X185" s="13" t="s">
        <v>3170</v>
      </c>
      <c r="Y185" s="13" t="s">
        <v>33</v>
      </c>
      <c r="Z185" s="13" t="s">
        <v>33</v>
      </c>
      <c r="AA185" s="13" t="b">
        <v>1</v>
      </c>
      <c r="AB185" s="48"/>
      <c r="AC185" s="49"/>
    </row>
    <row r="186" ht="14.25" customHeight="1">
      <c r="A186" s="13">
        <v>25724.0</v>
      </c>
      <c r="B186" s="13" t="str">
        <f t="shared" si="2"/>
        <v>Observational</v>
      </c>
      <c r="C186" s="13" t="s">
        <v>4856</v>
      </c>
      <c r="D186" s="1"/>
      <c r="E186" s="2" t="s">
        <v>5052</v>
      </c>
      <c r="F186" s="13" t="s">
        <v>3208</v>
      </c>
      <c r="G186" s="13" t="s">
        <v>3273</v>
      </c>
      <c r="H186" s="13" t="s">
        <v>3242</v>
      </c>
      <c r="I186" s="13" t="s">
        <v>3188</v>
      </c>
      <c r="J186" s="13" t="s">
        <v>3207</v>
      </c>
      <c r="K186" s="13" t="s">
        <v>3153</v>
      </c>
      <c r="L186" s="13" t="s">
        <v>3169</v>
      </c>
      <c r="M186" s="13" t="s">
        <v>3605</v>
      </c>
      <c r="N186" s="13" t="s">
        <v>3267</v>
      </c>
      <c r="O186" s="13" t="s">
        <v>33</v>
      </c>
      <c r="P186" s="13">
        <v>2.0</v>
      </c>
      <c r="Q186" s="13" t="s">
        <v>3160</v>
      </c>
      <c r="R186" s="13" t="s">
        <v>3163</v>
      </c>
      <c r="S186" s="13" t="s">
        <v>33</v>
      </c>
      <c r="T186" s="13" t="s">
        <v>3167</v>
      </c>
      <c r="U186" s="13" t="s">
        <v>3247</v>
      </c>
      <c r="V186" s="13" t="s">
        <v>3247</v>
      </c>
      <c r="W186" s="13" t="s">
        <v>3572</v>
      </c>
      <c r="X186" s="13" t="s">
        <v>3170</v>
      </c>
      <c r="Y186" s="13" t="s">
        <v>3202</v>
      </c>
      <c r="Z186" s="13">
        <v>30.0</v>
      </c>
      <c r="AA186" s="13" t="b">
        <v>1</v>
      </c>
      <c r="AB186" s="48"/>
      <c r="AC186" s="49"/>
    </row>
    <row r="187" ht="14.25" customHeight="1">
      <c r="A187" s="13">
        <v>23922.0</v>
      </c>
      <c r="B187" s="13" t="str">
        <f t="shared" si="2"/>
        <v>Observational</v>
      </c>
      <c r="C187" s="13" t="s">
        <v>4856</v>
      </c>
      <c r="D187" s="1"/>
      <c r="E187" s="2" t="s">
        <v>5052</v>
      </c>
      <c r="F187" s="13" t="s">
        <v>3208</v>
      </c>
      <c r="G187" s="13" t="s">
        <v>3273</v>
      </c>
      <c r="H187" s="13" t="s">
        <v>3242</v>
      </c>
      <c r="I187" s="13" t="s">
        <v>3188</v>
      </c>
      <c r="J187" s="13" t="s">
        <v>3233</v>
      </c>
      <c r="K187" s="13" t="s">
        <v>3153</v>
      </c>
      <c r="L187" s="13" t="s">
        <v>3169</v>
      </c>
      <c r="M187" s="13" t="s">
        <v>3605</v>
      </c>
      <c r="N187" s="13" t="s">
        <v>3162</v>
      </c>
      <c r="O187" s="13" t="s">
        <v>3167</v>
      </c>
      <c r="P187" s="13">
        <v>2.0</v>
      </c>
      <c r="Q187" s="13" t="s">
        <v>3160</v>
      </c>
      <c r="R187" s="13" t="s">
        <v>3231</v>
      </c>
      <c r="S187" s="13" t="s">
        <v>33</v>
      </c>
      <c r="T187" s="13" t="s">
        <v>3167</v>
      </c>
      <c r="U187" s="13" t="s">
        <v>3247</v>
      </c>
      <c r="V187" s="13" t="s">
        <v>3247</v>
      </c>
      <c r="W187" s="13" t="s">
        <v>3248</v>
      </c>
      <c r="X187" s="13" t="s">
        <v>3170</v>
      </c>
      <c r="Y187" s="13" t="s">
        <v>3202</v>
      </c>
      <c r="Z187" s="13">
        <v>30.0</v>
      </c>
      <c r="AA187" s="13" t="b">
        <v>1</v>
      </c>
      <c r="AB187" s="48"/>
      <c r="AC187" s="49"/>
    </row>
    <row r="188" ht="14.25" customHeight="1">
      <c r="A188" s="13">
        <v>25275.0</v>
      </c>
      <c r="B188" s="13" t="str">
        <f t="shared" si="2"/>
        <v>Observational</v>
      </c>
      <c r="C188" s="13" t="s">
        <v>4856</v>
      </c>
      <c r="D188" s="13" t="s">
        <v>5053</v>
      </c>
      <c r="E188" s="13" t="s">
        <v>4870</v>
      </c>
      <c r="F188" s="13" t="s">
        <v>3208</v>
      </c>
      <c r="G188" s="13" t="s">
        <v>3273</v>
      </c>
      <c r="H188" s="13" t="s">
        <v>3242</v>
      </c>
      <c r="I188" s="13" t="s">
        <v>3188</v>
      </c>
      <c r="J188" s="13" t="s">
        <v>3207</v>
      </c>
      <c r="K188" s="13" t="s">
        <v>3153</v>
      </c>
      <c r="L188" s="13" t="s">
        <v>3169</v>
      </c>
      <c r="M188" s="13" t="s">
        <v>4188</v>
      </c>
      <c r="N188" s="13" t="s">
        <v>3267</v>
      </c>
      <c r="O188" s="13" t="s">
        <v>33</v>
      </c>
      <c r="P188" s="13">
        <v>3.0</v>
      </c>
      <c r="Q188" s="13" t="s">
        <v>3160</v>
      </c>
      <c r="R188" s="13" t="s">
        <v>3163</v>
      </c>
      <c r="S188" s="13" t="s">
        <v>33</v>
      </c>
      <c r="T188" s="13" t="s">
        <v>3167</v>
      </c>
      <c r="U188" s="13" t="s">
        <v>3247</v>
      </c>
      <c r="V188" s="13" t="s">
        <v>3247</v>
      </c>
      <c r="W188" s="13" t="s">
        <v>3248</v>
      </c>
      <c r="X188" s="13" t="s">
        <v>3170</v>
      </c>
      <c r="Y188" s="13" t="s">
        <v>33</v>
      </c>
      <c r="Z188" s="13" t="s">
        <v>33</v>
      </c>
      <c r="AA188" s="13" t="b">
        <v>1</v>
      </c>
      <c r="AB188" s="48"/>
      <c r="AC188" s="49"/>
    </row>
    <row r="189" ht="14.25" customHeight="1">
      <c r="A189" s="13">
        <v>24483.0</v>
      </c>
      <c r="B189" s="13" t="str">
        <f t="shared" si="2"/>
        <v>Observational</v>
      </c>
      <c r="C189" s="13" t="s">
        <v>4856</v>
      </c>
      <c r="D189" s="13" t="s">
        <v>5054</v>
      </c>
      <c r="E189" s="13" t="s">
        <v>4879</v>
      </c>
      <c r="F189" s="13" t="s">
        <v>3218</v>
      </c>
      <c r="G189" s="13" t="s">
        <v>3935</v>
      </c>
      <c r="H189" s="13" t="s">
        <v>3166</v>
      </c>
      <c r="I189" s="13" t="s">
        <v>3222</v>
      </c>
      <c r="J189" s="13" t="s">
        <v>3182</v>
      </c>
      <c r="K189" s="13" t="s">
        <v>3153</v>
      </c>
      <c r="L189" s="13" t="s">
        <v>3169</v>
      </c>
      <c r="M189" s="13" t="s">
        <v>3933</v>
      </c>
      <c r="N189" s="13" t="s">
        <v>3267</v>
      </c>
      <c r="O189" s="13" t="s">
        <v>3934</v>
      </c>
      <c r="P189" s="13">
        <v>3.0</v>
      </c>
      <c r="Q189" s="13" t="s">
        <v>3160</v>
      </c>
      <c r="R189" s="13" t="s">
        <v>3177</v>
      </c>
      <c r="S189" s="13" t="s">
        <v>33</v>
      </c>
      <c r="T189" s="13" t="s">
        <v>3936</v>
      </c>
      <c r="U189" s="13" t="s">
        <v>3232</v>
      </c>
      <c r="V189" s="13" t="s">
        <v>3197</v>
      </c>
      <c r="W189" s="13" t="s">
        <v>3167</v>
      </c>
      <c r="X189" s="13" t="s">
        <v>3192</v>
      </c>
      <c r="Y189" s="13" t="s">
        <v>3187</v>
      </c>
      <c r="Z189" s="13">
        <v>1.0</v>
      </c>
      <c r="AA189" s="13" t="b">
        <v>1</v>
      </c>
      <c r="AB189" s="48"/>
      <c r="AC189" s="49"/>
    </row>
    <row r="190" ht="14.25" customHeight="1">
      <c r="A190" s="13">
        <v>23727.0</v>
      </c>
      <c r="B190" s="13" t="str">
        <f t="shared" si="2"/>
        <v>Observational</v>
      </c>
      <c r="C190" s="13" t="s">
        <v>4856</v>
      </c>
      <c r="D190" s="1"/>
      <c r="E190" s="2" t="s">
        <v>5055</v>
      </c>
      <c r="F190" s="13" t="s">
        <v>3589</v>
      </c>
      <c r="G190" s="13" t="s">
        <v>3183</v>
      </c>
      <c r="H190" s="13" t="s">
        <v>3242</v>
      </c>
      <c r="I190" s="13" t="s">
        <v>3167</v>
      </c>
      <c r="J190" s="13" t="s">
        <v>3167</v>
      </c>
      <c r="K190" s="13" t="s">
        <v>3153</v>
      </c>
      <c r="L190" s="13" t="s">
        <v>3169</v>
      </c>
      <c r="M190" s="13" t="s">
        <v>3590</v>
      </c>
      <c r="N190" s="13" t="s">
        <v>3175</v>
      </c>
      <c r="O190" s="13" t="s">
        <v>3591</v>
      </c>
      <c r="P190" s="13">
        <v>4.0</v>
      </c>
      <c r="Q190" s="13" t="s">
        <v>3160</v>
      </c>
      <c r="R190" s="13" t="s">
        <v>3260</v>
      </c>
      <c r="S190" s="13" t="s">
        <v>33</v>
      </c>
      <c r="T190" s="13" t="s">
        <v>3167</v>
      </c>
      <c r="U190" s="13" t="s">
        <v>3197</v>
      </c>
      <c r="V190" s="13" t="s">
        <v>3197</v>
      </c>
      <c r="W190" s="13" t="s">
        <v>3294</v>
      </c>
      <c r="X190" s="13" t="s">
        <v>3217</v>
      </c>
      <c r="Y190" s="13" t="s">
        <v>3588</v>
      </c>
      <c r="Z190" s="13">
        <v>30.0</v>
      </c>
      <c r="AA190" s="13" t="b">
        <v>1</v>
      </c>
      <c r="AB190" s="48"/>
      <c r="AC190" s="49"/>
    </row>
    <row r="191" ht="14.25" customHeight="1">
      <c r="A191" s="13">
        <v>25058.0</v>
      </c>
      <c r="B191" s="13" t="str">
        <f t="shared" si="2"/>
        <v>Observational</v>
      </c>
      <c r="C191" s="13" t="s">
        <v>4856</v>
      </c>
      <c r="D191" s="1"/>
      <c r="E191" s="2" t="s">
        <v>5055</v>
      </c>
      <c r="F191" s="13" t="s">
        <v>3381</v>
      </c>
      <c r="G191" s="13" t="s">
        <v>3159</v>
      </c>
      <c r="H191" s="13" t="s">
        <v>3242</v>
      </c>
      <c r="I191" s="13" t="s">
        <v>4067</v>
      </c>
      <c r="J191" s="13" t="s">
        <v>4120</v>
      </c>
      <c r="K191" s="13" t="s">
        <v>3153</v>
      </c>
      <c r="L191" s="13" t="s">
        <v>3169</v>
      </c>
      <c r="M191" s="13" t="s">
        <v>3590</v>
      </c>
      <c r="N191" s="13" t="s">
        <v>3175</v>
      </c>
      <c r="O191" s="13" t="s">
        <v>4121</v>
      </c>
      <c r="P191" s="13">
        <v>4.0</v>
      </c>
      <c r="Q191" s="13" t="s">
        <v>3177</v>
      </c>
      <c r="R191" s="13" t="s">
        <v>3163</v>
      </c>
      <c r="S191" s="13" t="s">
        <v>33</v>
      </c>
      <c r="T191" s="13" t="s">
        <v>3167</v>
      </c>
      <c r="U191" s="13" t="s">
        <v>3164</v>
      </c>
      <c r="V191" s="13" t="s">
        <v>3164</v>
      </c>
      <c r="W191" s="13" t="s">
        <v>3377</v>
      </c>
      <c r="X191" s="13" t="s">
        <v>3211</v>
      </c>
      <c r="Y191" s="13" t="s">
        <v>3202</v>
      </c>
      <c r="Z191" s="13">
        <v>250.0</v>
      </c>
      <c r="AA191" s="13" t="b">
        <v>1</v>
      </c>
      <c r="AB191" s="48"/>
      <c r="AC191" s="49"/>
    </row>
    <row r="192" ht="14.25" customHeight="1">
      <c r="A192" s="13">
        <v>24663.0</v>
      </c>
      <c r="B192" s="13" t="str">
        <f t="shared" si="2"/>
        <v>Observational</v>
      </c>
      <c r="C192" s="13" t="s">
        <v>4856</v>
      </c>
      <c r="D192" s="13" t="s">
        <v>5056</v>
      </c>
      <c r="E192" s="13" t="s">
        <v>4860</v>
      </c>
      <c r="F192" s="13" t="s">
        <v>3381</v>
      </c>
      <c r="G192" s="13" t="s">
        <v>3201</v>
      </c>
      <c r="H192" s="13" t="s">
        <v>3166</v>
      </c>
      <c r="I192" s="13" t="s">
        <v>3157</v>
      </c>
      <c r="J192" s="13" t="s">
        <v>3307</v>
      </c>
      <c r="K192" s="13" t="s">
        <v>3153</v>
      </c>
      <c r="L192" s="13" t="s">
        <v>3169</v>
      </c>
      <c r="M192" s="13" t="s">
        <v>3989</v>
      </c>
      <c r="N192" s="13" t="s">
        <v>3175</v>
      </c>
      <c r="O192" s="13" t="s">
        <v>3167</v>
      </c>
      <c r="P192" s="13">
        <v>3.0</v>
      </c>
      <c r="Q192" s="13" t="s">
        <v>3160</v>
      </c>
      <c r="R192" s="13" t="s">
        <v>3231</v>
      </c>
      <c r="S192" s="13" t="s">
        <v>33</v>
      </c>
      <c r="T192" s="13" t="s">
        <v>3178</v>
      </c>
      <c r="U192" s="13" t="s">
        <v>3164</v>
      </c>
      <c r="V192" s="13" t="s">
        <v>3164</v>
      </c>
      <c r="W192" s="13" t="s">
        <v>3167</v>
      </c>
      <c r="X192" s="13" t="s">
        <v>3192</v>
      </c>
      <c r="Y192" s="13" t="s">
        <v>3156</v>
      </c>
      <c r="Z192" s="13" t="s">
        <v>3167</v>
      </c>
      <c r="AA192" s="13" t="b">
        <v>1</v>
      </c>
      <c r="AB192" s="48"/>
      <c r="AC192" s="49"/>
    </row>
    <row r="193" ht="14.25" customHeight="1">
      <c r="A193" s="13">
        <v>25402.0</v>
      </c>
      <c r="B193" s="13" t="str">
        <f t="shared" si="2"/>
        <v>Observational</v>
      </c>
      <c r="C193" s="13" t="s">
        <v>4856</v>
      </c>
      <c r="D193" s="13" t="s">
        <v>5057</v>
      </c>
      <c r="E193" s="13" t="s">
        <v>5058</v>
      </c>
      <c r="F193" s="13" t="s">
        <v>3183</v>
      </c>
      <c r="G193" s="13" t="s">
        <v>3335</v>
      </c>
      <c r="H193" s="13" t="s">
        <v>3195</v>
      </c>
      <c r="I193" s="13" t="s">
        <v>3167</v>
      </c>
      <c r="J193" s="13" t="s">
        <v>3167</v>
      </c>
      <c r="K193" s="13" t="s">
        <v>3153</v>
      </c>
      <c r="L193" s="13" t="s">
        <v>3169</v>
      </c>
      <c r="M193" s="13" t="s">
        <v>4225</v>
      </c>
      <c r="N193" s="13" t="s">
        <v>3175</v>
      </c>
      <c r="O193" s="13" t="s">
        <v>4226</v>
      </c>
      <c r="P193" s="13">
        <v>5.0</v>
      </c>
      <c r="Q193" s="13" t="s">
        <v>3177</v>
      </c>
      <c r="R193" s="13" t="s">
        <v>3163</v>
      </c>
      <c r="S193" s="13" t="s">
        <v>4227</v>
      </c>
      <c r="T193" s="13" t="s">
        <v>3167</v>
      </c>
      <c r="U193" s="13" t="s">
        <v>3195</v>
      </c>
      <c r="V193" s="13" t="s">
        <v>3195</v>
      </c>
      <c r="W193" s="13" t="s">
        <v>3167</v>
      </c>
      <c r="X193" s="13" t="s">
        <v>3217</v>
      </c>
      <c r="Y193" s="13" t="s">
        <v>3187</v>
      </c>
      <c r="Z193" s="13">
        <v>1.0</v>
      </c>
      <c r="AA193" s="13" t="b">
        <v>1</v>
      </c>
      <c r="AB193" s="48"/>
      <c r="AC193" s="49"/>
    </row>
    <row r="194" ht="14.25" customHeight="1">
      <c r="A194" s="13">
        <v>24174.0</v>
      </c>
      <c r="B194" s="13" t="str">
        <f t="shared" si="2"/>
        <v>Observational</v>
      </c>
      <c r="C194" s="13" t="s">
        <v>4852</v>
      </c>
      <c r="D194" s="13" t="s">
        <v>5059</v>
      </c>
      <c r="E194" s="13" t="s">
        <v>5060</v>
      </c>
      <c r="F194" s="13" t="s">
        <v>3218</v>
      </c>
      <c r="G194" s="13" t="s">
        <v>3183</v>
      </c>
      <c r="H194" s="13" t="s">
        <v>3166</v>
      </c>
      <c r="I194" s="13" t="s">
        <v>3167</v>
      </c>
      <c r="J194" s="13" t="s">
        <v>3167</v>
      </c>
      <c r="K194" s="13" t="s">
        <v>3153</v>
      </c>
      <c r="L194" s="13" t="s">
        <v>3154</v>
      </c>
      <c r="M194" s="13" t="s">
        <v>3785</v>
      </c>
      <c r="N194" s="13" t="s">
        <v>3175</v>
      </c>
      <c r="O194" s="13" t="s">
        <v>3786</v>
      </c>
      <c r="P194" s="13">
        <v>7.0</v>
      </c>
      <c r="Q194" s="13" t="s">
        <v>3160</v>
      </c>
      <c r="R194" s="13" t="s">
        <v>3260</v>
      </c>
      <c r="S194" s="13" t="s">
        <v>3397</v>
      </c>
      <c r="T194" s="13" t="s">
        <v>3276</v>
      </c>
      <c r="U194" s="13" t="s">
        <v>3197</v>
      </c>
      <c r="V194" s="13" t="s">
        <v>3197</v>
      </c>
      <c r="W194" s="13" t="s">
        <v>3167</v>
      </c>
      <c r="X194" s="13" t="s">
        <v>3217</v>
      </c>
      <c r="Y194" s="13" t="s">
        <v>3187</v>
      </c>
      <c r="Z194" s="13">
        <v>10.0</v>
      </c>
      <c r="AA194" s="13" t="b">
        <v>1</v>
      </c>
      <c r="AB194" s="48"/>
      <c r="AC194" s="49"/>
    </row>
    <row r="195" ht="14.25" customHeight="1">
      <c r="A195" s="13">
        <v>25010.0</v>
      </c>
      <c r="B195" s="13" t="str">
        <f t="shared" si="2"/>
        <v>Observational</v>
      </c>
      <c r="C195" s="13" t="s">
        <v>4886</v>
      </c>
      <c r="D195" s="13" t="s">
        <v>5056</v>
      </c>
      <c r="E195" s="13" t="s">
        <v>5007</v>
      </c>
      <c r="F195" s="13" t="s">
        <v>3333</v>
      </c>
      <c r="G195" s="13" t="s">
        <v>3183</v>
      </c>
      <c r="H195" s="13" t="s">
        <v>3166</v>
      </c>
      <c r="I195" s="13" t="s">
        <v>3222</v>
      </c>
      <c r="J195" s="13" t="s">
        <v>3262</v>
      </c>
      <c r="K195" s="13" t="s">
        <v>3153</v>
      </c>
      <c r="L195" s="13" t="s">
        <v>3465</v>
      </c>
      <c r="M195" s="13" t="s">
        <v>4101</v>
      </c>
      <c r="N195" s="13" t="s">
        <v>3175</v>
      </c>
      <c r="O195" s="13" t="s">
        <v>3167</v>
      </c>
      <c r="P195" s="13">
        <v>2.0</v>
      </c>
      <c r="Q195" s="13" t="s">
        <v>3177</v>
      </c>
      <c r="R195" s="13" t="s">
        <v>3260</v>
      </c>
      <c r="S195" s="13" t="s">
        <v>33</v>
      </c>
      <c r="T195" s="13" t="s">
        <v>3324</v>
      </c>
      <c r="U195" s="13" t="s">
        <v>3232</v>
      </c>
      <c r="V195" s="13" t="s">
        <v>3232</v>
      </c>
      <c r="W195" s="13" t="s">
        <v>3167</v>
      </c>
      <c r="X195" s="13" t="s">
        <v>3155</v>
      </c>
      <c r="Y195" s="13" t="s">
        <v>3156</v>
      </c>
      <c r="Z195" s="13" t="s">
        <v>3167</v>
      </c>
      <c r="AA195" s="13" t="b">
        <v>1</v>
      </c>
      <c r="AB195" s="48"/>
      <c r="AC195" s="49"/>
    </row>
    <row r="196" ht="14.25" customHeight="1">
      <c r="A196" s="13">
        <v>24472.0</v>
      </c>
      <c r="B196" s="13" t="str">
        <f t="shared" si="2"/>
        <v>Observational</v>
      </c>
      <c r="C196" s="13" t="s">
        <v>4886</v>
      </c>
      <c r="D196" s="13" t="s">
        <v>5061</v>
      </c>
      <c r="E196" s="13" t="s">
        <v>4903</v>
      </c>
      <c r="F196" s="13" t="s">
        <v>3208</v>
      </c>
      <c r="G196" s="13" t="s">
        <v>3210</v>
      </c>
      <c r="H196" s="13" t="s">
        <v>3195</v>
      </c>
      <c r="I196" s="13" t="s">
        <v>3157</v>
      </c>
      <c r="J196" s="13" t="s">
        <v>3924</v>
      </c>
      <c r="K196" s="13" t="s">
        <v>3153</v>
      </c>
      <c r="L196" s="13" t="s">
        <v>3465</v>
      </c>
      <c r="M196" s="13" t="s">
        <v>3925</v>
      </c>
      <c r="N196" s="13" t="s">
        <v>3162</v>
      </c>
      <c r="O196" s="13" t="s">
        <v>33</v>
      </c>
      <c r="P196" s="13">
        <v>5.0</v>
      </c>
      <c r="Q196" s="13" t="s">
        <v>3160</v>
      </c>
      <c r="R196" s="13" t="s">
        <v>3163</v>
      </c>
      <c r="S196" s="13" t="s">
        <v>33</v>
      </c>
      <c r="T196" s="13" t="s">
        <v>3167</v>
      </c>
      <c r="U196" s="13" t="s">
        <v>3195</v>
      </c>
      <c r="V196" s="13" t="s">
        <v>3195</v>
      </c>
      <c r="W196" s="13" t="s">
        <v>3167</v>
      </c>
      <c r="X196" s="13" t="s">
        <v>3170</v>
      </c>
      <c r="Y196" s="13" t="s">
        <v>3156</v>
      </c>
      <c r="Z196" s="13" t="s">
        <v>33</v>
      </c>
      <c r="AA196" s="13" t="b">
        <v>1</v>
      </c>
      <c r="AB196" s="48"/>
      <c r="AC196" s="49"/>
    </row>
    <row r="197" ht="14.25" customHeight="1">
      <c r="A197" s="13">
        <v>23773.0</v>
      </c>
      <c r="B197" s="13" t="str">
        <f t="shared" si="2"/>
        <v>Observational</v>
      </c>
      <c r="C197" s="13" t="s">
        <v>4886</v>
      </c>
      <c r="D197" s="13" t="s">
        <v>5056</v>
      </c>
      <c r="E197" s="13" t="s">
        <v>4903</v>
      </c>
      <c r="F197" s="13" t="s">
        <v>3381</v>
      </c>
      <c r="G197" s="13" t="s">
        <v>3183</v>
      </c>
      <c r="H197" s="13" t="s">
        <v>3166</v>
      </c>
      <c r="I197" s="13" t="s">
        <v>3188</v>
      </c>
      <c r="J197" s="13" t="s">
        <v>3432</v>
      </c>
      <c r="K197" s="13" t="s">
        <v>3153</v>
      </c>
      <c r="L197" s="13" t="s">
        <v>3465</v>
      </c>
      <c r="M197" s="13" t="s">
        <v>3610</v>
      </c>
      <c r="N197" s="13" t="s">
        <v>3175</v>
      </c>
      <c r="O197" s="13" t="s">
        <v>3611</v>
      </c>
      <c r="P197" s="13">
        <v>3.0</v>
      </c>
      <c r="Q197" s="13" t="s">
        <v>3160</v>
      </c>
      <c r="R197" s="13" t="s">
        <v>3163</v>
      </c>
      <c r="S197" s="13" t="s">
        <v>3612</v>
      </c>
      <c r="T197" s="13" t="s">
        <v>3224</v>
      </c>
      <c r="U197" s="13" t="s">
        <v>3232</v>
      </c>
      <c r="V197" s="13" t="s">
        <v>3232</v>
      </c>
      <c r="W197" s="13" t="s">
        <v>3167</v>
      </c>
      <c r="X197" s="13" t="s">
        <v>3155</v>
      </c>
      <c r="Y197" s="13" t="s">
        <v>3202</v>
      </c>
      <c r="Z197" s="13">
        <v>30.0</v>
      </c>
      <c r="AA197" s="13" t="b">
        <v>1</v>
      </c>
      <c r="AB197" s="48"/>
      <c r="AC197" s="49"/>
    </row>
    <row r="198" ht="14.25" customHeight="1">
      <c r="A198" s="13">
        <v>25513.0</v>
      </c>
      <c r="B198" s="13" t="str">
        <f t="shared" si="2"/>
        <v>Observational</v>
      </c>
      <c r="C198" s="13" t="s">
        <v>4856</v>
      </c>
      <c r="D198" s="13" t="s">
        <v>5062</v>
      </c>
      <c r="E198" s="13" t="s">
        <v>5063</v>
      </c>
      <c r="F198" s="13" t="s">
        <v>3381</v>
      </c>
      <c r="G198" s="13" t="s">
        <v>3287</v>
      </c>
      <c r="H198" s="13" t="s">
        <v>3166</v>
      </c>
      <c r="I198" s="13" t="s">
        <v>3222</v>
      </c>
      <c r="J198" s="13" t="s">
        <v>3182</v>
      </c>
      <c r="K198" s="13" t="s">
        <v>3153</v>
      </c>
      <c r="L198" s="13" t="s">
        <v>3169</v>
      </c>
      <c r="M198" s="13" t="s">
        <v>4254</v>
      </c>
      <c r="N198" s="13" t="s">
        <v>3175</v>
      </c>
      <c r="O198" s="13" t="s">
        <v>3689</v>
      </c>
      <c r="P198" s="13">
        <v>3.0</v>
      </c>
      <c r="Q198" s="13" t="s">
        <v>3160</v>
      </c>
      <c r="R198" s="13" t="s">
        <v>3163</v>
      </c>
      <c r="S198" s="13" t="s">
        <v>33</v>
      </c>
      <c r="T198" s="13" t="s">
        <v>3178</v>
      </c>
      <c r="U198" s="13" t="s">
        <v>3164</v>
      </c>
      <c r="V198" s="13" t="s">
        <v>3164</v>
      </c>
      <c r="W198" s="13" t="s">
        <v>3167</v>
      </c>
      <c r="X198" s="13" t="s">
        <v>3192</v>
      </c>
      <c r="Y198" s="13" t="s">
        <v>33</v>
      </c>
      <c r="Z198" s="13" t="s">
        <v>33</v>
      </c>
      <c r="AA198" s="13" t="b">
        <v>1</v>
      </c>
      <c r="AB198" s="48"/>
      <c r="AC198" s="49"/>
    </row>
    <row r="199" ht="14.25" customHeight="1">
      <c r="A199" s="13">
        <v>25454.0</v>
      </c>
      <c r="B199" s="13" t="str">
        <f t="shared" si="2"/>
        <v>Observational</v>
      </c>
      <c r="C199" s="13" t="s">
        <v>4864</v>
      </c>
      <c r="D199" s="13" t="s">
        <v>5064</v>
      </c>
      <c r="E199" s="13" t="s">
        <v>5030</v>
      </c>
      <c r="F199" s="13" t="s">
        <v>3186</v>
      </c>
      <c r="G199" s="13" t="s">
        <v>3186</v>
      </c>
      <c r="H199" s="13" t="s">
        <v>3166</v>
      </c>
      <c r="I199" s="13" t="s">
        <v>3181</v>
      </c>
      <c r="J199" s="13" t="s">
        <v>3182</v>
      </c>
      <c r="K199" s="13" t="s">
        <v>3153</v>
      </c>
      <c r="L199" s="13" t="s">
        <v>3179</v>
      </c>
      <c r="M199" s="13" t="s">
        <v>4243</v>
      </c>
      <c r="N199" s="13" t="s">
        <v>3162</v>
      </c>
      <c r="O199" s="13" t="s">
        <v>33</v>
      </c>
      <c r="P199" s="13">
        <v>2.0</v>
      </c>
      <c r="Q199" s="13" t="s">
        <v>3177</v>
      </c>
      <c r="R199" s="13" t="s">
        <v>3177</v>
      </c>
      <c r="S199" s="13" t="s">
        <v>33</v>
      </c>
      <c r="T199" s="13" t="s">
        <v>3225</v>
      </c>
      <c r="U199" s="13" t="s">
        <v>3164</v>
      </c>
      <c r="V199" s="13" t="s">
        <v>3232</v>
      </c>
      <c r="W199" s="13" t="s">
        <v>3167</v>
      </c>
      <c r="X199" s="13" t="s">
        <v>3170</v>
      </c>
      <c r="Y199" s="13" t="s">
        <v>3156</v>
      </c>
      <c r="Z199" s="13" t="s">
        <v>33</v>
      </c>
      <c r="AA199" s="13" t="b">
        <v>1</v>
      </c>
      <c r="AB199" s="48"/>
      <c r="AC199" s="49"/>
    </row>
    <row r="200" ht="14.25" customHeight="1">
      <c r="A200" s="13">
        <v>23917.0</v>
      </c>
      <c r="B200" s="13" t="str">
        <f t="shared" si="2"/>
        <v>Observational</v>
      </c>
      <c r="C200" s="13" t="s">
        <v>4880</v>
      </c>
      <c r="D200" s="1" t="s">
        <v>5039</v>
      </c>
      <c r="E200" s="2" t="s">
        <v>5065</v>
      </c>
      <c r="F200" s="13" t="s">
        <v>3183</v>
      </c>
      <c r="G200" s="13" t="s">
        <v>3183</v>
      </c>
      <c r="H200" s="13" t="s">
        <v>3166</v>
      </c>
      <c r="I200" s="13" t="s">
        <v>3167</v>
      </c>
      <c r="J200" s="13" t="s">
        <v>3167</v>
      </c>
      <c r="K200" s="13" t="s">
        <v>3153</v>
      </c>
      <c r="L200" s="13" t="s">
        <v>3684</v>
      </c>
      <c r="M200" s="13" t="s">
        <v>3213</v>
      </c>
      <c r="N200" s="13" t="s">
        <v>3267</v>
      </c>
      <c r="O200" s="13" t="s">
        <v>33</v>
      </c>
      <c r="P200" s="13">
        <v>2.0</v>
      </c>
      <c r="Q200" s="13" t="s">
        <v>3177</v>
      </c>
      <c r="R200" s="13" t="s">
        <v>3177</v>
      </c>
      <c r="S200" s="13" t="s">
        <v>33</v>
      </c>
      <c r="T200" s="13" t="s">
        <v>3685</v>
      </c>
      <c r="U200" s="13" t="s">
        <v>3247</v>
      </c>
      <c r="V200" s="13" t="s">
        <v>3247</v>
      </c>
      <c r="W200" s="13" t="s">
        <v>3167</v>
      </c>
      <c r="X200" s="13" t="s">
        <v>3217</v>
      </c>
      <c r="Y200" s="13" t="s">
        <v>3187</v>
      </c>
      <c r="Z200" s="13">
        <v>1.0</v>
      </c>
      <c r="AA200" s="13" t="b">
        <v>0</v>
      </c>
      <c r="AB200" s="48"/>
      <c r="AC200" s="49"/>
    </row>
    <row r="201" ht="14.25" customHeight="1">
      <c r="A201" s="13">
        <v>23047.0</v>
      </c>
      <c r="B201" s="13" t="str">
        <f t="shared" si="2"/>
        <v>Observational</v>
      </c>
      <c r="C201" s="13" t="s">
        <v>4856</v>
      </c>
      <c r="D201" s="1" t="s">
        <v>5039</v>
      </c>
      <c r="E201" s="2" t="s">
        <v>5065</v>
      </c>
      <c r="F201" s="13" t="s">
        <v>3186</v>
      </c>
      <c r="G201" s="13" t="s">
        <v>3214</v>
      </c>
      <c r="H201" s="13" t="s">
        <v>3166</v>
      </c>
      <c r="I201" s="13" t="s">
        <v>3188</v>
      </c>
      <c r="J201" s="13" t="s">
        <v>3212</v>
      </c>
      <c r="K201" s="13" t="s">
        <v>3153</v>
      </c>
      <c r="L201" s="13" t="s">
        <v>3169</v>
      </c>
      <c r="M201" s="13" t="s">
        <v>3213</v>
      </c>
      <c r="N201" s="13" t="s">
        <v>3162</v>
      </c>
      <c r="O201" s="13" t="s">
        <v>33</v>
      </c>
      <c r="P201" s="13">
        <v>2.0</v>
      </c>
      <c r="Q201" s="13" t="s">
        <v>3177</v>
      </c>
      <c r="R201" s="13" t="s">
        <v>3163</v>
      </c>
      <c r="S201" s="13" t="s">
        <v>33</v>
      </c>
      <c r="T201" s="13" t="s">
        <v>3216</v>
      </c>
      <c r="U201" s="13" t="s">
        <v>3215</v>
      </c>
      <c r="V201" s="13" t="s">
        <v>3215</v>
      </c>
      <c r="W201" s="13" t="s">
        <v>3167</v>
      </c>
      <c r="X201" s="13" t="s">
        <v>3211</v>
      </c>
      <c r="Y201" s="13" t="s">
        <v>3187</v>
      </c>
      <c r="Z201" s="13">
        <v>1.0</v>
      </c>
      <c r="AA201" s="13" t="b">
        <v>0</v>
      </c>
      <c r="AB201" s="48"/>
      <c r="AC201" s="49"/>
    </row>
    <row r="202" ht="14.25" customHeight="1">
      <c r="A202" s="13">
        <v>23052.0</v>
      </c>
      <c r="B202" s="13" t="str">
        <f t="shared" si="2"/>
        <v>Observational</v>
      </c>
      <c r="C202" s="13" t="s">
        <v>4856</v>
      </c>
      <c r="D202" s="1" t="s">
        <v>5039</v>
      </c>
      <c r="E202" s="2" t="s">
        <v>5065</v>
      </c>
      <c r="F202" s="13" t="s">
        <v>3208</v>
      </c>
      <c r="G202" s="13" t="s">
        <v>3208</v>
      </c>
      <c r="H202" s="13" t="s">
        <v>3242</v>
      </c>
      <c r="I202" s="13" t="s">
        <v>3203</v>
      </c>
      <c r="J202" s="13" t="s">
        <v>3204</v>
      </c>
      <c r="K202" s="13" t="s">
        <v>3153</v>
      </c>
      <c r="L202" s="13" t="s">
        <v>3169</v>
      </c>
      <c r="M202" s="13" t="s">
        <v>3213</v>
      </c>
      <c r="N202" s="13" t="s">
        <v>3162</v>
      </c>
      <c r="O202" s="13" t="s">
        <v>33</v>
      </c>
      <c r="P202" s="13">
        <v>1.0</v>
      </c>
      <c r="Q202" s="13" t="s">
        <v>3160</v>
      </c>
      <c r="R202" s="13" t="s">
        <v>3163</v>
      </c>
      <c r="S202" s="13" t="s">
        <v>33</v>
      </c>
      <c r="T202" s="13" t="s">
        <v>3167</v>
      </c>
      <c r="U202" s="13" t="s">
        <v>3197</v>
      </c>
      <c r="V202" s="13" t="s">
        <v>3197</v>
      </c>
      <c r="W202" s="13" t="s">
        <v>3243</v>
      </c>
      <c r="X202" s="13" t="s">
        <v>3170</v>
      </c>
      <c r="Y202" s="13" t="s">
        <v>3202</v>
      </c>
      <c r="Z202" s="13">
        <v>0.8</v>
      </c>
      <c r="AA202" s="13" t="b">
        <v>0</v>
      </c>
      <c r="AB202" s="48"/>
      <c r="AC202" s="49"/>
    </row>
    <row r="203" ht="14.25" customHeight="1">
      <c r="A203" s="13">
        <v>23114.0</v>
      </c>
      <c r="B203" s="13" t="str">
        <f t="shared" si="2"/>
        <v>Observational</v>
      </c>
      <c r="C203" s="13" t="s">
        <v>4856</v>
      </c>
      <c r="D203" s="1" t="s">
        <v>5039</v>
      </c>
      <c r="E203" s="2" t="s">
        <v>5065</v>
      </c>
      <c r="F203" s="13" t="s">
        <v>3186</v>
      </c>
      <c r="G203" s="13" t="s">
        <v>3208</v>
      </c>
      <c r="H203" s="13" t="s">
        <v>3242</v>
      </c>
      <c r="I203" s="13" t="s">
        <v>3244</v>
      </c>
      <c r="J203" s="13" t="s">
        <v>3167</v>
      </c>
      <c r="K203" s="13" t="s">
        <v>3153</v>
      </c>
      <c r="L203" s="13" t="s">
        <v>3169</v>
      </c>
      <c r="M203" s="13" t="s">
        <v>3213</v>
      </c>
      <c r="N203" s="13" t="s">
        <v>3162</v>
      </c>
      <c r="O203" s="13" t="s">
        <v>3167</v>
      </c>
      <c r="P203" s="13">
        <v>1.0</v>
      </c>
      <c r="Q203" s="13" t="s">
        <v>3177</v>
      </c>
      <c r="R203" s="13" t="s">
        <v>3231</v>
      </c>
      <c r="S203" s="13" t="s">
        <v>33</v>
      </c>
      <c r="T203" s="13" t="s">
        <v>3167</v>
      </c>
      <c r="U203" s="13" t="s">
        <v>3247</v>
      </c>
      <c r="V203" s="13" t="s">
        <v>3247</v>
      </c>
      <c r="W203" s="13" t="s">
        <v>3285</v>
      </c>
      <c r="X203" s="13" t="s">
        <v>3284</v>
      </c>
      <c r="Y203" s="13" t="s">
        <v>3187</v>
      </c>
      <c r="Z203" s="13">
        <v>6.0</v>
      </c>
      <c r="AA203" s="13" t="b">
        <v>0</v>
      </c>
      <c r="AB203" s="48"/>
      <c r="AC203" s="49"/>
    </row>
    <row r="204" ht="14.25" customHeight="1">
      <c r="A204" s="13">
        <v>23147.0</v>
      </c>
      <c r="B204" s="13" t="str">
        <f t="shared" si="2"/>
        <v>Observational</v>
      </c>
      <c r="C204" s="13" t="s">
        <v>4856</v>
      </c>
      <c r="D204" s="1" t="s">
        <v>5039</v>
      </c>
      <c r="E204" s="2" t="s">
        <v>5065</v>
      </c>
      <c r="F204" s="13" t="s">
        <v>3159</v>
      </c>
      <c r="G204" s="13" t="s">
        <v>3159</v>
      </c>
      <c r="H204" s="13" t="s">
        <v>3242</v>
      </c>
      <c r="I204" s="13" t="s">
        <v>3203</v>
      </c>
      <c r="J204" s="13" t="s">
        <v>3204</v>
      </c>
      <c r="K204" s="13" t="s">
        <v>3153</v>
      </c>
      <c r="L204" s="13" t="s">
        <v>3169</v>
      </c>
      <c r="M204" s="13" t="s">
        <v>3213</v>
      </c>
      <c r="N204" s="13" t="s">
        <v>3162</v>
      </c>
      <c r="O204" s="13" t="s">
        <v>3167</v>
      </c>
      <c r="P204" s="13">
        <v>1.0</v>
      </c>
      <c r="Q204" s="13" t="s">
        <v>3177</v>
      </c>
      <c r="R204" s="13" t="s">
        <v>3231</v>
      </c>
      <c r="S204" s="13" t="s">
        <v>33</v>
      </c>
      <c r="T204" s="13" t="s">
        <v>3167</v>
      </c>
      <c r="U204" s="13" t="s">
        <v>3247</v>
      </c>
      <c r="V204" s="13" t="s">
        <v>3247</v>
      </c>
      <c r="W204" s="13" t="s">
        <v>3248</v>
      </c>
      <c r="X204" s="13" t="s">
        <v>3170</v>
      </c>
      <c r="Y204" s="13" t="s">
        <v>3156</v>
      </c>
      <c r="Z204" s="13" t="s">
        <v>3304</v>
      </c>
      <c r="AA204" s="13" t="b">
        <v>0</v>
      </c>
      <c r="AB204" s="48"/>
      <c r="AC204" s="49"/>
    </row>
    <row r="205" ht="14.25" customHeight="1">
      <c r="A205" s="13">
        <v>24094.0</v>
      </c>
      <c r="B205" s="13" t="str">
        <f t="shared" si="2"/>
        <v>Observational</v>
      </c>
      <c r="C205" s="13" t="s">
        <v>4852</v>
      </c>
      <c r="D205" s="1" t="s">
        <v>5039</v>
      </c>
      <c r="E205" s="2" t="s">
        <v>5065</v>
      </c>
      <c r="F205" s="13" t="s">
        <v>3186</v>
      </c>
      <c r="G205" s="13" t="s">
        <v>3186</v>
      </c>
      <c r="H205" s="13" t="s">
        <v>3166</v>
      </c>
      <c r="I205" s="13" t="s">
        <v>3157</v>
      </c>
      <c r="J205" s="13" t="s">
        <v>3348</v>
      </c>
      <c r="K205" s="13" t="s">
        <v>3153</v>
      </c>
      <c r="L205" s="13" t="s">
        <v>3154</v>
      </c>
      <c r="M205" s="13" t="s">
        <v>3213</v>
      </c>
      <c r="N205" s="13" t="s">
        <v>3162</v>
      </c>
      <c r="O205" s="13" t="s">
        <v>33</v>
      </c>
      <c r="P205" s="13">
        <v>1.0</v>
      </c>
      <c r="Q205" s="13" t="s">
        <v>3160</v>
      </c>
      <c r="R205" s="13" t="s">
        <v>3163</v>
      </c>
      <c r="S205" s="13" t="s">
        <v>33</v>
      </c>
      <c r="T205" s="13" t="s">
        <v>3255</v>
      </c>
      <c r="U205" s="13" t="s">
        <v>3164</v>
      </c>
      <c r="V205" s="13" t="s">
        <v>3197</v>
      </c>
      <c r="W205" s="13" t="s">
        <v>3167</v>
      </c>
      <c r="X205" s="13" t="s">
        <v>3155</v>
      </c>
      <c r="Y205" s="13" t="s">
        <v>3187</v>
      </c>
      <c r="Z205" s="13">
        <v>64.0</v>
      </c>
      <c r="AA205" s="13" t="b">
        <v>0</v>
      </c>
      <c r="AB205" s="48"/>
      <c r="AC205" s="49"/>
    </row>
    <row r="206" ht="14.25" customHeight="1">
      <c r="A206" s="13">
        <v>24302.0</v>
      </c>
      <c r="B206" s="13" t="str">
        <f t="shared" si="2"/>
        <v>Observational</v>
      </c>
      <c r="C206" s="13" t="s">
        <v>4852</v>
      </c>
      <c r="D206" s="1" t="s">
        <v>5039</v>
      </c>
      <c r="E206" s="2" t="s">
        <v>5065</v>
      </c>
      <c r="F206" s="13" t="s">
        <v>3381</v>
      </c>
      <c r="G206" s="13" t="s">
        <v>3183</v>
      </c>
      <c r="H206" s="13" t="s">
        <v>3166</v>
      </c>
      <c r="I206" s="13" t="s">
        <v>3157</v>
      </c>
      <c r="J206" s="13" t="s">
        <v>3167</v>
      </c>
      <c r="K206" s="13" t="s">
        <v>3153</v>
      </c>
      <c r="L206" s="13" t="s">
        <v>3154</v>
      </c>
      <c r="M206" s="13" t="s">
        <v>3213</v>
      </c>
      <c r="N206" s="13" t="s">
        <v>3162</v>
      </c>
      <c r="O206" s="13" t="s">
        <v>3839</v>
      </c>
      <c r="P206" s="13">
        <v>2.0</v>
      </c>
      <c r="Q206" s="13" t="s">
        <v>3177</v>
      </c>
      <c r="R206" s="13" t="s">
        <v>3177</v>
      </c>
      <c r="S206" s="13" t="s">
        <v>3840</v>
      </c>
      <c r="T206" s="13" t="s">
        <v>3255</v>
      </c>
      <c r="U206" s="13" t="s">
        <v>3197</v>
      </c>
      <c r="V206" s="13" t="s">
        <v>3197</v>
      </c>
      <c r="W206" s="13" t="s">
        <v>3167</v>
      </c>
      <c r="X206" s="13" t="s">
        <v>3284</v>
      </c>
      <c r="Y206" s="13" t="s">
        <v>33</v>
      </c>
      <c r="Z206" s="13" t="s">
        <v>33</v>
      </c>
      <c r="AA206" s="13" t="b">
        <v>0</v>
      </c>
      <c r="AB206" s="48"/>
      <c r="AC206" s="49"/>
    </row>
    <row r="207" ht="14.25" customHeight="1">
      <c r="A207" s="13">
        <v>24656.0</v>
      </c>
      <c r="B207" s="13" t="str">
        <f t="shared" si="2"/>
        <v>Observational</v>
      </c>
      <c r="C207" s="13" t="s">
        <v>4856</v>
      </c>
      <c r="D207" s="1" t="s">
        <v>5039</v>
      </c>
      <c r="E207" s="2" t="s">
        <v>5065</v>
      </c>
      <c r="F207" s="13" t="s">
        <v>3186</v>
      </c>
      <c r="G207" s="13" t="s">
        <v>3183</v>
      </c>
      <c r="H207" s="13" t="s">
        <v>3242</v>
      </c>
      <c r="I207" s="13" t="s">
        <v>3222</v>
      </c>
      <c r="J207" s="13" t="s">
        <v>3182</v>
      </c>
      <c r="K207" s="13" t="s">
        <v>3153</v>
      </c>
      <c r="L207" s="13" t="s">
        <v>3169</v>
      </c>
      <c r="M207" s="13" t="s">
        <v>3213</v>
      </c>
      <c r="N207" s="13" t="s">
        <v>3162</v>
      </c>
      <c r="O207" s="13" t="s">
        <v>33</v>
      </c>
      <c r="P207" s="13">
        <v>1.0</v>
      </c>
      <c r="Q207" s="13" t="s">
        <v>3177</v>
      </c>
      <c r="R207" s="13" t="s">
        <v>3163</v>
      </c>
      <c r="S207" s="13" t="s">
        <v>3984</v>
      </c>
      <c r="T207" s="13" t="s">
        <v>3167</v>
      </c>
      <c r="U207" s="13" t="s">
        <v>3247</v>
      </c>
      <c r="V207" s="13" t="s">
        <v>3247</v>
      </c>
      <c r="W207" s="13" t="s">
        <v>3985</v>
      </c>
      <c r="X207" s="13" t="s">
        <v>3155</v>
      </c>
      <c r="Y207" s="13" t="s">
        <v>3156</v>
      </c>
      <c r="Z207" s="13" t="s">
        <v>33</v>
      </c>
      <c r="AA207" s="13" t="b">
        <v>0</v>
      </c>
      <c r="AB207" s="48"/>
      <c r="AC207" s="49"/>
    </row>
    <row r="208" ht="14.25" customHeight="1">
      <c r="A208" s="13">
        <v>24745.0</v>
      </c>
      <c r="B208" s="13" t="str">
        <f t="shared" si="2"/>
        <v>Observational</v>
      </c>
      <c r="C208" s="13" t="s">
        <v>4856</v>
      </c>
      <c r="D208" s="1" t="s">
        <v>5039</v>
      </c>
      <c r="E208" s="2" t="s">
        <v>5065</v>
      </c>
      <c r="F208" s="13" t="s">
        <v>3186</v>
      </c>
      <c r="G208" s="13" t="s">
        <v>3183</v>
      </c>
      <c r="H208" s="13" t="s">
        <v>3242</v>
      </c>
      <c r="I208" s="13" t="s">
        <v>3222</v>
      </c>
      <c r="J208" s="13" t="s">
        <v>3182</v>
      </c>
      <c r="K208" s="13" t="s">
        <v>3153</v>
      </c>
      <c r="L208" s="13" t="s">
        <v>3169</v>
      </c>
      <c r="M208" s="13" t="s">
        <v>3213</v>
      </c>
      <c r="N208" s="13" t="s">
        <v>3162</v>
      </c>
      <c r="O208" s="13" t="s">
        <v>33</v>
      </c>
      <c r="P208" s="13">
        <v>1.0</v>
      </c>
      <c r="Q208" s="13" t="s">
        <v>3177</v>
      </c>
      <c r="R208" s="13" t="s">
        <v>3163</v>
      </c>
      <c r="S208" s="13" t="s">
        <v>33</v>
      </c>
      <c r="T208" s="13" t="s">
        <v>3167</v>
      </c>
      <c r="U208" s="13" t="s">
        <v>3164</v>
      </c>
      <c r="V208" s="13" t="s">
        <v>3164</v>
      </c>
      <c r="W208" s="13" t="s">
        <v>3433</v>
      </c>
      <c r="X208" s="13" t="s">
        <v>3192</v>
      </c>
      <c r="Y208" s="13" t="s">
        <v>3156</v>
      </c>
      <c r="Z208" s="13" t="s">
        <v>33</v>
      </c>
      <c r="AA208" s="13" t="b">
        <v>0</v>
      </c>
      <c r="AB208" s="48"/>
      <c r="AC208" s="49"/>
    </row>
    <row r="209" ht="14.25" customHeight="1">
      <c r="A209" s="13">
        <v>24806.0</v>
      </c>
      <c r="B209" s="13" t="str">
        <f t="shared" si="2"/>
        <v>Observational</v>
      </c>
      <c r="C209" s="13" t="s">
        <v>4856</v>
      </c>
      <c r="D209" s="1" t="s">
        <v>5039</v>
      </c>
      <c r="E209" s="2" t="s">
        <v>5065</v>
      </c>
      <c r="F209" s="13" t="s">
        <v>3183</v>
      </c>
      <c r="G209" s="13" t="s">
        <v>3183</v>
      </c>
      <c r="H209" s="13" t="s">
        <v>3166</v>
      </c>
      <c r="I209" s="13" t="s">
        <v>3171</v>
      </c>
      <c r="J209" s="13" t="s">
        <v>3378</v>
      </c>
      <c r="K209" s="13" t="s">
        <v>3153</v>
      </c>
      <c r="L209" s="13" t="s">
        <v>3169</v>
      </c>
      <c r="M209" s="13" t="s">
        <v>3213</v>
      </c>
      <c r="N209" s="13" t="s">
        <v>3162</v>
      </c>
      <c r="O209" s="13" t="s">
        <v>4041</v>
      </c>
      <c r="P209" s="13">
        <v>1.0</v>
      </c>
      <c r="Q209" s="13" t="s">
        <v>3177</v>
      </c>
      <c r="R209" s="13" t="s">
        <v>3163</v>
      </c>
      <c r="S209" s="13" t="s">
        <v>4042</v>
      </c>
      <c r="T209" s="13" t="s">
        <v>3224</v>
      </c>
      <c r="U209" s="13" t="s">
        <v>3164</v>
      </c>
      <c r="V209" s="13" t="s">
        <v>3165</v>
      </c>
      <c r="W209" s="13" t="s">
        <v>3167</v>
      </c>
      <c r="X209" s="13" t="s">
        <v>3192</v>
      </c>
      <c r="Y209" s="13" t="s">
        <v>3180</v>
      </c>
      <c r="Z209" s="13">
        <v>0.5</v>
      </c>
      <c r="AA209" s="13" t="b">
        <v>0</v>
      </c>
      <c r="AB209" s="48"/>
      <c r="AC209" s="49"/>
    </row>
    <row r="210" ht="14.25" customHeight="1">
      <c r="A210" s="13">
        <v>24839.0</v>
      </c>
      <c r="B210" s="13" t="str">
        <f t="shared" si="2"/>
        <v>Observational</v>
      </c>
      <c r="C210" s="13" t="s">
        <v>4856</v>
      </c>
      <c r="D210" s="1" t="s">
        <v>5039</v>
      </c>
      <c r="E210" s="2" t="s">
        <v>5065</v>
      </c>
      <c r="F210" s="13" t="s">
        <v>3183</v>
      </c>
      <c r="G210" s="13" t="s">
        <v>3210</v>
      </c>
      <c r="H210" s="13" t="s">
        <v>3195</v>
      </c>
      <c r="I210" s="13" t="s">
        <v>3222</v>
      </c>
      <c r="J210" s="13" t="s">
        <v>3182</v>
      </c>
      <c r="K210" s="13" t="s">
        <v>3153</v>
      </c>
      <c r="L210" s="13" t="s">
        <v>3169</v>
      </c>
      <c r="M210" s="13" t="s">
        <v>3213</v>
      </c>
      <c r="N210" s="13" t="s">
        <v>3162</v>
      </c>
      <c r="O210" s="13" t="s">
        <v>4048</v>
      </c>
      <c r="P210" s="13">
        <v>1.0</v>
      </c>
      <c r="Q210" s="13" t="s">
        <v>3177</v>
      </c>
      <c r="R210" s="13" t="s">
        <v>3163</v>
      </c>
      <c r="S210" s="13" t="s">
        <v>33</v>
      </c>
      <c r="T210" s="13" t="s">
        <v>3167</v>
      </c>
      <c r="U210" s="13" t="s">
        <v>3195</v>
      </c>
      <c r="V210" s="13" t="s">
        <v>3195</v>
      </c>
      <c r="W210" s="13" t="s">
        <v>3167</v>
      </c>
      <c r="X210" s="13" t="s">
        <v>3155</v>
      </c>
      <c r="Y210" s="13" t="s">
        <v>3156</v>
      </c>
      <c r="Z210" s="13" t="s">
        <v>33</v>
      </c>
      <c r="AA210" s="13" t="b">
        <v>0</v>
      </c>
      <c r="AB210" s="48"/>
      <c r="AC210" s="49"/>
    </row>
    <row r="211" ht="14.25" customHeight="1">
      <c r="A211" s="13">
        <v>25309.0</v>
      </c>
      <c r="B211" s="13" t="str">
        <f t="shared" si="2"/>
        <v>Observational</v>
      </c>
      <c r="C211" s="13" t="s">
        <v>4856</v>
      </c>
      <c r="D211" s="1" t="s">
        <v>5039</v>
      </c>
      <c r="E211" s="2" t="s">
        <v>5065</v>
      </c>
      <c r="F211" s="13" t="s">
        <v>3381</v>
      </c>
      <c r="G211" s="13" t="s">
        <v>3159</v>
      </c>
      <c r="H211" s="13" t="s">
        <v>3166</v>
      </c>
      <c r="I211" s="13" t="s">
        <v>3157</v>
      </c>
      <c r="J211" s="13" t="s">
        <v>4200</v>
      </c>
      <c r="K211" s="13" t="s">
        <v>3153</v>
      </c>
      <c r="L211" s="13" t="s">
        <v>3169</v>
      </c>
      <c r="M211" s="13" t="s">
        <v>3213</v>
      </c>
      <c r="N211" s="13" t="s">
        <v>3162</v>
      </c>
      <c r="O211" s="13" t="s">
        <v>3579</v>
      </c>
      <c r="P211" s="13">
        <v>1.0</v>
      </c>
      <c r="Q211" s="13" t="s">
        <v>3177</v>
      </c>
      <c r="R211" s="13" t="s">
        <v>3163</v>
      </c>
      <c r="S211" s="13" t="s">
        <v>33</v>
      </c>
      <c r="T211" s="13" t="s">
        <v>3178</v>
      </c>
      <c r="U211" s="13" t="s">
        <v>3164</v>
      </c>
      <c r="V211" s="13" t="s">
        <v>3164</v>
      </c>
      <c r="W211" s="13" t="s">
        <v>3167</v>
      </c>
      <c r="X211" s="13" t="s">
        <v>3211</v>
      </c>
      <c r="Y211" s="13" t="s">
        <v>3187</v>
      </c>
      <c r="Z211" s="13">
        <v>1.0</v>
      </c>
      <c r="AA211" s="13" t="b">
        <v>0</v>
      </c>
      <c r="AB211" s="48"/>
      <c r="AC211" s="49"/>
    </row>
    <row r="212" ht="14.25" customHeight="1">
      <c r="A212" s="13">
        <v>25317.0</v>
      </c>
      <c r="B212" s="13" t="str">
        <f t="shared" si="2"/>
        <v>Observational</v>
      </c>
      <c r="C212" s="13" t="s">
        <v>4855</v>
      </c>
      <c r="D212" s="1" t="s">
        <v>5039</v>
      </c>
      <c r="E212" s="2" t="s">
        <v>5065</v>
      </c>
      <c r="F212" s="13" t="s">
        <v>3159</v>
      </c>
      <c r="G212" s="13" t="s">
        <v>3183</v>
      </c>
      <c r="H212" s="13" t="s">
        <v>3166</v>
      </c>
      <c r="I212" s="13" t="s">
        <v>3261</v>
      </c>
      <c r="J212" s="13" t="s">
        <v>3182</v>
      </c>
      <c r="K212" s="13" t="s">
        <v>3153</v>
      </c>
      <c r="L212" s="13" t="s">
        <v>3395</v>
      </c>
      <c r="M212" s="13" t="s">
        <v>3213</v>
      </c>
      <c r="N212" s="13" t="s">
        <v>3162</v>
      </c>
      <c r="O212" s="13" t="s">
        <v>33</v>
      </c>
      <c r="P212" s="13">
        <v>1.0</v>
      </c>
      <c r="Q212" s="13" t="s">
        <v>3160</v>
      </c>
      <c r="R212" s="13" t="s">
        <v>3163</v>
      </c>
      <c r="S212" s="13" t="s">
        <v>4202</v>
      </c>
      <c r="T212" s="13" t="s">
        <v>3216</v>
      </c>
      <c r="U212" s="13" t="s">
        <v>3164</v>
      </c>
      <c r="V212" s="13" t="s">
        <v>3164</v>
      </c>
      <c r="W212" s="13" t="s">
        <v>3167</v>
      </c>
      <c r="X212" s="13" t="s">
        <v>3170</v>
      </c>
      <c r="Y212" s="13" t="s">
        <v>3156</v>
      </c>
      <c r="Z212" s="13" t="s">
        <v>33</v>
      </c>
      <c r="AA212" s="13" t="b">
        <v>0</v>
      </c>
      <c r="AB212" s="48"/>
      <c r="AC212" s="49"/>
    </row>
    <row r="213" ht="14.25" customHeight="1">
      <c r="A213" s="13">
        <v>25551.0</v>
      </c>
      <c r="B213" s="13" t="str">
        <f t="shared" si="2"/>
        <v>Observational</v>
      </c>
      <c r="C213" s="13" t="s">
        <v>4864</v>
      </c>
      <c r="D213" s="1" t="s">
        <v>5039</v>
      </c>
      <c r="E213" s="2" t="s">
        <v>5065</v>
      </c>
      <c r="F213" s="13" t="s">
        <v>3159</v>
      </c>
      <c r="G213" s="13" t="s">
        <v>3159</v>
      </c>
      <c r="H213" s="13" t="s">
        <v>3166</v>
      </c>
      <c r="I213" s="13" t="s">
        <v>3392</v>
      </c>
      <c r="J213" s="13" t="s">
        <v>3204</v>
      </c>
      <c r="K213" s="13" t="s">
        <v>3153</v>
      </c>
      <c r="L213" s="13" t="s">
        <v>3179</v>
      </c>
      <c r="M213" s="13" t="s">
        <v>3213</v>
      </c>
      <c r="N213" s="13" t="s">
        <v>3162</v>
      </c>
      <c r="O213" s="13" t="s">
        <v>33</v>
      </c>
      <c r="P213" s="13">
        <v>1.0</v>
      </c>
      <c r="Q213" s="13" t="s">
        <v>3160</v>
      </c>
      <c r="R213" s="13" t="s">
        <v>3163</v>
      </c>
      <c r="S213" s="13" t="s">
        <v>33</v>
      </c>
      <c r="T213" s="13" t="s">
        <v>3225</v>
      </c>
      <c r="U213" s="13" t="s">
        <v>3228</v>
      </c>
      <c r="V213" s="13" t="s">
        <v>3228</v>
      </c>
      <c r="W213" s="13" t="s">
        <v>3167</v>
      </c>
      <c r="X213" s="13" t="s">
        <v>3192</v>
      </c>
      <c r="Y213" s="13" t="s">
        <v>3538</v>
      </c>
      <c r="Z213" s="13">
        <v>1500.0</v>
      </c>
      <c r="AA213" s="13" t="b">
        <v>0</v>
      </c>
      <c r="AB213" s="48"/>
      <c r="AC213" s="49"/>
    </row>
    <row r="214" ht="14.25" customHeight="1">
      <c r="A214" s="13">
        <v>25679.0</v>
      </c>
      <c r="B214" s="13" t="str">
        <f t="shared" si="2"/>
        <v>Observational</v>
      </c>
      <c r="C214" s="13" t="s">
        <v>4856</v>
      </c>
      <c r="D214" s="1" t="s">
        <v>5039</v>
      </c>
      <c r="E214" s="2" t="s">
        <v>5065</v>
      </c>
      <c r="F214" s="13" t="s">
        <v>3183</v>
      </c>
      <c r="G214" s="13" t="s">
        <v>3381</v>
      </c>
      <c r="H214" s="13" t="s">
        <v>3166</v>
      </c>
      <c r="I214" s="13" t="s">
        <v>3222</v>
      </c>
      <c r="J214" s="13" t="s">
        <v>3167</v>
      </c>
      <c r="K214" s="13" t="s">
        <v>3153</v>
      </c>
      <c r="L214" s="13" t="s">
        <v>3169</v>
      </c>
      <c r="M214" s="13" t="s">
        <v>3213</v>
      </c>
      <c r="N214" s="13" t="s">
        <v>3162</v>
      </c>
      <c r="O214" s="13" t="s">
        <v>3579</v>
      </c>
      <c r="P214" s="13">
        <v>1.0</v>
      </c>
      <c r="Q214" s="13" t="s">
        <v>3177</v>
      </c>
      <c r="R214" s="13" t="s">
        <v>3163</v>
      </c>
      <c r="S214" s="13" t="s">
        <v>4298</v>
      </c>
      <c r="T214" s="13" t="s">
        <v>3224</v>
      </c>
      <c r="U214" s="13" t="s">
        <v>3232</v>
      </c>
      <c r="V214" s="13" t="s">
        <v>3232</v>
      </c>
      <c r="W214" s="13" t="s">
        <v>3167</v>
      </c>
      <c r="X214" s="13" t="s">
        <v>3284</v>
      </c>
      <c r="Y214" s="13" t="s">
        <v>3187</v>
      </c>
      <c r="Z214" s="13">
        <v>2500.0</v>
      </c>
      <c r="AA214" s="13" t="b">
        <v>0</v>
      </c>
      <c r="AB214" s="48"/>
      <c r="AC214" s="49"/>
    </row>
    <row r="215" ht="14.25" customHeight="1">
      <c r="A215" s="13">
        <v>26060.0</v>
      </c>
      <c r="B215" s="13" t="str">
        <f t="shared" si="2"/>
        <v>Observational</v>
      </c>
      <c r="C215" s="13" t="s">
        <v>4856</v>
      </c>
      <c r="D215" s="1" t="s">
        <v>5039</v>
      </c>
      <c r="E215" s="2" t="s">
        <v>5065</v>
      </c>
      <c r="F215" s="13" t="s">
        <v>3183</v>
      </c>
      <c r="G215" s="13" t="s">
        <v>3183</v>
      </c>
      <c r="H215" s="13" t="s">
        <v>3166</v>
      </c>
      <c r="I215" s="13" t="s">
        <v>3188</v>
      </c>
      <c r="J215" s="13" t="s">
        <v>3432</v>
      </c>
      <c r="K215" s="13" t="s">
        <v>3153</v>
      </c>
      <c r="L215" s="13" t="s">
        <v>3169</v>
      </c>
      <c r="M215" s="13" t="s">
        <v>3213</v>
      </c>
      <c r="N215" s="13" t="s">
        <v>3162</v>
      </c>
      <c r="O215" s="13" t="s">
        <v>3724</v>
      </c>
      <c r="P215" s="13">
        <v>1.0</v>
      </c>
      <c r="Q215" s="13" t="s">
        <v>3160</v>
      </c>
      <c r="R215" s="13" t="s">
        <v>3163</v>
      </c>
      <c r="S215" s="13" t="s">
        <v>3689</v>
      </c>
      <c r="T215" s="13" t="s">
        <v>3216</v>
      </c>
      <c r="U215" s="13" t="s">
        <v>3165</v>
      </c>
      <c r="V215" s="13" t="s">
        <v>3165</v>
      </c>
      <c r="W215" s="13" t="s">
        <v>3167</v>
      </c>
      <c r="X215" s="13" t="s">
        <v>3155</v>
      </c>
      <c r="Y215" s="13" t="s">
        <v>3180</v>
      </c>
      <c r="Z215" s="13">
        <v>0.5</v>
      </c>
      <c r="AA215" s="13" t="b">
        <v>0</v>
      </c>
      <c r="AB215" s="48"/>
      <c r="AC215" s="49"/>
    </row>
    <row r="216" ht="14.25" customHeight="1">
      <c r="A216" s="13">
        <v>26076.0</v>
      </c>
      <c r="B216" s="13" t="str">
        <f t="shared" si="2"/>
        <v>Observational</v>
      </c>
      <c r="C216" s="13" t="s">
        <v>4856</v>
      </c>
      <c r="D216" s="1" t="s">
        <v>5039</v>
      </c>
      <c r="E216" s="2" t="s">
        <v>5065</v>
      </c>
      <c r="F216" s="13" t="s">
        <v>3183</v>
      </c>
      <c r="G216" s="13" t="s">
        <v>3173</v>
      </c>
      <c r="H216" s="13" t="s">
        <v>3242</v>
      </c>
      <c r="I216" s="13" t="s">
        <v>3188</v>
      </c>
      <c r="J216" s="13" t="s">
        <v>3432</v>
      </c>
      <c r="K216" s="13" t="s">
        <v>3153</v>
      </c>
      <c r="L216" s="13" t="s">
        <v>3169</v>
      </c>
      <c r="M216" s="13" t="s">
        <v>3213</v>
      </c>
      <c r="N216" s="13" t="s">
        <v>3162</v>
      </c>
      <c r="O216" s="13" t="s">
        <v>4437</v>
      </c>
      <c r="P216" s="13">
        <v>1.0</v>
      </c>
      <c r="Q216" s="13" t="s">
        <v>3177</v>
      </c>
      <c r="R216" s="13" t="s">
        <v>3163</v>
      </c>
      <c r="S216" s="13" t="s">
        <v>33</v>
      </c>
      <c r="T216" s="13" t="s">
        <v>3167</v>
      </c>
      <c r="U216" s="13" t="s">
        <v>3232</v>
      </c>
      <c r="V216" s="13" t="s">
        <v>3247</v>
      </c>
      <c r="W216" s="13" t="s">
        <v>3496</v>
      </c>
      <c r="X216" s="13" t="s">
        <v>3155</v>
      </c>
      <c r="Y216" s="13" t="s">
        <v>3180</v>
      </c>
      <c r="Z216" s="13">
        <v>0.5</v>
      </c>
      <c r="AA216" s="13" t="b">
        <v>0</v>
      </c>
      <c r="AB216" s="48"/>
      <c r="AC216" s="49"/>
    </row>
    <row r="217" ht="14.25" customHeight="1">
      <c r="A217" s="13">
        <v>26142.0</v>
      </c>
      <c r="B217" s="13" t="str">
        <f t="shared" si="2"/>
        <v>Observational</v>
      </c>
      <c r="C217" s="13" t="s">
        <v>4856</v>
      </c>
      <c r="D217" s="1" t="s">
        <v>5039</v>
      </c>
      <c r="E217" s="2" t="s">
        <v>5065</v>
      </c>
      <c r="F217" s="13" t="s">
        <v>3183</v>
      </c>
      <c r="G217" s="13" t="s">
        <v>3210</v>
      </c>
      <c r="H217" s="13" t="s">
        <v>3195</v>
      </c>
      <c r="I217" s="13" t="s">
        <v>3188</v>
      </c>
      <c r="J217" s="13" t="s">
        <v>4462</v>
      </c>
      <c r="K217" s="13" t="s">
        <v>3153</v>
      </c>
      <c r="L217" s="13" t="s">
        <v>3169</v>
      </c>
      <c r="M217" s="13" t="s">
        <v>3213</v>
      </c>
      <c r="N217" s="13" t="s">
        <v>3162</v>
      </c>
      <c r="O217" s="13" t="s">
        <v>3579</v>
      </c>
      <c r="P217" s="13">
        <v>1.0</v>
      </c>
      <c r="Q217" s="13" t="s">
        <v>3160</v>
      </c>
      <c r="R217" s="13" t="s">
        <v>3163</v>
      </c>
      <c r="S217" s="13" t="s">
        <v>33</v>
      </c>
      <c r="T217" s="13" t="s">
        <v>3167</v>
      </c>
      <c r="U217" s="13" t="s">
        <v>3195</v>
      </c>
      <c r="V217" s="13" t="s">
        <v>3195</v>
      </c>
      <c r="W217" s="13" t="s">
        <v>3167</v>
      </c>
      <c r="X217" s="13" t="s">
        <v>3211</v>
      </c>
      <c r="Y217" s="13" t="s">
        <v>3187</v>
      </c>
      <c r="Z217" s="13">
        <v>1.0</v>
      </c>
      <c r="AA217" s="13" t="b">
        <v>0</v>
      </c>
      <c r="AB217" s="48"/>
      <c r="AC217" s="49"/>
    </row>
    <row r="218" ht="14.25" customHeight="1">
      <c r="A218" s="13">
        <v>25826.0</v>
      </c>
      <c r="B218" s="13" t="str">
        <f t="shared" si="2"/>
        <v>Observational</v>
      </c>
      <c r="C218" s="13" t="s">
        <v>4856</v>
      </c>
      <c r="D218" s="1" t="s">
        <v>5066</v>
      </c>
      <c r="E218" s="13" t="s">
        <v>5067</v>
      </c>
      <c r="F218" s="13" t="s">
        <v>3183</v>
      </c>
      <c r="G218" s="13" t="s">
        <v>3183</v>
      </c>
      <c r="H218" s="13" t="s">
        <v>3166</v>
      </c>
      <c r="I218" s="13" t="s">
        <v>3167</v>
      </c>
      <c r="J218" s="13" t="s">
        <v>3167</v>
      </c>
      <c r="K218" s="13" t="s">
        <v>3153</v>
      </c>
      <c r="L218" s="13" t="s">
        <v>3169</v>
      </c>
      <c r="M218" s="13" t="s">
        <v>4340</v>
      </c>
      <c r="N218" s="13" t="s">
        <v>3267</v>
      </c>
      <c r="O218" s="13" t="s">
        <v>3397</v>
      </c>
      <c r="P218" s="13">
        <v>5.0</v>
      </c>
      <c r="Q218" s="13" t="s">
        <v>3160</v>
      </c>
      <c r="R218" s="13" t="s">
        <v>3177</v>
      </c>
      <c r="S218" s="13" t="s">
        <v>33</v>
      </c>
      <c r="T218" s="13" t="s">
        <v>4341</v>
      </c>
      <c r="U218" s="13" t="s">
        <v>3232</v>
      </c>
      <c r="V218" s="13" t="s">
        <v>3197</v>
      </c>
      <c r="W218" s="13" t="s">
        <v>3167</v>
      </c>
      <c r="X218" s="13" t="s">
        <v>3217</v>
      </c>
      <c r="Y218" s="13" t="s">
        <v>3156</v>
      </c>
      <c r="Z218" s="13" t="s">
        <v>33</v>
      </c>
      <c r="AA218" s="13" t="b">
        <v>1</v>
      </c>
      <c r="AB218" s="48"/>
      <c r="AC218" s="49"/>
    </row>
    <row r="219" ht="14.25" customHeight="1">
      <c r="A219" s="13">
        <v>23700.0</v>
      </c>
      <c r="B219" s="13" t="str">
        <f t="shared" si="2"/>
        <v>Observational</v>
      </c>
      <c r="C219" s="13" t="s">
        <v>4856</v>
      </c>
      <c r="D219" s="1" t="s">
        <v>5068</v>
      </c>
      <c r="E219" s="2" t="s">
        <v>5065</v>
      </c>
      <c r="F219" s="13" t="s">
        <v>3183</v>
      </c>
      <c r="G219" s="13" t="s">
        <v>3183</v>
      </c>
      <c r="H219" s="13" t="s">
        <v>3166</v>
      </c>
      <c r="I219" s="13" t="s">
        <v>3188</v>
      </c>
      <c r="J219" s="13" t="s">
        <v>3167</v>
      </c>
      <c r="K219" s="13" t="s">
        <v>3153</v>
      </c>
      <c r="L219" s="13" t="s">
        <v>3169</v>
      </c>
      <c r="M219" s="13" t="s">
        <v>3578</v>
      </c>
      <c r="N219" s="13" t="s">
        <v>3267</v>
      </c>
      <c r="O219" s="13" t="s">
        <v>3579</v>
      </c>
      <c r="P219" s="13">
        <v>2.0</v>
      </c>
      <c r="Q219" s="13" t="s">
        <v>3177</v>
      </c>
      <c r="R219" s="13" t="s">
        <v>3163</v>
      </c>
      <c r="S219" s="13" t="s">
        <v>3397</v>
      </c>
      <c r="T219" s="13" t="s">
        <v>3178</v>
      </c>
      <c r="U219" s="13" t="s">
        <v>3164</v>
      </c>
      <c r="V219" s="13" t="s">
        <v>3232</v>
      </c>
      <c r="W219" s="13" t="s">
        <v>3167</v>
      </c>
      <c r="X219" s="13" t="s">
        <v>3284</v>
      </c>
      <c r="Y219" s="13" t="s">
        <v>3187</v>
      </c>
      <c r="Z219" s="13">
        <v>1.0</v>
      </c>
      <c r="AA219" s="13" t="b">
        <v>0</v>
      </c>
      <c r="AB219" s="48"/>
      <c r="AC219" s="49"/>
    </row>
    <row r="220" ht="14.25" customHeight="1">
      <c r="A220" s="13">
        <v>24156.0</v>
      </c>
      <c r="B220" s="13" t="str">
        <f t="shared" si="2"/>
        <v>Observational</v>
      </c>
      <c r="C220" s="13" t="s">
        <v>4856</v>
      </c>
      <c r="D220" s="1" t="s">
        <v>5068</v>
      </c>
      <c r="E220" s="2" t="s">
        <v>5065</v>
      </c>
      <c r="F220" s="13" t="s">
        <v>3183</v>
      </c>
      <c r="G220" s="13" t="s">
        <v>3183</v>
      </c>
      <c r="H220" s="13" t="s">
        <v>3242</v>
      </c>
      <c r="I220" s="13" t="s">
        <v>3222</v>
      </c>
      <c r="J220" s="13" t="s">
        <v>3226</v>
      </c>
      <c r="K220" s="13" t="s">
        <v>3153</v>
      </c>
      <c r="L220" s="13" t="s">
        <v>3169</v>
      </c>
      <c r="M220" s="13" t="s">
        <v>3578</v>
      </c>
      <c r="N220" s="13" t="s">
        <v>3267</v>
      </c>
      <c r="O220" s="13" t="s">
        <v>3689</v>
      </c>
      <c r="P220" s="13">
        <v>2.0</v>
      </c>
      <c r="Q220" s="13" t="s">
        <v>3160</v>
      </c>
      <c r="R220" s="13" t="s">
        <v>3163</v>
      </c>
      <c r="S220" s="13" t="s">
        <v>33</v>
      </c>
      <c r="T220" s="13" t="s">
        <v>3167</v>
      </c>
      <c r="U220" s="13" t="s">
        <v>3247</v>
      </c>
      <c r="V220" s="13" t="s">
        <v>3247</v>
      </c>
      <c r="W220" s="13" t="s">
        <v>3634</v>
      </c>
      <c r="X220" s="13" t="s">
        <v>3192</v>
      </c>
      <c r="Y220" s="13" t="s">
        <v>3156</v>
      </c>
      <c r="Z220" s="13" t="s">
        <v>33</v>
      </c>
      <c r="AA220" s="13" t="b">
        <v>0</v>
      </c>
      <c r="AB220" s="48"/>
      <c r="AC220" s="49"/>
    </row>
    <row r="221" ht="14.25" customHeight="1">
      <c r="A221" s="13">
        <v>25646.0</v>
      </c>
      <c r="B221" s="13" t="str">
        <f t="shared" si="2"/>
        <v>Observational</v>
      </c>
      <c r="C221" s="13" t="s">
        <v>4856</v>
      </c>
      <c r="D221" s="1" t="s">
        <v>5068</v>
      </c>
      <c r="E221" s="2" t="s">
        <v>5065</v>
      </c>
      <c r="F221" s="13" t="s">
        <v>3183</v>
      </c>
      <c r="G221" s="13" t="s">
        <v>3183</v>
      </c>
      <c r="H221" s="13" t="s">
        <v>3166</v>
      </c>
      <c r="I221" s="13" t="s">
        <v>4293</v>
      </c>
      <c r="J221" s="13" t="s">
        <v>3167</v>
      </c>
      <c r="K221" s="13" t="s">
        <v>3153</v>
      </c>
      <c r="L221" s="13" t="s">
        <v>3169</v>
      </c>
      <c r="M221" s="13" t="s">
        <v>3578</v>
      </c>
      <c r="N221" s="13" t="s">
        <v>3267</v>
      </c>
      <c r="O221" s="13" t="s">
        <v>4259</v>
      </c>
      <c r="P221" s="13">
        <v>2.0</v>
      </c>
      <c r="Q221" s="13" t="s">
        <v>3177</v>
      </c>
      <c r="R221" s="13" t="s">
        <v>3177</v>
      </c>
      <c r="S221" s="13" t="s">
        <v>33</v>
      </c>
      <c r="T221" s="13" t="s">
        <v>3168</v>
      </c>
      <c r="U221" s="13" t="s">
        <v>3165</v>
      </c>
      <c r="V221" s="13" t="s">
        <v>3165</v>
      </c>
      <c r="W221" s="13" t="s">
        <v>3167</v>
      </c>
      <c r="X221" s="13" t="s">
        <v>3284</v>
      </c>
      <c r="Y221" s="13" t="s">
        <v>3180</v>
      </c>
      <c r="Z221" s="13">
        <v>0.5</v>
      </c>
      <c r="AA221" s="13" t="b">
        <v>0</v>
      </c>
      <c r="AB221" s="48"/>
      <c r="AC221" s="49"/>
    </row>
    <row r="222" ht="14.25" customHeight="1">
      <c r="A222" s="13">
        <v>23977.0</v>
      </c>
      <c r="B222" s="13" t="str">
        <f t="shared" si="2"/>
        <v>Observational</v>
      </c>
      <c r="C222" s="13" t="s">
        <v>4856</v>
      </c>
      <c r="D222" s="1" t="s">
        <v>5068</v>
      </c>
      <c r="E222" s="2" t="s">
        <v>5065</v>
      </c>
      <c r="F222" s="13" t="s">
        <v>3381</v>
      </c>
      <c r="G222" s="13" t="s">
        <v>3183</v>
      </c>
      <c r="H222" s="13" t="s">
        <v>3242</v>
      </c>
      <c r="I222" s="13" t="s">
        <v>3203</v>
      </c>
      <c r="J222" s="13" t="s">
        <v>3204</v>
      </c>
      <c r="K222" s="13" t="s">
        <v>3153</v>
      </c>
      <c r="L222" s="13" t="s">
        <v>3169</v>
      </c>
      <c r="M222" s="13" t="s">
        <v>3578</v>
      </c>
      <c r="N222" s="13" t="s">
        <v>3162</v>
      </c>
      <c r="O222" s="13" t="s">
        <v>3709</v>
      </c>
      <c r="P222" s="13">
        <v>2.0</v>
      </c>
      <c r="Q222" s="13" t="s">
        <v>3177</v>
      </c>
      <c r="R222" s="13" t="s">
        <v>3163</v>
      </c>
      <c r="S222" s="13" t="s">
        <v>3709</v>
      </c>
      <c r="T222" s="13" t="s">
        <v>3167</v>
      </c>
      <c r="U222" s="13" t="s">
        <v>3247</v>
      </c>
      <c r="V222" s="13" t="s">
        <v>3247</v>
      </c>
      <c r="W222" s="13" t="s">
        <v>3496</v>
      </c>
      <c r="X222" s="13" t="s">
        <v>3284</v>
      </c>
      <c r="Y222" s="13" t="s">
        <v>3187</v>
      </c>
      <c r="Z222" s="13">
        <v>10000.0</v>
      </c>
      <c r="AA222" s="13" t="b">
        <v>0</v>
      </c>
      <c r="AB222" s="48"/>
      <c r="AC222" s="49"/>
    </row>
    <row r="223" ht="14.25" customHeight="1">
      <c r="A223" s="13">
        <v>24078.0</v>
      </c>
      <c r="B223" s="13" t="str">
        <f t="shared" si="2"/>
        <v>Observational</v>
      </c>
      <c r="C223" s="13" t="s">
        <v>4856</v>
      </c>
      <c r="D223" s="1" t="s">
        <v>5068</v>
      </c>
      <c r="E223" s="2" t="s">
        <v>5065</v>
      </c>
      <c r="F223" s="13" t="s">
        <v>3183</v>
      </c>
      <c r="G223" s="13" t="s">
        <v>3183</v>
      </c>
      <c r="H223" s="13" t="s">
        <v>3166</v>
      </c>
      <c r="I223" s="13" t="s">
        <v>3167</v>
      </c>
      <c r="J223" s="13" t="s">
        <v>3167</v>
      </c>
      <c r="K223" s="13" t="s">
        <v>3153</v>
      </c>
      <c r="L223" s="13" t="s">
        <v>3169</v>
      </c>
      <c r="M223" s="13" t="s">
        <v>3578</v>
      </c>
      <c r="N223" s="13" t="s">
        <v>3162</v>
      </c>
      <c r="O223" s="13" t="s">
        <v>3740</v>
      </c>
      <c r="P223" s="13">
        <v>2.0</v>
      </c>
      <c r="Q223" s="13" t="s">
        <v>3177</v>
      </c>
      <c r="R223" s="13" t="s">
        <v>3177</v>
      </c>
      <c r="S223" s="13" t="s">
        <v>3397</v>
      </c>
      <c r="T223" s="13" t="s">
        <v>3178</v>
      </c>
      <c r="U223" s="13" t="s">
        <v>3228</v>
      </c>
      <c r="V223" s="13" t="s">
        <v>3228</v>
      </c>
      <c r="W223" s="13" t="s">
        <v>3167</v>
      </c>
      <c r="X223" s="13" t="s">
        <v>3217</v>
      </c>
      <c r="Y223" s="13" t="s">
        <v>3187</v>
      </c>
      <c r="Z223" s="13">
        <v>1.0</v>
      </c>
      <c r="AA223" s="13" t="b">
        <v>0</v>
      </c>
      <c r="AB223" s="48"/>
      <c r="AC223" s="49"/>
    </row>
    <row r="224" ht="14.25" customHeight="1">
      <c r="A224" s="13">
        <v>25005.0</v>
      </c>
      <c r="B224" s="2" t="s">
        <v>4904</v>
      </c>
      <c r="C224" s="13" t="s">
        <v>4864</v>
      </c>
      <c r="D224" s="1" t="s">
        <v>5069</v>
      </c>
      <c r="E224" s="13" t="s">
        <v>5070</v>
      </c>
      <c r="F224" s="13" t="s">
        <v>3173</v>
      </c>
      <c r="G224" s="13" t="s">
        <v>3173</v>
      </c>
      <c r="H224" s="13" t="s">
        <v>3253</v>
      </c>
      <c r="I224" s="13" t="s">
        <v>4097</v>
      </c>
      <c r="J224" s="13" t="s">
        <v>4098</v>
      </c>
      <c r="K224" s="13" t="s">
        <v>3315</v>
      </c>
      <c r="L224" s="13" t="s">
        <v>3179</v>
      </c>
      <c r="M224" s="13" t="s">
        <v>4099</v>
      </c>
      <c r="N224" s="13" t="s">
        <v>3175</v>
      </c>
      <c r="O224" s="13" t="s">
        <v>3167</v>
      </c>
      <c r="P224" s="13">
        <v>9.0</v>
      </c>
      <c r="Q224" s="13" t="s">
        <v>3160</v>
      </c>
      <c r="R224" s="13" t="s">
        <v>3231</v>
      </c>
      <c r="S224" s="13" t="s">
        <v>33</v>
      </c>
      <c r="T224" s="13" t="s">
        <v>3632</v>
      </c>
      <c r="U224" s="13" t="s">
        <v>3252</v>
      </c>
      <c r="V224" s="13" t="s">
        <v>3252</v>
      </c>
      <c r="W224" s="13" t="s">
        <v>3634</v>
      </c>
      <c r="X224" s="13" t="s">
        <v>3211</v>
      </c>
      <c r="Y224" s="13" t="s">
        <v>3156</v>
      </c>
      <c r="Z224" s="13" t="s">
        <v>3167</v>
      </c>
      <c r="AA224" s="13" t="b">
        <v>0</v>
      </c>
      <c r="AB224" s="48"/>
      <c r="AC224" s="49"/>
    </row>
    <row r="225" ht="14.25" customHeight="1">
      <c r="A225" s="13">
        <v>23969.0</v>
      </c>
      <c r="B225" s="13" t="str">
        <f t="shared" ref="B225:B367" si="3">K225</f>
        <v>Observational</v>
      </c>
      <c r="C225" s="13" t="s">
        <v>4856</v>
      </c>
      <c r="D225" s="1" t="s">
        <v>5071</v>
      </c>
      <c r="E225" s="13" t="s">
        <v>5072</v>
      </c>
      <c r="F225" s="13" t="s">
        <v>3707</v>
      </c>
      <c r="G225" s="13" t="s">
        <v>3159</v>
      </c>
      <c r="H225" s="13" t="s">
        <v>3242</v>
      </c>
      <c r="I225" s="13" t="s">
        <v>3188</v>
      </c>
      <c r="J225" s="13" t="s">
        <v>3706</v>
      </c>
      <c r="K225" s="13" t="s">
        <v>3153</v>
      </c>
      <c r="L225" s="13" t="s">
        <v>3169</v>
      </c>
      <c r="M225" s="13" t="s">
        <v>3708</v>
      </c>
      <c r="N225" s="13" t="s">
        <v>3162</v>
      </c>
      <c r="O225" s="13" t="s">
        <v>3167</v>
      </c>
      <c r="P225" s="13">
        <v>3.0</v>
      </c>
      <c r="Q225" s="13" t="s">
        <v>3160</v>
      </c>
      <c r="R225" s="13" t="s">
        <v>3231</v>
      </c>
      <c r="S225" s="13" t="s">
        <v>33</v>
      </c>
      <c r="T225" s="13" t="s">
        <v>3167</v>
      </c>
      <c r="U225" s="13" t="s">
        <v>3164</v>
      </c>
      <c r="V225" s="13" t="s">
        <v>3164</v>
      </c>
      <c r="W225" s="13" t="s">
        <v>3377</v>
      </c>
      <c r="X225" s="13" t="s">
        <v>3211</v>
      </c>
      <c r="Y225" s="13" t="s">
        <v>3588</v>
      </c>
      <c r="Z225" s="13">
        <v>30.0</v>
      </c>
      <c r="AA225" s="13" t="b">
        <v>0</v>
      </c>
      <c r="AB225" s="48"/>
      <c r="AC225" s="49"/>
    </row>
    <row r="226" ht="14.25" customHeight="1">
      <c r="A226" s="13">
        <v>23782.0</v>
      </c>
      <c r="B226" s="13" t="str">
        <f t="shared" si="3"/>
        <v>Observational</v>
      </c>
      <c r="C226" s="13" t="s">
        <v>4855</v>
      </c>
      <c r="D226" s="13" t="s">
        <v>5039</v>
      </c>
      <c r="E226" s="13" t="s">
        <v>5073</v>
      </c>
      <c r="F226" s="13" t="s">
        <v>3208</v>
      </c>
      <c r="G226" s="13" t="s">
        <v>3208</v>
      </c>
      <c r="H226" s="13" t="s">
        <v>3242</v>
      </c>
      <c r="I226" s="13" t="s">
        <v>3615</v>
      </c>
      <c r="J226" s="13" t="s">
        <v>3616</v>
      </c>
      <c r="K226" s="13" t="s">
        <v>3153</v>
      </c>
      <c r="L226" s="13" t="s">
        <v>3395</v>
      </c>
      <c r="M226" s="13" t="s">
        <v>3617</v>
      </c>
      <c r="N226" s="13" t="s">
        <v>3175</v>
      </c>
      <c r="O226" s="13" t="s">
        <v>3167</v>
      </c>
      <c r="P226" s="13">
        <v>2.0</v>
      </c>
      <c r="Q226" s="13" t="s">
        <v>3160</v>
      </c>
      <c r="R226" s="13" t="s">
        <v>3231</v>
      </c>
      <c r="S226" s="13" t="s">
        <v>33</v>
      </c>
      <c r="T226" s="13" t="s">
        <v>3167</v>
      </c>
      <c r="U226" s="13" t="s">
        <v>3197</v>
      </c>
      <c r="V226" s="13" t="s">
        <v>3197</v>
      </c>
      <c r="W226" s="13" t="s">
        <v>3481</v>
      </c>
      <c r="X226" s="13" t="s">
        <v>3211</v>
      </c>
      <c r="Y226" s="13" t="s">
        <v>3202</v>
      </c>
      <c r="Z226" s="13">
        <v>62.5</v>
      </c>
      <c r="AA226" s="13" t="b">
        <v>1</v>
      </c>
      <c r="AB226" s="48"/>
      <c r="AC226" s="49"/>
    </row>
    <row r="227" ht="14.25" customHeight="1">
      <c r="A227" s="13">
        <v>26047.0</v>
      </c>
      <c r="B227" s="13" t="str">
        <f t="shared" si="3"/>
        <v>Observational</v>
      </c>
      <c r="C227" s="13" t="s">
        <v>4856</v>
      </c>
      <c r="D227" s="13" t="s">
        <v>5074</v>
      </c>
      <c r="E227" s="13" t="s">
        <v>5073</v>
      </c>
      <c r="F227" s="13" t="s">
        <v>4355</v>
      </c>
      <c r="G227" s="13" t="s">
        <v>3173</v>
      </c>
      <c r="H227" s="13" t="s">
        <v>3242</v>
      </c>
      <c r="I227" s="13" t="s">
        <v>3171</v>
      </c>
      <c r="J227" s="13" t="s">
        <v>3704</v>
      </c>
      <c r="K227" s="13" t="s">
        <v>3153</v>
      </c>
      <c r="L227" s="13" t="s">
        <v>3169</v>
      </c>
      <c r="M227" s="13" t="s">
        <v>4422</v>
      </c>
      <c r="N227" s="13" t="s">
        <v>3162</v>
      </c>
      <c r="O227" s="13" t="s">
        <v>4423</v>
      </c>
      <c r="P227" s="13">
        <v>3.0</v>
      </c>
      <c r="Q227" s="13" t="s">
        <v>3177</v>
      </c>
      <c r="R227" s="13" t="s">
        <v>3163</v>
      </c>
      <c r="S227" s="13" t="s">
        <v>33</v>
      </c>
      <c r="T227" s="13" t="s">
        <v>3167</v>
      </c>
      <c r="U227" s="13" t="s">
        <v>3164</v>
      </c>
      <c r="V227" s="13" t="s">
        <v>3215</v>
      </c>
      <c r="W227" s="13" t="s">
        <v>3377</v>
      </c>
      <c r="X227" s="13" t="s">
        <v>3155</v>
      </c>
      <c r="Y227" s="13" t="s">
        <v>3156</v>
      </c>
      <c r="Z227" s="13" t="s">
        <v>33</v>
      </c>
      <c r="AA227" s="13" t="b">
        <v>1</v>
      </c>
      <c r="AB227" s="48"/>
      <c r="AC227" s="49"/>
    </row>
    <row r="228" ht="14.25" customHeight="1">
      <c r="A228" s="13">
        <v>25833.0</v>
      </c>
      <c r="B228" s="13" t="str">
        <f t="shared" si="3"/>
        <v>Observational</v>
      </c>
      <c r="C228" s="13" t="s">
        <v>4864</v>
      </c>
      <c r="D228" s="13" t="s">
        <v>5075</v>
      </c>
      <c r="E228" s="13" t="s">
        <v>5076</v>
      </c>
      <c r="F228" s="13" t="s">
        <v>3173</v>
      </c>
      <c r="G228" s="13" t="s">
        <v>3173</v>
      </c>
      <c r="H228" s="13" t="s">
        <v>3253</v>
      </c>
      <c r="I228" s="13" t="s">
        <v>3167</v>
      </c>
      <c r="J228" s="13" t="s">
        <v>3167</v>
      </c>
      <c r="K228" s="13" t="s">
        <v>3153</v>
      </c>
      <c r="L228" s="13" t="s">
        <v>3179</v>
      </c>
      <c r="M228" s="13" t="s">
        <v>4344</v>
      </c>
      <c r="N228" s="13" t="s">
        <v>3175</v>
      </c>
      <c r="O228" s="13" t="s">
        <v>4345</v>
      </c>
      <c r="P228" s="13">
        <v>8.0</v>
      </c>
      <c r="Q228" s="13" t="s">
        <v>3177</v>
      </c>
      <c r="R228" s="13" t="s">
        <v>3260</v>
      </c>
      <c r="S228" s="13" t="s">
        <v>4345</v>
      </c>
      <c r="T228" s="13" t="s">
        <v>3755</v>
      </c>
      <c r="U228" s="13" t="s">
        <v>3252</v>
      </c>
      <c r="V228" s="13" t="s">
        <v>3252</v>
      </c>
      <c r="W228" s="13" t="s">
        <v>3755</v>
      </c>
      <c r="X228" s="13" t="s">
        <v>3217</v>
      </c>
      <c r="Y228" s="13" t="s">
        <v>3156</v>
      </c>
      <c r="Z228" s="13" t="s">
        <v>3187</v>
      </c>
      <c r="AA228" s="13" t="b">
        <v>1</v>
      </c>
      <c r="AB228" s="48"/>
      <c r="AC228" s="49"/>
    </row>
    <row r="229" ht="14.25" customHeight="1">
      <c r="A229" s="13">
        <v>23528.0</v>
      </c>
      <c r="B229" s="13" t="str">
        <f t="shared" si="3"/>
        <v>Observational</v>
      </c>
      <c r="C229" s="13" t="s">
        <v>4864</v>
      </c>
      <c r="D229" s="1" t="s">
        <v>5077</v>
      </c>
      <c r="E229" s="13" t="s">
        <v>5078</v>
      </c>
      <c r="F229" s="13" t="s">
        <v>3159</v>
      </c>
      <c r="G229" s="13" t="s">
        <v>3214</v>
      </c>
      <c r="H229" s="13" t="s">
        <v>3166</v>
      </c>
      <c r="I229" s="13" t="s">
        <v>3249</v>
      </c>
      <c r="J229" s="13" t="s">
        <v>3348</v>
      </c>
      <c r="K229" s="13" t="s">
        <v>3153</v>
      </c>
      <c r="L229" s="13" t="s">
        <v>3179</v>
      </c>
      <c r="M229" s="13" t="s">
        <v>3485</v>
      </c>
      <c r="N229" s="13" t="s">
        <v>3175</v>
      </c>
      <c r="O229" s="13" t="s">
        <v>3167</v>
      </c>
      <c r="P229" s="13">
        <v>2.0</v>
      </c>
      <c r="Q229" s="13" t="s">
        <v>3160</v>
      </c>
      <c r="R229" s="13" t="s">
        <v>3231</v>
      </c>
      <c r="S229" s="13" t="s">
        <v>33</v>
      </c>
      <c r="T229" s="13" t="s">
        <v>3168</v>
      </c>
      <c r="U229" s="13" t="s">
        <v>3164</v>
      </c>
      <c r="V229" s="13" t="s">
        <v>3215</v>
      </c>
      <c r="W229" s="13" t="s">
        <v>3167</v>
      </c>
      <c r="X229" s="13" t="s">
        <v>3170</v>
      </c>
      <c r="Y229" s="13" t="s">
        <v>3156</v>
      </c>
      <c r="Z229" s="13" t="s">
        <v>3167</v>
      </c>
      <c r="AA229" s="13" t="b">
        <v>0</v>
      </c>
      <c r="AB229" s="48"/>
      <c r="AC229" s="49"/>
    </row>
    <row r="230" ht="14.25" customHeight="1">
      <c r="A230" s="13">
        <v>25278.0</v>
      </c>
      <c r="B230" s="13" t="str">
        <f t="shared" si="3"/>
        <v>Observational</v>
      </c>
      <c r="C230" s="13" t="s">
        <v>4864</v>
      </c>
      <c r="D230" s="13" t="s">
        <v>5079</v>
      </c>
      <c r="E230" s="13" t="s">
        <v>5080</v>
      </c>
      <c r="F230" s="13" t="s">
        <v>3282</v>
      </c>
      <c r="G230" s="13" t="s">
        <v>3335</v>
      </c>
      <c r="H230" s="13" t="s">
        <v>3195</v>
      </c>
      <c r="I230" s="13" t="s">
        <v>3249</v>
      </c>
      <c r="J230" s="13" t="s">
        <v>3584</v>
      </c>
      <c r="K230" s="13" t="s">
        <v>3153</v>
      </c>
      <c r="L230" s="13" t="s">
        <v>3179</v>
      </c>
      <c r="M230" s="13" t="s">
        <v>4190</v>
      </c>
      <c r="N230" s="13" t="s">
        <v>3162</v>
      </c>
      <c r="O230" s="13" t="s">
        <v>4191</v>
      </c>
      <c r="P230" s="13">
        <v>3.0</v>
      </c>
      <c r="Q230" s="13" t="s">
        <v>3177</v>
      </c>
      <c r="R230" s="13" t="s">
        <v>3163</v>
      </c>
      <c r="S230" s="13" t="s">
        <v>3323</v>
      </c>
      <c r="T230" s="13" t="s">
        <v>3167</v>
      </c>
      <c r="U230" s="13" t="s">
        <v>3195</v>
      </c>
      <c r="V230" s="13" t="s">
        <v>3195</v>
      </c>
      <c r="W230" s="13" t="s">
        <v>3167</v>
      </c>
      <c r="X230" s="13" t="s">
        <v>3211</v>
      </c>
      <c r="Y230" s="13" t="s">
        <v>3180</v>
      </c>
      <c r="Z230" s="13">
        <v>0.25</v>
      </c>
      <c r="AA230" s="13" t="b">
        <v>1</v>
      </c>
      <c r="AB230" s="48"/>
      <c r="AC230" s="49"/>
    </row>
    <row r="231" ht="14.25" customHeight="1">
      <c r="A231" s="13">
        <v>23062.0</v>
      </c>
      <c r="B231" s="13" t="str">
        <f t="shared" si="3"/>
        <v>Observational</v>
      </c>
      <c r="C231" s="13" t="s">
        <v>4856</v>
      </c>
      <c r="D231" s="1" t="s">
        <v>5081</v>
      </c>
      <c r="E231" s="2" t="s">
        <v>5065</v>
      </c>
      <c r="F231" s="13" t="s">
        <v>3186</v>
      </c>
      <c r="G231" s="13" t="s">
        <v>3159</v>
      </c>
      <c r="H231" s="13" t="s">
        <v>3166</v>
      </c>
      <c r="I231" s="13" t="s">
        <v>3222</v>
      </c>
      <c r="J231" s="13" t="s">
        <v>3182</v>
      </c>
      <c r="K231" s="13" t="s">
        <v>3153</v>
      </c>
      <c r="L231" s="13" t="s">
        <v>3169</v>
      </c>
      <c r="M231" s="13" t="s">
        <v>3223</v>
      </c>
      <c r="N231" s="13" t="s">
        <v>3162</v>
      </c>
      <c r="O231" s="13" t="s">
        <v>33</v>
      </c>
      <c r="P231" s="13">
        <v>1.0</v>
      </c>
      <c r="Q231" s="13" t="s">
        <v>3177</v>
      </c>
      <c r="R231" s="13" t="s">
        <v>3163</v>
      </c>
      <c r="S231" s="13" t="s">
        <v>33</v>
      </c>
      <c r="T231" s="13" t="s">
        <v>3224</v>
      </c>
      <c r="U231" s="13" t="s">
        <v>3164</v>
      </c>
      <c r="V231" s="13" t="s">
        <v>3165</v>
      </c>
      <c r="W231" s="13" t="s">
        <v>3167</v>
      </c>
      <c r="X231" s="13" t="s">
        <v>3192</v>
      </c>
      <c r="Y231" s="13" t="s">
        <v>3180</v>
      </c>
      <c r="Z231" s="13">
        <v>0.125</v>
      </c>
      <c r="AA231" s="13" t="b">
        <v>0</v>
      </c>
      <c r="AB231" s="48"/>
      <c r="AC231" s="49"/>
    </row>
    <row r="232" ht="14.25" customHeight="1">
      <c r="A232" s="13">
        <v>24811.0</v>
      </c>
      <c r="B232" s="13" t="str">
        <f t="shared" si="3"/>
        <v>Observational</v>
      </c>
      <c r="C232" s="13" t="s">
        <v>4856</v>
      </c>
      <c r="D232" s="1" t="s">
        <v>5081</v>
      </c>
      <c r="E232" s="2" t="s">
        <v>5065</v>
      </c>
      <c r="F232" s="13" t="s">
        <v>3208</v>
      </c>
      <c r="G232" s="13" t="s">
        <v>3208</v>
      </c>
      <c r="H232" s="13" t="s">
        <v>3242</v>
      </c>
      <c r="I232" s="13" t="s">
        <v>3244</v>
      </c>
      <c r="J232" s="13" t="s">
        <v>3321</v>
      </c>
      <c r="K232" s="13" t="s">
        <v>3153</v>
      </c>
      <c r="L232" s="13" t="s">
        <v>3169</v>
      </c>
      <c r="M232" s="13" t="s">
        <v>3223</v>
      </c>
      <c r="N232" s="13" t="s">
        <v>3162</v>
      </c>
      <c r="O232" s="13" t="s">
        <v>33</v>
      </c>
      <c r="P232" s="13">
        <v>1.0</v>
      </c>
      <c r="Q232" s="13" t="s">
        <v>3160</v>
      </c>
      <c r="R232" s="13" t="s">
        <v>3163</v>
      </c>
      <c r="S232" s="13" t="s">
        <v>33</v>
      </c>
      <c r="T232" s="13" t="s">
        <v>3167</v>
      </c>
      <c r="U232" s="13" t="s">
        <v>3164</v>
      </c>
      <c r="V232" s="13" t="s">
        <v>3247</v>
      </c>
      <c r="W232" s="13" t="s">
        <v>3377</v>
      </c>
      <c r="X232" s="13" t="s">
        <v>3192</v>
      </c>
      <c r="Y232" s="13" t="s">
        <v>3156</v>
      </c>
      <c r="Z232" s="13" t="s">
        <v>33</v>
      </c>
      <c r="AA232" s="13" t="b">
        <v>0</v>
      </c>
      <c r="AB232" s="48"/>
      <c r="AC232" s="49"/>
    </row>
    <row r="233" ht="14.25" customHeight="1">
      <c r="A233" s="13">
        <v>25518.0</v>
      </c>
      <c r="B233" s="13" t="str">
        <f t="shared" si="3"/>
        <v>Observational</v>
      </c>
      <c r="C233" s="13" t="s">
        <v>4856</v>
      </c>
      <c r="D233" s="1" t="s">
        <v>5081</v>
      </c>
      <c r="E233" s="2" t="s">
        <v>5065</v>
      </c>
      <c r="F233" s="13" t="s">
        <v>3173</v>
      </c>
      <c r="G233" s="13" t="s">
        <v>3159</v>
      </c>
      <c r="H233" s="13" t="s">
        <v>3166</v>
      </c>
      <c r="I233" s="13" t="s">
        <v>3203</v>
      </c>
      <c r="J233" s="13" t="s">
        <v>3204</v>
      </c>
      <c r="K233" s="13" t="s">
        <v>3153</v>
      </c>
      <c r="L233" s="13" t="s">
        <v>3169</v>
      </c>
      <c r="M233" s="13" t="s">
        <v>3223</v>
      </c>
      <c r="N233" s="13" t="s">
        <v>3162</v>
      </c>
      <c r="O233" s="13" t="s">
        <v>33</v>
      </c>
      <c r="P233" s="13">
        <v>1.0</v>
      </c>
      <c r="Q233" s="13" t="s">
        <v>3160</v>
      </c>
      <c r="R233" s="13" t="s">
        <v>3163</v>
      </c>
      <c r="S233" s="13" t="s">
        <v>33</v>
      </c>
      <c r="T233" s="13" t="s">
        <v>3178</v>
      </c>
      <c r="U233" s="13" t="s">
        <v>3164</v>
      </c>
      <c r="V233" s="13" t="s">
        <v>3164</v>
      </c>
      <c r="W233" s="13" t="s">
        <v>3167</v>
      </c>
      <c r="X233" s="13" t="s">
        <v>3192</v>
      </c>
      <c r="Y233" s="13" t="s">
        <v>3156</v>
      </c>
      <c r="Z233" s="13" t="s">
        <v>33</v>
      </c>
      <c r="AA233" s="13" t="b">
        <v>0</v>
      </c>
      <c r="AB233" s="48"/>
      <c r="AC233" s="49"/>
    </row>
    <row r="234" ht="14.25" customHeight="1">
      <c r="A234" s="13">
        <v>25524.0</v>
      </c>
      <c r="B234" s="13" t="str">
        <f t="shared" si="3"/>
        <v>Observational</v>
      </c>
      <c r="C234" s="13" t="s">
        <v>4856</v>
      </c>
      <c r="D234" s="1" t="s">
        <v>5081</v>
      </c>
      <c r="E234" s="2" t="s">
        <v>5065</v>
      </c>
      <c r="F234" s="13" t="s">
        <v>3183</v>
      </c>
      <c r="G234" s="13" t="s">
        <v>3159</v>
      </c>
      <c r="H234" s="13" t="s">
        <v>3242</v>
      </c>
      <c r="I234" s="13" t="s">
        <v>3188</v>
      </c>
      <c r="J234" s="13" t="s">
        <v>4258</v>
      </c>
      <c r="K234" s="13" t="s">
        <v>3153</v>
      </c>
      <c r="L234" s="13" t="s">
        <v>3169</v>
      </c>
      <c r="M234" s="13" t="s">
        <v>3223</v>
      </c>
      <c r="N234" s="13" t="s">
        <v>3162</v>
      </c>
      <c r="O234" s="13" t="s">
        <v>4259</v>
      </c>
      <c r="P234" s="13">
        <v>1.0</v>
      </c>
      <c r="Q234" s="13" t="s">
        <v>3177</v>
      </c>
      <c r="R234" s="13" t="s">
        <v>3163</v>
      </c>
      <c r="S234" s="13" t="s">
        <v>33</v>
      </c>
      <c r="T234" s="13" t="s">
        <v>3167</v>
      </c>
      <c r="U234" s="13" t="s">
        <v>3164</v>
      </c>
      <c r="V234" s="13" t="s">
        <v>3164</v>
      </c>
      <c r="W234" s="13" t="s">
        <v>3433</v>
      </c>
      <c r="X234" s="13" t="s">
        <v>3211</v>
      </c>
      <c r="Y234" s="13" t="s">
        <v>3156</v>
      </c>
      <c r="Z234" s="13" t="s">
        <v>33</v>
      </c>
      <c r="AA234" s="13" t="b">
        <v>0</v>
      </c>
      <c r="AB234" s="48"/>
      <c r="AC234" s="49"/>
    </row>
    <row r="235" ht="14.25" customHeight="1">
      <c r="A235" s="13">
        <v>23074.0</v>
      </c>
      <c r="B235" s="13" t="str">
        <f t="shared" si="3"/>
        <v>Observational</v>
      </c>
      <c r="C235" s="13" t="s">
        <v>4852</v>
      </c>
      <c r="D235" s="1" t="s">
        <v>5082</v>
      </c>
      <c r="E235" s="13" t="s">
        <v>5067</v>
      </c>
      <c r="F235" s="13" t="s">
        <v>3159</v>
      </c>
      <c r="G235" s="13" t="s">
        <v>3159</v>
      </c>
      <c r="H235" s="13" t="s">
        <v>3166</v>
      </c>
      <c r="I235" s="13" t="s">
        <v>3157</v>
      </c>
      <c r="J235" s="13" t="s">
        <v>3199</v>
      </c>
      <c r="K235" s="13" t="s">
        <v>3153</v>
      </c>
      <c r="L235" s="13" t="s">
        <v>3154</v>
      </c>
      <c r="M235" s="13" t="s">
        <v>3241</v>
      </c>
      <c r="N235" s="13" t="s">
        <v>3162</v>
      </c>
      <c r="O235" s="13" t="s">
        <v>33</v>
      </c>
      <c r="P235" s="13">
        <v>1.0</v>
      </c>
      <c r="Q235" s="13" t="s">
        <v>3160</v>
      </c>
      <c r="R235" s="13" t="s">
        <v>3163</v>
      </c>
      <c r="S235" s="13" t="s">
        <v>33</v>
      </c>
      <c r="T235" s="13" t="s">
        <v>3225</v>
      </c>
      <c r="U235" s="13" t="s">
        <v>3164</v>
      </c>
      <c r="V235" s="13" t="s">
        <v>3164</v>
      </c>
      <c r="W235" s="13" t="s">
        <v>3167</v>
      </c>
      <c r="X235" s="13" t="s">
        <v>3170</v>
      </c>
      <c r="Y235" s="13" t="s">
        <v>3156</v>
      </c>
      <c r="Z235" s="13" t="s">
        <v>33</v>
      </c>
      <c r="AA235" s="13" t="b">
        <v>0</v>
      </c>
      <c r="AB235" s="48"/>
      <c r="AC235" s="49"/>
    </row>
    <row r="236" ht="14.25" customHeight="1">
      <c r="A236" s="13">
        <v>23106.0</v>
      </c>
      <c r="B236" s="13" t="str">
        <f t="shared" si="3"/>
        <v>Observational</v>
      </c>
      <c r="C236" s="13" t="s">
        <v>4864</v>
      </c>
      <c r="D236" s="1" t="s">
        <v>5082</v>
      </c>
      <c r="E236" s="13" t="s">
        <v>5067</v>
      </c>
      <c r="F236" s="13" t="s">
        <v>3282</v>
      </c>
      <c r="G236" s="13" t="s">
        <v>3173</v>
      </c>
      <c r="H236" s="13" t="s">
        <v>3166</v>
      </c>
      <c r="I236" s="13" t="s">
        <v>3264</v>
      </c>
      <c r="J236" s="13" t="s">
        <v>3281</v>
      </c>
      <c r="K236" s="13" t="s">
        <v>3153</v>
      </c>
      <c r="L236" s="13" t="s">
        <v>3179</v>
      </c>
      <c r="M236" s="13" t="s">
        <v>3241</v>
      </c>
      <c r="N236" s="13" t="s">
        <v>3162</v>
      </c>
      <c r="O236" s="13" t="s">
        <v>3283</v>
      </c>
      <c r="P236" s="13">
        <v>1.0</v>
      </c>
      <c r="Q236" s="13" t="s">
        <v>3177</v>
      </c>
      <c r="R236" s="13" t="s">
        <v>3163</v>
      </c>
      <c r="S236" s="13" t="s">
        <v>33</v>
      </c>
      <c r="T236" s="13" t="s">
        <v>3168</v>
      </c>
      <c r="U236" s="13" t="s">
        <v>3247</v>
      </c>
      <c r="V236" s="13" t="s">
        <v>3247</v>
      </c>
      <c r="W236" s="13" t="s">
        <v>3167</v>
      </c>
      <c r="X236" s="13" t="s">
        <v>3211</v>
      </c>
      <c r="Y236" s="13" t="s">
        <v>3202</v>
      </c>
      <c r="Z236" s="13">
        <v>30.0</v>
      </c>
      <c r="AA236" s="13" t="b">
        <v>0</v>
      </c>
      <c r="AB236" s="48"/>
      <c r="AC236" s="49"/>
    </row>
    <row r="237" ht="14.25" customHeight="1">
      <c r="A237" s="13">
        <v>23402.0</v>
      </c>
      <c r="B237" s="13" t="str">
        <f t="shared" si="3"/>
        <v>Observational</v>
      </c>
      <c r="C237" s="13" t="s">
        <v>4856</v>
      </c>
      <c r="D237" s="1" t="s">
        <v>5082</v>
      </c>
      <c r="E237" s="13" t="s">
        <v>5067</v>
      </c>
      <c r="F237" s="13" t="s">
        <v>3333</v>
      </c>
      <c r="G237" s="13" t="s">
        <v>3173</v>
      </c>
      <c r="H237" s="13" t="s">
        <v>3242</v>
      </c>
      <c r="I237" s="13" t="s">
        <v>3222</v>
      </c>
      <c r="J237" s="13" t="s">
        <v>3182</v>
      </c>
      <c r="K237" s="13" t="s">
        <v>3153</v>
      </c>
      <c r="L237" s="13" t="s">
        <v>3169</v>
      </c>
      <c r="M237" s="13" t="s">
        <v>3241</v>
      </c>
      <c r="N237" s="13" t="s">
        <v>3162</v>
      </c>
      <c r="O237" s="13" t="s">
        <v>33</v>
      </c>
      <c r="P237" s="13">
        <v>1.0</v>
      </c>
      <c r="Q237" s="13" t="s">
        <v>3160</v>
      </c>
      <c r="R237" s="13" t="s">
        <v>3163</v>
      </c>
      <c r="S237" s="13" t="s">
        <v>33</v>
      </c>
      <c r="T237" s="13" t="s">
        <v>3167</v>
      </c>
      <c r="U237" s="13" t="s">
        <v>3164</v>
      </c>
      <c r="V237" s="13" t="s">
        <v>3164</v>
      </c>
      <c r="W237" s="13" t="s">
        <v>3433</v>
      </c>
      <c r="X237" s="13" t="s">
        <v>3192</v>
      </c>
      <c r="Y237" s="13" t="s">
        <v>33</v>
      </c>
      <c r="Z237" s="13" t="s">
        <v>33</v>
      </c>
      <c r="AA237" s="13" t="b">
        <v>0</v>
      </c>
      <c r="AB237" s="48"/>
      <c r="AC237" s="49"/>
    </row>
    <row r="238" ht="14.25" customHeight="1">
      <c r="A238" s="13">
        <v>23531.0</v>
      </c>
      <c r="B238" s="13" t="str">
        <f t="shared" si="3"/>
        <v>Observational</v>
      </c>
      <c r="C238" s="13" t="s">
        <v>4856</v>
      </c>
      <c r="D238" s="1" t="s">
        <v>5082</v>
      </c>
      <c r="E238" s="13" t="s">
        <v>5067</v>
      </c>
      <c r="F238" s="13" t="s">
        <v>3381</v>
      </c>
      <c r="G238" s="13" t="s">
        <v>3282</v>
      </c>
      <c r="H238" s="13" t="s">
        <v>3242</v>
      </c>
      <c r="I238" s="13" t="s">
        <v>3188</v>
      </c>
      <c r="J238" s="13" t="s">
        <v>3487</v>
      </c>
      <c r="K238" s="13" t="s">
        <v>3153</v>
      </c>
      <c r="L238" s="13" t="s">
        <v>3169</v>
      </c>
      <c r="M238" s="13" t="s">
        <v>3241</v>
      </c>
      <c r="N238" s="13" t="s">
        <v>3162</v>
      </c>
      <c r="O238" s="13" t="s">
        <v>3488</v>
      </c>
      <c r="P238" s="13">
        <v>1.0</v>
      </c>
      <c r="Q238" s="13" t="s">
        <v>3177</v>
      </c>
      <c r="R238" s="13" t="s">
        <v>3163</v>
      </c>
      <c r="S238" s="13" t="s">
        <v>855</v>
      </c>
      <c r="T238" s="13" t="s">
        <v>3167</v>
      </c>
      <c r="U238" s="13" t="s">
        <v>3247</v>
      </c>
      <c r="V238" s="13" t="s">
        <v>3247</v>
      </c>
      <c r="W238" s="13" t="s">
        <v>3248</v>
      </c>
      <c r="X238" s="13" t="s">
        <v>3211</v>
      </c>
      <c r="Y238" s="13" t="s">
        <v>33</v>
      </c>
      <c r="Z238" s="13" t="s">
        <v>33</v>
      </c>
      <c r="AA238" s="13" t="b">
        <v>0</v>
      </c>
      <c r="AB238" s="48"/>
      <c r="AC238" s="49"/>
    </row>
    <row r="239" ht="14.25" customHeight="1">
      <c r="A239" s="13">
        <v>23591.0</v>
      </c>
      <c r="B239" s="13" t="str">
        <f t="shared" si="3"/>
        <v>Observational</v>
      </c>
      <c r="C239" s="13" t="s">
        <v>5083</v>
      </c>
      <c r="D239" s="1" t="s">
        <v>5082</v>
      </c>
      <c r="E239" s="13" t="s">
        <v>5067</v>
      </c>
      <c r="F239" s="13" t="s">
        <v>3173</v>
      </c>
      <c r="G239" s="13" t="s">
        <v>3183</v>
      </c>
      <c r="H239" s="13" t="s">
        <v>3166</v>
      </c>
      <c r="I239" s="13" t="s">
        <v>3167</v>
      </c>
      <c r="J239" s="13" t="s">
        <v>3167</v>
      </c>
      <c r="K239" s="13" t="s">
        <v>3153</v>
      </c>
      <c r="L239" s="13" t="s">
        <v>3517</v>
      </c>
      <c r="M239" s="13" t="s">
        <v>3241</v>
      </c>
      <c r="N239" s="13" t="s">
        <v>3162</v>
      </c>
      <c r="O239" s="13" t="s">
        <v>33</v>
      </c>
      <c r="P239" s="13">
        <v>1.0</v>
      </c>
      <c r="Q239" s="13" t="s">
        <v>3177</v>
      </c>
      <c r="R239" s="13" t="s">
        <v>3177</v>
      </c>
      <c r="S239" s="13" t="s">
        <v>3397</v>
      </c>
      <c r="T239" s="13" t="s">
        <v>3255</v>
      </c>
      <c r="U239" s="13" t="s">
        <v>3197</v>
      </c>
      <c r="V239" s="13" t="s">
        <v>3197</v>
      </c>
      <c r="W239" s="13" t="s">
        <v>3167</v>
      </c>
      <c r="X239" s="13" t="s">
        <v>3217</v>
      </c>
      <c r="Y239" s="13" t="s">
        <v>3180</v>
      </c>
      <c r="Z239" s="13">
        <v>0.1</v>
      </c>
      <c r="AA239" s="13" t="b">
        <v>0</v>
      </c>
      <c r="AB239" s="48"/>
      <c r="AC239" s="49"/>
    </row>
    <row r="240" ht="14.25" customHeight="1">
      <c r="A240" s="13">
        <v>23598.0</v>
      </c>
      <c r="B240" s="13" t="str">
        <f t="shared" si="3"/>
        <v>Observational</v>
      </c>
      <c r="C240" s="13" t="s">
        <v>4856</v>
      </c>
      <c r="D240" s="1" t="s">
        <v>5082</v>
      </c>
      <c r="E240" s="13" t="s">
        <v>5067</v>
      </c>
      <c r="F240" s="13" t="s">
        <v>3186</v>
      </c>
      <c r="G240" s="13" t="s">
        <v>3183</v>
      </c>
      <c r="H240" s="13" t="s">
        <v>3166</v>
      </c>
      <c r="I240" s="13" t="s">
        <v>3222</v>
      </c>
      <c r="J240" s="13" t="s">
        <v>3521</v>
      </c>
      <c r="K240" s="13" t="s">
        <v>3153</v>
      </c>
      <c r="L240" s="13" t="s">
        <v>3169</v>
      </c>
      <c r="M240" s="13" t="s">
        <v>3241</v>
      </c>
      <c r="N240" s="13" t="s">
        <v>3162</v>
      </c>
      <c r="O240" s="13" t="s">
        <v>3522</v>
      </c>
      <c r="P240" s="13">
        <v>1.0</v>
      </c>
      <c r="Q240" s="13" t="s">
        <v>3177</v>
      </c>
      <c r="R240" s="13" t="s">
        <v>3163</v>
      </c>
      <c r="S240" s="13" t="s">
        <v>3523</v>
      </c>
      <c r="T240" s="13" t="s">
        <v>3224</v>
      </c>
      <c r="U240" s="13" t="s">
        <v>3165</v>
      </c>
      <c r="V240" s="13" t="s">
        <v>3165</v>
      </c>
      <c r="W240" s="13" t="s">
        <v>3167</v>
      </c>
      <c r="X240" s="13" t="s">
        <v>3211</v>
      </c>
      <c r="Y240" s="13" t="s">
        <v>3520</v>
      </c>
      <c r="Z240" s="13">
        <v>5.0</v>
      </c>
      <c r="AA240" s="13" t="b">
        <v>0</v>
      </c>
      <c r="AB240" s="48"/>
      <c r="AC240" s="49"/>
    </row>
    <row r="241" ht="14.25" customHeight="1">
      <c r="A241" s="13">
        <v>23639.0</v>
      </c>
      <c r="B241" s="13" t="str">
        <f t="shared" si="3"/>
        <v>Observational</v>
      </c>
      <c r="C241" s="13" t="s">
        <v>4856</v>
      </c>
      <c r="D241" s="1" t="s">
        <v>5082</v>
      </c>
      <c r="E241" s="13" t="s">
        <v>5067</v>
      </c>
      <c r="F241" s="13" t="s">
        <v>3183</v>
      </c>
      <c r="G241" s="13" t="s">
        <v>3183</v>
      </c>
      <c r="H241" s="13" t="s">
        <v>3166</v>
      </c>
      <c r="I241" s="13" t="s">
        <v>3171</v>
      </c>
      <c r="J241" s="13" t="s">
        <v>3378</v>
      </c>
      <c r="K241" s="13" t="s">
        <v>3153</v>
      </c>
      <c r="L241" s="13" t="s">
        <v>3169</v>
      </c>
      <c r="M241" s="13" t="s">
        <v>3241</v>
      </c>
      <c r="N241" s="13" t="s">
        <v>3162</v>
      </c>
      <c r="O241" s="13" t="s">
        <v>3548</v>
      </c>
      <c r="P241" s="13">
        <v>1.0</v>
      </c>
      <c r="Q241" s="13" t="s">
        <v>3177</v>
      </c>
      <c r="R241" s="13" t="s">
        <v>3231</v>
      </c>
      <c r="S241" s="13" t="s">
        <v>3549</v>
      </c>
      <c r="T241" s="13" t="s">
        <v>3224</v>
      </c>
      <c r="U241" s="13" t="s">
        <v>3164</v>
      </c>
      <c r="V241" s="13" t="s">
        <v>3165</v>
      </c>
      <c r="W241" s="13" t="s">
        <v>3167</v>
      </c>
      <c r="X241" s="13" t="s">
        <v>3155</v>
      </c>
      <c r="Y241" s="13" t="s">
        <v>3156</v>
      </c>
      <c r="Z241" s="13" t="s">
        <v>3167</v>
      </c>
      <c r="AA241" s="13" t="b">
        <v>0</v>
      </c>
      <c r="AB241" s="48"/>
      <c r="AC241" s="49"/>
    </row>
    <row r="242" ht="14.25" customHeight="1">
      <c r="A242" s="13">
        <v>24030.0</v>
      </c>
      <c r="B242" s="13" t="str">
        <f t="shared" si="3"/>
        <v>Observational</v>
      </c>
      <c r="C242" s="13" t="s">
        <v>4856</v>
      </c>
      <c r="D242" s="1" t="s">
        <v>5082</v>
      </c>
      <c r="E242" s="13" t="s">
        <v>5067</v>
      </c>
      <c r="F242" s="13" t="s">
        <v>3159</v>
      </c>
      <c r="G242" s="13" t="s">
        <v>3159</v>
      </c>
      <c r="H242" s="13" t="s">
        <v>3166</v>
      </c>
      <c r="I242" s="13" t="s">
        <v>3222</v>
      </c>
      <c r="J242" s="13" t="s">
        <v>3182</v>
      </c>
      <c r="K242" s="13" t="s">
        <v>3153</v>
      </c>
      <c r="L242" s="13" t="s">
        <v>3169</v>
      </c>
      <c r="M242" s="13" t="s">
        <v>3241</v>
      </c>
      <c r="N242" s="13" t="s">
        <v>3162</v>
      </c>
      <c r="O242" s="13" t="s">
        <v>33</v>
      </c>
      <c r="P242" s="13">
        <v>1.0</v>
      </c>
      <c r="Q242" s="13" t="s">
        <v>3177</v>
      </c>
      <c r="R242" s="13" t="s">
        <v>3163</v>
      </c>
      <c r="S242" s="13" t="s">
        <v>33</v>
      </c>
      <c r="T242" s="13" t="s">
        <v>3168</v>
      </c>
      <c r="U242" s="13" t="s">
        <v>3164</v>
      </c>
      <c r="V242" s="13" t="s">
        <v>3164</v>
      </c>
      <c r="W242" s="13" t="s">
        <v>3167</v>
      </c>
      <c r="X242" s="13" t="s">
        <v>3170</v>
      </c>
      <c r="Y242" s="13" t="s">
        <v>33</v>
      </c>
      <c r="Z242" s="13" t="s">
        <v>33</v>
      </c>
      <c r="AA242" s="13" t="b">
        <v>0</v>
      </c>
      <c r="AB242" s="48"/>
      <c r="AC242" s="49"/>
    </row>
    <row r="243" ht="14.25" customHeight="1">
      <c r="A243" s="13">
        <v>24211.0</v>
      </c>
      <c r="B243" s="13" t="str">
        <f t="shared" si="3"/>
        <v>Observational</v>
      </c>
      <c r="C243" s="13" t="s">
        <v>4864</v>
      </c>
      <c r="D243" s="1" t="s">
        <v>5082</v>
      </c>
      <c r="E243" s="13" t="s">
        <v>5067</v>
      </c>
      <c r="F243" s="13" t="s">
        <v>3183</v>
      </c>
      <c r="G243" s="13" t="s">
        <v>3183</v>
      </c>
      <c r="H243" s="13" t="s">
        <v>3166</v>
      </c>
      <c r="I243" s="13" t="s">
        <v>3261</v>
      </c>
      <c r="J243" s="13" t="s">
        <v>3799</v>
      </c>
      <c r="K243" s="13" t="s">
        <v>3153</v>
      </c>
      <c r="L243" s="13" t="s">
        <v>3179</v>
      </c>
      <c r="M243" s="13" t="s">
        <v>3241</v>
      </c>
      <c r="N243" s="13" t="s">
        <v>3162</v>
      </c>
      <c r="O243" s="13" t="s">
        <v>3800</v>
      </c>
      <c r="P243" s="13">
        <v>1.0</v>
      </c>
      <c r="Q243" s="13" t="s">
        <v>3160</v>
      </c>
      <c r="R243" s="13" t="s">
        <v>3163</v>
      </c>
      <c r="S243" s="13" t="s">
        <v>3801</v>
      </c>
      <c r="T243" s="13" t="s">
        <v>3168</v>
      </c>
      <c r="U243" s="13" t="s">
        <v>3247</v>
      </c>
      <c r="V243" s="13" t="s">
        <v>3247</v>
      </c>
      <c r="W243" s="13" t="s">
        <v>3167</v>
      </c>
      <c r="X243" s="13" t="s">
        <v>3211</v>
      </c>
      <c r="Y243" s="13" t="s">
        <v>3180</v>
      </c>
      <c r="Z243" s="13">
        <v>0.2</v>
      </c>
      <c r="AA243" s="13" t="b">
        <v>0</v>
      </c>
      <c r="AB243" s="48"/>
      <c r="AC243" s="49"/>
    </row>
    <row r="244" ht="14.25" customHeight="1">
      <c r="A244" s="13">
        <v>24381.0</v>
      </c>
      <c r="B244" s="13" t="str">
        <f t="shared" si="3"/>
        <v>Observational</v>
      </c>
      <c r="C244" s="13" t="s">
        <v>4856</v>
      </c>
      <c r="D244" s="1" t="s">
        <v>5082</v>
      </c>
      <c r="E244" s="13" t="s">
        <v>5067</v>
      </c>
      <c r="F244" s="13" t="s">
        <v>3173</v>
      </c>
      <c r="G244" s="13" t="s">
        <v>3173</v>
      </c>
      <c r="H244" s="13" t="s">
        <v>3166</v>
      </c>
      <c r="I244" s="13" t="s">
        <v>3167</v>
      </c>
      <c r="J244" s="13" t="s">
        <v>3167</v>
      </c>
      <c r="K244" s="13" t="s">
        <v>3153</v>
      </c>
      <c r="L244" s="13" t="s">
        <v>3169</v>
      </c>
      <c r="M244" s="13" t="s">
        <v>3241</v>
      </c>
      <c r="N244" s="13" t="s">
        <v>3162</v>
      </c>
      <c r="O244" s="13" t="s">
        <v>33</v>
      </c>
      <c r="P244" s="13">
        <v>1.0</v>
      </c>
      <c r="Q244" s="13" t="s">
        <v>3177</v>
      </c>
      <c r="R244" s="13" t="s">
        <v>3231</v>
      </c>
      <c r="S244" s="13" t="s">
        <v>33</v>
      </c>
      <c r="T244" s="13" t="s">
        <v>3518</v>
      </c>
      <c r="U244" s="13" t="s">
        <v>3232</v>
      </c>
      <c r="V244" s="13" t="s">
        <v>3197</v>
      </c>
      <c r="W244" s="13" t="s">
        <v>3167</v>
      </c>
      <c r="X244" s="13" t="s">
        <v>3217</v>
      </c>
      <c r="Y244" s="13" t="s">
        <v>3156</v>
      </c>
      <c r="Z244" s="13" t="s">
        <v>33</v>
      </c>
      <c r="AA244" s="13" t="b">
        <v>0</v>
      </c>
      <c r="AB244" s="48"/>
      <c r="AC244" s="49"/>
    </row>
    <row r="245" ht="14.25" customHeight="1">
      <c r="A245" s="13">
        <v>24446.0</v>
      </c>
      <c r="B245" s="13" t="str">
        <f t="shared" si="3"/>
        <v>Observational</v>
      </c>
      <c r="C245" s="13" t="s">
        <v>4864</v>
      </c>
      <c r="D245" s="1" t="s">
        <v>5082</v>
      </c>
      <c r="E245" s="13" t="s">
        <v>5067</v>
      </c>
      <c r="F245" s="13" t="s">
        <v>3183</v>
      </c>
      <c r="G245" s="13" t="s">
        <v>3183</v>
      </c>
      <c r="H245" s="13" t="s">
        <v>3166</v>
      </c>
      <c r="I245" s="13" t="s">
        <v>3181</v>
      </c>
      <c r="J245" s="13" t="s">
        <v>3913</v>
      </c>
      <c r="K245" s="13" t="s">
        <v>3153</v>
      </c>
      <c r="L245" s="13" t="s">
        <v>3179</v>
      </c>
      <c r="M245" s="13" t="s">
        <v>3241</v>
      </c>
      <c r="N245" s="13" t="s">
        <v>3162</v>
      </c>
      <c r="O245" s="13" t="s">
        <v>3914</v>
      </c>
      <c r="P245" s="13">
        <v>1.0</v>
      </c>
      <c r="Q245" s="13" t="s">
        <v>3177</v>
      </c>
      <c r="R245" s="13" t="s">
        <v>3163</v>
      </c>
      <c r="S245" s="13" t="s">
        <v>33</v>
      </c>
      <c r="T245" s="13" t="s">
        <v>3168</v>
      </c>
      <c r="U245" s="13" t="s">
        <v>3228</v>
      </c>
      <c r="V245" s="13" t="s">
        <v>3228</v>
      </c>
      <c r="W245" s="13" t="s">
        <v>3167</v>
      </c>
      <c r="X245" s="13" t="s">
        <v>3192</v>
      </c>
      <c r="Y245" s="13" t="s">
        <v>3187</v>
      </c>
      <c r="Z245" s="13">
        <v>1.0</v>
      </c>
      <c r="AA245" s="13" t="b">
        <v>0</v>
      </c>
      <c r="AB245" s="48"/>
      <c r="AC245" s="49"/>
    </row>
    <row r="246" ht="14.25" customHeight="1">
      <c r="A246" s="13">
        <v>24738.0</v>
      </c>
      <c r="B246" s="13" t="str">
        <f t="shared" si="3"/>
        <v>Observational</v>
      </c>
      <c r="C246" s="13" t="s">
        <v>4864</v>
      </c>
      <c r="D246" s="1" t="s">
        <v>5082</v>
      </c>
      <c r="E246" s="13" t="s">
        <v>5067</v>
      </c>
      <c r="F246" s="13" t="s">
        <v>3186</v>
      </c>
      <c r="G246" s="13" t="s">
        <v>3159</v>
      </c>
      <c r="H246" s="13" t="s">
        <v>3166</v>
      </c>
      <c r="I246" s="13" t="s">
        <v>3392</v>
      </c>
      <c r="J246" s="13" t="s">
        <v>4019</v>
      </c>
      <c r="K246" s="13" t="s">
        <v>3153</v>
      </c>
      <c r="L246" s="13" t="s">
        <v>3179</v>
      </c>
      <c r="M246" s="13" t="s">
        <v>3241</v>
      </c>
      <c r="N246" s="13" t="s">
        <v>3162</v>
      </c>
      <c r="O246" s="13" t="s">
        <v>33</v>
      </c>
      <c r="P246" s="13">
        <v>1.0</v>
      </c>
      <c r="Q246" s="13" t="s">
        <v>3177</v>
      </c>
      <c r="R246" s="13" t="s">
        <v>3177</v>
      </c>
      <c r="S246" s="13" t="s">
        <v>33</v>
      </c>
      <c r="T246" s="13" t="s">
        <v>4003</v>
      </c>
      <c r="U246" s="13" t="s">
        <v>3197</v>
      </c>
      <c r="V246" s="13" t="s">
        <v>3247</v>
      </c>
      <c r="W246" s="13" t="s">
        <v>3167</v>
      </c>
      <c r="X246" s="13" t="s">
        <v>3211</v>
      </c>
      <c r="Y246" s="13" t="s">
        <v>3156</v>
      </c>
      <c r="Z246" s="13" t="s">
        <v>33</v>
      </c>
      <c r="AA246" s="13" t="b">
        <v>0</v>
      </c>
      <c r="AB246" s="48"/>
      <c r="AC246" s="49"/>
    </row>
    <row r="247" ht="14.25" customHeight="1">
      <c r="A247" s="13">
        <v>25052.0</v>
      </c>
      <c r="B247" s="13" t="str">
        <f t="shared" si="3"/>
        <v>Observational</v>
      </c>
      <c r="C247" s="13" t="s">
        <v>4864</v>
      </c>
      <c r="D247" s="1" t="s">
        <v>5082</v>
      </c>
      <c r="E247" s="13" t="s">
        <v>5067</v>
      </c>
      <c r="F247" s="13" t="s">
        <v>3183</v>
      </c>
      <c r="G247" s="13" t="s">
        <v>3270</v>
      </c>
      <c r="H247" s="13" t="s">
        <v>3166</v>
      </c>
      <c r="I247" s="13" t="s">
        <v>3249</v>
      </c>
      <c r="J247" s="13" t="s">
        <v>3340</v>
      </c>
      <c r="K247" s="13" t="s">
        <v>3153</v>
      </c>
      <c r="L247" s="13" t="s">
        <v>3179</v>
      </c>
      <c r="M247" s="13" t="s">
        <v>3241</v>
      </c>
      <c r="N247" s="13" t="s">
        <v>3162</v>
      </c>
      <c r="O247" s="13" t="s">
        <v>4118</v>
      </c>
      <c r="P247" s="13">
        <v>1.0</v>
      </c>
      <c r="Q247" s="13" t="s">
        <v>3177</v>
      </c>
      <c r="R247" s="13" t="s">
        <v>3163</v>
      </c>
      <c r="S247" s="13" t="s">
        <v>4119</v>
      </c>
      <c r="T247" s="13" t="s">
        <v>3168</v>
      </c>
      <c r="U247" s="13" t="s">
        <v>3164</v>
      </c>
      <c r="V247" s="13" t="s">
        <v>3164</v>
      </c>
      <c r="W247" s="13" t="s">
        <v>3167</v>
      </c>
      <c r="X247" s="13" t="s">
        <v>3211</v>
      </c>
      <c r="Y247" s="13" t="s">
        <v>3187</v>
      </c>
      <c r="Z247" s="13">
        <v>100.0</v>
      </c>
      <c r="AA247" s="13" t="b">
        <v>0</v>
      </c>
      <c r="AB247" s="48"/>
      <c r="AC247" s="49"/>
    </row>
    <row r="248" ht="14.25" customHeight="1">
      <c r="A248" s="13">
        <v>26090.0</v>
      </c>
      <c r="B248" s="13" t="str">
        <f t="shared" si="3"/>
        <v>Observational</v>
      </c>
      <c r="C248" s="13" t="s">
        <v>4864</v>
      </c>
      <c r="D248" s="1" t="s">
        <v>5082</v>
      </c>
      <c r="E248" s="13" t="s">
        <v>5067</v>
      </c>
      <c r="F248" s="13" t="s">
        <v>3183</v>
      </c>
      <c r="G248" s="13" t="s">
        <v>3183</v>
      </c>
      <c r="H248" s="13" t="s">
        <v>3166</v>
      </c>
      <c r="I248" s="13" t="s">
        <v>3167</v>
      </c>
      <c r="J248" s="13" t="s">
        <v>3167</v>
      </c>
      <c r="K248" s="13" t="s">
        <v>3153</v>
      </c>
      <c r="L248" s="13" t="s">
        <v>3179</v>
      </c>
      <c r="M248" s="13" t="s">
        <v>3241</v>
      </c>
      <c r="N248" s="13" t="s">
        <v>3162</v>
      </c>
      <c r="O248" s="13" t="s">
        <v>4445</v>
      </c>
      <c r="P248" s="13">
        <v>1.0</v>
      </c>
      <c r="Q248" s="13" t="s">
        <v>3160</v>
      </c>
      <c r="R248" s="13" t="s">
        <v>3163</v>
      </c>
      <c r="S248" s="13" t="s">
        <v>4445</v>
      </c>
      <c r="T248" s="13" t="s">
        <v>3168</v>
      </c>
      <c r="U248" s="13" t="s">
        <v>3232</v>
      </c>
      <c r="V248" s="13" t="s">
        <v>3232</v>
      </c>
      <c r="W248" s="13" t="s">
        <v>3167</v>
      </c>
      <c r="X248" s="13" t="s">
        <v>3217</v>
      </c>
      <c r="Y248" s="13" t="s">
        <v>3156</v>
      </c>
      <c r="Z248" s="13" t="s">
        <v>33</v>
      </c>
      <c r="AA248" s="13" t="b">
        <v>0</v>
      </c>
      <c r="AB248" s="48"/>
      <c r="AC248" s="49"/>
    </row>
    <row r="249" ht="14.25" customHeight="1">
      <c r="A249" s="13">
        <v>24113.0</v>
      </c>
      <c r="B249" s="13" t="str">
        <f t="shared" si="3"/>
        <v>Observational</v>
      </c>
      <c r="C249" s="13" t="s">
        <v>4856</v>
      </c>
      <c r="D249" s="1" t="s">
        <v>5084</v>
      </c>
      <c r="E249" s="13" t="s">
        <v>5067</v>
      </c>
      <c r="F249" s="13" t="s">
        <v>3338</v>
      </c>
      <c r="G249" s="13" t="s">
        <v>3173</v>
      </c>
      <c r="H249" s="13" t="s">
        <v>3253</v>
      </c>
      <c r="I249" s="13" t="s">
        <v>3167</v>
      </c>
      <c r="J249" s="13" t="s">
        <v>3167</v>
      </c>
      <c r="K249" s="13" t="s">
        <v>3153</v>
      </c>
      <c r="L249" s="13" t="s">
        <v>3169</v>
      </c>
      <c r="M249" s="13" t="s">
        <v>3719</v>
      </c>
      <c r="N249" s="13" t="s">
        <v>3267</v>
      </c>
      <c r="O249" s="13" t="s">
        <v>3750</v>
      </c>
      <c r="P249" s="13">
        <v>2.0</v>
      </c>
      <c r="Q249" s="13" t="s">
        <v>3177</v>
      </c>
      <c r="R249" s="13" t="s">
        <v>3163</v>
      </c>
      <c r="S249" s="13" t="s">
        <v>33</v>
      </c>
      <c r="T249" s="13" t="s">
        <v>3632</v>
      </c>
      <c r="U249" s="13" t="s">
        <v>3252</v>
      </c>
      <c r="V249" s="13" t="s">
        <v>3252</v>
      </c>
      <c r="W249" s="13" t="s">
        <v>3634</v>
      </c>
      <c r="X249" s="13" t="s">
        <v>3217</v>
      </c>
      <c r="Y249" s="13" t="s">
        <v>3180</v>
      </c>
      <c r="Z249" s="13">
        <v>0.5</v>
      </c>
      <c r="AA249" s="13" t="b">
        <v>0</v>
      </c>
      <c r="AB249" s="48"/>
      <c r="AC249" s="49"/>
    </row>
    <row r="250" ht="14.25" customHeight="1">
      <c r="A250" s="13">
        <v>23989.0</v>
      </c>
      <c r="B250" s="13" t="str">
        <f t="shared" si="3"/>
        <v>Observational</v>
      </c>
      <c r="C250" s="13" t="s">
        <v>4886</v>
      </c>
      <c r="D250" s="1" t="s">
        <v>5084</v>
      </c>
      <c r="E250" s="13" t="s">
        <v>5067</v>
      </c>
      <c r="F250" s="13" t="s">
        <v>3338</v>
      </c>
      <c r="G250" s="13" t="s">
        <v>3183</v>
      </c>
      <c r="H250" s="13" t="s">
        <v>3166</v>
      </c>
      <c r="I250" s="13" t="s">
        <v>3171</v>
      </c>
      <c r="J250" s="13" t="s">
        <v>3718</v>
      </c>
      <c r="K250" s="13" t="s">
        <v>3153</v>
      </c>
      <c r="L250" s="13" t="s">
        <v>3465</v>
      </c>
      <c r="M250" s="13" t="s">
        <v>3719</v>
      </c>
      <c r="N250" s="13" t="s">
        <v>3162</v>
      </c>
      <c r="O250" s="13" t="s">
        <v>33</v>
      </c>
      <c r="P250" s="13">
        <v>2.0</v>
      </c>
      <c r="Q250" s="13" t="s">
        <v>3177</v>
      </c>
      <c r="R250" s="13" t="s">
        <v>3177</v>
      </c>
      <c r="S250" s="13" t="s">
        <v>3689</v>
      </c>
      <c r="T250" s="13" t="s">
        <v>3324</v>
      </c>
      <c r="U250" s="13" t="s">
        <v>3232</v>
      </c>
      <c r="V250" s="13" t="s">
        <v>3232</v>
      </c>
      <c r="W250" s="13" t="s">
        <v>3167</v>
      </c>
      <c r="X250" s="13" t="s">
        <v>3211</v>
      </c>
      <c r="Y250" s="13" t="s">
        <v>3180</v>
      </c>
      <c r="Z250" s="13">
        <v>1.0</v>
      </c>
      <c r="AA250" s="13" t="b">
        <v>0</v>
      </c>
      <c r="AB250" s="48"/>
      <c r="AC250" s="49"/>
    </row>
    <row r="251" ht="14.25" customHeight="1">
      <c r="A251" s="13">
        <v>23612.0</v>
      </c>
      <c r="B251" s="13" t="str">
        <f t="shared" si="3"/>
        <v>Observational</v>
      </c>
      <c r="C251" s="13" t="s">
        <v>4864</v>
      </c>
      <c r="D251" s="13" t="s">
        <v>5084</v>
      </c>
      <c r="E251" s="13" t="s">
        <v>5085</v>
      </c>
      <c r="F251" s="13" t="s">
        <v>3159</v>
      </c>
      <c r="G251" s="13" t="s">
        <v>3159</v>
      </c>
      <c r="H251" s="13" t="s">
        <v>3166</v>
      </c>
      <c r="I251" s="13" t="s">
        <v>3533</v>
      </c>
      <c r="J251" s="13" t="s">
        <v>3534</v>
      </c>
      <c r="K251" s="13" t="s">
        <v>3153</v>
      </c>
      <c r="L251" s="13" t="s">
        <v>3179</v>
      </c>
      <c r="M251" s="13" t="s">
        <v>3535</v>
      </c>
      <c r="N251" s="13" t="s">
        <v>3267</v>
      </c>
      <c r="O251" s="13" t="s">
        <v>33</v>
      </c>
      <c r="P251" s="13">
        <v>3.0</v>
      </c>
      <c r="Q251" s="13" t="s">
        <v>3177</v>
      </c>
      <c r="R251" s="13" t="s">
        <v>3163</v>
      </c>
      <c r="S251" s="13" t="s">
        <v>33</v>
      </c>
      <c r="T251" s="13" t="s">
        <v>3168</v>
      </c>
      <c r="U251" s="13" t="s">
        <v>3232</v>
      </c>
      <c r="V251" s="13" t="s">
        <v>3232</v>
      </c>
      <c r="W251" s="13" t="s">
        <v>3167</v>
      </c>
      <c r="X251" s="13" t="s">
        <v>3155</v>
      </c>
      <c r="Y251" s="13" t="s">
        <v>3156</v>
      </c>
      <c r="Z251" s="13" t="s">
        <v>33</v>
      </c>
      <c r="AA251" s="13" t="b">
        <v>1</v>
      </c>
      <c r="AB251" s="48"/>
      <c r="AC251" s="49"/>
    </row>
    <row r="252" ht="14.25" customHeight="1">
      <c r="A252" s="13">
        <v>23331.0</v>
      </c>
      <c r="B252" s="13" t="str">
        <f t="shared" si="3"/>
        <v>Observational</v>
      </c>
      <c r="C252" s="13" t="s">
        <v>4855</v>
      </c>
      <c r="D252" s="1" t="s">
        <v>5086</v>
      </c>
      <c r="E252" s="13" t="s">
        <v>5067</v>
      </c>
      <c r="F252" s="13" t="s">
        <v>3183</v>
      </c>
      <c r="G252" s="13" t="s">
        <v>3183</v>
      </c>
      <c r="H252" s="13" t="s">
        <v>3166</v>
      </c>
      <c r="I252" s="13" t="s">
        <v>3167</v>
      </c>
      <c r="J252" s="13" t="s">
        <v>3167</v>
      </c>
      <c r="K252" s="13" t="s">
        <v>3153</v>
      </c>
      <c r="L252" s="13" t="s">
        <v>3395</v>
      </c>
      <c r="M252" s="13" t="s">
        <v>3398</v>
      </c>
      <c r="N252" s="13" t="s">
        <v>3267</v>
      </c>
      <c r="O252" s="13" t="s">
        <v>3397</v>
      </c>
      <c r="P252" s="13">
        <v>3.0</v>
      </c>
      <c r="Q252" s="13" t="s">
        <v>3177</v>
      </c>
      <c r="R252" s="13" t="s">
        <v>3177</v>
      </c>
      <c r="S252" s="13" t="s">
        <v>3397</v>
      </c>
      <c r="T252" s="13" t="s">
        <v>3216</v>
      </c>
      <c r="U252" s="13" t="s">
        <v>3232</v>
      </c>
      <c r="V252" s="13" t="s">
        <v>3232</v>
      </c>
      <c r="W252" s="13" t="s">
        <v>3167</v>
      </c>
      <c r="X252" s="13" t="s">
        <v>3217</v>
      </c>
      <c r="Y252" s="13" t="s">
        <v>3187</v>
      </c>
      <c r="Z252" s="13">
        <v>7770.0</v>
      </c>
      <c r="AA252" s="13" t="b">
        <v>1</v>
      </c>
      <c r="AB252" s="48"/>
      <c r="AC252" s="49"/>
    </row>
    <row r="253" ht="14.25" customHeight="1">
      <c r="A253" s="13">
        <v>24773.0</v>
      </c>
      <c r="B253" s="13" t="str">
        <f t="shared" si="3"/>
        <v>Observational</v>
      </c>
      <c r="C253" s="13" t="s">
        <v>4864</v>
      </c>
      <c r="D253" s="1" t="s">
        <v>5087</v>
      </c>
      <c r="E253" s="13" t="s">
        <v>5078</v>
      </c>
      <c r="F253" s="13" t="s">
        <v>3159</v>
      </c>
      <c r="G253" s="13" t="s">
        <v>3159</v>
      </c>
      <c r="H253" s="13" t="s">
        <v>3166</v>
      </c>
      <c r="I253" s="13" t="s">
        <v>3264</v>
      </c>
      <c r="J253" s="13" t="s">
        <v>3204</v>
      </c>
      <c r="K253" s="13" t="s">
        <v>3153</v>
      </c>
      <c r="L253" s="13" t="s">
        <v>3179</v>
      </c>
      <c r="M253" s="13" t="s">
        <v>4031</v>
      </c>
      <c r="N253" s="13" t="s">
        <v>3162</v>
      </c>
      <c r="O253" s="13" t="s">
        <v>33</v>
      </c>
      <c r="P253" s="13">
        <v>3.0</v>
      </c>
      <c r="Q253" s="13" t="s">
        <v>3177</v>
      </c>
      <c r="R253" s="13" t="s">
        <v>3177</v>
      </c>
      <c r="S253" s="13" t="s">
        <v>33</v>
      </c>
      <c r="T253" s="13" t="s">
        <v>3168</v>
      </c>
      <c r="U253" s="13" t="s">
        <v>3232</v>
      </c>
      <c r="V253" s="13" t="s">
        <v>3232</v>
      </c>
      <c r="W253" s="13" t="s">
        <v>3167</v>
      </c>
      <c r="X253" s="13" t="s">
        <v>3192</v>
      </c>
      <c r="Y253" s="13" t="s">
        <v>3180</v>
      </c>
      <c r="Z253" s="13">
        <v>0.01</v>
      </c>
      <c r="AA253" s="13" t="b">
        <v>0</v>
      </c>
      <c r="AB253" s="48"/>
      <c r="AC253" s="49"/>
    </row>
    <row r="254" ht="14.25" customHeight="1">
      <c r="A254" s="13">
        <v>25335.0</v>
      </c>
      <c r="B254" s="13" t="str">
        <f t="shared" si="3"/>
        <v>Observational</v>
      </c>
      <c r="C254" s="13" t="s">
        <v>4856</v>
      </c>
      <c r="D254" s="1" t="s">
        <v>5088</v>
      </c>
      <c r="E254" s="13" t="s">
        <v>5067</v>
      </c>
      <c r="F254" s="13" t="s">
        <v>3183</v>
      </c>
      <c r="G254" s="13" t="s">
        <v>3270</v>
      </c>
      <c r="H254" s="13" t="s">
        <v>3166</v>
      </c>
      <c r="I254" s="13" t="s">
        <v>3167</v>
      </c>
      <c r="J254" s="13" t="s">
        <v>3167</v>
      </c>
      <c r="K254" s="13" t="s">
        <v>3153</v>
      </c>
      <c r="L254" s="13" t="s">
        <v>3169</v>
      </c>
      <c r="M254" s="13" t="s">
        <v>3268</v>
      </c>
      <c r="N254" s="13" t="s">
        <v>3162</v>
      </c>
      <c r="O254" s="13" t="s">
        <v>3269</v>
      </c>
      <c r="P254" s="13">
        <v>2.0</v>
      </c>
      <c r="Q254" s="13" t="s">
        <v>3177</v>
      </c>
      <c r="R254" s="13" t="s">
        <v>3177</v>
      </c>
      <c r="S254" s="13" t="s">
        <v>3271</v>
      </c>
      <c r="T254" s="13" t="s">
        <v>3224</v>
      </c>
      <c r="U254" s="13" t="s">
        <v>3232</v>
      </c>
      <c r="V254" s="13" t="s">
        <v>3232</v>
      </c>
      <c r="W254" s="13" t="s">
        <v>3167</v>
      </c>
      <c r="X254" s="13" t="s">
        <v>3217</v>
      </c>
      <c r="Y254" s="13" t="s">
        <v>3180</v>
      </c>
      <c r="Z254" s="13">
        <v>1.0</v>
      </c>
      <c r="AA254" s="13" t="b">
        <v>1</v>
      </c>
      <c r="AB254" s="48"/>
      <c r="AC254" s="49"/>
    </row>
    <row r="255" ht="14.25" customHeight="1">
      <c r="A255" s="13">
        <v>23361.0</v>
      </c>
      <c r="B255" s="13" t="str">
        <f t="shared" si="3"/>
        <v>Observational</v>
      </c>
      <c r="C255" s="13" t="s">
        <v>4856</v>
      </c>
      <c r="D255" s="13" t="s">
        <v>5089</v>
      </c>
      <c r="E255" s="13" t="s">
        <v>5090</v>
      </c>
      <c r="F255" s="13" t="s">
        <v>3282</v>
      </c>
      <c r="G255" s="13" t="s">
        <v>3183</v>
      </c>
      <c r="H255" s="13" t="s">
        <v>3242</v>
      </c>
      <c r="I255" s="13" t="s">
        <v>3222</v>
      </c>
      <c r="J255" s="13" t="s">
        <v>3182</v>
      </c>
      <c r="K255" s="13" t="s">
        <v>3153</v>
      </c>
      <c r="L255" s="13" t="s">
        <v>3169</v>
      </c>
      <c r="M255" s="13" t="s">
        <v>3406</v>
      </c>
      <c r="N255" s="13" t="s">
        <v>3162</v>
      </c>
      <c r="O255" s="13" t="s">
        <v>3407</v>
      </c>
      <c r="P255" s="13">
        <v>4.0</v>
      </c>
      <c r="Q255" s="13" t="s">
        <v>3160</v>
      </c>
      <c r="R255" s="13" t="s">
        <v>3231</v>
      </c>
      <c r="S255" s="13" t="s">
        <v>3408</v>
      </c>
      <c r="T255" s="13" t="s">
        <v>3167</v>
      </c>
      <c r="U255" s="13" t="s">
        <v>3215</v>
      </c>
      <c r="V255" s="13" t="s">
        <v>3215</v>
      </c>
      <c r="W255" s="13" t="s">
        <v>3377</v>
      </c>
      <c r="X255" s="13" t="s">
        <v>3192</v>
      </c>
      <c r="Y255" s="13" t="s">
        <v>3202</v>
      </c>
      <c r="Z255" s="13">
        <v>30.0</v>
      </c>
      <c r="AA255" s="13" t="b">
        <v>1</v>
      </c>
      <c r="AB255" s="48"/>
      <c r="AC255" s="49"/>
    </row>
    <row r="256" ht="14.25" customHeight="1">
      <c r="A256" s="13">
        <v>23633.0</v>
      </c>
      <c r="B256" s="13" t="str">
        <f t="shared" si="3"/>
        <v>Observational</v>
      </c>
      <c r="C256" s="13" t="s">
        <v>4864</v>
      </c>
      <c r="D256" s="1" t="s">
        <v>5091</v>
      </c>
      <c r="E256" s="13" t="s">
        <v>5092</v>
      </c>
      <c r="F256" s="13" t="s">
        <v>3545</v>
      </c>
      <c r="G256" s="13" t="s">
        <v>3208</v>
      </c>
      <c r="H256" s="13" t="s">
        <v>3166</v>
      </c>
      <c r="I256" s="13" t="s">
        <v>3261</v>
      </c>
      <c r="J256" s="13" t="s">
        <v>3262</v>
      </c>
      <c r="K256" s="13" t="s">
        <v>3153</v>
      </c>
      <c r="L256" s="13" t="s">
        <v>3179</v>
      </c>
      <c r="M256" s="13" t="s">
        <v>3546</v>
      </c>
      <c r="N256" s="13" t="s">
        <v>3162</v>
      </c>
      <c r="O256" s="13" t="s">
        <v>3547</v>
      </c>
      <c r="P256" s="13">
        <v>4.0</v>
      </c>
      <c r="Q256" s="13" t="s">
        <v>3177</v>
      </c>
      <c r="R256" s="13" t="s">
        <v>3231</v>
      </c>
      <c r="S256" s="13" t="s">
        <v>33</v>
      </c>
      <c r="T256" s="13" t="s">
        <v>3216</v>
      </c>
      <c r="U256" s="13" t="s">
        <v>3164</v>
      </c>
      <c r="V256" s="13" t="s">
        <v>3228</v>
      </c>
      <c r="W256" s="13" t="s">
        <v>3167</v>
      </c>
      <c r="X256" s="13" t="s">
        <v>3192</v>
      </c>
      <c r="Y256" s="13" t="s">
        <v>3187</v>
      </c>
      <c r="Z256" s="13">
        <v>1.0</v>
      </c>
      <c r="AA256" s="13" t="b">
        <v>0</v>
      </c>
      <c r="AB256" s="48"/>
      <c r="AC256" s="49"/>
    </row>
    <row r="257" ht="14.25" customHeight="1">
      <c r="A257" s="13">
        <v>25470.0</v>
      </c>
      <c r="B257" s="13" t="str">
        <f t="shared" si="3"/>
        <v>Observational</v>
      </c>
      <c r="C257" s="13" t="s">
        <v>4864</v>
      </c>
      <c r="D257" s="1" t="s">
        <v>5093</v>
      </c>
      <c r="E257" s="13" t="s">
        <v>5094</v>
      </c>
      <c r="F257" s="13" t="s">
        <v>3183</v>
      </c>
      <c r="G257" s="13" t="s">
        <v>3183</v>
      </c>
      <c r="H257" s="13" t="s">
        <v>3166</v>
      </c>
      <c r="I257" s="13" t="s">
        <v>3181</v>
      </c>
      <c r="J257" s="13" t="s">
        <v>3182</v>
      </c>
      <c r="K257" s="13" t="s">
        <v>3153</v>
      </c>
      <c r="L257" s="13" t="s">
        <v>3179</v>
      </c>
      <c r="M257" s="13" t="s">
        <v>4247</v>
      </c>
      <c r="N257" s="13" t="s">
        <v>3162</v>
      </c>
      <c r="O257" s="13" t="s">
        <v>4248</v>
      </c>
      <c r="P257" s="13">
        <v>2.0</v>
      </c>
      <c r="Q257" s="13" t="s">
        <v>3177</v>
      </c>
      <c r="R257" s="13" t="s">
        <v>3163</v>
      </c>
      <c r="S257" s="13" t="s">
        <v>3774</v>
      </c>
      <c r="T257" s="13" t="s">
        <v>3178</v>
      </c>
      <c r="U257" s="13" t="s">
        <v>3165</v>
      </c>
      <c r="V257" s="13" t="s">
        <v>3165</v>
      </c>
      <c r="W257" s="13" t="s">
        <v>3167</v>
      </c>
      <c r="X257" s="13" t="s">
        <v>3192</v>
      </c>
      <c r="Y257" s="13" t="s">
        <v>3187</v>
      </c>
      <c r="Z257" s="13">
        <v>25.0</v>
      </c>
      <c r="AA257" s="13" t="b">
        <v>0</v>
      </c>
      <c r="AB257" s="48"/>
      <c r="AC257" s="49"/>
    </row>
    <row r="258" ht="14.25" customHeight="1">
      <c r="A258" s="13">
        <v>23383.0</v>
      </c>
      <c r="B258" s="13" t="str">
        <f t="shared" si="3"/>
        <v>Observational</v>
      </c>
      <c r="C258" s="13" t="s">
        <v>4864</v>
      </c>
      <c r="D258" s="13" t="s">
        <v>5082</v>
      </c>
      <c r="E258" s="13" t="s">
        <v>5085</v>
      </c>
      <c r="F258" s="13" t="s">
        <v>3173</v>
      </c>
      <c r="G258" s="13" t="s">
        <v>3183</v>
      </c>
      <c r="H258" s="13" t="s">
        <v>3242</v>
      </c>
      <c r="I258" s="13" t="s">
        <v>3392</v>
      </c>
      <c r="J258" s="13" t="s">
        <v>3427</v>
      </c>
      <c r="K258" s="13" t="s">
        <v>3153</v>
      </c>
      <c r="L258" s="13" t="s">
        <v>3179</v>
      </c>
      <c r="M258" s="13" t="s">
        <v>3428</v>
      </c>
      <c r="N258" s="13" t="s">
        <v>3162</v>
      </c>
      <c r="O258" s="13" t="s">
        <v>3429</v>
      </c>
      <c r="P258" s="13">
        <v>2.0</v>
      </c>
      <c r="Q258" s="13" t="s">
        <v>3177</v>
      </c>
      <c r="R258" s="13" t="s">
        <v>3163</v>
      </c>
      <c r="S258" s="13" t="s">
        <v>3430</v>
      </c>
      <c r="T258" s="13" t="s">
        <v>3167</v>
      </c>
      <c r="U258" s="13" t="s">
        <v>3165</v>
      </c>
      <c r="V258" s="13" t="s">
        <v>3165</v>
      </c>
      <c r="W258" s="13" t="s">
        <v>3254</v>
      </c>
      <c r="X258" s="13" t="s">
        <v>3155</v>
      </c>
      <c r="Y258" s="13" t="s">
        <v>3156</v>
      </c>
      <c r="Z258" s="13" t="s">
        <v>33</v>
      </c>
      <c r="AA258" s="13" t="b">
        <v>1</v>
      </c>
      <c r="AB258" s="48"/>
      <c r="AC258" s="49"/>
    </row>
    <row r="259" ht="14.25" customHeight="1">
      <c r="A259" s="13">
        <v>23508.0</v>
      </c>
      <c r="B259" s="13" t="str">
        <f t="shared" si="3"/>
        <v>Observational</v>
      </c>
      <c r="C259" s="13" t="s">
        <v>4856</v>
      </c>
      <c r="D259" s="1" t="s">
        <v>5043</v>
      </c>
      <c r="E259" s="2" t="s">
        <v>5095</v>
      </c>
      <c r="F259" s="13" t="s">
        <v>3183</v>
      </c>
      <c r="G259" s="13" t="s">
        <v>3186</v>
      </c>
      <c r="H259" s="13" t="s">
        <v>3166</v>
      </c>
      <c r="I259" s="13" t="s">
        <v>3167</v>
      </c>
      <c r="J259" s="13" t="s">
        <v>3167</v>
      </c>
      <c r="K259" s="13" t="s">
        <v>3153</v>
      </c>
      <c r="L259" s="13" t="s">
        <v>3169</v>
      </c>
      <c r="M259" s="13" t="s">
        <v>3477</v>
      </c>
      <c r="N259" s="13" t="s">
        <v>3162</v>
      </c>
      <c r="O259" s="13" t="s">
        <v>3478</v>
      </c>
      <c r="P259" s="13">
        <v>1.0</v>
      </c>
      <c r="Q259" s="13" t="s">
        <v>3177</v>
      </c>
      <c r="R259" s="13" t="s">
        <v>3177</v>
      </c>
      <c r="S259" s="13" t="s">
        <v>3397</v>
      </c>
      <c r="T259" s="13" t="s">
        <v>3476</v>
      </c>
      <c r="U259" s="13" t="s">
        <v>3197</v>
      </c>
      <c r="V259" s="13" t="s">
        <v>3197</v>
      </c>
      <c r="W259" s="13" t="s">
        <v>3167</v>
      </c>
      <c r="X259" s="13" t="s">
        <v>3217</v>
      </c>
      <c r="Y259" s="13" t="s">
        <v>3156</v>
      </c>
      <c r="Z259" s="13" t="s">
        <v>33</v>
      </c>
      <c r="AA259" s="13" t="b">
        <v>0</v>
      </c>
      <c r="AB259" s="48"/>
      <c r="AC259" s="49"/>
    </row>
    <row r="260" ht="14.25" customHeight="1">
      <c r="A260" s="13">
        <v>23759.0</v>
      </c>
      <c r="B260" s="13" t="str">
        <f t="shared" si="3"/>
        <v>Observational</v>
      </c>
      <c r="C260" s="13" t="s">
        <v>4856</v>
      </c>
      <c r="D260" s="1" t="s">
        <v>5043</v>
      </c>
      <c r="E260" s="2" t="s">
        <v>5095</v>
      </c>
      <c r="F260" s="13" t="s">
        <v>3381</v>
      </c>
      <c r="G260" s="13" t="s">
        <v>3420</v>
      </c>
      <c r="H260" s="13" t="s">
        <v>3242</v>
      </c>
      <c r="I260" s="13" t="s">
        <v>3188</v>
      </c>
      <c r="J260" s="13" t="s">
        <v>3432</v>
      </c>
      <c r="K260" s="13" t="s">
        <v>3153</v>
      </c>
      <c r="L260" s="13" t="s">
        <v>3169</v>
      </c>
      <c r="M260" s="13" t="s">
        <v>3477</v>
      </c>
      <c r="N260" s="13" t="s">
        <v>3162</v>
      </c>
      <c r="O260" s="13" t="s">
        <v>3608</v>
      </c>
      <c r="P260" s="13">
        <v>1.0</v>
      </c>
      <c r="Q260" s="13" t="s">
        <v>3177</v>
      </c>
      <c r="R260" s="13" t="s">
        <v>3177</v>
      </c>
      <c r="S260" s="13" t="s">
        <v>33</v>
      </c>
      <c r="T260" s="13" t="s">
        <v>3167</v>
      </c>
      <c r="U260" s="13" t="s">
        <v>3164</v>
      </c>
      <c r="V260" s="13" t="s">
        <v>3215</v>
      </c>
      <c r="W260" s="13" t="s">
        <v>3377</v>
      </c>
      <c r="X260" s="13" t="s">
        <v>3155</v>
      </c>
      <c r="Y260" s="13" t="s">
        <v>3156</v>
      </c>
      <c r="Z260" s="13" t="s">
        <v>33</v>
      </c>
      <c r="AA260" s="13" t="b">
        <v>0</v>
      </c>
      <c r="AB260" s="48"/>
      <c r="AC260" s="49"/>
    </row>
    <row r="261" ht="14.25" customHeight="1">
      <c r="A261" s="13">
        <v>23955.0</v>
      </c>
      <c r="B261" s="13" t="str">
        <f t="shared" si="3"/>
        <v>Observational</v>
      </c>
      <c r="C261" s="13" t="s">
        <v>4852</v>
      </c>
      <c r="D261" s="1" t="s">
        <v>5043</v>
      </c>
      <c r="E261" s="2" t="s">
        <v>5095</v>
      </c>
      <c r="F261" s="13" t="s">
        <v>3159</v>
      </c>
      <c r="G261" s="13" t="s">
        <v>3210</v>
      </c>
      <c r="H261" s="13" t="s">
        <v>3195</v>
      </c>
      <c r="I261" s="13" t="s">
        <v>3171</v>
      </c>
      <c r="J261" s="13" t="s">
        <v>3698</v>
      </c>
      <c r="K261" s="13" t="s">
        <v>3153</v>
      </c>
      <c r="L261" s="13" t="s">
        <v>3154</v>
      </c>
      <c r="M261" s="13" t="s">
        <v>3477</v>
      </c>
      <c r="N261" s="13" t="s">
        <v>3162</v>
      </c>
      <c r="O261" s="13" t="s">
        <v>3167</v>
      </c>
      <c r="P261" s="13">
        <v>1.0</v>
      </c>
      <c r="Q261" s="13" t="s">
        <v>3160</v>
      </c>
      <c r="R261" s="13" t="s">
        <v>3231</v>
      </c>
      <c r="S261" s="13" t="s">
        <v>33</v>
      </c>
      <c r="T261" s="13" t="s">
        <v>3167</v>
      </c>
      <c r="U261" s="13" t="s">
        <v>3195</v>
      </c>
      <c r="V261" s="13" t="s">
        <v>3195</v>
      </c>
      <c r="W261" s="13" t="s">
        <v>3167</v>
      </c>
      <c r="X261" s="13" t="s">
        <v>3170</v>
      </c>
      <c r="Y261" s="13" t="s">
        <v>3156</v>
      </c>
      <c r="Z261" s="13" t="s">
        <v>3167</v>
      </c>
      <c r="AA261" s="13" t="b">
        <v>0</v>
      </c>
      <c r="AB261" s="48"/>
      <c r="AC261" s="49"/>
    </row>
    <row r="262" ht="14.25" customHeight="1">
      <c r="A262" s="13">
        <v>24863.0</v>
      </c>
      <c r="B262" s="13" t="str">
        <f t="shared" si="3"/>
        <v>Observational</v>
      </c>
      <c r="C262" s="13" t="s">
        <v>4886</v>
      </c>
      <c r="D262" s="1" t="s">
        <v>5043</v>
      </c>
      <c r="E262" s="2" t="s">
        <v>5095</v>
      </c>
      <c r="F262" s="13" t="s">
        <v>3183</v>
      </c>
      <c r="G262" s="13" t="s">
        <v>3183</v>
      </c>
      <c r="H262" s="13" t="s">
        <v>3166</v>
      </c>
      <c r="I262" s="13" t="s">
        <v>3167</v>
      </c>
      <c r="J262" s="13" t="s">
        <v>3167</v>
      </c>
      <c r="K262" s="13" t="s">
        <v>3153</v>
      </c>
      <c r="L262" s="13" t="s">
        <v>3465</v>
      </c>
      <c r="M262" s="13" t="s">
        <v>3477</v>
      </c>
      <c r="N262" s="13" t="s">
        <v>3162</v>
      </c>
      <c r="O262" s="13" t="s">
        <v>4059</v>
      </c>
      <c r="P262" s="13">
        <v>1.0</v>
      </c>
      <c r="Q262" s="13" t="s">
        <v>3160</v>
      </c>
      <c r="R262" s="13" t="s">
        <v>3163</v>
      </c>
      <c r="S262" s="13" t="s">
        <v>3397</v>
      </c>
      <c r="T262" s="13" t="s">
        <v>3324</v>
      </c>
      <c r="U262" s="13" t="s">
        <v>3232</v>
      </c>
      <c r="V262" s="13" t="s">
        <v>3232</v>
      </c>
      <c r="W262" s="13" t="s">
        <v>3167</v>
      </c>
      <c r="X262" s="13" t="s">
        <v>3217</v>
      </c>
      <c r="Y262" s="13" t="s">
        <v>3520</v>
      </c>
      <c r="Z262" s="13">
        <v>5.0</v>
      </c>
      <c r="AA262" s="13" t="b">
        <v>0</v>
      </c>
      <c r="AB262" s="47"/>
      <c r="AC262" s="49"/>
    </row>
    <row r="263" ht="14.25" customHeight="1">
      <c r="A263" s="13">
        <v>24902.0</v>
      </c>
      <c r="B263" s="13" t="str">
        <f t="shared" si="3"/>
        <v>Observational</v>
      </c>
      <c r="C263" s="13" t="s">
        <v>4886</v>
      </c>
      <c r="D263" s="1" t="s">
        <v>5043</v>
      </c>
      <c r="E263" s="2" t="s">
        <v>5095</v>
      </c>
      <c r="F263" s="13" t="s">
        <v>3208</v>
      </c>
      <c r="G263" s="13" t="s">
        <v>3273</v>
      </c>
      <c r="H263" s="13" t="s">
        <v>3242</v>
      </c>
      <c r="I263" s="13" t="s">
        <v>3188</v>
      </c>
      <c r="J263" s="13" t="s">
        <v>4083</v>
      </c>
      <c r="K263" s="13" t="s">
        <v>3153</v>
      </c>
      <c r="L263" s="13" t="s">
        <v>3465</v>
      </c>
      <c r="M263" s="13" t="s">
        <v>3477</v>
      </c>
      <c r="N263" s="13" t="s">
        <v>3162</v>
      </c>
      <c r="O263" s="13" t="s">
        <v>33</v>
      </c>
      <c r="P263" s="13">
        <v>1.0</v>
      </c>
      <c r="Q263" s="13" t="s">
        <v>3160</v>
      </c>
      <c r="R263" s="13" t="s">
        <v>3163</v>
      </c>
      <c r="S263" s="13" t="s">
        <v>3329</v>
      </c>
      <c r="T263" s="13" t="s">
        <v>3167</v>
      </c>
      <c r="U263" s="13" t="s">
        <v>3247</v>
      </c>
      <c r="V263" s="13" t="s">
        <v>3247</v>
      </c>
      <c r="W263" s="13" t="s">
        <v>3496</v>
      </c>
      <c r="X263" s="13" t="s">
        <v>3217</v>
      </c>
      <c r="Y263" s="13" t="s">
        <v>3202</v>
      </c>
      <c r="Z263" s="13">
        <v>500.0</v>
      </c>
      <c r="AA263" s="13" t="b">
        <v>0</v>
      </c>
      <c r="AB263" s="48"/>
      <c r="AC263" s="49"/>
    </row>
    <row r="264" ht="14.25" customHeight="1">
      <c r="A264" s="13">
        <v>25037.0</v>
      </c>
      <c r="B264" s="13" t="str">
        <f t="shared" si="3"/>
        <v>Observational</v>
      </c>
      <c r="C264" s="13" t="s">
        <v>4856</v>
      </c>
      <c r="D264" s="1" t="s">
        <v>5043</v>
      </c>
      <c r="E264" s="2" t="s">
        <v>5095</v>
      </c>
      <c r="F264" s="13" t="s">
        <v>3183</v>
      </c>
      <c r="G264" s="13" t="s">
        <v>3379</v>
      </c>
      <c r="H264" s="13" t="s">
        <v>3253</v>
      </c>
      <c r="I264" s="13" t="s">
        <v>3188</v>
      </c>
      <c r="J264" s="13" t="s">
        <v>3194</v>
      </c>
      <c r="K264" s="13" t="s">
        <v>3153</v>
      </c>
      <c r="L264" s="13" t="s">
        <v>3169</v>
      </c>
      <c r="M264" s="13" t="s">
        <v>3477</v>
      </c>
      <c r="N264" s="13" t="s">
        <v>3162</v>
      </c>
      <c r="O264" s="13" t="s">
        <v>4111</v>
      </c>
      <c r="P264" s="13">
        <v>1.0</v>
      </c>
      <c r="Q264" s="13" t="s">
        <v>3160</v>
      </c>
      <c r="R264" s="13" t="s">
        <v>3163</v>
      </c>
      <c r="S264" s="13" t="s">
        <v>4112</v>
      </c>
      <c r="T264" s="13" t="s">
        <v>4113</v>
      </c>
      <c r="U264" s="13" t="s">
        <v>3252</v>
      </c>
      <c r="V264" s="13" t="s">
        <v>3252</v>
      </c>
      <c r="W264" s="13" t="s">
        <v>3294</v>
      </c>
      <c r="X264" s="13" t="s">
        <v>3155</v>
      </c>
      <c r="Y264" s="13" t="s">
        <v>3156</v>
      </c>
      <c r="Z264" s="13" t="s">
        <v>33</v>
      </c>
      <c r="AA264" s="13" t="b">
        <v>0</v>
      </c>
      <c r="AB264" s="48"/>
      <c r="AC264" s="49"/>
    </row>
    <row r="265" ht="14.25" customHeight="1">
      <c r="A265" s="13">
        <v>25076.0</v>
      </c>
      <c r="B265" s="13" t="str">
        <f t="shared" si="3"/>
        <v>Observational</v>
      </c>
      <c r="C265" s="13" t="s">
        <v>4856</v>
      </c>
      <c r="D265" s="1" t="s">
        <v>5043</v>
      </c>
      <c r="E265" s="2" t="s">
        <v>5095</v>
      </c>
      <c r="F265" s="13" t="s">
        <v>3287</v>
      </c>
      <c r="G265" s="13" t="s">
        <v>3335</v>
      </c>
      <c r="H265" s="13" t="s">
        <v>3195</v>
      </c>
      <c r="I265" s="13" t="s">
        <v>3188</v>
      </c>
      <c r="J265" s="13" t="s">
        <v>3207</v>
      </c>
      <c r="K265" s="13" t="s">
        <v>3153</v>
      </c>
      <c r="L265" s="13" t="s">
        <v>3169</v>
      </c>
      <c r="M265" s="13" t="s">
        <v>3477</v>
      </c>
      <c r="N265" s="13" t="s">
        <v>3162</v>
      </c>
      <c r="O265" s="13" t="s">
        <v>33</v>
      </c>
      <c r="P265" s="13">
        <v>1.0</v>
      </c>
      <c r="Q265" s="13" t="s">
        <v>3160</v>
      </c>
      <c r="R265" s="13" t="s">
        <v>3163</v>
      </c>
      <c r="S265" s="13" t="s">
        <v>3323</v>
      </c>
      <c r="T265" s="13" t="s">
        <v>3167</v>
      </c>
      <c r="U265" s="13" t="s">
        <v>3195</v>
      </c>
      <c r="V265" s="13" t="s">
        <v>3195</v>
      </c>
      <c r="W265" s="13" t="s">
        <v>3167</v>
      </c>
      <c r="X265" s="13" t="s">
        <v>3192</v>
      </c>
      <c r="Y265" s="13" t="s">
        <v>3202</v>
      </c>
      <c r="Z265" s="13">
        <v>23.5</v>
      </c>
      <c r="AA265" s="13" t="b">
        <v>0</v>
      </c>
      <c r="AB265" s="48"/>
      <c r="AC265" s="49"/>
    </row>
    <row r="266" ht="14.25" customHeight="1">
      <c r="A266" s="13">
        <v>25268.0</v>
      </c>
      <c r="B266" s="13" t="str">
        <f t="shared" si="3"/>
        <v>Observational</v>
      </c>
      <c r="C266" s="13" t="s">
        <v>4886</v>
      </c>
      <c r="D266" s="1" t="s">
        <v>5043</v>
      </c>
      <c r="E266" s="2" t="s">
        <v>5095</v>
      </c>
      <c r="F266" s="13" t="s">
        <v>3183</v>
      </c>
      <c r="G266" s="13" t="s">
        <v>3173</v>
      </c>
      <c r="H266" s="13" t="s">
        <v>3166</v>
      </c>
      <c r="I266" s="13" t="s">
        <v>3222</v>
      </c>
      <c r="J266" s="13" t="s">
        <v>3182</v>
      </c>
      <c r="K266" s="13" t="s">
        <v>3153</v>
      </c>
      <c r="L266" s="13" t="s">
        <v>3465</v>
      </c>
      <c r="M266" s="13" t="s">
        <v>3477</v>
      </c>
      <c r="N266" s="13" t="s">
        <v>3162</v>
      </c>
      <c r="O266" s="13" t="s">
        <v>3724</v>
      </c>
      <c r="P266" s="13">
        <v>1.0</v>
      </c>
      <c r="Q266" s="13" t="s">
        <v>3160</v>
      </c>
      <c r="R266" s="13" t="s">
        <v>3231</v>
      </c>
      <c r="S266" s="13" t="s">
        <v>33</v>
      </c>
      <c r="T266" s="13" t="s">
        <v>3632</v>
      </c>
      <c r="U266" s="13" t="s">
        <v>3247</v>
      </c>
      <c r="V266" s="13" t="s">
        <v>3247</v>
      </c>
      <c r="W266" s="13" t="s">
        <v>3167</v>
      </c>
      <c r="X266" s="13" t="s">
        <v>3192</v>
      </c>
      <c r="Y266" s="13" t="s">
        <v>3156</v>
      </c>
      <c r="Z266" s="13" t="s">
        <v>3167</v>
      </c>
      <c r="AA266" s="13" t="b">
        <v>0</v>
      </c>
      <c r="AB266" s="48"/>
      <c r="AC266" s="49"/>
    </row>
    <row r="267" ht="14.25" customHeight="1">
      <c r="A267" s="13">
        <v>25751.0</v>
      </c>
      <c r="B267" s="13" t="str">
        <f t="shared" si="3"/>
        <v>Observational</v>
      </c>
      <c r="C267" s="13" t="s">
        <v>4856</v>
      </c>
      <c r="D267" s="1" t="s">
        <v>5043</v>
      </c>
      <c r="E267" s="2" t="s">
        <v>5095</v>
      </c>
      <c r="F267" s="13" t="s">
        <v>3208</v>
      </c>
      <c r="G267" s="13" t="s">
        <v>3437</v>
      </c>
      <c r="H267" s="13" t="s">
        <v>3166</v>
      </c>
      <c r="I267" s="13" t="s">
        <v>3188</v>
      </c>
      <c r="J267" s="13" t="s">
        <v>3483</v>
      </c>
      <c r="K267" s="13" t="s">
        <v>3153</v>
      </c>
      <c r="L267" s="13" t="s">
        <v>3169</v>
      </c>
      <c r="M267" s="13" t="s">
        <v>3477</v>
      </c>
      <c r="N267" s="13" t="s">
        <v>3162</v>
      </c>
      <c r="O267" s="13" t="s">
        <v>33</v>
      </c>
      <c r="P267" s="13">
        <v>1.0</v>
      </c>
      <c r="Q267" s="13" t="s">
        <v>3160</v>
      </c>
      <c r="R267" s="13" t="s">
        <v>3163</v>
      </c>
      <c r="S267" s="13" t="s">
        <v>33</v>
      </c>
      <c r="T267" s="13" t="s">
        <v>3178</v>
      </c>
      <c r="U267" s="13" t="s">
        <v>3164</v>
      </c>
      <c r="V267" s="13" t="s">
        <v>3232</v>
      </c>
      <c r="W267" s="13" t="s">
        <v>3167</v>
      </c>
      <c r="X267" s="13" t="s">
        <v>3170</v>
      </c>
      <c r="Y267" s="13" t="s">
        <v>3187</v>
      </c>
      <c r="Z267" s="13">
        <v>5.0</v>
      </c>
      <c r="AA267" s="13" t="b">
        <v>0</v>
      </c>
      <c r="AB267" s="48"/>
      <c r="AC267" s="49"/>
    </row>
    <row r="268" ht="14.25" customHeight="1">
      <c r="A268" s="13">
        <v>25784.0</v>
      </c>
      <c r="B268" s="13" t="str">
        <f t="shared" si="3"/>
        <v>Observational</v>
      </c>
      <c r="C268" s="13" t="s">
        <v>4856</v>
      </c>
      <c r="D268" s="1" t="s">
        <v>5043</v>
      </c>
      <c r="E268" s="2" t="s">
        <v>5095</v>
      </c>
      <c r="F268" s="13" t="s">
        <v>3208</v>
      </c>
      <c r="G268" s="13" t="s">
        <v>3273</v>
      </c>
      <c r="H268" s="13" t="s">
        <v>3195</v>
      </c>
      <c r="I268" s="13" t="s">
        <v>3171</v>
      </c>
      <c r="J268" s="13" t="s">
        <v>4326</v>
      </c>
      <c r="K268" s="13" t="s">
        <v>3153</v>
      </c>
      <c r="L268" s="13" t="s">
        <v>3169</v>
      </c>
      <c r="M268" s="13" t="s">
        <v>3477</v>
      </c>
      <c r="N268" s="13" t="s">
        <v>3162</v>
      </c>
      <c r="O268" s="13" t="s">
        <v>3167</v>
      </c>
      <c r="P268" s="13">
        <v>1.0</v>
      </c>
      <c r="Q268" s="13" t="s">
        <v>3160</v>
      </c>
      <c r="R268" s="13" t="s">
        <v>3231</v>
      </c>
      <c r="S268" s="13" t="s">
        <v>3449</v>
      </c>
      <c r="T268" s="13" t="s">
        <v>3167</v>
      </c>
      <c r="U268" s="13" t="s">
        <v>3195</v>
      </c>
      <c r="V268" s="13" t="s">
        <v>3195</v>
      </c>
      <c r="W268" s="13" t="s">
        <v>3167</v>
      </c>
      <c r="X268" s="13" t="s">
        <v>3211</v>
      </c>
      <c r="Y268" s="13" t="s">
        <v>3156</v>
      </c>
      <c r="Z268" s="13" t="s">
        <v>3167</v>
      </c>
      <c r="AA268" s="13" t="b">
        <v>0</v>
      </c>
      <c r="AB268" s="48"/>
      <c r="AC268" s="49"/>
    </row>
    <row r="269" ht="14.25" customHeight="1">
      <c r="A269" s="13">
        <v>25911.0</v>
      </c>
      <c r="B269" s="13" t="str">
        <f t="shared" si="3"/>
        <v>Observational</v>
      </c>
      <c r="C269" s="13" t="s">
        <v>4856</v>
      </c>
      <c r="D269" s="1" t="s">
        <v>5043</v>
      </c>
      <c r="E269" s="2" t="s">
        <v>5095</v>
      </c>
      <c r="F269" s="13" t="s">
        <v>3333</v>
      </c>
      <c r="G269" s="13" t="s">
        <v>3183</v>
      </c>
      <c r="H269" s="13" t="s">
        <v>3253</v>
      </c>
      <c r="I269" s="13" t="s">
        <v>3167</v>
      </c>
      <c r="J269" s="13" t="s">
        <v>3167</v>
      </c>
      <c r="K269" s="13" t="s">
        <v>3153</v>
      </c>
      <c r="L269" s="13" t="s">
        <v>3169</v>
      </c>
      <c r="M269" s="13" t="s">
        <v>3477</v>
      </c>
      <c r="N269" s="13" t="s">
        <v>3162</v>
      </c>
      <c r="O269" s="13" t="s">
        <v>33</v>
      </c>
      <c r="P269" s="13">
        <v>1.0</v>
      </c>
      <c r="Q269" s="13" t="s">
        <v>3177</v>
      </c>
      <c r="R269" s="13" t="s">
        <v>3163</v>
      </c>
      <c r="S269" s="13" t="s">
        <v>4388</v>
      </c>
      <c r="T269" s="13" t="s">
        <v>3295</v>
      </c>
      <c r="U269" s="13" t="s">
        <v>3247</v>
      </c>
      <c r="V269" s="13" t="s">
        <v>3252</v>
      </c>
      <c r="W269" s="13" t="s">
        <v>3294</v>
      </c>
      <c r="X269" s="13" t="s">
        <v>3217</v>
      </c>
      <c r="Y269" s="13" t="s">
        <v>3187</v>
      </c>
      <c r="Z269" s="13">
        <v>12100.0</v>
      </c>
      <c r="AA269" s="13" t="b">
        <v>0</v>
      </c>
      <c r="AB269" s="48"/>
      <c r="AC269" s="49"/>
    </row>
    <row r="270" ht="14.25" customHeight="1">
      <c r="A270" s="13">
        <v>25988.0</v>
      </c>
      <c r="B270" s="13" t="str">
        <f t="shared" si="3"/>
        <v>Observational</v>
      </c>
      <c r="C270" s="13" t="s">
        <v>4856</v>
      </c>
      <c r="D270" s="1" t="s">
        <v>5043</v>
      </c>
      <c r="E270" s="2" t="s">
        <v>5095</v>
      </c>
      <c r="F270" s="13" t="s">
        <v>3381</v>
      </c>
      <c r="G270" s="13" t="s">
        <v>3335</v>
      </c>
      <c r="H270" s="13" t="s">
        <v>3195</v>
      </c>
      <c r="I270" s="13" t="s">
        <v>3167</v>
      </c>
      <c r="J270" s="13" t="s">
        <v>3167</v>
      </c>
      <c r="K270" s="13" t="s">
        <v>3153</v>
      </c>
      <c r="L270" s="13" t="s">
        <v>3169</v>
      </c>
      <c r="M270" s="13" t="s">
        <v>3477</v>
      </c>
      <c r="N270" s="13" t="s">
        <v>3162</v>
      </c>
      <c r="O270" s="13" t="s">
        <v>33</v>
      </c>
      <c r="P270" s="13">
        <v>1.0</v>
      </c>
      <c r="Q270" s="13" t="s">
        <v>3177</v>
      </c>
      <c r="R270" s="13" t="s">
        <v>3163</v>
      </c>
      <c r="S270" s="13" t="s">
        <v>3449</v>
      </c>
      <c r="T270" s="13" t="s">
        <v>3167</v>
      </c>
      <c r="U270" s="13" t="s">
        <v>3195</v>
      </c>
      <c r="V270" s="13" t="s">
        <v>3195</v>
      </c>
      <c r="W270" s="13" t="s">
        <v>3167</v>
      </c>
      <c r="X270" s="13" t="s">
        <v>3217</v>
      </c>
      <c r="Y270" s="13" t="s">
        <v>33</v>
      </c>
      <c r="Z270" s="13" t="s">
        <v>33</v>
      </c>
      <c r="AA270" s="13" t="b">
        <v>0</v>
      </c>
      <c r="AB270" s="48"/>
      <c r="AC270" s="49"/>
    </row>
    <row r="271" ht="14.25" customHeight="1">
      <c r="A271" s="13">
        <v>25838.0</v>
      </c>
      <c r="B271" s="13" t="str">
        <f t="shared" si="3"/>
        <v>Observational</v>
      </c>
      <c r="C271" s="13" t="s">
        <v>5083</v>
      </c>
      <c r="D271" s="1" t="s">
        <v>5096</v>
      </c>
      <c r="E271" s="13" t="s">
        <v>4924</v>
      </c>
      <c r="F271" s="13" t="s">
        <v>3208</v>
      </c>
      <c r="G271" s="13" t="s">
        <v>3208</v>
      </c>
      <c r="H271" s="13" t="s">
        <v>3242</v>
      </c>
      <c r="I271" s="13" t="s">
        <v>3171</v>
      </c>
      <c r="J271" s="13" t="s">
        <v>4108</v>
      </c>
      <c r="K271" s="13" t="s">
        <v>3153</v>
      </c>
      <c r="L271" s="13" t="s">
        <v>3517</v>
      </c>
      <c r="M271" s="13" t="s">
        <v>4347</v>
      </c>
      <c r="N271" s="13" t="s">
        <v>3162</v>
      </c>
      <c r="O271" s="13" t="s">
        <v>33</v>
      </c>
      <c r="P271" s="13">
        <v>2.0</v>
      </c>
      <c r="Q271" s="13" t="s">
        <v>3160</v>
      </c>
      <c r="R271" s="13" t="s">
        <v>3163</v>
      </c>
      <c r="S271" s="13" t="s">
        <v>33</v>
      </c>
      <c r="T271" s="13" t="s">
        <v>3167</v>
      </c>
      <c r="U271" s="13" t="s">
        <v>3247</v>
      </c>
      <c r="V271" s="13" t="s">
        <v>3247</v>
      </c>
      <c r="W271" s="13" t="s">
        <v>4348</v>
      </c>
      <c r="X271" s="13" t="s">
        <v>3192</v>
      </c>
      <c r="Y271" s="13" t="s">
        <v>3202</v>
      </c>
      <c r="Z271" s="13">
        <v>30.0</v>
      </c>
      <c r="AA271" s="13" t="b">
        <v>0</v>
      </c>
      <c r="AB271" s="48"/>
      <c r="AC271" s="49"/>
    </row>
    <row r="272" ht="14.25" customHeight="1">
      <c r="A272" s="13">
        <v>25892.0</v>
      </c>
      <c r="B272" s="13" t="str">
        <f t="shared" si="3"/>
        <v>Observational</v>
      </c>
      <c r="C272" s="13" t="s">
        <v>4856</v>
      </c>
      <c r="D272" s="1" t="s">
        <v>5097</v>
      </c>
      <c r="E272" s="13" t="s">
        <v>5098</v>
      </c>
      <c r="F272" s="13" t="s">
        <v>3183</v>
      </c>
      <c r="G272" s="13" t="s">
        <v>3353</v>
      </c>
      <c r="H272" s="13" t="s">
        <v>3166</v>
      </c>
      <c r="I272" s="13" t="s">
        <v>3167</v>
      </c>
      <c r="J272" s="13" t="s">
        <v>3167</v>
      </c>
      <c r="K272" s="13" t="s">
        <v>3153</v>
      </c>
      <c r="L272" s="13" t="s">
        <v>3169</v>
      </c>
      <c r="M272" s="13" t="s">
        <v>4377</v>
      </c>
      <c r="N272" s="13" t="s">
        <v>3267</v>
      </c>
      <c r="O272" s="13" t="s">
        <v>3689</v>
      </c>
      <c r="P272" s="13">
        <v>3.0</v>
      </c>
      <c r="Q272" s="13" t="s">
        <v>3177</v>
      </c>
      <c r="R272" s="13" t="s">
        <v>3163</v>
      </c>
      <c r="S272" s="13" t="s">
        <v>4378</v>
      </c>
      <c r="T272" s="13" t="s">
        <v>3239</v>
      </c>
      <c r="U272" s="13" t="s">
        <v>3197</v>
      </c>
      <c r="V272" s="13" t="s">
        <v>3197</v>
      </c>
      <c r="W272" s="13" t="s">
        <v>3167</v>
      </c>
      <c r="X272" s="13" t="s">
        <v>3217</v>
      </c>
      <c r="Y272" s="13" t="s">
        <v>3180</v>
      </c>
      <c r="Z272" s="13">
        <v>1.0</v>
      </c>
      <c r="AA272" s="13" t="b">
        <v>0</v>
      </c>
      <c r="AB272" s="48"/>
      <c r="AC272" s="49"/>
    </row>
    <row r="273" ht="14.25" customHeight="1">
      <c r="A273" s="13">
        <v>25997.0</v>
      </c>
      <c r="B273" s="13" t="str">
        <f t="shared" si="3"/>
        <v>Observational</v>
      </c>
      <c r="C273" s="13" t="s">
        <v>4856</v>
      </c>
      <c r="D273" s="1" t="s">
        <v>5099</v>
      </c>
      <c r="E273" s="13" t="s">
        <v>5100</v>
      </c>
      <c r="F273" s="13" t="s">
        <v>3208</v>
      </c>
      <c r="G273" s="13" t="s">
        <v>3173</v>
      </c>
      <c r="H273" s="13" t="s">
        <v>3166</v>
      </c>
      <c r="I273" s="13" t="s">
        <v>3171</v>
      </c>
      <c r="J273" s="13" t="s">
        <v>3378</v>
      </c>
      <c r="K273" s="13" t="s">
        <v>3153</v>
      </c>
      <c r="L273" s="13" t="s">
        <v>3169</v>
      </c>
      <c r="M273" s="13" t="s">
        <v>4414</v>
      </c>
      <c r="N273" s="13" t="s">
        <v>3175</v>
      </c>
      <c r="O273" s="13" t="s">
        <v>33</v>
      </c>
      <c r="P273" s="13">
        <v>6.0</v>
      </c>
      <c r="Q273" s="13" t="s">
        <v>3160</v>
      </c>
      <c r="R273" s="13" t="s">
        <v>3163</v>
      </c>
      <c r="S273" s="13" t="s">
        <v>33</v>
      </c>
      <c r="T273" s="13" t="s">
        <v>4415</v>
      </c>
      <c r="U273" s="13" t="s">
        <v>3252</v>
      </c>
      <c r="V273" s="13" t="s">
        <v>3252</v>
      </c>
      <c r="W273" s="13" t="s">
        <v>3634</v>
      </c>
      <c r="X273" s="13" t="s">
        <v>3192</v>
      </c>
      <c r="Y273" s="13" t="s">
        <v>3366</v>
      </c>
      <c r="Z273" s="13">
        <v>15.0</v>
      </c>
      <c r="AA273" s="13" t="b">
        <v>0</v>
      </c>
      <c r="AB273" s="48"/>
      <c r="AC273" s="49"/>
    </row>
    <row r="274" ht="14.25" customHeight="1">
      <c r="A274" s="13">
        <v>24551.0</v>
      </c>
      <c r="B274" s="13" t="str">
        <f t="shared" si="3"/>
        <v>Observational</v>
      </c>
      <c r="C274" s="13" t="s">
        <v>4856</v>
      </c>
      <c r="D274" s="1" t="s">
        <v>5101</v>
      </c>
      <c r="E274" s="13" t="s">
        <v>5102</v>
      </c>
      <c r="F274" s="13" t="s">
        <v>3208</v>
      </c>
      <c r="G274" s="13" t="s">
        <v>3201</v>
      </c>
      <c r="H274" s="13" t="s">
        <v>3166</v>
      </c>
      <c r="I274" s="13" t="s">
        <v>3188</v>
      </c>
      <c r="J274" s="13" t="s">
        <v>3432</v>
      </c>
      <c r="K274" s="13" t="s">
        <v>3153</v>
      </c>
      <c r="L274" s="13" t="s">
        <v>3169</v>
      </c>
      <c r="M274" s="13" t="s">
        <v>3952</v>
      </c>
      <c r="N274" s="13" t="s">
        <v>3162</v>
      </c>
      <c r="O274" s="13" t="s">
        <v>33</v>
      </c>
      <c r="P274" s="13">
        <v>6.0</v>
      </c>
      <c r="Q274" s="13" t="s">
        <v>3160</v>
      </c>
      <c r="R274" s="13" t="s">
        <v>3163</v>
      </c>
      <c r="S274" s="13" t="s">
        <v>33</v>
      </c>
      <c r="T274" s="13" t="s">
        <v>3224</v>
      </c>
      <c r="U274" s="13" t="s">
        <v>3232</v>
      </c>
      <c r="V274" s="13" t="s">
        <v>3232</v>
      </c>
      <c r="W274" s="13" t="s">
        <v>3167</v>
      </c>
      <c r="X274" s="13" t="s">
        <v>3192</v>
      </c>
      <c r="Y274" s="13" t="s">
        <v>33</v>
      </c>
      <c r="Z274" s="13" t="s">
        <v>33</v>
      </c>
      <c r="AA274" s="13" t="b">
        <v>0</v>
      </c>
      <c r="AB274" s="48"/>
      <c r="AC274" s="49"/>
    </row>
    <row r="275" ht="14.25" customHeight="1">
      <c r="A275" s="13">
        <v>24590.0</v>
      </c>
      <c r="B275" s="13" t="str">
        <f t="shared" si="3"/>
        <v>Observational</v>
      </c>
      <c r="C275" s="13" t="s">
        <v>4856</v>
      </c>
      <c r="D275" s="50" t="s">
        <v>5043</v>
      </c>
      <c r="E275" s="2" t="s">
        <v>5103</v>
      </c>
      <c r="F275" s="13" t="s">
        <v>3208</v>
      </c>
      <c r="G275" s="13" t="s">
        <v>3265</v>
      </c>
      <c r="H275" s="13" t="s">
        <v>3242</v>
      </c>
      <c r="I275" s="13" t="s">
        <v>3188</v>
      </c>
      <c r="J275" s="13" t="s">
        <v>3432</v>
      </c>
      <c r="K275" s="13" t="s">
        <v>3153</v>
      </c>
      <c r="L275" s="13" t="s">
        <v>3169</v>
      </c>
      <c r="M275" s="13" t="s">
        <v>3968</v>
      </c>
      <c r="N275" s="13" t="s">
        <v>3267</v>
      </c>
      <c r="O275" s="13" t="s">
        <v>33</v>
      </c>
      <c r="P275" s="13">
        <v>2.0</v>
      </c>
      <c r="Q275" s="13" t="s">
        <v>3160</v>
      </c>
      <c r="R275" s="13" t="s">
        <v>3177</v>
      </c>
      <c r="S275" s="13" t="s">
        <v>33</v>
      </c>
      <c r="T275" s="13" t="s">
        <v>3167</v>
      </c>
      <c r="U275" s="13" t="s">
        <v>3247</v>
      </c>
      <c r="V275" s="13" t="s">
        <v>3247</v>
      </c>
      <c r="W275" s="13" t="s">
        <v>3969</v>
      </c>
      <c r="X275" s="13" t="s">
        <v>3170</v>
      </c>
      <c r="Y275" s="13" t="s">
        <v>33</v>
      </c>
      <c r="Z275" s="13" t="s">
        <v>33</v>
      </c>
      <c r="AA275" s="13" t="b">
        <v>1</v>
      </c>
      <c r="AB275" s="48"/>
      <c r="AC275" s="49"/>
    </row>
    <row r="276" ht="14.25" customHeight="1">
      <c r="A276" s="13">
        <v>26547.0</v>
      </c>
      <c r="B276" s="13" t="str">
        <f t="shared" si="3"/>
        <v>Observational</v>
      </c>
      <c r="C276" s="13" t="s">
        <v>4886</v>
      </c>
      <c r="D276" s="50" t="s">
        <v>5043</v>
      </c>
      <c r="E276" s="2" t="s">
        <v>5103</v>
      </c>
      <c r="F276" s="13" t="s">
        <v>3208</v>
      </c>
      <c r="G276" s="13" t="s">
        <v>3201</v>
      </c>
      <c r="H276" s="13" t="s">
        <v>3166</v>
      </c>
      <c r="I276" s="13" t="s">
        <v>3188</v>
      </c>
      <c r="J276" s="13" t="s">
        <v>3432</v>
      </c>
      <c r="K276" s="13" t="s">
        <v>3153</v>
      </c>
      <c r="L276" s="13" t="s">
        <v>3465</v>
      </c>
      <c r="M276" s="13" t="s">
        <v>3953</v>
      </c>
      <c r="N276" s="13" t="s">
        <v>3162</v>
      </c>
      <c r="O276" s="13" t="s">
        <v>33</v>
      </c>
      <c r="P276" s="13">
        <v>3.0</v>
      </c>
      <c r="Q276" s="13" t="s">
        <v>3160</v>
      </c>
      <c r="R276" s="13" t="s">
        <v>3163</v>
      </c>
      <c r="S276" s="13" t="s">
        <v>33</v>
      </c>
      <c r="T276" s="13" t="s">
        <v>3224</v>
      </c>
      <c r="U276" s="13" t="s">
        <v>3232</v>
      </c>
      <c r="V276" s="13" t="s">
        <v>3232</v>
      </c>
      <c r="W276" s="13" t="s">
        <v>3167</v>
      </c>
      <c r="X276" s="13" t="s">
        <v>3170</v>
      </c>
      <c r="Y276" s="13" t="s">
        <v>3202</v>
      </c>
      <c r="Z276" s="13">
        <v>100.0</v>
      </c>
      <c r="AA276" s="13" t="b">
        <v>1</v>
      </c>
      <c r="AB276" s="48"/>
      <c r="AC276" s="49"/>
    </row>
    <row r="277" ht="14.25" customHeight="1">
      <c r="A277" s="13">
        <v>23105.0</v>
      </c>
      <c r="B277" s="13" t="str">
        <f t="shared" si="3"/>
        <v>Observational</v>
      </c>
      <c r="C277" s="13" t="s">
        <v>4856</v>
      </c>
      <c r="D277" s="1" t="s">
        <v>5044</v>
      </c>
      <c r="E277" s="13" t="s">
        <v>4924</v>
      </c>
      <c r="F277" s="13" t="s">
        <v>3183</v>
      </c>
      <c r="G277" s="13" t="s">
        <v>3186</v>
      </c>
      <c r="H277" s="13" t="s">
        <v>3166</v>
      </c>
      <c r="I277" s="13" t="s">
        <v>3244</v>
      </c>
      <c r="J277" s="13" t="s">
        <v>3278</v>
      </c>
      <c r="K277" s="13" t="s">
        <v>3153</v>
      </c>
      <c r="L277" s="13" t="s">
        <v>3169</v>
      </c>
      <c r="M277" s="13" t="s">
        <v>3279</v>
      </c>
      <c r="N277" s="13" t="s">
        <v>3175</v>
      </c>
      <c r="O277" s="13" t="s">
        <v>3280</v>
      </c>
      <c r="P277" s="13">
        <v>2.0</v>
      </c>
      <c r="Q277" s="13" t="s">
        <v>3160</v>
      </c>
      <c r="R277" s="13" t="s">
        <v>3177</v>
      </c>
      <c r="S277" s="13" t="s">
        <v>33</v>
      </c>
      <c r="T277" s="13" t="s">
        <v>3216</v>
      </c>
      <c r="U277" s="13" t="s">
        <v>3165</v>
      </c>
      <c r="V277" s="13" t="s">
        <v>3165</v>
      </c>
      <c r="W277" s="13" t="s">
        <v>3167</v>
      </c>
      <c r="X277" s="13" t="s">
        <v>3192</v>
      </c>
      <c r="Y277" s="13" t="s">
        <v>33</v>
      </c>
      <c r="Z277" s="13" t="s">
        <v>33</v>
      </c>
      <c r="AA277" s="13" t="b">
        <v>0</v>
      </c>
      <c r="AB277" s="48"/>
      <c r="AC277" s="49"/>
    </row>
    <row r="278" ht="14.25" customHeight="1">
      <c r="A278" s="13">
        <v>25998.0</v>
      </c>
      <c r="B278" s="13" t="str">
        <f t="shared" si="3"/>
        <v>Observational</v>
      </c>
      <c r="C278" s="13" t="s">
        <v>4856</v>
      </c>
      <c r="D278" s="1" t="s">
        <v>5044</v>
      </c>
      <c r="E278" s="13" t="s">
        <v>4924</v>
      </c>
      <c r="F278" s="13" t="s">
        <v>3208</v>
      </c>
      <c r="G278" s="13" t="s">
        <v>3183</v>
      </c>
      <c r="H278" s="13" t="s">
        <v>3166</v>
      </c>
      <c r="I278" s="13" t="s">
        <v>3171</v>
      </c>
      <c r="J278" s="13" t="s">
        <v>3378</v>
      </c>
      <c r="K278" s="13" t="s">
        <v>3153</v>
      </c>
      <c r="L278" s="13" t="s">
        <v>3169</v>
      </c>
      <c r="M278" s="13" t="s">
        <v>3279</v>
      </c>
      <c r="N278" s="13" t="s">
        <v>3162</v>
      </c>
      <c r="O278" s="13" t="s">
        <v>33</v>
      </c>
      <c r="P278" s="13">
        <v>1.0</v>
      </c>
      <c r="Q278" s="13" t="s">
        <v>3177</v>
      </c>
      <c r="R278" s="13" t="s">
        <v>3177</v>
      </c>
      <c r="S278" s="13" t="s">
        <v>3689</v>
      </c>
      <c r="T278" s="13" t="s">
        <v>4415</v>
      </c>
      <c r="U278" s="13" t="s">
        <v>3252</v>
      </c>
      <c r="V278" s="13" t="s">
        <v>3252</v>
      </c>
      <c r="W278" s="13" t="s">
        <v>3634</v>
      </c>
      <c r="X278" s="13" t="s">
        <v>3192</v>
      </c>
      <c r="Y278" s="13" t="s">
        <v>3187</v>
      </c>
      <c r="Z278" s="13">
        <v>700.0</v>
      </c>
      <c r="AA278" s="13" t="b">
        <v>0</v>
      </c>
      <c r="AB278" s="48"/>
      <c r="AC278" s="49"/>
    </row>
    <row r="279" ht="14.25" customHeight="1">
      <c r="A279" s="13">
        <v>26117.0</v>
      </c>
      <c r="B279" s="13" t="str">
        <f t="shared" si="3"/>
        <v>Observational</v>
      </c>
      <c r="C279" s="13" t="s">
        <v>4856</v>
      </c>
      <c r="D279" s="1" t="s">
        <v>5044</v>
      </c>
      <c r="E279" s="13" t="s">
        <v>4924</v>
      </c>
      <c r="F279" s="13" t="s">
        <v>3208</v>
      </c>
      <c r="G279" s="13" t="s">
        <v>3208</v>
      </c>
      <c r="H279" s="13" t="s">
        <v>3242</v>
      </c>
      <c r="I279" s="13" t="s">
        <v>3188</v>
      </c>
      <c r="J279" s="13" t="s">
        <v>3432</v>
      </c>
      <c r="K279" s="13" t="s">
        <v>3153</v>
      </c>
      <c r="L279" s="13" t="s">
        <v>3169</v>
      </c>
      <c r="M279" s="13" t="s">
        <v>3279</v>
      </c>
      <c r="N279" s="13" t="s">
        <v>3162</v>
      </c>
      <c r="O279" s="13" t="s">
        <v>33</v>
      </c>
      <c r="P279" s="13">
        <v>2.0</v>
      </c>
      <c r="Q279" s="13" t="s">
        <v>3160</v>
      </c>
      <c r="R279" s="13" t="s">
        <v>3163</v>
      </c>
      <c r="S279" s="13" t="s">
        <v>33</v>
      </c>
      <c r="T279" s="13" t="s">
        <v>3167</v>
      </c>
      <c r="U279" s="13" t="s">
        <v>3197</v>
      </c>
      <c r="V279" s="13" t="s">
        <v>3197</v>
      </c>
      <c r="W279" s="13" t="s">
        <v>3248</v>
      </c>
      <c r="X279" s="13" t="s">
        <v>3170</v>
      </c>
      <c r="Y279" s="13" t="s">
        <v>3202</v>
      </c>
      <c r="Z279" s="13">
        <v>10.0</v>
      </c>
      <c r="AA279" s="13" t="b">
        <v>0</v>
      </c>
      <c r="AB279" s="48"/>
      <c r="AC279" s="49"/>
    </row>
    <row r="280" ht="14.25" customHeight="1">
      <c r="A280" s="13">
        <v>25766.0</v>
      </c>
      <c r="B280" s="13" t="str">
        <f t="shared" si="3"/>
        <v>Observational</v>
      </c>
      <c r="C280" s="13" t="s">
        <v>4852</v>
      </c>
      <c r="D280" s="1" t="s">
        <v>5104</v>
      </c>
      <c r="E280" s="13" t="s">
        <v>4924</v>
      </c>
      <c r="F280" s="13" t="s">
        <v>3208</v>
      </c>
      <c r="G280" s="13" t="s">
        <v>3210</v>
      </c>
      <c r="H280" s="13" t="s">
        <v>3195</v>
      </c>
      <c r="I280" s="13" t="s">
        <v>3171</v>
      </c>
      <c r="J280" s="13" t="s">
        <v>3172</v>
      </c>
      <c r="K280" s="13" t="s">
        <v>3153</v>
      </c>
      <c r="L280" s="13" t="s">
        <v>3154</v>
      </c>
      <c r="M280" s="13" t="s">
        <v>4324</v>
      </c>
      <c r="N280" s="13" t="s">
        <v>3162</v>
      </c>
      <c r="O280" s="13" t="s">
        <v>33</v>
      </c>
      <c r="P280" s="13">
        <v>3.0</v>
      </c>
      <c r="Q280" s="13" t="s">
        <v>3160</v>
      </c>
      <c r="R280" s="13" t="s">
        <v>3163</v>
      </c>
      <c r="S280" s="13" t="s">
        <v>33</v>
      </c>
      <c r="T280" s="13" t="s">
        <v>3167</v>
      </c>
      <c r="U280" s="13" t="s">
        <v>3195</v>
      </c>
      <c r="V280" s="13" t="s">
        <v>3195</v>
      </c>
      <c r="W280" s="13" t="s">
        <v>3167</v>
      </c>
      <c r="X280" s="13" t="s">
        <v>3192</v>
      </c>
      <c r="Y280" s="13" t="s">
        <v>3202</v>
      </c>
      <c r="Z280" s="13">
        <v>30.0</v>
      </c>
      <c r="AA280" s="13" t="b">
        <v>0</v>
      </c>
      <c r="AB280" s="48"/>
      <c r="AC280" s="49"/>
    </row>
    <row r="281" ht="14.25" customHeight="1">
      <c r="A281" s="13">
        <v>25178.0</v>
      </c>
      <c r="B281" s="13" t="str">
        <f t="shared" si="3"/>
        <v>Observational</v>
      </c>
      <c r="C281" s="13" t="s">
        <v>4856</v>
      </c>
      <c r="D281" s="1" t="s">
        <v>5105</v>
      </c>
      <c r="E281" s="13" t="s">
        <v>4952</v>
      </c>
      <c r="F281" s="13" t="s">
        <v>3201</v>
      </c>
      <c r="G281" s="13" t="s">
        <v>3210</v>
      </c>
      <c r="H281" s="13" t="s">
        <v>3195</v>
      </c>
      <c r="I281" s="13" t="s">
        <v>3171</v>
      </c>
      <c r="J281" s="13" t="s">
        <v>4172</v>
      </c>
      <c r="K281" s="13" t="s">
        <v>3153</v>
      </c>
      <c r="L281" s="13" t="s">
        <v>3169</v>
      </c>
      <c r="M281" s="13" t="s">
        <v>4173</v>
      </c>
      <c r="N281" s="13" t="s">
        <v>3175</v>
      </c>
      <c r="O281" s="13" t="s">
        <v>3167</v>
      </c>
      <c r="P281" s="13">
        <v>7.0</v>
      </c>
      <c r="Q281" s="13" t="s">
        <v>3177</v>
      </c>
      <c r="R281" s="13" t="s">
        <v>3231</v>
      </c>
      <c r="S281" s="13" t="s">
        <v>33</v>
      </c>
      <c r="T281" s="13" t="s">
        <v>3167</v>
      </c>
      <c r="U281" s="13" t="s">
        <v>3195</v>
      </c>
      <c r="V281" s="13" t="s">
        <v>3195</v>
      </c>
      <c r="W281" s="13" t="s">
        <v>3167</v>
      </c>
      <c r="X281" s="13" t="s">
        <v>3211</v>
      </c>
      <c r="Y281" s="13" t="s">
        <v>3202</v>
      </c>
      <c r="Z281" s="13">
        <v>62500.0</v>
      </c>
      <c r="AA281" s="13" t="b">
        <v>0</v>
      </c>
      <c r="AB281" s="48"/>
      <c r="AC281" s="49"/>
    </row>
    <row r="282" ht="14.25" customHeight="1">
      <c r="A282" s="13">
        <v>23728.0</v>
      </c>
      <c r="B282" s="13" t="str">
        <f t="shared" si="3"/>
        <v>Observational</v>
      </c>
      <c r="C282" s="13" t="s">
        <v>4856</v>
      </c>
      <c r="D282" s="1" t="s">
        <v>5106</v>
      </c>
      <c r="E282" s="13" t="s">
        <v>4963</v>
      </c>
      <c r="F282" s="13" t="s">
        <v>3296</v>
      </c>
      <c r="G282" s="13" t="s">
        <v>3381</v>
      </c>
      <c r="H282" s="13" t="s">
        <v>3253</v>
      </c>
      <c r="I282" s="13" t="s">
        <v>3171</v>
      </c>
      <c r="J282" s="13" t="s">
        <v>3378</v>
      </c>
      <c r="K282" s="13" t="s">
        <v>3153</v>
      </c>
      <c r="L282" s="13" t="s">
        <v>3169</v>
      </c>
      <c r="M282" s="13" t="s">
        <v>3592</v>
      </c>
      <c r="N282" s="13" t="s">
        <v>3162</v>
      </c>
      <c r="O282" s="13" t="s">
        <v>33</v>
      </c>
      <c r="P282" s="13">
        <v>3.0</v>
      </c>
      <c r="Q282" s="13" t="s">
        <v>3177</v>
      </c>
      <c r="R282" s="13" t="s">
        <v>3177</v>
      </c>
      <c r="S282" s="13" t="s">
        <v>3593</v>
      </c>
      <c r="T282" s="13" t="s">
        <v>3595</v>
      </c>
      <c r="U282" s="13" t="s">
        <v>3252</v>
      </c>
      <c r="V282" s="13" t="s">
        <v>3252</v>
      </c>
      <c r="W282" s="13" t="s">
        <v>3594</v>
      </c>
      <c r="X282" s="13" t="s">
        <v>3192</v>
      </c>
      <c r="Y282" s="13" t="s">
        <v>3202</v>
      </c>
      <c r="Z282" s="13">
        <v>200.0</v>
      </c>
      <c r="AA282" s="13" t="b">
        <v>0</v>
      </c>
      <c r="AB282" s="48"/>
      <c r="AC282" s="49"/>
    </row>
    <row r="283" ht="14.25" customHeight="1">
      <c r="A283" s="13">
        <v>23068.0</v>
      </c>
      <c r="B283" s="13" t="str">
        <f t="shared" si="3"/>
        <v>Observational</v>
      </c>
      <c r="C283" s="13" t="s">
        <v>4856</v>
      </c>
      <c r="D283" s="1" t="s">
        <v>5107</v>
      </c>
      <c r="E283" s="13" t="s">
        <v>4930</v>
      </c>
      <c r="F283" s="13" t="s">
        <v>3208</v>
      </c>
      <c r="G283" s="13" t="s">
        <v>3159</v>
      </c>
      <c r="H283" s="13" t="s">
        <v>3166</v>
      </c>
      <c r="I283" s="13" t="s">
        <v>3188</v>
      </c>
      <c r="J283" s="13" t="s">
        <v>3233</v>
      </c>
      <c r="K283" s="13" t="s">
        <v>3153</v>
      </c>
      <c r="L283" s="13" t="s">
        <v>3169</v>
      </c>
      <c r="M283" s="13" t="s">
        <v>3234</v>
      </c>
      <c r="N283" s="13" t="s">
        <v>3162</v>
      </c>
      <c r="O283" s="13" t="s">
        <v>33</v>
      </c>
      <c r="P283" s="13">
        <v>3.0</v>
      </c>
      <c r="Q283" s="13" t="s">
        <v>3160</v>
      </c>
      <c r="R283" s="13" t="s">
        <v>3177</v>
      </c>
      <c r="S283" s="13" t="s">
        <v>33</v>
      </c>
      <c r="T283" s="13" t="s">
        <v>3178</v>
      </c>
      <c r="U283" s="13" t="s">
        <v>3164</v>
      </c>
      <c r="V283" s="13" t="s">
        <v>3164</v>
      </c>
      <c r="W283" s="13" t="s">
        <v>3167</v>
      </c>
      <c r="X283" s="13" t="s">
        <v>3192</v>
      </c>
      <c r="Y283" s="13" t="s">
        <v>3202</v>
      </c>
      <c r="Z283" s="13">
        <v>2.5</v>
      </c>
      <c r="AA283" s="13" t="b">
        <v>0</v>
      </c>
      <c r="AB283" s="48"/>
      <c r="AC283" s="49"/>
    </row>
    <row r="284" ht="14.25" customHeight="1">
      <c r="A284" s="13">
        <v>23543.0</v>
      </c>
      <c r="B284" s="13" t="str">
        <f t="shared" si="3"/>
        <v>Observational</v>
      </c>
      <c r="C284" s="13" t="s">
        <v>4852</v>
      </c>
      <c r="D284" s="1" t="s">
        <v>5108</v>
      </c>
      <c r="E284" s="13" t="s">
        <v>5109</v>
      </c>
      <c r="F284" s="13" t="s">
        <v>3183</v>
      </c>
      <c r="G284" s="13" t="s">
        <v>3183</v>
      </c>
      <c r="H284" s="13" t="s">
        <v>3166</v>
      </c>
      <c r="I284" s="13" t="s">
        <v>3222</v>
      </c>
      <c r="J284" s="13" t="s">
        <v>3229</v>
      </c>
      <c r="K284" s="13" t="s">
        <v>3153</v>
      </c>
      <c r="L284" s="13" t="s">
        <v>3154</v>
      </c>
      <c r="M284" s="13" t="s">
        <v>3490</v>
      </c>
      <c r="N284" s="13" t="s">
        <v>3175</v>
      </c>
      <c r="O284" s="13" t="s">
        <v>3491</v>
      </c>
      <c r="P284" s="13">
        <v>6.0</v>
      </c>
      <c r="Q284" s="13" t="s">
        <v>3177</v>
      </c>
      <c r="R284" s="13" t="s">
        <v>3177</v>
      </c>
      <c r="S284" s="13" t="s">
        <v>3492</v>
      </c>
      <c r="T284" s="13" t="s">
        <v>3255</v>
      </c>
      <c r="U284" s="13" t="s">
        <v>3197</v>
      </c>
      <c r="V284" s="13" t="s">
        <v>3197</v>
      </c>
      <c r="W284" s="13" t="s">
        <v>3167</v>
      </c>
      <c r="X284" s="13" t="s">
        <v>3155</v>
      </c>
      <c r="Y284" s="13" t="s">
        <v>3156</v>
      </c>
      <c r="Z284" s="13" t="s">
        <v>33</v>
      </c>
      <c r="AA284" s="13" t="b">
        <v>0</v>
      </c>
      <c r="AB284" s="48"/>
      <c r="AC284" s="49"/>
    </row>
    <row r="285" ht="14.25" customHeight="1">
      <c r="A285" s="13">
        <v>24935.0</v>
      </c>
      <c r="B285" s="13" t="str">
        <f t="shared" si="3"/>
        <v>Observational</v>
      </c>
      <c r="C285" s="13" t="s">
        <v>4856</v>
      </c>
      <c r="D285" s="1" t="s">
        <v>5110</v>
      </c>
      <c r="E285" s="13" t="s">
        <v>4924</v>
      </c>
      <c r="F285" s="13" t="s">
        <v>3183</v>
      </c>
      <c r="G285" s="13" t="s">
        <v>3186</v>
      </c>
      <c r="H285" s="13" t="s">
        <v>3166</v>
      </c>
      <c r="I285" s="13" t="s">
        <v>3244</v>
      </c>
      <c r="J285" s="13" t="s">
        <v>4084</v>
      </c>
      <c r="K285" s="13" t="s">
        <v>3153</v>
      </c>
      <c r="L285" s="13" t="s">
        <v>3169</v>
      </c>
      <c r="M285" s="13" t="s">
        <v>3319</v>
      </c>
      <c r="N285" s="13" t="s">
        <v>3175</v>
      </c>
      <c r="O285" s="13" t="s">
        <v>33</v>
      </c>
      <c r="P285" s="13">
        <v>2.0</v>
      </c>
      <c r="Q285" s="13" t="s">
        <v>3177</v>
      </c>
      <c r="R285" s="13" t="s">
        <v>3163</v>
      </c>
      <c r="S285" s="13" t="s">
        <v>33</v>
      </c>
      <c r="T285" s="13" t="s">
        <v>3224</v>
      </c>
      <c r="U285" s="13" t="s">
        <v>3232</v>
      </c>
      <c r="V285" s="13" t="s">
        <v>3232</v>
      </c>
      <c r="W285" s="13" t="s">
        <v>3167</v>
      </c>
      <c r="X285" s="13" t="s">
        <v>3211</v>
      </c>
      <c r="Y285" s="13" t="s">
        <v>3187</v>
      </c>
      <c r="Z285" s="13">
        <v>441.0</v>
      </c>
      <c r="AA285" s="13" t="b">
        <v>0</v>
      </c>
      <c r="AB285" s="48"/>
      <c r="AC285" s="49"/>
    </row>
    <row r="286" ht="14.25" customHeight="1">
      <c r="A286" s="13">
        <v>24039.0</v>
      </c>
      <c r="B286" s="13" t="str">
        <f t="shared" si="3"/>
        <v>Observational</v>
      </c>
      <c r="C286" s="13" t="s">
        <v>4856</v>
      </c>
      <c r="D286" s="1" t="s">
        <v>5110</v>
      </c>
      <c r="E286" s="13" t="s">
        <v>4924</v>
      </c>
      <c r="F286" s="13" t="s">
        <v>3173</v>
      </c>
      <c r="G286" s="13" t="s">
        <v>3208</v>
      </c>
      <c r="H286" s="13" t="s">
        <v>3166</v>
      </c>
      <c r="I286" s="13" t="s">
        <v>3244</v>
      </c>
      <c r="J286" s="13" t="s">
        <v>3278</v>
      </c>
      <c r="K286" s="13" t="s">
        <v>3153</v>
      </c>
      <c r="L286" s="13" t="s">
        <v>3169</v>
      </c>
      <c r="M286" s="13" t="s">
        <v>3319</v>
      </c>
      <c r="N286" s="13" t="s">
        <v>3267</v>
      </c>
      <c r="O286" s="13" t="s">
        <v>3167</v>
      </c>
      <c r="P286" s="13">
        <v>2.0</v>
      </c>
      <c r="Q286" s="13" t="s">
        <v>3160</v>
      </c>
      <c r="R286" s="13" t="s">
        <v>3231</v>
      </c>
      <c r="S286" s="13" t="s">
        <v>33</v>
      </c>
      <c r="T286" s="13" t="s">
        <v>3224</v>
      </c>
      <c r="U286" s="13" t="s">
        <v>3164</v>
      </c>
      <c r="V286" s="13" t="s">
        <v>3164</v>
      </c>
      <c r="W286" s="13" t="s">
        <v>3167</v>
      </c>
      <c r="X286" s="13" t="s">
        <v>3170</v>
      </c>
      <c r="Y286" s="13" t="s">
        <v>3156</v>
      </c>
      <c r="Z286" s="13" t="s">
        <v>3167</v>
      </c>
      <c r="AA286" s="13" t="b">
        <v>0</v>
      </c>
      <c r="AB286" s="48"/>
      <c r="AC286" s="49"/>
    </row>
    <row r="287" ht="14.25" customHeight="1">
      <c r="A287" s="13">
        <v>23171.0</v>
      </c>
      <c r="B287" s="13" t="str">
        <f t="shared" si="3"/>
        <v>Observational</v>
      </c>
      <c r="C287" s="13" t="s">
        <v>4856</v>
      </c>
      <c r="D287" s="1" t="s">
        <v>5110</v>
      </c>
      <c r="E287" s="13" t="s">
        <v>4924</v>
      </c>
      <c r="F287" s="13" t="s">
        <v>3208</v>
      </c>
      <c r="G287" s="13" t="s">
        <v>3208</v>
      </c>
      <c r="H287" s="13" t="s">
        <v>3242</v>
      </c>
      <c r="I287" s="13" t="s">
        <v>3171</v>
      </c>
      <c r="J287" s="13" t="s">
        <v>3318</v>
      </c>
      <c r="K287" s="13" t="s">
        <v>3153</v>
      </c>
      <c r="L287" s="13" t="s">
        <v>3169</v>
      </c>
      <c r="M287" s="13" t="s">
        <v>3319</v>
      </c>
      <c r="N287" s="13" t="s">
        <v>3162</v>
      </c>
      <c r="O287" s="13" t="s">
        <v>3167</v>
      </c>
      <c r="P287" s="13">
        <v>2.0</v>
      </c>
      <c r="Q287" s="13" t="s">
        <v>3160</v>
      </c>
      <c r="R287" s="13" t="s">
        <v>3231</v>
      </c>
      <c r="S287" s="13" t="s">
        <v>33</v>
      </c>
      <c r="T287" s="13" t="s">
        <v>3167</v>
      </c>
      <c r="U287" s="13" t="s">
        <v>3247</v>
      </c>
      <c r="V287" s="13" t="s">
        <v>3247</v>
      </c>
      <c r="W287" s="13" t="s">
        <v>3320</v>
      </c>
      <c r="X287" s="13" t="s">
        <v>3170</v>
      </c>
      <c r="Y287" s="13" t="s">
        <v>3202</v>
      </c>
      <c r="Z287" s="13">
        <v>30.0</v>
      </c>
      <c r="AA287" s="13" t="b">
        <v>0</v>
      </c>
      <c r="AB287" s="48"/>
      <c r="AC287" s="49"/>
    </row>
    <row r="288" ht="14.25" customHeight="1">
      <c r="A288" s="13">
        <v>23449.0</v>
      </c>
      <c r="B288" s="13" t="str">
        <f t="shared" si="3"/>
        <v>Observational</v>
      </c>
      <c r="C288" s="13" t="s">
        <v>4852</v>
      </c>
      <c r="D288" s="1" t="s">
        <v>5110</v>
      </c>
      <c r="E288" s="13" t="s">
        <v>4924</v>
      </c>
      <c r="F288" s="13" t="s">
        <v>3159</v>
      </c>
      <c r="G288" s="13" t="s">
        <v>3159</v>
      </c>
      <c r="H288" s="13" t="s">
        <v>3166</v>
      </c>
      <c r="I288" s="13" t="s">
        <v>3244</v>
      </c>
      <c r="J288" s="13" t="s">
        <v>3289</v>
      </c>
      <c r="K288" s="13" t="s">
        <v>3153</v>
      </c>
      <c r="L288" s="13" t="s">
        <v>3154</v>
      </c>
      <c r="M288" s="13" t="s">
        <v>3319</v>
      </c>
      <c r="N288" s="13" t="s">
        <v>3162</v>
      </c>
      <c r="O288" s="13" t="s">
        <v>33</v>
      </c>
      <c r="P288" s="13">
        <v>2.0</v>
      </c>
      <c r="Q288" s="13" t="s">
        <v>3160</v>
      </c>
      <c r="R288" s="13" t="s">
        <v>3163</v>
      </c>
      <c r="S288" s="13" t="s">
        <v>33</v>
      </c>
      <c r="T288" s="13" t="s">
        <v>3324</v>
      </c>
      <c r="U288" s="13" t="s">
        <v>3164</v>
      </c>
      <c r="V288" s="13" t="s">
        <v>3164</v>
      </c>
      <c r="W288" s="13" t="s">
        <v>3167</v>
      </c>
      <c r="X288" s="13" t="s">
        <v>3170</v>
      </c>
      <c r="Y288" s="13" t="s">
        <v>3156</v>
      </c>
      <c r="Z288" s="13" t="s">
        <v>33</v>
      </c>
      <c r="AA288" s="13" t="b">
        <v>0</v>
      </c>
      <c r="AB288" s="48"/>
      <c r="AC288" s="49"/>
    </row>
    <row r="289" ht="14.25" customHeight="1">
      <c r="A289" s="13">
        <v>24857.0</v>
      </c>
      <c r="B289" s="13" t="str">
        <f t="shared" si="3"/>
        <v>Observational</v>
      </c>
      <c r="C289" s="13" t="s">
        <v>4856</v>
      </c>
      <c r="D289" s="1" t="s">
        <v>5110</v>
      </c>
      <c r="E289" s="13" t="s">
        <v>4924</v>
      </c>
      <c r="F289" s="13" t="s">
        <v>3208</v>
      </c>
      <c r="G289" s="13" t="s">
        <v>3210</v>
      </c>
      <c r="H289" s="13" t="s">
        <v>3195</v>
      </c>
      <c r="I289" s="13" t="s">
        <v>3244</v>
      </c>
      <c r="J289" s="13" t="s">
        <v>3289</v>
      </c>
      <c r="K289" s="13" t="s">
        <v>3153</v>
      </c>
      <c r="L289" s="13" t="s">
        <v>3169</v>
      </c>
      <c r="M289" s="13" t="s">
        <v>3319</v>
      </c>
      <c r="N289" s="13" t="s">
        <v>3162</v>
      </c>
      <c r="O289" s="13" t="s">
        <v>3167</v>
      </c>
      <c r="P289" s="13">
        <v>2.0</v>
      </c>
      <c r="Q289" s="13" t="s">
        <v>3160</v>
      </c>
      <c r="R289" s="13" t="s">
        <v>3231</v>
      </c>
      <c r="S289" s="13" t="s">
        <v>33</v>
      </c>
      <c r="T289" s="13" t="s">
        <v>3167</v>
      </c>
      <c r="U289" s="13" t="s">
        <v>3195</v>
      </c>
      <c r="V289" s="13" t="s">
        <v>3195</v>
      </c>
      <c r="W289" s="13" t="s">
        <v>3167</v>
      </c>
      <c r="X289" s="13" t="s">
        <v>3170</v>
      </c>
      <c r="Y289" s="13" t="s">
        <v>3156</v>
      </c>
      <c r="Z289" s="13" t="s">
        <v>3202</v>
      </c>
      <c r="AA289" s="13" t="b">
        <v>0</v>
      </c>
      <c r="AB289" s="48"/>
      <c r="AC289" s="49"/>
    </row>
    <row r="290" ht="14.25" customHeight="1">
      <c r="A290" s="13">
        <v>25292.0</v>
      </c>
      <c r="B290" s="13" t="str">
        <f t="shared" si="3"/>
        <v>Observational</v>
      </c>
      <c r="C290" s="13" t="s">
        <v>4886</v>
      </c>
      <c r="D290" s="1" t="s">
        <v>5110</v>
      </c>
      <c r="E290" s="13" t="s">
        <v>4924</v>
      </c>
      <c r="F290" s="13" t="s">
        <v>3208</v>
      </c>
      <c r="G290" s="13" t="s">
        <v>3208</v>
      </c>
      <c r="H290" s="13" t="s">
        <v>3242</v>
      </c>
      <c r="I290" s="13" t="s">
        <v>3188</v>
      </c>
      <c r="J290" s="13" t="s">
        <v>3207</v>
      </c>
      <c r="K290" s="13" t="s">
        <v>3153</v>
      </c>
      <c r="L290" s="13" t="s">
        <v>3465</v>
      </c>
      <c r="M290" s="13" t="s">
        <v>3319</v>
      </c>
      <c r="N290" s="13" t="s">
        <v>3162</v>
      </c>
      <c r="O290" s="13" t="s">
        <v>33</v>
      </c>
      <c r="P290" s="13">
        <v>2.0</v>
      </c>
      <c r="Q290" s="13" t="s">
        <v>3160</v>
      </c>
      <c r="R290" s="13" t="s">
        <v>3163</v>
      </c>
      <c r="S290" s="13" t="s">
        <v>33</v>
      </c>
      <c r="T290" s="13" t="s">
        <v>3167</v>
      </c>
      <c r="U290" s="13" t="s">
        <v>3247</v>
      </c>
      <c r="V290" s="13" t="s">
        <v>3247</v>
      </c>
      <c r="W290" s="13" t="s">
        <v>3248</v>
      </c>
      <c r="X290" s="13" t="s">
        <v>3170</v>
      </c>
      <c r="Y290" s="13" t="s">
        <v>33</v>
      </c>
      <c r="Z290" s="13" t="s">
        <v>33</v>
      </c>
      <c r="AA290" s="13" t="b">
        <v>0</v>
      </c>
      <c r="AB290" s="47"/>
      <c r="AC290" s="49"/>
    </row>
    <row r="291" ht="14.25" customHeight="1">
      <c r="A291" s="13">
        <v>24086.0</v>
      </c>
      <c r="B291" s="13" t="str">
        <f t="shared" si="3"/>
        <v>Observational</v>
      </c>
      <c r="C291" s="13" t="s">
        <v>4886</v>
      </c>
      <c r="D291" s="1" t="s">
        <v>5111</v>
      </c>
      <c r="E291" s="13" t="s">
        <v>4924</v>
      </c>
      <c r="F291" s="13" t="s">
        <v>3208</v>
      </c>
      <c r="G291" s="13" t="s">
        <v>3744</v>
      </c>
      <c r="H291" s="13" t="s">
        <v>3242</v>
      </c>
      <c r="I291" s="13" t="s">
        <v>3244</v>
      </c>
      <c r="J291" s="13" t="s">
        <v>3289</v>
      </c>
      <c r="K291" s="13" t="s">
        <v>3153</v>
      </c>
      <c r="L291" s="13" t="s">
        <v>3465</v>
      </c>
      <c r="M291" s="13" t="s">
        <v>3743</v>
      </c>
      <c r="N291" s="13" t="s">
        <v>3267</v>
      </c>
      <c r="O291" s="13" t="s">
        <v>33</v>
      </c>
      <c r="P291" s="13">
        <v>3.0</v>
      </c>
      <c r="Q291" s="13" t="s">
        <v>3160</v>
      </c>
      <c r="R291" s="13" t="s">
        <v>3163</v>
      </c>
      <c r="S291" s="13" t="s">
        <v>3323</v>
      </c>
      <c r="T291" s="13" t="s">
        <v>3167</v>
      </c>
      <c r="U291" s="13" t="s">
        <v>3247</v>
      </c>
      <c r="V291" s="13" t="s">
        <v>3247</v>
      </c>
      <c r="W291" s="13" t="s">
        <v>3496</v>
      </c>
      <c r="X291" s="13" t="s">
        <v>3192</v>
      </c>
      <c r="Y291" s="13" t="s">
        <v>33</v>
      </c>
      <c r="Z291" s="13" t="s">
        <v>33</v>
      </c>
      <c r="AA291" s="13" t="b">
        <v>0</v>
      </c>
      <c r="AB291" s="48"/>
      <c r="AC291" s="49"/>
    </row>
    <row r="292" ht="14.25" customHeight="1">
      <c r="A292" s="13">
        <v>25754.0</v>
      </c>
      <c r="B292" s="13" t="str">
        <f t="shared" si="3"/>
        <v>Observational</v>
      </c>
      <c r="C292" s="13" t="s">
        <v>4856</v>
      </c>
      <c r="D292" s="1" t="s">
        <v>5111</v>
      </c>
      <c r="E292" s="13" t="s">
        <v>4924</v>
      </c>
      <c r="F292" s="13" t="s">
        <v>3208</v>
      </c>
      <c r="G292" s="13" t="s">
        <v>3335</v>
      </c>
      <c r="H292" s="13" t="s">
        <v>3195</v>
      </c>
      <c r="I292" s="13" t="s">
        <v>3188</v>
      </c>
      <c r="J292" s="13" t="s">
        <v>3432</v>
      </c>
      <c r="K292" s="13" t="s">
        <v>3153</v>
      </c>
      <c r="L292" s="13" t="s">
        <v>3169</v>
      </c>
      <c r="M292" s="13" t="s">
        <v>3743</v>
      </c>
      <c r="N292" s="13" t="s">
        <v>3162</v>
      </c>
      <c r="O292" s="13" t="s">
        <v>33</v>
      </c>
      <c r="P292" s="13">
        <v>3.0</v>
      </c>
      <c r="Q292" s="13" t="s">
        <v>3160</v>
      </c>
      <c r="R292" s="13" t="s">
        <v>3163</v>
      </c>
      <c r="S292" s="13" t="s">
        <v>3323</v>
      </c>
      <c r="T292" s="13" t="s">
        <v>3167</v>
      </c>
      <c r="U292" s="13" t="s">
        <v>3195</v>
      </c>
      <c r="V292" s="13" t="s">
        <v>3195</v>
      </c>
      <c r="W292" s="13" t="s">
        <v>3167</v>
      </c>
      <c r="X292" s="13" t="s">
        <v>3170</v>
      </c>
      <c r="Y292" s="13" t="s">
        <v>3202</v>
      </c>
      <c r="Z292" s="13">
        <v>30.0</v>
      </c>
      <c r="AA292" s="13" t="b">
        <v>0</v>
      </c>
      <c r="AB292" s="48"/>
      <c r="AC292" s="49"/>
    </row>
    <row r="293" ht="14.25" customHeight="1">
      <c r="A293" s="13">
        <v>23046.0</v>
      </c>
      <c r="B293" s="13" t="str">
        <f t="shared" si="3"/>
        <v>Observational</v>
      </c>
      <c r="C293" s="13" t="s">
        <v>4856</v>
      </c>
      <c r="D293" s="13" t="s">
        <v>5110</v>
      </c>
      <c r="E293" s="13" t="s">
        <v>5098</v>
      </c>
      <c r="F293" s="13" t="s">
        <v>3208</v>
      </c>
      <c r="G293" s="13" t="s">
        <v>3210</v>
      </c>
      <c r="H293" s="13" t="s">
        <v>3195</v>
      </c>
      <c r="I293" s="13" t="s">
        <v>3188</v>
      </c>
      <c r="J293" s="13" t="s">
        <v>3207</v>
      </c>
      <c r="K293" s="13" t="s">
        <v>3153</v>
      </c>
      <c r="L293" s="13" t="s">
        <v>3169</v>
      </c>
      <c r="M293" s="13" t="s">
        <v>3209</v>
      </c>
      <c r="N293" s="13" t="s">
        <v>3162</v>
      </c>
      <c r="O293" s="13" t="s">
        <v>33</v>
      </c>
      <c r="P293" s="13">
        <v>3.0</v>
      </c>
      <c r="Q293" s="13" t="s">
        <v>3160</v>
      </c>
      <c r="R293" s="13" t="s">
        <v>3163</v>
      </c>
      <c r="S293" s="13" t="s">
        <v>33</v>
      </c>
      <c r="T293" s="13" t="s">
        <v>3167</v>
      </c>
      <c r="U293" s="13" t="s">
        <v>3195</v>
      </c>
      <c r="V293" s="13" t="s">
        <v>3195</v>
      </c>
      <c r="W293" s="13" t="s">
        <v>3167</v>
      </c>
      <c r="X293" s="13" t="s">
        <v>3170</v>
      </c>
      <c r="Y293" s="13" t="s">
        <v>3156</v>
      </c>
      <c r="Z293" s="13" t="s">
        <v>33</v>
      </c>
      <c r="AA293" s="13" t="b">
        <v>1</v>
      </c>
      <c r="AB293" s="48"/>
      <c r="AC293" s="49"/>
    </row>
    <row r="294" ht="14.25" customHeight="1">
      <c r="A294" s="13">
        <v>25874.0</v>
      </c>
      <c r="B294" s="13" t="str">
        <f t="shared" si="3"/>
        <v>Observational</v>
      </c>
      <c r="C294" s="13" t="s">
        <v>4856</v>
      </c>
      <c r="D294" s="13" t="s">
        <v>5112</v>
      </c>
      <c r="E294" s="13" t="s">
        <v>5113</v>
      </c>
      <c r="F294" s="13" t="s">
        <v>3183</v>
      </c>
      <c r="G294" s="13" t="s">
        <v>3183</v>
      </c>
      <c r="H294" s="13" t="s">
        <v>3242</v>
      </c>
      <c r="I294" s="13" t="s">
        <v>3244</v>
      </c>
      <c r="J294" s="13" t="s">
        <v>3167</v>
      </c>
      <c r="K294" s="13" t="s">
        <v>3153</v>
      </c>
      <c r="L294" s="13" t="s">
        <v>3169</v>
      </c>
      <c r="M294" s="13" t="s">
        <v>4366</v>
      </c>
      <c r="N294" s="13" t="s">
        <v>3175</v>
      </c>
      <c r="O294" s="13" t="s">
        <v>4367</v>
      </c>
      <c r="P294" s="13">
        <v>6.0</v>
      </c>
      <c r="Q294" s="13" t="s">
        <v>3160</v>
      </c>
      <c r="R294" s="13" t="s">
        <v>3163</v>
      </c>
      <c r="S294" s="13" t="s">
        <v>33</v>
      </c>
      <c r="T294" s="13" t="s">
        <v>3167</v>
      </c>
      <c r="U294" s="13" t="s">
        <v>3164</v>
      </c>
      <c r="V294" s="13" t="s">
        <v>3197</v>
      </c>
      <c r="W294" s="13" t="s">
        <v>4368</v>
      </c>
      <c r="X294" s="13" t="s">
        <v>3284</v>
      </c>
      <c r="Y294" s="13" t="s">
        <v>3156</v>
      </c>
      <c r="Z294" s="13" t="s">
        <v>33</v>
      </c>
      <c r="AA294" s="13" t="b">
        <v>1</v>
      </c>
      <c r="AB294" s="48"/>
      <c r="AC294" s="49"/>
    </row>
    <row r="295" ht="14.25" customHeight="1">
      <c r="A295" s="13">
        <v>25936.0</v>
      </c>
      <c r="B295" s="13" t="str">
        <f t="shared" si="3"/>
        <v>Observational</v>
      </c>
      <c r="C295" s="13" t="s">
        <v>4852</v>
      </c>
      <c r="D295" s="13" t="s">
        <v>5114</v>
      </c>
      <c r="E295" s="13" t="s">
        <v>5115</v>
      </c>
      <c r="F295" s="13" t="s">
        <v>3381</v>
      </c>
      <c r="G295" s="13" t="s">
        <v>3186</v>
      </c>
      <c r="H295" s="13" t="s">
        <v>3253</v>
      </c>
      <c r="I295" s="13" t="s">
        <v>3167</v>
      </c>
      <c r="J295" s="13" t="s">
        <v>3167</v>
      </c>
      <c r="K295" s="13" t="s">
        <v>3153</v>
      </c>
      <c r="L295" s="13" t="s">
        <v>3154</v>
      </c>
      <c r="M295" s="13" t="s">
        <v>4398</v>
      </c>
      <c r="N295" s="13" t="s">
        <v>3175</v>
      </c>
      <c r="O295" s="13" t="s">
        <v>3689</v>
      </c>
      <c r="P295" s="13">
        <v>12.0</v>
      </c>
      <c r="Q295" s="13" t="s">
        <v>3177</v>
      </c>
      <c r="R295" s="13" t="s">
        <v>3163</v>
      </c>
      <c r="S295" s="13" t="s">
        <v>33</v>
      </c>
      <c r="T295" s="13" t="s">
        <v>3755</v>
      </c>
      <c r="U295" s="13" t="s">
        <v>3252</v>
      </c>
      <c r="V295" s="13" t="s">
        <v>3252</v>
      </c>
      <c r="W295" s="13" t="s">
        <v>3356</v>
      </c>
      <c r="X295" s="13" t="s">
        <v>3217</v>
      </c>
      <c r="Y295" s="13" t="s">
        <v>3180</v>
      </c>
      <c r="Z295" s="13">
        <v>0.5</v>
      </c>
      <c r="AA295" s="13" t="b">
        <v>1</v>
      </c>
      <c r="AB295" s="48"/>
      <c r="AC295" s="49"/>
    </row>
    <row r="296" ht="14.25" customHeight="1">
      <c r="A296" s="13">
        <v>23355.0</v>
      </c>
      <c r="B296" s="13" t="str">
        <f t="shared" si="3"/>
        <v>Observational</v>
      </c>
      <c r="C296" s="13" t="s">
        <v>4856</v>
      </c>
      <c r="D296" s="1" t="s">
        <v>5116</v>
      </c>
      <c r="E296" s="13" t="s">
        <v>4924</v>
      </c>
      <c r="F296" s="13" t="s">
        <v>3208</v>
      </c>
      <c r="G296" s="13" t="s">
        <v>3208</v>
      </c>
      <c r="H296" s="13" t="s">
        <v>3242</v>
      </c>
      <c r="I296" s="13" t="s">
        <v>3188</v>
      </c>
      <c r="J296" s="13" t="s">
        <v>3402</v>
      </c>
      <c r="K296" s="13" t="s">
        <v>3153</v>
      </c>
      <c r="L296" s="13" t="s">
        <v>3169</v>
      </c>
      <c r="M296" s="13" t="s">
        <v>3403</v>
      </c>
      <c r="N296" s="13" t="s">
        <v>3267</v>
      </c>
      <c r="O296" s="13" t="s">
        <v>33</v>
      </c>
      <c r="P296" s="13">
        <v>1.0</v>
      </c>
      <c r="Q296" s="13" t="s">
        <v>3160</v>
      </c>
      <c r="R296" s="13" t="s">
        <v>3163</v>
      </c>
      <c r="S296" s="13" t="s">
        <v>33</v>
      </c>
      <c r="T296" s="13" t="s">
        <v>3167</v>
      </c>
      <c r="U296" s="13" t="s">
        <v>3247</v>
      </c>
      <c r="V296" s="13" t="s">
        <v>3247</v>
      </c>
      <c r="W296" s="13" t="s">
        <v>3248</v>
      </c>
      <c r="X296" s="13" t="s">
        <v>3192</v>
      </c>
      <c r="Y296" s="13" t="s">
        <v>3202</v>
      </c>
      <c r="Z296" s="13">
        <v>10.0</v>
      </c>
      <c r="AA296" s="13" t="b">
        <v>0</v>
      </c>
      <c r="AB296" s="48"/>
      <c r="AC296" s="49"/>
    </row>
    <row r="297" ht="14.25" customHeight="1">
      <c r="A297" s="13">
        <v>23652.0</v>
      </c>
      <c r="B297" s="13" t="str">
        <f t="shared" si="3"/>
        <v>Observational</v>
      </c>
      <c r="C297" s="13" t="s">
        <v>4856</v>
      </c>
      <c r="D297" s="1" t="s">
        <v>5116</v>
      </c>
      <c r="E297" s="13" t="s">
        <v>4924</v>
      </c>
      <c r="F297" s="13" t="s">
        <v>3159</v>
      </c>
      <c r="G297" s="13" t="s">
        <v>3159</v>
      </c>
      <c r="H297" s="13" t="s">
        <v>3166</v>
      </c>
      <c r="I297" s="13" t="s">
        <v>3244</v>
      </c>
      <c r="J297" s="13" t="s">
        <v>3289</v>
      </c>
      <c r="K297" s="13" t="s">
        <v>3153</v>
      </c>
      <c r="L297" s="13" t="s">
        <v>3169</v>
      </c>
      <c r="M297" s="13" t="s">
        <v>3403</v>
      </c>
      <c r="N297" s="13" t="s">
        <v>3162</v>
      </c>
      <c r="O297" s="13" t="s">
        <v>33</v>
      </c>
      <c r="P297" s="13">
        <v>3.0</v>
      </c>
      <c r="Q297" s="13" t="s">
        <v>3160</v>
      </c>
      <c r="R297" s="13" t="s">
        <v>3177</v>
      </c>
      <c r="S297" s="13" t="s">
        <v>33</v>
      </c>
      <c r="T297" s="13" t="s">
        <v>3168</v>
      </c>
      <c r="U297" s="13" t="s">
        <v>3228</v>
      </c>
      <c r="V297" s="13" t="s">
        <v>3228</v>
      </c>
      <c r="W297" s="13" t="s">
        <v>3167</v>
      </c>
      <c r="X297" s="13" t="s">
        <v>3170</v>
      </c>
      <c r="Y297" s="13" t="s">
        <v>3156</v>
      </c>
      <c r="Z297" s="13" t="s">
        <v>33</v>
      </c>
      <c r="AA297" s="13" t="b">
        <v>0</v>
      </c>
      <c r="AB297" s="48"/>
      <c r="AC297" s="49"/>
    </row>
    <row r="298" ht="14.25" customHeight="1">
      <c r="A298" s="13">
        <v>23685.0</v>
      </c>
      <c r="B298" s="13" t="str">
        <f t="shared" si="3"/>
        <v>Observational</v>
      </c>
      <c r="C298" s="13" t="s">
        <v>4886</v>
      </c>
      <c r="D298" s="1" t="s">
        <v>5117</v>
      </c>
      <c r="E298" s="13" t="s">
        <v>4924</v>
      </c>
      <c r="F298" s="13" t="s">
        <v>3208</v>
      </c>
      <c r="G298" s="13" t="s">
        <v>3335</v>
      </c>
      <c r="H298" s="13" t="s">
        <v>3195</v>
      </c>
      <c r="I298" s="13" t="s">
        <v>3244</v>
      </c>
      <c r="J298" s="13" t="s">
        <v>3289</v>
      </c>
      <c r="K298" s="13" t="s">
        <v>3153</v>
      </c>
      <c r="L298" s="13" t="s">
        <v>3465</v>
      </c>
      <c r="M298" s="13" t="s">
        <v>3574</v>
      </c>
      <c r="N298" s="13" t="s">
        <v>3162</v>
      </c>
      <c r="O298" s="13" t="s">
        <v>33</v>
      </c>
      <c r="P298" s="13">
        <v>4.0</v>
      </c>
      <c r="Q298" s="13" t="s">
        <v>3160</v>
      </c>
      <c r="R298" s="13" t="s">
        <v>3163</v>
      </c>
      <c r="S298" s="13" t="s">
        <v>33</v>
      </c>
      <c r="T298" s="13" t="s">
        <v>3167</v>
      </c>
      <c r="U298" s="13" t="s">
        <v>3195</v>
      </c>
      <c r="V298" s="13" t="s">
        <v>3195</v>
      </c>
      <c r="W298" s="13" t="s">
        <v>3167</v>
      </c>
      <c r="X298" s="13" t="s">
        <v>3192</v>
      </c>
      <c r="Y298" s="13" t="s">
        <v>3304</v>
      </c>
      <c r="Z298" s="13">
        <v>25.0</v>
      </c>
      <c r="AA298" s="13" t="b">
        <v>0</v>
      </c>
      <c r="AB298" s="48"/>
      <c r="AC298" s="49"/>
    </row>
    <row r="299" ht="14.25" customHeight="1">
      <c r="A299" s="13">
        <v>24401.0</v>
      </c>
      <c r="B299" s="13" t="str">
        <f t="shared" si="3"/>
        <v>Observational</v>
      </c>
      <c r="C299" s="13" t="s">
        <v>4856</v>
      </c>
      <c r="D299" s="13" t="s">
        <v>5116</v>
      </c>
      <c r="E299" s="13" t="s">
        <v>5098</v>
      </c>
      <c r="F299" s="13" t="s">
        <v>3173</v>
      </c>
      <c r="G299" s="13" t="s">
        <v>3183</v>
      </c>
      <c r="H299" s="13" t="s">
        <v>3166</v>
      </c>
      <c r="I299" s="13" t="s">
        <v>3167</v>
      </c>
      <c r="J299" s="13" t="s">
        <v>3167</v>
      </c>
      <c r="K299" s="13" t="s">
        <v>3153</v>
      </c>
      <c r="L299" s="13" t="s">
        <v>3169</v>
      </c>
      <c r="M299" s="13" t="s">
        <v>3888</v>
      </c>
      <c r="N299" s="13" t="s">
        <v>3175</v>
      </c>
      <c r="O299" s="13" t="s">
        <v>33</v>
      </c>
      <c r="P299" s="13">
        <v>4.0</v>
      </c>
      <c r="Q299" s="13" t="s">
        <v>3177</v>
      </c>
      <c r="R299" s="13" t="s">
        <v>3177</v>
      </c>
      <c r="S299" s="13" t="s">
        <v>3864</v>
      </c>
      <c r="T299" s="13" t="s">
        <v>3224</v>
      </c>
      <c r="U299" s="13" t="s">
        <v>3232</v>
      </c>
      <c r="V299" s="13" t="s">
        <v>3232</v>
      </c>
      <c r="W299" s="13" t="s">
        <v>3167</v>
      </c>
      <c r="X299" s="13" t="s">
        <v>3217</v>
      </c>
      <c r="Y299" s="13" t="s">
        <v>3156</v>
      </c>
      <c r="Z299" s="13" t="s">
        <v>33</v>
      </c>
      <c r="AA299" s="13" t="b">
        <v>1</v>
      </c>
      <c r="AB299" s="48"/>
      <c r="AC299" s="49"/>
    </row>
    <row r="300" ht="14.25" customHeight="1">
      <c r="A300" s="13">
        <v>25153.0</v>
      </c>
      <c r="B300" s="13" t="str">
        <f t="shared" si="3"/>
        <v>Observational</v>
      </c>
      <c r="C300" s="13" t="s">
        <v>4856</v>
      </c>
      <c r="D300" s="1" t="s">
        <v>5118</v>
      </c>
      <c r="E300" s="13" t="s">
        <v>5119</v>
      </c>
      <c r="F300" s="13" t="s">
        <v>3381</v>
      </c>
      <c r="G300" s="13" t="s">
        <v>3173</v>
      </c>
      <c r="H300" s="13" t="s">
        <v>3166</v>
      </c>
      <c r="I300" s="13" t="s">
        <v>3222</v>
      </c>
      <c r="J300" s="13" t="s">
        <v>3182</v>
      </c>
      <c r="K300" s="13" t="s">
        <v>3153</v>
      </c>
      <c r="L300" s="13" t="s">
        <v>3169</v>
      </c>
      <c r="M300" s="13" t="s">
        <v>4161</v>
      </c>
      <c r="N300" s="13" t="s">
        <v>3175</v>
      </c>
      <c r="O300" s="13" t="s">
        <v>3689</v>
      </c>
      <c r="P300" s="13">
        <v>8.0</v>
      </c>
      <c r="Q300" s="13" t="s">
        <v>3177</v>
      </c>
      <c r="R300" s="13" t="s">
        <v>3163</v>
      </c>
      <c r="S300" s="13" t="s">
        <v>33</v>
      </c>
      <c r="T300" s="13" t="s">
        <v>3216</v>
      </c>
      <c r="U300" s="13" t="s">
        <v>3164</v>
      </c>
      <c r="V300" s="13" t="s">
        <v>3164</v>
      </c>
      <c r="W300" s="13" t="s">
        <v>3167</v>
      </c>
      <c r="X300" s="13" t="s">
        <v>3192</v>
      </c>
      <c r="Y300" s="13" t="s">
        <v>3187</v>
      </c>
      <c r="Z300" s="13">
        <v>1.0</v>
      </c>
      <c r="AA300" s="13" t="b">
        <v>0</v>
      </c>
      <c r="AB300" s="48"/>
      <c r="AC300" s="49"/>
    </row>
    <row r="301" ht="14.25" customHeight="1">
      <c r="A301" s="13">
        <v>24847.0</v>
      </c>
      <c r="B301" s="13" t="str">
        <f t="shared" si="3"/>
        <v>Observational</v>
      </c>
      <c r="C301" s="13" t="s">
        <v>4856</v>
      </c>
      <c r="D301" s="1" t="s">
        <v>5120</v>
      </c>
      <c r="E301" s="13" t="s">
        <v>4963</v>
      </c>
      <c r="F301" s="13" t="s">
        <v>3183</v>
      </c>
      <c r="G301" s="13" t="s">
        <v>3379</v>
      </c>
      <c r="H301" s="13" t="s">
        <v>3242</v>
      </c>
      <c r="I301" s="13" t="s">
        <v>3244</v>
      </c>
      <c r="J301" s="13" t="s">
        <v>3289</v>
      </c>
      <c r="K301" s="13" t="s">
        <v>3153</v>
      </c>
      <c r="L301" s="13" t="s">
        <v>3169</v>
      </c>
      <c r="M301" s="13" t="s">
        <v>4052</v>
      </c>
      <c r="N301" s="13" t="s">
        <v>3162</v>
      </c>
      <c r="O301" s="13" t="s">
        <v>4053</v>
      </c>
      <c r="P301" s="13">
        <v>3.0</v>
      </c>
      <c r="Q301" s="13" t="s">
        <v>3160</v>
      </c>
      <c r="R301" s="13" t="s">
        <v>3231</v>
      </c>
      <c r="S301" s="13" t="s">
        <v>33</v>
      </c>
      <c r="T301" s="13" t="s">
        <v>3167</v>
      </c>
      <c r="U301" s="13" t="s">
        <v>3247</v>
      </c>
      <c r="V301" s="13" t="s">
        <v>3247</v>
      </c>
      <c r="W301" s="13" t="s">
        <v>3634</v>
      </c>
      <c r="X301" s="13" t="s">
        <v>3170</v>
      </c>
      <c r="Y301" s="13" t="s">
        <v>3187</v>
      </c>
      <c r="Z301" s="13">
        <v>100.0</v>
      </c>
      <c r="AA301" s="13" t="b">
        <v>0</v>
      </c>
      <c r="AB301" s="48"/>
      <c r="AC301" s="49"/>
    </row>
    <row r="302" ht="14.25" customHeight="1">
      <c r="A302" s="13">
        <v>23978.0</v>
      </c>
      <c r="B302" s="13" t="str">
        <f t="shared" si="3"/>
        <v>Observational</v>
      </c>
      <c r="C302" s="13" t="s">
        <v>4856</v>
      </c>
      <c r="D302" s="13" t="s">
        <v>5121</v>
      </c>
      <c r="E302" s="13" t="s">
        <v>5122</v>
      </c>
      <c r="F302" s="13" t="s">
        <v>3183</v>
      </c>
      <c r="G302" s="13" t="s">
        <v>3183</v>
      </c>
      <c r="H302" s="13" t="s">
        <v>3166</v>
      </c>
      <c r="I302" s="13" t="s">
        <v>3244</v>
      </c>
      <c r="J302" s="13" t="s">
        <v>3289</v>
      </c>
      <c r="K302" s="13" t="s">
        <v>3153</v>
      </c>
      <c r="L302" s="13" t="s">
        <v>3169</v>
      </c>
      <c r="M302" s="13" t="s">
        <v>3710</v>
      </c>
      <c r="N302" s="13" t="s">
        <v>3162</v>
      </c>
      <c r="O302" s="13" t="s">
        <v>33</v>
      </c>
      <c r="P302" s="13">
        <v>9.0</v>
      </c>
      <c r="Q302" s="13" t="s">
        <v>3160</v>
      </c>
      <c r="R302" s="13" t="s">
        <v>3163</v>
      </c>
      <c r="S302" s="13" t="s">
        <v>3397</v>
      </c>
      <c r="T302" s="13" t="s">
        <v>3632</v>
      </c>
      <c r="U302" s="13" t="s">
        <v>3247</v>
      </c>
      <c r="V302" s="13" t="s">
        <v>3247</v>
      </c>
      <c r="W302" s="13" t="s">
        <v>3167</v>
      </c>
      <c r="X302" s="13" t="s">
        <v>3192</v>
      </c>
      <c r="Y302" s="13" t="s">
        <v>3156</v>
      </c>
      <c r="Z302" s="13" t="s">
        <v>33</v>
      </c>
      <c r="AA302" s="13" t="b">
        <v>1</v>
      </c>
      <c r="AB302" s="48"/>
      <c r="AC302" s="49"/>
    </row>
    <row r="303" ht="14.25" customHeight="1">
      <c r="A303" s="13">
        <v>25640.0</v>
      </c>
      <c r="B303" s="13" t="str">
        <f t="shared" si="3"/>
        <v>Observational</v>
      </c>
      <c r="C303" s="13" t="s">
        <v>4856</v>
      </c>
      <c r="D303" s="1" t="s">
        <v>5123</v>
      </c>
      <c r="E303" s="13" t="s">
        <v>4932</v>
      </c>
      <c r="F303" s="13" t="s">
        <v>4212</v>
      </c>
      <c r="G303" s="13" t="s">
        <v>3273</v>
      </c>
      <c r="H303" s="13" t="s">
        <v>3242</v>
      </c>
      <c r="I303" s="13" t="s">
        <v>3188</v>
      </c>
      <c r="J303" s="13" t="s">
        <v>3394</v>
      </c>
      <c r="K303" s="13" t="s">
        <v>3153</v>
      </c>
      <c r="L303" s="13" t="s">
        <v>3169</v>
      </c>
      <c r="M303" s="13" t="s">
        <v>4288</v>
      </c>
      <c r="N303" s="13" t="s">
        <v>3267</v>
      </c>
      <c r="O303" s="13" t="s">
        <v>3167</v>
      </c>
      <c r="P303" s="13">
        <v>4.0</v>
      </c>
      <c r="Q303" s="13" t="s">
        <v>3160</v>
      </c>
      <c r="R303" s="13" t="s">
        <v>3231</v>
      </c>
      <c r="S303" s="13" t="s">
        <v>33</v>
      </c>
      <c r="T303" s="13" t="s">
        <v>3167</v>
      </c>
      <c r="U303" s="13" t="s">
        <v>3247</v>
      </c>
      <c r="V303" s="13" t="s">
        <v>3247</v>
      </c>
      <c r="W303" s="13" t="s">
        <v>3248</v>
      </c>
      <c r="X303" s="13" t="s">
        <v>3192</v>
      </c>
      <c r="Y303" s="13" t="s">
        <v>3202</v>
      </c>
      <c r="Z303" s="13" t="s">
        <v>3202</v>
      </c>
      <c r="AA303" s="13" t="b">
        <v>0</v>
      </c>
      <c r="AB303" s="48"/>
      <c r="AC303" s="49"/>
    </row>
    <row r="304" ht="14.25" customHeight="1">
      <c r="A304" s="13">
        <v>25133.0</v>
      </c>
      <c r="B304" s="13" t="str">
        <f t="shared" si="3"/>
        <v>Observational</v>
      </c>
      <c r="C304" s="13" t="s">
        <v>4856</v>
      </c>
      <c r="D304" s="1" t="s">
        <v>5124</v>
      </c>
      <c r="E304" s="13" t="s">
        <v>5125</v>
      </c>
      <c r="F304" s="13" t="s">
        <v>3381</v>
      </c>
      <c r="G304" s="13" t="s">
        <v>3183</v>
      </c>
      <c r="H304" s="13" t="s">
        <v>3242</v>
      </c>
      <c r="I304" s="13" t="s">
        <v>3157</v>
      </c>
      <c r="J304" s="13" t="s">
        <v>3167</v>
      </c>
      <c r="K304" s="13" t="s">
        <v>3153</v>
      </c>
      <c r="L304" s="13" t="s">
        <v>3169</v>
      </c>
      <c r="M304" s="13" t="s">
        <v>4151</v>
      </c>
      <c r="N304" s="13" t="s">
        <v>3162</v>
      </c>
      <c r="O304" s="13" t="s">
        <v>4152</v>
      </c>
      <c r="P304" s="13">
        <v>3.0</v>
      </c>
      <c r="Q304" s="13" t="s">
        <v>3160</v>
      </c>
      <c r="R304" s="13" t="s">
        <v>3231</v>
      </c>
      <c r="S304" s="13" t="s">
        <v>4153</v>
      </c>
      <c r="T304" s="13" t="s">
        <v>3167</v>
      </c>
      <c r="U304" s="13" t="s">
        <v>3247</v>
      </c>
      <c r="V304" s="13" t="s">
        <v>3247</v>
      </c>
      <c r="W304" s="13" t="s">
        <v>3356</v>
      </c>
      <c r="X304" s="13" t="s">
        <v>3284</v>
      </c>
      <c r="Y304" s="13" t="s">
        <v>3187</v>
      </c>
      <c r="Z304" s="13">
        <v>25.0</v>
      </c>
      <c r="AA304" s="13" t="b">
        <v>0</v>
      </c>
      <c r="AB304" s="48"/>
      <c r="AC304" s="49"/>
    </row>
    <row r="305" ht="14.25" customHeight="1">
      <c r="A305" s="13">
        <v>24692.0</v>
      </c>
      <c r="B305" s="13" t="str">
        <f t="shared" si="3"/>
        <v>Observational</v>
      </c>
      <c r="C305" s="13" t="s">
        <v>4852</v>
      </c>
      <c r="D305" s="50" t="s">
        <v>5043</v>
      </c>
      <c r="E305" s="13" t="s">
        <v>4924</v>
      </c>
      <c r="F305" s="13" t="s">
        <v>3208</v>
      </c>
      <c r="G305" s="13" t="s">
        <v>3208</v>
      </c>
      <c r="H305" s="13" t="s">
        <v>3242</v>
      </c>
      <c r="I305" s="13" t="s">
        <v>3188</v>
      </c>
      <c r="J305" s="13" t="s">
        <v>3432</v>
      </c>
      <c r="K305" s="13" t="s">
        <v>3153</v>
      </c>
      <c r="L305" s="13" t="s">
        <v>3154</v>
      </c>
      <c r="M305" s="13" t="s">
        <v>3993</v>
      </c>
      <c r="N305" s="13" t="s">
        <v>3162</v>
      </c>
      <c r="O305" s="13" t="s">
        <v>33</v>
      </c>
      <c r="P305" s="13">
        <v>2.0</v>
      </c>
      <c r="Q305" s="13" t="s">
        <v>3160</v>
      </c>
      <c r="R305" s="13" t="s">
        <v>3163</v>
      </c>
      <c r="S305" s="13" t="s">
        <v>33</v>
      </c>
      <c r="T305" s="13" t="s">
        <v>3167</v>
      </c>
      <c r="U305" s="13" t="s">
        <v>3247</v>
      </c>
      <c r="V305" s="13" t="s">
        <v>3247</v>
      </c>
      <c r="W305" s="13" t="s">
        <v>3356</v>
      </c>
      <c r="X305" s="13" t="s">
        <v>3155</v>
      </c>
      <c r="Y305" s="13" t="s">
        <v>33</v>
      </c>
      <c r="Z305" s="13" t="s">
        <v>33</v>
      </c>
      <c r="AA305" s="13" t="b">
        <v>1</v>
      </c>
      <c r="AB305" s="48"/>
      <c r="AC305" s="49"/>
    </row>
    <row r="306" ht="14.25" customHeight="1">
      <c r="A306" s="13">
        <v>25767.0</v>
      </c>
      <c r="B306" s="13" t="str">
        <f t="shared" si="3"/>
        <v>Observational</v>
      </c>
      <c r="C306" s="13" t="s">
        <v>4856</v>
      </c>
      <c r="D306" s="50" t="s">
        <v>5043</v>
      </c>
      <c r="E306" s="13" t="s">
        <v>4924</v>
      </c>
      <c r="F306" s="13" t="s">
        <v>3208</v>
      </c>
      <c r="G306" s="13" t="s">
        <v>3208</v>
      </c>
      <c r="H306" s="13" t="s">
        <v>3242</v>
      </c>
      <c r="I306" s="13" t="s">
        <v>3188</v>
      </c>
      <c r="J306" s="13" t="s">
        <v>4314</v>
      </c>
      <c r="K306" s="13" t="s">
        <v>3153</v>
      </c>
      <c r="L306" s="13" t="s">
        <v>3169</v>
      </c>
      <c r="M306" s="13" t="s">
        <v>3993</v>
      </c>
      <c r="N306" s="13" t="s">
        <v>3162</v>
      </c>
      <c r="O306" s="13" t="s">
        <v>33</v>
      </c>
      <c r="P306" s="13">
        <v>2.0</v>
      </c>
      <c r="Q306" s="13" t="s">
        <v>3160</v>
      </c>
      <c r="R306" s="13" t="s">
        <v>3163</v>
      </c>
      <c r="S306" s="13" t="s">
        <v>33</v>
      </c>
      <c r="T306" s="13" t="s">
        <v>3167</v>
      </c>
      <c r="U306" s="13" t="s">
        <v>3247</v>
      </c>
      <c r="V306" s="13" t="s">
        <v>3247</v>
      </c>
      <c r="W306" s="13" t="s">
        <v>3248</v>
      </c>
      <c r="X306" s="13" t="s">
        <v>3170</v>
      </c>
      <c r="Y306" s="13" t="s">
        <v>33</v>
      </c>
      <c r="Z306" s="13" t="s">
        <v>33</v>
      </c>
      <c r="AA306" s="13" t="b">
        <v>1</v>
      </c>
      <c r="AB306" s="48"/>
      <c r="AC306" s="49"/>
    </row>
    <row r="307" ht="14.25" customHeight="1">
      <c r="A307" s="13">
        <v>23866.0</v>
      </c>
      <c r="B307" s="13" t="str">
        <f t="shared" si="3"/>
        <v>Observational</v>
      </c>
      <c r="C307" s="13" t="s">
        <v>4856</v>
      </c>
      <c r="D307" s="13" t="s">
        <v>5126</v>
      </c>
      <c r="E307" s="13" t="s">
        <v>5127</v>
      </c>
      <c r="F307" s="13" t="s">
        <v>3208</v>
      </c>
      <c r="G307" s="13" t="s">
        <v>3335</v>
      </c>
      <c r="H307" s="13" t="s">
        <v>3195</v>
      </c>
      <c r="I307" s="13" t="s">
        <v>3222</v>
      </c>
      <c r="J307" s="13" t="s">
        <v>3182</v>
      </c>
      <c r="K307" s="13" t="s">
        <v>3153</v>
      </c>
      <c r="L307" s="13" t="s">
        <v>3169</v>
      </c>
      <c r="M307" s="13" t="s">
        <v>3660</v>
      </c>
      <c r="N307" s="13" t="s">
        <v>3175</v>
      </c>
      <c r="O307" s="13" t="s">
        <v>33</v>
      </c>
      <c r="P307" s="13">
        <v>4.0</v>
      </c>
      <c r="Q307" s="13" t="s">
        <v>3160</v>
      </c>
      <c r="R307" s="13" t="s">
        <v>3163</v>
      </c>
      <c r="S307" s="13" t="s">
        <v>3661</v>
      </c>
      <c r="T307" s="13" t="s">
        <v>3167</v>
      </c>
      <c r="U307" s="13" t="s">
        <v>3195</v>
      </c>
      <c r="V307" s="13" t="s">
        <v>3195</v>
      </c>
      <c r="W307" s="13" t="s">
        <v>3167</v>
      </c>
      <c r="X307" s="13" t="s">
        <v>3192</v>
      </c>
      <c r="Y307" s="13" t="s">
        <v>3202</v>
      </c>
      <c r="Z307" s="13">
        <v>200.0</v>
      </c>
      <c r="AA307" s="13" t="b">
        <v>1</v>
      </c>
      <c r="AB307" s="48"/>
      <c r="AC307" s="49"/>
    </row>
    <row r="308" ht="14.25" customHeight="1">
      <c r="A308" s="13">
        <v>23722.0</v>
      </c>
      <c r="B308" s="13" t="str">
        <f t="shared" si="3"/>
        <v>Observational</v>
      </c>
      <c r="C308" s="13" t="s">
        <v>4856</v>
      </c>
      <c r="D308" s="1" t="s">
        <v>5128</v>
      </c>
      <c r="E308" s="13" t="s">
        <v>4963</v>
      </c>
      <c r="F308" s="13" t="s">
        <v>3186</v>
      </c>
      <c r="G308" s="13" t="s">
        <v>3186</v>
      </c>
      <c r="H308" s="13" t="s">
        <v>3166</v>
      </c>
      <c r="I308" s="13" t="s">
        <v>3157</v>
      </c>
      <c r="J308" s="13" t="s">
        <v>3167</v>
      </c>
      <c r="K308" s="13" t="s">
        <v>3153</v>
      </c>
      <c r="L308" s="13" t="s">
        <v>3169</v>
      </c>
      <c r="M308" s="13" t="s">
        <v>3587</v>
      </c>
      <c r="N308" s="13" t="s">
        <v>3162</v>
      </c>
      <c r="O308" s="13" t="s">
        <v>33</v>
      </c>
      <c r="P308" s="13">
        <v>1.0</v>
      </c>
      <c r="Q308" s="13" t="s">
        <v>3177</v>
      </c>
      <c r="R308" s="13" t="s">
        <v>3177</v>
      </c>
      <c r="S308" s="13" t="s">
        <v>33</v>
      </c>
      <c r="T308" s="13" t="s">
        <v>3476</v>
      </c>
      <c r="U308" s="13" t="s">
        <v>3252</v>
      </c>
      <c r="V308" s="13" t="s">
        <v>3252</v>
      </c>
      <c r="W308" s="13" t="s">
        <v>3294</v>
      </c>
      <c r="X308" s="13" t="s">
        <v>3284</v>
      </c>
      <c r="Y308" s="13" t="s">
        <v>3156</v>
      </c>
      <c r="Z308" s="13" t="s">
        <v>33</v>
      </c>
      <c r="AA308" s="13" t="b">
        <v>0</v>
      </c>
      <c r="AB308" s="48"/>
      <c r="AC308" s="49"/>
    </row>
    <row r="309" ht="14.25" customHeight="1">
      <c r="A309" s="13">
        <v>23666.0</v>
      </c>
      <c r="B309" s="13" t="str">
        <f t="shared" si="3"/>
        <v>Observational</v>
      </c>
      <c r="C309" s="13" t="s">
        <v>4856</v>
      </c>
      <c r="D309" s="1" t="s">
        <v>5129</v>
      </c>
      <c r="E309" s="13" t="s">
        <v>4930</v>
      </c>
      <c r="F309" s="13" t="s">
        <v>3208</v>
      </c>
      <c r="G309" s="13" t="s">
        <v>3208</v>
      </c>
      <c r="H309" s="13" t="s">
        <v>3242</v>
      </c>
      <c r="I309" s="13" t="s">
        <v>3244</v>
      </c>
      <c r="J309" s="13" t="s">
        <v>3245</v>
      </c>
      <c r="K309" s="13" t="s">
        <v>3153</v>
      </c>
      <c r="L309" s="13" t="s">
        <v>3169</v>
      </c>
      <c r="M309" s="13" t="s">
        <v>3564</v>
      </c>
      <c r="N309" s="13" t="s">
        <v>3162</v>
      </c>
      <c r="O309" s="13" t="s">
        <v>33</v>
      </c>
      <c r="P309" s="13">
        <v>2.0</v>
      </c>
      <c r="Q309" s="13" t="s">
        <v>3160</v>
      </c>
      <c r="R309" s="13" t="s">
        <v>3177</v>
      </c>
      <c r="S309" s="13" t="s">
        <v>33</v>
      </c>
      <c r="T309" s="13" t="s">
        <v>3167</v>
      </c>
      <c r="U309" s="13" t="s">
        <v>3247</v>
      </c>
      <c r="V309" s="13" t="s">
        <v>3247</v>
      </c>
      <c r="W309" s="13" t="s">
        <v>3248</v>
      </c>
      <c r="X309" s="13" t="s">
        <v>3155</v>
      </c>
      <c r="Y309" s="13" t="s">
        <v>3187</v>
      </c>
      <c r="Z309" s="13">
        <v>1.0</v>
      </c>
      <c r="AA309" s="13" t="b">
        <v>0</v>
      </c>
      <c r="AB309" s="48"/>
      <c r="AC309" s="49"/>
    </row>
    <row r="310" ht="14.25" customHeight="1">
      <c r="A310" s="13">
        <v>25980.0</v>
      </c>
      <c r="B310" s="13" t="str">
        <f t="shared" si="3"/>
        <v>Observational</v>
      </c>
      <c r="C310" s="13" t="s">
        <v>4856</v>
      </c>
      <c r="D310" s="1" t="s">
        <v>5130</v>
      </c>
      <c r="E310" s="13" t="s">
        <v>4930</v>
      </c>
      <c r="F310" s="13" t="s">
        <v>3208</v>
      </c>
      <c r="G310" s="13" t="s">
        <v>3273</v>
      </c>
      <c r="H310" s="13" t="s">
        <v>3242</v>
      </c>
      <c r="I310" s="13" t="s">
        <v>3171</v>
      </c>
      <c r="J310" s="13" t="s">
        <v>4411</v>
      </c>
      <c r="K310" s="13" t="s">
        <v>3153</v>
      </c>
      <c r="L310" s="13" t="s">
        <v>3169</v>
      </c>
      <c r="M310" s="13" t="s">
        <v>4412</v>
      </c>
      <c r="N310" s="13" t="s">
        <v>3175</v>
      </c>
      <c r="O310" s="13" t="s">
        <v>33</v>
      </c>
      <c r="P310" s="13">
        <v>3.0</v>
      </c>
      <c r="Q310" s="13" t="s">
        <v>3160</v>
      </c>
      <c r="R310" s="13" t="s">
        <v>3163</v>
      </c>
      <c r="S310" s="13" t="s">
        <v>33</v>
      </c>
      <c r="T310" s="13" t="s">
        <v>3167</v>
      </c>
      <c r="U310" s="13" t="s">
        <v>3247</v>
      </c>
      <c r="V310" s="13" t="s">
        <v>3247</v>
      </c>
      <c r="W310" s="13" t="s">
        <v>3496</v>
      </c>
      <c r="X310" s="13" t="s">
        <v>3192</v>
      </c>
      <c r="Y310" s="13" t="s">
        <v>33</v>
      </c>
      <c r="Z310" s="13" t="s">
        <v>33</v>
      </c>
      <c r="AA310" s="13" t="b">
        <v>0</v>
      </c>
      <c r="AB310" s="48"/>
      <c r="AC310" s="49"/>
    </row>
    <row r="311" ht="14.25" customHeight="1">
      <c r="A311" s="13">
        <v>23682.0</v>
      </c>
      <c r="B311" s="13" t="str">
        <f t="shared" si="3"/>
        <v>Observational</v>
      </c>
      <c r="C311" s="13" t="s">
        <v>4856</v>
      </c>
      <c r="D311" s="1" t="s">
        <v>5131</v>
      </c>
      <c r="E311" s="13" t="s">
        <v>5132</v>
      </c>
      <c r="F311" s="13" t="s">
        <v>3173</v>
      </c>
      <c r="G311" s="13" t="s">
        <v>3159</v>
      </c>
      <c r="H311" s="13" t="s">
        <v>3166</v>
      </c>
      <c r="I311" s="13" t="s">
        <v>3244</v>
      </c>
      <c r="J311" s="13" t="s">
        <v>3245</v>
      </c>
      <c r="K311" s="13" t="s">
        <v>3153</v>
      </c>
      <c r="L311" s="13" t="s">
        <v>3169</v>
      </c>
      <c r="M311" s="13" t="s">
        <v>3569</v>
      </c>
      <c r="N311" s="13" t="s">
        <v>3162</v>
      </c>
      <c r="O311" s="13" t="s">
        <v>33</v>
      </c>
      <c r="P311" s="13">
        <v>5.0</v>
      </c>
      <c r="Q311" s="13" t="s">
        <v>3160</v>
      </c>
      <c r="R311" s="13" t="s">
        <v>3163</v>
      </c>
      <c r="S311" s="13" t="s">
        <v>33</v>
      </c>
      <c r="T311" s="13" t="s">
        <v>3178</v>
      </c>
      <c r="U311" s="13" t="s">
        <v>3164</v>
      </c>
      <c r="V311" s="13" t="s">
        <v>3165</v>
      </c>
      <c r="W311" s="13" t="s">
        <v>3167</v>
      </c>
      <c r="X311" s="13" t="s">
        <v>3170</v>
      </c>
      <c r="Y311" s="13" t="s">
        <v>3156</v>
      </c>
      <c r="Z311" s="13" t="s">
        <v>33</v>
      </c>
      <c r="AA311" s="13" t="b">
        <v>0</v>
      </c>
      <c r="AB311" s="48"/>
      <c r="AC311" s="49"/>
    </row>
    <row r="312" ht="14.25" customHeight="1">
      <c r="A312" s="13">
        <v>25405.0</v>
      </c>
      <c r="B312" s="13" t="str">
        <f t="shared" si="3"/>
        <v>Observational</v>
      </c>
      <c r="C312" s="13" t="s">
        <v>4856</v>
      </c>
      <c r="D312" s="1" t="s">
        <v>5133</v>
      </c>
      <c r="E312" s="13" t="s">
        <v>4932</v>
      </c>
      <c r="F312" s="13" t="s">
        <v>3183</v>
      </c>
      <c r="G312" s="13" t="s">
        <v>3183</v>
      </c>
      <c r="H312" s="13" t="s">
        <v>3166</v>
      </c>
      <c r="I312" s="13" t="s">
        <v>3157</v>
      </c>
      <c r="J312" s="13" t="s">
        <v>3199</v>
      </c>
      <c r="K312" s="13" t="s">
        <v>3153</v>
      </c>
      <c r="L312" s="13" t="s">
        <v>3169</v>
      </c>
      <c r="M312" s="13" t="s">
        <v>4228</v>
      </c>
      <c r="N312" s="13" t="s">
        <v>3162</v>
      </c>
      <c r="O312" s="13" t="s">
        <v>4229</v>
      </c>
      <c r="P312" s="13">
        <v>2.0</v>
      </c>
      <c r="Q312" s="13" t="s">
        <v>3160</v>
      </c>
      <c r="R312" s="13" t="s">
        <v>3163</v>
      </c>
      <c r="S312" s="13" t="s">
        <v>3724</v>
      </c>
      <c r="T312" s="13" t="s">
        <v>3224</v>
      </c>
      <c r="U312" s="13" t="s">
        <v>3164</v>
      </c>
      <c r="V312" s="13" t="s">
        <v>3164</v>
      </c>
      <c r="W312" s="13" t="s">
        <v>3167</v>
      </c>
      <c r="X312" s="13" t="s">
        <v>3155</v>
      </c>
      <c r="Y312" s="13" t="s">
        <v>33</v>
      </c>
      <c r="Z312" s="13" t="s">
        <v>33</v>
      </c>
      <c r="AA312" s="13" t="b">
        <v>0</v>
      </c>
      <c r="AB312" s="48"/>
      <c r="AC312" s="49"/>
    </row>
    <row r="313" ht="14.25" customHeight="1">
      <c r="A313" s="13">
        <v>25416.0</v>
      </c>
      <c r="B313" s="13" t="str">
        <f t="shared" si="3"/>
        <v>Observational</v>
      </c>
      <c r="C313" s="13" t="s">
        <v>4856</v>
      </c>
      <c r="D313" s="1" t="s">
        <v>5133</v>
      </c>
      <c r="E313" s="13" t="s">
        <v>4932</v>
      </c>
      <c r="F313" s="13" t="s">
        <v>3265</v>
      </c>
      <c r="G313" s="13" t="s">
        <v>3186</v>
      </c>
      <c r="H313" s="13" t="s">
        <v>3166</v>
      </c>
      <c r="I313" s="13" t="s">
        <v>3244</v>
      </c>
      <c r="J313" s="13" t="s">
        <v>4235</v>
      </c>
      <c r="K313" s="13" t="s">
        <v>3153</v>
      </c>
      <c r="L313" s="13" t="s">
        <v>3169</v>
      </c>
      <c r="M313" s="13" t="s">
        <v>4228</v>
      </c>
      <c r="N313" s="13" t="s">
        <v>3162</v>
      </c>
      <c r="O313" s="13" t="s">
        <v>33</v>
      </c>
      <c r="P313" s="13">
        <v>2.0</v>
      </c>
      <c r="Q313" s="13" t="s">
        <v>3160</v>
      </c>
      <c r="R313" s="13" t="s">
        <v>3177</v>
      </c>
      <c r="S313" s="13" t="s">
        <v>33</v>
      </c>
      <c r="T313" s="13" t="s">
        <v>3178</v>
      </c>
      <c r="U313" s="13" t="s">
        <v>3164</v>
      </c>
      <c r="V313" s="13" t="s">
        <v>3164</v>
      </c>
      <c r="W313" s="13" t="s">
        <v>3167</v>
      </c>
      <c r="X313" s="13" t="s">
        <v>3211</v>
      </c>
      <c r="Y313" s="13" t="s">
        <v>3187</v>
      </c>
      <c r="Z313" s="13">
        <v>1.0</v>
      </c>
      <c r="AA313" s="13" t="b">
        <v>0</v>
      </c>
      <c r="AB313" s="48"/>
      <c r="AC313" s="49"/>
    </row>
    <row r="314" ht="14.25" customHeight="1">
      <c r="A314" s="13">
        <v>23946.0</v>
      </c>
      <c r="B314" s="13" t="str">
        <f t="shared" si="3"/>
        <v>Observational</v>
      </c>
      <c r="C314" s="13" t="s">
        <v>4856</v>
      </c>
      <c r="D314" s="1" t="s">
        <v>5134</v>
      </c>
      <c r="E314" s="13" t="s">
        <v>5135</v>
      </c>
      <c r="F314" s="13" t="s">
        <v>3183</v>
      </c>
      <c r="G314" s="13" t="s">
        <v>3381</v>
      </c>
      <c r="H314" s="13" t="s">
        <v>3242</v>
      </c>
      <c r="I314" s="13" t="s">
        <v>3244</v>
      </c>
      <c r="J314" s="13" t="s">
        <v>3695</v>
      </c>
      <c r="K314" s="13" t="s">
        <v>3153</v>
      </c>
      <c r="L314" s="13" t="s">
        <v>3169</v>
      </c>
      <c r="M314" s="13" t="s">
        <v>3696</v>
      </c>
      <c r="N314" s="13" t="s">
        <v>3162</v>
      </c>
      <c r="O314" s="13" t="s">
        <v>3689</v>
      </c>
      <c r="P314" s="13">
        <v>4.0</v>
      </c>
      <c r="Q314" s="13" t="s">
        <v>3160</v>
      </c>
      <c r="R314" s="13" t="s">
        <v>3177</v>
      </c>
      <c r="S314" s="13" t="s">
        <v>3689</v>
      </c>
      <c r="T314" s="13" t="s">
        <v>3167</v>
      </c>
      <c r="U314" s="13" t="s">
        <v>3164</v>
      </c>
      <c r="V314" s="13" t="s">
        <v>3164</v>
      </c>
      <c r="W314" s="13" t="s">
        <v>3377</v>
      </c>
      <c r="X314" s="13" t="s">
        <v>3211</v>
      </c>
      <c r="Y314" s="13" t="s">
        <v>3588</v>
      </c>
      <c r="Z314" s="13">
        <v>30.0</v>
      </c>
      <c r="AA314" s="13" t="b">
        <v>0</v>
      </c>
      <c r="AB314" s="48"/>
      <c r="AC314" s="49"/>
    </row>
    <row r="315" ht="14.25" customHeight="1">
      <c r="A315" s="13">
        <v>23409.0</v>
      </c>
      <c r="B315" s="13" t="str">
        <f t="shared" si="3"/>
        <v>Observational</v>
      </c>
      <c r="C315" s="13" t="s">
        <v>4856</v>
      </c>
      <c r="D315" s="1" t="s">
        <v>5136</v>
      </c>
      <c r="E315" s="13" t="s">
        <v>4932</v>
      </c>
      <c r="F315" s="13" t="s">
        <v>3208</v>
      </c>
      <c r="G315" s="13" t="s">
        <v>3173</v>
      </c>
      <c r="H315" s="13" t="s">
        <v>3166</v>
      </c>
      <c r="I315" s="13" t="s">
        <v>3188</v>
      </c>
      <c r="J315" s="13" t="s">
        <v>3189</v>
      </c>
      <c r="K315" s="13" t="s">
        <v>3153</v>
      </c>
      <c r="L315" s="13" t="s">
        <v>3169</v>
      </c>
      <c r="M315" s="13" t="s">
        <v>3435</v>
      </c>
      <c r="N315" s="13" t="s">
        <v>3162</v>
      </c>
      <c r="O315" s="13" t="s">
        <v>33</v>
      </c>
      <c r="P315" s="13">
        <v>2.0</v>
      </c>
      <c r="Q315" s="13" t="s">
        <v>3160</v>
      </c>
      <c r="R315" s="13" t="s">
        <v>3163</v>
      </c>
      <c r="S315" s="13" t="s">
        <v>33</v>
      </c>
      <c r="T315" s="13" t="s">
        <v>3178</v>
      </c>
      <c r="U315" s="13" t="s">
        <v>3164</v>
      </c>
      <c r="V315" s="13" t="s">
        <v>3232</v>
      </c>
      <c r="W315" s="13" t="s">
        <v>3167</v>
      </c>
      <c r="X315" s="13" t="s">
        <v>3192</v>
      </c>
      <c r="Y315" s="13" t="s">
        <v>3202</v>
      </c>
      <c r="Z315" s="13">
        <v>30.0</v>
      </c>
      <c r="AA315" s="13" t="b">
        <v>0</v>
      </c>
      <c r="AB315" s="48"/>
      <c r="AC315" s="49"/>
    </row>
    <row r="316" ht="14.25" customHeight="1">
      <c r="A316" s="13" t="s">
        <v>2098</v>
      </c>
      <c r="B316" s="13" t="str">
        <f t="shared" si="3"/>
        <v>Observational</v>
      </c>
      <c r="C316" s="13" t="s">
        <v>4856</v>
      </c>
      <c r="D316" s="1" t="s">
        <v>5137</v>
      </c>
      <c r="E316" s="13" t="s">
        <v>5138</v>
      </c>
      <c r="F316" s="13" t="s">
        <v>4355</v>
      </c>
      <c r="G316" s="13" t="s">
        <v>3210</v>
      </c>
      <c r="H316" s="13" t="s">
        <v>3195</v>
      </c>
      <c r="I316" s="13" t="s">
        <v>3188</v>
      </c>
      <c r="J316" s="13" t="s">
        <v>3189</v>
      </c>
      <c r="K316" s="13" t="s">
        <v>3153</v>
      </c>
      <c r="L316" s="13" t="s">
        <v>3169</v>
      </c>
      <c r="M316" s="13" t="s">
        <v>4433</v>
      </c>
      <c r="N316" s="13" t="s">
        <v>3162</v>
      </c>
      <c r="O316" s="13" t="s">
        <v>3724</v>
      </c>
      <c r="P316" s="13">
        <v>4.0</v>
      </c>
      <c r="Q316" s="13" t="s">
        <v>3160</v>
      </c>
      <c r="R316" s="13" t="s">
        <v>3163</v>
      </c>
      <c r="S316" s="13" t="s">
        <v>33</v>
      </c>
      <c r="T316" s="13" t="s">
        <v>3167</v>
      </c>
      <c r="U316" s="13" t="s">
        <v>3195</v>
      </c>
      <c r="V316" s="13" t="s">
        <v>3195</v>
      </c>
      <c r="W316" s="13" t="s">
        <v>3167</v>
      </c>
      <c r="X316" s="13" t="s">
        <v>3170</v>
      </c>
      <c r="Y316" s="13" t="s">
        <v>33</v>
      </c>
      <c r="Z316" s="13" t="s">
        <v>33</v>
      </c>
      <c r="AA316" s="13" t="b">
        <v>0</v>
      </c>
      <c r="AB316" s="47"/>
      <c r="AC316" s="49"/>
    </row>
    <row r="317" ht="14.25" customHeight="1">
      <c r="A317" s="13">
        <v>23870.0</v>
      </c>
      <c r="B317" s="13" t="str">
        <f t="shared" si="3"/>
        <v>Observational</v>
      </c>
      <c r="C317" s="13" t="s">
        <v>4855</v>
      </c>
      <c r="D317" s="13" t="s">
        <v>5139</v>
      </c>
      <c r="E317" s="13" t="s">
        <v>5140</v>
      </c>
      <c r="F317" s="13" t="s">
        <v>3208</v>
      </c>
      <c r="G317" s="13" t="s">
        <v>3208</v>
      </c>
      <c r="H317" s="13" t="s">
        <v>3242</v>
      </c>
      <c r="I317" s="13" t="s">
        <v>3193</v>
      </c>
      <c r="J317" s="14" t="s">
        <v>3663</v>
      </c>
      <c r="K317" s="13" t="s">
        <v>3153</v>
      </c>
      <c r="L317" s="13" t="s">
        <v>3395</v>
      </c>
      <c r="M317" s="13" t="s">
        <v>3664</v>
      </c>
      <c r="N317" s="13" t="s">
        <v>3162</v>
      </c>
      <c r="O317" s="13" t="s">
        <v>33</v>
      </c>
      <c r="P317" s="13">
        <v>3.0</v>
      </c>
      <c r="Q317" s="13" t="s">
        <v>3177</v>
      </c>
      <c r="R317" s="13" t="s">
        <v>3163</v>
      </c>
      <c r="S317" s="13" t="s">
        <v>33</v>
      </c>
      <c r="T317" s="13" t="s">
        <v>3167</v>
      </c>
      <c r="U317" s="13" t="s">
        <v>3197</v>
      </c>
      <c r="V317" s="13" t="s">
        <v>3197</v>
      </c>
      <c r="W317" s="13" t="s">
        <v>3481</v>
      </c>
      <c r="X317" s="13" t="s">
        <v>3211</v>
      </c>
      <c r="Y317" s="13" t="s">
        <v>3180</v>
      </c>
      <c r="Z317" s="13">
        <v>1.0</v>
      </c>
      <c r="AA317" s="13" t="b">
        <v>1</v>
      </c>
      <c r="AB317" s="48"/>
      <c r="AC317" s="49"/>
    </row>
    <row r="318" ht="14.25" customHeight="1">
      <c r="A318" s="13">
        <v>26032.0</v>
      </c>
      <c r="B318" s="13" t="str">
        <f t="shared" si="3"/>
        <v>Observational</v>
      </c>
      <c r="C318" s="13" t="s">
        <v>4852</v>
      </c>
      <c r="D318" s="1" t="s">
        <v>5141</v>
      </c>
      <c r="E318" s="13" t="s">
        <v>5125</v>
      </c>
      <c r="F318" s="13" t="s">
        <v>3381</v>
      </c>
      <c r="G318" s="13" t="s">
        <v>3183</v>
      </c>
      <c r="H318" s="13" t="s">
        <v>3166</v>
      </c>
      <c r="I318" s="13" t="s">
        <v>3222</v>
      </c>
      <c r="J318" s="13" t="s">
        <v>3182</v>
      </c>
      <c r="K318" s="13" t="s">
        <v>3153</v>
      </c>
      <c r="L318" s="13" t="s">
        <v>3154</v>
      </c>
      <c r="M318" s="13" t="s">
        <v>4417</v>
      </c>
      <c r="N318" s="13" t="s">
        <v>3162</v>
      </c>
      <c r="O318" s="13" t="s">
        <v>3689</v>
      </c>
      <c r="P318" s="13">
        <v>2.0</v>
      </c>
      <c r="Q318" s="13" t="s">
        <v>3160</v>
      </c>
      <c r="R318" s="13" t="s">
        <v>3163</v>
      </c>
      <c r="S318" s="13" t="s">
        <v>3689</v>
      </c>
      <c r="T318" s="13" t="s">
        <v>3225</v>
      </c>
      <c r="U318" s="13" t="s">
        <v>3228</v>
      </c>
      <c r="V318" s="13" t="s">
        <v>3228</v>
      </c>
      <c r="W318" s="13" t="s">
        <v>3167</v>
      </c>
      <c r="X318" s="13" t="s">
        <v>3192</v>
      </c>
      <c r="Y318" s="13" t="s">
        <v>33</v>
      </c>
      <c r="Z318" s="13" t="s">
        <v>33</v>
      </c>
      <c r="AA318" s="13" t="b">
        <v>0</v>
      </c>
      <c r="AB318" s="48"/>
      <c r="AC318" s="49"/>
    </row>
    <row r="319" ht="14.25" customHeight="1">
      <c r="A319" s="13">
        <v>26033.0</v>
      </c>
      <c r="B319" s="13" t="str">
        <f t="shared" si="3"/>
        <v>Observational</v>
      </c>
      <c r="C319" s="13" t="s">
        <v>4852</v>
      </c>
      <c r="D319" s="1" t="s">
        <v>5141</v>
      </c>
      <c r="E319" s="13" t="s">
        <v>5125</v>
      </c>
      <c r="F319" s="13" t="s">
        <v>3381</v>
      </c>
      <c r="G319" s="13" t="s">
        <v>3183</v>
      </c>
      <c r="H319" s="13" t="s">
        <v>3166</v>
      </c>
      <c r="I319" s="13" t="s">
        <v>3222</v>
      </c>
      <c r="J319" s="13" t="s">
        <v>3182</v>
      </c>
      <c r="K319" s="13" t="s">
        <v>3153</v>
      </c>
      <c r="L319" s="13" t="s">
        <v>3154</v>
      </c>
      <c r="M319" s="13" t="s">
        <v>4417</v>
      </c>
      <c r="N319" s="13" t="s">
        <v>3162</v>
      </c>
      <c r="O319" s="13" t="s">
        <v>3689</v>
      </c>
      <c r="P319" s="13">
        <v>2.0</v>
      </c>
      <c r="Q319" s="13" t="s">
        <v>3160</v>
      </c>
      <c r="R319" s="13" t="s">
        <v>3163</v>
      </c>
      <c r="S319" s="13" t="s">
        <v>3689</v>
      </c>
      <c r="T319" s="13" t="s">
        <v>3324</v>
      </c>
      <c r="U319" s="13" t="s">
        <v>3164</v>
      </c>
      <c r="V319" s="13" t="s">
        <v>3164</v>
      </c>
      <c r="W319" s="13" t="s">
        <v>3167</v>
      </c>
      <c r="X319" s="13" t="s">
        <v>3192</v>
      </c>
      <c r="Y319" s="13" t="s">
        <v>3156</v>
      </c>
      <c r="Z319" s="13" t="s">
        <v>33</v>
      </c>
      <c r="AA319" s="13" t="b">
        <v>0</v>
      </c>
      <c r="AB319" s="48"/>
      <c r="AC319" s="49"/>
    </row>
    <row r="320" ht="14.25" customHeight="1">
      <c r="A320" s="13">
        <v>24368.0</v>
      </c>
      <c r="B320" s="13" t="str">
        <f t="shared" si="3"/>
        <v>Observational</v>
      </c>
      <c r="C320" s="13" t="s">
        <v>4856</v>
      </c>
      <c r="D320" s="1" t="s">
        <v>5142</v>
      </c>
      <c r="E320" s="13" t="s">
        <v>5125</v>
      </c>
      <c r="F320" s="13" t="s">
        <v>3183</v>
      </c>
      <c r="G320" s="13" t="s">
        <v>3183</v>
      </c>
      <c r="H320" s="13" t="s">
        <v>3166</v>
      </c>
      <c r="I320" s="13" t="s">
        <v>3167</v>
      </c>
      <c r="J320" s="13" t="s">
        <v>3167</v>
      </c>
      <c r="K320" s="13" t="s">
        <v>3153</v>
      </c>
      <c r="L320" s="13" t="s">
        <v>3169</v>
      </c>
      <c r="M320" s="13" t="s">
        <v>3875</v>
      </c>
      <c r="N320" s="13" t="s">
        <v>3162</v>
      </c>
      <c r="O320" s="13" t="s">
        <v>3689</v>
      </c>
      <c r="P320" s="13">
        <v>3.0</v>
      </c>
      <c r="Q320" s="13" t="s">
        <v>3177</v>
      </c>
      <c r="R320" s="13" t="s">
        <v>3177</v>
      </c>
      <c r="S320" s="13" t="s">
        <v>3876</v>
      </c>
      <c r="T320" s="13" t="s">
        <v>3877</v>
      </c>
      <c r="U320" s="13" t="s">
        <v>3197</v>
      </c>
      <c r="V320" s="13" t="s">
        <v>3197</v>
      </c>
      <c r="W320" s="13" t="s">
        <v>3167</v>
      </c>
      <c r="X320" s="13" t="s">
        <v>3217</v>
      </c>
      <c r="Y320" s="13" t="s">
        <v>3187</v>
      </c>
      <c r="Z320" s="13">
        <v>12100.0</v>
      </c>
      <c r="AA320" s="13" t="b">
        <v>0</v>
      </c>
      <c r="AB320" s="48"/>
      <c r="AC320" s="49"/>
    </row>
    <row r="321" ht="14.25" customHeight="1">
      <c r="A321" s="13">
        <v>25912.0</v>
      </c>
      <c r="B321" s="13" t="str">
        <f t="shared" si="3"/>
        <v>Experimental</v>
      </c>
      <c r="C321" s="13" t="s">
        <v>4856</v>
      </c>
      <c r="D321" s="1" t="s">
        <v>5053</v>
      </c>
      <c r="E321" s="13" t="s">
        <v>4924</v>
      </c>
      <c r="F321" s="13" t="s">
        <v>3159</v>
      </c>
      <c r="G321" s="13" t="s">
        <v>3159</v>
      </c>
      <c r="H321" s="13" t="s">
        <v>3166</v>
      </c>
      <c r="I321" s="13" t="s">
        <v>3157</v>
      </c>
      <c r="J321" s="13" t="s">
        <v>3791</v>
      </c>
      <c r="K321" s="13" t="s">
        <v>3457</v>
      </c>
      <c r="L321" s="13" t="s">
        <v>3169</v>
      </c>
      <c r="M321" s="13" t="s">
        <v>3497</v>
      </c>
      <c r="N321" s="13" t="s">
        <v>3162</v>
      </c>
      <c r="O321" s="13" t="s">
        <v>33</v>
      </c>
      <c r="P321" s="13">
        <v>1.0</v>
      </c>
      <c r="Q321" s="13" t="s">
        <v>3160</v>
      </c>
      <c r="R321" s="13" t="s">
        <v>3163</v>
      </c>
      <c r="S321" s="13" t="s">
        <v>33</v>
      </c>
      <c r="T321" s="13" t="s">
        <v>3224</v>
      </c>
      <c r="U321" s="13" t="s">
        <v>3232</v>
      </c>
      <c r="V321" s="13" t="s">
        <v>3232</v>
      </c>
      <c r="W321" s="13" t="s">
        <v>3167</v>
      </c>
      <c r="X321" s="13" t="s">
        <v>3192</v>
      </c>
      <c r="Y321" s="13" t="s">
        <v>3156</v>
      </c>
      <c r="Z321" s="13" t="s">
        <v>33</v>
      </c>
      <c r="AA321" s="13" t="b">
        <v>0</v>
      </c>
      <c r="AB321" s="48"/>
      <c r="AC321" s="49"/>
    </row>
    <row r="322" ht="14.25" customHeight="1">
      <c r="A322" s="13">
        <v>23559.0</v>
      </c>
      <c r="B322" s="13" t="str">
        <f t="shared" si="3"/>
        <v>Observational</v>
      </c>
      <c r="C322" s="13" t="s">
        <v>4856</v>
      </c>
      <c r="D322" s="1" t="s">
        <v>5053</v>
      </c>
      <c r="E322" s="13" t="s">
        <v>4924</v>
      </c>
      <c r="F322" s="13" t="s">
        <v>3208</v>
      </c>
      <c r="G322" s="13" t="s">
        <v>3159</v>
      </c>
      <c r="H322" s="13" t="s">
        <v>3166</v>
      </c>
      <c r="I322" s="13" t="s">
        <v>3222</v>
      </c>
      <c r="J322" s="13" t="s">
        <v>3182</v>
      </c>
      <c r="K322" s="13" t="s">
        <v>3153</v>
      </c>
      <c r="L322" s="13" t="s">
        <v>3169</v>
      </c>
      <c r="M322" s="13" t="s">
        <v>3497</v>
      </c>
      <c r="N322" s="13" t="s">
        <v>3162</v>
      </c>
      <c r="O322" s="13" t="s">
        <v>33</v>
      </c>
      <c r="P322" s="13">
        <v>1.0</v>
      </c>
      <c r="Q322" s="13" t="s">
        <v>3160</v>
      </c>
      <c r="R322" s="13" t="s">
        <v>3177</v>
      </c>
      <c r="S322" s="13" t="s">
        <v>33</v>
      </c>
      <c r="T322" s="13" t="s">
        <v>3178</v>
      </c>
      <c r="U322" s="13" t="s">
        <v>3164</v>
      </c>
      <c r="V322" s="13" t="s">
        <v>3164</v>
      </c>
      <c r="W322" s="13" t="s">
        <v>3167</v>
      </c>
      <c r="X322" s="13" t="s">
        <v>3170</v>
      </c>
      <c r="Y322" s="13" t="s">
        <v>3202</v>
      </c>
      <c r="Z322" s="13">
        <v>250.0</v>
      </c>
      <c r="AA322" s="13" t="b">
        <v>0</v>
      </c>
      <c r="AB322" s="48"/>
      <c r="AC322" s="49"/>
    </row>
    <row r="323" ht="14.25" customHeight="1">
      <c r="A323" s="13">
        <v>23881.0</v>
      </c>
      <c r="B323" s="13" t="str">
        <f t="shared" si="3"/>
        <v>Observational</v>
      </c>
      <c r="C323" s="13" t="s">
        <v>4856</v>
      </c>
      <c r="D323" s="1" t="s">
        <v>5053</v>
      </c>
      <c r="E323" s="13" t="s">
        <v>4924</v>
      </c>
      <c r="F323" s="13" t="s">
        <v>3183</v>
      </c>
      <c r="G323" s="13" t="s">
        <v>3183</v>
      </c>
      <c r="H323" s="13" t="s">
        <v>3242</v>
      </c>
      <c r="I323" s="13" t="s">
        <v>3244</v>
      </c>
      <c r="J323" s="13" t="s">
        <v>3667</v>
      </c>
      <c r="K323" s="13" t="s">
        <v>3153</v>
      </c>
      <c r="L323" s="13" t="s">
        <v>3169</v>
      </c>
      <c r="M323" s="13" t="s">
        <v>3497</v>
      </c>
      <c r="N323" s="13" t="s">
        <v>3162</v>
      </c>
      <c r="O323" s="13" t="s">
        <v>3668</v>
      </c>
      <c r="P323" s="13">
        <v>1.0</v>
      </c>
      <c r="Q323" s="13" t="s">
        <v>3160</v>
      </c>
      <c r="R323" s="13" t="s">
        <v>3231</v>
      </c>
      <c r="S323" s="13" t="s">
        <v>33</v>
      </c>
      <c r="T323" s="13" t="s">
        <v>3167</v>
      </c>
      <c r="U323" s="13" t="s">
        <v>3215</v>
      </c>
      <c r="V323" s="13" t="s">
        <v>3215</v>
      </c>
      <c r="W323" s="13" t="s">
        <v>3377</v>
      </c>
      <c r="X323" s="13" t="s">
        <v>3211</v>
      </c>
      <c r="Y323" s="13" t="s">
        <v>3156</v>
      </c>
      <c r="Z323" s="13" t="s">
        <v>3167</v>
      </c>
      <c r="AA323" s="13" t="b">
        <v>0</v>
      </c>
      <c r="AB323" s="48"/>
      <c r="AC323" s="49"/>
    </row>
    <row r="324" ht="14.25" customHeight="1">
      <c r="A324" s="13">
        <v>23951.0</v>
      </c>
      <c r="B324" s="13" t="str">
        <f t="shared" si="3"/>
        <v>Observational</v>
      </c>
      <c r="C324" s="13" t="s">
        <v>4856</v>
      </c>
      <c r="D324" s="1" t="s">
        <v>5053</v>
      </c>
      <c r="E324" s="13" t="s">
        <v>4924</v>
      </c>
      <c r="F324" s="13" t="s">
        <v>3201</v>
      </c>
      <c r="G324" s="13" t="s">
        <v>3201</v>
      </c>
      <c r="H324" s="13" t="s">
        <v>3166</v>
      </c>
      <c r="I324" s="13" t="s">
        <v>3222</v>
      </c>
      <c r="J324" s="13" t="s">
        <v>3229</v>
      </c>
      <c r="K324" s="13" t="s">
        <v>3153</v>
      </c>
      <c r="L324" s="13" t="s">
        <v>3169</v>
      </c>
      <c r="M324" s="13" t="s">
        <v>3497</v>
      </c>
      <c r="N324" s="13" t="s">
        <v>3162</v>
      </c>
      <c r="O324" s="13" t="s">
        <v>33</v>
      </c>
      <c r="P324" s="13">
        <v>1.0</v>
      </c>
      <c r="Q324" s="13" t="s">
        <v>3160</v>
      </c>
      <c r="R324" s="13" t="s">
        <v>3177</v>
      </c>
      <c r="S324" s="13" t="s">
        <v>33</v>
      </c>
      <c r="T324" s="13" t="s">
        <v>3178</v>
      </c>
      <c r="U324" s="13" t="s">
        <v>3164</v>
      </c>
      <c r="V324" s="13" t="s">
        <v>3164</v>
      </c>
      <c r="W324" s="13" t="s">
        <v>3167</v>
      </c>
      <c r="X324" s="13" t="s">
        <v>3192</v>
      </c>
      <c r="Y324" s="13" t="s">
        <v>33</v>
      </c>
      <c r="Z324" s="13" t="s">
        <v>33</v>
      </c>
      <c r="AA324" s="13" t="b">
        <v>0</v>
      </c>
      <c r="AB324" s="48"/>
      <c r="AC324" s="49"/>
    </row>
    <row r="325" ht="14.25" customHeight="1">
      <c r="A325" s="13">
        <v>24717.0</v>
      </c>
      <c r="B325" s="13" t="str">
        <f t="shared" si="3"/>
        <v>Observational</v>
      </c>
      <c r="C325" s="13" t="s">
        <v>4856</v>
      </c>
      <c r="D325" s="1" t="s">
        <v>5143</v>
      </c>
      <c r="E325" s="13" t="s">
        <v>4930</v>
      </c>
      <c r="F325" s="13" t="s">
        <v>3183</v>
      </c>
      <c r="G325" s="13" t="s">
        <v>3159</v>
      </c>
      <c r="H325" s="13" t="s">
        <v>3166</v>
      </c>
      <c r="I325" s="13" t="s">
        <v>3171</v>
      </c>
      <c r="J325" s="13" t="s">
        <v>3378</v>
      </c>
      <c r="K325" s="13" t="s">
        <v>3153</v>
      </c>
      <c r="L325" s="13" t="s">
        <v>3169</v>
      </c>
      <c r="M325" s="13" t="s">
        <v>4007</v>
      </c>
      <c r="N325" s="13" t="s">
        <v>3162</v>
      </c>
      <c r="O325" s="13" t="s">
        <v>4008</v>
      </c>
      <c r="P325" s="13">
        <v>3.0</v>
      </c>
      <c r="Q325" s="13" t="s">
        <v>3160</v>
      </c>
      <c r="R325" s="13" t="s">
        <v>3163</v>
      </c>
      <c r="S325" s="13" t="s">
        <v>33</v>
      </c>
      <c r="T325" s="13" t="s">
        <v>3224</v>
      </c>
      <c r="U325" s="13" t="s">
        <v>3164</v>
      </c>
      <c r="V325" s="13" t="s">
        <v>3164</v>
      </c>
      <c r="W325" s="13" t="s">
        <v>3167</v>
      </c>
      <c r="X325" s="13" t="s">
        <v>3192</v>
      </c>
      <c r="Y325" s="13" t="s">
        <v>3156</v>
      </c>
      <c r="Z325" s="13" t="s">
        <v>33</v>
      </c>
      <c r="AA325" s="13" t="b">
        <v>0</v>
      </c>
      <c r="AB325" s="48"/>
      <c r="AC325" s="49"/>
    </row>
    <row r="326" ht="14.25" customHeight="1">
      <c r="A326" s="13">
        <v>25324.0</v>
      </c>
      <c r="B326" s="13" t="str">
        <f t="shared" si="3"/>
        <v>Observational</v>
      </c>
      <c r="C326" s="13" t="s">
        <v>4864</v>
      </c>
      <c r="D326" s="1" t="s">
        <v>5144</v>
      </c>
      <c r="E326" s="13" t="s">
        <v>5098</v>
      </c>
      <c r="F326" s="13" t="s">
        <v>3208</v>
      </c>
      <c r="G326" s="13" t="s">
        <v>3208</v>
      </c>
      <c r="H326" s="13" t="s">
        <v>3242</v>
      </c>
      <c r="I326" s="13" t="s">
        <v>3249</v>
      </c>
      <c r="J326" s="13" t="s">
        <v>3199</v>
      </c>
      <c r="K326" s="13" t="s">
        <v>3153</v>
      </c>
      <c r="L326" s="13" t="s">
        <v>3179</v>
      </c>
      <c r="M326" s="13" t="s">
        <v>4203</v>
      </c>
      <c r="N326" s="13" t="s">
        <v>3162</v>
      </c>
      <c r="O326" s="13" t="s">
        <v>33</v>
      </c>
      <c r="P326" s="13">
        <v>3.0</v>
      </c>
      <c r="Q326" s="13" t="s">
        <v>3160</v>
      </c>
      <c r="R326" s="13" t="s">
        <v>3163</v>
      </c>
      <c r="S326" s="13" t="s">
        <v>33</v>
      </c>
      <c r="T326" s="13" t="s">
        <v>3167</v>
      </c>
      <c r="U326" s="13" t="s">
        <v>3165</v>
      </c>
      <c r="V326" s="13" t="s">
        <v>3247</v>
      </c>
      <c r="W326" s="13" t="s">
        <v>4204</v>
      </c>
      <c r="X326" s="13" t="s">
        <v>3170</v>
      </c>
      <c r="Y326" s="13" t="s">
        <v>3156</v>
      </c>
      <c r="Z326" s="13" t="s">
        <v>33</v>
      </c>
      <c r="AA326" s="13" t="b">
        <v>0</v>
      </c>
      <c r="AB326" s="48"/>
      <c r="AC326" s="49"/>
    </row>
    <row r="327" ht="14.25" customHeight="1">
      <c r="A327" s="13" t="s">
        <v>852</v>
      </c>
      <c r="B327" s="13" t="str">
        <f t="shared" si="3"/>
        <v>Observational</v>
      </c>
      <c r="C327" s="13" t="s">
        <v>4856</v>
      </c>
      <c r="D327" s="1" t="s">
        <v>5145</v>
      </c>
      <c r="E327" s="13" t="s">
        <v>5146</v>
      </c>
      <c r="F327" s="13" t="s">
        <v>3208</v>
      </c>
      <c r="G327" s="13" t="s">
        <v>3282</v>
      </c>
      <c r="H327" s="13" t="s">
        <v>3253</v>
      </c>
      <c r="I327" s="13" t="s">
        <v>3188</v>
      </c>
      <c r="J327" s="13" t="s">
        <v>3189</v>
      </c>
      <c r="K327" s="13" t="s">
        <v>3153</v>
      </c>
      <c r="L327" s="13" t="s">
        <v>3169</v>
      </c>
      <c r="M327" s="13" t="s">
        <v>4352</v>
      </c>
      <c r="N327" s="13" t="s">
        <v>3162</v>
      </c>
      <c r="O327" s="13" t="s">
        <v>33</v>
      </c>
      <c r="P327" s="13">
        <v>10.0</v>
      </c>
      <c r="Q327" s="13" t="s">
        <v>3160</v>
      </c>
      <c r="R327" s="13" t="s">
        <v>3177</v>
      </c>
      <c r="S327" s="13" t="s">
        <v>33</v>
      </c>
      <c r="T327" s="13" t="s">
        <v>3178</v>
      </c>
      <c r="U327" s="13" t="s">
        <v>3228</v>
      </c>
      <c r="V327" s="13" t="s">
        <v>3252</v>
      </c>
      <c r="W327" s="13" t="s">
        <v>4353</v>
      </c>
      <c r="X327" s="13" t="s">
        <v>3192</v>
      </c>
      <c r="Y327" s="13" t="s">
        <v>3202</v>
      </c>
      <c r="Z327" s="13">
        <v>1000.0</v>
      </c>
      <c r="AA327" s="13" t="b">
        <v>0</v>
      </c>
      <c r="AB327" s="48"/>
      <c r="AC327" s="49"/>
    </row>
    <row r="328" ht="14.25" customHeight="1">
      <c r="A328" s="13">
        <v>24605.0</v>
      </c>
      <c r="B328" s="13" t="str">
        <f t="shared" si="3"/>
        <v>Observational</v>
      </c>
      <c r="C328" s="13" t="s">
        <v>4852</v>
      </c>
      <c r="D328" s="13" t="s">
        <v>5147</v>
      </c>
      <c r="E328" s="13" t="s">
        <v>5098</v>
      </c>
      <c r="F328" s="13" t="s">
        <v>3208</v>
      </c>
      <c r="G328" s="13" t="s">
        <v>3183</v>
      </c>
      <c r="H328" s="13" t="s">
        <v>3166</v>
      </c>
      <c r="I328" s="13" t="s">
        <v>3222</v>
      </c>
      <c r="J328" s="13" t="s">
        <v>3182</v>
      </c>
      <c r="K328" s="13" t="s">
        <v>3153</v>
      </c>
      <c r="L328" s="13" t="s">
        <v>3154</v>
      </c>
      <c r="M328" s="13" t="s">
        <v>3973</v>
      </c>
      <c r="N328" s="13" t="s">
        <v>3162</v>
      </c>
      <c r="O328" s="13" t="s">
        <v>33</v>
      </c>
      <c r="P328" s="13">
        <v>6.0</v>
      </c>
      <c r="Q328" s="13" t="s">
        <v>3160</v>
      </c>
      <c r="R328" s="13" t="s">
        <v>3163</v>
      </c>
      <c r="S328" s="13" t="s">
        <v>3974</v>
      </c>
      <c r="T328" s="13" t="s">
        <v>3225</v>
      </c>
      <c r="U328" s="13" t="s">
        <v>3228</v>
      </c>
      <c r="V328" s="13" t="s">
        <v>3228</v>
      </c>
      <c r="W328" s="13" t="s">
        <v>3167</v>
      </c>
      <c r="X328" s="13" t="s">
        <v>3170</v>
      </c>
      <c r="Y328" s="13" t="s">
        <v>33</v>
      </c>
      <c r="Z328" s="13" t="s">
        <v>33</v>
      </c>
      <c r="AA328" s="13" t="b">
        <v>1</v>
      </c>
      <c r="AB328" s="48"/>
      <c r="AC328" s="49"/>
    </row>
    <row r="329" ht="14.25" customHeight="1">
      <c r="A329" s="13">
        <v>25600.0</v>
      </c>
      <c r="B329" s="13" t="str">
        <f t="shared" si="3"/>
        <v>Observational</v>
      </c>
      <c r="C329" s="13" t="s">
        <v>4856</v>
      </c>
      <c r="D329" s="13" t="s">
        <v>5053</v>
      </c>
      <c r="E329" s="13" t="s">
        <v>4924</v>
      </c>
      <c r="F329" s="13" t="s">
        <v>3208</v>
      </c>
      <c r="G329" s="13" t="s">
        <v>3273</v>
      </c>
      <c r="H329" s="13" t="s">
        <v>3242</v>
      </c>
      <c r="I329" s="13" t="s">
        <v>3188</v>
      </c>
      <c r="J329" s="13" t="s">
        <v>3207</v>
      </c>
      <c r="K329" s="13" t="s">
        <v>3153</v>
      </c>
      <c r="L329" s="13" t="s">
        <v>3169</v>
      </c>
      <c r="M329" s="13" t="s">
        <v>4273</v>
      </c>
      <c r="N329" s="13" t="s">
        <v>3162</v>
      </c>
      <c r="O329" s="13" t="s">
        <v>33</v>
      </c>
      <c r="P329" s="13">
        <v>2.0</v>
      </c>
      <c r="Q329" s="13" t="s">
        <v>3160</v>
      </c>
      <c r="R329" s="13" t="s">
        <v>3163</v>
      </c>
      <c r="S329" s="13" t="s">
        <v>33</v>
      </c>
      <c r="T329" s="13" t="s">
        <v>3167</v>
      </c>
      <c r="U329" s="13" t="s">
        <v>3247</v>
      </c>
      <c r="V329" s="13" t="s">
        <v>3247</v>
      </c>
      <c r="W329" s="13" t="s">
        <v>3572</v>
      </c>
      <c r="X329" s="13" t="s">
        <v>3170</v>
      </c>
      <c r="Y329" s="13" t="s">
        <v>33</v>
      </c>
      <c r="Z329" s="13" t="s">
        <v>33</v>
      </c>
      <c r="AA329" s="13" t="b">
        <v>1</v>
      </c>
      <c r="AB329" s="48"/>
      <c r="AC329" s="49"/>
    </row>
    <row r="330" ht="14.25" customHeight="1">
      <c r="A330" s="13">
        <v>23330.0</v>
      </c>
      <c r="B330" s="13" t="str">
        <f t="shared" si="3"/>
        <v>Observational</v>
      </c>
      <c r="C330" s="13" t="s">
        <v>4855</v>
      </c>
      <c r="D330" s="13" t="s">
        <v>5148</v>
      </c>
      <c r="E330" s="13" t="s">
        <v>4932</v>
      </c>
      <c r="F330" s="13" t="s">
        <v>3183</v>
      </c>
      <c r="G330" s="13" t="s">
        <v>3183</v>
      </c>
      <c r="H330" s="13" t="s">
        <v>3166</v>
      </c>
      <c r="I330" s="13" t="s">
        <v>3167</v>
      </c>
      <c r="J330" s="13" t="s">
        <v>3167</v>
      </c>
      <c r="K330" s="13" t="s">
        <v>3153</v>
      </c>
      <c r="L330" s="13" t="s">
        <v>3395</v>
      </c>
      <c r="M330" s="13" t="s">
        <v>3396</v>
      </c>
      <c r="N330" s="13" t="s">
        <v>3162</v>
      </c>
      <c r="O330" s="13" t="s">
        <v>3397</v>
      </c>
      <c r="P330" s="13">
        <v>3.0</v>
      </c>
      <c r="Q330" s="13" t="s">
        <v>3177</v>
      </c>
      <c r="R330" s="13" t="s">
        <v>3177</v>
      </c>
      <c r="S330" s="13" t="s">
        <v>3397</v>
      </c>
      <c r="T330" s="13" t="s">
        <v>3216</v>
      </c>
      <c r="U330" s="13" t="s">
        <v>3232</v>
      </c>
      <c r="V330" s="13" t="s">
        <v>3232</v>
      </c>
      <c r="W330" s="13" t="s">
        <v>3167</v>
      </c>
      <c r="X330" s="13" t="s">
        <v>3217</v>
      </c>
      <c r="Y330" s="13" t="s">
        <v>3187</v>
      </c>
      <c r="Z330" s="13">
        <v>7770.0</v>
      </c>
      <c r="AA330" s="13" t="b">
        <v>1</v>
      </c>
      <c r="AB330" s="48"/>
      <c r="AC330" s="49"/>
    </row>
    <row r="331" ht="14.25" customHeight="1">
      <c r="A331" s="13">
        <v>23507.0</v>
      </c>
      <c r="B331" s="13" t="str">
        <f t="shared" si="3"/>
        <v>Observational</v>
      </c>
      <c r="C331" s="13" t="s">
        <v>4856</v>
      </c>
      <c r="D331" s="1" t="s">
        <v>5149</v>
      </c>
      <c r="E331" s="13" t="s">
        <v>4932</v>
      </c>
      <c r="F331" s="13" t="s">
        <v>3183</v>
      </c>
      <c r="G331" s="13" t="s">
        <v>3186</v>
      </c>
      <c r="H331" s="13" t="s">
        <v>3166</v>
      </c>
      <c r="I331" s="13" t="s">
        <v>3167</v>
      </c>
      <c r="J331" s="13" t="s">
        <v>3167</v>
      </c>
      <c r="K331" s="13" t="s">
        <v>3153</v>
      </c>
      <c r="L331" s="13" t="s">
        <v>3169</v>
      </c>
      <c r="M331" s="13" t="s">
        <v>3474</v>
      </c>
      <c r="N331" s="13" t="s">
        <v>3175</v>
      </c>
      <c r="O331" s="13" t="s">
        <v>3475</v>
      </c>
      <c r="P331" s="13">
        <v>1.0</v>
      </c>
      <c r="Q331" s="13" t="s">
        <v>3177</v>
      </c>
      <c r="R331" s="13" t="s">
        <v>3177</v>
      </c>
      <c r="S331" s="13" t="s">
        <v>3397</v>
      </c>
      <c r="T331" s="13" t="s">
        <v>3476</v>
      </c>
      <c r="U331" s="13" t="s">
        <v>3197</v>
      </c>
      <c r="V331" s="13" t="s">
        <v>3197</v>
      </c>
      <c r="W331" s="13" t="s">
        <v>3167</v>
      </c>
      <c r="X331" s="13" t="s">
        <v>3217</v>
      </c>
      <c r="Y331" s="13" t="s">
        <v>3156</v>
      </c>
      <c r="Z331" s="13" t="s">
        <v>33</v>
      </c>
      <c r="AA331" s="13" t="b">
        <v>0</v>
      </c>
      <c r="AB331" s="48"/>
      <c r="AC331" s="49"/>
    </row>
    <row r="332" ht="14.25" customHeight="1">
      <c r="A332" s="13">
        <v>24991.0</v>
      </c>
      <c r="B332" s="13" t="str">
        <f t="shared" si="3"/>
        <v>Observational</v>
      </c>
      <c r="C332" s="13" t="s">
        <v>4856</v>
      </c>
      <c r="D332" s="1" t="s">
        <v>5149</v>
      </c>
      <c r="E332" s="13" t="s">
        <v>4932</v>
      </c>
      <c r="F332" s="13" t="s">
        <v>3208</v>
      </c>
      <c r="G332" s="13" t="s">
        <v>3183</v>
      </c>
      <c r="H332" s="13" t="s">
        <v>3166</v>
      </c>
      <c r="I332" s="13" t="s">
        <v>3222</v>
      </c>
      <c r="J332" s="13" t="s">
        <v>3182</v>
      </c>
      <c r="K332" s="13" t="s">
        <v>3153</v>
      </c>
      <c r="L332" s="13" t="s">
        <v>3169</v>
      </c>
      <c r="M332" s="13" t="s">
        <v>3474</v>
      </c>
      <c r="N332" s="13" t="s">
        <v>3162</v>
      </c>
      <c r="O332" s="13" t="s">
        <v>33</v>
      </c>
      <c r="P332" s="13">
        <v>2.0</v>
      </c>
      <c r="Q332" s="13" t="s">
        <v>3160</v>
      </c>
      <c r="R332" s="13" t="s">
        <v>3163</v>
      </c>
      <c r="S332" s="13" t="s">
        <v>4095</v>
      </c>
      <c r="T332" s="13" t="s">
        <v>3224</v>
      </c>
      <c r="U332" s="13" t="s">
        <v>3232</v>
      </c>
      <c r="V332" s="13" t="s">
        <v>3232</v>
      </c>
      <c r="W332" s="13" t="s">
        <v>3167</v>
      </c>
      <c r="X332" s="13" t="s">
        <v>3192</v>
      </c>
      <c r="Y332" s="13" t="s">
        <v>33</v>
      </c>
      <c r="Z332" s="13" t="s">
        <v>33</v>
      </c>
      <c r="AA332" s="13" t="b">
        <v>0</v>
      </c>
      <c r="AB332" s="48"/>
      <c r="AC332" s="49"/>
    </row>
    <row r="333" ht="14.25" customHeight="1">
      <c r="A333" s="13">
        <v>25051.0</v>
      </c>
      <c r="B333" s="13" t="str">
        <f t="shared" si="3"/>
        <v>Observational</v>
      </c>
      <c r="C333" s="13" t="s">
        <v>4856</v>
      </c>
      <c r="D333" s="1" t="s">
        <v>5150</v>
      </c>
      <c r="E333" s="13" t="s">
        <v>4934</v>
      </c>
      <c r="F333" s="13" t="s">
        <v>3287</v>
      </c>
      <c r="G333" s="13" t="s">
        <v>3287</v>
      </c>
      <c r="H333" s="13" t="s">
        <v>3242</v>
      </c>
      <c r="I333" s="13" t="s">
        <v>3157</v>
      </c>
      <c r="J333" s="13" t="s">
        <v>3307</v>
      </c>
      <c r="K333" s="13" t="s">
        <v>3153</v>
      </c>
      <c r="L333" s="13" t="s">
        <v>3169</v>
      </c>
      <c r="M333" s="13" t="s">
        <v>4117</v>
      </c>
      <c r="N333" s="13" t="s">
        <v>3162</v>
      </c>
      <c r="O333" s="13" t="s">
        <v>3167</v>
      </c>
      <c r="P333" s="13">
        <v>2.0</v>
      </c>
      <c r="Q333" s="13" t="s">
        <v>3160</v>
      </c>
      <c r="R333" s="13" t="s">
        <v>3231</v>
      </c>
      <c r="S333" s="13" t="s">
        <v>33</v>
      </c>
      <c r="T333" s="13" t="s">
        <v>3167</v>
      </c>
      <c r="U333" s="13" t="s">
        <v>3164</v>
      </c>
      <c r="V333" s="13" t="s">
        <v>3215</v>
      </c>
      <c r="W333" s="13" t="s">
        <v>3377</v>
      </c>
      <c r="X333" s="13" t="s">
        <v>3170</v>
      </c>
      <c r="Y333" s="13" t="s">
        <v>3202</v>
      </c>
      <c r="Z333" s="13">
        <v>1.0</v>
      </c>
      <c r="AA333" s="13" t="b">
        <v>0</v>
      </c>
      <c r="AB333" s="48"/>
      <c r="AC333" s="49"/>
    </row>
    <row r="334" ht="14.25" customHeight="1">
      <c r="A334" s="13">
        <v>23713.0</v>
      </c>
      <c r="B334" s="13" t="str">
        <f t="shared" si="3"/>
        <v>Observational</v>
      </c>
      <c r="C334" s="13" t="s">
        <v>4856</v>
      </c>
      <c r="D334" s="1" t="s">
        <v>5151</v>
      </c>
      <c r="E334" s="13" t="s">
        <v>4924</v>
      </c>
      <c r="F334" s="13" t="s">
        <v>3208</v>
      </c>
      <c r="G334" s="13" t="s">
        <v>3210</v>
      </c>
      <c r="H334" s="13" t="s">
        <v>3195</v>
      </c>
      <c r="I334" s="13" t="s">
        <v>3171</v>
      </c>
      <c r="J334" s="13" t="s">
        <v>3318</v>
      </c>
      <c r="K334" s="13" t="s">
        <v>3153</v>
      </c>
      <c r="L334" s="13" t="s">
        <v>3169</v>
      </c>
      <c r="M334" s="13" t="s">
        <v>3200</v>
      </c>
      <c r="N334" s="13" t="s">
        <v>3267</v>
      </c>
      <c r="O334" s="13" t="s">
        <v>33</v>
      </c>
      <c r="P334" s="13">
        <v>1.0</v>
      </c>
      <c r="Q334" s="13" t="s">
        <v>3160</v>
      </c>
      <c r="R334" s="13" t="s">
        <v>3163</v>
      </c>
      <c r="S334" s="13" t="s">
        <v>33</v>
      </c>
      <c r="T334" s="13" t="s">
        <v>3167</v>
      </c>
      <c r="U334" s="13" t="s">
        <v>3195</v>
      </c>
      <c r="V334" s="13" t="s">
        <v>3195</v>
      </c>
      <c r="W334" s="13" t="s">
        <v>3167</v>
      </c>
      <c r="X334" s="13" t="s">
        <v>3170</v>
      </c>
      <c r="Y334" s="13" t="s">
        <v>3202</v>
      </c>
      <c r="Z334" s="13">
        <v>10.0</v>
      </c>
      <c r="AA334" s="13" t="b">
        <v>0</v>
      </c>
      <c r="AB334" s="48"/>
      <c r="AC334" s="49"/>
    </row>
    <row r="335" ht="14.25" customHeight="1">
      <c r="A335" s="13">
        <v>24612.0</v>
      </c>
      <c r="B335" s="13" t="str">
        <f t="shared" si="3"/>
        <v>Observational</v>
      </c>
      <c r="C335" s="13" t="s">
        <v>4856</v>
      </c>
      <c r="D335" s="1" t="s">
        <v>5151</v>
      </c>
      <c r="E335" s="13" t="s">
        <v>4924</v>
      </c>
      <c r="F335" s="13" t="s">
        <v>3159</v>
      </c>
      <c r="G335" s="13" t="s">
        <v>3159</v>
      </c>
      <c r="H335" s="13" t="s">
        <v>3242</v>
      </c>
      <c r="I335" s="13" t="s">
        <v>3222</v>
      </c>
      <c r="J335" s="13" t="s">
        <v>3182</v>
      </c>
      <c r="K335" s="13" t="s">
        <v>3153</v>
      </c>
      <c r="L335" s="13" t="s">
        <v>3169</v>
      </c>
      <c r="M335" s="13" t="s">
        <v>3200</v>
      </c>
      <c r="N335" s="13" t="s">
        <v>3267</v>
      </c>
      <c r="O335" s="13" t="s">
        <v>3167</v>
      </c>
      <c r="P335" s="13">
        <v>1.0</v>
      </c>
      <c r="Q335" s="13" t="s">
        <v>3160</v>
      </c>
      <c r="R335" s="13" t="s">
        <v>3231</v>
      </c>
      <c r="S335" s="13" t="s">
        <v>33</v>
      </c>
      <c r="T335" s="13" t="s">
        <v>3167</v>
      </c>
      <c r="U335" s="13" t="s">
        <v>3164</v>
      </c>
      <c r="V335" s="13" t="s">
        <v>3215</v>
      </c>
      <c r="W335" s="13" t="s">
        <v>3377</v>
      </c>
      <c r="X335" s="13" t="s">
        <v>3192</v>
      </c>
      <c r="Y335" s="13" t="s">
        <v>3156</v>
      </c>
      <c r="Z335" s="13" t="s">
        <v>3167</v>
      </c>
      <c r="AA335" s="13" t="b">
        <v>0</v>
      </c>
      <c r="AB335" s="48"/>
      <c r="AC335" s="49"/>
    </row>
    <row r="336" ht="14.25" customHeight="1">
      <c r="A336" s="13">
        <v>23022.0</v>
      </c>
      <c r="B336" s="13" t="str">
        <f t="shared" si="3"/>
        <v>Observational</v>
      </c>
      <c r="C336" s="13" t="s">
        <v>4856</v>
      </c>
      <c r="D336" s="1" t="s">
        <v>5151</v>
      </c>
      <c r="E336" s="13" t="s">
        <v>4924</v>
      </c>
      <c r="F336" s="13" t="s">
        <v>3159</v>
      </c>
      <c r="G336" s="13" t="s">
        <v>3201</v>
      </c>
      <c r="H336" s="13" t="s">
        <v>3166</v>
      </c>
      <c r="I336" s="13" t="s">
        <v>3157</v>
      </c>
      <c r="J336" s="13" t="s">
        <v>3199</v>
      </c>
      <c r="K336" s="13" t="s">
        <v>3153</v>
      </c>
      <c r="L336" s="13" t="s">
        <v>3169</v>
      </c>
      <c r="M336" s="13" t="s">
        <v>3200</v>
      </c>
      <c r="N336" s="13" t="s">
        <v>3162</v>
      </c>
      <c r="O336" s="13" t="s">
        <v>3167</v>
      </c>
      <c r="P336" s="13">
        <v>1.0</v>
      </c>
      <c r="Q336" s="13" t="s">
        <v>3160</v>
      </c>
      <c r="R336" s="13" t="s">
        <v>3177</v>
      </c>
      <c r="S336" s="13" t="s">
        <v>33</v>
      </c>
      <c r="T336" s="13" t="s">
        <v>3178</v>
      </c>
      <c r="U336" s="13" t="s">
        <v>3164</v>
      </c>
      <c r="V336" s="13" t="s">
        <v>3164</v>
      </c>
      <c r="W336" s="13" t="s">
        <v>3167</v>
      </c>
      <c r="X336" s="13" t="s">
        <v>3192</v>
      </c>
      <c r="Y336" s="13" t="s">
        <v>3187</v>
      </c>
      <c r="Z336" s="13">
        <v>1.0</v>
      </c>
      <c r="AA336" s="13" t="b">
        <v>0</v>
      </c>
      <c r="AB336" s="48"/>
      <c r="AC336" s="49"/>
    </row>
    <row r="337" ht="14.25" customHeight="1">
      <c r="A337" s="13">
        <v>24133.0</v>
      </c>
      <c r="B337" s="13" t="str">
        <f t="shared" si="3"/>
        <v>Observational</v>
      </c>
      <c r="C337" s="13" t="s">
        <v>4856</v>
      </c>
      <c r="D337" s="1" t="s">
        <v>5151</v>
      </c>
      <c r="E337" s="13" t="s">
        <v>4924</v>
      </c>
      <c r="F337" s="13" t="s">
        <v>3159</v>
      </c>
      <c r="G337" s="13" t="s">
        <v>3287</v>
      </c>
      <c r="H337" s="13" t="s">
        <v>3242</v>
      </c>
      <c r="I337" s="13" t="s">
        <v>3171</v>
      </c>
      <c r="J337" s="13" t="s">
        <v>3374</v>
      </c>
      <c r="K337" s="13" t="s">
        <v>3153</v>
      </c>
      <c r="L337" s="13" t="s">
        <v>3169</v>
      </c>
      <c r="M337" s="13" t="s">
        <v>3200</v>
      </c>
      <c r="N337" s="13" t="s">
        <v>3162</v>
      </c>
      <c r="O337" s="13" t="s">
        <v>3167</v>
      </c>
      <c r="P337" s="13">
        <v>1.0</v>
      </c>
      <c r="Q337" s="13" t="s">
        <v>3160</v>
      </c>
      <c r="R337" s="13" t="s">
        <v>3231</v>
      </c>
      <c r="S337" s="13" t="s">
        <v>33</v>
      </c>
      <c r="T337" s="13" t="s">
        <v>3167</v>
      </c>
      <c r="U337" s="13" t="s">
        <v>3164</v>
      </c>
      <c r="V337" s="13" t="s">
        <v>3197</v>
      </c>
      <c r="W337" s="13" t="s">
        <v>3728</v>
      </c>
      <c r="X337" s="13" t="s">
        <v>3170</v>
      </c>
      <c r="Y337" s="13" t="s">
        <v>3156</v>
      </c>
      <c r="Z337" s="13" t="s">
        <v>3167</v>
      </c>
      <c r="AA337" s="13" t="b">
        <v>0</v>
      </c>
      <c r="AB337" s="48"/>
      <c r="AC337" s="49"/>
    </row>
    <row r="338" ht="14.25" customHeight="1">
      <c r="A338" s="13">
        <v>24145.0</v>
      </c>
      <c r="B338" s="13" t="str">
        <f t="shared" si="3"/>
        <v>Observational</v>
      </c>
      <c r="C338" s="13" t="s">
        <v>4856</v>
      </c>
      <c r="D338" s="1" t="s">
        <v>5151</v>
      </c>
      <c r="E338" s="13" t="s">
        <v>4924</v>
      </c>
      <c r="F338" s="13" t="s">
        <v>3208</v>
      </c>
      <c r="G338" s="13" t="s">
        <v>3208</v>
      </c>
      <c r="H338" s="13" t="s">
        <v>3242</v>
      </c>
      <c r="I338" s="13" t="s">
        <v>3188</v>
      </c>
      <c r="J338" s="13" t="s">
        <v>3432</v>
      </c>
      <c r="K338" s="13" t="s">
        <v>3153</v>
      </c>
      <c r="L338" s="13" t="s">
        <v>3169</v>
      </c>
      <c r="M338" s="13" t="s">
        <v>3200</v>
      </c>
      <c r="N338" s="13" t="s">
        <v>3162</v>
      </c>
      <c r="O338" s="13" t="s">
        <v>33</v>
      </c>
      <c r="P338" s="13">
        <v>1.0</v>
      </c>
      <c r="Q338" s="13" t="s">
        <v>3177</v>
      </c>
      <c r="R338" s="13" t="s">
        <v>3163</v>
      </c>
      <c r="S338" s="13" t="s">
        <v>33</v>
      </c>
      <c r="T338" s="13" t="s">
        <v>3167</v>
      </c>
      <c r="U338" s="13" t="s">
        <v>3247</v>
      </c>
      <c r="V338" s="13" t="s">
        <v>3247</v>
      </c>
      <c r="W338" s="13" t="s">
        <v>3496</v>
      </c>
      <c r="X338" s="13" t="s">
        <v>3192</v>
      </c>
      <c r="Y338" s="13" t="s">
        <v>3187</v>
      </c>
      <c r="Z338" s="13">
        <v>1.0</v>
      </c>
      <c r="AA338" s="13" t="b">
        <v>0</v>
      </c>
      <c r="AB338" s="48"/>
      <c r="AC338" s="49"/>
    </row>
    <row r="339" ht="14.25" customHeight="1">
      <c r="A339" s="13">
        <v>24199.0</v>
      </c>
      <c r="B339" s="13" t="str">
        <f t="shared" si="3"/>
        <v>Observational</v>
      </c>
      <c r="C339" s="13" t="s">
        <v>4852</v>
      </c>
      <c r="D339" s="1" t="s">
        <v>5151</v>
      </c>
      <c r="E339" s="13" t="s">
        <v>4924</v>
      </c>
      <c r="F339" s="13" t="s">
        <v>3183</v>
      </c>
      <c r="G339" s="13" t="s">
        <v>3173</v>
      </c>
      <c r="H339" s="13" t="s">
        <v>3166</v>
      </c>
      <c r="I339" s="13" t="s">
        <v>3203</v>
      </c>
      <c r="J339" s="13" t="s">
        <v>3204</v>
      </c>
      <c r="K339" s="13" t="s">
        <v>3153</v>
      </c>
      <c r="L339" s="13" t="s">
        <v>3154</v>
      </c>
      <c r="M339" s="13" t="s">
        <v>3200</v>
      </c>
      <c r="N339" s="13" t="s">
        <v>3162</v>
      </c>
      <c r="O339" s="13" t="s">
        <v>3795</v>
      </c>
      <c r="P339" s="13">
        <v>1.0</v>
      </c>
      <c r="Q339" s="13" t="s">
        <v>3177</v>
      </c>
      <c r="R339" s="13" t="s">
        <v>3231</v>
      </c>
      <c r="S339" s="13" t="s">
        <v>33</v>
      </c>
      <c r="T339" s="13" t="s">
        <v>3255</v>
      </c>
      <c r="U339" s="13" t="s">
        <v>3197</v>
      </c>
      <c r="V339" s="13" t="s">
        <v>3197</v>
      </c>
      <c r="W339" s="13" t="s">
        <v>3167</v>
      </c>
      <c r="X339" s="13" t="s">
        <v>3192</v>
      </c>
      <c r="Y339" s="13" t="s">
        <v>3156</v>
      </c>
      <c r="Z339" s="13" t="s">
        <v>3167</v>
      </c>
      <c r="AA339" s="13" t="b">
        <v>0</v>
      </c>
      <c r="AB339" s="48"/>
      <c r="AC339" s="49"/>
    </row>
    <row r="340" ht="14.25" customHeight="1">
      <c r="A340" s="13">
        <v>24258.0</v>
      </c>
      <c r="B340" s="13" t="str">
        <f t="shared" si="3"/>
        <v>Observational</v>
      </c>
      <c r="C340" s="13" t="s">
        <v>4856</v>
      </c>
      <c r="D340" s="1" t="s">
        <v>5151</v>
      </c>
      <c r="E340" s="13" t="s">
        <v>4924</v>
      </c>
      <c r="F340" s="13" t="s">
        <v>3287</v>
      </c>
      <c r="G340" s="13" t="s">
        <v>3437</v>
      </c>
      <c r="H340" s="13" t="s">
        <v>3166</v>
      </c>
      <c r="I340" s="13" t="s">
        <v>3188</v>
      </c>
      <c r="J340" s="13" t="s">
        <v>3432</v>
      </c>
      <c r="K340" s="13" t="s">
        <v>3153</v>
      </c>
      <c r="L340" s="13" t="s">
        <v>3169</v>
      </c>
      <c r="M340" s="13" t="s">
        <v>3200</v>
      </c>
      <c r="N340" s="13" t="s">
        <v>3162</v>
      </c>
      <c r="O340" s="13" t="s">
        <v>3167</v>
      </c>
      <c r="P340" s="13">
        <v>1.0</v>
      </c>
      <c r="Q340" s="13" t="s">
        <v>3160</v>
      </c>
      <c r="R340" s="13" t="s">
        <v>3231</v>
      </c>
      <c r="S340" s="13" t="s">
        <v>33</v>
      </c>
      <c r="T340" s="13" t="s">
        <v>3178</v>
      </c>
      <c r="U340" s="13" t="s">
        <v>3164</v>
      </c>
      <c r="V340" s="13" t="s">
        <v>3164</v>
      </c>
      <c r="W340" s="13" t="s">
        <v>3167</v>
      </c>
      <c r="X340" s="13" t="s">
        <v>3170</v>
      </c>
      <c r="Y340" s="13" t="s">
        <v>3156</v>
      </c>
      <c r="Z340" s="13" t="s">
        <v>3202</v>
      </c>
      <c r="AA340" s="13" t="b">
        <v>0</v>
      </c>
      <c r="AB340" s="48"/>
      <c r="AC340" s="49"/>
    </row>
    <row r="341" ht="14.25" customHeight="1">
      <c r="A341" s="13">
        <v>24395.0</v>
      </c>
      <c r="B341" s="13" t="str">
        <f t="shared" si="3"/>
        <v>Observational</v>
      </c>
      <c r="C341" s="13" t="s">
        <v>4856</v>
      </c>
      <c r="D341" s="1" t="s">
        <v>5151</v>
      </c>
      <c r="E341" s="13" t="s">
        <v>4924</v>
      </c>
      <c r="F341" s="13" t="s">
        <v>3159</v>
      </c>
      <c r="G341" s="13" t="s">
        <v>3335</v>
      </c>
      <c r="H341" s="13" t="s">
        <v>3242</v>
      </c>
      <c r="I341" s="13" t="s">
        <v>3171</v>
      </c>
      <c r="J341" s="13" t="s">
        <v>3364</v>
      </c>
      <c r="K341" s="13" t="s">
        <v>3153</v>
      </c>
      <c r="L341" s="13" t="s">
        <v>3169</v>
      </c>
      <c r="M341" s="13" t="s">
        <v>3200</v>
      </c>
      <c r="N341" s="13" t="s">
        <v>3162</v>
      </c>
      <c r="O341" s="13" t="s">
        <v>33</v>
      </c>
      <c r="P341" s="13">
        <v>1.0</v>
      </c>
      <c r="Q341" s="13" t="s">
        <v>3160</v>
      </c>
      <c r="R341" s="13" t="s">
        <v>3163</v>
      </c>
      <c r="S341" s="13" t="s">
        <v>3880</v>
      </c>
      <c r="T341" s="13" t="s">
        <v>3167</v>
      </c>
      <c r="U341" s="13" t="s">
        <v>3247</v>
      </c>
      <c r="V341" s="13" t="s">
        <v>3247</v>
      </c>
      <c r="W341" s="13" t="s">
        <v>3634</v>
      </c>
      <c r="X341" s="13" t="s">
        <v>3170</v>
      </c>
      <c r="Y341" s="13" t="s">
        <v>3156</v>
      </c>
      <c r="Z341" s="13" t="s">
        <v>33</v>
      </c>
      <c r="AA341" s="13" t="b">
        <v>0</v>
      </c>
      <c r="AB341" s="48"/>
      <c r="AC341" s="49"/>
    </row>
    <row r="342" ht="14.25" customHeight="1">
      <c r="A342" s="13">
        <v>25139.0</v>
      </c>
      <c r="B342" s="13" t="str">
        <f t="shared" si="3"/>
        <v>Observational</v>
      </c>
      <c r="C342" s="13" t="s">
        <v>4856</v>
      </c>
      <c r="D342" s="1" t="s">
        <v>5151</v>
      </c>
      <c r="E342" s="13" t="s">
        <v>4924</v>
      </c>
      <c r="F342" s="13" t="s">
        <v>3183</v>
      </c>
      <c r="G342" s="13" t="s">
        <v>3186</v>
      </c>
      <c r="H342" s="13" t="s">
        <v>3253</v>
      </c>
      <c r="I342" s="13" t="s">
        <v>3167</v>
      </c>
      <c r="J342" s="13" t="s">
        <v>3167</v>
      </c>
      <c r="K342" s="13" t="s">
        <v>3153</v>
      </c>
      <c r="L342" s="13" t="s">
        <v>3169</v>
      </c>
      <c r="M342" s="13" t="s">
        <v>3200</v>
      </c>
      <c r="N342" s="13" t="s">
        <v>3162</v>
      </c>
      <c r="O342" s="13" t="s">
        <v>3689</v>
      </c>
      <c r="P342" s="13">
        <v>1.0</v>
      </c>
      <c r="Q342" s="13" t="s">
        <v>3177</v>
      </c>
      <c r="R342" s="13" t="s">
        <v>3177</v>
      </c>
      <c r="S342" s="13" t="s">
        <v>33</v>
      </c>
      <c r="T342" s="13" t="s">
        <v>3755</v>
      </c>
      <c r="U342" s="13" t="s">
        <v>3252</v>
      </c>
      <c r="V342" s="13" t="s">
        <v>3252</v>
      </c>
      <c r="W342" s="13" t="s">
        <v>3755</v>
      </c>
      <c r="X342" s="13" t="s">
        <v>3217</v>
      </c>
      <c r="Y342" s="13" t="s">
        <v>3180</v>
      </c>
      <c r="Z342" s="13">
        <v>30.0</v>
      </c>
      <c r="AA342" s="13" t="b">
        <v>0</v>
      </c>
      <c r="AB342" s="48"/>
      <c r="AC342" s="49"/>
    </row>
    <row r="343" ht="14.25" customHeight="1">
      <c r="A343" s="13">
        <v>25585.0</v>
      </c>
      <c r="B343" s="13" t="str">
        <f t="shared" si="3"/>
        <v>Observational</v>
      </c>
      <c r="C343" s="13" t="s">
        <v>4856</v>
      </c>
      <c r="D343" s="1" t="s">
        <v>5151</v>
      </c>
      <c r="E343" s="13" t="s">
        <v>4924</v>
      </c>
      <c r="F343" s="13" t="s">
        <v>3159</v>
      </c>
      <c r="G343" s="13" t="s">
        <v>3159</v>
      </c>
      <c r="H343" s="13" t="s">
        <v>3242</v>
      </c>
      <c r="I343" s="13" t="s">
        <v>3203</v>
      </c>
      <c r="J343" s="13" t="s">
        <v>3204</v>
      </c>
      <c r="K343" s="13" t="s">
        <v>3153</v>
      </c>
      <c r="L343" s="13" t="s">
        <v>3169</v>
      </c>
      <c r="M343" s="13" t="s">
        <v>3200</v>
      </c>
      <c r="N343" s="13" t="s">
        <v>3162</v>
      </c>
      <c r="O343" s="13" t="s">
        <v>33</v>
      </c>
      <c r="P343" s="13">
        <v>1.0</v>
      </c>
      <c r="Q343" s="13" t="s">
        <v>3160</v>
      </c>
      <c r="R343" s="13" t="s">
        <v>3163</v>
      </c>
      <c r="S343" s="13" t="s">
        <v>33</v>
      </c>
      <c r="T343" s="13" t="s">
        <v>3167</v>
      </c>
      <c r="U343" s="13" t="s">
        <v>3164</v>
      </c>
      <c r="V343" s="13" t="s">
        <v>3164</v>
      </c>
      <c r="W343" s="13" t="s">
        <v>4271</v>
      </c>
      <c r="X343" s="13" t="s">
        <v>3192</v>
      </c>
      <c r="Y343" s="13" t="s">
        <v>3156</v>
      </c>
      <c r="Z343" s="13" t="s">
        <v>33</v>
      </c>
      <c r="AA343" s="13" t="b">
        <v>0</v>
      </c>
      <c r="AB343" s="48"/>
      <c r="AC343" s="49"/>
    </row>
    <row r="344" ht="14.25" customHeight="1">
      <c r="A344" s="13">
        <v>25894.0</v>
      </c>
      <c r="B344" s="13" t="str">
        <f t="shared" si="3"/>
        <v>Observational</v>
      </c>
      <c r="C344" s="13" t="s">
        <v>4856</v>
      </c>
      <c r="D344" s="1" t="s">
        <v>5151</v>
      </c>
      <c r="E344" s="13" t="s">
        <v>4924</v>
      </c>
      <c r="F344" s="13" t="s">
        <v>3338</v>
      </c>
      <c r="G344" s="13" t="s">
        <v>3173</v>
      </c>
      <c r="H344" s="13" t="s">
        <v>3166</v>
      </c>
      <c r="I344" s="13" t="s">
        <v>3157</v>
      </c>
      <c r="J344" s="13" t="s">
        <v>3199</v>
      </c>
      <c r="K344" s="13" t="s">
        <v>3153</v>
      </c>
      <c r="L344" s="13" t="s">
        <v>3169</v>
      </c>
      <c r="M344" s="13" t="s">
        <v>3200</v>
      </c>
      <c r="N344" s="13" t="s">
        <v>3162</v>
      </c>
      <c r="O344" s="13" t="s">
        <v>4379</v>
      </c>
      <c r="P344" s="13">
        <v>1.0</v>
      </c>
      <c r="Q344" s="13" t="s">
        <v>3177</v>
      </c>
      <c r="R344" s="13" t="s">
        <v>3177</v>
      </c>
      <c r="S344" s="13" t="s">
        <v>33</v>
      </c>
      <c r="T344" s="13" t="s">
        <v>4380</v>
      </c>
      <c r="U344" s="13" t="s">
        <v>3232</v>
      </c>
      <c r="V344" s="13" t="s">
        <v>3197</v>
      </c>
      <c r="W344" s="13" t="s">
        <v>3167</v>
      </c>
      <c r="X344" s="13" t="s">
        <v>3155</v>
      </c>
      <c r="Y344" s="13" t="s">
        <v>3187</v>
      </c>
      <c r="Z344" s="13">
        <v>100.0</v>
      </c>
      <c r="AA344" s="13" t="b">
        <v>0</v>
      </c>
      <c r="AB344" s="48"/>
      <c r="AC344" s="49"/>
    </row>
    <row r="345" ht="14.25" customHeight="1">
      <c r="A345" s="13">
        <v>25688.0</v>
      </c>
      <c r="B345" s="13" t="str">
        <f t="shared" si="3"/>
        <v>Observational</v>
      </c>
      <c r="C345" s="13" t="s">
        <v>4856</v>
      </c>
      <c r="D345" s="1" t="s">
        <v>5152</v>
      </c>
      <c r="E345" s="13" t="s">
        <v>5153</v>
      </c>
      <c r="F345" s="13" t="s">
        <v>3287</v>
      </c>
      <c r="G345" s="13" t="s">
        <v>3335</v>
      </c>
      <c r="H345" s="13" t="s">
        <v>3195</v>
      </c>
      <c r="I345" s="13" t="s">
        <v>3157</v>
      </c>
      <c r="J345" s="13" t="s">
        <v>3924</v>
      </c>
      <c r="K345" s="13" t="s">
        <v>3153</v>
      </c>
      <c r="L345" s="13" t="s">
        <v>3169</v>
      </c>
      <c r="M345" s="13" t="s">
        <v>4303</v>
      </c>
      <c r="N345" s="13" t="s">
        <v>3162</v>
      </c>
      <c r="O345" s="13" t="s">
        <v>33</v>
      </c>
      <c r="P345" s="13">
        <v>6.0</v>
      </c>
      <c r="Q345" s="13" t="s">
        <v>3160</v>
      </c>
      <c r="R345" s="13" t="s">
        <v>3163</v>
      </c>
      <c r="S345" s="13" t="s">
        <v>3601</v>
      </c>
      <c r="T345" s="13" t="s">
        <v>3167</v>
      </c>
      <c r="U345" s="13" t="s">
        <v>3195</v>
      </c>
      <c r="V345" s="13" t="s">
        <v>3195</v>
      </c>
      <c r="W345" s="13" t="s">
        <v>3167</v>
      </c>
      <c r="X345" s="13" t="s">
        <v>3170</v>
      </c>
      <c r="Y345" s="13" t="s">
        <v>3202</v>
      </c>
      <c r="Z345" s="13">
        <v>0.5</v>
      </c>
      <c r="AA345" s="13" t="b">
        <v>0</v>
      </c>
      <c r="AB345" s="48"/>
      <c r="AC345" s="49"/>
    </row>
    <row r="346" ht="14.25" customHeight="1">
      <c r="A346" s="13">
        <v>25012.0</v>
      </c>
      <c r="B346" s="13" t="str">
        <f t="shared" si="3"/>
        <v>Observational</v>
      </c>
      <c r="C346" s="13" t="s">
        <v>4856</v>
      </c>
      <c r="D346" s="1" t="s">
        <v>5154</v>
      </c>
      <c r="E346" s="13" t="s">
        <v>5098</v>
      </c>
      <c r="F346" s="13" t="s">
        <v>3173</v>
      </c>
      <c r="G346" s="13" t="s">
        <v>3335</v>
      </c>
      <c r="H346" s="13" t="s">
        <v>3195</v>
      </c>
      <c r="I346" s="13" t="s">
        <v>3171</v>
      </c>
      <c r="J346" s="13" t="s">
        <v>3378</v>
      </c>
      <c r="K346" s="13" t="s">
        <v>3153</v>
      </c>
      <c r="L346" s="13" t="s">
        <v>3169</v>
      </c>
      <c r="M346" s="13" t="s">
        <v>4102</v>
      </c>
      <c r="N346" s="13" t="s">
        <v>3162</v>
      </c>
      <c r="O346" s="13" t="s">
        <v>33</v>
      </c>
      <c r="P346" s="13">
        <v>2.0</v>
      </c>
      <c r="Q346" s="13" t="s">
        <v>3160</v>
      </c>
      <c r="R346" s="13" t="s">
        <v>3163</v>
      </c>
      <c r="S346" s="13" t="s">
        <v>4103</v>
      </c>
      <c r="T346" s="13" t="s">
        <v>3167</v>
      </c>
      <c r="U346" s="13" t="s">
        <v>3195</v>
      </c>
      <c r="V346" s="13" t="s">
        <v>3195</v>
      </c>
      <c r="W346" s="13" t="s">
        <v>3167</v>
      </c>
      <c r="X346" s="13" t="s">
        <v>3192</v>
      </c>
      <c r="Y346" s="13" t="s">
        <v>3156</v>
      </c>
      <c r="Z346" s="13" t="s">
        <v>33</v>
      </c>
      <c r="AA346" s="13" t="b">
        <v>0</v>
      </c>
      <c r="AB346" s="48"/>
      <c r="AC346" s="49"/>
    </row>
    <row r="347" ht="14.25" customHeight="1">
      <c r="A347" s="13">
        <v>25182.0</v>
      </c>
      <c r="B347" s="13" t="str">
        <f t="shared" si="3"/>
        <v>Observational</v>
      </c>
      <c r="C347" s="13" t="s">
        <v>4856</v>
      </c>
      <c r="D347" s="1" t="s">
        <v>5155</v>
      </c>
      <c r="E347" s="13" t="s">
        <v>4924</v>
      </c>
      <c r="F347" s="13" t="s">
        <v>3186</v>
      </c>
      <c r="G347" s="13" t="s">
        <v>3183</v>
      </c>
      <c r="H347" s="13" t="s">
        <v>3166</v>
      </c>
      <c r="I347" s="13" t="s">
        <v>3167</v>
      </c>
      <c r="J347" s="13" t="s">
        <v>3167</v>
      </c>
      <c r="K347" s="13" t="s">
        <v>3153</v>
      </c>
      <c r="L347" s="13" t="s">
        <v>3169</v>
      </c>
      <c r="M347" s="13" t="s">
        <v>3386</v>
      </c>
      <c r="N347" s="13" t="s">
        <v>3175</v>
      </c>
      <c r="O347" s="13" t="s">
        <v>33</v>
      </c>
      <c r="P347" s="13">
        <v>3.0</v>
      </c>
      <c r="Q347" s="13" t="s">
        <v>3177</v>
      </c>
      <c r="R347" s="13" t="s">
        <v>3177</v>
      </c>
      <c r="S347" s="13" t="s">
        <v>3221</v>
      </c>
      <c r="T347" s="13" t="s">
        <v>3178</v>
      </c>
      <c r="U347" s="13" t="s">
        <v>3232</v>
      </c>
      <c r="V347" s="13" t="s">
        <v>3232</v>
      </c>
      <c r="W347" s="13" t="s">
        <v>3167</v>
      </c>
      <c r="X347" s="13" t="s">
        <v>3217</v>
      </c>
      <c r="Y347" s="13" t="s">
        <v>3180</v>
      </c>
      <c r="Z347" s="13">
        <v>1.0</v>
      </c>
      <c r="AA347" s="13" t="b">
        <v>0</v>
      </c>
      <c r="AB347" s="48"/>
      <c r="AC347" s="49"/>
    </row>
    <row r="348" ht="14.25" customHeight="1">
      <c r="A348" s="13">
        <v>23304.0</v>
      </c>
      <c r="B348" s="13" t="str">
        <f t="shared" si="3"/>
        <v>Observational</v>
      </c>
      <c r="C348" s="13" t="s">
        <v>4856</v>
      </c>
      <c r="D348" s="1" t="s">
        <v>5155</v>
      </c>
      <c r="E348" s="13" t="s">
        <v>4924</v>
      </c>
      <c r="F348" s="13" t="s">
        <v>3214</v>
      </c>
      <c r="G348" s="13" t="s">
        <v>3159</v>
      </c>
      <c r="H348" s="13" t="s">
        <v>3166</v>
      </c>
      <c r="I348" s="13" t="s">
        <v>3171</v>
      </c>
      <c r="J348" s="13" t="s">
        <v>3385</v>
      </c>
      <c r="K348" s="13" t="s">
        <v>3153</v>
      </c>
      <c r="L348" s="13" t="s">
        <v>3169</v>
      </c>
      <c r="M348" s="13" t="s">
        <v>3386</v>
      </c>
      <c r="N348" s="13" t="s">
        <v>3162</v>
      </c>
      <c r="O348" s="13" t="s">
        <v>33</v>
      </c>
      <c r="P348" s="13">
        <v>3.0</v>
      </c>
      <c r="Q348" s="13" t="s">
        <v>3177</v>
      </c>
      <c r="R348" s="13" t="s">
        <v>3177</v>
      </c>
      <c r="S348" s="13" t="s">
        <v>33</v>
      </c>
      <c r="T348" s="13" t="s">
        <v>3178</v>
      </c>
      <c r="U348" s="13" t="s">
        <v>3164</v>
      </c>
      <c r="V348" s="13" t="s">
        <v>3232</v>
      </c>
      <c r="W348" s="13" t="s">
        <v>3167</v>
      </c>
      <c r="X348" s="13" t="s">
        <v>3170</v>
      </c>
      <c r="Y348" s="13" t="s">
        <v>3187</v>
      </c>
      <c r="Z348" s="13">
        <v>25.0</v>
      </c>
      <c r="AA348" s="13" t="b">
        <v>0</v>
      </c>
      <c r="AB348" s="48"/>
      <c r="AC348" s="49"/>
    </row>
    <row r="349" ht="14.25" customHeight="1">
      <c r="A349" s="13">
        <v>23424.0</v>
      </c>
      <c r="B349" s="13" t="str">
        <f t="shared" si="3"/>
        <v>Observational</v>
      </c>
      <c r="C349" s="13" t="s">
        <v>4856</v>
      </c>
      <c r="D349" s="1" t="s">
        <v>5156</v>
      </c>
      <c r="E349" s="13" t="s">
        <v>5100</v>
      </c>
      <c r="F349" s="13" t="s">
        <v>3338</v>
      </c>
      <c r="G349" s="13" t="s">
        <v>3186</v>
      </c>
      <c r="H349" s="13" t="s">
        <v>3242</v>
      </c>
      <c r="I349" s="13" t="s">
        <v>3244</v>
      </c>
      <c r="J349" s="13" t="s">
        <v>3442</v>
      </c>
      <c r="K349" s="13" t="s">
        <v>3153</v>
      </c>
      <c r="L349" s="13" t="s">
        <v>3169</v>
      </c>
      <c r="M349" s="13" t="s">
        <v>3443</v>
      </c>
      <c r="N349" s="13" t="s">
        <v>3175</v>
      </c>
      <c r="O349" s="13" t="s">
        <v>3444</v>
      </c>
      <c r="P349" s="13">
        <v>4.0</v>
      </c>
      <c r="Q349" s="13" t="s">
        <v>3177</v>
      </c>
      <c r="R349" s="13" t="s">
        <v>3177</v>
      </c>
      <c r="S349" s="13" t="s">
        <v>33</v>
      </c>
      <c r="T349" s="13" t="s">
        <v>3167</v>
      </c>
      <c r="U349" s="13" t="s">
        <v>3215</v>
      </c>
      <c r="V349" s="13" t="s">
        <v>3215</v>
      </c>
      <c r="W349" s="13" t="s">
        <v>3377</v>
      </c>
      <c r="X349" s="13" t="s">
        <v>3155</v>
      </c>
      <c r="Y349" s="13" t="s">
        <v>3366</v>
      </c>
      <c r="Z349" s="13">
        <v>5.0</v>
      </c>
      <c r="AA349" s="13" t="b">
        <v>0</v>
      </c>
      <c r="AB349" s="48"/>
      <c r="AC349" s="49"/>
    </row>
    <row r="350" ht="14.25" customHeight="1">
      <c r="A350" s="13">
        <v>25080.0</v>
      </c>
      <c r="B350" s="13" t="str">
        <f t="shared" si="3"/>
        <v>Observational</v>
      </c>
      <c r="C350" s="13" t="s">
        <v>4886</v>
      </c>
      <c r="D350" s="13" t="s">
        <v>5157</v>
      </c>
      <c r="E350" s="13" t="s">
        <v>5158</v>
      </c>
      <c r="F350" s="13" t="s">
        <v>3173</v>
      </c>
      <c r="G350" s="13" t="s">
        <v>3173</v>
      </c>
      <c r="H350" s="13" t="s">
        <v>3242</v>
      </c>
      <c r="I350" s="13" t="s">
        <v>3244</v>
      </c>
      <c r="J350" s="13" t="s">
        <v>3245</v>
      </c>
      <c r="K350" s="13" t="s">
        <v>3153</v>
      </c>
      <c r="L350" s="13" t="s">
        <v>3465</v>
      </c>
      <c r="M350" s="13" t="s">
        <v>4130</v>
      </c>
      <c r="N350" s="13" t="s">
        <v>3162</v>
      </c>
      <c r="O350" s="13" t="s">
        <v>4131</v>
      </c>
      <c r="P350" s="13">
        <v>7.0</v>
      </c>
      <c r="Q350" s="13" t="s">
        <v>3160</v>
      </c>
      <c r="R350" s="13" t="s">
        <v>3163</v>
      </c>
      <c r="S350" s="13" t="s">
        <v>4131</v>
      </c>
      <c r="T350" s="13" t="s">
        <v>3167</v>
      </c>
      <c r="U350" s="13" t="s">
        <v>3247</v>
      </c>
      <c r="V350" s="13" t="s">
        <v>3247</v>
      </c>
      <c r="W350" s="13" t="s">
        <v>3356</v>
      </c>
      <c r="X350" s="13" t="s">
        <v>3155</v>
      </c>
      <c r="Y350" s="13" t="s">
        <v>3187</v>
      </c>
      <c r="Z350" s="13">
        <v>100.0</v>
      </c>
      <c r="AA350" s="13" t="b">
        <v>1</v>
      </c>
      <c r="AB350" s="47"/>
      <c r="AC350" s="49"/>
    </row>
    <row r="351" ht="14.25" customHeight="1">
      <c r="A351" s="13">
        <v>24579.0</v>
      </c>
      <c r="B351" s="13" t="str">
        <f t="shared" si="3"/>
        <v>Observational</v>
      </c>
      <c r="C351" s="13" t="s">
        <v>4856</v>
      </c>
      <c r="D351" s="1" t="s">
        <v>5159</v>
      </c>
      <c r="E351" s="13" t="s">
        <v>4924</v>
      </c>
      <c r="F351" s="13" t="s">
        <v>3208</v>
      </c>
      <c r="G351" s="13" t="s">
        <v>3208</v>
      </c>
      <c r="H351" s="13" t="s">
        <v>3242</v>
      </c>
      <c r="I351" s="13" t="s">
        <v>3244</v>
      </c>
      <c r="J351" s="13" t="s">
        <v>3289</v>
      </c>
      <c r="K351" s="13" t="s">
        <v>3153</v>
      </c>
      <c r="L351" s="13" t="s">
        <v>3169</v>
      </c>
      <c r="M351" s="13" t="s">
        <v>3962</v>
      </c>
      <c r="N351" s="13" t="s">
        <v>3162</v>
      </c>
      <c r="O351" s="13" t="s">
        <v>33</v>
      </c>
      <c r="P351" s="13">
        <v>2.0</v>
      </c>
      <c r="Q351" s="13" t="s">
        <v>3160</v>
      </c>
      <c r="R351" s="13" t="s">
        <v>3163</v>
      </c>
      <c r="S351" s="13" t="s">
        <v>33</v>
      </c>
      <c r="T351" s="13" t="s">
        <v>3167</v>
      </c>
      <c r="U351" s="13" t="s">
        <v>3247</v>
      </c>
      <c r="V351" s="13" t="s">
        <v>3247</v>
      </c>
      <c r="W351" s="13" t="s">
        <v>3963</v>
      </c>
      <c r="X351" s="13" t="s">
        <v>3170</v>
      </c>
      <c r="Y351" s="13" t="s">
        <v>3156</v>
      </c>
      <c r="Z351" s="13" t="s">
        <v>33</v>
      </c>
      <c r="AA351" s="13" t="b">
        <v>0</v>
      </c>
      <c r="AB351" s="48"/>
      <c r="AC351" s="49"/>
    </row>
    <row r="352" ht="14.25" customHeight="1">
      <c r="A352" s="13">
        <v>24789.0</v>
      </c>
      <c r="B352" s="13" t="str">
        <f t="shared" si="3"/>
        <v>Observational</v>
      </c>
      <c r="C352" s="13" t="s">
        <v>4856</v>
      </c>
      <c r="D352" s="13" t="s">
        <v>5160</v>
      </c>
      <c r="E352" s="13" t="s">
        <v>4924</v>
      </c>
      <c r="F352" s="13" t="s">
        <v>3208</v>
      </c>
      <c r="G352" s="13" t="s">
        <v>3208</v>
      </c>
      <c r="H352" s="13" t="s">
        <v>3242</v>
      </c>
      <c r="I352" s="13" t="s">
        <v>3171</v>
      </c>
      <c r="J352" s="13" t="s">
        <v>3318</v>
      </c>
      <c r="K352" s="13" t="s">
        <v>3153</v>
      </c>
      <c r="L352" s="13" t="s">
        <v>3169</v>
      </c>
      <c r="M352" s="13" t="s">
        <v>4038</v>
      </c>
      <c r="N352" s="13" t="s">
        <v>3162</v>
      </c>
      <c r="O352" s="13" t="s">
        <v>33</v>
      </c>
      <c r="P352" s="13">
        <v>3.0</v>
      </c>
      <c r="Q352" s="13" t="s">
        <v>3160</v>
      </c>
      <c r="R352" s="13" t="s">
        <v>3163</v>
      </c>
      <c r="S352" s="13" t="s">
        <v>33</v>
      </c>
      <c r="T352" s="13" t="s">
        <v>3167</v>
      </c>
      <c r="U352" s="13" t="s">
        <v>3247</v>
      </c>
      <c r="V352" s="13" t="s">
        <v>3247</v>
      </c>
      <c r="W352" s="13" t="s">
        <v>3248</v>
      </c>
      <c r="X352" s="13" t="s">
        <v>3170</v>
      </c>
      <c r="Y352" s="13" t="s">
        <v>3202</v>
      </c>
      <c r="Z352" s="13">
        <v>30.0</v>
      </c>
      <c r="AA352" s="13" t="b">
        <v>1</v>
      </c>
      <c r="AB352" s="48"/>
      <c r="AC352" s="49"/>
    </row>
    <row r="353" ht="14.25" customHeight="1">
      <c r="A353" s="13">
        <v>23151.0</v>
      </c>
      <c r="B353" s="13" t="str">
        <f t="shared" si="3"/>
        <v>Observational</v>
      </c>
      <c r="C353" s="13" t="s">
        <v>4856</v>
      </c>
      <c r="D353" s="1" t="s">
        <v>5161</v>
      </c>
      <c r="E353" s="13" t="s">
        <v>4932</v>
      </c>
      <c r="F353" s="13" t="s">
        <v>3290</v>
      </c>
      <c r="G353" s="13" t="s">
        <v>3290</v>
      </c>
      <c r="H353" s="13" t="s">
        <v>3242</v>
      </c>
      <c r="I353" s="13" t="s">
        <v>3167</v>
      </c>
      <c r="J353" s="13" t="s">
        <v>3167</v>
      </c>
      <c r="K353" s="13" t="s">
        <v>3153</v>
      </c>
      <c r="L353" s="13" t="s">
        <v>3169</v>
      </c>
      <c r="M353" s="13" t="s">
        <v>3305</v>
      </c>
      <c r="N353" s="13" t="s">
        <v>3162</v>
      </c>
      <c r="O353" s="13" t="s">
        <v>3167</v>
      </c>
      <c r="P353" s="13">
        <v>2.0</v>
      </c>
      <c r="Q353" s="13" t="s">
        <v>3160</v>
      </c>
      <c r="R353" s="13" t="s">
        <v>3231</v>
      </c>
      <c r="S353" s="13" t="s">
        <v>33</v>
      </c>
      <c r="T353" s="13" t="s">
        <v>3167</v>
      </c>
      <c r="U353" s="13" t="s">
        <v>3247</v>
      </c>
      <c r="V353" s="13" t="s">
        <v>3247</v>
      </c>
      <c r="W353" s="13" t="s">
        <v>3248</v>
      </c>
      <c r="X353" s="13" t="s">
        <v>3217</v>
      </c>
      <c r="Y353" s="13" t="s">
        <v>3202</v>
      </c>
      <c r="Z353" s="13">
        <v>500.0</v>
      </c>
      <c r="AA353" s="13" t="b">
        <v>0</v>
      </c>
      <c r="AB353" s="48"/>
      <c r="AC353" s="49"/>
    </row>
    <row r="354" ht="14.25" customHeight="1">
      <c r="A354" s="13">
        <v>25138.0</v>
      </c>
      <c r="B354" s="13" t="str">
        <f t="shared" si="3"/>
        <v>Observational</v>
      </c>
      <c r="C354" s="13" t="s">
        <v>4856</v>
      </c>
      <c r="D354" s="1" t="s">
        <v>5162</v>
      </c>
      <c r="E354" s="13" t="s">
        <v>5163</v>
      </c>
      <c r="F354" s="13" t="s">
        <v>3173</v>
      </c>
      <c r="G354" s="13" t="s">
        <v>3214</v>
      </c>
      <c r="H354" s="13" t="s">
        <v>3166</v>
      </c>
      <c r="I354" s="13" t="s">
        <v>3171</v>
      </c>
      <c r="J354" s="13" t="s">
        <v>4155</v>
      </c>
      <c r="K354" s="13" t="s">
        <v>3153</v>
      </c>
      <c r="L354" s="13" t="s">
        <v>3169</v>
      </c>
      <c r="M354" s="13" t="s">
        <v>4156</v>
      </c>
      <c r="N354" s="13" t="s">
        <v>3162</v>
      </c>
      <c r="O354" s="13" t="s">
        <v>3167</v>
      </c>
      <c r="P354" s="13">
        <v>2.0</v>
      </c>
      <c r="Q354" s="13" t="s">
        <v>3177</v>
      </c>
      <c r="R354" s="13" t="s">
        <v>3231</v>
      </c>
      <c r="S354" s="13" t="s">
        <v>33</v>
      </c>
      <c r="T354" s="13" t="s">
        <v>3216</v>
      </c>
      <c r="U354" s="13" t="s">
        <v>3164</v>
      </c>
      <c r="V354" s="13" t="s">
        <v>3164</v>
      </c>
      <c r="W354" s="13" t="s">
        <v>3167</v>
      </c>
      <c r="X354" s="13" t="s">
        <v>3211</v>
      </c>
      <c r="Y354" s="13" t="s">
        <v>3187</v>
      </c>
      <c r="Z354" s="13">
        <v>100.0</v>
      </c>
      <c r="AA354" s="13" t="b">
        <v>0</v>
      </c>
      <c r="AB354" s="48"/>
      <c r="AC354" s="49"/>
    </row>
    <row r="355" ht="14.25" customHeight="1">
      <c r="A355" s="13">
        <v>23138.0</v>
      </c>
      <c r="B355" s="13" t="str">
        <f t="shared" si="3"/>
        <v>Observational</v>
      </c>
      <c r="C355" s="13" t="s">
        <v>4856</v>
      </c>
      <c r="D355" s="1" t="s">
        <v>5164</v>
      </c>
      <c r="E355" s="13" t="s">
        <v>5163</v>
      </c>
      <c r="F355" s="13" t="s">
        <v>3208</v>
      </c>
      <c r="G355" s="13" t="s">
        <v>3208</v>
      </c>
      <c r="H355" s="13" t="s">
        <v>3242</v>
      </c>
      <c r="I355" s="13" t="s">
        <v>3244</v>
      </c>
      <c r="J355" s="13" t="s">
        <v>3245</v>
      </c>
      <c r="K355" s="13" t="s">
        <v>3153</v>
      </c>
      <c r="L355" s="13" t="s">
        <v>3169</v>
      </c>
      <c r="M355" s="13" t="s">
        <v>3299</v>
      </c>
      <c r="N355" s="13" t="s">
        <v>3162</v>
      </c>
      <c r="O355" s="13" t="s">
        <v>33</v>
      </c>
      <c r="P355" s="13">
        <v>3.0</v>
      </c>
      <c r="Q355" s="13" t="s">
        <v>3160</v>
      </c>
      <c r="R355" s="13" t="s">
        <v>3163</v>
      </c>
      <c r="S355" s="13" t="s">
        <v>33</v>
      </c>
      <c r="T355" s="13" t="s">
        <v>3167</v>
      </c>
      <c r="U355" s="13" t="s">
        <v>3247</v>
      </c>
      <c r="V355" s="13" t="s">
        <v>3247</v>
      </c>
      <c r="W355" s="13" t="s">
        <v>3248</v>
      </c>
      <c r="X355" s="13" t="s">
        <v>3170</v>
      </c>
      <c r="Y355" s="13" t="s">
        <v>3156</v>
      </c>
      <c r="Z355" s="13" t="s">
        <v>33</v>
      </c>
      <c r="AA355" s="13" t="b">
        <v>0</v>
      </c>
      <c r="AB355" s="48"/>
      <c r="AC355" s="49"/>
    </row>
    <row r="356" ht="14.25" customHeight="1">
      <c r="A356" s="13">
        <v>23530.0</v>
      </c>
      <c r="B356" s="13" t="str">
        <f t="shared" si="3"/>
        <v>Observational</v>
      </c>
      <c r="C356" s="13" t="s">
        <v>4856</v>
      </c>
      <c r="D356" s="1" t="s">
        <v>5165</v>
      </c>
      <c r="E356" s="13" t="s">
        <v>4934</v>
      </c>
      <c r="F356" s="13" t="s">
        <v>3159</v>
      </c>
      <c r="G356" s="13" t="s">
        <v>3159</v>
      </c>
      <c r="H356" s="13" t="s">
        <v>3166</v>
      </c>
      <c r="I356" s="13" t="s">
        <v>3157</v>
      </c>
      <c r="J356" s="13" t="s">
        <v>3307</v>
      </c>
      <c r="K356" s="13" t="s">
        <v>3153</v>
      </c>
      <c r="L356" s="13" t="s">
        <v>3169</v>
      </c>
      <c r="M356" s="13" t="s">
        <v>3486</v>
      </c>
      <c r="N356" s="13" t="s">
        <v>3162</v>
      </c>
      <c r="O356" s="13" t="s">
        <v>33</v>
      </c>
      <c r="P356" s="13">
        <v>2.0</v>
      </c>
      <c r="Q356" s="13" t="s">
        <v>3160</v>
      </c>
      <c r="R356" s="13" t="s">
        <v>3163</v>
      </c>
      <c r="S356" s="13" t="s">
        <v>33</v>
      </c>
      <c r="T356" s="13" t="s">
        <v>3178</v>
      </c>
      <c r="U356" s="13" t="s">
        <v>3164</v>
      </c>
      <c r="V356" s="13" t="s">
        <v>3164</v>
      </c>
      <c r="W356" s="13" t="s">
        <v>3167</v>
      </c>
      <c r="X356" s="13" t="s">
        <v>3170</v>
      </c>
      <c r="Y356" s="13" t="s">
        <v>3156</v>
      </c>
      <c r="Z356" s="13" t="s">
        <v>33</v>
      </c>
      <c r="AA356" s="13" t="b">
        <v>0</v>
      </c>
      <c r="AB356" s="48"/>
      <c r="AC356" s="49"/>
    </row>
    <row r="357" ht="14.25" customHeight="1">
      <c r="A357" s="13">
        <v>23282.0</v>
      </c>
      <c r="B357" s="13" t="str">
        <f t="shared" si="3"/>
        <v>Observational</v>
      </c>
      <c r="C357" s="13" t="s">
        <v>4864</v>
      </c>
      <c r="D357" s="1" t="s">
        <v>5166</v>
      </c>
      <c r="E357" s="13" t="s">
        <v>4924</v>
      </c>
      <c r="F357" s="13" t="s">
        <v>3287</v>
      </c>
      <c r="G357" s="13" t="s">
        <v>3186</v>
      </c>
      <c r="H357" s="13" t="s">
        <v>3166</v>
      </c>
      <c r="I357" s="13" t="s">
        <v>3181</v>
      </c>
      <c r="J357" s="13" t="s">
        <v>3229</v>
      </c>
      <c r="K357" s="13" t="s">
        <v>3153</v>
      </c>
      <c r="L357" s="13" t="s">
        <v>3179</v>
      </c>
      <c r="M357" s="13" t="s">
        <v>3373</v>
      </c>
      <c r="N357" s="13" t="s">
        <v>3162</v>
      </c>
      <c r="O357" s="13" t="s">
        <v>33</v>
      </c>
      <c r="P357" s="13">
        <v>1.0</v>
      </c>
      <c r="Q357" s="13" t="s">
        <v>3160</v>
      </c>
      <c r="R357" s="13" t="s">
        <v>3177</v>
      </c>
      <c r="S357" s="13" t="s">
        <v>33</v>
      </c>
      <c r="T357" s="13" t="s">
        <v>3224</v>
      </c>
      <c r="U357" s="13" t="s">
        <v>3232</v>
      </c>
      <c r="V357" s="13" t="s">
        <v>3232</v>
      </c>
      <c r="W357" s="13" t="s">
        <v>3167</v>
      </c>
      <c r="X357" s="13" t="s">
        <v>3170</v>
      </c>
      <c r="Y357" s="13" t="s">
        <v>3156</v>
      </c>
      <c r="Z357" s="13" t="s">
        <v>33</v>
      </c>
      <c r="AA357" s="13" t="b">
        <v>0</v>
      </c>
      <c r="AB357" s="48"/>
      <c r="AC357" s="49"/>
    </row>
    <row r="358" ht="14.25" customHeight="1">
      <c r="A358" s="13">
        <v>23651.0</v>
      </c>
      <c r="B358" s="13" t="str">
        <f t="shared" si="3"/>
        <v>Observational</v>
      </c>
      <c r="C358" s="13" t="s">
        <v>4855</v>
      </c>
      <c r="D358" s="1" t="s">
        <v>5166</v>
      </c>
      <c r="E358" s="13" t="s">
        <v>4924</v>
      </c>
      <c r="F358" s="13" t="s">
        <v>3208</v>
      </c>
      <c r="G358" s="13" t="s">
        <v>3208</v>
      </c>
      <c r="H358" s="13" t="s">
        <v>3242</v>
      </c>
      <c r="I358" s="13" t="s">
        <v>3392</v>
      </c>
      <c r="J358" s="13" t="s">
        <v>3554</v>
      </c>
      <c r="K358" s="13" t="s">
        <v>3153</v>
      </c>
      <c r="L358" s="13" t="s">
        <v>3395</v>
      </c>
      <c r="M358" s="13" t="s">
        <v>3373</v>
      </c>
      <c r="N358" s="13" t="s">
        <v>3162</v>
      </c>
      <c r="O358" s="13" t="s">
        <v>3167</v>
      </c>
      <c r="P358" s="13">
        <v>1.0</v>
      </c>
      <c r="Q358" s="13" t="s">
        <v>3160</v>
      </c>
      <c r="R358" s="13" t="s">
        <v>3231</v>
      </c>
      <c r="S358" s="13" t="s">
        <v>33</v>
      </c>
      <c r="T358" s="13" t="s">
        <v>3167</v>
      </c>
      <c r="U358" s="13" t="s">
        <v>3197</v>
      </c>
      <c r="V358" s="13" t="s">
        <v>3197</v>
      </c>
      <c r="W358" s="13" t="s">
        <v>3481</v>
      </c>
      <c r="X358" s="13" t="s">
        <v>3170</v>
      </c>
      <c r="Y358" s="13" t="s">
        <v>3156</v>
      </c>
      <c r="Z358" s="13" t="s">
        <v>3167</v>
      </c>
      <c r="AA358" s="13" t="b">
        <v>0</v>
      </c>
      <c r="AB358" s="48"/>
      <c r="AC358" s="49"/>
    </row>
    <row r="359" ht="14.25" customHeight="1">
      <c r="A359" s="13">
        <v>24188.0</v>
      </c>
      <c r="B359" s="13" t="str">
        <f t="shared" si="3"/>
        <v>Observational</v>
      </c>
      <c r="C359" s="13" t="s">
        <v>4864</v>
      </c>
      <c r="D359" s="1" t="s">
        <v>5166</v>
      </c>
      <c r="E359" s="13" t="s">
        <v>4924</v>
      </c>
      <c r="F359" s="13" t="s">
        <v>3183</v>
      </c>
      <c r="G359" s="13" t="s">
        <v>3201</v>
      </c>
      <c r="H359" s="13" t="s">
        <v>3166</v>
      </c>
      <c r="I359" s="13" t="s">
        <v>3264</v>
      </c>
      <c r="J359" s="13" t="s">
        <v>3321</v>
      </c>
      <c r="K359" s="13" t="s">
        <v>3153</v>
      </c>
      <c r="L359" s="13" t="s">
        <v>3179</v>
      </c>
      <c r="M359" s="13" t="s">
        <v>3373</v>
      </c>
      <c r="N359" s="13" t="s">
        <v>3162</v>
      </c>
      <c r="O359" s="13" t="s">
        <v>3790</v>
      </c>
      <c r="P359" s="13">
        <v>1.0</v>
      </c>
      <c r="Q359" s="13" t="s">
        <v>3177</v>
      </c>
      <c r="R359" s="13" t="s">
        <v>3260</v>
      </c>
      <c r="S359" s="13" t="s">
        <v>33</v>
      </c>
      <c r="T359" s="13" t="s">
        <v>3178</v>
      </c>
      <c r="U359" s="13" t="s">
        <v>3164</v>
      </c>
      <c r="V359" s="13" t="s">
        <v>3228</v>
      </c>
      <c r="W359" s="13" t="s">
        <v>3167</v>
      </c>
      <c r="X359" s="13" t="s">
        <v>3170</v>
      </c>
      <c r="Y359" s="13" t="s">
        <v>3156</v>
      </c>
      <c r="Z359" s="13" t="s">
        <v>3167</v>
      </c>
      <c r="AA359" s="13" t="b">
        <v>0</v>
      </c>
      <c r="AB359" s="48"/>
      <c r="AC359" s="49"/>
    </row>
    <row r="360" ht="14.25" customHeight="1">
      <c r="A360" s="13">
        <v>24877.0</v>
      </c>
      <c r="B360" s="13" t="str">
        <f t="shared" si="3"/>
        <v>Observational</v>
      </c>
      <c r="C360" s="13" t="s">
        <v>4864</v>
      </c>
      <c r="D360" s="1" t="s">
        <v>5166</v>
      </c>
      <c r="E360" s="13" t="s">
        <v>4924</v>
      </c>
      <c r="F360" s="13" t="s">
        <v>3159</v>
      </c>
      <c r="G360" s="13" t="s">
        <v>3159</v>
      </c>
      <c r="H360" s="13" t="s">
        <v>3166</v>
      </c>
      <c r="I360" s="13" t="s">
        <v>3181</v>
      </c>
      <c r="J360" s="13" t="s">
        <v>3229</v>
      </c>
      <c r="K360" s="13" t="s">
        <v>3153</v>
      </c>
      <c r="L360" s="13" t="s">
        <v>3179</v>
      </c>
      <c r="M360" s="13" t="s">
        <v>3373</v>
      </c>
      <c r="N360" s="13" t="s">
        <v>3162</v>
      </c>
      <c r="O360" s="13" t="s">
        <v>33</v>
      </c>
      <c r="P360" s="13">
        <v>1.0</v>
      </c>
      <c r="Q360" s="13" t="s">
        <v>3160</v>
      </c>
      <c r="R360" s="13" t="s">
        <v>3163</v>
      </c>
      <c r="S360" s="13" t="s">
        <v>33</v>
      </c>
      <c r="T360" s="13" t="s">
        <v>3225</v>
      </c>
      <c r="U360" s="13" t="s">
        <v>3228</v>
      </c>
      <c r="V360" s="13" t="s">
        <v>3228</v>
      </c>
      <c r="W360" s="13" t="s">
        <v>3167</v>
      </c>
      <c r="X360" s="13" t="s">
        <v>3170</v>
      </c>
      <c r="Y360" s="13" t="s">
        <v>3156</v>
      </c>
      <c r="Z360" s="13" t="s">
        <v>33</v>
      </c>
      <c r="AA360" s="13" t="b">
        <v>0</v>
      </c>
      <c r="AB360" s="48"/>
      <c r="AC360" s="49"/>
    </row>
    <row r="361" ht="14.25" customHeight="1">
      <c r="A361" s="13">
        <v>25221.0</v>
      </c>
      <c r="B361" s="13" t="str">
        <f t="shared" si="3"/>
        <v>Observational</v>
      </c>
      <c r="C361" s="13" t="s">
        <v>4852</v>
      </c>
      <c r="D361" s="1" t="s">
        <v>5166</v>
      </c>
      <c r="E361" s="13" t="s">
        <v>4924</v>
      </c>
      <c r="F361" s="13" t="s">
        <v>3159</v>
      </c>
      <c r="G361" s="13" t="s">
        <v>3159</v>
      </c>
      <c r="H361" s="13" t="s">
        <v>3166</v>
      </c>
      <c r="I361" s="13" t="s">
        <v>3222</v>
      </c>
      <c r="J361" s="13" t="s">
        <v>3229</v>
      </c>
      <c r="K361" s="13" t="s">
        <v>3153</v>
      </c>
      <c r="L361" s="13" t="s">
        <v>3154</v>
      </c>
      <c r="M361" s="13" t="s">
        <v>3373</v>
      </c>
      <c r="N361" s="13" t="s">
        <v>3162</v>
      </c>
      <c r="O361" s="13" t="s">
        <v>33</v>
      </c>
      <c r="P361" s="13">
        <v>1.0</v>
      </c>
      <c r="Q361" s="13" t="s">
        <v>3160</v>
      </c>
      <c r="R361" s="13" t="s">
        <v>3163</v>
      </c>
      <c r="S361" s="13" t="s">
        <v>33</v>
      </c>
      <c r="T361" s="13" t="s">
        <v>3225</v>
      </c>
      <c r="U361" s="13" t="s">
        <v>3228</v>
      </c>
      <c r="V361" s="13" t="s">
        <v>3228</v>
      </c>
      <c r="W361" s="13" t="s">
        <v>3167</v>
      </c>
      <c r="X361" s="13" t="s">
        <v>3192</v>
      </c>
      <c r="Y361" s="13" t="s">
        <v>3156</v>
      </c>
      <c r="Z361" s="13" t="s">
        <v>33</v>
      </c>
      <c r="AA361" s="13" t="b">
        <v>0</v>
      </c>
      <c r="AB361" s="48"/>
      <c r="AC361" s="49"/>
    </row>
    <row r="362" ht="14.25" customHeight="1">
      <c r="A362" s="13">
        <v>23266.0</v>
      </c>
      <c r="B362" s="13" t="str">
        <f t="shared" si="3"/>
        <v>Observational</v>
      </c>
      <c r="C362" s="13" t="s">
        <v>4852</v>
      </c>
      <c r="D362" s="1" t="s">
        <v>5167</v>
      </c>
      <c r="E362" s="13" t="s">
        <v>5168</v>
      </c>
      <c r="F362" s="13" t="s">
        <v>3173</v>
      </c>
      <c r="G362" s="13" t="s">
        <v>3159</v>
      </c>
      <c r="H362" s="13" t="s">
        <v>3166</v>
      </c>
      <c r="I362" s="13" t="s">
        <v>3171</v>
      </c>
      <c r="J362" s="13" t="s">
        <v>3364</v>
      </c>
      <c r="K362" s="13" t="s">
        <v>3153</v>
      </c>
      <c r="L362" s="13" t="s">
        <v>3154</v>
      </c>
      <c r="M362" s="13" t="s">
        <v>3365</v>
      </c>
      <c r="N362" s="13" t="s">
        <v>3267</v>
      </c>
      <c r="O362" s="13" t="s">
        <v>33</v>
      </c>
      <c r="P362" s="13">
        <v>5.0</v>
      </c>
      <c r="Q362" s="13" t="s">
        <v>3160</v>
      </c>
      <c r="R362" s="13" t="s">
        <v>3163</v>
      </c>
      <c r="S362" s="13" t="s">
        <v>33</v>
      </c>
      <c r="T362" s="13" t="s">
        <v>3168</v>
      </c>
      <c r="U362" s="13" t="s">
        <v>3164</v>
      </c>
      <c r="V362" s="13" t="s">
        <v>3164</v>
      </c>
      <c r="W362" s="13" t="s">
        <v>3167</v>
      </c>
      <c r="X362" s="13" t="s">
        <v>3170</v>
      </c>
      <c r="Y362" s="13" t="s">
        <v>3156</v>
      </c>
      <c r="Z362" s="13" t="s">
        <v>3167</v>
      </c>
      <c r="AA362" s="13" t="b">
        <v>0</v>
      </c>
      <c r="AB362" s="48"/>
      <c r="AC362" s="49"/>
    </row>
    <row r="363" ht="14.25" customHeight="1">
      <c r="A363" s="13">
        <v>24548.0</v>
      </c>
      <c r="B363" s="13" t="str">
        <f t="shared" si="3"/>
        <v>Observational</v>
      </c>
      <c r="C363" s="13" t="s">
        <v>4856</v>
      </c>
      <c r="D363" s="13" t="s">
        <v>5166</v>
      </c>
      <c r="E363" s="13" t="s">
        <v>5098</v>
      </c>
      <c r="F363" s="13" t="s">
        <v>3287</v>
      </c>
      <c r="G363" s="13" t="s">
        <v>3702</v>
      </c>
      <c r="H363" s="13" t="s">
        <v>3166</v>
      </c>
      <c r="I363" s="13" t="s">
        <v>3188</v>
      </c>
      <c r="J363" s="13" t="s">
        <v>3432</v>
      </c>
      <c r="K363" s="13" t="s">
        <v>3153</v>
      </c>
      <c r="L363" s="13" t="s">
        <v>3169</v>
      </c>
      <c r="M363" s="13" t="s">
        <v>3951</v>
      </c>
      <c r="N363" s="13" t="s">
        <v>3267</v>
      </c>
      <c r="O363" s="13" t="s">
        <v>33</v>
      </c>
      <c r="P363" s="13">
        <v>3.0</v>
      </c>
      <c r="Q363" s="13" t="s">
        <v>3160</v>
      </c>
      <c r="R363" s="13" t="s">
        <v>3163</v>
      </c>
      <c r="S363" s="13" t="s">
        <v>33</v>
      </c>
      <c r="T363" s="13" t="s">
        <v>3224</v>
      </c>
      <c r="U363" s="13" t="s">
        <v>3164</v>
      </c>
      <c r="V363" s="13" t="s">
        <v>3164</v>
      </c>
      <c r="W363" s="13" t="s">
        <v>3167</v>
      </c>
      <c r="X363" s="13" t="s">
        <v>3170</v>
      </c>
      <c r="Y363" s="13" t="s">
        <v>3156</v>
      </c>
      <c r="Z363" s="13" t="s">
        <v>33</v>
      </c>
      <c r="AA363" s="13" t="b">
        <v>1</v>
      </c>
      <c r="AB363" s="48"/>
      <c r="AC363" s="49"/>
    </row>
    <row r="364" ht="14.25" customHeight="1">
      <c r="A364" s="13">
        <v>24977.0</v>
      </c>
      <c r="B364" s="13" t="str">
        <f t="shared" si="3"/>
        <v>Observational</v>
      </c>
      <c r="C364" s="13" t="s">
        <v>4864</v>
      </c>
      <c r="D364" s="1" t="s">
        <v>5169</v>
      </c>
      <c r="E364" s="13" t="s">
        <v>5170</v>
      </c>
      <c r="F364" s="13" t="s">
        <v>3190</v>
      </c>
      <c r="G364" s="13" t="s">
        <v>3190</v>
      </c>
      <c r="H364" s="13" t="s">
        <v>3166</v>
      </c>
      <c r="I364" s="13" t="s">
        <v>3264</v>
      </c>
      <c r="J364" s="13" t="s">
        <v>3204</v>
      </c>
      <c r="K364" s="13" t="s">
        <v>3153</v>
      </c>
      <c r="L364" s="13" t="s">
        <v>3179</v>
      </c>
      <c r="M364" s="13" t="s">
        <v>4093</v>
      </c>
      <c r="N364" s="13" t="s">
        <v>3175</v>
      </c>
      <c r="O364" s="13" t="s">
        <v>3167</v>
      </c>
      <c r="P364" s="13">
        <v>5.0</v>
      </c>
      <c r="Q364" s="13" t="s">
        <v>3160</v>
      </c>
      <c r="R364" s="13" t="s">
        <v>3231</v>
      </c>
      <c r="S364" s="13" t="s">
        <v>33</v>
      </c>
      <c r="T364" s="13" t="s">
        <v>4094</v>
      </c>
      <c r="U364" s="13" t="s">
        <v>3197</v>
      </c>
      <c r="V364" s="13" t="s">
        <v>3197</v>
      </c>
      <c r="W364" s="13" t="s">
        <v>3167</v>
      </c>
      <c r="X364" s="13" t="s">
        <v>3170</v>
      </c>
      <c r="Y364" s="13" t="s">
        <v>3156</v>
      </c>
      <c r="Z364" s="13" t="s">
        <v>3167</v>
      </c>
      <c r="AA364" s="13" t="b">
        <v>0</v>
      </c>
      <c r="AB364" s="48"/>
      <c r="AC364" s="49"/>
    </row>
    <row r="365" ht="14.25" customHeight="1">
      <c r="A365" s="13">
        <v>24776.0</v>
      </c>
      <c r="B365" s="13" t="str">
        <f t="shared" si="3"/>
        <v>Observational</v>
      </c>
      <c r="C365" s="13" t="s">
        <v>4864</v>
      </c>
      <c r="D365" s="13" t="s">
        <v>5171</v>
      </c>
      <c r="E365" s="13" t="s">
        <v>5172</v>
      </c>
      <c r="F365" s="13" t="s">
        <v>3381</v>
      </c>
      <c r="G365" s="13" t="s">
        <v>3381</v>
      </c>
      <c r="H365" s="13" t="s">
        <v>3253</v>
      </c>
      <c r="I365" s="13" t="s">
        <v>3249</v>
      </c>
      <c r="J365" s="13" t="s">
        <v>4032</v>
      </c>
      <c r="K365" s="13" t="s">
        <v>3153</v>
      </c>
      <c r="L365" s="13" t="s">
        <v>3179</v>
      </c>
      <c r="M365" s="13" t="s">
        <v>4033</v>
      </c>
      <c r="N365" s="13" t="s">
        <v>3175</v>
      </c>
      <c r="O365" s="13" t="s">
        <v>3689</v>
      </c>
      <c r="P365" s="13">
        <v>10.0</v>
      </c>
      <c r="Q365" s="13" t="s">
        <v>3177</v>
      </c>
      <c r="R365" s="13" t="s">
        <v>3177</v>
      </c>
      <c r="S365" s="13" t="s">
        <v>3689</v>
      </c>
      <c r="T365" s="13" t="s">
        <v>4034</v>
      </c>
      <c r="U365" s="13" t="s">
        <v>3252</v>
      </c>
      <c r="V365" s="13" t="s">
        <v>3252</v>
      </c>
      <c r="W365" s="13" t="s">
        <v>3356</v>
      </c>
      <c r="X365" s="13" t="s">
        <v>3211</v>
      </c>
      <c r="Y365" s="13" t="s">
        <v>3202</v>
      </c>
      <c r="Z365" s="13">
        <v>500.0</v>
      </c>
      <c r="AA365" s="13" t="b">
        <v>1</v>
      </c>
      <c r="AB365" s="48"/>
      <c r="AC365" s="49"/>
    </row>
    <row r="366" ht="14.25" customHeight="1">
      <c r="A366" s="13">
        <v>23864.0</v>
      </c>
      <c r="B366" s="13" t="str">
        <f t="shared" si="3"/>
        <v>Observational</v>
      </c>
      <c r="C366" s="13" t="s">
        <v>4864</v>
      </c>
      <c r="D366" s="1" t="s">
        <v>5173</v>
      </c>
      <c r="E366" s="13" t="s">
        <v>5174</v>
      </c>
      <c r="F366" s="13" t="s">
        <v>3381</v>
      </c>
      <c r="G366" s="13" t="s">
        <v>3335</v>
      </c>
      <c r="H366" s="13" t="s">
        <v>3195</v>
      </c>
      <c r="I366" s="13" t="s">
        <v>3249</v>
      </c>
      <c r="J366" s="13" t="s">
        <v>3307</v>
      </c>
      <c r="K366" s="13" t="s">
        <v>3153</v>
      </c>
      <c r="L366" s="13" t="s">
        <v>3179</v>
      </c>
      <c r="M366" s="13" t="s">
        <v>3655</v>
      </c>
      <c r="N366" s="13" t="s">
        <v>3175</v>
      </c>
      <c r="O366" s="13" t="s">
        <v>3656</v>
      </c>
      <c r="P366" s="13">
        <v>11.0</v>
      </c>
      <c r="Q366" s="13" t="s">
        <v>3177</v>
      </c>
      <c r="R366" s="13" t="s">
        <v>3163</v>
      </c>
      <c r="S366" s="13" t="s">
        <v>3323</v>
      </c>
      <c r="T366" s="13" t="s">
        <v>3167</v>
      </c>
      <c r="U366" s="13" t="s">
        <v>3195</v>
      </c>
      <c r="V366" s="13" t="s">
        <v>3195</v>
      </c>
      <c r="W366" s="13" t="s">
        <v>3167</v>
      </c>
      <c r="X366" s="13" t="s">
        <v>3170</v>
      </c>
      <c r="Y366" s="13" t="s">
        <v>3202</v>
      </c>
      <c r="Z366" s="13">
        <v>250.0</v>
      </c>
      <c r="AA366" s="13" t="b">
        <v>0</v>
      </c>
      <c r="AB366" s="48"/>
      <c r="AC366" s="49"/>
    </row>
    <row r="367" ht="14.25" customHeight="1">
      <c r="A367" s="13">
        <v>23280.0</v>
      </c>
      <c r="B367" s="13" t="str">
        <f t="shared" si="3"/>
        <v>Observational</v>
      </c>
      <c r="C367" s="13" t="s">
        <v>4864</v>
      </c>
      <c r="D367" s="1" t="s">
        <v>5175</v>
      </c>
      <c r="E367" s="13" t="s">
        <v>5176</v>
      </c>
      <c r="F367" s="13" t="s">
        <v>3370</v>
      </c>
      <c r="G367" s="13" t="s">
        <v>3183</v>
      </c>
      <c r="H367" s="13" t="s">
        <v>3166</v>
      </c>
      <c r="I367" s="13" t="s">
        <v>3249</v>
      </c>
      <c r="J367" s="13" t="s">
        <v>3364</v>
      </c>
      <c r="K367" s="13" t="s">
        <v>3153</v>
      </c>
      <c r="L367" s="13" t="s">
        <v>3179</v>
      </c>
      <c r="M367" s="13" t="s">
        <v>3371</v>
      </c>
      <c r="N367" s="13" t="s">
        <v>3162</v>
      </c>
      <c r="O367" s="13" t="s">
        <v>33</v>
      </c>
      <c r="P367" s="13">
        <v>9.0</v>
      </c>
      <c r="Q367" s="13" t="s">
        <v>3177</v>
      </c>
      <c r="R367" s="13" t="s">
        <v>3163</v>
      </c>
      <c r="S367" s="13" t="s">
        <v>3372</v>
      </c>
      <c r="T367" s="13" t="s">
        <v>3255</v>
      </c>
      <c r="U367" s="13" t="s">
        <v>3197</v>
      </c>
      <c r="V367" s="13" t="s">
        <v>3197</v>
      </c>
      <c r="W367" s="13" t="s">
        <v>3167</v>
      </c>
      <c r="X367" s="13" t="s">
        <v>3192</v>
      </c>
      <c r="Y367" s="13" t="s">
        <v>3180</v>
      </c>
      <c r="Z367" s="13">
        <v>0.1</v>
      </c>
      <c r="AA367" s="13" t="b">
        <v>0</v>
      </c>
      <c r="AB367" s="48"/>
      <c r="AC367" s="49"/>
    </row>
    <row r="368" ht="14.25" customHeight="1">
      <c r="A368" s="13">
        <v>23169.0</v>
      </c>
      <c r="B368" s="2" t="s">
        <v>4904</v>
      </c>
      <c r="C368" s="13" t="s">
        <v>4864</v>
      </c>
      <c r="D368" s="1" t="s">
        <v>5177</v>
      </c>
      <c r="E368" s="13" t="s">
        <v>5178</v>
      </c>
      <c r="F368" s="13" t="s">
        <v>3173</v>
      </c>
      <c r="G368" s="13" t="s">
        <v>3173</v>
      </c>
      <c r="H368" s="13" t="s">
        <v>3166</v>
      </c>
      <c r="I368" s="13" t="s">
        <v>3167</v>
      </c>
      <c r="J368" s="13" t="s">
        <v>3167</v>
      </c>
      <c r="K368" s="13" t="s">
        <v>3315</v>
      </c>
      <c r="L368" s="13" t="s">
        <v>3179</v>
      </c>
      <c r="M368" s="13" t="s">
        <v>3316</v>
      </c>
      <c r="N368" s="13" t="s">
        <v>3175</v>
      </c>
      <c r="O368" s="13" t="s">
        <v>33</v>
      </c>
      <c r="P368" s="13">
        <v>13.0</v>
      </c>
      <c r="Q368" s="13" t="s">
        <v>3160</v>
      </c>
      <c r="R368" s="13" t="s">
        <v>3177</v>
      </c>
      <c r="S368" s="13" t="s">
        <v>33</v>
      </c>
      <c r="T368" s="13" t="s">
        <v>3178</v>
      </c>
      <c r="U368" s="13" t="s">
        <v>3232</v>
      </c>
      <c r="V368" s="13" t="s">
        <v>3232</v>
      </c>
      <c r="W368" s="13" t="s">
        <v>3167</v>
      </c>
      <c r="X368" s="13" t="s">
        <v>3217</v>
      </c>
      <c r="Y368" s="13" t="s">
        <v>3180</v>
      </c>
      <c r="Z368" s="13">
        <v>0.5</v>
      </c>
      <c r="AA368" s="13" t="b">
        <v>0</v>
      </c>
      <c r="AB368" s="48"/>
      <c r="AC368" s="49"/>
    </row>
    <row r="369" ht="14.25" customHeight="1">
      <c r="A369" s="13">
        <v>24290.0</v>
      </c>
      <c r="B369" s="13" t="str">
        <f t="shared" ref="B369:B469" si="4">K369</f>
        <v>Observational</v>
      </c>
      <c r="C369" s="13" t="s">
        <v>4864</v>
      </c>
      <c r="D369" s="1" t="s">
        <v>5179</v>
      </c>
      <c r="E369" s="13" t="s">
        <v>4958</v>
      </c>
      <c r="F369" s="13" t="s">
        <v>3829</v>
      </c>
      <c r="G369" s="13" t="s">
        <v>3159</v>
      </c>
      <c r="H369" s="13" t="s">
        <v>3253</v>
      </c>
      <c r="I369" s="13" t="s">
        <v>3249</v>
      </c>
      <c r="J369" s="13" t="s">
        <v>3600</v>
      </c>
      <c r="K369" s="13" t="s">
        <v>3153</v>
      </c>
      <c r="L369" s="13" t="s">
        <v>3179</v>
      </c>
      <c r="M369" s="13" t="s">
        <v>3830</v>
      </c>
      <c r="N369" s="13" t="s">
        <v>3162</v>
      </c>
      <c r="O369" s="13" t="s">
        <v>3831</v>
      </c>
      <c r="P369" s="13">
        <v>3.0</v>
      </c>
      <c r="Q369" s="13" t="s">
        <v>3160</v>
      </c>
      <c r="R369" s="13" t="s">
        <v>3163</v>
      </c>
      <c r="S369" s="13" t="s">
        <v>33</v>
      </c>
      <c r="T369" s="13" t="s">
        <v>3832</v>
      </c>
      <c r="U369" s="13" t="s">
        <v>3164</v>
      </c>
      <c r="V369" s="13" t="s">
        <v>3252</v>
      </c>
      <c r="W369" s="13" t="s">
        <v>3254</v>
      </c>
      <c r="X369" s="13" t="s">
        <v>3192</v>
      </c>
      <c r="Y369" s="13" t="s">
        <v>3156</v>
      </c>
      <c r="Z369" s="13" t="s">
        <v>33</v>
      </c>
      <c r="AA369" s="13" t="b">
        <v>0</v>
      </c>
      <c r="AB369" s="48"/>
      <c r="AC369" s="49"/>
    </row>
    <row r="370" ht="14.25" customHeight="1">
      <c r="A370" s="13">
        <v>23889.0</v>
      </c>
      <c r="B370" s="13" t="str">
        <f t="shared" si="4"/>
        <v>Observational</v>
      </c>
      <c r="C370" s="13" t="s">
        <v>4864</v>
      </c>
      <c r="D370" s="13" t="s">
        <v>5180</v>
      </c>
      <c r="E370" s="13" t="s">
        <v>5181</v>
      </c>
      <c r="F370" s="13" t="s">
        <v>3183</v>
      </c>
      <c r="G370" s="13" t="s">
        <v>3210</v>
      </c>
      <c r="H370" s="13" t="s">
        <v>3195</v>
      </c>
      <c r="I370" s="13" t="s">
        <v>3261</v>
      </c>
      <c r="J370" s="13" t="s">
        <v>3570</v>
      </c>
      <c r="K370" s="13" t="s">
        <v>3153</v>
      </c>
      <c r="L370" s="13" t="s">
        <v>3179</v>
      </c>
      <c r="M370" s="13" t="s">
        <v>3670</v>
      </c>
      <c r="N370" s="13" t="s">
        <v>3162</v>
      </c>
      <c r="O370" s="13" t="s">
        <v>3671</v>
      </c>
      <c r="P370" s="13">
        <v>7.0</v>
      </c>
      <c r="Q370" s="13" t="s">
        <v>3160</v>
      </c>
      <c r="R370" s="13" t="s">
        <v>3163</v>
      </c>
      <c r="S370" s="13" t="s">
        <v>33</v>
      </c>
      <c r="T370" s="13" t="s">
        <v>3167</v>
      </c>
      <c r="U370" s="13" t="s">
        <v>3195</v>
      </c>
      <c r="V370" s="13" t="s">
        <v>3195</v>
      </c>
      <c r="W370" s="13" t="s">
        <v>3167</v>
      </c>
      <c r="X370" s="13" t="s">
        <v>3155</v>
      </c>
      <c r="Y370" s="13" t="s">
        <v>33</v>
      </c>
      <c r="Z370" s="13" t="s">
        <v>33</v>
      </c>
      <c r="AA370" s="13" t="b">
        <v>1</v>
      </c>
      <c r="AB370" s="47"/>
      <c r="AC370" s="49"/>
    </row>
    <row r="371" ht="14.25" customHeight="1">
      <c r="A371" s="13">
        <v>23904.0</v>
      </c>
      <c r="B371" s="13" t="str">
        <f t="shared" si="4"/>
        <v>Observational</v>
      </c>
      <c r="C371" s="13" t="s">
        <v>4864</v>
      </c>
      <c r="D371" s="1" t="s">
        <v>5182</v>
      </c>
      <c r="E371" s="13" t="s">
        <v>5125</v>
      </c>
      <c r="F371" s="13" t="s">
        <v>3159</v>
      </c>
      <c r="G371" s="13" t="s">
        <v>3335</v>
      </c>
      <c r="H371" s="13" t="s">
        <v>3166</v>
      </c>
      <c r="I371" s="13" t="s">
        <v>3261</v>
      </c>
      <c r="J371" s="13" t="s">
        <v>3240</v>
      </c>
      <c r="K371" s="13" t="s">
        <v>3153</v>
      </c>
      <c r="L371" s="13" t="s">
        <v>3179</v>
      </c>
      <c r="M371" s="13" t="s">
        <v>3674</v>
      </c>
      <c r="N371" s="13" t="s">
        <v>3162</v>
      </c>
      <c r="O371" s="13" t="s">
        <v>3675</v>
      </c>
      <c r="P371" s="13">
        <v>2.0</v>
      </c>
      <c r="Q371" s="13" t="s">
        <v>3177</v>
      </c>
      <c r="R371" s="13" t="s">
        <v>3231</v>
      </c>
      <c r="S371" s="13" t="s">
        <v>33</v>
      </c>
      <c r="T371" s="13" t="s">
        <v>3178</v>
      </c>
      <c r="U371" s="13" t="s">
        <v>3164</v>
      </c>
      <c r="V371" s="13" t="s">
        <v>3164</v>
      </c>
      <c r="W371" s="13" t="s">
        <v>3167</v>
      </c>
      <c r="X371" s="13" t="s">
        <v>3192</v>
      </c>
      <c r="Y371" s="13" t="s">
        <v>3187</v>
      </c>
      <c r="Z371" s="13">
        <v>25.0</v>
      </c>
      <c r="AA371" s="13" t="b">
        <v>0</v>
      </c>
      <c r="AB371" s="48"/>
      <c r="AC371" s="49"/>
    </row>
    <row r="372" ht="14.25" customHeight="1">
      <c r="A372" s="13">
        <v>23527.0</v>
      </c>
      <c r="B372" s="13" t="str">
        <f t="shared" si="4"/>
        <v>Observational</v>
      </c>
      <c r="C372" s="13" t="s">
        <v>4856</v>
      </c>
      <c r="D372" s="1"/>
      <c r="E372" s="13" t="s">
        <v>4924</v>
      </c>
      <c r="F372" s="13" t="s">
        <v>3208</v>
      </c>
      <c r="G372" s="13" t="s">
        <v>3210</v>
      </c>
      <c r="H372" s="13" t="s">
        <v>3195</v>
      </c>
      <c r="I372" s="13" t="s">
        <v>3188</v>
      </c>
      <c r="J372" s="13" t="s">
        <v>3483</v>
      </c>
      <c r="K372" s="13" t="s">
        <v>3153</v>
      </c>
      <c r="L372" s="13" t="s">
        <v>3169</v>
      </c>
      <c r="M372" s="13" t="s">
        <v>3484</v>
      </c>
      <c r="N372" s="13" t="s">
        <v>3267</v>
      </c>
      <c r="O372" s="13" t="s">
        <v>33</v>
      </c>
      <c r="P372" s="13">
        <v>1.0</v>
      </c>
      <c r="Q372" s="13" t="s">
        <v>3160</v>
      </c>
      <c r="R372" s="13" t="s">
        <v>3163</v>
      </c>
      <c r="S372" s="13" t="s">
        <v>33</v>
      </c>
      <c r="T372" s="13" t="s">
        <v>3167</v>
      </c>
      <c r="U372" s="13" t="s">
        <v>3195</v>
      </c>
      <c r="V372" s="13" t="s">
        <v>3195</v>
      </c>
      <c r="W372" s="13" t="s">
        <v>3167</v>
      </c>
      <c r="X372" s="13" t="s">
        <v>3170</v>
      </c>
      <c r="Y372" s="13" t="s">
        <v>33</v>
      </c>
      <c r="Z372" s="13" t="s">
        <v>33</v>
      </c>
      <c r="AA372" s="13" t="b">
        <v>1</v>
      </c>
      <c r="AB372" s="48"/>
      <c r="AC372" s="49"/>
    </row>
    <row r="373" ht="14.25" customHeight="1">
      <c r="A373" s="13">
        <v>23656.0</v>
      </c>
      <c r="B373" s="13" t="str">
        <f t="shared" si="4"/>
        <v>Observational</v>
      </c>
      <c r="C373" s="13" t="s">
        <v>4856</v>
      </c>
      <c r="D373" s="1"/>
      <c r="E373" s="13" t="s">
        <v>4924</v>
      </c>
      <c r="F373" s="13" t="s">
        <v>3208</v>
      </c>
      <c r="G373" s="13" t="s">
        <v>3208</v>
      </c>
      <c r="H373" s="13" t="s">
        <v>3242</v>
      </c>
      <c r="I373" s="13" t="s">
        <v>3167</v>
      </c>
      <c r="J373" s="13" t="s">
        <v>3167</v>
      </c>
      <c r="K373" s="13" t="s">
        <v>3153</v>
      </c>
      <c r="L373" s="13" t="s">
        <v>3169</v>
      </c>
      <c r="M373" s="13" t="s">
        <v>3484</v>
      </c>
      <c r="N373" s="13" t="s">
        <v>3267</v>
      </c>
      <c r="O373" s="13" t="s">
        <v>33</v>
      </c>
      <c r="P373" s="13">
        <v>1.0</v>
      </c>
      <c r="Q373" s="13" t="s">
        <v>3160</v>
      </c>
      <c r="R373" s="13" t="s">
        <v>3160</v>
      </c>
      <c r="S373" s="13" t="s">
        <v>33</v>
      </c>
      <c r="T373" s="13" t="s">
        <v>3167</v>
      </c>
      <c r="U373" s="13" t="s">
        <v>3247</v>
      </c>
      <c r="V373" s="13" t="s">
        <v>3247</v>
      </c>
      <c r="W373" s="13" t="s">
        <v>3248</v>
      </c>
      <c r="X373" s="13" t="s">
        <v>3217</v>
      </c>
      <c r="Y373" s="13" t="s">
        <v>3559</v>
      </c>
      <c r="Z373" s="13">
        <v>30.0</v>
      </c>
      <c r="AA373" s="13" t="b">
        <v>1</v>
      </c>
      <c r="AB373" s="48"/>
      <c r="AC373" s="49"/>
    </row>
    <row r="374" ht="14.25" customHeight="1">
      <c r="A374" s="13">
        <v>23858.0</v>
      </c>
      <c r="B374" s="13" t="str">
        <f t="shared" si="4"/>
        <v>Observational</v>
      </c>
      <c r="C374" s="13" t="s">
        <v>4856</v>
      </c>
      <c r="D374" s="1"/>
      <c r="E374" s="13" t="s">
        <v>4924</v>
      </c>
      <c r="F374" s="13" t="s">
        <v>3208</v>
      </c>
      <c r="G374" s="13" t="s">
        <v>3335</v>
      </c>
      <c r="H374" s="13" t="s">
        <v>3195</v>
      </c>
      <c r="I374" s="13" t="s">
        <v>3171</v>
      </c>
      <c r="J374" s="13" t="s">
        <v>3555</v>
      </c>
      <c r="K374" s="13" t="s">
        <v>3153</v>
      </c>
      <c r="L374" s="13" t="s">
        <v>3169</v>
      </c>
      <c r="M374" s="13" t="s">
        <v>3484</v>
      </c>
      <c r="N374" s="13" t="s">
        <v>3267</v>
      </c>
      <c r="O374" s="13" t="s">
        <v>33</v>
      </c>
      <c r="P374" s="13">
        <v>1.0</v>
      </c>
      <c r="Q374" s="13" t="s">
        <v>3160</v>
      </c>
      <c r="R374" s="13" t="s">
        <v>3163</v>
      </c>
      <c r="S374" s="13" t="s">
        <v>3654</v>
      </c>
      <c r="T374" s="13" t="s">
        <v>3167</v>
      </c>
      <c r="U374" s="13" t="s">
        <v>3195</v>
      </c>
      <c r="V374" s="13" t="s">
        <v>3195</v>
      </c>
      <c r="W374" s="13" t="s">
        <v>3167</v>
      </c>
      <c r="X374" s="13" t="s">
        <v>3170</v>
      </c>
      <c r="Y374" s="13" t="s">
        <v>3156</v>
      </c>
      <c r="Z374" s="13" t="s">
        <v>33</v>
      </c>
      <c r="AA374" s="13" t="b">
        <v>1</v>
      </c>
      <c r="AB374" s="48"/>
      <c r="AC374" s="49"/>
    </row>
    <row r="375" ht="14.25" customHeight="1">
      <c r="A375" s="13">
        <v>24123.0</v>
      </c>
      <c r="B375" s="13" t="str">
        <f t="shared" si="4"/>
        <v>Observational</v>
      </c>
      <c r="C375" s="13" t="s">
        <v>4856</v>
      </c>
      <c r="D375" s="1"/>
      <c r="E375" s="13" t="s">
        <v>4924</v>
      </c>
      <c r="F375" s="13" t="s">
        <v>3186</v>
      </c>
      <c r="G375" s="13" t="s">
        <v>3210</v>
      </c>
      <c r="H375" s="13" t="s">
        <v>3195</v>
      </c>
      <c r="I375" s="13" t="s">
        <v>3188</v>
      </c>
      <c r="J375" s="13" t="s">
        <v>3189</v>
      </c>
      <c r="K375" s="13" t="s">
        <v>3153</v>
      </c>
      <c r="L375" s="13" t="s">
        <v>3169</v>
      </c>
      <c r="M375" s="13" t="s">
        <v>3484</v>
      </c>
      <c r="N375" s="13" t="s">
        <v>3267</v>
      </c>
      <c r="O375" s="13" t="s">
        <v>33</v>
      </c>
      <c r="P375" s="13">
        <v>1.0</v>
      </c>
      <c r="Q375" s="13" t="s">
        <v>3160</v>
      </c>
      <c r="R375" s="13" t="s">
        <v>3163</v>
      </c>
      <c r="S375" s="13" t="s">
        <v>33</v>
      </c>
      <c r="T375" s="13" t="s">
        <v>3167</v>
      </c>
      <c r="U375" s="13" t="s">
        <v>3195</v>
      </c>
      <c r="V375" s="13" t="s">
        <v>3195</v>
      </c>
      <c r="W375" s="13" t="s">
        <v>3167</v>
      </c>
      <c r="X375" s="13" t="s">
        <v>3170</v>
      </c>
      <c r="Y375" s="13" t="s">
        <v>33</v>
      </c>
      <c r="Z375" s="13" t="s">
        <v>33</v>
      </c>
      <c r="AA375" s="13" t="b">
        <v>1</v>
      </c>
      <c r="AB375" s="48"/>
      <c r="AC375" s="49"/>
    </row>
    <row r="376" ht="14.25" customHeight="1">
      <c r="A376" s="13">
        <v>24723.0</v>
      </c>
      <c r="B376" s="13" t="str">
        <f t="shared" si="4"/>
        <v>Observational</v>
      </c>
      <c r="C376" s="13" t="s">
        <v>4856</v>
      </c>
      <c r="D376" s="1"/>
      <c r="E376" s="13" t="s">
        <v>4924</v>
      </c>
      <c r="F376" s="13" t="s">
        <v>3208</v>
      </c>
      <c r="G376" s="13" t="s">
        <v>3273</v>
      </c>
      <c r="H376" s="13" t="s">
        <v>3242</v>
      </c>
      <c r="I376" s="13" t="s">
        <v>3171</v>
      </c>
      <c r="J376" s="13" t="s">
        <v>4012</v>
      </c>
      <c r="K376" s="13" t="s">
        <v>3153</v>
      </c>
      <c r="L376" s="13" t="s">
        <v>3169</v>
      </c>
      <c r="M376" s="13" t="s">
        <v>3484</v>
      </c>
      <c r="N376" s="13" t="s">
        <v>3267</v>
      </c>
      <c r="O376" s="13" t="s">
        <v>33</v>
      </c>
      <c r="P376" s="13">
        <v>1.0</v>
      </c>
      <c r="Q376" s="13" t="s">
        <v>3160</v>
      </c>
      <c r="R376" s="13" t="s">
        <v>3163</v>
      </c>
      <c r="S376" s="13" t="s">
        <v>33</v>
      </c>
      <c r="T376" s="13" t="s">
        <v>3167</v>
      </c>
      <c r="U376" s="13" t="s">
        <v>3247</v>
      </c>
      <c r="V376" s="13" t="s">
        <v>3247</v>
      </c>
      <c r="W376" s="13" t="s">
        <v>4013</v>
      </c>
      <c r="X376" s="13" t="s">
        <v>3211</v>
      </c>
      <c r="Y376" s="13" t="s">
        <v>33</v>
      </c>
      <c r="Z376" s="13" t="s">
        <v>33</v>
      </c>
      <c r="AA376" s="13" t="b">
        <v>1</v>
      </c>
      <c r="AB376" s="48"/>
      <c r="AC376" s="49"/>
    </row>
    <row r="377" ht="14.25" customHeight="1">
      <c r="A377" s="13">
        <v>24900.0</v>
      </c>
      <c r="B377" s="13" t="str">
        <f t="shared" si="4"/>
        <v>Observational</v>
      </c>
      <c r="C377" s="13" t="s">
        <v>4856</v>
      </c>
      <c r="D377" s="1"/>
      <c r="E377" s="13" t="s">
        <v>4924</v>
      </c>
      <c r="F377" s="13" t="s">
        <v>3208</v>
      </c>
      <c r="G377" s="13" t="s">
        <v>3183</v>
      </c>
      <c r="H377" s="13" t="s">
        <v>3166</v>
      </c>
      <c r="I377" s="13" t="s">
        <v>3157</v>
      </c>
      <c r="J377" s="13" t="s">
        <v>4077</v>
      </c>
      <c r="K377" s="13" t="s">
        <v>3153</v>
      </c>
      <c r="L377" s="13" t="s">
        <v>3169</v>
      </c>
      <c r="M377" s="13" t="s">
        <v>3484</v>
      </c>
      <c r="N377" s="13" t="s">
        <v>3267</v>
      </c>
      <c r="O377" s="13" t="s">
        <v>33</v>
      </c>
      <c r="P377" s="13">
        <v>1.0</v>
      </c>
      <c r="Q377" s="13" t="s">
        <v>3160</v>
      </c>
      <c r="R377" s="13" t="s">
        <v>3163</v>
      </c>
      <c r="S377" s="13" t="s">
        <v>4078</v>
      </c>
      <c r="T377" s="13" t="s">
        <v>3224</v>
      </c>
      <c r="U377" s="13" t="s">
        <v>3164</v>
      </c>
      <c r="V377" s="13" t="s">
        <v>3232</v>
      </c>
      <c r="W377" s="13" t="s">
        <v>3167</v>
      </c>
      <c r="X377" s="13" t="s">
        <v>3211</v>
      </c>
      <c r="Y377" s="13" t="s">
        <v>3187</v>
      </c>
      <c r="Z377" s="13">
        <v>2.0</v>
      </c>
      <c r="AA377" s="13" t="b">
        <v>1</v>
      </c>
      <c r="AB377" s="48"/>
      <c r="AC377" s="49"/>
    </row>
    <row r="378" ht="14.25" customHeight="1">
      <c r="A378" s="13">
        <v>25042.0</v>
      </c>
      <c r="B378" s="13" t="str">
        <f t="shared" si="4"/>
        <v>Observational</v>
      </c>
      <c r="C378" s="13" t="s">
        <v>4886</v>
      </c>
      <c r="D378" s="1"/>
      <c r="E378" s="13" t="s">
        <v>4924</v>
      </c>
      <c r="F378" s="13" t="s">
        <v>3183</v>
      </c>
      <c r="G378" s="13" t="s">
        <v>3183</v>
      </c>
      <c r="H378" s="13" t="s">
        <v>3253</v>
      </c>
      <c r="I378" s="13" t="s">
        <v>3157</v>
      </c>
      <c r="J378" s="13" t="s">
        <v>3167</v>
      </c>
      <c r="K378" s="13" t="s">
        <v>3153</v>
      </c>
      <c r="L378" s="13" t="s">
        <v>3465</v>
      </c>
      <c r="M378" s="13" t="s">
        <v>3484</v>
      </c>
      <c r="N378" s="13" t="s">
        <v>3267</v>
      </c>
      <c r="O378" s="13" t="s">
        <v>4114</v>
      </c>
      <c r="P378" s="13">
        <v>1.0</v>
      </c>
      <c r="Q378" s="13" t="s">
        <v>3177</v>
      </c>
      <c r="R378" s="13" t="s">
        <v>3177</v>
      </c>
      <c r="S378" s="13" t="s">
        <v>4114</v>
      </c>
      <c r="T378" s="13" t="s">
        <v>4115</v>
      </c>
      <c r="U378" s="13" t="s">
        <v>3252</v>
      </c>
      <c r="V378" s="13" t="s">
        <v>3252</v>
      </c>
      <c r="W378" s="13" t="s">
        <v>3294</v>
      </c>
      <c r="X378" s="13" t="s">
        <v>3284</v>
      </c>
      <c r="Y378" s="13" t="s">
        <v>3187</v>
      </c>
      <c r="Z378" s="13">
        <v>2500.0</v>
      </c>
      <c r="AA378" s="13" t="b">
        <v>1</v>
      </c>
      <c r="AB378" s="48"/>
      <c r="AC378" s="49"/>
    </row>
    <row r="379" ht="14.25" customHeight="1">
      <c r="A379" s="13">
        <v>25084.0</v>
      </c>
      <c r="B379" s="13" t="str">
        <f t="shared" si="4"/>
        <v>Observational</v>
      </c>
      <c r="C379" s="13" t="s">
        <v>4856</v>
      </c>
      <c r="D379" s="1"/>
      <c r="E379" s="13" t="s">
        <v>4924</v>
      </c>
      <c r="F379" s="13" t="s">
        <v>3208</v>
      </c>
      <c r="G379" s="13" t="s">
        <v>3208</v>
      </c>
      <c r="H379" s="13" t="s">
        <v>3242</v>
      </c>
      <c r="I379" s="13" t="s">
        <v>3188</v>
      </c>
      <c r="J379" s="13" t="s">
        <v>3207</v>
      </c>
      <c r="K379" s="13" t="s">
        <v>3153</v>
      </c>
      <c r="L379" s="13" t="s">
        <v>3169</v>
      </c>
      <c r="M379" s="13" t="s">
        <v>3484</v>
      </c>
      <c r="N379" s="13" t="s">
        <v>3267</v>
      </c>
      <c r="O379" s="13" t="s">
        <v>33</v>
      </c>
      <c r="P379" s="13">
        <v>1.0</v>
      </c>
      <c r="Q379" s="13" t="s">
        <v>3160</v>
      </c>
      <c r="R379" s="13" t="s">
        <v>3163</v>
      </c>
      <c r="S379" s="13" t="s">
        <v>33</v>
      </c>
      <c r="T379" s="13" t="s">
        <v>3167</v>
      </c>
      <c r="U379" s="13" t="s">
        <v>3247</v>
      </c>
      <c r="V379" s="13" t="s">
        <v>3247</v>
      </c>
      <c r="W379" s="13" t="s">
        <v>3248</v>
      </c>
      <c r="X379" s="13" t="s">
        <v>3170</v>
      </c>
      <c r="Y379" s="13" t="s">
        <v>3202</v>
      </c>
      <c r="Z379" s="13">
        <v>80.0</v>
      </c>
      <c r="AA379" s="13" t="b">
        <v>1</v>
      </c>
      <c r="AB379" s="48"/>
      <c r="AC379" s="49"/>
    </row>
    <row r="380" ht="14.25" customHeight="1">
      <c r="A380" s="13">
        <v>25241.0</v>
      </c>
      <c r="B380" s="13" t="str">
        <f t="shared" si="4"/>
        <v>Observational</v>
      </c>
      <c r="C380" s="13" t="s">
        <v>4856</v>
      </c>
      <c r="D380" s="1"/>
      <c r="E380" s="13" t="s">
        <v>4924</v>
      </c>
      <c r="F380" s="13" t="s">
        <v>3208</v>
      </c>
      <c r="G380" s="13" t="s">
        <v>3208</v>
      </c>
      <c r="H380" s="13" t="s">
        <v>3242</v>
      </c>
      <c r="I380" s="13" t="s">
        <v>3188</v>
      </c>
      <c r="J380" s="13" t="s">
        <v>3432</v>
      </c>
      <c r="K380" s="13" t="s">
        <v>3153</v>
      </c>
      <c r="L380" s="13" t="s">
        <v>3169</v>
      </c>
      <c r="M380" s="13" t="s">
        <v>3484</v>
      </c>
      <c r="N380" s="13" t="s">
        <v>3267</v>
      </c>
      <c r="O380" s="13" t="s">
        <v>33</v>
      </c>
      <c r="P380" s="13">
        <v>1.0</v>
      </c>
      <c r="Q380" s="13" t="s">
        <v>3160</v>
      </c>
      <c r="R380" s="13" t="s">
        <v>3163</v>
      </c>
      <c r="S380" s="13" t="s">
        <v>33</v>
      </c>
      <c r="T380" s="13" t="s">
        <v>3167</v>
      </c>
      <c r="U380" s="13" t="s">
        <v>3247</v>
      </c>
      <c r="V380" s="13" t="s">
        <v>3247</v>
      </c>
      <c r="W380" s="13" t="s">
        <v>4186</v>
      </c>
      <c r="X380" s="13" t="s">
        <v>3192</v>
      </c>
      <c r="Y380" s="13" t="s">
        <v>3187</v>
      </c>
      <c r="Z380" s="13">
        <v>1.0</v>
      </c>
      <c r="AA380" s="13" t="b">
        <v>1</v>
      </c>
      <c r="AB380" s="48"/>
      <c r="AC380" s="49"/>
    </row>
    <row r="381" ht="14.25" customHeight="1">
      <c r="A381" s="13">
        <v>25535.0</v>
      </c>
      <c r="B381" s="13" t="str">
        <f t="shared" si="4"/>
        <v>Observational</v>
      </c>
      <c r="C381" s="13" t="s">
        <v>4856</v>
      </c>
      <c r="D381" s="1"/>
      <c r="E381" s="13" t="s">
        <v>4924</v>
      </c>
      <c r="F381" s="13" t="s">
        <v>3186</v>
      </c>
      <c r="G381" s="13" t="s">
        <v>3173</v>
      </c>
      <c r="H381" s="13" t="s">
        <v>3166</v>
      </c>
      <c r="I381" s="13" t="s">
        <v>3244</v>
      </c>
      <c r="J381" s="13" t="s">
        <v>3278</v>
      </c>
      <c r="K381" s="13" t="s">
        <v>3153</v>
      </c>
      <c r="L381" s="13" t="s">
        <v>3169</v>
      </c>
      <c r="M381" s="13" t="s">
        <v>3484</v>
      </c>
      <c r="N381" s="13" t="s">
        <v>3267</v>
      </c>
      <c r="O381" s="13" t="s">
        <v>33</v>
      </c>
      <c r="P381" s="13">
        <v>1.0</v>
      </c>
      <c r="Q381" s="13" t="s">
        <v>3160</v>
      </c>
      <c r="R381" s="13" t="s">
        <v>3163</v>
      </c>
      <c r="S381" s="13" t="s">
        <v>33</v>
      </c>
      <c r="T381" s="13" t="s">
        <v>3178</v>
      </c>
      <c r="U381" s="13" t="s">
        <v>3164</v>
      </c>
      <c r="V381" s="13" t="s">
        <v>3164</v>
      </c>
      <c r="W381" s="13" t="s">
        <v>3167</v>
      </c>
      <c r="X381" s="13" t="s">
        <v>3192</v>
      </c>
      <c r="Y381" s="13" t="s">
        <v>3202</v>
      </c>
      <c r="Z381" s="13">
        <v>30.0</v>
      </c>
      <c r="AA381" s="13" t="b">
        <v>1</v>
      </c>
      <c r="AB381" s="48"/>
      <c r="AC381" s="49"/>
    </row>
    <row r="382" ht="14.25" customHeight="1">
      <c r="A382" s="13">
        <v>25577.0</v>
      </c>
      <c r="B382" s="13" t="str">
        <f t="shared" si="4"/>
        <v>Observational</v>
      </c>
      <c r="C382" s="13" t="s">
        <v>4856</v>
      </c>
      <c r="D382" s="1"/>
      <c r="E382" s="13" t="s">
        <v>4924</v>
      </c>
      <c r="F382" s="13" t="s">
        <v>3208</v>
      </c>
      <c r="G382" s="13" t="s">
        <v>3273</v>
      </c>
      <c r="H382" s="13" t="s">
        <v>3242</v>
      </c>
      <c r="I382" s="13" t="s">
        <v>3188</v>
      </c>
      <c r="J382" s="13" t="s">
        <v>3423</v>
      </c>
      <c r="K382" s="13" t="s">
        <v>3153</v>
      </c>
      <c r="L382" s="13" t="s">
        <v>3169</v>
      </c>
      <c r="M382" s="13" t="s">
        <v>3484</v>
      </c>
      <c r="N382" s="13" t="s">
        <v>3267</v>
      </c>
      <c r="O382" s="13" t="s">
        <v>33</v>
      </c>
      <c r="P382" s="13">
        <v>1.0</v>
      </c>
      <c r="Q382" s="13" t="s">
        <v>3160</v>
      </c>
      <c r="R382" s="13" t="s">
        <v>3163</v>
      </c>
      <c r="S382" s="13" t="s">
        <v>33</v>
      </c>
      <c r="T382" s="13" t="s">
        <v>3167</v>
      </c>
      <c r="U382" s="13" t="s">
        <v>3247</v>
      </c>
      <c r="V382" s="13" t="s">
        <v>3247</v>
      </c>
      <c r="W382" s="13" t="s">
        <v>3572</v>
      </c>
      <c r="X382" s="13" t="s">
        <v>3192</v>
      </c>
      <c r="Y382" s="13" t="s">
        <v>33</v>
      </c>
      <c r="Z382" s="13" t="s">
        <v>33</v>
      </c>
      <c r="AA382" s="13" t="b">
        <v>1</v>
      </c>
      <c r="AB382" s="48"/>
      <c r="AC382" s="49"/>
    </row>
    <row r="383" ht="14.25" customHeight="1">
      <c r="A383" s="13">
        <v>23740.0</v>
      </c>
      <c r="B383" s="13" t="str">
        <f t="shared" si="4"/>
        <v>Observational</v>
      </c>
      <c r="C383" s="13" t="s">
        <v>4856</v>
      </c>
      <c r="D383" s="1"/>
      <c r="E383" s="13" t="s">
        <v>4924</v>
      </c>
      <c r="F383" s="13" t="s">
        <v>3208</v>
      </c>
      <c r="G383" s="13" t="s">
        <v>3210</v>
      </c>
      <c r="H383" s="13" t="s">
        <v>3195</v>
      </c>
      <c r="I383" s="13" t="s">
        <v>3171</v>
      </c>
      <c r="J383" s="13" t="s">
        <v>3602</v>
      </c>
      <c r="K383" s="13" t="s">
        <v>3153</v>
      </c>
      <c r="L383" s="13" t="s">
        <v>3169</v>
      </c>
      <c r="M383" s="13" t="s">
        <v>3484</v>
      </c>
      <c r="N383" s="13" t="s">
        <v>3162</v>
      </c>
      <c r="O383" s="13" t="s">
        <v>33</v>
      </c>
      <c r="P383" s="13">
        <v>1.0</v>
      </c>
      <c r="Q383" s="13" t="s">
        <v>3160</v>
      </c>
      <c r="R383" s="13" t="s">
        <v>3160</v>
      </c>
      <c r="S383" s="13" t="s">
        <v>33</v>
      </c>
      <c r="T383" s="13" t="s">
        <v>3167</v>
      </c>
      <c r="U383" s="13" t="s">
        <v>3195</v>
      </c>
      <c r="V383" s="13" t="s">
        <v>3195</v>
      </c>
      <c r="W383" s="13" t="s">
        <v>3167</v>
      </c>
      <c r="X383" s="13" t="s">
        <v>3192</v>
      </c>
      <c r="Y383" s="13" t="s">
        <v>3202</v>
      </c>
      <c r="Z383" s="13">
        <v>30.0</v>
      </c>
      <c r="AA383" s="13" t="b">
        <v>1</v>
      </c>
      <c r="AB383" s="48"/>
      <c r="AC383" s="49"/>
    </row>
    <row r="384" ht="14.25" customHeight="1">
      <c r="A384" s="13">
        <v>24025.0</v>
      </c>
      <c r="B384" s="13" t="str">
        <f t="shared" si="4"/>
        <v>Observational</v>
      </c>
      <c r="C384" s="13" t="s">
        <v>4856</v>
      </c>
      <c r="D384" s="1"/>
      <c r="E384" s="13" t="s">
        <v>4924</v>
      </c>
      <c r="F384" s="13" t="s">
        <v>3208</v>
      </c>
      <c r="G384" s="13" t="s">
        <v>3208</v>
      </c>
      <c r="H384" s="13" t="s">
        <v>3242</v>
      </c>
      <c r="I384" s="13" t="s">
        <v>3171</v>
      </c>
      <c r="J384" s="13" t="s">
        <v>3454</v>
      </c>
      <c r="K384" s="13" t="s">
        <v>3153</v>
      </c>
      <c r="L384" s="13" t="s">
        <v>3169</v>
      </c>
      <c r="M384" s="13" t="s">
        <v>3484</v>
      </c>
      <c r="N384" s="13" t="s">
        <v>3162</v>
      </c>
      <c r="O384" s="13" t="s">
        <v>33</v>
      </c>
      <c r="P384" s="13">
        <v>1.0</v>
      </c>
      <c r="Q384" s="13" t="s">
        <v>3177</v>
      </c>
      <c r="R384" s="13" t="s">
        <v>3163</v>
      </c>
      <c r="S384" s="13" t="s">
        <v>33</v>
      </c>
      <c r="T384" s="13" t="s">
        <v>3167</v>
      </c>
      <c r="U384" s="13" t="s">
        <v>3247</v>
      </c>
      <c r="V384" s="13" t="s">
        <v>3247</v>
      </c>
      <c r="W384" s="13" t="s">
        <v>3248</v>
      </c>
      <c r="X384" s="13" t="s">
        <v>3170</v>
      </c>
      <c r="Y384" s="13" t="s">
        <v>3202</v>
      </c>
      <c r="Z384" s="13">
        <v>30.0</v>
      </c>
      <c r="AA384" s="13" t="b">
        <v>1</v>
      </c>
      <c r="AB384" s="48"/>
      <c r="AC384" s="49"/>
    </row>
    <row r="385" ht="14.25" customHeight="1">
      <c r="A385" s="13">
        <v>24153.0</v>
      </c>
      <c r="B385" s="13" t="str">
        <f t="shared" si="4"/>
        <v>Observational</v>
      </c>
      <c r="C385" s="13" t="s">
        <v>4856</v>
      </c>
      <c r="D385" s="1"/>
      <c r="E385" s="13" t="s">
        <v>4924</v>
      </c>
      <c r="F385" s="13" t="s">
        <v>3183</v>
      </c>
      <c r="G385" s="13" t="s">
        <v>3183</v>
      </c>
      <c r="H385" s="13" t="s">
        <v>3242</v>
      </c>
      <c r="I385" s="13" t="s">
        <v>3188</v>
      </c>
      <c r="J385" s="13" t="s">
        <v>3189</v>
      </c>
      <c r="K385" s="13" t="s">
        <v>3153</v>
      </c>
      <c r="L385" s="13" t="s">
        <v>3169</v>
      </c>
      <c r="M385" s="13" t="s">
        <v>3484</v>
      </c>
      <c r="N385" s="13" t="s">
        <v>3162</v>
      </c>
      <c r="O385" s="13" t="s">
        <v>3769</v>
      </c>
      <c r="P385" s="13">
        <v>1.0</v>
      </c>
      <c r="Q385" s="13" t="s">
        <v>3160</v>
      </c>
      <c r="R385" s="13" t="s">
        <v>3163</v>
      </c>
      <c r="S385" s="13" t="s">
        <v>3769</v>
      </c>
      <c r="T385" s="13" t="s">
        <v>3167</v>
      </c>
      <c r="U385" s="13" t="s">
        <v>3247</v>
      </c>
      <c r="V385" s="13" t="s">
        <v>3247</v>
      </c>
      <c r="W385" s="13" t="s">
        <v>3248</v>
      </c>
      <c r="X385" s="13" t="s">
        <v>3170</v>
      </c>
      <c r="Y385" s="13" t="s">
        <v>3588</v>
      </c>
      <c r="Z385" s="13">
        <v>30.0</v>
      </c>
      <c r="AA385" s="13" t="b">
        <v>1</v>
      </c>
      <c r="AB385" s="47"/>
      <c r="AC385" s="49"/>
    </row>
    <row r="386" ht="14.25" customHeight="1">
      <c r="A386" s="13">
        <v>24595.0</v>
      </c>
      <c r="B386" s="13" t="str">
        <f t="shared" si="4"/>
        <v>Observational</v>
      </c>
      <c r="C386" s="13" t="s">
        <v>4886</v>
      </c>
      <c r="D386" s="1"/>
      <c r="E386" s="13" t="s">
        <v>4924</v>
      </c>
      <c r="F386" s="13" t="s">
        <v>3208</v>
      </c>
      <c r="G386" s="13" t="s">
        <v>3208</v>
      </c>
      <c r="H386" s="13" t="s">
        <v>3242</v>
      </c>
      <c r="I386" s="13" t="s">
        <v>3188</v>
      </c>
      <c r="J386" s="13" t="s">
        <v>3432</v>
      </c>
      <c r="K386" s="13" t="s">
        <v>3153</v>
      </c>
      <c r="L386" s="13" t="s">
        <v>3465</v>
      </c>
      <c r="M386" s="13" t="s">
        <v>3484</v>
      </c>
      <c r="N386" s="13" t="s">
        <v>3162</v>
      </c>
      <c r="O386" s="13" t="s">
        <v>33</v>
      </c>
      <c r="P386" s="13">
        <v>1.0</v>
      </c>
      <c r="Q386" s="13" t="s">
        <v>3160</v>
      </c>
      <c r="R386" s="13" t="s">
        <v>3163</v>
      </c>
      <c r="S386" s="13" t="s">
        <v>33</v>
      </c>
      <c r="T386" s="13" t="s">
        <v>3167</v>
      </c>
      <c r="U386" s="13" t="s">
        <v>3247</v>
      </c>
      <c r="V386" s="13" t="s">
        <v>3247</v>
      </c>
      <c r="W386" s="13" t="s">
        <v>3356</v>
      </c>
      <c r="X386" s="13" t="s">
        <v>3192</v>
      </c>
      <c r="Y386" s="13" t="s">
        <v>33</v>
      </c>
      <c r="Z386" s="13" t="s">
        <v>33</v>
      </c>
      <c r="AA386" s="13" t="b">
        <v>1</v>
      </c>
      <c r="AB386" s="47"/>
      <c r="AC386" s="49"/>
    </row>
    <row r="387" ht="14.25" customHeight="1">
      <c r="A387" s="13">
        <v>24676.0</v>
      </c>
      <c r="B387" s="13" t="str">
        <f t="shared" si="4"/>
        <v>Observational</v>
      </c>
      <c r="C387" s="13" t="s">
        <v>4852</v>
      </c>
      <c r="D387" s="1"/>
      <c r="E387" s="13" t="s">
        <v>4924</v>
      </c>
      <c r="F387" s="13" t="s">
        <v>3208</v>
      </c>
      <c r="G387" s="13" t="s">
        <v>3208</v>
      </c>
      <c r="H387" s="13" t="s">
        <v>3242</v>
      </c>
      <c r="I387" s="13" t="s">
        <v>3188</v>
      </c>
      <c r="J387" s="13" t="s">
        <v>3207</v>
      </c>
      <c r="K387" s="13" t="s">
        <v>3153</v>
      </c>
      <c r="L387" s="13" t="s">
        <v>3154</v>
      </c>
      <c r="M387" s="13" t="s">
        <v>3484</v>
      </c>
      <c r="N387" s="13" t="s">
        <v>3162</v>
      </c>
      <c r="O387" s="13" t="s">
        <v>33</v>
      </c>
      <c r="P387" s="13">
        <v>1.0</v>
      </c>
      <c r="Q387" s="13" t="s">
        <v>3160</v>
      </c>
      <c r="R387" s="13" t="s">
        <v>3163</v>
      </c>
      <c r="S387" s="13" t="s">
        <v>33</v>
      </c>
      <c r="T387" s="13" t="s">
        <v>3167</v>
      </c>
      <c r="U387" s="13" t="s">
        <v>3247</v>
      </c>
      <c r="V387" s="13" t="s">
        <v>3247</v>
      </c>
      <c r="W387" s="13" t="s">
        <v>3248</v>
      </c>
      <c r="X387" s="13" t="s">
        <v>3192</v>
      </c>
      <c r="Y387" s="13" t="s">
        <v>33</v>
      </c>
      <c r="Z387" s="13" t="s">
        <v>33</v>
      </c>
      <c r="AA387" s="13" t="b">
        <v>1</v>
      </c>
      <c r="AB387" s="48"/>
      <c r="AC387" s="49"/>
    </row>
    <row r="388" ht="14.25" customHeight="1">
      <c r="A388" s="13">
        <v>25216.0</v>
      </c>
      <c r="B388" s="13" t="str">
        <f t="shared" si="4"/>
        <v>Observational</v>
      </c>
      <c r="C388" s="13" t="s">
        <v>4856</v>
      </c>
      <c r="D388" s="1"/>
      <c r="E388" s="13" t="s">
        <v>4924</v>
      </c>
      <c r="F388" s="13" t="s">
        <v>3173</v>
      </c>
      <c r="G388" s="13" t="s">
        <v>3287</v>
      </c>
      <c r="H388" s="13" t="s">
        <v>3166</v>
      </c>
      <c r="I388" s="13" t="s">
        <v>3171</v>
      </c>
      <c r="J388" s="13" t="s">
        <v>3378</v>
      </c>
      <c r="K388" s="13" t="s">
        <v>3153</v>
      </c>
      <c r="L388" s="13" t="s">
        <v>3169</v>
      </c>
      <c r="M388" s="13" t="s">
        <v>3484</v>
      </c>
      <c r="N388" s="13" t="s">
        <v>3162</v>
      </c>
      <c r="O388" s="13" t="s">
        <v>4179</v>
      </c>
      <c r="P388" s="13">
        <v>1.0</v>
      </c>
      <c r="Q388" s="13" t="s">
        <v>3160</v>
      </c>
      <c r="R388" s="13" t="s">
        <v>3163</v>
      </c>
      <c r="S388" s="13" t="s">
        <v>33</v>
      </c>
      <c r="T388" s="13" t="s">
        <v>3178</v>
      </c>
      <c r="U388" s="13" t="s">
        <v>3164</v>
      </c>
      <c r="V388" s="13" t="s">
        <v>3164</v>
      </c>
      <c r="W388" s="13" t="s">
        <v>3167</v>
      </c>
      <c r="X388" s="13" t="s">
        <v>3192</v>
      </c>
      <c r="Y388" s="13" t="s">
        <v>3156</v>
      </c>
      <c r="Z388" s="13" t="s">
        <v>33</v>
      </c>
      <c r="AA388" s="13" t="b">
        <v>1</v>
      </c>
      <c r="AB388" s="48"/>
      <c r="AC388" s="49"/>
    </row>
    <row r="389" ht="14.25" customHeight="1">
      <c r="A389" s="13">
        <v>25384.0</v>
      </c>
      <c r="B389" s="13" t="str">
        <f t="shared" si="4"/>
        <v>Observational</v>
      </c>
      <c r="C389" s="13" t="s">
        <v>4856</v>
      </c>
      <c r="D389" s="1"/>
      <c r="E389" s="13" t="s">
        <v>4924</v>
      </c>
      <c r="F389" s="13" t="s">
        <v>3208</v>
      </c>
      <c r="G389" s="13" t="s">
        <v>3186</v>
      </c>
      <c r="H389" s="13" t="s">
        <v>3253</v>
      </c>
      <c r="I389" s="13" t="s">
        <v>3222</v>
      </c>
      <c r="J389" s="13" t="s">
        <v>3229</v>
      </c>
      <c r="K389" s="13" t="s">
        <v>3153</v>
      </c>
      <c r="L389" s="13" t="s">
        <v>3169</v>
      </c>
      <c r="M389" s="13" t="s">
        <v>3484</v>
      </c>
      <c r="N389" s="13" t="s">
        <v>3162</v>
      </c>
      <c r="O389" s="13" t="s">
        <v>33</v>
      </c>
      <c r="P389" s="13">
        <v>1.0</v>
      </c>
      <c r="Q389" s="13" t="s">
        <v>3160</v>
      </c>
      <c r="R389" s="13" t="s">
        <v>3177</v>
      </c>
      <c r="S389" s="13" t="s">
        <v>33</v>
      </c>
      <c r="T389" s="13" t="s">
        <v>4219</v>
      </c>
      <c r="U389" s="13" t="s">
        <v>3252</v>
      </c>
      <c r="V389" s="13" t="s">
        <v>3252</v>
      </c>
      <c r="W389" s="13" t="s">
        <v>3294</v>
      </c>
      <c r="X389" s="13" t="s">
        <v>3192</v>
      </c>
      <c r="Y389" s="13" t="s">
        <v>33</v>
      </c>
      <c r="Z389" s="13" t="s">
        <v>33</v>
      </c>
      <c r="AA389" s="13" t="b">
        <v>1</v>
      </c>
      <c r="AB389" s="48"/>
      <c r="AC389" s="49"/>
    </row>
    <row r="390" ht="14.25" customHeight="1">
      <c r="A390" s="13">
        <v>26078.0</v>
      </c>
      <c r="B390" s="13" t="str">
        <f t="shared" si="4"/>
        <v>Observational</v>
      </c>
      <c r="C390" s="13" t="s">
        <v>4856</v>
      </c>
      <c r="D390" s="13" t="s">
        <v>4857</v>
      </c>
      <c r="E390" s="13" t="s">
        <v>5098</v>
      </c>
      <c r="F390" s="13" t="s">
        <v>3208</v>
      </c>
      <c r="G390" s="13" t="s">
        <v>3208</v>
      </c>
      <c r="H390" s="13" t="s">
        <v>3242</v>
      </c>
      <c r="I390" s="13" t="s">
        <v>3188</v>
      </c>
      <c r="J390" s="13" t="s">
        <v>3432</v>
      </c>
      <c r="K390" s="13" t="s">
        <v>3153</v>
      </c>
      <c r="L390" s="13" t="s">
        <v>3169</v>
      </c>
      <c r="M390" s="13" t="s">
        <v>4438</v>
      </c>
      <c r="N390" s="13" t="s">
        <v>3162</v>
      </c>
      <c r="O390" s="13" t="s">
        <v>33</v>
      </c>
      <c r="P390" s="13">
        <v>3.0</v>
      </c>
      <c r="Q390" s="13" t="s">
        <v>3160</v>
      </c>
      <c r="R390" s="13" t="s">
        <v>3163</v>
      </c>
      <c r="S390" s="13" t="s">
        <v>33</v>
      </c>
      <c r="T390" s="13" t="s">
        <v>3167</v>
      </c>
      <c r="U390" s="13" t="s">
        <v>3247</v>
      </c>
      <c r="V390" s="13" t="s">
        <v>3247</v>
      </c>
      <c r="W390" s="13" t="s">
        <v>3572</v>
      </c>
      <c r="X390" s="13" t="s">
        <v>3192</v>
      </c>
      <c r="Y390" s="13" t="s">
        <v>3202</v>
      </c>
      <c r="Z390" s="13">
        <v>30.0</v>
      </c>
      <c r="AA390" s="13" t="b">
        <v>1</v>
      </c>
      <c r="AB390" s="48"/>
      <c r="AC390" s="49"/>
    </row>
    <row r="391" ht="14.25" customHeight="1">
      <c r="A391" s="13">
        <v>24832.0</v>
      </c>
      <c r="B391" s="13" t="str">
        <f t="shared" si="4"/>
        <v>Observational</v>
      </c>
      <c r="C391" s="13" t="s">
        <v>4856</v>
      </c>
      <c r="D391" s="13" t="s">
        <v>5183</v>
      </c>
      <c r="E391" s="13" t="s">
        <v>4952</v>
      </c>
      <c r="F391" s="13" t="s">
        <v>3208</v>
      </c>
      <c r="G391" s="13" t="s">
        <v>3208</v>
      </c>
      <c r="H391" s="13" t="s">
        <v>3242</v>
      </c>
      <c r="I391" s="13" t="s">
        <v>3171</v>
      </c>
      <c r="J391" s="13" t="s">
        <v>3438</v>
      </c>
      <c r="K391" s="13" t="s">
        <v>3153</v>
      </c>
      <c r="L391" s="13" t="s">
        <v>3169</v>
      </c>
      <c r="M391" s="13" t="s">
        <v>4047</v>
      </c>
      <c r="N391" s="13" t="s">
        <v>3162</v>
      </c>
      <c r="O391" s="13" t="s">
        <v>33</v>
      </c>
      <c r="P391" s="13">
        <v>4.0</v>
      </c>
      <c r="Q391" s="13" t="s">
        <v>3160</v>
      </c>
      <c r="R391" s="13" t="s">
        <v>3163</v>
      </c>
      <c r="S391" s="13" t="s">
        <v>33</v>
      </c>
      <c r="T391" s="13" t="s">
        <v>3167</v>
      </c>
      <c r="U391" s="13" t="s">
        <v>3247</v>
      </c>
      <c r="V391" s="13" t="s">
        <v>3247</v>
      </c>
      <c r="W391" s="13" t="s">
        <v>3248</v>
      </c>
      <c r="X391" s="13" t="s">
        <v>3192</v>
      </c>
      <c r="Y391" s="13" t="s">
        <v>3202</v>
      </c>
      <c r="Z391" s="13">
        <v>30.0</v>
      </c>
      <c r="AA391" s="13" t="b">
        <v>1</v>
      </c>
      <c r="AB391" s="48"/>
      <c r="AC391" s="49"/>
    </row>
    <row r="392" ht="14.25" customHeight="1">
      <c r="A392" s="13">
        <v>23357.0</v>
      </c>
      <c r="B392" s="13" t="str">
        <f t="shared" si="4"/>
        <v>Observational</v>
      </c>
      <c r="C392" s="13" t="s">
        <v>4856</v>
      </c>
      <c r="D392" s="50" t="s">
        <v>5184</v>
      </c>
      <c r="E392" s="2" t="s">
        <v>4965</v>
      </c>
      <c r="F392" s="13" t="s">
        <v>3208</v>
      </c>
      <c r="G392" s="13" t="s">
        <v>3208</v>
      </c>
      <c r="H392" s="13" t="s">
        <v>3242</v>
      </c>
      <c r="I392" s="13" t="s">
        <v>3188</v>
      </c>
      <c r="J392" s="13" t="s">
        <v>3404</v>
      </c>
      <c r="K392" s="13" t="s">
        <v>3153</v>
      </c>
      <c r="L392" s="13" t="s">
        <v>3169</v>
      </c>
      <c r="M392" s="13" t="s">
        <v>3405</v>
      </c>
      <c r="N392" s="13" t="s">
        <v>3162</v>
      </c>
      <c r="O392" s="13" t="s">
        <v>33</v>
      </c>
      <c r="P392" s="13">
        <v>3.0</v>
      </c>
      <c r="Q392" s="13" t="s">
        <v>3160</v>
      </c>
      <c r="R392" s="13" t="s">
        <v>3163</v>
      </c>
      <c r="S392" s="13" t="s">
        <v>33</v>
      </c>
      <c r="T392" s="13" t="s">
        <v>3167</v>
      </c>
      <c r="U392" s="13" t="s">
        <v>3247</v>
      </c>
      <c r="V392" s="13" t="s">
        <v>3247</v>
      </c>
      <c r="W392" s="13" t="s">
        <v>3248</v>
      </c>
      <c r="X392" s="13" t="s">
        <v>3170</v>
      </c>
      <c r="Y392" s="13" t="s">
        <v>3202</v>
      </c>
      <c r="Z392" s="13">
        <v>30.0</v>
      </c>
      <c r="AA392" s="13" t="b">
        <v>1</v>
      </c>
      <c r="AB392" s="48"/>
      <c r="AC392" s="49"/>
    </row>
    <row r="393" ht="14.25" customHeight="1">
      <c r="A393" s="13">
        <v>25925.0</v>
      </c>
      <c r="B393" s="13" t="str">
        <f t="shared" si="4"/>
        <v>Observational</v>
      </c>
      <c r="C393" s="13" t="s">
        <v>4856</v>
      </c>
      <c r="D393" s="50" t="s">
        <v>5184</v>
      </c>
      <c r="E393" s="2" t="s">
        <v>4965</v>
      </c>
      <c r="F393" s="13" t="s">
        <v>3183</v>
      </c>
      <c r="G393" s="13" t="s">
        <v>3186</v>
      </c>
      <c r="H393" s="13" t="s">
        <v>3253</v>
      </c>
      <c r="I393" s="13" t="s">
        <v>3157</v>
      </c>
      <c r="J393" s="13" t="s">
        <v>3348</v>
      </c>
      <c r="K393" s="13" t="s">
        <v>3153</v>
      </c>
      <c r="L393" s="13" t="s">
        <v>3169</v>
      </c>
      <c r="M393" s="13" t="s">
        <v>3405</v>
      </c>
      <c r="N393" s="13" t="s">
        <v>3162</v>
      </c>
      <c r="O393" s="13" t="s">
        <v>4391</v>
      </c>
      <c r="P393" s="13">
        <v>3.0</v>
      </c>
      <c r="Q393" s="13" t="s">
        <v>3177</v>
      </c>
      <c r="R393" s="13" t="s">
        <v>3177</v>
      </c>
      <c r="S393" s="13" t="s">
        <v>33</v>
      </c>
      <c r="T393" s="13" t="s">
        <v>3276</v>
      </c>
      <c r="U393" s="13" t="s">
        <v>3252</v>
      </c>
      <c r="V393" s="13" t="s">
        <v>3252</v>
      </c>
      <c r="W393" s="13" t="s">
        <v>3294</v>
      </c>
      <c r="X393" s="13" t="s">
        <v>3192</v>
      </c>
      <c r="Y393" s="13" t="s">
        <v>3202</v>
      </c>
      <c r="Z393" s="13">
        <v>100.0</v>
      </c>
      <c r="AA393" s="13" t="b">
        <v>1</v>
      </c>
      <c r="AB393" s="48"/>
      <c r="AC393" s="49"/>
    </row>
    <row r="394" ht="14.25" customHeight="1">
      <c r="A394" s="13">
        <v>24242.0</v>
      </c>
      <c r="B394" s="13" t="str">
        <f t="shared" si="4"/>
        <v>Observational</v>
      </c>
      <c r="C394" s="13" t="s">
        <v>4852</v>
      </c>
      <c r="D394" s="50" t="s">
        <v>5185</v>
      </c>
      <c r="E394" s="2" t="s">
        <v>5186</v>
      </c>
      <c r="F394" s="13" t="s">
        <v>3186</v>
      </c>
      <c r="G394" s="13" t="s">
        <v>3186</v>
      </c>
      <c r="H394" s="13" t="s">
        <v>3166</v>
      </c>
      <c r="I394" s="13" t="s">
        <v>3222</v>
      </c>
      <c r="J394" s="13" t="s">
        <v>3182</v>
      </c>
      <c r="K394" s="13" t="s">
        <v>3153</v>
      </c>
      <c r="L394" s="13" t="s">
        <v>3154</v>
      </c>
      <c r="M394" s="13" t="s">
        <v>3812</v>
      </c>
      <c r="N394" s="13" t="s">
        <v>3175</v>
      </c>
      <c r="O394" s="13" t="s">
        <v>33</v>
      </c>
      <c r="P394" s="13">
        <v>5.0</v>
      </c>
      <c r="Q394" s="13" t="s">
        <v>3160</v>
      </c>
      <c r="R394" s="13" t="s">
        <v>3163</v>
      </c>
      <c r="S394" s="13" t="s">
        <v>33</v>
      </c>
      <c r="T394" s="13" t="s">
        <v>3813</v>
      </c>
      <c r="U394" s="13" t="s">
        <v>3197</v>
      </c>
      <c r="V394" s="13" t="s">
        <v>3197</v>
      </c>
      <c r="W394" s="13" t="s">
        <v>3167</v>
      </c>
      <c r="X394" s="13" t="s">
        <v>3192</v>
      </c>
      <c r="Y394" s="13" t="s">
        <v>33</v>
      </c>
      <c r="Z394" s="13" t="s">
        <v>33</v>
      </c>
      <c r="AA394" s="13" t="b">
        <v>1</v>
      </c>
      <c r="AB394" s="48"/>
      <c r="AC394" s="49"/>
    </row>
    <row r="395" ht="14.25" customHeight="1">
      <c r="A395" s="13">
        <v>26098.0</v>
      </c>
      <c r="B395" s="13" t="str">
        <f t="shared" si="4"/>
        <v>Observational</v>
      </c>
      <c r="C395" s="13" t="s">
        <v>4886</v>
      </c>
      <c r="D395" s="1"/>
      <c r="E395" s="2" t="s">
        <v>5052</v>
      </c>
      <c r="F395" s="13" t="s">
        <v>3183</v>
      </c>
      <c r="G395" s="13" t="s">
        <v>3381</v>
      </c>
      <c r="H395" s="13" t="s">
        <v>3242</v>
      </c>
      <c r="I395" s="13" t="s">
        <v>3188</v>
      </c>
      <c r="J395" s="13" t="s">
        <v>4449</v>
      </c>
      <c r="K395" s="13" t="s">
        <v>3153</v>
      </c>
      <c r="L395" s="13" t="s">
        <v>3465</v>
      </c>
      <c r="M395" s="13" t="s">
        <v>4450</v>
      </c>
      <c r="N395" s="13" t="s">
        <v>3267</v>
      </c>
      <c r="O395" s="13" t="s">
        <v>4451</v>
      </c>
      <c r="P395" s="13">
        <v>2.0</v>
      </c>
      <c r="Q395" s="13" t="s">
        <v>3160</v>
      </c>
      <c r="R395" s="13" t="s">
        <v>3163</v>
      </c>
      <c r="S395" s="13" t="s">
        <v>33</v>
      </c>
      <c r="T395" s="13" t="s">
        <v>3167</v>
      </c>
      <c r="U395" s="13" t="s">
        <v>3228</v>
      </c>
      <c r="V395" s="13" t="s">
        <v>3247</v>
      </c>
      <c r="W395" s="13" t="s">
        <v>4452</v>
      </c>
      <c r="X395" s="13" t="s">
        <v>3211</v>
      </c>
      <c r="Y395" s="13" t="s">
        <v>3187</v>
      </c>
      <c r="Z395" s="13">
        <v>1.0</v>
      </c>
      <c r="AA395" s="13" t="b">
        <v>1</v>
      </c>
      <c r="AB395" s="48"/>
      <c r="AC395" s="49"/>
    </row>
    <row r="396" ht="14.25" customHeight="1">
      <c r="A396" s="13">
        <v>25349.0</v>
      </c>
      <c r="B396" s="13" t="str">
        <f t="shared" si="4"/>
        <v>Observational</v>
      </c>
      <c r="C396" s="13" t="s">
        <v>4852</v>
      </c>
      <c r="D396" s="50" t="s">
        <v>5187</v>
      </c>
      <c r="E396" s="2" t="s">
        <v>5103</v>
      </c>
      <c r="F396" s="13" t="s">
        <v>3159</v>
      </c>
      <c r="G396" s="13" t="s">
        <v>3680</v>
      </c>
      <c r="H396" s="13" t="s">
        <v>3166</v>
      </c>
      <c r="I396" s="13" t="s">
        <v>3244</v>
      </c>
      <c r="J396" s="13" t="s">
        <v>3289</v>
      </c>
      <c r="K396" s="13" t="s">
        <v>3153</v>
      </c>
      <c r="L396" s="13" t="s">
        <v>3154</v>
      </c>
      <c r="M396" s="13" t="s">
        <v>4206</v>
      </c>
      <c r="N396" s="13" t="s">
        <v>3267</v>
      </c>
      <c r="O396" s="13" t="s">
        <v>33</v>
      </c>
      <c r="P396" s="13">
        <v>3.0</v>
      </c>
      <c r="Q396" s="13" t="s">
        <v>3160</v>
      </c>
      <c r="R396" s="13" t="s">
        <v>3163</v>
      </c>
      <c r="S396" s="13" t="s">
        <v>33</v>
      </c>
      <c r="T396" s="13" t="s">
        <v>3324</v>
      </c>
      <c r="U396" s="13" t="s">
        <v>3165</v>
      </c>
      <c r="V396" s="13" t="s">
        <v>3165</v>
      </c>
      <c r="W396" s="13" t="s">
        <v>3167</v>
      </c>
      <c r="X396" s="13" t="s">
        <v>3192</v>
      </c>
      <c r="Y396" s="13" t="s">
        <v>3202</v>
      </c>
      <c r="Z396" s="13">
        <v>30.0</v>
      </c>
      <c r="AA396" s="13" t="b">
        <v>1</v>
      </c>
      <c r="AB396" s="48"/>
      <c r="AC396" s="49"/>
    </row>
    <row r="397" ht="14.25" customHeight="1">
      <c r="A397" s="13">
        <v>24288.0</v>
      </c>
      <c r="B397" s="13" t="str">
        <f t="shared" si="4"/>
        <v>Observational</v>
      </c>
      <c r="C397" s="13" t="s">
        <v>4856</v>
      </c>
      <c r="D397" s="50" t="s">
        <v>5188</v>
      </c>
      <c r="E397" s="13" t="s">
        <v>4924</v>
      </c>
      <c r="F397" s="13" t="s">
        <v>3190</v>
      </c>
      <c r="G397" s="13" t="s">
        <v>3828</v>
      </c>
      <c r="H397" s="13" t="s">
        <v>3253</v>
      </c>
      <c r="I397" s="13" t="s">
        <v>3188</v>
      </c>
      <c r="J397" s="13" t="s">
        <v>3233</v>
      </c>
      <c r="K397" s="13" t="s">
        <v>3153</v>
      </c>
      <c r="L397" s="13" t="s">
        <v>3169</v>
      </c>
      <c r="M397" s="13" t="s">
        <v>3827</v>
      </c>
      <c r="N397" s="13" t="s">
        <v>3162</v>
      </c>
      <c r="O397" s="13" t="s">
        <v>33</v>
      </c>
      <c r="P397" s="13">
        <v>2.0</v>
      </c>
      <c r="Q397" s="13" t="s">
        <v>3160</v>
      </c>
      <c r="R397" s="13" t="s">
        <v>3163</v>
      </c>
      <c r="S397" s="13" t="s">
        <v>33</v>
      </c>
      <c r="T397" s="13" t="s">
        <v>3632</v>
      </c>
      <c r="U397" s="13" t="s">
        <v>3252</v>
      </c>
      <c r="V397" s="13" t="s">
        <v>3252</v>
      </c>
      <c r="W397" s="13" t="s">
        <v>3634</v>
      </c>
      <c r="X397" s="13" t="s">
        <v>3170</v>
      </c>
      <c r="Y397" s="13" t="s">
        <v>3156</v>
      </c>
      <c r="Z397" s="13" t="s">
        <v>33</v>
      </c>
      <c r="AA397" s="13" t="b">
        <v>1</v>
      </c>
      <c r="AB397" s="48"/>
      <c r="AC397" s="49"/>
    </row>
    <row r="398" ht="14.25" customHeight="1">
      <c r="A398" s="13">
        <v>25575.0</v>
      </c>
      <c r="B398" s="13" t="str">
        <f t="shared" si="4"/>
        <v>Observational</v>
      </c>
      <c r="C398" s="13" t="s">
        <v>4880</v>
      </c>
      <c r="D398" s="50" t="s">
        <v>5053</v>
      </c>
      <c r="E398" s="13" t="s">
        <v>4924</v>
      </c>
      <c r="F398" s="13" t="s">
        <v>3208</v>
      </c>
      <c r="G398" s="13" t="s">
        <v>3208</v>
      </c>
      <c r="H398" s="13" t="s">
        <v>3242</v>
      </c>
      <c r="I398" s="13" t="s">
        <v>3188</v>
      </c>
      <c r="J398" s="13" t="s">
        <v>3207</v>
      </c>
      <c r="K398" s="13" t="s">
        <v>3153</v>
      </c>
      <c r="L398" s="13" t="s">
        <v>3684</v>
      </c>
      <c r="M398" s="13" t="s">
        <v>4270</v>
      </c>
      <c r="N398" s="13" t="s">
        <v>3162</v>
      </c>
      <c r="O398" s="13" t="s">
        <v>33</v>
      </c>
      <c r="P398" s="13">
        <v>2.0</v>
      </c>
      <c r="Q398" s="13" t="s">
        <v>3160</v>
      </c>
      <c r="R398" s="13" t="s">
        <v>3163</v>
      </c>
      <c r="S398" s="13" t="s">
        <v>33</v>
      </c>
      <c r="T398" s="13" t="s">
        <v>3167</v>
      </c>
      <c r="U398" s="13" t="s">
        <v>3197</v>
      </c>
      <c r="V398" s="13" t="s">
        <v>3197</v>
      </c>
      <c r="W398" s="13" t="s">
        <v>3481</v>
      </c>
      <c r="X398" s="13" t="s">
        <v>3170</v>
      </c>
      <c r="Y398" s="13" t="s">
        <v>3202</v>
      </c>
      <c r="Z398" s="13">
        <v>500.0</v>
      </c>
      <c r="AA398" s="13" t="b">
        <v>1</v>
      </c>
      <c r="AB398" s="48"/>
      <c r="AC398" s="49"/>
    </row>
    <row r="399" ht="14.25" customHeight="1">
      <c r="A399" s="13">
        <v>25296.0</v>
      </c>
      <c r="B399" s="13" t="str">
        <f t="shared" si="4"/>
        <v>Observational</v>
      </c>
      <c r="C399" s="13" t="s">
        <v>4856</v>
      </c>
      <c r="D399" s="50" t="s">
        <v>5189</v>
      </c>
      <c r="E399" s="13" t="s">
        <v>4924</v>
      </c>
      <c r="F399" s="13" t="s">
        <v>3287</v>
      </c>
      <c r="G399" s="13" t="s">
        <v>3287</v>
      </c>
      <c r="H399" s="13" t="s">
        <v>3242</v>
      </c>
      <c r="I399" s="13" t="s">
        <v>3188</v>
      </c>
      <c r="J399" s="13" t="s">
        <v>3207</v>
      </c>
      <c r="K399" s="13" t="s">
        <v>3153</v>
      </c>
      <c r="L399" s="13" t="s">
        <v>3169</v>
      </c>
      <c r="M399" s="13" t="s">
        <v>4194</v>
      </c>
      <c r="N399" s="13" t="s">
        <v>3162</v>
      </c>
      <c r="O399" s="13" t="s">
        <v>33</v>
      </c>
      <c r="P399" s="13">
        <v>3.0</v>
      </c>
      <c r="Q399" s="13" t="s">
        <v>3160</v>
      </c>
      <c r="R399" s="13" t="s">
        <v>3163</v>
      </c>
      <c r="S399" s="13" t="s">
        <v>33</v>
      </c>
      <c r="T399" s="13" t="s">
        <v>3167</v>
      </c>
      <c r="U399" s="13" t="s">
        <v>3164</v>
      </c>
      <c r="V399" s="13" t="s">
        <v>3247</v>
      </c>
      <c r="W399" s="13" t="s">
        <v>4195</v>
      </c>
      <c r="X399" s="13" t="s">
        <v>3192</v>
      </c>
      <c r="Y399" s="13" t="s">
        <v>33</v>
      </c>
      <c r="Z399" s="13" t="s">
        <v>33</v>
      </c>
      <c r="AA399" s="13" t="b">
        <v>1</v>
      </c>
      <c r="AB399" s="48"/>
      <c r="AC399" s="49"/>
    </row>
    <row r="400" ht="14.25" customHeight="1">
      <c r="A400" s="13">
        <v>24000.0</v>
      </c>
      <c r="B400" s="13" t="str">
        <f t="shared" si="4"/>
        <v>Observational</v>
      </c>
      <c r="C400" s="13" t="s">
        <v>4856</v>
      </c>
      <c r="D400" s="13" t="s">
        <v>5190</v>
      </c>
      <c r="E400" s="13" t="s">
        <v>5191</v>
      </c>
      <c r="F400" s="13" t="s">
        <v>3208</v>
      </c>
      <c r="G400" s="13" t="s">
        <v>3210</v>
      </c>
      <c r="H400" s="13" t="s">
        <v>3195</v>
      </c>
      <c r="I400" s="13" t="s">
        <v>3188</v>
      </c>
      <c r="J400" s="13" t="s">
        <v>3483</v>
      </c>
      <c r="K400" s="13" t="s">
        <v>3153</v>
      </c>
      <c r="L400" s="13" t="s">
        <v>3169</v>
      </c>
      <c r="M400" s="13" t="s">
        <v>3721</v>
      </c>
      <c r="N400" s="13" t="s">
        <v>3162</v>
      </c>
      <c r="O400" s="13" t="s">
        <v>33</v>
      </c>
      <c r="P400" s="13">
        <v>6.0</v>
      </c>
      <c r="Q400" s="13" t="s">
        <v>3160</v>
      </c>
      <c r="R400" s="13" t="s">
        <v>3163</v>
      </c>
      <c r="S400" s="13" t="s">
        <v>33</v>
      </c>
      <c r="T400" s="13" t="s">
        <v>3167</v>
      </c>
      <c r="U400" s="13" t="s">
        <v>3195</v>
      </c>
      <c r="V400" s="13" t="s">
        <v>3195</v>
      </c>
      <c r="W400" s="13" t="s">
        <v>3167</v>
      </c>
      <c r="X400" s="13" t="s">
        <v>3170</v>
      </c>
      <c r="Y400" s="13" t="s">
        <v>3202</v>
      </c>
      <c r="Z400" s="13">
        <v>200.0</v>
      </c>
      <c r="AA400" s="13" t="b">
        <v>1</v>
      </c>
      <c r="AB400" s="48"/>
      <c r="AC400" s="49"/>
    </row>
    <row r="401" ht="14.25" customHeight="1">
      <c r="A401" s="13">
        <v>23824.0</v>
      </c>
      <c r="B401" s="13" t="str">
        <f t="shared" si="4"/>
        <v>Observational</v>
      </c>
      <c r="C401" s="13" t="s">
        <v>4864</v>
      </c>
      <c r="D401" s="13" t="s">
        <v>5192</v>
      </c>
      <c r="E401" s="13" t="s">
        <v>5193</v>
      </c>
      <c r="F401" s="13" t="s">
        <v>3190</v>
      </c>
      <c r="G401" s="13" t="s">
        <v>3190</v>
      </c>
      <c r="H401" s="13" t="s">
        <v>3253</v>
      </c>
      <c r="I401" s="13" t="s">
        <v>3181</v>
      </c>
      <c r="J401" s="13" t="s">
        <v>3182</v>
      </c>
      <c r="K401" s="13" t="s">
        <v>3153</v>
      </c>
      <c r="L401" s="13" t="s">
        <v>3179</v>
      </c>
      <c r="M401" s="13" t="s">
        <v>3633</v>
      </c>
      <c r="N401" s="13" t="s">
        <v>3175</v>
      </c>
      <c r="O401" s="13" t="s">
        <v>33</v>
      </c>
      <c r="P401" s="13">
        <v>5.0</v>
      </c>
      <c r="Q401" s="13" t="s">
        <v>3160</v>
      </c>
      <c r="R401" s="13" t="s">
        <v>3163</v>
      </c>
      <c r="S401" s="13" t="s">
        <v>33</v>
      </c>
      <c r="T401" s="13" t="s">
        <v>3632</v>
      </c>
      <c r="U401" s="13" t="s">
        <v>3252</v>
      </c>
      <c r="V401" s="13" t="s">
        <v>3252</v>
      </c>
      <c r="W401" s="13" t="s">
        <v>3634</v>
      </c>
      <c r="X401" s="13" t="s">
        <v>3192</v>
      </c>
      <c r="Y401" s="13" t="s">
        <v>33</v>
      </c>
      <c r="Z401" s="13" t="s">
        <v>33</v>
      </c>
      <c r="AA401" s="13" t="b">
        <v>1</v>
      </c>
      <c r="AB401" s="48"/>
      <c r="AC401" s="49"/>
    </row>
    <row r="402" ht="14.25" customHeight="1">
      <c r="A402" s="13">
        <v>25083.0</v>
      </c>
      <c r="B402" s="13" t="str">
        <f t="shared" si="4"/>
        <v>Observational</v>
      </c>
      <c r="C402" s="13" t="s">
        <v>4855</v>
      </c>
      <c r="D402" s="50" t="s">
        <v>5194</v>
      </c>
      <c r="E402" s="13" t="s">
        <v>4924</v>
      </c>
      <c r="F402" s="13" t="s">
        <v>3208</v>
      </c>
      <c r="G402" s="13" t="s">
        <v>3208</v>
      </c>
      <c r="H402" s="13" t="s">
        <v>3242</v>
      </c>
      <c r="I402" s="13" t="s">
        <v>3188</v>
      </c>
      <c r="J402" s="13" t="s">
        <v>3207</v>
      </c>
      <c r="K402" s="13" t="s">
        <v>3153</v>
      </c>
      <c r="L402" s="13" t="s">
        <v>3395</v>
      </c>
      <c r="M402" s="13" t="s">
        <v>4134</v>
      </c>
      <c r="N402" s="13" t="s">
        <v>3162</v>
      </c>
      <c r="O402" s="13" t="s">
        <v>33</v>
      </c>
      <c r="P402" s="13">
        <v>3.0</v>
      </c>
      <c r="Q402" s="13" t="s">
        <v>3160</v>
      </c>
      <c r="R402" s="13" t="s">
        <v>3163</v>
      </c>
      <c r="S402" s="13" t="s">
        <v>33</v>
      </c>
      <c r="T402" s="13" t="s">
        <v>3167</v>
      </c>
      <c r="U402" s="13" t="s">
        <v>3197</v>
      </c>
      <c r="V402" s="13" t="s">
        <v>3197</v>
      </c>
      <c r="W402" s="13" t="s">
        <v>3481</v>
      </c>
      <c r="X402" s="13" t="s">
        <v>3170</v>
      </c>
      <c r="Y402" s="13" t="s">
        <v>3202</v>
      </c>
      <c r="Z402" s="13">
        <v>57.0</v>
      </c>
      <c r="AA402" s="13" t="b">
        <v>1</v>
      </c>
      <c r="AB402" s="48"/>
      <c r="AC402" s="49"/>
    </row>
    <row r="403" ht="14.25" customHeight="1">
      <c r="A403" s="13">
        <v>24428.0</v>
      </c>
      <c r="B403" s="13" t="str">
        <f t="shared" si="4"/>
        <v>Observational</v>
      </c>
      <c r="C403" s="13" t="s">
        <v>4852</v>
      </c>
      <c r="D403" s="13" t="s">
        <v>5195</v>
      </c>
      <c r="E403" s="13" t="s">
        <v>5196</v>
      </c>
      <c r="F403" s="13" t="s">
        <v>3250</v>
      </c>
      <c r="G403" s="13" t="s">
        <v>3210</v>
      </c>
      <c r="H403" s="13" t="s">
        <v>3195</v>
      </c>
      <c r="I403" s="13" t="s">
        <v>3157</v>
      </c>
      <c r="J403" s="13" t="s">
        <v>3904</v>
      </c>
      <c r="K403" s="13" t="s">
        <v>3153</v>
      </c>
      <c r="L403" s="13" t="s">
        <v>3154</v>
      </c>
      <c r="M403" s="13" t="s">
        <v>3905</v>
      </c>
      <c r="N403" s="13" t="s">
        <v>3162</v>
      </c>
      <c r="O403" s="13" t="s">
        <v>33</v>
      </c>
      <c r="P403" s="13">
        <v>10.0</v>
      </c>
      <c r="Q403" s="13" t="s">
        <v>3160</v>
      </c>
      <c r="R403" s="13" t="s">
        <v>3163</v>
      </c>
      <c r="S403" s="13" t="s">
        <v>33</v>
      </c>
      <c r="T403" s="13" t="s">
        <v>3167</v>
      </c>
      <c r="U403" s="13" t="s">
        <v>3195</v>
      </c>
      <c r="V403" s="13" t="s">
        <v>3195</v>
      </c>
      <c r="W403" s="13" t="s">
        <v>3167</v>
      </c>
      <c r="X403" s="13" t="s">
        <v>3170</v>
      </c>
      <c r="Y403" s="13" t="s">
        <v>3156</v>
      </c>
      <c r="Z403" s="13" t="s">
        <v>33</v>
      </c>
      <c r="AA403" s="13" t="b">
        <v>1</v>
      </c>
      <c r="AB403" s="48"/>
      <c r="AC403" s="49"/>
    </row>
    <row r="404" ht="14.25" customHeight="1">
      <c r="A404" s="13">
        <v>25802.0</v>
      </c>
      <c r="B404" s="13" t="str">
        <f t="shared" si="4"/>
        <v>Observational</v>
      </c>
      <c r="C404" s="13" t="s">
        <v>4856</v>
      </c>
      <c r="D404" s="13" t="s">
        <v>5197</v>
      </c>
      <c r="E404" s="13" t="s">
        <v>4963</v>
      </c>
      <c r="F404" s="13" t="s">
        <v>3208</v>
      </c>
      <c r="G404" s="13" t="s">
        <v>3287</v>
      </c>
      <c r="H404" s="13" t="s">
        <v>3242</v>
      </c>
      <c r="I404" s="13" t="s">
        <v>3244</v>
      </c>
      <c r="J404" s="13" t="s">
        <v>3350</v>
      </c>
      <c r="K404" s="13" t="s">
        <v>3153</v>
      </c>
      <c r="L404" s="13" t="s">
        <v>3169</v>
      </c>
      <c r="M404" s="13" t="s">
        <v>4327</v>
      </c>
      <c r="N404" s="13" t="s">
        <v>3162</v>
      </c>
      <c r="O404" s="13" t="s">
        <v>33</v>
      </c>
      <c r="P404" s="13">
        <v>3.0</v>
      </c>
      <c r="Q404" s="13" t="s">
        <v>3160</v>
      </c>
      <c r="R404" s="13" t="s">
        <v>3163</v>
      </c>
      <c r="S404" s="13" t="s">
        <v>33</v>
      </c>
      <c r="T404" s="13" t="s">
        <v>3167</v>
      </c>
      <c r="U404" s="13" t="s">
        <v>3197</v>
      </c>
      <c r="V404" s="13" t="s">
        <v>3197</v>
      </c>
      <c r="W404" s="13" t="s">
        <v>3294</v>
      </c>
      <c r="X404" s="13" t="s">
        <v>3170</v>
      </c>
      <c r="Y404" s="13" t="s">
        <v>33</v>
      </c>
      <c r="Z404" s="13" t="s">
        <v>33</v>
      </c>
      <c r="AA404" s="13" t="b">
        <v>1</v>
      </c>
      <c r="AB404" s="48"/>
      <c r="AC404" s="49"/>
    </row>
    <row r="405" ht="14.25" customHeight="1">
      <c r="A405" s="13">
        <v>25443.0</v>
      </c>
      <c r="B405" s="13" t="str">
        <f t="shared" si="4"/>
        <v>Observational</v>
      </c>
      <c r="C405" s="13" t="s">
        <v>4856</v>
      </c>
      <c r="D405" s="50" t="s">
        <v>5198</v>
      </c>
      <c r="E405" s="2" t="s">
        <v>4965</v>
      </c>
      <c r="F405" s="13" t="s">
        <v>3186</v>
      </c>
      <c r="G405" s="13" t="s">
        <v>3159</v>
      </c>
      <c r="H405" s="13" t="s">
        <v>3166</v>
      </c>
      <c r="I405" s="13" t="s">
        <v>3188</v>
      </c>
      <c r="J405" s="13" t="s">
        <v>3913</v>
      </c>
      <c r="K405" s="13" t="s">
        <v>3153</v>
      </c>
      <c r="L405" s="13" t="s">
        <v>3169</v>
      </c>
      <c r="M405" s="13" t="s">
        <v>4241</v>
      </c>
      <c r="N405" s="13" t="s">
        <v>3162</v>
      </c>
      <c r="O405" s="13" t="s">
        <v>33</v>
      </c>
      <c r="P405" s="13">
        <v>3.0</v>
      </c>
      <c r="Q405" s="13" t="s">
        <v>3160</v>
      </c>
      <c r="R405" s="13" t="s">
        <v>3163</v>
      </c>
      <c r="S405" s="13" t="s">
        <v>33</v>
      </c>
      <c r="T405" s="13" t="s">
        <v>3178</v>
      </c>
      <c r="U405" s="13" t="s">
        <v>3164</v>
      </c>
      <c r="V405" s="13" t="s">
        <v>3164</v>
      </c>
      <c r="W405" s="13" t="s">
        <v>3167</v>
      </c>
      <c r="X405" s="13" t="s">
        <v>3170</v>
      </c>
      <c r="Y405" s="13" t="s">
        <v>3156</v>
      </c>
      <c r="Z405" s="13" t="s">
        <v>33</v>
      </c>
      <c r="AA405" s="13" t="b">
        <v>1</v>
      </c>
      <c r="AB405" s="48"/>
      <c r="AC405" s="49"/>
    </row>
    <row r="406" ht="14.25" customHeight="1">
      <c r="A406" s="13">
        <v>25618.0</v>
      </c>
      <c r="B406" s="13" t="str">
        <f t="shared" si="4"/>
        <v>Observational</v>
      </c>
      <c r="C406" s="13" t="s">
        <v>4856</v>
      </c>
      <c r="D406" s="50" t="s">
        <v>5199</v>
      </c>
      <c r="E406" s="2" t="s">
        <v>5200</v>
      </c>
      <c r="F406" s="13" t="s">
        <v>3333</v>
      </c>
      <c r="G406" s="13" t="s">
        <v>4277</v>
      </c>
      <c r="H406" s="13" t="s">
        <v>3253</v>
      </c>
      <c r="I406" s="13" t="s">
        <v>3188</v>
      </c>
      <c r="J406" s="13" t="s">
        <v>3189</v>
      </c>
      <c r="K406" s="13" t="s">
        <v>3153</v>
      </c>
      <c r="L406" s="13" t="s">
        <v>3169</v>
      </c>
      <c r="M406" s="13" t="s">
        <v>4276</v>
      </c>
      <c r="N406" s="13" t="s">
        <v>3175</v>
      </c>
      <c r="O406" s="13" t="s">
        <v>33</v>
      </c>
      <c r="P406" s="13">
        <v>5.0</v>
      </c>
      <c r="Q406" s="13" t="s">
        <v>3177</v>
      </c>
      <c r="R406" s="13" t="s">
        <v>3177</v>
      </c>
      <c r="S406" s="13" t="s">
        <v>33</v>
      </c>
      <c r="T406" s="13" t="s">
        <v>4279</v>
      </c>
      <c r="U406" s="13" t="s">
        <v>3197</v>
      </c>
      <c r="V406" s="13" t="s">
        <v>3197</v>
      </c>
      <c r="W406" s="13" t="s">
        <v>4278</v>
      </c>
      <c r="X406" s="13" t="s">
        <v>3192</v>
      </c>
      <c r="Y406" s="13" t="s">
        <v>33</v>
      </c>
      <c r="Z406" s="13" t="s">
        <v>33</v>
      </c>
      <c r="AA406" s="13" t="b">
        <v>1</v>
      </c>
      <c r="AB406" s="48"/>
      <c r="AC406" s="49"/>
    </row>
    <row r="407" ht="14.25" customHeight="1">
      <c r="A407" s="13">
        <v>23290.0</v>
      </c>
      <c r="B407" s="13" t="str">
        <f t="shared" si="4"/>
        <v>Observational</v>
      </c>
      <c r="C407" s="13" t="s">
        <v>4852</v>
      </c>
      <c r="D407" s="13" t="s">
        <v>5201</v>
      </c>
      <c r="E407" s="13" t="s">
        <v>5202</v>
      </c>
      <c r="F407" s="13" t="s">
        <v>3208</v>
      </c>
      <c r="G407" s="13" t="s">
        <v>3210</v>
      </c>
      <c r="H407" s="13" t="s">
        <v>3195</v>
      </c>
      <c r="I407" s="13" t="s">
        <v>3171</v>
      </c>
      <c r="J407" s="13" t="s">
        <v>3374</v>
      </c>
      <c r="K407" s="13" t="s">
        <v>3153</v>
      </c>
      <c r="L407" s="13" t="s">
        <v>3154</v>
      </c>
      <c r="M407" s="13" t="s">
        <v>3375</v>
      </c>
      <c r="N407" s="13" t="s">
        <v>3267</v>
      </c>
      <c r="O407" s="13" t="s">
        <v>33</v>
      </c>
      <c r="P407" s="13">
        <v>4.0</v>
      </c>
      <c r="Q407" s="13" t="s">
        <v>3160</v>
      </c>
      <c r="R407" s="13" t="s">
        <v>3163</v>
      </c>
      <c r="S407" s="13" t="s">
        <v>33</v>
      </c>
      <c r="T407" s="13" t="s">
        <v>3167</v>
      </c>
      <c r="U407" s="13" t="s">
        <v>3195</v>
      </c>
      <c r="V407" s="13" t="s">
        <v>3195</v>
      </c>
      <c r="W407" s="13" t="s">
        <v>3167</v>
      </c>
      <c r="X407" s="13" t="s">
        <v>3170</v>
      </c>
      <c r="Y407" s="13" t="s">
        <v>3156</v>
      </c>
      <c r="Z407" s="13" t="s">
        <v>3167</v>
      </c>
      <c r="AA407" s="13" t="b">
        <v>1</v>
      </c>
      <c r="AB407" s="48"/>
      <c r="AC407" s="49"/>
    </row>
    <row r="408" ht="14.25" customHeight="1">
      <c r="A408" s="13">
        <v>25392.0</v>
      </c>
      <c r="B408" s="13" t="str">
        <f t="shared" si="4"/>
        <v>Observational</v>
      </c>
      <c r="C408" s="13" t="s">
        <v>4856</v>
      </c>
      <c r="D408" s="13" t="s">
        <v>5203</v>
      </c>
      <c r="E408" s="13" t="s">
        <v>5204</v>
      </c>
      <c r="F408" s="13" t="s">
        <v>3183</v>
      </c>
      <c r="G408" s="13" t="s">
        <v>3183</v>
      </c>
      <c r="H408" s="13" t="s">
        <v>3166</v>
      </c>
      <c r="I408" s="13" t="s">
        <v>3167</v>
      </c>
      <c r="J408" s="13" t="s">
        <v>3167</v>
      </c>
      <c r="K408" s="13" t="s">
        <v>3153</v>
      </c>
      <c r="L408" s="13" t="s">
        <v>3169</v>
      </c>
      <c r="M408" s="13" t="s">
        <v>4221</v>
      </c>
      <c r="N408" s="13" t="s">
        <v>3162</v>
      </c>
      <c r="O408" s="13" t="s">
        <v>3397</v>
      </c>
      <c r="P408" s="13">
        <v>6.0</v>
      </c>
      <c r="Q408" s="13" t="s">
        <v>3177</v>
      </c>
      <c r="R408" s="13" t="s">
        <v>3177</v>
      </c>
      <c r="S408" s="13" t="s">
        <v>3397</v>
      </c>
      <c r="T408" s="13" t="s">
        <v>3877</v>
      </c>
      <c r="U408" s="13" t="s">
        <v>3232</v>
      </c>
      <c r="V408" s="13" t="s">
        <v>3197</v>
      </c>
      <c r="W408" s="13" t="s">
        <v>3167</v>
      </c>
      <c r="X408" s="13" t="s">
        <v>3217</v>
      </c>
      <c r="Y408" s="13" t="s">
        <v>33</v>
      </c>
      <c r="Z408" s="13" t="s">
        <v>33</v>
      </c>
      <c r="AA408" s="13" t="b">
        <v>1</v>
      </c>
      <c r="AB408" s="48"/>
      <c r="AC408" s="49"/>
    </row>
    <row r="409" ht="14.25" customHeight="1">
      <c r="A409" s="13">
        <v>24959.0</v>
      </c>
      <c r="B409" s="13" t="str">
        <f t="shared" si="4"/>
        <v>Observational</v>
      </c>
      <c r="C409" s="13" t="s">
        <v>4856</v>
      </c>
      <c r="D409" s="50" t="s">
        <v>5205</v>
      </c>
      <c r="E409" s="2" t="s">
        <v>5206</v>
      </c>
      <c r="F409" s="13" t="s">
        <v>3208</v>
      </c>
      <c r="G409" s="13" t="s">
        <v>3208</v>
      </c>
      <c r="H409" s="13" t="s">
        <v>3242</v>
      </c>
      <c r="I409" s="13" t="s">
        <v>3188</v>
      </c>
      <c r="J409" s="13" t="s">
        <v>4089</v>
      </c>
      <c r="K409" s="13" t="s">
        <v>3153</v>
      </c>
      <c r="L409" s="13" t="s">
        <v>3169</v>
      </c>
      <c r="M409" s="13" t="s">
        <v>4090</v>
      </c>
      <c r="N409" s="13" t="s">
        <v>3162</v>
      </c>
      <c r="O409" s="13" t="s">
        <v>3167</v>
      </c>
      <c r="P409" s="13">
        <v>2.0</v>
      </c>
      <c r="Q409" s="13" t="s">
        <v>3160</v>
      </c>
      <c r="R409" s="13" t="s">
        <v>3231</v>
      </c>
      <c r="S409" s="13" t="s">
        <v>33</v>
      </c>
      <c r="T409" s="13" t="s">
        <v>3167</v>
      </c>
      <c r="U409" s="13" t="s">
        <v>3197</v>
      </c>
      <c r="V409" s="13" t="s">
        <v>3197</v>
      </c>
      <c r="W409" s="13" t="s">
        <v>3248</v>
      </c>
      <c r="X409" s="13" t="s">
        <v>3170</v>
      </c>
      <c r="Y409" s="13" t="s">
        <v>3202</v>
      </c>
      <c r="Z409" s="13">
        <v>0.5</v>
      </c>
      <c r="AA409" s="13" t="b">
        <v>1</v>
      </c>
      <c r="AB409" s="48"/>
      <c r="AC409" s="49"/>
    </row>
    <row r="410" ht="14.25" customHeight="1">
      <c r="A410" s="13">
        <v>24389.0</v>
      </c>
      <c r="B410" s="13" t="str">
        <f t="shared" si="4"/>
        <v>Observational</v>
      </c>
      <c r="C410" s="13" t="s">
        <v>4856</v>
      </c>
      <c r="D410" s="13" t="s">
        <v>5207</v>
      </c>
      <c r="E410" s="13" t="s">
        <v>5163</v>
      </c>
      <c r="F410" s="13" t="s">
        <v>3208</v>
      </c>
      <c r="G410" s="13" t="s">
        <v>3744</v>
      </c>
      <c r="H410" s="13" t="s">
        <v>3242</v>
      </c>
      <c r="I410" s="13" t="s">
        <v>3171</v>
      </c>
      <c r="J410" s="13" t="s">
        <v>3318</v>
      </c>
      <c r="K410" s="13" t="s">
        <v>3153</v>
      </c>
      <c r="L410" s="13" t="s">
        <v>3169</v>
      </c>
      <c r="M410" s="13" t="s">
        <v>3878</v>
      </c>
      <c r="N410" s="13" t="s">
        <v>3162</v>
      </c>
      <c r="O410" s="13" t="s">
        <v>3167</v>
      </c>
      <c r="P410" s="13">
        <v>2.0</v>
      </c>
      <c r="Q410" s="13" t="s">
        <v>3160</v>
      </c>
      <c r="R410" s="13" t="s">
        <v>3231</v>
      </c>
      <c r="S410" s="13" t="s">
        <v>33</v>
      </c>
      <c r="T410" s="13" t="s">
        <v>3167</v>
      </c>
      <c r="U410" s="13" t="s">
        <v>3247</v>
      </c>
      <c r="V410" s="13" t="s">
        <v>3247</v>
      </c>
      <c r="W410" s="13" t="s">
        <v>3879</v>
      </c>
      <c r="X410" s="13" t="s">
        <v>3170</v>
      </c>
      <c r="Y410" s="13" t="s">
        <v>3202</v>
      </c>
      <c r="Z410" s="13">
        <v>2.5</v>
      </c>
      <c r="AA410" s="13" t="b">
        <v>1</v>
      </c>
      <c r="AB410" s="48"/>
      <c r="AC410" s="49"/>
    </row>
    <row r="411" ht="14.25" customHeight="1">
      <c r="A411" s="13">
        <v>26074.0</v>
      </c>
      <c r="B411" s="13" t="str">
        <f t="shared" si="4"/>
        <v>Observational</v>
      </c>
      <c r="C411" s="13" t="s">
        <v>4856</v>
      </c>
      <c r="D411" s="50" t="s">
        <v>5208</v>
      </c>
      <c r="E411" s="2" t="s">
        <v>5209</v>
      </c>
      <c r="F411" s="13" t="s">
        <v>3208</v>
      </c>
      <c r="G411" s="13" t="s">
        <v>3210</v>
      </c>
      <c r="H411" s="13" t="s">
        <v>3195</v>
      </c>
      <c r="I411" s="13" t="s">
        <v>3157</v>
      </c>
      <c r="J411" s="13" t="s">
        <v>3600</v>
      </c>
      <c r="K411" s="13" t="s">
        <v>3153</v>
      </c>
      <c r="L411" s="13" t="s">
        <v>3169</v>
      </c>
      <c r="M411" s="13" t="s">
        <v>4436</v>
      </c>
      <c r="N411" s="13" t="s">
        <v>3162</v>
      </c>
      <c r="O411" s="13" t="s">
        <v>33</v>
      </c>
      <c r="P411" s="13">
        <v>4.0</v>
      </c>
      <c r="Q411" s="13" t="s">
        <v>3160</v>
      </c>
      <c r="R411" s="13" t="s">
        <v>3163</v>
      </c>
      <c r="S411" s="13" t="s">
        <v>33</v>
      </c>
      <c r="T411" s="13" t="s">
        <v>3167</v>
      </c>
      <c r="U411" s="13" t="s">
        <v>3195</v>
      </c>
      <c r="V411" s="13" t="s">
        <v>3195</v>
      </c>
      <c r="W411" s="13" t="s">
        <v>3167</v>
      </c>
      <c r="X411" s="13" t="s">
        <v>3170</v>
      </c>
      <c r="Y411" s="13" t="s">
        <v>3202</v>
      </c>
      <c r="Z411" s="13">
        <v>0.5</v>
      </c>
      <c r="AA411" s="13" t="b">
        <v>1</v>
      </c>
      <c r="AB411" s="48"/>
      <c r="AC411" s="49"/>
    </row>
    <row r="412" ht="14.25" customHeight="1">
      <c r="A412" s="13">
        <v>25781.0</v>
      </c>
      <c r="B412" s="13" t="str">
        <f t="shared" si="4"/>
        <v>Observational</v>
      </c>
      <c r="C412" s="13" t="s">
        <v>4856</v>
      </c>
      <c r="D412" s="50" t="s">
        <v>5210</v>
      </c>
      <c r="E412" s="2" t="s">
        <v>5186</v>
      </c>
      <c r="F412" s="13" t="s">
        <v>3190</v>
      </c>
      <c r="G412" s="13" t="s">
        <v>3173</v>
      </c>
      <c r="H412" s="13" t="s">
        <v>3166</v>
      </c>
      <c r="I412" s="13" t="s">
        <v>3203</v>
      </c>
      <c r="J412" s="13" t="s">
        <v>3204</v>
      </c>
      <c r="K412" s="13" t="s">
        <v>3153</v>
      </c>
      <c r="L412" s="13" t="s">
        <v>3169</v>
      </c>
      <c r="M412" s="13" t="s">
        <v>4325</v>
      </c>
      <c r="N412" s="13" t="s">
        <v>3162</v>
      </c>
      <c r="O412" s="13" t="s">
        <v>33</v>
      </c>
      <c r="P412" s="13">
        <v>3.0</v>
      </c>
      <c r="Q412" s="13" t="s">
        <v>3160</v>
      </c>
      <c r="R412" s="13" t="s">
        <v>3177</v>
      </c>
      <c r="S412" s="13" t="s">
        <v>33</v>
      </c>
      <c r="T412" s="13" t="s">
        <v>3216</v>
      </c>
      <c r="U412" s="13" t="s">
        <v>3165</v>
      </c>
      <c r="V412" s="13" t="s">
        <v>3165</v>
      </c>
      <c r="W412" s="13" t="s">
        <v>3167</v>
      </c>
      <c r="X412" s="13" t="s">
        <v>3155</v>
      </c>
      <c r="Y412" s="13" t="s">
        <v>33</v>
      </c>
      <c r="Z412" s="13" t="s">
        <v>33</v>
      </c>
      <c r="AA412" s="13" t="b">
        <v>1</v>
      </c>
      <c r="AB412" s="48"/>
      <c r="AC412" s="49"/>
    </row>
    <row r="413" ht="14.25" customHeight="1">
      <c r="A413" s="13">
        <v>23915.0</v>
      </c>
      <c r="B413" s="13" t="str">
        <f t="shared" si="4"/>
        <v>Observational</v>
      </c>
      <c r="C413" s="13" t="s">
        <v>4852</v>
      </c>
      <c r="D413" s="13" t="s">
        <v>5211</v>
      </c>
      <c r="E413" s="13" t="s">
        <v>5125</v>
      </c>
      <c r="F413" s="13" t="s">
        <v>3208</v>
      </c>
      <c r="G413" s="13" t="s">
        <v>3290</v>
      </c>
      <c r="H413" s="13" t="s">
        <v>3253</v>
      </c>
      <c r="I413" s="13" t="s">
        <v>3171</v>
      </c>
      <c r="J413" s="13" t="s">
        <v>3682</v>
      </c>
      <c r="K413" s="13" t="s">
        <v>3153</v>
      </c>
      <c r="L413" s="13" t="s">
        <v>3154</v>
      </c>
      <c r="M413" s="13" t="s">
        <v>3683</v>
      </c>
      <c r="N413" s="13" t="s">
        <v>3162</v>
      </c>
      <c r="O413" s="13" t="s">
        <v>3167</v>
      </c>
      <c r="P413" s="13">
        <v>2.0</v>
      </c>
      <c r="Q413" s="13" t="s">
        <v>3160</v>
      </c>
      <c r="R413" s="13" t="s">
        <v>3231</v>
      </c>
      <c r="S413" s="13" t="s">
        <v>33</v>
      </c>
      <c r="T413" s="13" t="s">
        <v>3255</v>
      </c>
      <c r="U413" s="13" t="s">
        <v>3252</v>
      </c>
      <c r="V413" s="13" t="s">
        <v>3252</v>
      </c>
      <c r="W413" s="13" t="s">
        <v>3496</v>
      </c>
      <c r="X413" s="13" t="s">
        <v>3211</v>
      </c>
      <c r="Y413" s="13" t="s">
        <v>3156</v>
      </c>
      <c r="Z413" s="13" t="s">
        <v>3167</v>
      </c>
      <c r="AA413" s="13" t="b">
        <v>1</v>
      </c>
      <c r="AB413" s="48"/>
      <c r="AC413" s="49"/>
    </row>
    <row r="414" ht="14.25" customHeight="1">
      <c r="A414" s="13">
        <v>25960.0</v>
      </c>
      <c r="B414" s="13" t="str">
        <f t="shared" si="4"/>
        <v>Observational</v>
      </c>
      <c r="C414" s="13" t="s">
        <v>4856</v>
      </c>
      <c r="D414" s="13" t="s">
        <v>5212</v>
      </c>
      <c r="E414" s="13" t="s">
        <v>5125</v>
      </c>
      <c r="F414" s="13" t="s">
        <v>3333</v>
      </c>
      <c r="G414" s="13" t="s">
        <v>3335</v>
      </c>
      <c r="H414" s="13" t="s">
        <v>3195</v>
      </c>
      <c r="I414" s="13" t="s">
        <v>3157</v>
      </c>
      <c r="J414" s="13" t="s">
        <v>3898</v>
      </c>
      <c r="K414" s="13" t="s">
        <v>3153</v>
      </c>
      <c r="L414" s="13" t="s">
        <v>3169</v>
      </c>
      <c r="M414" s="13" t="s">
        <v>4407</v>
      </c>
      <c r="N414" s="13" t="s">
        <v>3267</v>
      </c>
      <c r="O414" s="13" t="s">
        <v>3167</v>
      </c>
      <c r="P414" s="13">
        <v>3.0</v>
      </c>
      <c r="Q414" s="13" t="s">
        <v>3177</v>
      </c>
      <c r="R414" s="13" t="s">
        <v>3231</v>
      </c>
      <c r="S414" s="13" t="s">
        <v>4408</v>
      </c>
      <c r="T414" s="13" t="s">
        <v>3167</v>
      </c>
      <c r="U414" s="13" t="s">
        <v>3195</v>
      </c>
      <c r="V414" s="13" t="s">
        <v>3195</v>
      </c>
      <c r="W414" s="13" t="s">
        <v>3167</v>
      </c>
      <c r="X414" s="13" t="s">
        <v>3155</v>
      </c>
      <c r="Y414" s="13" t="s">
        <v>3202</v>
      </c>
      <c r="Z414" s="13">
        <v>250.0</v>
      </c>
      <c r="AA414" s="13" t="b">
        <v>1</v>
      </c>
      <c r="AB414" s="48"/>
      <c r="AC414" s="49"/>
    </row>
    <row r="415" ht="14.25" customHeight="1">
      <c r="A415" s="13">
        <v>23170.0</v>
      </c>
      <c r="B415" s="13" t="str">
        <f t="shared" si="4"/>
        <v>Observational</v>
      </c>
      <c r="C415" s="13" t="s">
        <v>4864</v>
      </c>
      <c r="D415" s="1" t="s">
        <v>5213</v>
      </c>
      <c r="E415" s="13" t="s">
        <v>5214</v>
      </c>
      <c r="F415" s="13" t="s">
        <v>3186</v>
      </c>
      <c r="G415" s="13" t="s">
        <v>3186</v>
      </c>
      <c r="H415" s="13" t="s">
        <v>3166</v>
      </c>
      <c r="I415" s="13" t="s">
        <v>3261</v>
      </c>
      <c r="J415" s="13" t="s">
        <v>3182</v>
      </c>
      <c r="K415" s="13" t="s">
        <v>3153</v>
      </c>
      <c r="L415" s="13" t="s">
        <v>3179</v>
      </c>
      <c r="M415" s="13" t="s">
        <v>3317</v>
      </c>
      <c r="N415" s="13" t="s">
        <v>3162</v>
      </c>
      <c r="O415" s="13" t="s">
        <v>33</v>
      </c>
      <c r="P415" s="13">
        <v>1.0</v>
      </c>
      <c r="Q415" s="13" t="s">
        <v>3177</v>
      </c>
      <c r="R415" s="13" t="s">
        <v>3177</v>
      </c>
      <c r="S415" s="13" t="s">
        <v>33</v>
      </c>
      <c r="T415" s="13" t="s">
        <v>3225</v>
      </c>
      <c r="U415" s="13" t="s">
        <v>3164</v>
      </c>
      <c r="V415" s="13" t="s">
        <v>3164</v>
      </c>
      <c r="W415" s="13" t="s">
        <v>3167</v>
      </c>
      <c r="X415" s="13" t="s">
        <v>3170</v>
      </c>
      <c r="Y415" s="13" t="s">
        <v>3202</v>
      </c>
      <c r="Z415" s="13">
        <v>90.0</v>
      </c>
      <c r="AA415" s="13" t="b">
        <v>0</v>
      </c>
      <c r="AB415" s="48"/>
      <c r="AC415" s="49"/>
    </row>
    <row r="416" ht="14.25" customHeight="1">
      <c r="A416" s="13">
        <v>23242.0</v>
      </c>
      <c r="B416" s="13" t="str">
        <f t="shared" si="4"/>
        <v>Observational</v>
      </c>
      <c r="C416" s="13" t="s">
        <v>4856</v>
      </c>
      <c r="D416" s="1" t="s">
        <v>5213</v>
      </c>
      <c r="E416" s="13" t="s">
        <v>5214</v>
      </c>
      <c r="F416" s="13" t="s">
        <v>3173</v>
      </c>
      <c r="G416" s="13" t="s">
        <v>3346</v>
      </c>
      <c r="H416" s="13" t="s">
        <v>3253</v>
      </c>
      <c r="I416" s="13" t="s">
        <v>3244</v>
      </c>
      <c r="J416" s="13" t="s">
        <v>3345</v>
      </c>
      <c r="K416" s="13" t="s">
        <v>3153</v>
      </c>
      <c r="L416" s="13" t="s">
        <v>3169</v>
      </c>
      <c r="M416" s="13" t="s">
        <v>3317</v>
      </c>
      <c r="N416" s="13" t="s">
        <v>3162</v>
      </c>
      <c r="O416" s="13" t="s">
        <v>33</v>
      </c>
      <c r="P416" s="13">
        <v>1.0</v>
      </c>
      <c r="Q416" s="13" t="s">
        <v>3160</v>
      </c>
      <c r="R416" s="13" t="s">
        <v>3163</v>
      </c>
      <c r="S416" s="13" t="s">
        <v>33</v>
      </c>
      <c r="T416" s="13" t="s">
        <v>3347</v>
      </c>
      <c r="U416" s="13" t="s">
        <v>3232</v>
      </c>
      <c r="V416" s="13" t="s">
        <v>3252</v>
      </c>
      <c r="W416" s="13" t="s">
        <v>3294</v>
      </c>
      <c r="X416" s="13" t="s">
        <v>3192</v>
      </c>
      <c r="Y416" s="13" t="s">
        <v>3187</v>
      </c>
      <c r="Z416" s="13">
        <v>100.0</v>
      </c>
      <c r="AA416" s="13" t="b">
        <v>0</v>
      </c>
      <c r="AB416" s="48"/>
      <c r="AC416" s="49"/>
    </row>
    <row r="417" ht="14.25" customHeight="1">
      <c r="A417" s="13">
        <v>23581.0</v>
      </c>
      <c r="B417" s="13" t="str">
        <f t="shared" si="4"/>
        <v>Observational</v>
      </c>
      <c r="C417" s="13" t="s">
        <v>4856</v>
      </c>
      <c r="D417" s="1" t="s">
        <v>5213</v>
      </c>
      <c r="E417" s="13" t="s">
        <v>5214</v>
      </c>
      <c r="F417" s="13" t="s">
        <v>3183</v>
      </c>
      <c r="G417" s="13" t="s">
        <v>3210</v>
      </c>
      <c r="H417" s="13" t="s">
        <v>3195</v>
      </c>
      <c r="I417" s="13" t="s">
        <v>3244</v>
      </c>
      <c r="J417" s="13" t="s">
        <v>3505</v>
      </c>
      <c r="K417" s="13" t="s">
        <v>3153</v>
      </c>
      <c r="L417" s="13" t="s">
        <v>3169</v>
      </c>
      <c r="M417" s="13" t="s">
        <v>3317</v>
      </c>
      <c r="N417" s="13" t="s">
        <v>3162</v>
      </c>
      <c r="O417" s="13" t="s">
        <v>3506</v>
      </c>
      <c r="P417" s="13">
        <v>1.0</v>
      </c>
      <c r="Q417" s="13" t="s">
        <v>3160</v>
      </c>
      <c r="R417" s="13" t="s">
        <v>3163</v>
      </c>
      <c r="S417" s="13" t="s">
        <v>3507</v>
      </c>
      <c r="T417" s="13" t="s">
        <v>3167</v>
      </c>
      <c r="U417" s="13" t="s">
        <v>3195</v>
      </c>
      <c r="V417" s="13" t="s">
        <v>3195</v>
      </c>
      <c r="W417" s="13" t="s">
        <v>3167</v>
      </c>
      <c r="X417" s="13" t="s">
        <v>3211</v>
      </c>
      <c r="Y417" s="13" t="s">
        <v>33</v>
      </c>
      <c r="Z417" s="13" t="s">
        <v>33</v>
      </c>
      <c r="AA417" s="13" t="b">
        <v>0</v>
      </c>
      <c r="AB417" s="48"/>
      <c r="AC417" s="49"/>
    </row>
    <row r="418" ht="14.25" customHeight="1">
      <c r="A418" s="13">
        <v>23706.0</v>
      </c>
      <c r="B418" s="13" t="str">
        <f t="shared" si="4"/>
        <v>Observational</v>
      </c>
      <c r="C418" s="13" t="s">
        <v>4864</v>
      </c>
      <c r="D418" s="1" t="s">
        <v>5213</v>
      </c>
      <c r="E418" s="13" t="s">
        <v>5214</v>
      </c>
      <c r="F418" s="13" t="s">
        <v>3159</v>
      </c>
      <c r="G418" s="13" t="s">
        <v>3159</v>
      </c>
      <c r="H418" s="13" t="s">
        <v>3166</v>
      </c>
      <c r="I418" s="13" t="s">
        <v>3261</v>
      </c>
      <c r="J418" s="13" t="s">
        <v>3274</v>
      </c>
      <c r="K418" s="13" t="s">
        <v>3153</v>
      </c>
      <c r="L418" s="13" t="s">
        <v>3179</v>
      </c>
      <c r="M418" s="13" t="s">
        <v>3317</v>
      </c>
      <c r="N418" s="13" t="s">
        <v>3162</v>
      </c>
      <c r="O418" s="13" t="s">
        <v>3167</v>
      </c>
      <c r="P418" s="13">
        <v>1.0</v>
      </c>
      <c r="Q418" s="13" t="s">
        <v>3160</v>
      </c>
      <c r="R418" s="13" t="s">
        <v>3231</v>
      </c>
      <c r="S418" s="13" t="s">
        <v>33</v>
      </c>
      <c r="T418" s="13" t="s">
        <v>3178</v>
      </c>
      <c r="U418" s="13" t="s">
        <v>3165</v>
      </c>
      <c r="V418" s="13" t="s">
        <v>3165</v>
      </c>
      <c r="W418" s="13" t="s">
        <v>3167</v>
      </c>
      <c r="X418" s="13" t="s">
        <v>3192</v>
      </c>
      <c r="Y418" s="13" t="s">
        <v>3156</v>
      </c>
      <c r="Z418" s="13" t="s">
        <v>3167</v>
      </c>
      <c r="AA418" s="13" t="b">
        <v>0</v>
      </c>
      <c r="AB418" s="48"/>
      <c r="AC418" s="49"/>
    </row>
    <row r="419" ht="14.25" customHeight="1">
      <c r="A419" s="13">
        <v>23753.0</v>
      </c>
      <c r="B419" s="13" t="str">
        <f t="shared" si="4"/>
        <v>Observational</v>
      </c>
      <c r="C419" s="13" t="s">
        <v>4856</v>
      </c>
      <c r="D419" s="1" t="s">
        <v>5213</v>
      </c>
      <c r="E419" s="13" t="s">
        <v>5214</v>
      </c>
      <c r="F419" s="13" t="s">
        <v>3381</v>
      </c>
      <c r="G419" s="13" t="s">
        <v>3287</v>
      </c>
      <c r="H419" s="13" t="s">
        <v>3166</v>
      </c>
      <c r="I419" s="13" t="s">
        <v>3222</v>
      </c>
      <c r="J419" s="13" t="s">
        <v>3182</v>
      </c>
      <c r="K419" s="13" t="s">
        <v>3153</v>
      </c>
      <c r="L419" s="13" t="s">
        <v>3169</v>
      </c>
      <c r="M419" s="13" t="s">
        <v>3317</v>
      </c>
      <c r="N419" s="13" t="s">
        <v>3162</v>
      </c>
      <c r="O419" s="13" t="s">
        <v>3607</v>
      </c>
      <c r="P419" s="13">
        <v>1.0</v>
      </c>
      <c r="Q419" s="13" t="s">
        <v>3160</v>
      </c>
      <c r="R419" s="13" t="s">
        <v>3177</v>
      </c>
      <c r="S419" s="13" t="s">
        <v>33</v>
      </c>
      <c r="T419" s="13" t="s">
        <v>3224</v>
      </c>
      <c r="U419" s="13" t="s">
        <v>3164</v>
      </c>
      <c r="V419" s="13" t="s">
        <v>3164</v>
      </c>
      <c r="W419" s="13" t="s">
        <v>3167</v>
      </c>
      <c r="X419" s="13" t="s">
        <v>3192</v>
      </c>
      <c r="Y419" s="13" t="s">
        <v>3156</v>
      </c>
      <c r="Z419" s="13" t="s">
        <v>33</v>
      </c>
      <c r="AA419" s="13" t="b">
        <v>0</v>
      </c>
      <c r="AB419" s="48"/>
      <c r="AC419" s="49"/>
    </row>
    <row r="420" ht="14.25" customHeight="1">
      <c r="A420" s="13">
        <v>23780.0</v>
      </c>
      <c r="B420" s="13" t="str">
        <f t="shared" si="4"/>
        <v>Observational</v>
      </c>
      <c r="C420" s="13" t="s">
        <v>4856</v>
      </c>
      <c r="D420" s="1" t="s">
        <v>5213</v>
      </c>
      <c r="E420" s="13" t="s">
        <v>5214</v>
      </c>
      <c r="F420" s="13" t="s">
        <v>3208</v>
      </c>
      <c r="G420" s="13" t="s">
        <v>3210</v>
      </c>
      <c r="H420" s="13" t="s">
        <v>3195</v>
      </c>
      <c r="I420" s="13" t="s">
        <v>3171</v>
      </c>
      <c r="J420" s="13" t="s">
        <v>3614</v>
      </c>
      <c r="K420" s="13" t="s">
        <v>3153</v>
      </c>
      <c r="L420" s="13" t="s">
        <v>3169</v>
      </c>
      <c r="M420" s="13" t="s">
        <v>3317</v>
      </c>
      <c r="N420" s="13" t="s">
        <v>3162</v>
      </c>
      <c r="O420" s="13" t="s">
        <v>33</v>
      </c>
      <c r="P420" s="13">
        <v>1.0</v>
      </c>
      <c r="Q420" s="13" t="s">
        <v>3160</v>
      </c>
      <c r="R420" s="13" t="s">
        <v>3163</v>
      </c>
      <c r="S420" s="13" t="s">
        <v>33</v>
      </c>
      <c r="T420" s="13" t="s">
        <v>3167</v>
      </c>
      <c r="U420" s="13" t="s">
        <v>3195</v>
      </c>
      <c r="V420" s="13" t="s">
        <v>3195</v>
      </c>
      <c r="W420" s="13" t="s">
        <v>3167</v>
      </c>
      <c r="X420" s="13" t="s">
        <v>3211</v>
      </c>
      <c r="Y420" s="13" t="s">
        <v>3156</v>
      </c>
      <c r="Z420" s="13" t="s">
        <v>33</v>
      </c>
      <c r="AA420" s="13" t="b">
        <v>0</v>
      </c>
      <c r="AB420" s="48"/>
      <c r="AC420" s="49"/>
    </row>
    <row r="421" ht="14.25" customHeight="1">
      <c r="A421" s="13">
        <v>23787.0</v>
      </c>
      <c r="B421" s="13" t="str">
        <f t="shared" si="4"/>
        <v>Observational</v>
      </c>
      <c r="C421" s="13" t="s">
        <v>4886</v>
      </c>
      <c r="D421" s="1" t="s">
        <v>5213</v>
      </c>
      <c r="E421" s="13" t="s">
        <v>5214</v>
      </c>
      <c r="F421" s="13" t="s">
        <v>3381</v>
      </c>
      <c r="G421" s="13" t="s">
        <v>3335</v>
      </c>
      <c r="H421" s="13" t="s">
        <v>3195</v>
      </c>
      <c r="I421" s="13" t="s">
        <v>3244</v>
      </c>
      <c r="J421" s="13" t="s">
        <v>3345</v>
      </c>
      <c r="K421" s="13" t="s">
        <v>3153</v>
      </c>
      <c r="L421" s="13" t="s">
        <v>3465</v>
      </c>
      <c r="M421" s="13" t="s">
        <v>3317</v>
      </c>
      <c r="N421" s="13" t="s">
        <v>3162</v>
      </c>
      <c r="O421" s="13" t="s">
        <v>3619</v>
      </c>
      <c r="P421" s="13">
        <v>1.0</v>
      </c>
      <c r="Q421" s="13" t="s">
        <v>3177</v>
      </c>
      <c r="R421" s="13" t="s">
        <v>3163</v>
      </c>
      <c r="S421" s="13" t="s">
        <v>3323</v>
      </c>
      <c r="T421" s="13" t="s">
        <v>3167</v>
      </c>
      <c r="U421" s="13" t="s">
        <v>3195</v>
      </c>
      <c r="V421" s="13" t="s">
        <v>3195</v>
      </c>
      <c r="W421" s="13" t="s">
        <v>3167</v>
      </c>
      <c r="X421" s="13" t="s">
        <v>3192</v>
      </c>
      <c r="Y421" s="13" t="s">
        <v>3187</v>
      </c>
      <c r="Z421" s="13">
        <v>25.0</v>
      </c>
      <c r="AA421" s="13" t="b">
        <v>0</v>
      </c>
      <c r="AB421" s="48"/>
      <c r="AC421" s="49"/>
    </row>
    <row r="422" ht="14.25" customHeight="1">
      <c r="A422" s="13">
        <v>23941.0</v>
      </c>
      <c r="B422" s="13" t="str">
        <f t="shared" si="4"/>
        <v>Observational</v>
      </c>
      <c r="C422" s="13" t="s">
        <v>4864</v>
      </c>
      <c r="D422" s="1" t="s">
        <v>5213</v>
      </c>
      <c r="E422" s="13" t="s">
        <v>5214</v>
      </c>
      <c r="F422" s="13" t="s">
        <v>3159</v>
      </c>
      <c r="G422" s="13" t="s">
        <v>3159</v>
      </c>
      <c r="H422" s="13" t="s">
        <v>3166</v>
      </c>
      <c r="I422" s="13" t="s">
        <v>3249</v>
      </c>
      <c r="J422" s="13" t="s">
        <v>3307</v>
      </c>
      <c r="K422" s="13" t="s">
        <v>3153</v>
      </c>
      <c r="L422" s="13" t="s">
        <v>3179</v>
      </c>
      <c r="M422" s="13" t="s">
        <v>3317</v>
      </c>
      <c r="N422" s="13" t="s">
        <v>3162</v>
      </c>
      <c r="O422" s="13" t="s">
        <v>33</v>
      </c>
      <c r="P422" s="13">
        <v>1.0</v>
      </c>
      <c r="Q422" s="13" t="s">
        <v>3160</v>
      </c>
      <c r="R422" s="13" t="s">
        <v>3163</v>
      </c>
      <c r="S422" s="13" t="s">
        <v>33</v>
      </c>
      <c r="T422" s="13" t="s">
        <v>3168</v>
      </c>
      <c r="U422" s="13" t="s">
        <v>3197</v>
      </c>
      <c r="V422" s="13" t="s">
        <v>3197</v>
      </c>
      <c r="W422" s="13" t="s">
        <v>3167</v>
      </c>
      <c r="X422" s="13" t="s">
        <v>3170</v>
      </c>
      <c r="Y422" s="13" t="s">
        <v>3156</v>
      </c>
      <c r="Z422" s="13" t="s">
        <v>33</v>
      </c>
      <c r="AA422" s="13" t="b">
        <v>0</v>
      </c>
      <c r="AB422" s="48"/>
      <c r="AC422" s="49"/>
    </row>
    <row r="423" ht="14.25" customHeight="1">
      <c r="A423" s="13">
        <v>24034.0</v>
      </c>
      <c r="B423" s="13" t="str">
        <f t="shared" si="4"/>
        <v>Observational</v>
      </c>
      <c r="C423" s="13" t="s">
        <v>4856</v>
      </c>
      <c r="D423" s="1" t="s">
        <v>5213</v>
      </c>
      <c r="E423" s="13" t="s">
        <v>5214</v>
      </c>
      <c r="F423" s="13" t="s">
        <v>3173</v>
      </c>
      <c r="G423" s="13" t="s">
        <v>3183</v>
      </c>
      <c r="H423" s="13" t="s">
        <v>3253</v>
      </c>
      <c r="I423" s="13" t="s">
        <v>3222</v>
      </c>
      <c r="J423" s="13" t="s">
        <v>3182</v>
      </c>
      <c r="K423" s="13" t="s">
        <v>3153</v>
      </c>
      <c r="L423" s="13" t="s">
        <v>3169</v>
      </c>
      <c r="M423" s="13" t="s">
        <v>3317</v>
      </c>
      <c r="N423" s="13" t="s">
        <v>3162</v>
      </c>
      <c r="O423" s="13" t="s">
        <v>33</v>
      </c>
      <c r="P423" s="13">
        <v>1.0</v>
      </c>
      <c r="Q423" s="13" t="s">
        <v>3160</v>
      </c>
      <c r="R423" s="13" t="s">
        <v>3163</v>
      </c>
      <c r="S423" s="13" t="s">
        <v>3727</v>
      </c>
      <c r="T423" s="13" t="s">
        <v>3729</v>
      </c>
      <c r="U423" s="13" t="s">
        <v>3164</v>
      </c>
      <c r="V423" s="13" t="s">
        <v>3252</v>
      </c>
      <c r="W423" s="13" t="s">
        <v>3728</v>
      </c>
      <c r="X423" s="13" t="s">
        <v>3192</v>
      </c>
      <c r="Y423" s="13" t="s">
        <v>3156</v>
      </c>
      <c r="Z423" s="13" t="s">
        <v>33</v>
      </c>
      <c r="AA423" s="13" t="b">
        <v>0</v>
      </c>
      <c r="AB423" s="48"/>
      <c r="AC423" s="49"/>
    </row>
    <row r="424" ht="14.25" customHeight="1">
      <c r="A424" s="13">
        <v>24557.0</v>
      </c>
      <c r="B424" s="13" t="str">
        <f t="shared" si="4"/>
        <v>Observational</v>
      </c>
      <c r="C424" s="13" t="s">
        <v>4864</v>
      </c>
      <c r="D424" s="1" t="s">
        <v>5213</v>
      </c>
      <c r="E424" s="13" t="s">
        <v>5214</v>
      </c>
      <c r="F424" s="13" t="s">
        <v>3290</v>
      </c>
      <c r="G424" s="13" t="s">
        <v>3159</v>
      </c>
      <c r="H424" s="13" t="s">
        <v>3166</v>
      </c>
      <c r="I424" s="13" t="s">
        <v>3261</v>
      </c>
      <c r="J424" s="13" t="s">
        <v>3229</v>
      </c>
      <c r="K424" s="13" t="s">
        <v>3153</v>
      </c>
      <c r="L424" s="13" t="s">
        <v>3179</v>
      </c>
      <c r="M424" s="13" t="s">
        <v>3317</v>
      </c>
      <c r="N424" s="13" t="s">
        <v>3162</v>
      </c>
      <c r="O424" s="13" t="s">
        <v>3167</v>
      </c>
      <c r="P424" s="13">
        <v>1.0</v>
      </c>
      <c r="Q424" s="13" t="s">
        <v>3177</v>
      </c>
      <c r="R424" s="13" t="s">
        <v>3260</v>
      </c>
      <c r="S424" s="13" t="s">
        <v>33</v>
      </c>
      <c r="T424" s="13" t="s">
        <v>3224</v>
      </c>
      <c r="U424" s="13" t="s">
        <v>3164</v>
      </c>
      <c r="V424" s="13" t="s">
        <v>3232</v>
      </c>
      <c r="W424" s="13" t="s">
        <v>3167</v>
      </c>
      <c r="X424" s="13" t="s">
        <v>3192</v>
      </c>
      <c r="Y424" s="13" t="s">
        <v>3180</v>
      </c>
      <c r="Z424" s="13">
        <v>1.0</v>
      </c>
      <c r="AA424" s="13" t="b">
        <v>0</v>
      </c>
      <c r="AB424" s="48"/>
      <c r="AC424" s="49"/>
    </row>
    <row r="425" ht="14.25" customHeight="1">
      <c r="A425" s="13">
        <v>25101.0</v>
      </c>
      <c r="B425" s="13" t="str">
        <f t="shared" si="4"/>
        <v>Observational</v>
      </c>
      <c r="C425" s="13" t="s">
        <v>4856</v>
      </c>
      <c r="D425" s="1" t="s">
        <v>5213</v>
      </c>
      <c r="E425" s="13" t="s">
        <v>5214</v>
      </c>
      <c r="F425" s="13" t="s">
        <v>3208</v>
      </c>
      <c r="G425" s="13" t="s">
        <v>3210</v>
      </c>
      <c r="H425" s="13" t="s">
        <v>3195</v>
      </c>
      <c r="I425" s="13" t="s">
        <v>4138</v>
      </c>
      <c r="J425" s="13" t="s">
        <v>4139</v>
      </c>
      <c r="K425" s="13" t="s">
        <v>3153</v>
      </c>
      <c r="L425" s="13" t="s">
        <v>3169</v>
      </c>
      <c r="M425" s="13" t="s">
        <v>3317</v>
      </c>
      <c r="N425" s="13" t="s">
        <v>3162</v>
      </c>
      <c r="O425" s="13" t="s">
        <v>33</v>
      </c>
      <c r="P425" s="13">
        <v>1.0</v>
      </c>
      <c r="Q425" s="13" t="s">
        <v>3160</v>
      </c>
      <c r="R425" s="13" t="s">
        <v>3163</v>
      </c>
      <c r="S425" s="13" t="s">
        <v>33</v>
      </c>
      <c r="T425" s="13" t="s">
        <v>3167</v>
      </c>
      <c r="U425" s="13" t="s">
        <v>3195</v>
      </c>
      <c r="V425" s="13" t="s">
        <v>3195</v>
      </c>
      <c r="W425" s="13" t="s">
        <v>3167</v>
      </c>
      <c r="X425" s="13" t="s">
        <v>3211</v>
      </c>
      <c r="Y425" s="13" t="s">
        <v>3156</v>
      </c>
      <c r="Z425" s="13" t="s">
        <v>33</v>
      </c>
      <c r="AA425" s="13" t="b">
        <v>0</v>
      </c>
      <c r="AB425" s="47"/>
      <c r="AC425" s="49"/>
    </row>
    <row r="426" ht="14.25" customHeight="1">
      <c r="A426" s="13">
        <v>25903.0</v>
      </c>
      <c r="B426" s="13" t="str">
        <f t="shared" si="4"/>
        <v>Observational</v>
      </c>
      <c r="C426" s="13" t="s">
        <v>4864</v>
      </c>
      <c r="D426" s="1" t="s">
        <v>5213</v>
      </c>
      <c r="E426" s="13" t="s">
        <v>5214</v>
      </c>
      <c r="F426" s="13" t="s">
        <v>3183</v>
      </c>
      <c r="G426" s="13" t="s">
        <v>3183</v>
      </c>
      <c r="H426" s="13" t="s">
        <v>3253</v>
      </c>
      <c r="I426" s="13" t="s">
        <v>3167</v>
      </c>
      <c r="J426" s="13" t="s">
        <v>3167</v>
      </c>
      <c r="K426" s="13" t="s">
        <v>3153</v>
      </c>
      <c r="L426" s="13" t="s">
        <v>3179</v>
      </c>
      <c r="M426" s="13" t="s">
        <v>3317</v>
      </c>
      <c r="N426" s="13" t="s">
        <v>3162</v>
      </c>
      <c r="O426" s="13" t="s">
        <v>4382</v>
      </c>
      <c r="P426" s="13">
        <v>1.0</v>
      </c>
      <c r="Q426" s="13" t="s">
        <v>3177</v>
      </c>
      <c r="R426" s="13" t="s">
        <v>3177</v>
      </c>
      <c r="S426" s="13" t="s">
        <v>4383</v>
      </c>
      <c r="T426" s="13" t="s">
        <v>4384</v>
      </c>
      <c r="U426" s="13" t="s">
        <v>3252</v>
      </c>
      <c r="V426" s="13" t="s">
        <v>3252</v>
      </c>
      <c r="W426" s="13" t="s">
        <v>3298</v>
      </c>
      <c r="X426" s="13" t="s">
        <v>3217</v>
      </c>
      <c r="Y426" s="13" t="s">
        <v>3180</v>
      </c>
      <c r="Z426" s="13">
        <v>0.5</v>
      </c>
      <c r="AA426" s="13" t="b">
        <v>0</v>
      </c>
      <c r="AB426" s="48"/>
      <c r="AC426" s="49"/>
    </row>
    <row r="427" ht="14.25" customHeight="1">
      <c r="A427" s="13">
        <v>25948.0</v>
      </c>
      <c r="B427" s="13" t="str">
        <f t="shared" si="4"/>
        <v>Observational</v>
      </c>
      <c r="C427" s="13" t="s">
        <v>4856</v>
      </c>
      <c r="D427" s="1" t="s">
        <v>5213</v>
      </c>
      <c r="E427" s="13" t="s">
        <v>5214</v>
      </c>
      <c r="F427" s="13" t="s">
        <v>3208</v>
      </c>
      <c r="G427" s="13" t="s">
        <v>3173</v>
      </c>
      <c r="H427" s="13" t="s">
        <v>3166</v>
      </c>
      <c r="I427" s="13" t="s">
        <v>3222</v>
      </c>
      <c r="J427" s="13" t="s">
        <v>3182</v>
      </c>
      <c r="K427" s="13" t="s">
        <v>3153</v>
      </c>
      <c r="L427" s="13" t="s">
        <v>3169</v>
      </c>
      <c r="M427" s="13" t="s">
        <v>3317</v>
      </c>
      <c r="N427" s="13" t="s">
        <v>3162</v>
      </c>
      <c r="O427" s="13" t="s">
        <v>33</v>
      </c>
      <c r="P427" s="13">
        <v>1.0</v>
      </c>
      <c r="Q427" s="13" t="s">
        <v>3160</v>
      </c>
      <c r="R427" s="13" t="s">
        <v>3163</v>
      </c>
      <c r="S427" s="13" t="s">
        <v>33</v>
      </c>
      <c r="T427" s="13" t="s">
        <v>3224</v>
      </c>
      <c r="U427" s="13" t="s">
        <v>3164</v>
      </c>
      <c r="V427" s="13" t="s">
        <v>3164</v>
      </c>
      <c r="W427" s="13" t="s">
        <v>3167</v>
      </c>
      <c r="X427" s="13" t="s">
        <v>3170</v>
      </c>
      <c r="Y427" s="13" t="s">
        <v>3156</v>
      </c>
      <c r="Z427" s="13" t="s">
        <v>33</v>
      </c>
      <c r="AA427" s="13" t="b">
        <v>0</v>
      </c>
      <c r="AB427" s="48"/>
      <c r="AC427" s="49"/>
    </row>
    <row r="428" ht="14.25" customHeight="1">
      <c r="A428" s="13">
        <v>26042.0</v>
      </c>
      <c r="B428" s="13" t="str">
        <f t="shared" si="4"/>
        <v>Observational</v>
      </c>
      <c r="C428" s="13" t="s">
        <v>4864</v>
      </c>
      <c r="D428" s="13" t="s">
        <v>5215</v>
      </c>
      <c r="E428" s="13" t="s">
        <v>5216</v>
      </c>
      <c r="F428" s="13" t="s">
        <v>3159</v>
      </c>
      <c r="G428" s="13" t="s">
        <v>3159</v>
      </c>
      <c r="H428" s="13" t="s">
        <v>3242</v>
      </c>
      <c r="I428" s="13" t="s">
        <v>3249</v>
      </c>
      <c r="J428" s="13" t="s">
        <v>4420</v>
      </c>
      <c r="K428" s="13" t="s">
        <v>3153</v>
      </c>
      <c r="L428" s="13" t="s">
        <v>3179</v>
      </c>
      <c r="M428" s="13" t="s">
        <v>4421</v>
      </c>
      <c r="N428" s="13" t="s">
        <v>3162</v>
      </c>
      <c r="O428" s="13" t="s">
        <v>33</v>
      </c>
      <c r="P428" s="13">
        <v>5.0</v>
      </c>
      <c r="Q428" s="13" t="s">
        <v>3160</v>
      </c>
      <c r="R428" s="13" t="s">
        <v>3163</v>
      </c>
      <c r="S428" s="13" t="s">
        <v>33</v>
      </c>
      <c r="T428" s="13" t="s">
        <v>3167</v>
      </c>
      <c r="U428" s="13" t="s">
        <v>3232</v>
      </c>
      <c r="V428" s="13" t="s">
        <v>3232</v>
      </c>
      <c r="W428" s="13" t="s">
        <v>3254</v>
      </c>
      <c r="X428" s="13" t="s">
        <v>3170</v>
      </c>
      <c r="Y428" s="13" t="s">
        <v>3156</v>
      </c>
      <c r="Z428" s="13" t="s">
        <v>33</v>
      </c>
      <c r="AA428" s="13" t="b">
        <v>1</v>
      </c>
      <c r="AB428" s="47"/>
      <c r="AC428" s="49"/>
    </row>
    <row r="429" ht="14.25" customHeight="1">
      <c r="A429" s="13">
        <v>23927.0</v>
      </c>
      <c r="B429" s="13" t="str">
        <f t="shared" si="4"/>
        <v>Observational</v>
      </c>
      <c r="C429" s="13" t="s">
        <v>4864</v>
      </c>
      <c r="D429" s="1" t="s">
        <v>5217</v>
      </c>
      <c r="E429" s="13" t="s">
        <v>5218</v>
      </c>
      <c r="F429" s="13" t="s">
        <v>3183</v>
      </c>
      <c r="G429" s="13" t="s">
        <v>3208</v>
      </c>
      <c r="H429" s="13" t="s">
        <v>3166</v>
      </c>
      <c r="I429" s="13" t="s">
        <v>3686</v>
      </c>
      <c r="J429" s="13" t="s">
        <v>3687</v>
      </c>
      <c r="K429" s="13" t="s">
        <v>3153</v>
      </c>
      <c r="L429" s="13" t="s">
        <v>3179</v>
      </c>
      <c r="M429" s="13" t="s">
        <v>3688</v>
      </c>
      <c r="N429" s="13" t="s">
        <v>3162</v>
      </c>
      <c r="O429" s="13" t="s">
        <v>3689</v>
      </c>
      <c r="P429" s="13">
        <v>3.0</v>
      </c>
      <c r="Q429" s="13" t="s">
        <v>3160</v>
      </c>
      <c r="R429" s="13" t="s">
        <v>3163</v>
      </c>
      <c r="S429" s="13" t="s">
        <v>33</v>
      </c>
      <c r="T429" s="13" t="s">
        <v>3224</v>
      </c>
      <c r="U429" s="13" t="s">
        <v>3164</v>
      </c>
      <c r="V429" s="13" t="s">
        <v>3164</v>
      </c>
      <c r="W429" s="13" t="s">
        <v>3167</v>
      </c>
      <c r="X429" s="13" t="s">
        <v>3211</v>
      </c>
      <c r="Y429" s="13" t="s">
        <v>3156</v>
      </c>
      <c r="Z429" s="13" t="s">
        <v>33</v>
      </c>
      <c r="AA429" s="13" t="b">
        <v>0</v>
      </c>
      <c r="AB429" s="48"/>
      <c r="AC429" s="49"/>
    </row>
    <row r="430" ht="14.25" customHeight="1">
      <c r="A430" s="13">
        <v>23374.0</v>
      </c>
      <c r="B430" s="13" t="str">
        <f t="shared" si="4"/>
        <v>Observational</v>
      </c>
      <c r="C430" s="13" t="s">
        <v>4856</v>
      </c>
      <c r="D430" s="1" t="s">
        <v>5219</v>
      </c>
      <c r="E430" s="13" t="s">
        <v>5220</v>
      </c>
      <c r="F430" s="13" t="s">
        <v>3420</v>
      </c>
      <c r="G430" s="13" t="s">
        <v>3250</v>
      </c>
      <c r="H430" s="13" t="s">
        <v>3166</v>
      </c>
      <c r="I430" s="13" t="s">
        <v>3171</v>
      </c>
      <c r="J430" s="13" t="s">
        <v>3419</v>
      </c>
      <c r="K430" s="13" t="s">
        <v>3153</v>
      </c>
      <c r="L430" s="13" t="s">
        <v>3169</v>
      </c>
      <c r="M430" s="13" t="s">
        <v>3421</v>
      </c>
      <c r="N430" s="13" t="s">
        <v>3162</v>
      </c>
      <c r="O430" s="13" t="s">
        <v>3422</v>
      </c>
      <c r="P430" s="13">
        <v>6.0</v>
      </c>
      <c r="Q430" s="13" t="s">
        <v>3177</v>
      </c>
      <c r="R430" s="13" t="s">
        <v>3231</v>
      </c>
      <c r="S430" s="13" t="s">
        <v>3221</v>
      </c>
      <c r="T430" s="13" t="s">
        <v>3178</v>
      </c>
      <c r="U430" s="13" t="s">
        <v>3164</v>
      </c>
      <c r="V430" s="13" t="s">
        <v>3197</v>
      </c>
      <c r="W430" s="13" t="s">
        <v>3167</v>
      </c>
      <c r="X430" s="13" t="s">
        <v>3211</v>
      </c>
      <c r="Y430" s="13" t="s">
        <v>3156</v>
      </c>
      <c r="Z430" s="13" t="s">
        <v>3167</v>
      </c>
      <c r="AA430" s="13" t="b">
        <v>0</v>
      </c>
      <c r="AB430" s="48"/>
      <c r="AC430" s="49"/>
    </row>
    <row r="431" ht="14.25" customHeight="1">
      <c r="A431" s="13">
        <v>23252.0</v>
      </c>
      <c r="B431" s="13" t="str">
        <f t="shared" si="4"/>
        <v>Observational</v>
      </c>
      <c r="C431" s="13" t="s">
        <v>4856</v>
      </c>
      <c r="D431" s="1" t="s">
        <v>5221</v>
      </c>
      <c r="E431" s="13" t="s">
        <v>5214</v>
      </c>
      <c r="F431" s="13" t="s">
        <v>3208</v>
      </c>
      <c r="G431" s="13" t="s">
        <v>3273</v>
      </c>
      <c r="H431" s="13" t="s">
        <v>3242</v>
      </c>
      <c r="I431" s="13" t="s">
        <v>3222</v>
      </c>
      <c r="J431" s="13" t="s">
        <v>3182</v>
      </c>
      <c r="K431" s="13" t="s">
        <v>3153</v>
      </c>
      <c r="L431" s="13" t="s">
        <v>3169</v>
      </c>
      <c r="M431" s="13" t="s">
        <v>3355</v>
      </c>
      <c r="N431" s="13" t="s">
        <v>3162</v>
      </c>
      <c r="O431" s="13" t="s">
        <v>33</v>
      </c>
      <c r="P431" s="13">
        <v>1.0</v>
      </c>
      <c r="Q431" s="13" t="s">
        <v>3160</v>
      </c>
      <c r="R431" s="13" t="s">
        <v>3163</v>
      </c>
      <c r="S431" s="13" t="s">
        <v>33</v>
      </c>
      <c r="T431" s="13" t="s">
        <v>3167</v>
      </c>
      <c r="U431" s="13" t="s">
        <v>3247</v>
      </c>
      <c r="V431" s="13" t="s">
        <v>3247</v>
      </c>
      <c r="W431" s="13" t="s">
        <v>3356</v>
      </c>
      <c r="X431" s="13" t="s">
        <v>3192</v>
      </c>
      <c r="Y431" s="13" t="s">
        <v>3202</v>
      </c>
      <c r="Z431" s="13">
        <v>1.0</v>
      </c>
      <c r="AA431" s="13" t="b">
        <v>0</v>
      </c>
      <c r="AB431" s="48"/>
      <c r="AC431" s="49"/>
    </row>
    <row r="432" ht="14.25" customHeight="1">
      <c r="A432" s="13">
        <v>23793.0</v>
      </c>
      <c r="B432" s="13" t="str">
        <f t="shared" si="4"/>
        <v>Observational</v>
      </c>
      <c r="C432" s="13" t="s">
        <v>4856</v>
      </c>
      <c r="D432" s="1" t="s">
        <v>5222</v>
      </c>
      <c r="E432" s="13" t="s">
        <v>5223</v>
      </c>
      <c r="F432" s="13" t="s">
        <v>3208</v>
      </c>
      <c r="G432" s="13" t="s">
        <v>3201</v>
      </c>
      <c r="H432" s="13" t="s">
        <v>3166</v>
      </c>
      <c r="I432" s="13" t="s">
        <v>3222</v>
      </c>
      <c r="J432" s="13" t="s">
        <v>3182</v>
      </c>
      <c r="K432" s="13" t="s">
        <v>3153</v>
      </c>
      <c r="L432" s="13" t="s">
        <v>3169</v>
      </c>
      <c r="M432" s="13" t="s">
        <v>3623</v>
      </c>
      <c r="N432" s="13" t="s">
        <v>3162</v>
      </c>
      <c r="O432" s="13" t="s">
        <v>33</v>
      </c>
      <c r="P432" s="13">
        <v>2.0</v>
      </c>
      <c r="Q432" s="13" t="s">
        <v>3160</v>
      </c>
      <c r="R432" s="13" t="s">
        <v>3177</v>
      </c>
      <c r="S432" s="13" t="s">
        <v>33</v>
      </c>
      <c r="T432" s="13" t="s">
        <v>3224</v>
      </c>
      <c r="U432" s="13" t="s">
        <v>3164</v>
      </c>
      <c r="V432" s="13" t="s">
        <v>3164</v>
      </c>
      <c r="W432" s="13" t="s">
        <v>3167</v>
      </c>
      <c r="X432" s="13" t="s">
        <v>3170</v>
      </c>
      <c r="Y432" s="13" t="s">
        <v>33</v>
      </c>
      <c r="Z432" s="13" t="s">
        <v>33</v>
      </c>
      <c r="AA432" s="13" t="b">
        <v>0</v>
      </c>
      <c r="AB432" s="48"/>
      <c r="AC432" s="49"/>
    </row>
    <row r="433" ht="14.25" customHeight="1">
      <c r="A433" s="13">
        <v>23258.0</v>
      </c>
      <c r="B433" s="13" t="str">
        <f t="shared" si="4"/>
        <v>Observational</v>
      </c>
      <c r="C433" s="13" t="s">
        <v>4856</v>
      </c>
      <c r="D433" s="1" t="s">
        <v>5224</v>
      </c>
      <c r="E433" s="13" t="s">
        <v>5225</v>
      </c>
      <c r="F433" s="13" t="s">
        <v>3359</v>
      </c>
      <c r="G433" s="13" t="s">
        <v>3361</v>
      </c>
      <c r="H433" s="13" t="s">
        <v>3242</v>
      </c>
      <c r="I433" s="13" t="s">
        <v>3357</v>
      </c>
      <c r="J433" s="13" t="s">
        <v>3358</v>
      </c>
      <c r="K433" s="13" t="s">
        <v>3153</v>
      </c>
      <c r="L433" s="13" t="s">
        <v>3169</v>
      </c>
      <c r="M433" s="13" t="s">
        <v>3360</v>
      </c>
      <c r="N433" s="13" t="s">
        <v>3162</v>
      </c>
      <c r="O433" s="13" t="s">
        <v>33</v>
      </c>
      <c r="P433" s="13">
        <v>6.0</v>
      </c>
      <c r="Q433" s="13" t="s">
        <v>3177</v>
      </c>
      <c r="R433" s="13" t="s">
        <v>3163</v>
      </c>
      <c r="S433" s="13" t="s">
        <v>33</v>
      </c>
      <c r="T433" s="13" t="s">
        <v>3167</v>
      </c>
      <c r="U433" s="13" t="s">
        <v>3247</v>
      </c>
      <c r="V433" s="13" t="s">
        <v>3247</v>
      </c>
      <c r="W433" s="13" t="s">
        <v>3248</v>
      </c>
      <c r="X433" s="13" t="s">
        <v>3211</v>
      </c>
      <c r="Y433" s="13" t="s">
        <v>3156</v>
      </c>
      <c r="Z433" s="13" t="s">
        <v>3167</v>
      </c>
      <c r="AA433" s="13" t="b">
        <v>0</v>
      </c>
      <c r="AB433" s="48"/>
      <c r="AC433" s="49"/>
    </row>
    <row r="434" ht="14.25" customHeight="1">
      <c r="A434" s="13">
        <v>23905.0</v>
      </c>
      <c r="B434" s="13" t="str">
        <f t="shared" si="4"/>
        <v>Observational</v>
      </c>
      <c r="C434" s="13" t="s">
        <v>4856</v>
      </c>
      <c r="D434" s="1" t="s">
        <v>5226</v>
      </c>
      <c r="E434" s="13" t="s">
        <v>5223</v>
      </c>
      <c r="F434" s="13" t="s">
        <v>3183</v>
      </c>
      <c r="G434" s="13" t="s">
        <v>3210</v>
      </c>
      <c r="H434" s="13" t="s">
        <v>3195</v>
      </c>
      <c r="I434" s="13" t="s">
        <v>3244</v>
      </c>
      <c r="J434" s="13" t="s">
        <v>3676</v>
      </c>
      <c r="K434" s="13" t="s">
        <v>3153</v>
      </c>
      <c r="L434" s="13" t="s">
        <v>3169</v>
      </c>
      <c r="M434" s="13" t="s">
        <v>3677</v>
      </c>
      <c r="N434" s="13" t="s">
        <v>3162</v>
      </c>
      <c r="O434" s="13" t="s">
        <v>3678</v>
      </c>
      <c r="P434" s="13">
        <v>2.0</v>
      </c>
      <c r="Q434" s="13" t="s">
        <v>3160</v>
      </c>
      <c r="R434" s="13" t="s">
        <v>3163</v>
      </c>
      <c r="S434" s="13" t="s">
        <v>33</v>
      </c>
      <c r="T434" s="13" t="s">
        <v>3167</v>
      </c>
      <c r="U434" s="13" t="s">
        <v>3195</v>
      </c>
      <c r="V434" s="13" t="s">
        <v>3195</v>
      </c>
      <c r="W434" s="13" t="s">
        <v>3167</v>
      </c>
      <c r="X434" s="13" t="s">
        <v>3211</v>
      </c>
      <c r="Y434" s="13" t="s">
        <v>3156</v>
      </c>
      <c r="Z434" s="13" t="s">
        <v>33</v>
      </c>
      <c r="AA434" s="13" t="b">
        <v>0</v>
      </c>
      <c r="AB434" s="48"/>
      <c r="AC434" s="49"/>
    </row>
    <row r="435" ht="14.25" customHeight="1">
      <c r="A435" s="13" t="s">
        <v>2166</v>
      </c>
      <c r="B435" s="13" t="str">
        <f t="shared" si="4"/>
        <v>Observational</v>
      </c>
      <c r="C435" s="13" t="s">
        <v>4856</v>
      </c>
      <c r="D435" s="1" t="s">
        <v>5226</v>
      </c>
      <c r="E435" s="13" t="s">
        <v>5223</v>
      </c>
      <c r="F435" s="13" t="s">
        <v>3183</v>
      </c>
      <c r="G435" s="13" t="s">
        <v>3205</v>
      </c>
      <c r="H435" s="13" t="s">
        <v>3195</v>
      </c>
      <c r="I435" s="13" t="s">
        <v>3171</v>
      </c>
      <c r="J435" s="13" t="s">
        <v>3167</v>
      </c>
      <c r="K435" s="13" t="s">
        <v>3153</v>
      </c>
      <c r="L435" s="13" t="s">
        <v>3169</v>
      </c>
      <c r="M435" s="13" t="s">
        <v>3677</v>
      </c>
      <c r="N435" s="13" t="s">
        <v>3162</v>
      </c>
      <c r="O435" s="13" t="s">
        <v>33</v>
      </c>
      <c r="P435" s="13">
        <v>2.0</v>
      </c>
      <c r="Q435" s="13" t="s">
        <v>3177</v>
      </c>
      <c r="R435" s="13" t="s">
        <v>3163</v>
      </c>
      <c r="S435" s="13" t="s">
        <v>3937</v>
      </c>
      <c r="T435" s="13" t="s">
        <v>3167</v>
      </c>
      <c r="U435" s="13" t="s">
        <v>3195</v>
      </c>
      <c r="V435" s="13" t="s">
        <v>3195</v>
      </c>
      <c r="W435" s="13" t="s">
        <v>3167</v>
      </c>
      <c r="X435" s="13" t="s">
        <v>3284</v>
      </c>
      <c r="Y435" s="13" t="s">
        <v>3187</v>
      </c>
      <c r="Z435" s="13">
        <v>10000.0</v>
      </c>
      <c r="AA435" s="13" t="b">
        <v>0</v>
      </c>
      <c r="AB435" s="48"/>
      <c r="AC435" s="49"/>
    </row>
    <row r="436" ht="14.25" customHeight="1">
      <c r="A436" s="13">
        <v>24752.0</v>
      </c>
      <c r="B436" s="13" t="str">
        <f t="shared" si="4"/>
        <v>Observational</v>
      </c>
      <c r="C436" s="13" t="s">
        <v>4864</v>
      </c>
      <c r="D436" s="13" t="s">
        <v>5227</v>
      </c>
      <c r="E436" s="13" t="s">
        <v>5223</v>
      </c>
      <c r="F436" s="13" t="s">
        <v>3186</v>
      </c>
      <c r="G436" s="13" t="s">
        <v>3201</v>
      </c>
      <c r="H436" s="13" t="s">
        <v>3166</v>
      </c>
      <c r="I436" s="13" t="s">
        <v>3181</v>
      </c>
      <c r="J436" s="13" t="s">
        <v>3182</v>
      </c>
      <c r="K436" s="13" t="s">
        <v>3153</v>
      </c>
      <c r="L436" s="13" t="s">
        <v>3179</v>
      </c>
      <c r="M436" s="13" t="s">
        <v>4024</v>
      </c>
      <c r="N436" s="13" t="s">
        <v>3175</v>
      </c>
      <c r="O436" s="13" t="s">
        <v>33</v>
      </c>
      <c r="P436" s="13">
        <v>3.0</v>
      </c>
      <c r="Q436" s="13" t="s">
        <v>3177</v>
      </c>
      <c r="R436" s="13" t="s">
        <v>3177</v>
      </c>
      <c r="S436" s="13" t="s">
        <v>33</v>
      </c>
      <c r="T436" s="13" t="s">
        <v>3224</v>
      </c>
      <c r="U436" s="13" t="s">
        <v>3232</v>
      </c>
      <c r="V436" s="13" t="s">
        <v>3232</v>
      </c>
      <c r="W436" s="13" t="s">
        <v>3167</v>
      </c>
      <c r="X436" s="13" t="s">
        <v>3170</v>
      </c>
      <c r="Y436" s="13" t="s">
        <v>33</v>
      </c>
      <c r="Z436" s="13" t="s">
        <v>33</v>
      </c>
      <c r="AA436" s="13" t="b">
        <v>1</v>
      </c>
      <c r="AB436" s="48"/>
      <c r="AC436" s="49"/>
    </row>
    <row r="437" ht="14.25" customHeight="1">
      <c r="A437" s="13">
        <v>24396.0</v>
      </c>
      <c r="B437" s="13" t="str">
        <f t="shared" si="4"/>
        <v>Observational</v>
      </c>
      <c r="C437" s="13" t="s">
        <v>4864</v>
      </c>
      <c r="D437" s="1" t="s">
        <v>5228</v>
      </c>
      <c r="E437" s="13" t="s">
        <v>5229</v>
      </c>
      <c r="F437" s="13" t="s">
        <v>3381</v>
      </c>
      <c r="G437" s="13" t="s">
        <v>3883</v>
      </c>
      <c r="H437" s="13" t="s">
        <v>3253</v>
      </c>
      <c r="I437" s="13" t="s">
        <v>3533</v>
      </c>
      <c r="J437" s="13" t="s">
        <v>3881</v>
      </c>
      <c r="K437" s="13" t="s">
        <v>3153</v>
      </c>
      <c r="L437" s="13" t="s">
        <v>3179</v>
      </c>
      <c r="M437" s="13" t="s">
        <v>3882</v>
      </c>
      <c r="N437" s="13" t="s">
        <v>3162</v>
      </c>
      <c r="O437" s="13" t="s">
        <v>3689</v>
      </c>
      <c r="P437" s="13">
        <v>3.0</v>
      </c>
      <c r="Q437" s="13" t="s">
        <v>3177</v>
      </c>
      <c r="R437" s="13" t="s">
        <v>3231</v>
      </c>
      <c r="S437" s="13" t="s">
        <v>33</v>
      </c>
      <c r="T437" s="13" t="s">
        <v>3755</v>
      </c>
      <c r="U437" s="13" t="s">
        <v>3252</v>
      </c>
      <c r="V437" s="13" t="s">
        <v>3252</v>
      </c>
      <c r="W437" s="13" t="s">
        <v>3755</v>
      </c>
      <c r="X437" s="13" t="s">
        <v>3211</v>
      </c>
      <c r="Y437" s="13" t="s">
        <v>3187</v>
      </c>
      <c r="Z437" s="13" t="s">
        <v>3187</v>
      </c>
      <c r="AA437" s="13" t="b">
        <v>0</v>
      </c>
      <c r="AB437" s="48"/>
      <c r="AC437" s="49"/>
    </row>
    <row r="438" ht="14.25" customHeight="1">
      <c r="A438" s="13">
        <v>25813.0</v>
      </c>
      <c r="B438" s="13" t="str">
        <f t="shared" si="4"/>
        <v>Observational</v>
      </c>
      <c r="C438" s="13" t="s">
        <v>4864</v>
      </c>
      <c r="D438" s="1" t="s">
        <v>5230</v>
      </c>
      <c r="E438" s="13" t="s">
        <v>5231</v>
      </c>
      <c r="F438" s="13" t="s">
        <v>3183</v>
      </c>
      <c r="G438" s="13" t="s">
        <v>4335</v>
      </c>
      <c r="H438" s="13" t="s">
        <v>3166</v>
      </c>
      <c r="I438" s="13" t="s">
        <v>3261</v>
      </c>
      <c r="J438" s="13" t="s">
        <v>4333</v>
      </c>
      <c r="K438" s="13" t="s">
        <v>3153</v>
      </c>
      <c r="L438" s="13" t="s">
        <v>3179</v>
      </c>
      <c r="M438" s="13" t="s">
        <v>4334</v>
      </c>
      <c r="N438" s="13" t="s">
        <v>3175</v>
      </c>
      <c r="O438" s="13" t="s">
        <v>3689</v>
      </c>
      <c r="P438" s="13">
        <v>6.0</v>
      </c>
      <c r="Q438" s="13" t="s">
        <v>3177</v>
      </c>
      <c r="R438" s="13" t="s">
        <v>3177</v>
      </c>
      <c r="S438" s="13" t="s">
        <v>33</v>
      </c>
      <c r="T438" s="13" t="s">
        <v>3198</v>
      </c>
      <c r="U438" s="13" t="s">
        <v>3197</v>
      </c>
      <c r="V438" s="13" t="s">
        <v>3197</v>
      </c>
      <c r="W438" s="13" t="s">
        <v>3167</v>
      </c>
      <c r="X438" s="13" t="s">
        <v>3155</v>
      </c>
      <c r="Y438" s="13" t="s">
        <v>3187</v>
      </c>
      <c r="Z438" s="13">
        <v>16.0</v>
      </c>
      <c r="AA438" s="13" t="b">
        <v>0</v>
      </c>
      <c r="AB438" s="48"/>
      <c r="AC438" s="49"/>
    </row>
    <row r="439" ht="14.25" customHeight="1">
      <c r="A439" s="13">
        <v>25879.0</v>
      </c>
      <c r="B439" s="13" t="str">
        <f t="shared" si="4"/>
        <v>Observational</v>
      </c>
      <c r="C439" s="13" t="s">
        <v>4856</v>
      </c>
      <c r="D439" s="1" t="s">
        <v>5232</v>
      </c>
      <c r="E439" s="13" t="s">
        <v>4973</v>
      </c>
      <c r="F439" s="13" t="s">
        <v>3201</v>
      </c>
      <c r="G439" s="13" t="s">
        <v>3159</v>
      </c>
      <c r="H439" s="13" t="s">
        <v>3166</v>
      </c>
      <c r="I439" s="13" t="s">
        <v>3171</v>
      </c>
      <c r="J439" s="13" t="s">
        <v>3325</v>
      </c>
      <c r="K439" s="13" t="s">
        <v>3153</v>
      </c>
      <c r="L439" s="13" t="s">
        <v>3169</v>
      </c>
      <c r="M439" s="13" t="s">
        <v>4373</v>
      </c>
      <c r="N439" s="13" t="s">
        <v>3162</v>
      </c>
      <c r="O439" s="13" t="s">
        <v>3167</v>
      </c>
      <c r="P439" s="13">
        <v>2.0</v>
      </c>
      <c r="Q439" s="13" t="s">
        <v>3177</v>
      </c>
      <c r="R439" s="13" t="s">
        <v>3231</v>
      </c>
      <c r="S439" s="13" t="s">
        <v>33</v>
      </c>
      <c r="T439" s="13" t="s">
        <v>3178</v>
      </c>
      <c r="U439" s="13" t="s">
        <v>3232</v>
      </c>
      <c r="V439" s="13" t="s">
        <v>3232</v>
      </c>
      <c r="W439" s="13" t="s">
        <v>3167</v>
      </c>
      <c r="X439" s="13" t="s">
        <v>3170</v>
      </c>
      <c r="Y439" s="13" t="s">
        <v>3202</v>
      </c>
      <c r="Z439" s="13">
        <v>25.0</v>
      </c>
      <c r="AA439" s="13" t="b">
        <v>0</v>
      </c>
      <c r="AB439" s="48"/>
      <c r="AC439" s="49"/>
    </row>
    <row r="440" ht="14.25" customHeight="1">
      <c r="A440" s="13">
        <v>24158.0</v>
      </c>
      <c r="B440" s="13" t="str">
        <f t="shared" si="4"/>
        <v>Observational</v>
      </c>
      <c r="C440" s="13" t="s">
        <v>4864</v>
      </c>
      <c r="D440" s="1" t="s">
        <v>5233</v>
      </c>
      <c r="E440" s="13" t="s">
        <v>4973</v>
      </c>
      <c r="F440" s="13" t="s">
        <v>3183</v>
      </c>
      <c r="G440" s="13" t="s">
        <v>3287</v>
      </c>
      <c r="H440" s="13" t="s">
        <v>3166</v>
      </c>
      <c r="I440" s="13" t="s">
        <v>3261</v>
      </c>
      <c r="J440" s="13" t="s">
        <v>3182</v>
      </c>
      <c r="K440" s="13" t="s">
        <v>3153</v>
      </c>
      <c r="L440" s="13" t="s">
        <v>3179</v>
      </c>
      <c r="M440" s="13" t="s">
        <v>3773</v>
      </c>
      <c r="N440" s="13" t="s">
        <v>3162</v>
      </c>
      <c r="O440" s="13" t="s">
        <v>3774</v>
      </c>
      <c r="P440" s="13">
        <v>2.0</v>
      </c>
      <c r="Q440" s="13" t="s">
        <v>3177</v>
      </c>
      <c r="R440" s="13" t="s">
        <v>3177</v>
      </c>
      <c r="S440" s="13" t="s">
        <v>33</v>
      </c>
      <c r="T440" s="13" t="s">
        <v>3216</v>
      </c>
      <c r="U440" s="13" t="s">
        <v>3164</v>
      </c>
      <c r="V440" s="13" t="s">
        <v>3228</v>
      </c>
      <c r="W440" s="13" t="s">
        <v>3167</v>
      </c>
      <c r="X440" s="13" t="s">
        <v>3192</v>
      </c>
      <c r="Y440" s="13" t="s">
        <v>3187</v>
      </c>
      <c r="Z440" s="13">
        <v>100.0</v>
      </c>
      <c r="AA440" s="13" t="b">
        <v>0</v>
      </c>
      <c r="AB440" s="48"/>
      <c r="AC440" s="49"/>
    </row>
    <row r="441" ht="14.25" customHeight="1">
      <c r="A441" s="13">
        <v>23202.0</v>
      </c>
      <c r="B441" s="13" t="str">
        <f t="shared" si="4"/>
        <v>Observational</v>
      </c>
      <c r="C441" s="13" t="s">
        <v>4856</v>
      </c>
      <c r="D441" s="1" t="s">
        <v>5234</v>
      </c>
      <c r="E441" s="13" t="s">
        <v>5235</v>
      </c>
      <c r="F441" s="13" t="s">
        <v>3333</v>
      </c>
      <c r="G441" s="13" t="s">
        <v>3335</v>
      </c>
      <c r="H441" s="13" t="s">
        <v>3195</v>
      </c>
      <c r="I441" s="13" t="s">
        <v>3222</v>
      </c>
      <c r="J441" s="13" t="s">
        <v>3182</v>
      </c>
      <c r="K441" s="13" t="s">
        <v>3153</v>
      </c>
      <c r="L441" s="13" t="s">
        <v>3169</v>
      </c>
      <c r="M441" s="13" t="s">
        <v>3334</v>
      </c>
      <c r="N441" s="13" t="s">
        <v>3175</v>
      </c>
      <c r="O441" s="13" t="s">
        <v>33</v>
      </c>
      <c r="P441" s="13">
        <v>3.0</v>
      </c>
      <c r="Q441" s="13" t="s">
        <v>3177</v>
      </c>
      <c r="R441" s="13" t="s">
        <v>3163</v>
      </c>
      <c r="S441" s="13" t="s">
        <v>3336</v>
      </c>
      <c r="T441" s="13" t="s">
        <v>3167</v>
      </c>
      <c r="U441" s="13" t="s">
        <v>3195</v>
      </c>
      <c r="V441" s="13" t="s">
        <v>3195</v>
      </c>
      <c r="W441" s="13" t="s">
        <v>3167</v>
      </c>
      <c r="X441" s="13" t="s">
        <v>3192</v>
      </c>
      <c r="Y441" s="13" t="s">
        <v>3156</v>
      </c>
      <c r="Z441" s="13" t="s">
        <v>3167</v>
      </c>
      <c r="AA441" s="13" t="b">
        <v>0</v>
      </c>
      <c r="AB441" s="48"/>
      <c r="AC441" s="49"/>
    </row>
    <row r="442" ht="14.25" customHeight="1">
      <c r="A442" s="13">
        <v>24159.0</v>
      </c>
      <c r="B442" s="13" t="str">
        <f t="shared" si="4"/>
        <v>Observational</v>
      </c>
      <c r="C442" s="13" t="s">
        <v>4864</v>
      </c>
      <c r="D442" s="1" t="s">
        <v>5236</v>
      </c>
      <c r="E442" s="13" t="s">
        <v>5237</v>
      </c>
      <c r="F442" s="13" t="s">
        <v>3183</v>
      </c>
      <c r="G442" s="13" t="s">
        <v>3287</v>
      </c>
      <c r="H442" s="13" t="s">
        <v>3166</v>
      </c>
      <c r="I442" s="13" t="s">
        <v>3261</v>
      </c>
      <c r="J442" s="13" t="s">
        <v>3775</v>
      </c>
      <c r="K442" s="13" t="s">
        <v>3153</v>
      </c>
      <c r="L442" s="13" t="s">
        <v>3179</v>
      </c>
      <c r="M442" s="13" t="s">
        <v>3776</v>
      </c>
      <c r="N442" s="13" t="s">
        <v>3175</v>
      </c>
      <c r="O442" s="13" t="s">
        <v>3689</v>
      </c>
      <c r="P442" s="13">
        <v>5.0</v>
      </c>
      <c r="Q442" s="13" t="s">
        <v>3177</v>
      </c>
      <c r="R442" s="13" t="s">
        <v>3177</v>
      </c>
      <c r="S442" s="13" t="s">
        <v>33</v>
      </c>
      <c r="T442" s="13" t="s">
        <v>3216</v>
      </c>
      <c r="U442" s="13" t="s">
        <v>3164</v>
      </c>
      <c r="V442" s="13" t="s">
        <v>3228</v>
      </c>
      <c r="W442" s="13" t="s">
        <v>3167</v>
      </c>
      <c r="X442" s="13" t="s">
        <v>3192</v>
      </c>
      <c r="Y442" s="13" t="s">
        <v>3187</v>
      </c>
      <c r="Z442" s="13">
        <v>100.0</v>
      </c>
      <c r="AA442" s="13" t="b">
        <v>0</v>
      </c>
      <c r="AB442" s="47"/>
      <c r="AC442" s="49"/>
    </row>
    <row r="443" ht="14.25" customHeight="1">
      <c r="A443" s="13">
        <v>23083.0</v>
      </c>
      <c r="B443" s="13" t="str">
        <f t="shared" si="4"/>
        <v>Observational</v>
      </c>
      <c r="C443" s="13" t="s">
        <v>4856</v>
      </c>
      <c r="D443" s="1" t="s">
        <v>5054</v>
      </c>
      <c r="E443" s="13" t="s">
        <v>5214</v>
      </c>
      <c r="F443" s="13" t="s">
        <v>3257</v>
      </c>
      <c r="G443" s="13" t="s">
        <v>3208</v>
      </c>
      <c r="H443" s="13" t="s">
        <v>3242</v>
      </c>
      <c r="I443" s="13" t="s">
        <v>3244</v>
      </c>
      <c r="J443" s="13" t="s">
        <v>3256</v>
      </c>
      <c r="K443" s="13" t="s">
        <v>3153</v>
      </c>
      <c r="L443" s="13" t="s">
        <v>3169</v>
      </c>
      <c r="M443" s="13" t="s">
        <v>3258</v>
      </c>
      <c r="N443" s="13" t="s">
        <v>3162</v>
      </c>
      <c r="O443" s="13" t="s">
        <v>3259</v>
      </c>
      <c r="P443" s="13">
        <v>1.0</v>
      </c>
      <c r="Q443" s="13" t="s">
        <v>3160</v>
      </c>
      <c r="R443" s="13" t="s">
        <v>3260</v>
      </c>
      <c r="S443" s="13" t="s">
        <v>33</v>
      </c>
      <c r="T443" s="13" t="s">
        <v>3167</v>
      </c>
      <c r="U443" s="13" t="s">
        <v>3247</v>
      </c>
      <c r="V443" s="13" t="s">
        <v>3247</v>
      </c>
      <c r="W443" s="13" t="s">
        <v>3248</v>
      </c>
      <c r="X443" s="13" t="s">
        <v>3211</v>
      </c>
      <c r="Y443" s="13" t="s">
        <v>3202</v>
      </c>
      <c r="Z443" s="13">
        <v>250.0</v>
      </c>
      <c r="AA443" s="13" t="b">
        <v>0</v>
      </c>
      <c r="AB443" s="48"/>
      <c r="AC443" s="49"/>
    </row>
    <row r="444" ht="14.25" customHeight="1">
      <c r="A444" s="13">
        <v>23674.0</v>
      </c>
      <c r="B444" s="13" t="str">
        <f t="shared" si="4"/>
        <v>Observational</v>
      </c>
      <c r="C444" s="13" t="s">
        <v>4856</v>
      </c>
      <c r="D444" s="1" t="s">
        <v>5054</v>
      </c>
      <c r="E444" s="13" t="s">
        <v>5214</v>
      </c>
      <c r="F444" s="13" t="s">
        <v>3183</v>
      </c>
      <c r="G444" s="13" t="s">
        <v>3567</v>
      </c>
      <c r="H444" s="13" t="s">
        <v>3166</v>
      </c>
      <c r="I444" s="13" t="s">
        <v>3244</v>
      </c>
      <c r="J444" s="13" t="s">
        <v>3289</v>
      </c>
      <c r="K444" s="13" t="s">
        <v>3153</v>
      </c>
      <c r="L444" s="13" t="s">
        <v>3169</v>
      </c>
      <c r="M444" s="13" t="s">
        <v>3258</v>
      </c>
      <c r="N444" s="13" t="s">
        <v>3162</v>
      </c>
      <c r="O444" s="13" t="s">
        <v>3566</v>
      </c>
      <c r="P444" s="13">
        <v>1.0</v>
      </c>
      <c r="Q444" s="13" t="s">
        <v>3160</v>
      </c>
      <c r="R444" s="13" t="s">
        <v>3260</v>
      </c>
      <c r="S444" s="13" t="s">
        <v>33</v>
      </c>
      <c r="T444" s="13" t="s">
        <v>3568</v>
      </c>
      <c r="U444" s="13" t="s">
        <v>3164</v>
      </c>
      <c r="V444" s="13" t="s">
        <v>3197</v>
      </c>
      <c r="W444" s="13" t="s">
        <v>3167</v>
      </c>
      <c r="X444" s="13" t="s">
        <v>3192</v>
      </c>
      <c r="Y444" s="13" t="s">
        <v>3156</v>
      </c>
      <c r="Z444" s="13" t="s">
        <v>3187</v>
      </c>
      <c r="AA444" s="13" t="b">
        <v>0</v>
      </c>
      <c r="AB444" s="48"/>
      <c r="AC444" s="49"/>
    </row>
    <row r="445" ht="14.25" customHeight="1">
      <c r="A445" s="13">
        <v>24215.0</v>
      </c>
      <c r="B445" s="13" t="str">
        <f t="shared" si="4"/>
        <v>Observational</v>
      </c>
      <c r="C445" s="13" t="s">
        <v>4856</v>
      </c>
      <c r="D445" s="1" t="s">
        <v>5054</v>
      </c>
      <c r="E445" s="13" t="s">
        <v>5214</v>
      </c>
      <c r="F445" s="13" t="s">
        <v>3183</v>
      </c>
      <c r="G445" s="13" t="s">
        <v>3159</v>
      </c>
      <c r="H445" s="13" t="s">
        <v>3166</v>
      </c>
      <c r="I445" s="13" t="s">
        <v>3171</v>
      </c>
      <c r="J445" s="13" t="s">
        <v>3803</v>
      </c>
      <c r="K445" s="13" t="s">
        <v>3153</v>
      </c>
      <c r="L445" s="13" t="s">
        <v>3169</v>
      </c>
      <c r="M445" s="13" t="s">
        <v>3258</v>
      </c>
      <c r="N445" s="13" t="s">
        <v>3162</v>
      </c>
      <c r="O445" s="13" t="s">
        <v>3804</v>
      </c>
      <c r="P445" s="13">
        <v>1.0</v>
      </c>
      <c r="Q445" s="13" t="s">
        <v>3160</v>
      </c>
      <c r="R445" s="13" t="s">
        <v>3260</v>
      </c>
      <c r="S445" s="13" t="s">
        <v>33</v>
      </c>
      <c r="T445" s="13" t="s">
        <v>3324</v>
      </c>
      <c r="U445" s="13" t="s">
        <v>3164</v>
      </c>
      <c r="V445" s="13" t="s">
        <v>3215</v>
      </c>
      <c r="W445" s="13" t="s">
        <v>3167</v>
      </c>
      <c r="X445" s="13" t="s">
        <v>3170</v>
      </c>
      <c r="Y445" s="13" t="s">
        <v>3156</v>
      </c>
      <c r="Z445" s="13" t="s">
        <v>3202</v>
      </c>
      <c r="AA445" s="13" t="b">
        <v>0</v>
      </c>
      <c r="AB445" s="48"/>
      <c r="AC445" s="49"/>
    </row>
    <row r="446" ht="14.25" customHeight="1">
      <c r="A446" s="13">
        <v>24268.0</v>
      </c>
      <c r="B446" s="13" t="str">
        <f t="shared" si="4"/>
        <v>Observational</v>
      </c>
      <c r="C446" s="13" t="s">
        <v>4856</v>
      </c>
      <c r="D446" s="1" t="s">
        <v>5054</v>
      </c>
      <c r="E446" s="13" t="s">
        <v>5214</v>
      </c>
      <c r="F446" s="13" t="s">
        <v>3183</v>
      </c>
      <c r="G446" s="13" t="s">
        <v>3210</v>
      </c>
      <c r="H446" s="13" t="s">
        <v>3195</v>
      </c>
      <c r="I446" s="13" t="s">
        <v>3203</v>
      </c>
      <c r="J446" s="13" t="s">
        <v>3450</v>
      </c>
      <c r="K446" s="13" t="s">
        <v>3153</v>
      </c>
      <c r="L446" s="13" t="s">
        <v>3169</v>
      </c>
      <c r="M446" s="13" t="s">
        <v>3258</v>
      </c>
      <c r="N446" s="13" t="s">
        <v>3162</v>
      </c>
      <c r="O446" s="13" t="s">
        <v>3823</v>
      </c>
      <c r="P446" s="13">
        <v>1.0</v>
      </c>
      <c r="Q446" s="13" t="s">
        <v>3160</v>
      </c>
      <c r="R446" s="13" t="s">
        <v>3163</v>
      </c>
      <c r="S446" s="13" t="s">
        <v>3453</v>
      </c>
      <c r="T446" s="13" t="s">
        <v>3167</v>
      </c>
      <c r="U446" s="13" t="s">
        <v>3195</v>
      </c>
      <c r="V446" s="13" t="s">
        <v>3195</v>
      </c>
      <c r="W446" s="13" t="s">
        <v>3167</v>
      </c>
      <c r="X446" s="13" t="s">
        <v>3155</v>
      </c>
      <c r="Y446" s="13" t="s">
        <v>33</v>
      </c>
      <c r="Z446" s="13" t="s">
        <v>33</v>
      </c>
      <c r="AA446" s="13" t="b">
        <v>0</v>
      </c>
      <c r="AB446" s="48"/>
      <c r="AC446" s="49"/>
    </row>
    <row r="447" ht="14.25" customHeight="1">
      <c r="A447" s="13">
        <v>24901.0</v>
      </c>
      <c r="B447" s="13" t="str">
        <f t="shared" si="4"/>
        <v>Observational</v>
      </c>
      <c r="C447" s="13" t="s">
        <v>4856</v>
      </c>
      <c r="D447" s="1" t="s">
        <v>5054</v>
      </c>
      <c r="E447" s="13" t="s">
        <v>5214</v>
      </c>
      <c r="F447" s="13" t="s">
        <v>3183</v>
      </c>
      <c r="G447" s="13" t="s">
        <v>3173</v>
      </c>
      <c r="H447" s="13" t="s">
        <v>3242</v>
      </c>
      <c r="I447" s="13" t="s">
        <v>3167</v>
      </c>
      <c r="J447" s="13" t="s">
        <v>3167</v>
      </c>
      <c r="K447" s="13" t="s">
        <v>3153</v>
      </c>
      <c r="L447" s="13" t="s">
        <v>3169</v>
      </c>
      <c r="M447" s="13" t="s">
        <v>3258</v>
      </c>
      <c r="N447" s="13" t="s">
        <v>3162</v>
      </c>
      <c r="O447" s="13" t="s">
        <v>4079</v>
      </c>
      <c r="P447" s="13">
        <v>1.0</v>
      </c>
      <c r="Q447" s="13" t="s">
        <v>3160</v>
      </c>
      <c r="R447" s="13" t="s">
        <v>3177</v>
      </c>
      <c r="S447" s="13" t="s">
        <v>33</v>
      </c>
      <c r="T447" s="13" t="s">
        <v>3167</v>
      </c>
      <c r="U447" s="13" t="s">
        <v>3197</v>
      </c>
      <c r="V447" s="13" t="s">
        <v>3197</v>
      </c>
      <c r="W447" s="13" t="s">
        <v>3294</v>
      </c>
      <c r="X447" s="13" t="s">
        <v>3217</v>
      </c>
      <c r="Y447" s="13" t="s">
        <v>3156</v>
      </c>
      <c r="Z447" s="13" t="s">
        <v>33</v>
      </c>
      <c r="AA447" s="13" t="b">
        <v>0</v>
      </c>
      <c r="AB447" s="48"/>
      <c r="AC447" s="49"/>
    </row>
    <row r="448" ht="14.25" customHeight="1">
      <c r="A448" s="13">
        <v>25054.0</v>
      </c>
      <c r="B448" s="13" t="str">
        <f t="shared" si="4"/>
        <v>Observational</v>
      </c>
      <c r="C448" s="13" t="s">
        <v>4852</v>
      </c>
      <c r="D448" s="1" t="s">
        <v>5054</v>
      </c>
      <c r="E448" s="13" t="s">
        <v>5214</v>
      </c>
      <c r="F448" s="13" t="s">
        <v>3159</v>
      </c>
      <c r="G448" s="13" t="s">
        <v>3159</v>
      </c>
      <c r="H448" s="13" t="s">
        <v>3166</v>
      </c>
      <c r="I448" s="13" t="s">
        <v>3244</v>
      </c>
      <c r="J448" s="13" t="s">
        <v>3245</v>
      </c>
      <c r="K448" s="13" t="s">
        <v>3153</v>
      </c>
      <c r="L448" s="13" t="s">
        <v>3154</v>
      </c>
      <c r="M448" s="13" t="s">
        <v>3258</v>
      </c>
      <c r="N448" s="13" t="s">
        <v>3162</v>
      </c>
      <c r="O448" s="13" t="s">
        <v>33</v>
      </c>
      <c r="P448" s="13">
        <v>1.0</v>
      </c>
      <c r="Q448" s="13" t="s">
        <v>3160</v>
      </c>
      <c r="R448" s="13" t="s">
        <v>3163</v>
      </c>
      <c r="S448" s="13" t="s">
        <v>33</v>
      </c>
      <c r="T448" s="13" t="s">
        <v>3255</v>
      </c>
      <c r="U448" s="13" t="s">
        <v>3197</v>
      </c>
      <c r="V448" s="13" t="s">
        <v>3197</v>
      </c>
      <c r="W448" s="13" t="s">
        <v>3167</v>
      </c>
      <c r="X448" s="13" t="s">
        <v>3192</v>
      </c>
      <c r="Y448" s="13" t="s">
        <v>3156</v>
      </c>
      <c r="Z448" s="13" t="s">
        <v>33</v>
      </c>
      <c r="AA448" s="13" t="b">
        <v>0</v>
      </c>
      <c r="AB448" s="48"/>
      <c r="AC448" s="49"/>
    </row>
    <row r="449" ht="14.25" customHeight="1">
      <c r="A449" s="13">
        <v>25973.0</v>
      </c>
      <c r="B449" s="13" t="str">
        <f t="shared" si="4"/>
        <v>Observational</v>
      </c>
      <c r="C449" s="13" t="s">
        <v>4856</v>
      </c>
      <c r="D449" s="1" t="s">
        <v>5054</v>
      </c>
      <c r="E449" s="13" t="s">
        <v>5214</v>
      </c>
      <c r="F449" s="13" t="s">
        <v>3183</v>
      </c>
      <c r="G449" s="13" t="s">
        <v>4409</v>
      </c>
      <c r="H449" s="13" t="s">
        <v>3166</v>
      </c>
      <c r="I449" s="13" t="s">
        <v>3188</v>
      </c>
      <c r="J449" s="13" t="s">
        <v>3432</v>
      </c>
      <c r="K449" s="13" t="s">
        <v>3153</v>
      </c>
      <c r="L449" s="13" t="s">
        <v>3169</v>
      </c>
      <c r="M449" s="13" t="s">
        <v>3258</v>
      </c>
      <c r="N449" s="13" t="s">
        <v>3162</v>
      </c>
      <c r="O449" s="13" t="s">
        <v>3724</v>
      </c>
      <c r="P449" s="13">
        <v>1.0</v>
      </c>
      <c r="Q449" s="13" t="s">
        <v>3160</v>
      </c>
      <c r="R449" s="13" t="s">
        <v>3163</v>
      </c>
      <c r="S449" s="13" t="s">
        <v>4410</v>
      </c>
      <c r="T449" s="13" t="s">
        <v>3178</v>
      </c>
      <c r="U449" s="13" t="s">
        <v>3164</v>
      </c>
      <c r="V449" s="13" t="s">
        <v>3164</v>
      </c>
      <c r="W449" s="13" t="s">
        <v>3167</v>
      </c>
      <c r="X449" s="13" t="s">
        <v>3192</v>
      </c>
      <c r="Y449" s="13" t="s">
        <v>3156</v>
      </c>
      <c r="Z449" s="13" t="s">
        <v>33</v>
      </c>
      <c r="AA449" s="13" t="b">
        <v>0</v>
      </c>
      <c r="AB449" s="48"/>
      <c r="AC449" s="49"/>
    </row>
    <row r="450" ht="14.25" customHeight="1">
      <c r="A450" s="13">
        <v>23249.0</v>
      </c>
      <c r="B450" s="13" t="str">
        <f t="shared" si="4"/>
        <v>Observational</v>
      </c>
      <c r="C450" s="13" t="s">
        <v>4856</v>
      </c>
      <c r="D450" s="1" t="s">
        <v>5238</v>
      </c>
      <c r="E450" s="13" t="s">
        <v>5239</v>
      </c>
      <c r="F450" s="13" t="s">
        <v>3183</v>
      </c>
      <c r="G450" s="13" t="s">
        <v>3353</v>
      </c>
      <c r="H450" s="13" t="s">
        <v>3195</v>
      </c>
      <c r="I450" s="13" t="s">
        <v>3244</v>
      </c>
      <c r="J450" s="13" t="s">
        <v>3350</v>
      </c>
      <c r="K450" s="13" t="s">
        <v>3153</v>
      </c>
      <c r="L450" s="13" t="s">
        <v>3169</v>
      </c>
      <c r="M450" s="13" t="s">
        <v>3351</v>
      </c>
      <c r="N450" s="13" t="s">
        <v>3162</v>
      </c>
      <c r="O450" s="13" t="s">
        <v>3352</v>
      </c>
      <c r="P450" s="13">
        <v>3.0</v>
      </c>
      <c r="Q450" s="13" t="s">
        <v>3160</v>
      </c>
      <c r="R450" s="13" t="s">
        <v>3177</v>
      </c>
      <c r="S450" s="13" t="s">
        <v>3354</v>
      </c>
      <c r="T450" s="13" t="s">
        <v>3167</v>
      </c>
      <c r="U450" s="13" t="s">
        <v>3195</v>
      </c>
      <c r="V450" s="13" t="s">
        <v>3195</v>
      </c>
      <c r="W450" s="13" t="s">
        <v>3167</v>
      </c>
      <c r="X450" s="13" t="s">
        <v>3192</v>
      </c>
      <c r="Y450" s="13" t="s">
        <v>33</v>
      </c>
      <c r="Z450" s="13" t="s">
        <v>33</v>
      </c>
      <c r="AA450" s="13" t="b">
        <v>0</v>
      </c>
      <c r="AB450" s="48"/>
      <c r="AC450" s="49"/>
    </row>
    <row r="451" ht="14.25" customHeight="1">
      <c r="A451" s="13">
        <v>24038.0</v>
      </c>
      <c r="B451" s="13" t="str">
        <f t="shared" si="4"/>
        <v>Observational</v>
      </c>
      <c r="C451" s="13" t="s">
        <v>4864</v>
      </c>
      <c r="D451" s="1" t="s">
        <v>5240</v>
      </c>
      <c r="E451" s="13" t="s">
        <v>4973</v>
      </c>
      <c r="F451" s="13" t="s">
        <v>3173</v>
      </c>
      <c r="G451" s="13" t="s">
        <v>3173</v>
      </c>
      <c r="H451" s="13" t="s">
        <v>3166</v>
      </c>
      <c r="I451" s="13" t="s">
        <v>3261</v>
      </c>
      <c r="J451" s="13" t="s">
        <v>3400</v>
      </c>
      <c r="K451" s="13" t="s">
        <v>3153</v>
      </c>
      <c r="L451" s="13" t="s">
        <v>3179</v>
      </c>
      <c r="M451" s="13" t="s">
        <v>3731</v>
      </c>
      <c r="N451" s="13" t="s">
        <v>3162</v>
      </c>
      <c r="O451" s="13" t="s">
        <v>3167</v>
      </c>
      <c r="P451" s="13">
        <v>3.0</v>
      </c>
      <c r="Q451" s="13" t="s">
        <v>3160</v>
      </c>
      <c r="R451" s="13" t="s">
        <v>3260</v>
      </c>
      <c r="S451" s="13" t="s">
        <v>33</v>
      </c>
      <c r="T451" s="13" t="s">
        <v>3225</v>
      </c>
      <c r="U451" s="13" t="s">
        <v>3164</v>
      </c>
      <c r="V451" s="13" t="s">
        <v>3164</v>
      </c>
      <c r="W451" s="13" t="s">
        <v>3167</v>
      </c>
      <c r="X451" s="13" t="s">
        <v>3170</v>
      </c>
      <c r="Y451" s="13" t="s">
        <v>3187</v>
      </c>
      <c r="Z451" s="13">
        <v>5.0</v>
      </c>
      <c r="AA451" s="13" t="b">
        <v>0</v>
      </c>
      <c r="AB451" s="48"/>
      <c r="AC451" s="49"/>
    </row>
    <row r="452" ht="14.25" customHeight="1">
      <c r="A452" s="13">
        <v>23160.0</v>
      </c>
      <c r="B452" s="13" t="str">
        <f t="shared" si="4"/>
        <v>Observational</v>
      </c>
      <c r="C452" s="13" t="s">
        <v>4852</v>
      </c>
      <c r="D452" s="1" t="s">
        <v>5241</v>
      </c>
      <c r="E452" s="13" t="s">
        <v>5242</v>
      </c>
      <c r="F452" s="13" t="s">
        <v>3270</v>
      </c>
      <c r="G452" s="13" t="s">
        <v>3159</v>
      </c>
      <c r="H452" s="13" t="s">
        <v>3166</v>
      </c>
      <c r="I452" s="13" t="s">
        <v>3188</v>
      </c>
      <c r="J452" s="13" t="s">
        <v>3207</v>
      </c>
      <c r="K452" s="13" t="s">
        <v>3153</v>
      </c>
      <c r="L452" s="13" t="s">
        <v>3154</v>
      </c>
      <c r="M452" s="13" t="s">
        <v>3309</v>
      </c>
      <c r="N452" s="13" t="s">
        <v>3162</v>
      </c>
      <c r="O452" s="13" t="s">
        <v>3310</v>
      </c>
      <c r="P452" s="13">
        <v>4.0</v>
      </c>
      <c r="Q452" s="13" t="s">
        <v>3177</v>
      </c>
      <c r="R452" s="13" t="s">
        <v>3260</v>
      </c>
      <c r="S452" s="13" t="s">
        <v>33</v>
      </c>
      <c r="T452" s="13" t="s">
        <v>3255</v>
      </c>
      <c r="U452" s="13" t="s">
        <v>3232</v>
      </c>
      <c r="V452" s="13" t="s">
        <v>3197</v>
      </c>
      <c r="W452" s="13" t="s">
        <v>3167</v>
      </c>
      <c r="X452" s="13" t="s">
        <v>3192</v>
      </c>
      <c r="Y452" s="13" t="s">
        <v>33</v>
      </c>
      <c r="Z452" s="13" t="s">
        <v>33</v>
      </c>
      <c r="AA452" s="13" t="b">
        <v>0</v>
      </c>
      <c r="AB452" s="47"/>
      <c r="AC452" s="49"/>
    </row>
    <row r="453" ht="14.25" customHeight="1">
      <c r="A453" s="13">
        <v>23418.0</v>
      </c>
      <c r="B453" s="13" t="str">
        <f t="shared" si="4"/>
        <v>Observational</v>
      </c>
      <c r="C453" s="13" t="s">
        <v>4856</v>
      </c>
      <c r="D453" s="1" t="s">
        <v>5243</v>
      </c>
      <c r="E453" s="13" t="s">
        <v>5244</v>
      </c>
      <c r="F453" s="13" t="s">
        <v>3183</v>
      </c>
      <c r="G453" s="13" t="s">
        <v>3379</v>
      </c>
      <c r="H453" s="13" t="s">
        <v>3242</v>
      </c>
      <c r="I453" s="13" t="s">
        <v>3171</v>
      </c>
      <c r="J453" s="13" t="s">
        <v>3438</v>
      </c>
      <c r="K453" s="13" t="s">
        <v>3153</v>
      </c>
      <c r="L453" s="13" t="s">
        <v>3169</v>
      </c>
      <c r="M453" s="13" t="s">
        <v>3439</v>
      </c>
      <c r="N453" s="13" t="s">
        <v>3162</v>
      </c>
      <c r="O453" s="13" t="s">
        <v>3440</v>
      </c>
      <c r="P453" s="13">
        <v>2.0</v>
      </c>
      <c r="Q453" s="13" t="s">
        <v>3177</v>
      </c>
      <c r="R453" s="13" t="s">
        <v>3177</v>
      </c>
      <c r="S453" s="13" t="s">
        <v>3441</v>
      </c>
      <c r="T453" s="13" t="s">
        <v>3167</v>
      </c>
      <c r="U453" s="13" t="s">
        <v>3247</v>
      </c>
      <c r="V453" s="13" t="s">
        <v>3247</v>
      </c>
      <c r="W453" s="13" t="s">
        <v>3248</v>
      </c>
      <c r="X453" s="13" t="s">
        <v>3155</v>
      </c>
      <c r="Y453" s="13" t="s">
        <v>3156</v>
      </c>
      <c r="Z453" s="13" t="s">
        <v>33</v>
      </c>
      <c r="AA453" s="13" t="b">
        <v>0</v>
      </c>
      <c r="AB453" s="48"/>
      <c r="AC453" s="49"/>
    </row>
    <row r="454" ht="14.25" customHeight="1">
      <c r="A454" s="13">
        <v>23466.0</v>
      </c>
      <c r="B454" s="13" t="str">
        <f t="shared" si="4"/>
        <v>Experimental</v>
      </c>
      <c r="C454" s="13" t="s">
        <v>4856</v>
      </c>
      <c r="D454" s="1" t="s">
        <v>5245</v>
      </c>
      <c r="E454" s="13" t="s">
        <v>5214</v>
      </c>
      <c r="F454" s="13" t="s">
        <v>3183</v>
      </c>
      <c r="G454" s="13" t="s">
        <v>3183</v>
      </c>
      <c r="H454" s="13" t="s">
        <v>3166</v>
      </c>
      <c r="I454" s="13" t="s">
        <v>3157</v>
      </c>
      <c r="J454" s="13" t="s">
        <v>3199</v>
      </c>
      <c r="K454" s="13" t="s">
        <v>3457</v>
      </c>
      <c r="L454" s="13" t="s">
        <v>3169</v>
      </c>
      <c r="M454" s="13" t="s">
        <v>3331</v>
      </c>
      <c r="N454" s="13" t="s">
        <v>3162</v>
      </c>
      <c r="O454" s="13" t="s">
        <v>3453</v>
      </c>
      <c r="P454" s="13">
        <v>1.0</v>
      </c>
      <c r="Q454" s="13" t="s">
        <v>3177</v>
      </c>
      <c r="R454" s="13" t="s">
        <v>3177</v>
      </c>
      <c r="S454" s="13" t="s">
        <v>3453</v>
      </c>
      <c r="T454" s="13" t="s">
        <v>3224</v>
      </c>
      <c r="U454" s="13" t="s">
        <v>3164</v>
      </c>
      <c r="V454" s="13" t="s">
        <v>3164</v>
      </c>
      <c r="W454" s="13" t="s">
        <v>3167</v>
      </c>
      <c r="X454" s="13" t="s">
        <v>3192</v>
      </c>
      <c r="Y454" s="13" t="s">
        <v>3156</v>
      </c>
      <c r="Z454" s="13" t="s">
        <v>33</v>
      </c>
      <c r="AA454" s="13" t="b">
        <v>0</v>
      </c>
      <c r="AB454" s="48"/>
      <c r="AC454" s="49"/>
    </row>
    <row r="455" ht="14.25" customHeight="1">
      <c r="A455" s="13">
        <v>23200.0</v>
      </c>
      <c r="B455" s="13" t="str">
        <f t="shared" si="4"/>
        <v>Observational</v>
      </c>
      <c r="C455" s="13" t="s">
        <v>4856</v>
      </c>
      <c r="D455" s="1" t="s">
        <v>5245</v>
      </c>
      <c r="E455" s="13" t="s">
        <v>5214</v>
      </c>
      <c r="F455" s="13" t="s">
        <v>3183</v>
      </c>
      <c r="G455" s="13" t="s">
        <v>3208</v>
      </c>
      <c r="H455" s="13" t="s">
        <v>3166</v>
      </c>
      <c r="I455" s="13" t="s">
        <v>3157</v>
      </c>
      <c r="J455" s="13" t="s">
        <v>3330</v>
      </c>
      <c r="K455" s="13" t="s">
        <v>3153</v>
      </c>
      <c r="L455" s="13" t="s">
        <v>3169</v>
      </c>
      <c r="M455" s="13" t="s">
        <v>3331</v>
      </c>
      <c r="N455" s="13" t="s">
        <v>3162</v>
      </c>
      <c r="O455" s="13" t="s">
        <v>3332</v>
      </c>
      <c r="P455" s="13">
        <v>1.0</v>
      </c>
      <c r="Q455" s="13" t="s">
        <v>3160</v>
      </c>
      <c r="R455" s="13" t="s">
        <v>3163</v>
      </c>
      <c r="S455" s="13" t="s">
        <v>33</v>
      </c>
      <c r="T455" s="13" t="s">
        <v>3224</v>
      </c>
      <c r="U455" s="13" t="s">
        <v>3164</v>
      </c>
      <c r="V455" s="13" t="s">
        <v>3164</v>
      </c>
      <c r="W455" s="13" t="s">
        <v>3167</v>
      </c>
      <c r="X455" s="13" t="s">
        <v>3155</v>
      </c>
      <c r="Y455" s="13" t="s">
        <v>3187</v>
      </c>
      <c r="Z455" s="13">
        <v>25.0</v>
      </c>
      <c r="AA455" s="13" t="b">
        <v>0</v>
      </c>
      <c r="AB455" s="48"/>
      <c r="AC455" s="49"/>
    </row>
    <row r="456" ht="14.25" customHeight="1">
      <c r="A456" s="13">
        <v>23345.0</v>
      </c>
      <c r="B456" s="13" t="str">
        <f t="shared" si="4"/>
        <v>Observational</v>
      </c>
      <c r="C456" s="13" t="s">
        <v>4856</v>
      </c>
      <c r="D456" s="1" t="s">
        <v>5245</v>
      </c>
      <c r="E456" s="13" t="s">
        <v>5214</v>
      </c>
      <c r="F456" s="13" t="s">
        <v>3186</v>
      </c>
      <c r="G456" s="13" t="s">
        <v>3159</v>
      </c>
      <c r="H456" s="13" t="s">
        <v>3166</v>
      </c>
      <c r="I456" s="13" t="s">
        <v>3157</v>
      </c>
      <c r="J456" s="13" t="s">
        <v>3400</v>
      </c>
      <c r="K456" s="13" t="s">
        <v>3153</v>
      </c>
      <c r="L456" s="13" t="s">
        <v>3169</v>
      </c>
      <c r="M456" s="13" t="s">
        <v>3331</v>
      </c>
      <c r="N456" s="13" t="s">
        <v>3162</v>
      </c>
      <c r="O456" s="13" t="s">
        <v>33</v>
      </c>
      <c r="P456" s="13">
        <v>1.0</v>
      </c>
      <c r="Q456" s="13" t="s">
        <v>3177</v>
      </c>
      <c r="R456" s="13" t="s">
        <v>3177</v>
      </c>
      <c r="S456" s="13" t="s">
        <v>33</v>
      </c>
      <c r="T456" s="13" t="s">
        <v>3224</v>
      </c>
      <c r="U456" s="13" t="s">
        <v>3164</v>
      </c>
      <c r="V456" s="13" t="s">
        <v>3164</v>
      </c>
      <c r="W456" s="13" t="s">
        <v>3167</v>
      </c>
      <c r="X456" s="13" t="s">
        <v>3192</v>
      </c>
      <c r="Y456" s="13" t="s">
        <v>3202</v>
      </c>
      <c r="Z456" s="13">
        <v>100.0</v>
      </c>
      <c r="AA456" s="13" t="b">
        <v>0</v>
      </c>
      <c r="AB456" s="48"/>
      <c r="AC456" s="49"/>
    </row>
    <row r="457" ht="14.25" customHeight="1">
      <c r="A457" s="13">
        <v>23368.0</v>
      </c>
      <c r="B457" s="13" t="str">
        <f t="shared" si="4"/>
        <v>Observational</v>
      </c>
      <c r="C457" s="13" t="s">
        <v>4856</v>
      </c>
      <c r="D457" s="1" t="s">
        <v>5245</v>
      </c>
      <c r="E457" s="13" t="s">
        <v>5214</v>
      </c>
      <c r="F457" s="13" t="s">
        <v>3183</v>
      </c>
      <c r="G457" s="13" t="s">
        <v>3270</v>
      </c>
      <c r="H457" s="13" t="s">
        <v>3166</v>
      </c>
      <c r="I457" s="13" t="s">
        <v>3157</v>
      </c>
      <c r="J457" s="13" t="s">
        <v>3240</v>
      </c>
      <c r="K457" s="13" t="s">
        <v>3153</v>
      </c>
      <c r="L457" s="13" t="s">
        <v>3169</v>
      </c>
      <c r="M457" s="13" t="s">
        <v>3331</v>
      </c>
      <c r="N457" s="13" t="s">
        <v>3162</v>
      </c>
      <c r="O457" s="13" t="s">
        <v>3415</v>
      </c>
      <c r="P457" s="13">
        <v>2.0</v>
      </c>
      <c r="Q457" s="13" t="s">
        <v>3177</v>
      </c>
      <c r="R457" s="13" t="s">
        <v>3177</v>
      </c>
      <c r="S457" s="13" t="s">
        <v>3416</v>
      </c>
      <c r="T457" s="13" t="s">
        <v>3224</v>
      </c>
      <c r="U457" s="13" t="s">
        <v>3232</v>
      </c>
      <c r="V457" s="13" t="s">
        <v>3232</v>
      </c>
      <c r="W457" s="13" t="s">
        <v>3167</v>
      </c>
      <c r="X457" s="13" t="s">
        <v>3155</v>
      </c>
      <c r="Y457" s="13" t="s">
        <v>3187</v>
      </c>
      <c r="Z457" s="13">
        <v>1.0</v>
      </c>
      <c r="AA457" s="13" t="b">
        <v>0</v>
      </c>
      <c r="AB457" s="48"/>
      <c r="AC457" s="49"/>
    </row>
    <row r="458" ht="14.25" customHeight="1">
      <c r="A458" s="13">
        <v>23701.0</v>
      </c>
      <c r="B458" s="13" t="str">
        <f t="shared" si="4"/>
        <v>Observational</v>
      </c>
      <c r="C458" s="13" t="s">
        <v>4856</v>
      </c>
      <c r="D458" s="1" t="s">
        <v>5245</v>
      </c>
      <c r="E458" s="13" t="s">
        <v>5214</v>
      </c>
      <c r="F458" s="13" t="s">
        <v>3208</v>
      </c>
      <c r="G458" s="13" t="s">
        <v>3580</v>
      </c>
      <c r="H458" s="13" t="s">
        <v>3166</v>
      </c>
      <c r="I458" s="13" t="s">
        <v>3188</v>
      </c>
      <c r="J458" s="13" t="s">
        <v>3207</v>
      </c>
      <c r="K458" s="13" t="s">
        <v>3153</v>
      </c>
      <c r="L458" s="13" t="s">
        <v>3169</v>
      </c>
      <c r="M458" s="13" t="s">
        <v>3331</v>
      </c>
      <c r="N458" s="13" t="s">
        <v>3162</v>
      </c>
      <c r="O458" s="13" t="s">
        <v>3167</v>
      </c>
      <c r="P458" s="13">
        <v>1.0</v>
      </c>
      <c r="Q458" s="13" t="s">
        <v>3160</v>
      </c>
      <c r="R458" s="13" t="s">
        <v>3231</v>
      </c>
      <c r="S458" s="13" t="s">
        <v>33</v>
      </c>
      <c r="T458" s="13" t="s">
        <v>3224</v>
      </c>
      <c r="U458" s="13" t="s">
        <v>3164</v>
      </c>
      <c r="V458" s="13" t="s">
        <v>3232</v>
      </c>
      <c r="W458" s="13" t="s">
        <v>3167</v>
      </c>
      <c r="X458" s="13" t="s">
        <v>3192</v>
      </c>
      <c r="Y458" s="13" t="s">
        <v>3156</v>
      </c>
      <c r="Z458" s="13" t="s">
        <v>3167</v>
      </c>
      <c r="AA458" s="13" t="b">
        <v>0</v>
      </c>
      <c r="AB458" s="48"/>
      <c r="AC458" s="49"/>
    </row>
    <row r="459" ht="14.25" customHeight="1">
      <c r="A459" s="13">
        <v>24169.0</v>
      </c>
      <c r="B459" s="13" t="str">
        <f t="shared" si="4"/>
        <v>Observational</v>
      </c>
      <c r="C459" s="13" t="s">
        <v>4856</v>
      </c>
      <c r="D459" s="1" t="s">
        <v>5245</v>
      </c>
      <c r="E459" s="13" t="s">
        <v>5214</v>
      </c>
      <c r="F459" s="13" t="s">
        <v>3183</v>
      </c>
      <c r="G459" s="13" t="s">
        <v>3381</v>
      </c>
      <c r="H459" s="13" t="s">
        <v>3166</v>
      </c>
      <c r="I459" s="13" t="s">
        <v>3222</v>
      </c>
      <c r="J459" s="13" t="s">
        <v>3782</v>
      </c>
      <c r="K459" s="13" t="s">
        <v>3153</v>
      </c>
      <c r="L459" s="13" t="s">
        <v>3169</v>
      </c>
      <c r="M459" s="13" t="s">
        <v>3331</v>
      </c>
      <c r="N459" s="13" t="s">
        <v>3162</v>
      </c>
      <c r="O459" s="13" t="s">
        <v>3167</v>
      </c>
      <c r="P459" s="13">
        <v>1.0</v>
      </c>
      <c r="Q459" s="13" t="s">
        <v>3160</v>
      </c>
      <c r="R459" s="13" t="s">
        <v>3260</v>
      </c>
      <c r="S459" s="13" t="s">
        <v>3783</v>
      </c>
      <c r="T459" s="13" t="s">
        <v>3178</v>
      </c>
      <c r="U459" s="13" t="s">
        <v>3164</v>
      </c>
      <c r="V459" s="13" t="s">
        <v>3164</v>
      </c>
      <c r="W459" s="13" t="s">
        <v>3167</v>
      </c>
      <c r="X459" s="13" t="s">
        <v>3211</v>
      </c>
      <c r="Y459" s="13" t="s">
        <v>3187</v>
      </c>
      <c r="Z459" s="13">
        <v>1.0</v>
      </c>
      <c r="AA459" s="13" t="b">
        <v>0</v>
      </c>
      <c r="AB459" s="48"/>
      <c r="AC459" s="49"/>
    </row>
    <row r="460" ht="14.25" customHeight="1">
      <c r="A460" s="13">
        <v>24365.0</v>
      </c>
      <c r="B460" s="13" t="str">
        <f t="shared" si="4"/>
        <v>Observational</v>
      </c>
      <c r="C460" s="13" t="s">
        <v>4856</v>
      </c>
      <c r="D460" s="1" t="s">
        <v>5245</v>
      </c>
      <c r="E460" s="13" t="s">
        <v>5214</v>
      </c>
      <c r="F460" s="13" t="s">
        <v>3183</v>
      </c>
      <c r="G460" s="13" t="s">
        <v>3183</v>
      </c>
      <c r="H460" s="13" t="s">
        <v>3166</v>
      </c>
      <c r="I460" s="13" t="s">
        <v>3222</v>
      </c>
      <c r="J460" s="13" t="s">
        <v>3182</v>
      </c>
      <c r="K460" s="13" t="s">
        <v>3153</v>
      </c>
      <c r="L460" s="13" t="s">
        <v>3169</v>
      </c>
      <c r="M460" s="13" t="s">
        <v>3331</v>
      </c>
      <c r="N460" s="13" t="s">
        <v>3162</v>
      </c>
      <c r="O460" s="13" t="s">
        <v>3872</v>
      </c>
      <c r="P460" s="13">
        <v>1.0</v>
      </c>
      <c r="Q460" s="13" t="s">
        <v>3160</v>
      </c>
      <c r="R460" s="13" t="s">
        <v>3177</v>
      </c>
      <c r="S460" s="13" t="s">
        <v>3864</v>
      </c>
      <c r="T460" s="13" t="s">
        <v>3224</v>
      </c>
      <c r="U460" s="13" t="s">
        <v>3164</v>
      </c>
      <c r="V460" s="13" t="s">
        <v>3232</v>
      </c>
      <c r="W460" s="13" t="s">
        <v>3167</v>
      </c>
      <c r="X460" s="13" t="s">
        <v>3192</v>
      </c>
      <c r="Y460" s="13" t="s">
        <v>33</v>
      </c>
      <c r="Z460" s="13" t="s">
        <v>33</v>
      </c>
      <c r="AA460" s="13" t="b">
        <v>0</v>
      </c>
      <c r="AB460" s="48"/>
      <c r="AC460" s="49"/>
    </row>
    <row r="461" ht="14.25" customHeight="1">
      <c r="A461" s="13">
        <v>24511.0</v>
      </c>
      <c r="B461" s="13" t="str">
        <f t="shared" si="4"/>
        <v>Observational</v>
      </c>
      <c r="C461" s="13" t="s">
        <v>4856</v>
      </c>
      <c r="D461" s="1" t="s">
        <v>5245</v>
      </c>
      <c r="E461" s="13" t="s">
        <v>5214</v>
      </c>
      <c r="F461" s="13" t="s">
        <v>3159</v>
      </c>
      <c r="G461" s="13" t="s">
        <v>3159</v>
      </c>
      <c r="H461" s="13" t="s">
        <v>3166</v>
      </c>
      <c r="I461" s="13" t="s">
        <v>3157</v>
      </c>
      <c r="J461" s="13" t="s">
        <v>3400</v>
      </c>
      <c r="K461" s="13" t="s">
        <v>3153</v>
      </c>
      <c r="L461" s="13" t="s">
        <v>3169</v>
      </c>
      <c r="M461" s="13" t="s">
        <v>3331</v>
      </c>
      <c r="N461" s="13" t="s">
        <v>3162</v>
      </c>
      <c r="O461" s="13" t="s">
        <v>33</v>
      </c>
      <c r="P461" s="13">
        <v>1.0</v>
      </c>
      <c r="Q461" s="13" t="s">
        <v>3160</v>
      </c>
      <c r="R461" s="13" t="s">
        <v>3163</v>
      </c>
      <c r="S461" s="13" t="s">
        <v>33</v>
      </c>
      <c r="T461" s="13" t="s">
        <v>3178</v>
      </c>
      <c r="U461" s="13" t="s">
        <v>3164</v>
      </c>
      <c r="V461" s="13" t="s">
        <v>3164</v>
      </c>
      <c r="W461" s="13" t="s">
        <v>3167</v>
      </c>
      <c r="X461" s="13" t="s">
        <v>3192</v>
      </c>
      <c r="Y461" s="13" t="s">
        <v>3156</v>
      </c>
      <c r="Z461" s="13" t="s">
        <v>33</v>
      </c>
      <c r="AA461" s="13" t="b">
        <v>0</v>
      </c>
      <c r="AB461" s="48"/>
      <c r="AC461" s="49"/>
    </row>
    <row r="462" ht="14.25" customHeight="1">
      <c r="A462" s="13">
        <v>24698.0</v>
      </c>
      <c r="B462" s="13" t="str">
        <f t="shared" si="4"/>
        <v>Observational</v>
      </c>
      <c r="C462" s="13" t="s">
        <v>4856</v>
      </c>
      <c r="D462" s="1" t="s">
        <v>5245</v>
      </c>
      <c r="E462" s="13" t="s">
        <v>5214</v>
      </c>
      <c r="F462" s="13" t="s">
        <v>3186</v>
      </c>
      <c r="G462" s="13" t="s">
        <v>3287</v>
      </c>
      <c r="H462" s="13" t="s">
        <v>3166</v>
      </c>
      <c r="I462" s="13" t="s">
        <v>3157</v>
      </c>
      <c r="J462" s="13" t="s">
        <v>3199</v>
      </c>
      <c r="K462" s="13" t="s">
        <v>3153</v>
      </c>
      <c r="L462" s="13" t="s">
        <v>3169</v>
      </c>
      <c r="M462" s="13" t="s">
        <v>3331</v>
      </c>
      <c r="N462" s="13" t="s">
        <v>3162</v>
      </c>
      <c r="O462" s="13" t="s">
        <v>33</v>
      </c>
      <c r="P462" s="13">
        <v>1.0</v>
      </c>
      <c r="Q462" s="13" t="s">
        <v>3160</v>
      </c>
      <c r="R462" s="13" t="s">
        <v>3163</v>
      </c>
      <c r="S462" s="13" t="s">
        <v>33</v>
      </c>
      <c r="T462" s="13" t="s">
        <v>3224</v>
      </c>
      <c r="U462" s="13" t="s">
        <v>3164</v>
      </c>
      <c r="V462" s="13" t="s">
        <v>3164</v>
      </c>
      <c r="W462" s="13" t="s">
        <v>3167</v>
      </c>
      <c r="X462" s="13" t="s">
        <v>3170</v>
      </c>
      <c r="Y462" s="13" t="s">
        <v>3202</v>
      </c>
      <c r="Z462" s="13">
        <v>100.0</v>
      </c>
      <c r="AA462" s="13" t="b">
        <v>0</v>
      </c>
      <c r="AB462" s="48"/>
      <c r="AC462" s="49"/>
    </row>
    <row r="463" ht="14.25" customHeight="1">
      <c r="A463" s="13">
        <v>24829.0</v>
      </c>
      <c r="B463" s="13" t="str">
        <f t="shared" si="4"/>
        <v>Observational</v>
      </c>
      <c r="C463" s="13" t="s">
        <v>4856</v>
      </c>
      <c r="D463" s="1" t="s">
        <v>5245</v>
      </c>
      <c r="E463" s="13" t="s">
        <v>5214</v>
      </c>
      <c r="F463" s="13" t="s">
        <v>3282</v>
      </c>
      <c r="G463" s="13" t="s">
        <v>3287</v>
      </c>
      <c r="H463" s="13" t="s">
        <v>3166</v>
      </c>
      <c r="I463" s="13" t="s">
        <v>3222</v>
      </c>
      <c r="J463" s="13" t="s">
        <v>3182</v>
      </c>
      <c r="K463" s="13" t="s">
        <v>3153</v>
      </c>
      <c r="L463" s="13" t="s">
        <v>3169</v>
      </c>
      <c r="M463" s="13" t="s">
        <v>3331</v>
      </c>
      <c r="N463" s="13" t="s">
        <v>3162</v>
      </c>
      <c r="O463" s="13" t="s">
        <v>4046</v>
      </c>
      <c r="P463" s="13">
        <v>1.0</v>
      </c>
      <c r="Q463" s="13" t="s">
        <v>3177</v>
      </c>
      <c r="R463" s="13" t="s">
        <v>3260</v>
      </c>
      <c r="S463" s="13" t="s">
        <v>33</v>
      </c>
      <c r="T463" s="13" t="s">
        <v>3224</v>
      </c>
      <c r="U463" s="13" t="s">
        <v>3164</v>
      </c>
      <c r="V463" s="13" t="s">
        <v>3164</v>
      </c>
      <c r="W463" s="13" t="s">
        <v>3167</v>
      </c>
      <c r="X463" s="13" t="s">
        <v>3192</v>
      </c>
      <c r="Y463" s="13" t="s">
        <v>3187</v>
      </c>
      <c r="Z463" s="13">
        <v>1.0</v>
      </c>
      <c r="AA463" s="13" t="b">
        <v>0</v>
      </c>
      <c r="AB463" s="48"/>
      <c r="AC463" s="49"/>
    </row>
    <row r="464" ht="14.25" customHeight="1">
      <c r="A464" s="13">
        <v>25422.0</v>
      </c>
      <c r="B464" s="13" t="str">
        <f t="shared" si="4"/>
        <v>Observational</v>
      </c>
      <c r="C464" s="13" t="s">
        <v>4856</v>
      </c>
      <c r="D464" s="1" t="s">
        <v>5245</v>
      </c>
      <c r="E464" s="13" t="s">
        <v>5214</v>
      </c>
      <c r="F464" s="13" t="s">
        <v>3159</v>
      </c>
      <c r="G464" s="13" t="s">
        <v>3159</v>
      </c>
      <c r="H464" s="13" t="s">
        <v>3166</v>
      </c>
      <c r="I464" s="13" t="s">
        <v>3157</v>
      </c>
      <c r="J464" s="13" t="s">
        <v>3307</v>
      </c>
      <c r="K464" s="13" t="s">
        <v>3153</v>
      </c>
      <c r="L464" s="13" t="s">
        <v>3169</v>
      </c>
      <c r="M464" s="13" t="s">
        <v>3331</v>
      </c>
      <c r="N464" s="13" t="s">
        <v>3162</v>
      </c>
      <c r="O464" s="13" t="s">
        <v>33</v>
      </c>
      <c r="P464" s="13">
        <v>1.0</v>
      </c>
      <c r="Q464" s="13" t="s">
        <v>3160</v>
      </c>
      <c r="R464" s="13" t="s">
        <v>3163</v>
      </c>
      <c r="S464" s="13" t="s">
        <v>33</v>
      </c>
      <c r="T464" s="13" t="s">
        <v>3178</v>
      </c>
      <c r="U464" s="13" t="s">
        <v>3164</v>
      </c>
      <c r="V464" s="13" t="s">
        <v>3228</v>
      </c>
      <c r="W464" s="13" t="s">
        <v>3167</v>
      </c>
      <c r="X464" s="13" t="s">
        <v>3170</v>
      </c>
      <c r="Y464" s="13" t="s">
        <v>3156</v>
      </c>
      <c r="Z464" s="13" t="s">
        <v>33</v>
      </c>
      <c r="AA464" s="13" t="b">
        <v>0</v>
      </c>
      <c r="AB464" s="48"/>
      <c r="AC464" s="49"/>
    </row>
    <row r="465" ht="14.25" customHeight="1">
      <c r="A465" s="13">
        <v>25474.0</v>
      </c>
      <c r="B465" s="13" t="str">
        <f t="shared" si="4"/>
        <v>Observational</v>
      </c>
      <c r="C465" s="13" t="s">
        <v>4856</v>
      </c>
      <c r="D465" s="1" t="s">
        <v>5245</v>
      </c>
      <c r="E465" s="13" t="s">
        <v>5214</v>
      </c>
      <c r="F465" s="13" t="s">
        <v>3381</v>
      </c>
      <c r="G465" s="13" t="s">
        <v>3183</v>
      </c>
      <c r="H465" s="13" t="s">
        <v>3166</v>
      </c>
      <c r="I465" s="13" t="s">
        <v>3157</v>
      </c>
      <c r="J465" s="13" t="s">
        <v>3570</v>
      </c>
      <c r="K465" s="13" t="s">
        <v>3153</v>
      </c>
      <c r="L465" s="13" t="s">
        <v>3169</v>
      </c>
      <c r="M465" s="13" t="s">
        <v>3331</v>
      </c>
      <c r="N465" s="13" t="s">
        <v>3162</v>
      </c>
      <c r="O465" s="13" t="s">
        <v>3724</v>
      </c>
      <c r="P465" s="13">
        <v>1.0</v>
      </c>
      <c r="Q465" s="13" t="s">
        <v>3177</v>
      </c>
      <c r="R465" s="13" t="s">
        <v>3231</v>
      </c>
      <c r="S465" s="13" t="s">
        <v>33</v>
      </c>
      <c r="T465" s="13" t="s">
        <v>3178</v>
      </c>
      <c r="U465" s="13" t="s">
        <v>3164</v>
      </c>
      <c r="V465" s="13" t="s">
        <v>3228</v>
      </c>
      <c r="W465" s="13" t="s">
        <v>3167</v>
      </c>
      <c r="X465" s="13" t="s">
        <v>3192</v>
      </c>
      <c r="Y465" s="13" t="s">
        <v>3156</v>
      </c>
      <c r="Z465" s="13" t="s">
        <v>3202</v>
      </c>
      <c r="AA465" s="13" t="b">
        <v>0</v>
      </c>
      <c r="AB465" s="48"/>
      <c r="AC465" s="49"/>
    </row>
    <row r="466" ht="14.25" customHeight="1">
      <c r="A466" s="13">
        <v>25625.0</v>
      </c>
      <c r="B466" s="13" t="str">
        <f t="shared" si="4"/>
        <v>Observational</v>
      </c>
      <c r="C466" s="13" t="s">
        <v>4856</v>
      </c>
      <c r="D466" s="1" t="s">
        <v>5245</v>
      </c>
      <c r="E466" s="13" t="s">
        <v>5214</v>
      </c>
      <c r="F466" s="13" t="s">
        <v>3159</v>
      </c>
      <c r="G466" s="13" t="s">
        <v>3159</v>
      </c>
      <c r="H466" s="13" t="s">
        <v>3166</v>
      </c>
      <c r="I466" s="13" t="s">
        <v>3222</v>
      </c>
      <c r="J466" s="13" t="s">
        <v>3182</v>
      </c>
      <c r="K466" s="13" t="s">
        <v>3153</v>
      </c>
      <c r="L466" s="13" t="s">
        <v>3169</v>
      </c>
      <c r="M466" s="13" t="s">
        <v>3331</v>
      </c>
      <c r="N466" s="13" t="s">
        <v>3162</v>
      </c>
      <c r="O466" s="13" t="s">
        <v>33</v>
      </c>
      <c r="P466" s="13">
        <v>1.0</v>
      </c>
      <c r="Q466" s="13" t="s">
        <v>3160</v>
      </c>
      <c r="R466" s="13" t="s">
        <v>3163</v>
      </c>
      <c r="S466" s="13" t="s">
        <v>33</v>
      </c>
      <c r="T466" s="13" t="s">
        <v>3224</v>
      </c>
      <c r="U466" s="13" t="s">
        <v>3164</v>
      </c>
      <c r="V466" s="13" t="s">
        <v>3164</v>
      </c>
      <c r="W466" s="13" t="s">
        <v>3167</v>
      </c>
      <c r="X466" s="13" t="s">
        <v>3170</v>
      </c>
      <c r="Y466" s="13" t="s">
        <v>3156</v>
      </c>
      <c r="Z466" s="13" t="s">
        <v>33</v>
      </c>
      <c r="AA466" s="13" t="b">
        <v>0</v>
      </c>
      <c r="AB466" s="48"/>
      <c r="AC466" s="49"/>
    </row>
    <row r="467" ht="14.25" customHeight="1">
      <c r="A467" s="13">
        <v>25753.0</v>
      </c>
      <c r="B467" s="13" t="str">
        <f t="shared" si="4"/>
        <v>Observational</v>
      </c>
      <c r="C467" s="13" t="s">
        <v>4856</v>
      </c>
      <c r="D467" s="1" t="s">
        <v>5245</v>
      </c>
      <c r="E467" s="13" t="s">
        <v>5214</v>
      </c>
      <c r="F467" s="13" t="s">
        <v>3186</v>
      </c>
      <c r="G467" s="13" t="s">
        <v>3265</v>
      </c>
      <c r="H467" s="13" t="s">
        <v>3166</v>
      </c>
      <c r="I467" s="13" t="s">
        <v>3157</v>
      </c>
      <c r="J467" s="13" t="s">
        <v>4320</v>
      </c>
      <c r="K467" s="13" t="s">
        <v>3153</v>
      </c>
      <c r="L467" s="13" t="s">
        <v>3169</v>
      </c>
      <c r="M467" s="13" t="s">
        <v>3331</v>
      </c>
      <c r="N467" s="13" t="s">
        <v>3162</v>
      </c>
      <c r="O467" s="13" t="s">
        <v>33</v>
      </c>
      <c r="P467" s="13">
        <v>1.0</v>
      </c>
      <c r="Q467" s="13" t="s">
        <v>3177</v>
      </c>
      <c r="R467" s="13" t="s">
        <v>3177</v>
      </c>
      <c r="S467" s="13" t="s">
        <v>33</v>
      </c>
      <c r="T467" s="13" t="s">
        <v>3224</v>
      </c>
      <c r="U467" s="13" t="s">
        <v>3164</v>
      </c>
      <c r="V467" s="13" t="s">
        <v>3164</v>
      </c>
      <c r="W467" s="13" t="s">
        <v>3167</v>
      </c>
      <c r="X467" s="13" t="s">
        <v>3211</v>
      </c>
      <c r="Y467" s="13" t="s">
        <v>3187</v>
      </c>
      <c r="Z467" s="13">
        <v>400.0</v>
      </c>
      <c r="AA467" s="13" t="b">
        <v>0</v>
      </c>
      <c r="AB467" s="48"/>
      <c r="AC467" s="49"/>
    </row>
    <row r="468" ht="14.25" customHeight="1">
      <c r="A468" s="13">
        <v>25888.0</v>
      </c>
      <c r="B468" s="13" t="str">
        <f t="shared" si="4"/>
        <v>Observational</v>
      </c>
      <c r="C468" s="13" t="s">
        <v>4856</v>
      </c>
      <c r="D468" s="1" t="s">
        <v>5245</v>
      </c>
      <c r="E468" s="13" t="s">
        <v>5214</v>
      </c>
      <c r="F468" s="13" t="s">
        <v>3381</v>
      </c>
      <c r="G468" s="13" t="s">
        <v>3183</v>
      </c>
      <c r="H468" s="13" t="s">
        <v>3166</v>
      </c>
      <c r="I468" s="13" t="s">
        <v>3157</v>
      </c>
      <c r="J468" s="13" t="s">
        <v>4374</v>
      </c>
      <c r="K468" s="13" t="s">
        <v>3153</v>
      </c>
      <c r="L468" s="13" t="s">
        <v>3169</v>
      </c>
      <c r="M468" s="13" t="s">
        <v>3331</v>
      </c>
      <c r="N468" s="13" t="s">
        <v>3162</v>
      </c>
      <c r="O468" s="13" t="s">
        <v>3724</v>
      </c>
      <c r="P468" s="13">
        <v>1.0</v>
      </c>
      <c r="Q468" s="13" t="s">
        <v>3177</v>
      </c>
      <c r="R468" s="13" t="s">
        <v>3163</v>
      </c>
      <c r="S468" s="13" t="s">
        <v>33</v>
      </c>
      <c r="T468" s="13" t="s">
        <v>3224</v>
      </c>
      <c r="U468" s="13" t="s">
        <v>3164</v>
      </c>
      <c r="V468" s="13" t="s">
        <v>3164</v>
      </c>
      <c r="W468" s="13" t="s">
        <v>3167</v>
      </c>
      <c r="X468" s="13" t="s">
        <v>3211</v>
      </c>
      <c r="Y468" s="13" t="s">
        <v>3156</v>
      </c>
      <c r="Z468" s="13" t="s">
        <v>33</v>
      </c>
      <c r="AA468" s="13" t="b">
        <v>0</v>
      </c>
      <c r="AB468" s="48"/>
      <c r="AC468" s="49"/>
    </row>
    <row r="469" ht="14.25" customHeight="1">
      <c r="A469" s="13">
        <v>25889.0</v>
      </c>
      <c r="B469" s="13" t="str">
        <f t="shared" si="4"/>
        <v>Observational</v>
      </c>
      <c r="C469" s="13" t="s">
        <v>4856</v>
      </c>
      <c r="D469" s="1" t="s">
        <v>5245</v>
      </c>
      <c r="E469" s="13" t="s">
        <v>5214</v>
      </c>
      <c r="F469" s="13" t="s">
        <v>3381</v>
      </c>
      <c r="G469" s="13" t="s">
        <v>3183</v>
      </c>
      <c r="H469" s="13" t="s">
        <v>3166</v>
      </c>
      <c r="I469" s="13" t="s">
        <v>3157</v>
      </c>
      <c r="J469" s="13" t="s">
        <v>4374</v>
      </c>
      <c r="K469" s="13" t="s">
        <v>3153</v>
      </c>
      <c r="L469" s="13" t="s">
        <v>3169</v>
      </c>
      <c r="M469" s="13" t="s">
        <v>3331</v>
      </c>
      <c r="N469" s="13" t="s">
        <v>3162</v>
      </c>
      <c r="O469" s="13" t="s">
        <v>3724</v>
      </c>
      <c r="P469" s="13">
        <v>1.0</v>
      </c>
      <c r="Q469" s="13" t="s">
        <v>3177</v>
      </c>
      <c r="R469" s="13" t="s">
        <v>3163</v>
      </c>
      <c r="S469" s="13" t="s">
        <v>33</v>
      </c>
      <c r="T469" s="13" t="s">
        <v>3224</v>
      </c>
      <c r="U469" s="13" t="s">
        <v>3164</v>
      </c>
      <c r="V469" s="13" t="s">
        <v>3164</v>
      </c>
      <c r="W469" s="13" t="s">
        <v>3167</v>
      </c>
      <c r="X469" s="13" t="s">
        <v>3211</v>
      </c>
      <c r="Y469" s="13" t="s">
        <v>3156</v>
      </c>
      <c r="Z469" s="13" t="s">
        <v>33</v>
      </c>
      <c r="AA469" s="13" t="b">
        <v>0</v>
      </c>
      <c r="AB469" s="48"/>
      <c r="AC469" s="49"/>
    </row>
    <row r="470" ht="14.25" customHeight="1">
      <c r="A470" s="13">
        <v>23891.0</v>
      </c>
      <c r="B470" s="2" t="s">
        <v>4904</v>
      </c>
      <c r="C470" s="13" t="s">
        <v>4856</v>
      </c>
      <c r="D470" s="1" t="s">
        <v>5245</v>
      </c>
      <c r="E470" s="13" t="s">
        <v>5214</v>
      </c>
      <c r="F470" s="13" t="s">
        <v>3173</v>
      </c>
      <c r="G470" s="13" t="s">
        <v>3173</v>
      </c>
      <c r="H470" s="13" t="s">
        <v>3166</v>
      </c>
      <c r="I470" s="13" t="s">
        <v>3167</v>
      </c>
      <c r="J470" s="13" t="s">
        <v>3167</v>
      </c>
      <c r="K470" s="13" t="s">
        <v>3315</v>
      </c>
      <c r="L470" s="13" t="s">
        <v>3169</v>
      </c>
      <c r="M470" s="13" t="s">
        <v>3331</v>
      </c>
      <c r="N470" s="13" t="s">
        <v>3162</v>
      </c>
      <c r="O470" s="13" t="s">
        <v>33</v>
      </c>
      <c r="P470" s="13">
        <v>1.0</v>
      </c>
      <c r="Q470" s="13" t="s">
        <v>3177</v>
      </c>
      <c r="R470" s="13" t="s">
        <v>3163</v>
      </c>
      <c r="S470" s="13" t="s">
        <v>33</v>
      </c>
      <c r="T470" s="13" t="s">
        <v>3224</v>
      </c>
      <c r="U470" s="13" t="s">
        <v>3215</v>
      </c>
      <c r="V470" s="13" t="s">
        <v>3215</v>
      </c>
      <c r="W470" s="13" t="s">
        <v>3167</v>
      </c>
      <c r="X470" s="13" t="s">
        <v>3217</v>
      </c>
      <c r="Y470" s="13" t="s">
        <v>3156</v>
      </c>
      <c r="Z470" s="13" t="s">
        <v>33</v>
      </c>
      <c r="AA470" s="13" t="b">
        <v>0</v>
      </c>
      <c r="AB470" s="48"/>
      <c r="AC470" s="49"/>
    </row>
    <row r="471" ht="14.25" customHeight="1">
      <c r="A471" s="13">
        <v>25619.0</v>
      </c>
      <c r="B471" s="13" t="str">
        <f t="shared" ref="B471:B578" si="5">K471</f>
        <v>Observational</v>
      </c>
      <c r="C471" s="13" t="s">
        <v>4856</v>
      </c>
      <c r="D471" s="1" t="s">
        <v>5246</v>
      </c>
      <c r="E471" s="13" t="s">
        <v>5223</v>
      </c>
      <c r="F471" s="13" t="s">
        <v>3381</v>
      </c>
      <c r="G471" s="13" t="s">
        <v>3186</v>
      </c>
      <c r="H471" s="13" t="s">
        <v>3166</v>
      </c>
      <c r="I471" s="13" t="s">
        <v>3157</v>
      </c>
      <c r="J471" s="13" t="s">
        <v>3307</v>
      </c>
      <c r="K471" s="13" t="s">
        <v>3153</v>
      </c>
      <c r="L471" s="13" t="s">
        <v>3169</v>
      </c>
      <c r="M471" s="13" t="s">
        <v>4280</v>
      </c>
      <c r="N471" s="13" t="s">
        <v>3162</v>
      </c>
      <c r="O471" s="13" t="s">
        <v>3689</v>
      </c>
      <c r="P471" s="13">
        <v>2.0</v>
      </c>
      <c r="Q471" s="13" t="s">
        <v>3160</v>
      </c>
      <c r="R471" s="13" t="s">
        <v>3163</v>
      </c>
      <c r="S471" s="13" t="s">
        <v>33</v>
      </c>
      <c r="T471" s="13" t="s">
        <v>3224</v>
      </c>
      <c r="U471" s="13" t="s">
        <v>3164</v>
      </c>
      <c r="V471" s="13" t="s">
        <v>3164</v>
      </c>
      <c r="W471" s="13" t="s">
        <v>3167</v>
      </c>
      <c r="X471" s="13" t="s">
        <v>3155</v>
      </c>
      <c r="Y471" s="13" t="s">
        <v>3156</v>
      </c>
      <c r="Z471" s="13" t="s">
        <v>33</v>
      </c>
      <c r="AA471" s="13" t="b">
        <v>0</v>
      </c>
      <c r="AB471" s="48"/>
      <c r="AC471" s="49"/>
    </row>
    <row r="472" ht="14.25" customHeight="1">
      <c r="A472" s="13">
        <v>24265.0</v>
      </c>
      <c r="B472" s="13" t="str">
        <f t="shared" si="5"/>
        <v>Observational</v>
      </c>
      <c r="C472" s="13" t="s">
        <v>4856</v>
      </c>
      <c r="D472" s="1" t="s">
        <v>5247</v>
      </c>
      <c r="E472" s="13" t="s">
        <v>5248</v>
      </c>
      <c r="F472" s="13" t="s">
        <v>3208</v>
      </c>
      <c r="G472" s="13" t="s">
        <v>3205</v>
      </c>
      <c r="H472" s="13" t="s">
        <v>3242</v>
      </c>
      <c r="I472" s="13" t="s">
        <v>3244</v>
      </c>
      <c r="J472" s="13" t="s">
        <v>3289</v>
      </c>
      <c r="K472" s="13" t="s">
        <v>3153</v>
      </c>
      <c r="L472" s="13" t="s">
        <v>3169</v>
      </c>
      <c r="M472" s="13" t="s">
        <v>3819</v>
      </c>
      <c r="N472" s="13" t="s">
        <v>3162</v>
      </c>
      <c r="O472" s="13" t="s">
        <v>3167</v>
      </c>
      <c r="P472" s="13">
        <v>3.0</v>
      </c>
      <c r="Q472" s="13" t="s">
        <v>3160</v>
      </c>
      <c r="R472" s="13" t="s">
        <v>3231</v>
      </c>
      <c r="S472" s="13" t="s">
        <v>33</v>
      </c>
      <c r="T472" s="13" t="s">
        <v>3167</v>
      </c>
      <c r="U472" s="13" t="s">
        <v>3197</v>
      </c>
      <c r="V472" s="13" t="s">
        <v>3197</v>
      </c>
      <c r="W472" s="13" t="s">
        <v>3248</v>
      </c>
      <c r="X472" s="13" t="s">
        <v>3192</v>
      </c>
      <c r="Y472" s="13" t="s">
        <v>3202</v>
      </c>
      <c r="Z472" s="13">
        <v>30.0</v>
      </c>
      <c r="AA472" s="13" t="b">
        <v>0</v>
      </c>
      <c r="AB472" s="48"/>
      <c r="AC472" s="49"/>
    </row>
    <row r="473" ht="14.25" customHeight="1">
      <c r="A473" s="13">
        <v>24750.0</v>
      </c>
      <c r="B473" s="13" t="str">
        <f t="shared" si="5"/>
        <v>Observational</v>
      </c>
      <c r="C473" s="13" t="s">
        <v>4856</v>
      </c>
      <c r="D473" s="1" t="s">
        <v>5056</v>
      </c>
      <c r="E473" s="13" t="s">
        <v>5249</v>
      </c>
      <c r="F473" s="13" t="s">
        <v>3381</v>
      </c>
      <c r="G473" s="13" t="s">
        <v>3183</v>
      </c>
      <c r="H473" s="13" t="s">
        <v>3166</v>
      </c>
      <c r="I473" s="13" t="s">
        <v>3222</v>
      </c>
      <c r="J473" s="13" t="s">
        <v>3182</v>
      </c>
      <c r="K473" s="13" t="s">
        <v>3153</v>
      </c>
      <c r="L473" s="13" t="s">
        <v>3169</v>
      </c>
      <c r="M473" s="13" t="s">
        <v>3230</v>
      </c>
      <c r="N473" s="13" t="s">
        <v>3175</v>
      </c>
      <c r="O473" s="13" t="s">
        <v>33</v>
      </c>
      <c r="P473" s="13">
        <v>1.0</v>
      </c>
      <c r="Q473" s="13" t="s">
        <v>3177</v>
      </c>
      <c r="R473" s="13" t="s">
        <v>3163</v>
      </c>
      <c r="S473" s="13" t="s">
        <v>33</v>
      </c>
      <c r="T473" s="13" t="s">
        <v>3178</v>
      </c>
      <c r="U473" s="13" t="s">
        <v>3164</v>
      </c>
      <c r="V473" s="13" t="s">
        <v>3164</v>
      </c>
      <c r="W473" s="13" t="s">
        <v>3167</v>
      </c>
      <c r="X473" s="13" t="s">
        <v>3192</v>
      </c>
      <c r="Y473" s="13" t="s">
        <v>3202</v>
      </c>
      <c r="Z473" s="13">
        <v>250.0</v>
      </c>
      <c r="AA473" s="13" t="b">
        <v>0</v>
      </c>
      <c r="AB473" s="48"/>
      <c r="AC473" s="49"/>
    </row>
    <row r="474" ht="14.25" customHeight="1">
      <c r="A474" s="13">
        <v>26120.0</v>
      </c>
      <c r="B474" s="13" t="str">
        <f t="shared" si="5"/>
        <v>Observational</v>
      </c>
      <c r="C474" s="13" t="s">
        <v>4856</v>
      </c>
      <c r="D474" s="1" t="s">
        <v>5056</v>
      </c>
      <c r="E474" s="13" t="s">
        <v>5249</v>
      </c>
      <c r="F474" s="13" t="s">
        <v>3186</v>
      </c>
      <c r="G474" s="13" t="s">
        <v>3159</v>
      </c>
      <c r="H474" s="13" t="s">
        <v>3166</v>
      </c>
      <c r="I474" s="13" t="s">
        <v>3188</v>
      </c>
      <c r="J474" s="13" t="s">
        <v>3432</v>
      </c>
      <c r="K474" s="13" t="s">
        <v>3153</v>
      </c>
      <c r="L474" s="13" t="s">
        <v>3169</v>
      </c>
      <c r="M474" s="13" t="s">
        <v>3230</v>
      </c>
      <c r="N474" s="13" t="s">
        <v>3175</v>
      </c>
      <c r="O474" s="13" t="s">
        <v>33</v>
      </c>
      <c r="P474" s="13">
        <v>1.0</v>
      </c>
      <c r="Q474" s="13" t="s">
        <v>3177</v>
      </c>
      <c r="R474" s="13" t="s">
        <v>3177</v>
      </c>
      <c r="S474" s="13" t="s">
        <v>33</v>
      </c>
      <c r="T474" s="13" t="s">
        <v>3178</v>
      </c>
      <c r="U474" s="13" t="s">
        <v>3164</v>
      </c>
      <c r="V474" s="13" t="s">
        <v>3164</v>
      </c>
      <c r="W474" s="13" t="s">
        <v>3167</v>
      </c>
      <c r="X474" s="13" t="s">
        <v>3170</v>
      </c>
      <c r="Y474" s="13" t="s">
        <v>3202</v>
      </c>
      <c r="Z474" s="13">
        <v>30.0</v>
      </c>
      <c r="AA474" s="13" t="b">
        <v>0</v>
      </c>
      <c r="AB474" s="48"/>
      <c r="AC474" s="49"/>
    </row>
    <row r="475" ht="14.25" customHeight="1">
      <c r="A475" s="13">
        <v>23064.0</v>
      </c>
      <c r="B475" s="13" t="str">
        <f t="shared" si="5"/>
        <v>Observational</v>
      </c>
      <c r="C475" s="13" t="s">
        <v>4856</v>
      </c>
      <c r="D475" s="1" t="s">
        <v>5056</v>
      </c>
      <c r="E475" s="13" t="s">
        <v>5249</v>
      </c>
      <c r="F475" s="13" t="s">
        <v>3159</v>
      </c>
      <c r="G475" s="13" t="s">
        <v>3159</v>
      </c>
      <c r="H475" s="13" t="s">
        <v>3166</v>
      </c>
      <c r="I475" s="13" t="s">
        <v>3222</v>
      </c>
      <c r="J475" s="13" t="s">
        <v>3229</v>
      </c>
      <c r="K475" s="13" t="s">
        <v>3153</v>
      </c>
      <c r="L475" s="13" t="s">
        <v>3169</v>
      </c>
      <c r="M475" s="13" t="s">
        <v>3230</v>
      </c>
      <c r="N475" s="13" t="s">
        <v>3162</v>
      </c>
      <c r="O475" s="13" t="s">
        <v>3167</v>
      </c>
      <c r="P475" s="13">
        <v>1.0</v>
      </c>
      <c r="Q475" s="13" t="s">
        <v>3160</v>
      </c>
      <c r="R475" s="13" t="s">
        <v>3231</v>
      </c>
      <c r="S475" s="13" t="s">
        <v>33</v>
      </c>
      <c r="T475" s="13" t="s">
        <v>3178</v>
      </c>
      <c r="U475" s="13" t="s">
        <v>3164</v>
      </c>
      <c r="V475" s="13" t="s">
        <v>3232</v>
      </c>
      <c r="W475" s="13" t="s">
        <v>3167</v>
      </c>
      <c r="X475" s="13" t="s">
        <v>3170</v>
      </c>
      <c r="Y475" s="13" t="s">
        <v>3156</v>
      </c>
      <c r="Z475" s="13" t="s">
        <v>33</v>
      </c>
      <c r="AA475" s="13" t="b">
        <v>0</v>
      </c>
      <c r="AB475" s="48"/>
      <c r="AC475" s="49"/>
    </row>
    <row r="476" ht="14.25" customHeight="1">
      <c r="A476" s="13">
        <v>23232.0</v>
      </c>
      <c r="B476" s="13" t="str">
        <f t="shared" si="5"/>
        <v>Observational</v>
      </c>
      <c r="C476" s="13" t="s">
        <v>4856</v>
      </c>
      <c r="D476" s="1" t="s">
        <v>5056</v>
      </c>
      <c r="E476" s="13" t="s">
        <v>5249</v>
      </c>
      <c r="F476" s="13" t="s">
        <v>3159</v>
      </c>
      <c r="G476" s="13" t="s">
        <v>3159</v>
      </c>
      <c r="H476" s="13" t="s">
        <v>3166</v>
      </c>
      <c r="I476" s="13" t="s">
        <v>3222</v>
      </c>
      <c r="J476" s="13" t="s">
        <v>3182</v>
      </c>
      <c r="K476" s="13" t="s">
        <v>3153</v>
      </c>
      <c r="L476" s="13" t="s">
        <v>3169</v>
      </c>
      <c r="M476" s="13" t="s">
        <v>3230</v>
      </c>
      <c r="N476" s="13" t="s">
        <v>3162</v>
      </c>
      <c r="O476" s="13" t="s">
        <v>33</v>
      </c>
      <c r="P476" s="13">
        <v>1.0</v>
      </c>
      <c r="Q476" s="13" t="s">
        <v>3160</v>
      </c>
      <c r="R476" s="13" t="s">
        <v>3163</v>
      </c>
      <c r="S476" s="13" t="s">
        <v>33</v>
      </c>
      <c r="T476" s="13" t="s">
        <v>3178</v>
      </c>
      <c r="U476" s="13" t="s">
        <v>3232</v>
      </c>
      <c r="V476" s="13" t="s">
        <v>3232</v>
      </c>
      <c r="W476" s="13" t="s">
        <v>3167</v>
      </c>
      <c r="X476" s="13" t="s">
        <v>3170</v>
      </c>
      <c r="Y476" s="13" t="s">
        <v>3202</v>
      </c>
      <c r="Z476" s="13">
        <v>30.0</v>
      </c>
      <c r="AA476" s="13" t="b">
        <v>0</v>
      </c>
      <c r="AB476" s="48"/>
      <c r="AC476" s="49"/>
    </row>
    <row r="477" ht="14.25" customHeight="1">
      <c r="A477" s="13">
        <v>23256.0</v>
      </c>
      <c r="B477" s="13" t="str">
        <f t="shared" si="5"/>
        <v>Observational</v>
      </c>
      <c r="C477" s="13" t="s">
        <v>4856</v>
      </c>
      <c r="D477" s="1" t="s">
        <v>5056</v>
      </c>
      <c r="E477" s="13" t="s">
        <v>5249</v>
      </c>
      <c r="F477" s="13" t="s">
        <v>3201</v>
      </c>
      <c r="G477" s="13" t="s">
        <v>3159</v>
      </c>
      <c r="H477" s="13" t="s">
        <v>3166</v>
      </c>
      <c r="I477" s="13" t="s">
        <v>3222</v>
      </c>
      <c r="J477" s="13" t="s">
        <v>3182</v>
      </c>
      <c r="K477" s="13" t="s">
        <v>3153</v>
      </c>
      <c r="L477" s="13" t="s">
        <v>3169</v>
      </c>
      <c r="M477" s="13" t="s">
        <v>3230</v>
      </c>
      <c r="N477" s="13" t="s">
        <v>3162</v>
      </c>
      <c r="O477" s="13" t="s">
        <v>33</v>
      </c>
      <c r="P477" s="13">
        <v>1.0</v>
      </c>
      <c r="Q477" s="13" t="s">
        <v>3177</v>
      </c>
      <c r="R477" s="13" t="s">
        <v>3163</v>
      </c>
      <c r="S477" s="13" t="s">
        <v>33</v>
      </c>
      <c r="T477" s="13" t="s">
        <v>3216</v>
      </c>
      <c r="U477" s="13" t="s">
        <v>3164</v>
      </c>
      <c r="V477" s="13" t="s">
        <v>3165</v>
      </c>
      <c r="W477" s="13" t="s">
        <v>3167</v>
      </c>
      <c r="X477" s="13" t="s">
        <v>3170</v>
      </c>
      <c r="Y477" s="13" t="s">
        <v>3156</v>
      </c>
      <c r="Z477" s="13" t="s">
        <v>3167</v>
      </c>
      <c r="AA477" s="13" t="b">
        <v>0</v>
      </c>
      <c r="AB477" s="48"/>
      <c r="AC477" s="49"/>
    </row>
    <row r="478" ht="14.25" customHeight="1">
      <c r="A478" s="13">
        <v>23340.0</v>
      </c>
      <c r="B478" s="13" t="str">
        <f t="shared" si="5"/>
        <v>Observational</v>
      </c>
      <c r="C478" s="13" t="s">
        <v>4856</v>
      </c>
      <c r="D478" s="1" t="s">
        <v>5056</v>
      </c>
      <c r="E478" s="13" t="s">
        <v>5249</v>
      </c>
      <c r="F478" s="13" t="s">
        <v>3159</v>
      </c>
      <c r="G478" s="13" t="s">
        <v>3159</v>
      </c>
      <c r="H478" s="13" t="s">
        <v>3166</v>
      </c>
      <c r="I478" s="13" t="s">
        <v>3188</v>
      </c>
      <c r="J478" s="13" t="s">
        <v>3207</v>
      </c>
      <c r="K478" s="13" t="s">
        <v>3153</v>
      </c>
      <c r="L478" s="13" t="s">
        <v>3169</v>
      </c>
      <c r="M478" s="13" t="s">
        <v>3230</v>
      </c>
      <c r="N478" s="13" t="s">
        <v>3162</v>
      </c>
      <c r="O478" s="13" t="s">
        <v>3167</v>
      </c>
      <c r="P478" s="13">
        <v>1.0</v>
      </c>
      <c r="Q478" s="13" t="s">
        <v>3160</v>
      </c>
      <c r="R478" s="13" t="s">
        <v>3260</v>
      </c>
      <c r="S478" s="13" t="s">
        <v>33</v>
      </c>
      <c r="T478" s="13" t="s">
        <v>3178</v>
      </c>
      <c r="U478" s="13" t="s">
        <v>3164</v>
      </c>
      <c r="V478" s="13" t="s">
        <v>3164</v>
      </c>
      <c r="W478" s="13" t="s">
        <v>3167</v>
      </c>
      <c r="X478" s="13" t="s">
        <v>3192</v>
      </c>
      <c r="Y478" s="13" t="s">
        <v>3187</v>
      </c>
      <c r="Z478" s="13">
        <v>100.0</v>
      </c>
      <c r="AA478" s="13" t="b">
        <v>0</v>
      </c>
      <c r="AB478" s="48"/>
      <c r="AC478" s="49"/>
    </row>
    <row r="479" ht="14.25" customHeight="1">
      <c r="A479" s="13">
        <v>23353.0</v>
      </c>
      <c r="B479" s="13" t="str">
        <f t="shared" si="5"/>
        <v>Observational</v>
      </c>
      <c r="C479" s="13" t="s">
        <v>4856</v>
      </c>
      <c r="D479" s="1" t="s">
        <v>5056</v>
      </c>
      <c r="E479" s="13" t="s">
        <v>5249</v>
      </c>
      <c r="F479" s="13" t="s">
        <v>3173</v>
      </c>
      <c r="G479" s="13" t="s">
        <v>3208</v>
      </c>
      <c r="H479" s="13" t="s">
        <v>3166</v>
      </c>
      <c r="I479" s="13" t="s">
        <v>3222</v>
      </c>
      <c r="J479" s="13" t="s">
        <v>3229</v>
      </c>
      <c r="K479" s="13" t="s">
        <v>3153</v>
      </c>
      <c r="L479" s="13" t="s">
        <v>3169</v>
      </c>
      <c r="M479" s="13" t="s">
        <v>3230</v>
      </c>
      <c r="N479" s="13" t="s">
        <v>3162</v>
      </c>
      <c r="O479" s="13" t="s">
        <v>33</v>
      </c>
      <c r="P479" s="13">
        <v>1.0</v>
      </c>
      <c r="Q479" s="13" t="s">
        <v>3160</v>
      </c>
      <c r="R479" s="13" t="s">
        <v>3163</v>
      </c>
      <c r="S479" s="13" t="s">
        <v>33</v>
      </c>
      <c r="T479" s="13" t="s">
        <v>3178</v>
      </c>
      <c r="U479" s="13" t="s">
        <v>3164</v>
      </c>
      <c r="V479" s="13" t="s">
        <v>3164</v>
      </c>
      <c r="W479" s="13" t="s">
        <v>3167</v>
      </c>
      <c r="X479" s="13" t="s">
        <v>3192</v>
      </c>
      <c r="Y479" s="13" t="s">
        <v>3156</v>
      </c>
      <c r="Z479" s="13" t="s">
        <v>33</v>
      </c>
      <c r="AA479" s="13" t="b">
        <v>0</v>
      </c>
      <c r="AB479" s="48"/>
      <c r="AC479" s="49"/>
    </row>
    <row r="480" ht="14.25" customHeight="1">
      <c r="A480" s="13">
        <v>23390.0</v>
      </c>
      <c r="B480" s="13" t="str">
        <f t="shared" si="5"/>
        <v>Observational</v>
      </c>
      <c r="C480" s="13" t="s">
        <v>4856</v>
      </c>
      <c r="D480" s="1" t="s">
        <v>5056</v>
      </c>
      <c r="E480" s="13" t="s">
        <v>5249</v>
      </c>
      <c r="F480" s="13" t="s">
        <v>3183</v>
      </c>
      <c r="G480" s="13" t="s">
        <v>3210</v>
      </c>
      <c r="H480" s="13" t="s">
        <v>3195</v>
      </c>
      <c r="I480" s="13" t="s">
        <v>3157</v>
      </c>
      <c r="J480" s="13" t="s">
        <v>3307</v>
      </c>
      <c r="K480" s="13" t="s">
        <v>3153</v>
      </c>
      <c r="L480" s="13" t="s">
        <v>3169</v>
      </c>
      <c r="M480" s="13" t="s">
        <v>3230</v>
      </c>
      <c r="N480" s="13" t="s">
        <v>3162</v>
      </c>
      <c r="O480" s="13" t="s">
        <v>3431</v>
      </c>
      <c r="P480" s="13">
        <v>1.0</v>
      </c>
      <c r="Q480" s="13" t="s">
        <v>3160</v>
      </c>
      <c r="R480" s="13" t="s">
        <v>3163</v>
      </c>
      <c r="S480" s="13" t="s">
        <v>33</v>
      </c>
      <c r="T480" s="13" t="s">
        <v>3167</v>
      </c>
      <c r="U480" s="13" t="s">
        <v>3195</v>
      </c>
      <c r="V480" s="13" t="s">
        <v>3195</v>
      </c>
      <c r="W480" s="13" t="s">
        <v>3167</v>
      </c>
      <c r="X480" s="13" t="s">
        <v>3155</v>
      </c>
      <c r="Y480" s="13" t="s">
        <v>3202</v>
      </c>
      <c r="Z480" s="13">
        <v>250.0</v>
      </c>
      <c r="AA480" s="13" t="b">
        <v>0</v>
      </c>
      <c r="AB480" s="48"/>
      <c r="AC480" s="49"/>
    </row>
    <row r="481" ht="14.25" customHeight="1">
      <c r="A481" s="13">
        <v>23490.0</v>
      </c>
      <c r="B481" s="13" t="str">
        <f t="shared" si="5"/>
        <v>Observational</v>
      </c>
      <c r="C481" s="13" t="s">
        <v>4856</v>
      </c>
      <c r="D481" s="1" t="s">
        <v>5056</v>
      </c>
      <c r="E481" s="13" t="s">
        <v>5249</v>
      </c>
      <c r="F481" s="13" t="s">
        <v>3173</v>
      </c>
      <c r="G481" s="13" t="s">
        <v>3183</v>
      </c>
      <c r="H481" s="13" t="s">
        <v>3166</v>
      </c>
      <c r="I481" s="13" t="s">
        <v>3167</v>
      </c>
      <c r="J481" s="13" t="s">
        <v>3167</v>
      </c>
      <c r="K481" s="13" t="s">
        <v>3153</v>
      </c>
      <c r="L481" s="13" t="s">
        <v>3169</v>
      </c>
      <c r="M481" s="13" t="s">
        <v>3230</v>
      </c>
      <c r="N481" s="13" t="s">
        <v>3162</v>
      </c>
      <c r="O481" s="13" t="s">
        <v>3167</v>
      </c>
      <c r="P481" s="13">
        <v>1.0</v>
      </c>
      <c r="Q481" s="13" t="s">
        <v>3177</v>
      </c>
      <c r="R481" s="13" t="s">
        <v>3260</v>
      </c>
      <c r="S481" s="13" t="s">
        <v>3397</v>
      </c>
      <c r="T481" s="13" t="s">
        <v>3178</v>
      </c>
      <c r="U481" s="13" t="s">
        <v>3164</v>
      </c>
      <c r="V481" s="13" t="s">
        <v>3165</v>
      </c>
      <c r="W481" s="13" t="s">
        <v>3167</v>
      </c>
      <c r="X481" s="13" t="s">
        <v>3217</v>
      </c>
      <c r="Y481" s="13" t="s">
        <v>3187</v>
      </c>
      <c r="Z481" s="13">
        <v>10000.0</v>
      </c>
      <c r="AA481" s="13" t="b">
        <v>0</v>
      </c>
      <c r="AB481" s="48"/>
      <c r="AC481" s="49"/>
    </row>
    <row r="482" ht="14.25" customHeight="1">
      <c r="A482" s="13">
        <v>23534.0</v>
      </c>
      <c r="B482" s="13" t="str">
        <f t="shared" si="5"/>
        <v>Observational</v>
      </c>
      <c r="C482" s="13" t="s">
        <v>4856</v>
      </c>
      <c r="D482" s="1" t="s">
        <v>5056</v>
      </c>
      <c r="E482" s="13" t="s">
        <v>5249</v>
      </c>
      <c r="F482" s="13" t="s">
        <v>3290</v>
      </c>
      <c r="G482" s="13" t="s">
        <v>3173</v>
      </c>
      <c r="H482" s="13" t="s">
        <v>3166</v>
      </c>
      <c r="I482" s="13" t="s">
        <v>3222</v>
      </c>
      <c r="J482" s="13" t="s">
        <v>3229</v>
      </c>
      <c r="K482" s="13" t="s">
        <v>3153</v>
      </c>
      <c r="L482" s="13" t="s">
        <v>3169</v>
      </c>
      <c r="M482" s="13" t="s">
        <v>3230</v>
      </c>
      <c r="N482" s="13" t="s">
        <v>3162</v>
      </c>
      <c r="O482" s="13" t="s">
        <v>3167</v>
      </c>
      <c r="P482" s="13">
        <v>1.0</v>
      </c>
      <c r="Q482" s="13" t="s">
        <v>3177</v>
      </c>
      <c r="R482" s="13" t="s">
        <v>3231</v>
      </c>
      <c r="S482" s="13" t="s">
        <v>33</v>
      </c>
      <c r="T482" s="13" t="s">
        <v>3216</v>
      </c>
      <c r="U482" s="13" t="s">
        <v>3164</v>
      </c>
      <c r="V482" s="13" t="s">
        <v>3164</v>
      </c>
      <c r="W482" s="13" t="s">
        <v>3167</v>
      </c>
      <c r="X482" s="13" t="s">
        <v>3170</v>
      </c>
      <c r="Y482" s="13" t="s">
        <v>3202</v>
      </c>
      <c r="Z482" s="13">
        <v>0.3</v>
      </c>
      <c r="AA482" s="13" t="b">
        <v>0</v>
      </c>
      <c r="AB482" s="48"/>
      <c r="AC482" s="49"/>
    </row>
    <row r="483" ht="14.25" customHeight="1">
      <c r="A483" s="13">
        <v>23647.0</v>
      </c>
      <c r="B483" s="13" t="str">
        <f t="shared" si="5"/>
        <v>Observational</v>
      </c>
      <c r="C483" s="13" t="s">
        <v>4856</v>
      </c>
      <c r="D483" s="1" t="s">
        <v>5056</v>
      </c>
      <c r="E483" s="13" t="s">
        <v>5249</v>
      </c>
      <c r="F483" s="13" t="s">
        <v>3159</v>
      </c>
      <c r="G483" s="13" t="s">
        <v>3159</v>
      </c>
      <c r="H483" s="13" t="s">
        <v>3166</v>
      </c>
      <c r="I483" s="13" t="s">
        <v>3157</v>
      </c>
      <c r="J483" s="13" t="s">
        <v>3199</v>
      </c>
      <c r="K483" s="13" t="s">
        <v>3153</v>
      </c>
      <c r="L483" s="13" t="s">
        <v>3169</v>
      </c>
      <c r="M483" s="13" t="s">
        <v>3230</v>
      </c>
      <c r="N483" s="13" t="s">
        <v>3162</v>
      </c>
      <c r="O483" s="13" t="s">
        <v>33</v>
      </c>
      <c r="P483" s="13">
        <v>1.0</v>
      </c>
      <c r="Q483" s="13" t="s">
        <v>3177</v>
      </c>
      <c r="R483" s="13" t="s">
        <v>3177</v>
      </c>
      <c r="S483" s="13" t="s">
        <v>33</v>
      </c>
      <c r="T483" s="13" t="s">
        <v>3558</v>
      </c>
      <c r="U483" s="13" t="s">
        <v>3228</v>
      </c>
      <c r="V483" s="13" t="s">
        <v>3197</v>
      </c>
      <c r="W483" s="13" t="s">
        <v>3167</v>
      </c>
      <c r="X483" s="13" t="s">
        <v>3170</v>
      </c>
      <c r="Y483" s="13" t="s">
        <v>3156</v>
      </c>
      <c r="Z483" s="13" t="s">
        <v>33</v>
      </c>
      <c r="AA483" s="13" t="b">
        <v>0</v>
      </c>
      <c r="AB483" s="48"/>
      <c r="AC483" s="49"/>
    </row>
    <row r="484" ht="14.25" customHeight="1">
      <c r="A484" s="13">
        <v>23664.0</v>
      </c>
      <c r="B484" s="13" t="str">
        <f t="shared" si="5"/>
        <v>Observational</v>
      </c>
      <c r="C484" s="13" t="s">
        <v>4856</v>
      </c>
      <c r="D484" s="1" t="s">
        <v>5056</v>
      </c>
      <c r="E484" s="13" t="s">
        <v>5249</v>
      </c>
      <c r="F484" s="13" t="s">
        <v>3183</v>
      </c>
      <c r="G484" s="13" t="s">
        <v>3183</v>
      </c>
      <c r="H484" s="13" t="s">
        <v>3166</v>
      </c>
      <c r="I484" s="13" t="s">
        <v>3188</v>
      </c>
      <c r="J484" s="13" t="s">
        <v>3207</v>
      </c>
      <c r="K484" s="13" t="s">
        <v>3153</v>
      </c>
      <c r="L484" s="13" t="s">
        <v>3169</v>
      </c>
      <c r="M484" s="13" t="s">
        <v>3230</v>
      </c>
      <c r="N484" s="13" t="s">
        <v>3162</v>
      </c>
      <c r="O484" s="13" t="s">
        <v>3563</v>
      </c>
      <c r="P484" s="13">
        <v>1.0</v>
      </c>
      <c r="Q484" s="13" t="s">
        <v>3177</v>
      </c>
      <c r="R484" s="13" t="s">
        <v>3177</v>
      </c>
      <c r="S484" s="13" t="s">
        <v>33</v>
      </c>
      <c r="T484" s="13" t="s">
        <v>3178</v>
      </c>
      <c r="U484" s="13" t="s">
        <v>3164</v>
      </c>
      <c r="V484" s="13" t="s">
        <v>3164</v>
      </c>
      <c r="W484" s="13" t="s">
        <v>3167</v>
      </c>
      <c r="X484" s="13" t="s">
        <v>3170</v>
      </c>
      <c r="Y484" s="13" t="s">
        <v>3156</v>
      </c>
      <c r="Z484" s="13" t="s">
        <v>33</v>
      </c>
      <c r="AA484" s="13" t="b">
        <v>0</v>
      </c>
      <c r="AB484" s="48"/>
      <c r="AC484" s="49"/>
    </row>
    <row r="485" ht="14.25" customHeight="1">
      <c r="A485" s="13">
        <v>23689.0</v>
      </c>
      <c r="B485" s="13" t="str">
        <f t="shared" si="5"/>
        <v>Observational</v>
      </c>
      <c r="C485" s="13" t="s">
        <v>4856</v>
      </c>
      <c r="D485" s="1" t="s">
        <v>5056</v>
      </c>
      <c r="E485" s="13" t="s">
        <v>5249</v>
      </c>
      <c r="F485" s="13" t="s">
        <v>3183</v>
      </c>
      <c r="G485" s="13" t="s">
        <v>3183</v>
      </c>
      <c r="H485" s="13" t="s">
        <v>3166</v>
      </c>
      <c r="I485" s="13" t="s">
        <v>3157</v>
      </c>
      <c r="J485" s="13" t="s">
        <v>3348</v>
      </c>
      <c r="K485" s="13" t="s">
        <v>3153</v>
      </c>
      <c r="L485" s="13" t="s">
        <v>3169</v>
      </c>
      <c r="M485" s="13" t="s">
        <v>3230</v>
      </c>
      <c r="N485" s="13" t="s">
        <v>3162</v>
      </c>
      <c r="O485" s="13" t="s">
        <v>3575</v>
      </c>
      <c r="P485" s="13">
        <v>1.0</v>
      </c>
      <c r="Q485" s="13" t="s">
        <v>3160</v>
      </c>
      <c r="R485" s="13" t="s">
        <v>3231</v>
      </c>
      <c r="S485" s="13" t="s">
        <v>3576</v>
      </c>
      <c r="T485" s="13" t="s">
        <v>3216</v>
      </c>
      <c r="U485" s="13" t="s">
        <v>3232</v>
      </c>
      <c r="V485" s="13" t="s">
        <v>3232</v>
      </c>
      <c r="W485" s="13" t="s">
        <v>3167</v>
      </c>
      <c r="X485" s="13" t="s">
        <v>3192</v>
      </c>
      <c r="Y485" s="13" t="s">
        <v>3187</v>
      </c>
      <c r="Z485" s="13">
        <v>1.0</v>
      </c>
      <c r="AA485" s="13" t="b">
        <v>0</v>
      </c>
      <c r="AB485" s="48"/>
      <c r="AC485" s="49"/>
    </row>
    <row r="486" ht="14.25" customHeight="1">
      <c r="A486" s="13">
        <v>23833.0</v>
      </c>
      <c r="B486" s="13" t="str">
        <f t="shared" si="5"/>
        <v>Observational</v>
      </c>
      <c r="C486" s="13" t="s">
        <v>4856</v>
      </c>
      <c r="D486" s="1" t="s">
        <v>5056</v>
      </c>
      <c r="E486" s="13" t="s">
        <v>5249</v>
      </c>
      <c r="F486" s="13" t="s">
        <v>3208</v>
      </c>
      <c r="G486" s="13" t="s">
        <v>3290</v>
      </c>
      <c r="H486" s="13" t="s">
        <v>3253</v>
      </c>
      <c r="I486" s="13" t="s">
        <v>3188</v>
      </c>
      <c r="J486" s="13" t="s">
        <v>3404</v>
      </c>
      <c r="K486" s="13" t="s">
        <v>3153</v>
      </c>
      <c r="L486" s="13" t="s">
        <v>3169</v>
      </c>
      <c r="M486" s="13" t="s">
        <v>3230</v>
      </c>
      <c r="N486" s="13" t="s">
        <v>3162</v>
      </c>
      <c r="O486" s="13" t="s">
        <v>33</v>
      </c>
      <c r="P486" s="13">
        <v>1.0</v>
      </c>
      <c r="Q486" s="13" t="s">
        <v>3160</v>
      </c>
      <c r="R486" s="13" t="s">
        <v>3163</v>
      </c>
      <c r="S486" s="13" t="s">
        <v>33</v>
      </c>
      <c r="T486" s="13" t="s">
        <v>3178</v>
      </c>
      <c r="U486" s="13" t="s">
        <v>3252</v>
      </c>
      <c r="V486" s="13" t="s">
        <v>3252</v>
      </c>
      <c r="W486" s="13" t="s">
        <v>3248</v>
      </c>
      <c r="X486" s="13" t="s">
        <v>3170</v>
      </c>
      <c r="Y486" s="13" t="s">
        <v>3202</v>
      </c>
      <c r="Z486" s="13">
        <v>15.0</v>
      </c>
      <c r="AA486" s="13" t="b">
        <v>0</v>
      </c>
      <c r="AB486" s="48"/>
      <c r="AC486" s="49"/>
    </row>
    <row r="487" ht="14.25" customHeight="1">
      <c r="A487" s="13">
        <v>23855.0</v>
      </c>
      <c r="B487" s="13" t="str">
        <f t="shared" si="5"/>
        <v>Observational</v>
      </c>
      <c r="C487" s="13" t="s">
        <v>4856</v>
      </c>
      <c r="D487" s="1" t="s">
        <v>5056</v>
      </c>
      <c r="E487" s="13" t="s">
        <v>5249</v>
      </c>
      <c r="F487" s="13" t="s">
        <v>3651</v>
      </c>
      <c r="G487" s="13" t="s">
        <v>3651</v>
      </c>
      <c r="H487" s="13" t="s">
        <v>3166</v>
      </c>
      <c r="I487" s="13" t="s">
        <v>3157</v>
      </c>
      <c r="J487" s="13" t="s">
        <v>3307</v>
      </c>
      <c r="K487" s="13" t="s">
        <v>3153</v>
      </c>
      <c r="L487" s="13" t="s">
        <v>3169</v>
      </c>
      <c r="M487" s="13" t="s">
        <v>3230</v>
      </c>
      <c r="N487" s="13" t="s">
        <v>3162</v>
      </c>
      <c r="O487" s="13" t="s">
        <v>3652</v>
      </c>
      <c r="P487" s="13">
        <v>1.0</v>
      </c>
      <c r="Q487" s="13" t="s">
        <v>3160</v>
      </c>
      <c r="R487" s="13" t="s">
        <v>3163</v>
      </c>
      <c r="S487" s="13" t="s">
        <v>3652</v>
      </c>
      <c r="T487" s="13" t="s">
        <v>3178</v>
      </c>
      <c r="U487" s="13" t="s">
        <v>3164</v>
      </c>
      <c r="V487" s="13" t="s">
        <v>3164</v>
      </c>
      <c r="W487" s="13" t="s">
        <v>3167</v>
      </c>
      <c r="X487" s="13" t="s">
        <v>3192</v>
      </c>
      <c r="Y487" s="13" t="s">
        <v>3202</v>
      </c>
      <c r="Z487" s="13">
        <v>40.0</v>
      </c>
      <c r="AA487" s="13" t="b">
        <v>0</v>
      </c>
      <c r="AB487" s="48"/>
      <c r="AC487" s="49"/>
    </row>
    <row r="488" ht="14.25" customHeight="1">
      <c r="A488" s="13">
        <v>23856.0</v>
      </c>
      <c r="B488" s="13" t="str">
        <f t="shared" si="5"/>
        <v>Observational</v>
      </c>
      <c r="C488" s="13" t="s">
        <v>4856</v>
      </c>
      <c r="D488" s="1" t="s">
        <v>5056</v>
      </c>
      <c r="E488" s="13" t="s">
        <v>5249</v>
      </c>
      <c r="F488" s="13" t="s">
        <v>3381</v>
      </c>
      <c r="G488" s="13" t="s">
        <v>3183</v>
      </c>
      <c r="H488" s="13" t="s">
        <v>3166</v>
      </c>
      <c r="I488" s="13" t="s">
        <v>3157</v>
      </c>
      <c r="J488" s="13" t="s">
        <v>3307</v>
      </c>
      <c r="K488" s="13" t="s">
        <v>3153</v>
      </c>
      <c r="L488" s="13" t="s">
        <v>3169</v>
      </c>
      <c r="M488" s="13" t="s">
        <v>3230</v>
      </c>
      <c r="N488" s="13" t="s">
        <v>3162</v>
      </c>
      <c r="O488" s="13" t="s">
        <v>3653</v>
      </c>
      <c r="P488" s="13">
        <v>1.0</v>
      </c>
      <c r="Q488" s="13" t="s">
        <v>3160</v>
      </c>
      <c r="R488" s="13" t="s">
        <v>3163</v>
      </c>
      <c r="S488" s="13" t="s">
        <v>3653</v>
      </c>
      <c r="T488" s="13" t="s">
        <v>3178</v>
      </c>
      <c r="U488" s="13" t="s">
        <v>3164</v>
      </c>
      <c r="V488" s="13" t="s">
        <v>3164</v>
      </c>
      <c r="W488" s="13" t="s">
        <v>3167</v>
      </c>
      <c r="X488" s="13" t="s">
        <v>3192</v>
      </c>
      <c r="Y488" s="13" t="s">
        <v>3187</v>
      </c>
      <c r="Z488" s="13">
        <v>1.0</v>
      </c>
      <c r="AA488" s="13" t="b">
        <v>0</v>
      </c>
      <c r="AB488" s="48"/>
      <c r="AC488" s="49"/>
    </row>
    <row r="489" ht="14.25" customHeight="1">
      <c r="A489" s="13">
        <v>23871.0</v>
      </c>
      <c r="B489" s="13" t="str">
        <f t="shared" si="5"/>
        <v>Observational</v>
      </c>
      <c r="C489" s="13" t="s">
        <v>4856</v>
      </c>
      <c r="D489" s="1" t="s">
        <v>5056</v>
      </c>
      <c r="E489" s="13" t="s">
        <v>5249</v>
      </c>
      <c r="F489" s="13" t="s">
        <v>3183</v>
      </c>
      <c r="G489" s="13" t="s">
        <v>3183</v>
      </c>
      <c r="H489" s="13" t="s">
        <v>3166</v>
      </c>
      <c r="I489" s="13" t="s">
        <v>3157</v>
      </c>
      <c r="J489" s="13" t="s">
        <v>3307</v>
      </c>
      <c r="K489" s="13" t="s">
        <v>3153</v>
      </c>
      <c r="L489" s="13" t="s">
        <v>3169</v>
      </c>
      <c r="M489" s="13" t="s">
        <v>3230</v>
      </c>
      <c r="N489" s="13" t="s">
        <v>3162</v>
      </c>
      <c r="O489" s="13" t="s">
        <v>33</v>
      </c>
      <c r="P489" s="13">
        <v>1.0</v>
      </c>
      <c r="Q489" s="13" t="s">
        <v>3160</v>
      </c>
      <c r="R489" s="13" t="s">
        <v>3163</v>
      </c>
      <c r="S489" s="13" t="s">
        <v>33</v>
      </c>
      <c r="T489" s="13" t="s">
        <v>3178</v>
      </c>
      <c r="U489" s="13" t="s">
        <v>3232</v>
      </c>
      <c r="V489" s="13" t="s">
        <v>3232</v>
      </c>
      <c r="W489" s="13" t="s">
        <v>3167</v>
      </c>
      <c r="X489" s="13" t="s">
        <v>3192</v>
      </c>
      <c r="Y489" s="13" t="s">
        <v>3156</v>
      </c>
      <c r="Z489" s="13" t="s">
        <v>33</v>
      </c>
      <c r="AA489" s="13" t="b">
        <v>0</v>
      </c>
      <c r="AB489" s="48"/>
      <c r="AC489" s="49"/>
    </row>
    <row r="490" ht="14.25" customHeight="1">
      <c r="A490" s="13">
        <v>23903.0</v>
      </c>
      <c r="B490" s="13" t="str">
        <f t="shared" si="5"/>
        <v>Observational</v>
      </c>
      <c r="C490" s="13" t="s">
        <v>4856</v>
      </c>
      <c r="D490" s="1" t="s">
        <v>5056</v>
      </c>
      <c r="E490" s="13" t="s">
        <v>5249</v>
      </c>
      <c r="F490" s="13" t="s">
        <v>3159</v>
      </c>
      <c r="G490" s="13" t="s">
        <v>3159</v>
      </c>
      <c r="H490" s="13" t="s">
        <v>3166</v>
      </c>
      <c r="I490" s="13" t="s">
        <v>3244</v>
      </c>
      <c r="J490" s="13" t="s">
        <v>3345</v>
      </c>
      <c r="K490" s="13" t="s">
        <v>3153</v>
      </c>
      <c r="L490" s="13" t="s">
        <v>3169</v>
      </c>
      <c r="M490" s="13" t="s">
        <v>3230</v>
      </c>
      <c r="N490" s="13" t="s">
        <v>3162</v>
      </c>
      <c r="O490" s="13" t="s">
        <v>33</v>
      </c>
      <c r="P490" s="13">
        <v>1.0</v>
      </c>
      <c r="Q490" s="13" t="s">
        <v>3177</v>
      </c>
      <c r="R490" s="13" t="s">
        <v>3177</v>
      </c>
      <c r="S490" s="13" t="s">
        <v>33</v>
      </c>
      <c r="T490" s="13" t="s">
        <v>3673</v>
      </c>
      <c r="U490" s="13" t="s">
        <v>3197</v>
      </c>
      <c r="V490" s="13" t="s">
        <v>3197</v>
      </c>
      <c r="W490" s="13" t="s">
        <v>3167</v>
      </c>
      <c r="X490" s="13" t="s">
        <v>3170</v>
      </c>
      <c r="Y490" s="13" t="s">
        <v>3156</v>
      </c>
      <c r="Z490" s="13" t="s">
        <v>33</v>
      </c>
      <c r="AA490" s="13" t="b">
        <v>0</v>
      </c>
      <c r="AB490" s="48"/>
      <c r="AC490" s="49"/>
    </row>
    <row r="491" ht="14.25" customHeight="1">
      <c r="A491" s="13">
        <v>23992.0</v>
      </c>
      <c r="B491" s="13" t="str">
        <f t="shared" si="5"/>
        <v>Observational</v>
      </c>
      <c r="C491" s="13" t="s">
        <v>4856</v>
      </c>
      <c r="D491" s="1" t="s">
        <v>5056</v>
      </c>
      <c r="E491" s="13" t="s">
        <v>5249</v>
      </c>
      <c r="F491" s="13" t="s">
        <v>3159</v>
      </c>
      <c r="G491" s="13" t="s">
        <v>3159</v>
      </c>
      <c r="H491" s="13" t="s">
        <v>3166</v>
      </c>
      <c r="I491" s="13" t="s">
        <v>3244</v>
      </c>
      <c r="J491" s="13" t="s">
        <v>3345</v>
      </c>
      <c r="K491" s="13" t="s">
        <v>3153</v>
      </c>
      <c r="L491" s="13" t="s">
        <v>3169</v>
      </c>
      <c r="M491" s="13" t="s">
        <v>3230</v>
      </c>
      <c r="N491" s="13" t="s">
        <v>3162</v>
      </c>
      <c r="O491" s="13" t="s">
        <v>33</v>
      </c>
      <c r="P491" s="13">
        <v>1.0</v>
      </c>
      <c r="Q491" s="13" t="s">
        <v>3177</v>
      </c>
      <c r="R491" s="13" t="s">
        <v>3177</v>
      </c>
      <c r="S491" s="13" t="s">
        <v>33</v>
      </c>
      <c r="T491" s="13" t="s">
        <v>3224</v>
      </c>
      <c r="U491" s="13" t="s">
        <v>3232</v>
      </c>
      <c r="V491" s="13" t="s">
        <v>3232</v>
      </c>
      <c r="W491" s="13" t="s">
        <v>3167</v>
      </c>
      <c r="X491" s="13" t="s">
        <v>3170</v>
      </c>
      <c r="Y491" s="13" t="s">
        <v>3156</v>
      </c>
      <c r="Z491" s="13" t="s">
        <v>33</v>
      </c>
      <c r="AA491" s="13" t="b">
        <v>0</v>
      </c>
      <c r="AB491" s="48"/>
      <c r="AC491" s="49"/>
    </row>
    <row r="492" ht="14.25" customHeight="1">
      <c r="A492" s="13">
        <v>24003.0</v>
      </c>
      <c r="B492" s="13" t="str">
        <f t="shared" si="5"/>
        <v>Observational</v>
      </c>
      <c r="C492" s="13" t="s">
        <v>4856</v>
      </c>
      <c r="D492" s="1" t="s">
        <v>5056</v>
      </c>
      <c r="E492" s="13" t="s">
        <v>5249</v>
      </c>
      <c r="F492" s="13" t="s">
        <v>3381</v>
      </c>
      <c r="G492" s="13" t="s">
        <v>3183</v>
      </c>
      <c r="H492" s="13" t="s">
        <v>3166</v>
      </c>
      <c r="I492" s="13" t="s">
        <v>3157</v>
      </c>
      <c r="J492" s="13" t="s">
        <v>3199</v>
      </c>
      <c r="K492" s="13" t="s">
        <v>3153</v>
      </c>
      <c r="L492" s="13" t="s">
        <v>3169</v>
      </c>
      <c r="M492" s="13" t="s">
        <v>3230</v>
      </c>
      <c r="N492" s="13" t="s">
        <v>3162</v>
      </c>
      <c r="O492" s="13" t="s">
        <v>3723</v>
      </c>
      <c r="P492" s="13">
        <v>1.0</v>
      </c>
      <c r="Q492" s="13" t="s">
        <v>3160</v>
      </c>
      <c r="R492" s="13" t="s">
        <v>3231</v>
      </c>
      <c r="S492" s="13" t="s">
        <v>3724</v>
      </c>
      <c r="T492" s="13" t="s">
        <v>3178</v>
      </c>
      <c r="U492" s="13" t="s">
        <v>3164</v>
      </c>
      <c r="V492" s="13" t="s">
        <v>3164</v>
      </c>
      <c r="W492" s="13" t="s">
        <v>3167</v>
      </c>
      <c r="X492" s="13" t="s">
        <v>3192</v>
      </c>
      <c r="Y492" s="13" t="s">
        <v>3156</v>
      </c>
      <c r="Z492" s="13" t="s">
        <v>3167</v>
      </c>
      <c r="AA492" s="13" t="b">
        <v>0</v>
      </c>
      <c r="AB492" s="48"/>
      <c r="AC492" s="49"/>
    </row>
    <row r="493" ht="14.25" customHeight="1">
      <c r="A493" s="13">
        <v>24042.0</v>
      </c>
      <c r="B493" s="13" t="str">
        <f t="shared" si="5"/>
        <v>Observational</v>
      </c>
      <c r="C493" s="13" t="s">
        <v>4856</v>
      </c>
      <c r="D493" s="1" t="s">
        <v>5056</v>
      </c>
      <c r="E493" s="13" t="s">
        <v>5249</v>
      </c>
      <c r="F493" s="13" t="s">
        <v>3159</v>
      </c>
      <c r="G493" s="13" t="s">
        <v>3159</v>
      </c>
      <c r="H493" s="13" t="s">
        <v>3166</v>
      </c>
      <c r="I493" s="13" t="s">
        <v>3157</v>
      </c>
      <c r="J493" s="13" t="s">
        <v>3348</v>
      </c>
      <c r="K493" s="13" t="s">
        <v>3153</v>
      </c>
      <c r="L493" s="13" t="s">
        <v>3169</v>
      </c>
      <c r="M493" s="13" t="s">
        <v>3230</v>
      </c>
      <c r="N493" s="13" t="s">
        <v>3162</v>
      </c>
      <c r="O493" s="13" t="s">
        <v>33</v>
      </c>
      <c r="P493" s="13">
        <v>1.0</v>
      </c>
      <c r="Q493" s="13" t="s">
        <v>3177</v>
      </c>
      <c r="R493" s="13" t="s">
        <v>3163</v>
      </c>
      <c r="S493" s="13" t="s">
        <v>33</v>
      </c>
      <c r="T493" s="13" t="s">
        <v>3178</v>
      </c>
      <c r="U493" s="13" t="s">
        <v>3164</v>
      </c>
      <c r="V493" s="13" t="s">
        <v>3164</v>
      </c>
      <c r="W493" s="13" t="s">
        <v>3167</v>
      </c>
      <c r="X493" s="13" t="s">
        <v>3192</v>
      </c>
      <c r="Y493" s="13" t="s">
        <v>3202</v>
      </c>
      <c r="Z493" s="13">
        <v>10.0</v>
      </c>
      <c r="AA493" s="13" t="b">
        <v>0</v>
      </c>
      <c r="AB493" s="48"/>
      <c r="AC493" s="49"/>
    </row>
    <row r="494" ht="14.25" customHeight="1">
      <c r="A494" s="13">
        <v>24065.0</v>
      </c>
      <c r="B494" s="13" t="str">
        <f t="shared" si="5"/>
        <v>Observational</v>
      </c>
      <c r="C494" s="13" t="s">
        <v>4856</v>
      </c>
      <c r="D494" s="1" t="s">
        <v>5056</v>
      </c>
      <c r="E494" s="13" t="s">
        <v>5249</v>
      </c>
      <c r="F494" s="13" t="s">
        <v>3338</v>
      </c>
      <c r="G494" s="13" t="s">
        <v>3338</v>
      </c>
      <c r="H494" s="13" t="s">
        <v>3166</v>
      </c>
      <c r="I494" s="13" t="s">
        <v>3244</v>
      </c>
      <c r="J494" s="13" t="s">
        <v>3289</v>
      </c>
      <c r="K494" s="13" t="s">
        <v>3153</v>
      </c>
      <c r="L494" s="13" t="s">
        <v>3169</v>
      </c>
      <c r="M494" s="13" t="s">
        <v>3230</v>
      </c>
      <c r="N494" s="13" t="s">
        <v>3162</v>
      </c>
      <c r="O494" s="13" t="s">
        <v>3167</v>
      </c>
      <c r="P494" s="13">
        <v>1.0</v>
      </c>
      <c r="Q494" s="13" t="s">
        <v>3177</v>
      </c>
      <c r="R494" s="13" t="s">
        <v>3260</v>
      </c>
      <c r="S494" s="13" t="s">
        <v>33</v>
      </c>
      <c r="T494" s="13" t="s">
        <v>3518</v>
      </c>
      <c r="U494" s="13" t="s">
        <v>3232</v>
      </c>
      <c r="V494" s="13" t="s">
        <v>3197</v>
      </c>
      <c r="W494" s="13" t="s">
        <v>3167</v>
      </c>
      <c r="X494" s="13" t="s">
        <v>3155</v>
      </c>
      <c r="Y494" s="13" t="s">
        <v>3180</v>
      </c>
      <c r="Z494" s="13">
        <v>1.0</v>
      </c>
      <c r="AA494" s="13" t="b">
        <v>0</v>
      </c>
      <c r="AB494" s="48"/>
      <c r="AC494" s="49"/>
    </row>
    <row r="495" ht="14.25" customHeight="1">
      <c r="A495" s="13">
        <v>24110.0</v>
      </c>
      <c r="B495" s="13" t="str">
        <f t="shared" si="5"/>
        <v>Observational</v>
      </c>
      <c r="C495" s="13" t="s">
        <v>4856</v>
      </c>
      <c r="D495" s="1" t="s">
        <v>5056</v>
      </c>
      <c r="E495" s="13" t="s">
        <v>5249</v>
      </c>
      <c r="F495" s="13" t="s">
        <v>3381</v>
      </c>
      <c r="G495" s="13" t="s">
        <v>3183</v>
      </c>
      <c r="H495" s="13" t="s">
        <v>3166</v>
      </c>
      <c r="I495" s="13" t="s">
        <v>3222</v>
      </c>
      <c r="J495" s="13" t="s">
        <v>3229</v>
      </c>
      <c r="K495" s="13" t="s">
        <v>3153</v>
      </c>
      <c r="L495" s="13" t="s">
        <v>3169</v>
      </c>
      <c r="M495" s="13" t="s">
        <v>3230</v>
      </c>
      <c r="N495" s="13" t="s">
        <v>3162</v>
      </c>
      <c r="O495" s="13" t="s">
        <v>3748</v>
      </c>
      <c r="P495" s="13">
        <v>1.0</v>
      </c>
      <c r="Q495" s="13" t="s">
        <v>3160</v>
      </c>
      <c r="R495" s="13" t="s">
        <v>3231</v>
      </c>
      <c r="S495" s="13" t="s">
        <v>33</v>
      </c>
      <c r="T495" s="13" t="s">
        <v>3749</v>
      </c>
      <c r="U495" s="13" t="s">
        <v>3232</v>
      </c>
      <c r="V495" s="13" t="s">
        <v>3232</v>
      </c>
      <c r="W495" s="13" t="s">
        <v>3167</v>
      </c>
      <c r="X495" s="13" t="s">
        <v>3170</v>
      </c>
      <c r="Y495" s="13" t="s">
        <v>3202</v>
      </c>
      <c r="Z495" s="13">
        <v>15.0</v>
      </c>
      <c r="AA495" s="13" t="b">
        <v>0</v>
      </c>
      <c r="AB495" s="48"/>
      <c r="AC495" s="49"/>
    </row>
    <row r="496" ht="14.25" customHeight="1">
      <c r="A496" s="13">
        <v>24180.0</v>
      </c>
      <c r="B496" s="13" t="str">
        <f t="shared" si="5"/>
        <v>Observational</v>
      </c>
      <c r="C496" s="13" t="s">
        <v>4856</v>
      </c>
      <c r="D496" s="1" t="s">
        <v>5056</v>
      </c>
      <c r="E496" s="13" t="s">
        <v>5249</v>
      </c>
      <c r="F496" s="13" t="s">
        <v>3183</v>
      </c>
      <c r="G496" s="13" t="s">
        <v>3183</v>
      </c>
      <c r="H496" s="13" t="s">
        <v>3166</v>
      </c>
      <c r="I496" s="13" t="s">
        <v>3157</v>
      </c>
      <c r="J496" s="13" t="s">
        <v>3787</v>
      </c>
      <c r="K496" s="13" t="s">
        <v>3153</v>
      </c>
      <c r="L496" s="13" t="s">
        <v>3169</v>
      </c>
      <c r="M496" s="13" t="s">
        <v>3230</v>
      </c>
      <c r="N496" s="13" t="s">
        <v>3162</v>
      </c>
      <c r="O496" s="13" t="s">
        <v>3788</v>
      </c>
      <c r="P496" s="13">
        <v>1.0</v>
      </c>
      <c r="Q496" s="13" t="s">
        <v>3160</v>
      </c>
      <c r="R496" s="13" t="s">
        <v>3163</v>
      </c>
      <c r="S496" s="13" t="s">
        <v>3788</v>
      </c>
      <c r="T496" s="13" t="s">
        <v>3178</v>
      </c>
      <c r="U496" s="13" t="s">
        <v>3164</v>
      </c>
      <c r="V496" s="13" t="s">
        <v>3164</v>
      </c>
      <c r="W496" s="13" t="s">
        <v>3167</v>
      </c>
      <c r="X496" s="13" t="s">
        <v>3192</v>
      </c>
      <c r="Y496" s="13" t="s">
        <v>33</v>
      </c>
      <c r="Z496" s="13" t="s">
        <v>33</v>
      </c>
      <c r="AA496" s="13" t="b">
        <v>0</v>
      </c>
      <c r="AB496" s="48"/>
      <c r="AC496" s="49"/>
    </row>
    <row r="497" ht="14.25" customHeight="1">
      <c r="A497" s="13">
        <v>24192.0</v>
      </c>
      <c r="B497" s="13" t="str">
        <f t="shared" si="5"/>
        <v>Observational</v>
      </c>
      <c r="C497" s="13" t="s">
        <v>4856</v>
      </c>
      <c r="D497" s="1" t="s">
        <v>5056</v>
      </c>
      <c r="E497" s="13" t="s">
        <v>5249</v>
      </c>
      <c r="F497" s="13" t="s">
        <v>3173</v>
      </c>
      <c r="G497" s="13" t="s">
        <v>3210</v>
      </c>
      <c r="H497" s="13" t="s">
        <v>3166</v>
      </c>
      <c r="I497" s="13" t="s">
        <v>3157</v>
      </c>
      <c r="J497" s="13" t="s">
        <v>3791</v>
      </c>
      <c r="K497" s="13" t="s">
        <v>3153</v>
      </c>
      <c r="L497" s="13" t="s">
        <v>3169</v>
      </c>
      <c r="M497" s="13" t="s">
        <v>3230</v>
      </c>
      <c r="N497" s="13" t="s">
        <v>3162</v>
      </c>
      <c r="O497" s="13" t="s">
        <v>33</v>
      </c>
      <c r="P497" s="13">
        <v>1.0</v>
      </c>
      <c r="Q497" s="13" t="s">
        <v>3160</v>
      </c>
      <c r="R497" s="13" t="s">
        <v>3163</v>
      </c>
      <c r="S497" s="13" t="s">
        <v>3601</v>
      </c>
      <c r="T497" s="13" t="s">
        <v>3224</v>
      </c>
      <c r="U497" s="13" t="s">
        <v>3232</v>
      </c>
      <c r="V497" s="13" t="s">
        <v>3232</v>
      </c>
      <c r="W497" s="13" t="s">
        <v>3167</v>
      </c>
      <c r="X497" s="13" t="s">
        <v>3155</v>
      </c>
      <c r="Y497" s="13" t="s">
        <v>33</v>
      </c>
      <c r="Z497" s="13" t="s">
        <v>33</v>
      </c>
      <c r="AA497" s="13" t="b">
        <v>0</v>
      </c>
      <c r="AB497" s="48"/>
      <c r="AC497" s="49"/>
    </row>
    <row r="498" ht="14.25" customHeight="1">
      <c r="A498" s="13">
        <v>24353.0</v>
      </c>
      <c r="B498" s="13" t="str">
        <f t="shared" si="5"/>
        <v>Observational</v>
      </c>
      <c r="C498" s="13" t="s">
        <v>4856</v>
      </c>
      <c r="D498" s="1" t="s">
        <v>5056</v>
      </c>
      <c r="E498" s="13" t="s">
        <v>5249</v>
      </c>
      <c r="F498" s="13" t="s">
        <v>3201</v>
      </c>
      <c r="G498" s="13" t="s">
        <v>3159</v>
      </c>
      <c r="H498" s="13" t="s">
        <v>3166</v>
      </c>
      <c r="I498" s="13" t="s">
        <v>3222</v>
      </c>
      <c r="J498" s="13" t="s">
        <v>3182</v>
      </c>
      <c r="K498" s="13" t="s">
        <v>3153</v>
      </c>
      <c r="L498" s="13" t="s">
        <v>3169</v>
      </c>
      <c r="M498" s="13" t="s">
        <v>3230</v>
      </c>
      <c r="N498" s="13" t="s">
        <v>3162</v>
      </c>
      <c r="O498" s="13" t="s">
        <v>33</v>
      </c>
      <c r="P498" s="13">
        <v>1.0</v>
      </c>
      <c r="Q498" s="13" t="s">
        <v>3177</v>
      </c>
      <c r="R498" s="13" t="s">
        <v>3177</v>
      </c>
      <c r="S498" s="13" t="s">
        <v>33</v>
      </c>
      <c r="T498" s="13" t="s">
        <v>3168</v>
      </c>
      <c r="U498" s="13" t="s">
        <v>3164</v>
      </c>
      <c r="V498" s="13" t="s">
        <v>3164</v>
      </c>
      <c r="W498" s="13" t="s">
        <v>3167</v>
      </c>
      <c r="X498" s="13" t="s">
        <v>3192</v>
      </c>
      <c r="Y498" s="13" t="s">
        <v>3202</v>
      </c>
      <c r="Z498" s="13">
        <v>30.0</v>
      </c>
      <c r="AA498" s="13" t="b">
        <v>0</v>
      </c>
      <c r="AB498" s="48"/>
      <c r="AC498" s="49"/>
    </row>
    <row r="499" ht="14.25" customHeight="1">
      <c r="A499" s="13">
        <v>24404.0</v>
      </c>
      <c r="B499" s="13" t="str">
        <f t="shared" si="5"/>
        <v>Observational</v>
      </c>
      <c r="C499" s="13" t="s">
        <v>4886</v>
      </c>
      <c r="D499" s="1" t="s">
        <v>5056</v>
      </c>
      <c r="E499" s="13" t="s">
        <v>5249</v>
      </c>
      <c r="F499" s="13" t="s">
        <v>3159</v>
      </c>
      <c r="G499" s="13" t="s">
        <v>3210</v>
      </c>
      <c r="H499" s="13" t="s">
        <v>3195</v>
      </c>
      <c r="I499" s="13" t="s">
        <v>3244</v>
      </c>
      <c r="J499" s="13" t="s">
        <v>3889</v>
      </c>
      <c r="K499" s="13" t="s">
        <v>3153</v>
      </c>
      <c r="L499" s="13" t="s">
        <v>3465</v>
      </c>
      <c r="M499" s="13" t="s">
        <v>3230</v>
      </c>
      <c r="N499" s="13" t="s">
        <v>3162</v>
      </c>
      <c r="O499" s="13" t="s">
        <v>33</v>
      </c>
      <c r="P499" s="13">
        <v>1.0</v>
      </c>
      <c r="Q499" s="13" t="s">
        <v>3160</v>
      </c>
      <c r="R499" s="13" t="s">
        <v>3163</v>
      </c>
      <c r="S499" s="13" t="s">
        <v>33</v>
      </c>
      <c r="T499" s="13" t="s">
        <v>3167</v>
      </c>
      <c r="U499" s="13" t="s">
        <v>3195</v>
      </c>
      <c r="V499" s="13" t="s">
        <v>3195</v>
      </c>
      <c r="W499" s="13" t="s">
        <v>3167</v>
      </c>
      <c r="X499" s="13" t="s">
        <v>3192</v>
      </c>
      <c r="Y499" s="13" t="s">
        <v>3156</v>
      </c>
      <c r="Z499" s="13" t="s">
        <v>33</v>
      </c>
      <c r="AA499" s="13" t="b">
        <v>0</v>
      </c>
      <c r="AB499" s="48"/>
      <c r="AC499" s="49"/>
    </row>
    <row r="500" ht="14.25" customHeight="1">
      <c r="A500" s="13">
        <v>24421.0</v>
      </c>
      <c r="B500" s="13" t="str">
        <f t="shared" si="5"/>
        <v>Observational</v>
      </c>
      <c r="C500" s="13" t="s">
        <v>4856</v>
      </c>
      <c r="D500" s="1" t="s">
        <v>5056</v>
      </c>
      <c r="E500" s="13" t="s">
        <v>5249</v>
      </c>
      <c r="F500" s="13" t="s">
        <v>3183</v>
      </c>
      <c r="G500" s="13" t="s">
        <v>3183</v>
      </c>
      <c r="H500" s="13" t="s">
        <v>3166</v>
      </c>
      <c r="I500" s="13" t="s">
        <v>3157</v>
      </c>
      <c r="J500" s="13" t="s">
        <v>3896</v>
      </c>
      <c r="K500" s="13" t="s">
        <v>3153</v>
      </c>
      <c r="L500" s="13" t="s">
        <v>3169</v>
      </c>
      <c r="M500" s="13" t="s">
        <v>3230</v>
      </c>
      <c r="N500" s="13" t="s">
        <v>3162</v>
      </c>
      <c r="O500" s="13" t="s">
        <v>3453</v>
      </c>
      <c r="P500" s="13">
        <v>1.0</v>
      </c>
      <c r="Q500" s="13" t="s">
        <v>3177</v>
      </c>
      <c r="R500" s="13" t="s">
        <v>3177</v>
      </c>
      <c r="S500" s="13" t="s">
        <v>3897</v>
      </c>
      <c r="T500" s="13" t="s">
        <v>3224</v>
      </c>
      <c r="U500" s="13" t="s">
        <v>3232</v>
      </c>
      <c r="V500" s="13" t="s">
        <v>3232</v>
      </c>
      <c r="W500" s="13" t="s">
        <v>3167</v>
      </c>
      <c r="X500" s="13" t="s">
        <v>3155</v>
      </c>
      <c r="Y500" s="13" t="s">
        <v>3187</v>
      </c>
      <c r="Z500" s="13">
        <v>100.0</v>
      </c>
      <c r="AA500" s="13" t="b">
        <v>0</v>
      </c>
      <c r="AB500" s="48"/>
      <c r="AC500" s="49"/>
    </row>
    <row r="501" ht="14.25" customHeight="1">
      <c r="A501" s="13">
        <v>24566.0</v>
      </c>
      <c r="B501" s="13" t="str">
        <f t="shared" si="5"/>
        <v>Observational</v>
      </c>
      <c r="C501" s="13" t="s">
        <v>4856</v>
      </c>
      <c r="D501" s="1" t="s">
        <v>5056</v>
      </c>
      <c r="E501" s="13" t="s">
        <v>5249</v>
      </c>
      <c r="F501" s="13" t="s">
        <v>3956</v>
      </c>
      <c r="G501" s="13" t="s">
        <v>3183</v>
      </c>
      <c r="H501" s="13" t="s">
        <v>3166</v>
      </c>
      <c r="I501" s="13" t="s">
        <v>3188</v>
      </c>
      <c r="J501" s="13" t="s">
        <v>3955</v>
      </c>
      <c r="K501" s="13" t="s">
        <v>3153</v>
      </c>
      <c r="L501" s="13" t="s">
        <v>3169</v>
      </c>
      <c r="M501" s="13" t="s">
        <v>3230</v>
      </c>
      <c r="N501" s="13" t="s">
        <v>3162</v>
      </c>
      <c r="O501" s="13" t="s">
        <v>3957</v>
      </c>
      <c r="P501" s="13">
        <v>1.0</v>
      </c>
      <c r="Q501" s="13" t="s">
        <v>3177</v>
      </c>
      <c r="R501" s="13" t="s">
        <v>3260</v>
      </c>
      <c r="S501" s="13" t="s">
        <v>3958</v>
      </c>
      <c r="T501" s="13" t="s">
        <v>3216</v>
      </c>
      <c r="U501" s="13" t="s">
        <v>3164</v>
      </c>
      <c r="V501" s="13" t="s">
        <v>3232</v>
      </c>
      <c r="W501" s="13" t="s">
        <v>3167</v>
      </c>
      <c r="X501" s="13" t="s">
        <v>3155</v>
      </c>
      <c r="Y501" s="13" t="s">
        <v>3311</v>
      </c>
      <c r="Z501" s="13" t="s">
        <v>3311</v>
      </c>
      <c r="AA501" s="13" t="b">
        <v>0</v>
      </c>
      <c r="AB501" s="48"/>
      <c r="AC501" s="49"/>
    </row>
    <row r="502" ht="14.25" customHeight="1">
      <c r="A502" s="13">
        <v>24582.0</v>
      </c>
      <c r="B502" s="13" t="str">
        <f t="shared" si="5"/>
        <v>Observational</v>
      </c>
      <c r="C502" s="13" t="s">
        <v>4856</v>
      </c>
      <c r="D502" s="1" t="s">
        <v>5056</v>
      </c>
      <c r="E502" s="13" t="s">
        <v>5249</v>
      </c>
      <c r="F502" s="13" t="s">
        <v>3282</v>
      </c>
      <c r="G502" s="13" t="s">
        <v>3208</v>
      </c>
      <c r="H502" s="13" t="s">
        <v>3242</v>
      </c>
      <c r="I502" s="13" t="s">
        <v>3188</v>
      </c>
      <c r="J502" s="13" t="s">
        <v>3432</v>
      </c>
      <c r="K502" s="13" t="s">
        <v>3153</v>
      </c>
      <c r="L502" s="13" t="s">
        <v>3169</v>
      </c>
      <c r="M502" s="13" t="s">
        <v>3230</v>
      </c>
      <c r="N502" s="13" t="s">
        <v>3162</v>
      </c>
      <c r="O502" s="13" t="s">
        <v>3964</v>
      </c>
      <c r="P502" s="13">
        <v>1.0</v>
      </c>
      <c r="Q502" s="13" t="s">
        <v>3160</v>
      </c>
      <c r="R502" s="13" t="s">
        <v>3163</v>
      </c>
      <c r="S502" s="13" t="s">
        <v>33</v>
      </c>
      <c r="T502" s="13" t="s">
        <v>3167</v>
      </c>
      <c r="U502" s="13" t="s">
        <v>3247</v>
      </c>
      <c r="V502" s="13" t="s">
        <v>3247</v>
      </c>
      <c r="W502" s="13" t="s">
        <v>3965</v>
      </c>
      <c r="X502" s="13" t="s">
        <v>3192</v>
      </c>
      <c r="Y502" s="13" t="s">
        <v>33</v>
      </c>
      <c r="Z502" s="13" t="s">
        <v>33</v>
      </c>
      <c r="AA502" s="13" t="b">
        <v>0</v>
      </c>
      <c r="AB502" s="48"/>
      <c r="AC502" s="49"/>
    </row>
    <row r="503" ht="14.25" customHeight="1">
      <c r="A503" s="13">
        <v>24601.0</v>
      </c>
      <c r="B503" s="13" t="str">
        <f t="shared" si="5"/>
        <v>Observational</v>
      </c>
      <c r="C503" s="13" t="s">
        <v>4856</v>
      </c>
      <c r="D503" s="1" t="s">
        <v>5056</v>
      </c>
      <c r="E503" s="13" t="s">
        <v>5249</v>
      </c>
      <c r="F503" s="13" t="s">
        <v>3287</v>
      </c>
      <c r="G503" s="13" t="s">
        <v>3173</v>
      </c>
      <c r="H503" s="13" t="s">
        <v>3166</v>
      </c>
      <c r="I503" s="13" t="s">
        <v>3157</v>
      </c>
      <c r="J503" s="13" t="s">
        <v>3791</v>
      </c>
      <c r="K503" s="13" t="s">
        <v>3153</v>
      </c>
      <c r="L503" s="13" t="s">
        <v>3169</v>
      </c>
      <c r="M503" s="13" t="s">
        <v>3230</v>
      </c>
      <c r="N503" s="13" t="s">
        <v>3162</v>
      </c>
      <c r="O503" s="13" t="s">
        <v>33</v>
      </c>
      <c r="P503" s="13">
        <v>1.0</v>
      </c>
      <c r="Q503" s="13" t="s">
        <v>3160</v>
      </c>
      <c r="R503" s="13" t="s">
        <v>3163</v>
      </c>
      <c r="S503" s="13" t="s">
        <v>33</v>
      </c>
      <c r="T503" s="13" t="s">
        <v>3324</v>
      </c>
      <c r="U503" s="13" t="s">
        <v>3164</v>
      </c>
      <c r="V503" s="13" t="s">
        <v>3165</v>
      </c>
      <c r="W503" s="13" t="s">
        <v>3167</v>
      </c>
      <c r="X503" s="13" t="s">
        <v>3170</v>
      </c>
      <c r="Y503" s="13" t="s">
        <v>33</v>
      </c>
      <c r="Z503" s="13" t="s">
        <v>33</v>
      </c>
      <c r="AA503" s="13" t="b">
        <v>0</v>
      </c>
      <c r="AB503" s="48"/>
      <c r="AC503" s="49"/>
    </row>
    <row r="504" ht="14.25" customHeight="1">
      <c r="A504" s="13">
        <v>24654.0</v>
      </c>
      <c r="B504" s="13" t="str">
        <f t="shared" si="5"/>
        <v>Observational</v>
      </c>
      <c r="C504" s="13" t="s">
        <v>4856</v>
      </c>
      <c r="D504" s="1" t="s">
        <v>5056</v>
      </c>
      <c r="E504" s="13" t="s">
        <v>5249</v>
      </c>
      <c r="F504" s="13" t="s">
        <v>3173</v>
      </c>
      <c r="G504" s="13" t="s">
        <v>3173</v>
      </c>
      <c r="H504" s="13" t="s">
        <v>3166</v>
      </c>
      <c r="I504" s="13" t="s">
        <v>3244</v>
      </c>
      <c r="J504" s="13" t="s">
        <v>3289</v>
      </c>
      <c r="K504" s="13" t="s">
        <v>3153</v>
      </c>
      <c r="L504" s="13" t="s">
        <v>3169</v>
      </c>
      <c r="M504" s="13" t="s">
        <v>3230</v>
      </c>
      <c r="N504" s="13" t="s">
        <v>3162</v>
      </c>
      <c r="O504" s="13" t="s">
        <v>33</v>
      </c>
      <c r="P504" s="13">
        <v>1.0</v>
      </c>
      <c r="Q504" s="13" t="s">
        <v>3160</v>
      </c>
      <c r="R504" s="13" t="s">
        <v>3163</v>
      </c>
      <c r="S504" s="13" t="s">
        <v>33</v>
      </c>
      <c r="T504" s="13" t="s">
        <v>3276</v>
      </c>
      <c r="U504" s="13" t="s">
        <v>3197</v>
      </c>
      <c r="V504" s="13" t="s">
        <v>3197</v>
      </c>
      <c r="W504" s="13" t="s">
        <v>3167</v>
      </c>
      <c r="X504" s="13" t="s">
        <v>3170</v>
      </c>
      <c r="Y504" s="13" t="s">
        <v>33</v>
      </c>
      <c r="Z504" s="13" t="s">
        <v>33</v>
      </c>
      <c r="AA504" s="13" t="b">
        <v>0</v>
      </c>
      <c r="AB504" s="48"/>
      <c r="AC504" s="49"/>
    </row>
    <row r="505" ht="14.25" customHeight="1">
      <c r="A505" s="13">
        <v>24705.0</v>
      </c>
      <c r="B505" s="13" t="str">
        <f t="shared" si="5"/>
        <v>Observational</v>
      </c>
      <c r="C505" s="13" t="s">
        <v>4856</v>
      </c>
      <c r="D505" s="1" t="s">
        <v>5056</v>
      </c>
      <c r="E505" s="13" t="s">
        <v>5249</v>
      </c>
      <c r="F505" s="13" t="s">
        <v>3159</v>
      </c>
      <c r="G505" s="13" t="s">
        <v>3159</v>
      </c>
      <c r="H505" s="13" t="s">
        <v>3166</v>
      </c>
      <c r="I505" s="13" t="s">
        <v>3157</v>
      </c>
      <c r="J505" s="13" t="s">
        <v>3199</v>
      </c>
      <c r="K505" s="13" t="s">
        <v>3153</v>
      </c>
      <c r="L505" s="13" t="s">
        <v>3169</v>
      </c>
      <c r="M505" s="13" t="s">
        <v>3230</v>
      </c>
      <c r="N505" s="13" t="s">
        <v>3162</v>
      </c>
      <c r="O505" s="13" t="s">
        <v>33</v>
      </c>
      <c r="P505" s="13">
        <v>1.0</v>
      </c>
      <c r="Q505" s="13" t="s">
        <v>3177</v>
      </c>
      <c r="R505" s="13" t="s">
        <v>3177</v>
      </c>
      <c r="S505" s="13" t="s">
        <v>33</v>
      </c>
      <c r="T505" s="13" t="s">
        <v>3749</v>
      </c>
      <c r="U505" s="13" t="s">
        <v>3164</v>
      </c>
      <c r="V505" s="13" t="s">
        <v>3197</v>
      </c>
      <c r="W505" s="13" t="s">
        <v>3167</v>
      </c>
      <c r="X505" s="13" t="s">
        <v>3170</v>
      </c>
      <c r="Y505" s="13" t="s">
        <v>3538</v>
      </c>
      <c r="Z505" s="13">
        <v>100.0</v>
      </c>
      <c r="AA505" s="13" t="b">
        <v>0</v>
      </c>
      <c r="AB505" s="48"/>
      <c r="AC505" s="49"/>
    </row>
    <row r="506" ht="14.25" customHeight="1">
      <c r="A506" s="13">
        <v>24743.0</v>
      </c>
      <c r="B506" s="13" t="str">
        <f t="shared" si="5"/>
        <v>Observational</v>
      </c>
      <c r="C506" s="13" t="s">
        <v>4856</v>
      </c>
      <c r="D506" s="1" t="s">
        <v>5056</v>
      </c>
      <c r="E506" s="13" t="s">
        <v>5249</v>
      </c>
      <c r="F506" s="13" t="s">
        <v>3159</v>
      </c>
      <c r="G506" s="13" t="s">
        <v>3159</v>
      </c>
      <c r="H506" s="13" t="s">
        <v>3166</v>
      </c>
      <c r="I506" s="13" t="s">
        <v>3222</v>
      </c>
      <c r="J506" s="13" t="s">
        <v>3182</v>
      </c>
      <c r="K506" s="13" t="s">
        <v>3153</v>
      </c>
      <c r="L506" s="13" t="s">
        <v>3169</v>
      </c>
      <c r="M506" s="13" t="s">
        <v>3230</v>
      </c>
      <c r="N506" s="13" t="s">
        <v>3162</v>
      </c>
      <c r="O506" s="13" t="s">
        <v>33</v>
      </c>
      <c r="P506" s="13">
        <v>1.0</v>
      </c>
      <c r="Q506" s="13" t="s">
        <v>3160</v>
      </c>
      <c r="R506" s="13" t="s">
        <v>3163</v>
      </c>
      <c r="S506" s="13" t="s">
        <v>33</v>
      </c>
      <c r="T506" s="13" t="s">
        <v>3178</v>
      </c>
      <c r="U506" s="13" t="s">
        <v>3164</v>
      </c>
      <c r="V506" s="13" t="s">
        <v>3164</v>
      </c>
      <c r="W506" s="13" t="s">
        <v>3167</v>
      </c>
      <c r="X506" s="13" t="s">
        <v>3192</v>
      </c>
      <c r="Y506" s="13" t="s">
        <v>3156</v>
      </c>
      <c r="Z506" s="13" t="s">
        <v>33</v>
      </c>
      <c r="AA506" s="13" t="b">
        <v>0</v>
      </c>
      <c r="AB506" s="48"/>
      <c r="AC506" s="49"/>
    </row>
    <row r="507" ht="14.25" customHeight="1">
      <c r="A507" s="13">
        <v>24812.0</v>
      </c>
      <c r="B507" s="13" t="str">
        <f t="shared" si="5"/>
        <v>Observational</v>
      </c>
      <c r="C507" s="13" t="s">
        <v>4856</v>
      </c>
      <c r="D507" s="1" t="s">
        <v>5056</v>
      </c>
      <c r="E507" s="13" t="s">
        <v>5249</v>
      </c>
      <c r="F507" s="13" t="s">
        <v>3159</v>
      </c>
      <c r="G507" s="13" t="s">
        <v>3159</v>
      </c>
      <c r="H507" s="13" t="s">
        <v>3166</v>
      </c>
      <c r="I507" s="13" t="s">
        <v>3244</v>
      </c>
      <c r="J507" s="13" t="s">
        <v>3289</v>
      </c>
      <c r="K507" s="13" t="s">
        <v>3153</v>
      </c>
      <c r="L507" s="13" t="s">
        <v>3169</v>
      </c>
      <c r="M507" s="13" t="s">
        <v>3230</v>
      </c>
      <c r="N507" s="13" t="s">
        <v>3162</v>
      </c>
      <c r="O507" s="13" t="s">
        <v>33</v>
      </c>
      <c r="P507" s="13">
        <v>1.0</v>
      </c>
      <c r="Q507" s="13" t="s">
        <v>3160</v>
      </c>
      <c r="R507" s="13" t="s">
        <v>3163</v>
      </c>
      <c r="S507" s="13" t="s">
        <v>33</v>
      </c>
      <c r="T507" s="13" t="s">
        <v>3518</v>
      </c>
      <c r="U507" s="13" t="s">
        <v>3232</v>
      </c>
      <c r="V507" s="13" t="s">
        <v>3197</v>
      </c>
      <c r="W507" s="13" t="s">
        <v>3167</v>
      </c>
      <c r="X507" s="13" t="s">
        <v>3170</v>
      </c>
      <c r="Y507" s="13" t="s">
        <v>3156</v>
      </c>
      <c r="Z507" s="13" t="s">
        <v>33</v>
      </c>
      <c r="AA507" s="13" t="b">
        <v>0</v>
      </c>
      <c r="AB507" s="48"/>
      <c r="AC507" s="49"/>
    </row>
    <row r="508" ht="14.25" customHeight="1">
      <c r="A508" s="13">
        <v>24819.0</v>
      </c>
      <c r="B508" s="13" t="str">
        <f t="shared" si="5"/>
        <v>Observational</v>
      </c>
      <c r="C508" s="13" t="s">
        <v>4856</v>
      </c>
      <c r="D508" s="1" t="s">
        <v>5056</v>
      </c>
      <c r="E508" s="13" t="s">
        <v>5249</v>
      </c>
      <c r="F508" s="13" t="s">
        <v>3282</v>
      </c>
      <c r="G508" s="13" t="s">
        <v>3208</v>
      </c>
      <c r="H508" s="13" t="s">
        <v>3242</v>
      </c>
      <c r="I508" s="13" t="s">
        <v>3188</v>
      </c>
      <c r="J508" s="13" t="s">
        <v>3432</v>
      </c>
      <c r="K508" s="13" t="s">
        <v>3153</v>
      </c>
      <c r="L508" s="13" t="s">
        <v>3169</v>
      </c>
      <c r="M508" s="13" t="s">
        <v>3230</v>
      </c>
      <c r="N508" s="13" t="s">
        <v>3162</v>
      </c>
      <c r="O508" s="13" t="s">
        <v>4044</v>
      </c>
      <c r="P508" s="13">
        <v>1.0</v>
      </c>
      <c r="Q508" s="13" t="s">
        <v>3177</v>
      </c>
      <c r="R508" s="13" t="s">
        <v>3260</v>
      </c>
      <c r="S508" s="13" t="s">
        <v>33</v>
      </c>
      <c r="T508" s="13" t="s">
        <v>3167</v>
      </c>
      <c r="U508" s="13" t="s">
        <v>3247</v>
      </c>
      <c r="V508" s="13" t="s">
        <v>3247</v>
      </c>
      <c r="W508" s="13" t="s">
        <v>3969</v>
      </c>
      <c r="X508" s="13" t="s">
        <v>3192</v>
      </c>
      <c r="Y508" s="13" t="s">
        <v>3202</v>
      </c>
      <c r="Z508" s="13" t="s">
        <v>3202</v>
      </c>
      <c r="AA508" s="13" t="b">
        <v>0</v>
      </c>
      <c r="AB508" s="48"/>
      <c r="AC508" s="49"/>
    </row>
    <row r="509" ht="14.25" customHeight="1">
      <c r="A509" s="13">
        <v>24825.0</v>
      </c>
      <c r="B509" s="13" t="str">
        <f t="shared" si="5"/>
        <v>Observational</v>
      </c>
      <c r="C509" s="13" t="s">
        <v>4856</v>
      </c>
      <c r="D509" s="1" t="s">
        <v>5056</v>
      </c>
      <c r="E509" s="13" t="s">
        <v>5249</v>
      </c>
      <c r="F509" s="13" t="s">
        <v>3183</v>
      </c>
      <c r="G509" s="13" t="s">
        <v>3183</v>
      </c>
      <c r="H509" s="13" t="s">
        <v>3166</v>
      </c>
      <c r="I509" s="13" t="s">
        <v>3188</v>
      </c>
      <c r="J509" s="13" t="s">
        <v>3286</v>
      </c>
      <c r="K509" s="13" t="s">
        <v>3153</v>
      </c>
      <c r="L509" s="13" t="s">
        <v>3169</v>
      </c>
      <c r="M509" s="13" t="s">
        <v>3230</v>
      </c>
      <c r="N509" s="13" t="s">
        <v>3162</v>
      </c>
      <c r="O509" s="13" t="s">
        <v>3724</v>
      </c>
      <c r="P509" s="13">
        <v>1.0</v>
      </c>
      <c r="Q509" s="13" t="s">
        <v>3177</v>
      </c>
      <c r="R509" s="13" t="s">
        <v>3163</v>
      </c>
      <c r="S509" s="13" t="s">
        <v>3724</v>
      </c>
      <c r="T509" s="13" t="s">
        <v>3178</v>
      </c>
      <c r="U509" s="13" t="s">
        <v>3164</v>
      </c>
      <c r="V509" s="13" t="s">
        <v>3164</v>
      </c>
      <c r="W509" s="13" t="s">
        <v>3167</v>
      </c>
      <c r="X509" s="13" t="s">
        <v>3170</v>
      </c>
      <c r="Y509" s="13" t="s">
        <v>3156</v>
      </c>
      <c r="Z509" s="13" t="s">
        <v>33</v>
      </c>
      <c r="AA509" s="13" t="b">
        <v>0</v>
      </c>
      <c r="AB509" s="48"/>
      <c r="AC509" s="49"/>
    </row>
    <row r="510" ht="14.25" customHeight="1">
      <c r="A510" s="13">
        <v>24826.0</v>
      </c>
      <c r="B510" s="13" t="str">
        <f t="shared" si="5"/>
        <v>Observational</v>
      </c>
      <c r="C510" s="13" t="s">
        <v>4856</v>
      </c>
      <c r="D510" s="1" t="s">
        <v>5056</v>
      </c>
      <c r="E510" s="13" t="s">
        <v>5249</v>
      </c>
      <c r="F510" s="13" t="s">
        <v>3201</v>
      </c>
      <c r="G510" s="13" t="s">
        <v>3159</v>
      </c>
      <c r="H510" s="13" t="s">
        <v>3166</v>
      </c>
      <c r="I510" s="13" t="s">
        <v>3188</v>
      </c>
      <c r="J510" s="13" t="s">
        <v>3286</v>
      </c>
      <c r="K510" s="13" t="s">
        <v>3153</v>
      </c>
      <c r="L510" s="13" t="s">
        <v>3169</v>
      </c>
      <c r="M510" s="13" t="s">
        <v>3230</v>
      </c>
      <c r="N510" s="13" t="s">
        <v>3162</v>
      </c>
      <c r="O510" s="13" t="s">
        <v>33</v>
      </c>
      <c r="P510" s="13">
        <v>1.0</v>
      </c>
      <c r="Q510" s="13" t="s">
        <v>3177</v>
      </c>
      <c r="R510" s="13" t="s">
        <v>3163</v>
      </c>
      <c r="S510" s="13" t="s">
        <v>33</v>
      </c>
      <c r="T510" s="13" t="s">
        <v>3178</v>
      </c>
      <c r="U510" s="13" t="s">
        <v>3164</v>
      </c>
      <c r="V510" s="13" t="s">
        <v>3164</v>
      </c>
      <c r="W510" s="13" t="s">
        <v>3167</v>
      </c>
      <c r="X510" s="13" t="s">
        <v>3170</v>
      </c>
      <c r="Y510" s="13" t="s">
        <v>3202</v>
      </c>
      <c r="Z510" s="13">
        <v>30.0</v>
      </c>
      <c r="AA510" s="13" t="b">
        <v>0</v>
      </c>
      <c r="AB510" s="48"/>
      <c r="AC510" s="49"/>
    </row>
    <row r="511" ht="14.25" customHeight="1">
      <c r="A511" s="13">
        <v>24868.0</v>
      </c>
      <c r="B511" s="13" t="str">
        <f t="shared" si="5"/>
        <v>Observational</v>
      </c>
      <c r="C511" s="13" t="s">
        <v>4856</v>
      </c>
      <c r="D511" s="1" t="s">
        <v>5056</v>
      </c>
      <c r="E511" s="13" t="s">
        <v>5249</v>
      </c>
      <c r="F511" s="13" t="s">
        <v>3338</v>
      </c>
      <c r="G511" s="13" t="s">
        <v>3183</v>
      </c>
      <c r="H511" s="13" t="s">
        <v>3166</v>
      </c>
      <c r="I511" s="13" t="s">
        <v>3157</v>
      </c>
      <c r="J511" s="13" t="s">
        <v>3167</v>
      </c>
      <c r="K511" s="13" t="s">
        <v>3153</v>
      </c>
      <c r="L511" s="13" t="s">
        <v>3169</v>
      </c>
      <c r="M511" s="13" t="s">
        <v>3230</v>
      </c>
      <c r="N511" s="13" t="s">
        <v>3162</v>
      </c>
      <c r="O511" s="13" t="s">
        <v>4063</v>
      </c>
      <c r="P511" s="13">
        <v>1.0</v>
      </c>
      <c r="Q511" s="13" t="s">
        <v>3177</v>
      </c>
      <c r="R511" s="13" t="s">
        <v>3177</v>
      </c>
      <c r="S511" s="13" t="s">
        <v>4064</v>
      </c>
      <c r="T511" s="13" t="s">
        <v>3224</v>
      </c>
      <c r="U511" s="13" t="s">
        <v>3232</v>
      </c>
      <c r="V511" s="13" t="s">
        <v>3232</v>
      </c>
      <c r="W511" s="13" t="s">
        <v>3167</v>
      </c>
      <c r="X511" s="13" t="s">
        <v>3284</v>
      </c>
      <c r="Y511" s="13" t="s">
        <v>3187</v>
      </c>
      <c r="Z511" s="13">
        <v>2500.0</v>
      </c>
      <c r="AA511" s="13" t="b">
        <v>0</v>
      </c>
      <c r="AB511" s="48"/>
      <c r="AC511" s="49"/>
    </row>
    <row r="512" ht="14.25" customHeight="1">
      <c r="A512" s="13">
        <v>24943.0</v>
      </c>
      <c r="B512" s="13" t="str">
        <f t="shared" si="5"/>
        <v>Observational</v>
      </c>
      <c r="C512" s="13" t="s">
        <v>4856</v>
      </c>
      <c r="D512" s="1" t="s">
        <v>5056</v>
      </c>
      <c r="E512" s="13" t="s">
        <v>5249</v>
      </c>
      <c r="F512" s="13" t="s">
        <v>3282</v>
      </c>
      <c r="G512" s="13" t="s">
        <v>3183</v>
      </c>
      <c r="H512" s="13" t="s">
        <v>3166</v>
      </c>
      <c r="I512" s="13" t="s">
        <v>3222</v>
      </c>
      <c r="J512" s="13" t="s">
        <v>3229</v>
      </c>
      <c r="K512" s="13" t="s">
        <v>3153</v>
      </c>
      <c r="L512" s="13" t="s">
        <v>3169</v>
      </c>
      <c r="M512" s="13" t="s">
        <v>3230</v>
      </c>
      <c r="N512" s="13" t="s">
        <v>3162</v>
      </c>
      <c r="O512" s="13" t="s">
        <v>4087</v>
      </c>
      <c r="P512" s="13">
        <v>1.0</v>
      </c>
      <c r="Q512" s="13" t="s">
        <v>3160</v>
      </c>
      <c r="R512" s="13" t="s">
        <v>3231</v>
      </c>
      <c r="S512" s="13" t="s">
        <v>33</v>
      </c>
      <c r="T512" s="13" t="s">
        <v>3178</v>
      </c>
      <c r="U512" s="13" t="s">
        <v>3164</v>
      </c>
      <c r="V512" s="13" t="s">
        <v>3164</v>
      </c>
      <c r="W512" s="13" t="s">
        <v>3167</v>
      </c>
      <c r="X512" s="13" t="s">
        <v>3170</v>
      </c>
      <c r="Y512" s="13" t="s">
        <v>3156</v>
      </c>
      <c r="Z512" s="13" t="s">
        <v>3167</v>
      </c>
      <c r="AA512" s="13" t="b">
        <v>0</v>
      </c>
      <c r="AB512" s="48"/>
      <c r="AC512" s="49"/>
    </row>
    <row r="513" ht="14.25" customHeight="1">
      <c r="A513" s="13">
        <v>25123.0</v>
      </c>
      <c r="B513" s="13" t="str">
        <f t="shared" si="5"/>
        <v>Observational</v>
      </c>
      <c r="C513" s="13" t="s">
        <v>4856</v>
      </c>
      <c r="D513" s="1" t="s">
        <v>5056</v>
      </c>
      <c r="E513" s="13" t="s">
        <v>5249</v>
      </c>
      <c r="F513" s="13" t="s">
        <v>3159</v>
      </c>
      <c r="G513" s="13" t="s">
        <v>3159</v>
      </c>
      <c r="H513" s="13" t="s">
        <v>3166</v>
      </c>
      <c r="I513" s="13" t="s">
        <v>3171</v>
      </c>
      <c r="J513" s="13" t="s">
        <v>3378</v>
      </c>
      <c r="K513" s="13" t="s">
        <v>3153</v>
      </c>
      <c r="L513" s="13" t="s">
        <v>3169</v>
      </c>
      <c r="M513" s="13" t="s">
        <v>3230</v>
      </c>
      <c r="N513" s="13" t="s">
        <v>3162</v>
      </c>
      <c r="O513" s="13" t="s">
        <v>3167</v>
      </c>
      <c r="P513" s="13">
        <v>1.0</v>
      </c>
      <c r="Q513" s="13" t="s">
        <v>3160</v>
      </c>
      <c r="R513" s="13" t="s">
        <v>3231</v>
      </c>
      <c r="S513" s="13" t="s">
        <v>33</v>
      </c>
      <c r="T513" s="13" t="s">
        <v>3178</v>
      </c>
      <c r="U513" s="13" t="s">
        <v>3232</v>
      </c>
      <c r="V513" s="13" t="s">
        <v>3232</v>
      </c>
      <c r="W513" s="13" t="s">
        <v>3167</v>
      </c>
      <c r="X513" s="13" t="s">
        <v>3155</v>
      </c>
      <c r="Y513" s="13" t="s">
        <v>3156</v>
      </c>
      <c r="Z513" s="13" t="s">
        <v>3167</v>
      </c>
      <c r="AA513" s="13" t="b">
        <v>0</v>
      </c>
      <c r="AB513" s="48"/>
      <c r="AC513" s="49"/>
    </row>
    <row r="514" ht="14.25" customHeight="1">
      <c r="A514" s="13">
        <v>25165.0</v>
      </c>
      <c r="B514" s="13" t="str">
        <f t="shared" si="5"/>
        <v>Observational</v>
      </c>
      <c r="C514" s="13" t="s">
        <v>4856</v>
      </c>
      <c r="D514" s="1" t="s">
        <v>5056</v>
      </c>
      <c r="E514" s="13" t="s">
        <v>5249</v>
      </c>
      <c r="F514" s="13" t="s">
        <v>3173</v>
      </c>
      <c r="G514" s="13" t="s">
        <v>3173</v>
      </c>
      <c r="H514" s="13" t="s">
        <v>3166</v>
      </c>
      <c r="I514" s="13" t="s">
        <v>3244</v>
      </c>
      <c r="J514" s="13" t="s">
        <v>3167</v>
      </c>
      <c r="K514" s="13" t="s">
        <v>3153</v>
      </c>
      <c r="L514" s="13" t="s">
        <v>3169</v>
      </c>
      <c r="M514" s="13" t="s">
        <v>3230</v>
      </c>
      <c r="N514" s="13" t="s">
        <v>3162</v>
      </c>
      <c r="O514" s="13" t="s">
        <v>33</v>
      </c>
      <c r="P514" s="13">
        <v>1.0</v>
      </c>
      <c r="Q514" s="13" t="s">
        <v>3177</v>
      </c>
      <c r="R514" s="13" t="s">
        <v>3163</v>
      </c>
      <c r="S514" s="13" t="s">
        <v>33</v>
      </c>
      <c r="T514" s="13" t="s">
        <v>3276</v>
      </c>
      <c r="U514" s="13" t="s">
        <v>3197</v>
      </c>
      <c r="V514" s="13" t="s">
        <v>3197</v>
      </c>
      <c r="W514" s="13" t="s">
        <v>3167</v>
      </c>
      <c r="X514" s="13" t="s">
        <v>3284</v>
      </c>
      <c r="Y514" s="13" t="s">
        <v>3187</v>
      </c>
      <c r="Z514" s="13">
        <v>10000.0</v>
      </c>
      <c r="AA514" s="13" t="b">
        <v>0</v>
      </c>
      <c r="AB514" s="48"/>
      <c r="AC514" s="49"/>
    </row>
    <row r="515" ht="14.25" customHeight="1">
      <c r="A515" s="13">
        <v>25223.0</v>
      </c>
      <c r="B515" s="13" t="str">
        <f t="shared" si="5"/>
        <v>Observational</v>
      </c>
      <c r="C515" s="13" t="s">
        <v>4856</v>
      </c>
      <c r="D515" s="1" t="s">
        <v>5056</v>
      </c>
      <c r="E515" s="13" t="s">
        <v>5249</v>
      </c>
      <c r="F515" s="13" t="s">
        <v>3208</v>
      </c>
      <c r="G515" s="13" t="s">
        <v>3702</v>
      </c>
      <c r="H515" s="13" t="s">
        <v>3166</v>
      </c>
      <c r="I515" s="13" t="s">
        <v>3222</v>
      </c>
      <c r="J515" s="13" t="s">
        <v>3226</v>
      </c>
      <c r="K515" s="13" t="s">
        <v>3153</v>
      </c>
      <c r="L515" s="13" t="s">
        <v>3169</v>
      </c>
      <c r="M515" s="13" t="s">
        <v>3230</v>
      </c>
      <c r="N515" s="13" t="s">
        <v>3162</v>
      </c>
      <c r="O515" s="13" t="s">
        <v>33</v>
      </c>
      <c r="P515" s="13">
        <v>1.0</v>
      </c>
      <c r="Q515" s="13" t="s">
        <v>3160</v>
      </c>
      <c r="R515" s="13" t="s">
        <v>3163</v>
      </c>
      <c r="S515" s="13" t="s">
        <v>33</v>
      </c>
      <c r="T515" s="13" t="s">
        <v>3178</v>
      </c>
      <c r="U515" s="13" t="s">
        <v>3164</v>
      </c>
      <c r="V515" s="13" t="s">
        <v>3164</v>
      </c>
      <c r="W515" s="13" t="s">
        <v>3167</v>
      </c>
      <c r="X515" s="13" t="s">
        <v>3192</v>
      </c>
      <c r="Y515" s="13" t="s">
        <v>3156</v>
      </c>
      <c r="Z515" s="13" t="s">
        <v>33</v>
      </c>
      <c r="AA515" s="13" t="b">
        <v>0</v>
      </c>
      <c r="AB515" s="48"/>
      <c r="AC515" s="49"/>
    </row>
    <row r="516" ht="14.25" customHeight="1">
      <c r="A516" s="13">
        <v>25287.0</v>
      </c>
      <c r="B516" s="13" t="str">
        <f t="shared" si="5"/>
        <v>Observational</v>
      </c>
      <c r="C516" s="13" t="s">
        <v>4856</v>
      </c>
      <c r="D516" s="1" t="s">
        <v>5056</v>
      </c>
      <c r="E516" s="13" t="s">
        <v>5249</v>
      </c>
      <c r="F516" s="13" t="s">
        <v>3159</v>
      </c>
      <c r="G516" s="13" t="s">
        <v>3437</v>
      </c>
      <c r="H516" s="13" t="s">
        <v>3166</v>
      </c>
      <c r="I516" s="13" t="s">
        <v>3203</v>
      </c>
      <c r="J516" s="13" t="s">
        <v>3204</v>
      </c>
      <c r="K516" s="13" t="s">
        <v>3153</v>
      </c>
      <c r="L516" s="13" t="s">
        <v>3169</v>
      </c>
      <c r="M516" s="13" t="s">
        <v>3230</v>
      </c>
      <c r="N516" s="13" t="s">
        <v>3162</v>
      </c>
      <c r="O516" s="13" t="s">
        <v>33</v>
      </c>
      <c r="P516" s="13">
        <v>1.0</v>
      </c>
      <c r="Q516" s="13" t="s">
        <v>3177</v>
      </c>
      <c r="R516" s="13" t="s">
        <v>3177</v>
      </c>
      <c r="S516" s="13" t="s">
        <v>33</v>
      </c>
      <c r="T516" s="13" t="s">
        <v>3893</v>
      </c>
      <c r="U516" s="13" t="s">
        <v>3232</v>
      </c>
      <c r="V516" s="13" t="s">
        <v>3197</v>
      </c>
      <c r="W516" s="13" t="s">
        <v>3167</v>
      </c>
      <c r="X516" s="13" t="s">
        <v>3170</v>
      </c>
      <c r="Y516" s="13" t="s">
        <v>3202</v>
      </c>
      <c r="Z516" s="13">
        <v>300.0</v>
      </c>
      <c r="AA516" s="13" t="b">
        <v>0</v>
      </c>
      <c r="AB516" s="48"/>
      <c r="AC516" s="49"/>
    </row>
    <row r="517" ht="14.25" customHeight="1">
      <c r="A517" s="13">
        <v>25409.0</v>
      </c>
      <c r="B517" s="13" t="str">
        <f t="shared" si="5"/>
        <v>Observational</v>
      </c>
      <c r="C517" s="13" t="s">
        <v>4856</v>
      </c>
      <c r="D517" s="1" t="s">
        <v>5056</v>
      </c>
      <c r="E517" s="13" t="s">
        <v>5249</v>
      </c>
      <c r="F517" s="13" t="s">
        <v>3159</v>
      </c>
      <c r="G517" s="13" t="s">
        <v>3186</v>
      </c>
      <c r="H517" s="13" t="s">
        <v>3166</v>
      </c>
      <c r="I517" s="13" t="s">
        <v>3203</v>
      </c>
      <c r="J517" s="13" t="s">
        <v>3204</v>
      </c>
      <c r="K517" s="13" t="s">
        <v>3153</v>
      </c>
      <c r="L517" s="13" t="s">
        <v>3169</v>
      </c>
      <c r="M517" s="13" t="s">
        <v>3230</v>
      </c>
      <c r="N517" s="13" t="s">
        <v>3162</v>
      </c>
      <c r="O517" s="13" t="s">
        <v>33</v>
      </c>
      <c r="P517" s="13">
        <v>1.0</v>
      </c>
      <c r="Q517" s="13" t="s">
        <v>3160</v>
      </c>
      <c r="R517" s="13" t="s">
        <v>3177</v>
      </c>
      <c r="S517" s="13" t="s">
        <v>33</v>
      </c>
      <c r="T517" s="13" t="s">
        <v>3178</v>
      </c>
      <c r="U517" s="13" t="s">
        <v>3164</v>
      </c>
      <c r="V517" s="13" t="s">
        <v>3164</v>
      </c>
      <c r="W517" s="13" t="s">
        <v>3167</v>
      </c>
      <c r="X517" s="13" t="s">
        <v>3170</v>
      </c>
      <c r="Y517" s="13" t="s">
        <v>3202</v>
      </c>
      <c r="Z517" s="13">
        <v>100.0</v>
      </c>
      <c r="AA517" s="13" t="b">
        <v>0</v>
      </c>
      <c r="AB517" s="48"/>
      <c r="AC517" s="49"/>
    </row>
    <row r="518" ht="14.25" customHeight="1">
      <c r="A518" s="13">
        <v>25410.0</v>
      </c>
      <c r="B518" s="13" t="str">
        <f t="shared" si="5"/>
        <v>Observational</v>
      </c>
      <c r="C518" s="13" t="s">
        <v>4856</v>
      </c>
      <c r="D518" s="1" t="s">
        <v>5056</v>
      </c>
      <c r="E518" s="13" t="s">
        <v>5249</v>
      </c>
      <c r="F518" s="13" t="s">
        <v>3159</v>
      </c>
      <c r="G518" s="13" t="s">
        <v>3201</v>
      </c>
      <c r="H518" s="13" t="s">
        <v>3166</v>
      </c>
      <c r="I518" s="13" t="s">
        <v>3203</v>
      </c>
      <c r="J518" s="13" t="s">
        <v>3204</v>
      </c>
      <c r="K518" s="13" t="s">
        <v>3153</v>
      </c>
      <c r="L518" s="13" t="s">
        <v>3169</v>
      </c>
      <c r="M518" s="13" t="s">
        <v>3230</v>
      </c>
      <c r="N518" s="13" t="s">
        <v>3162</v>
      </c>
      <c r="O518" s="13" t="s">
        <v>33</v>
      </c>
      <c r="P518" s="13">
        <v>1.0</v>
      </c>
      <c r="Q518" s="13" t="s">
        <v>3160</v>
      </c>
      <c r="R518" s="13" t="s">
        <v>3163</v>
      </c>
      <c r="S518" s="13" t="s">
        <v>33</v>
      </c>
      <c r="T518" s="13" t="s">
        <v>3178</v>
      </c>
      <c r="U518" s="13" t="s">
        <v>3164</v>
      </c>
      <c r="V518" s="13" t="s">
        <v>3164</v>
      </c>
      <c r="W518" s="13" t="s">
        <v>3167</v>
      </c>
      <c r="X518" s="13" t="s">
        <v>3170</v>
      </c>
      <c r="Y518" s="13" t="s">
        <v>3156</v>
      </c>
      <c r="Z518" s="13" t="s">
        <v>33</v>
      </c>
      <c r="AA518" s="13" t="b">
        <v>0</v>
      </c>
      <c r="AB518" s="48"/>
      <c r="AC518" s="49"/>
    </row>
    <row r="519" ht="14.25" customHeight="1">
      <c r="A519" s="13">
        <v>25438.0</v>
      </c>
      <c r="B519" s="13" t="str">
        <f t="shared" si="5"/>
        <v>Observational</v>
      </c>
      <c r="C519" s="13" t="s">
        <v>4856</v>
      </c>
      <c r="D519" s="1" t="s">
        <v>5056</v>
      </c>
      <c r="E519" s="13" t="s">
        <v>5249</v>
      </c>
      <c r="F519" s="13" t="s">
        <v>3186</v>
      </c>
      <c r="G519" s="13" t="s">
        <v>3338</v>
      </c>
      <c r="H519" s="13" t="s">
        <v>3166</v>
      </c>
      <c r="I519" s="13" t="s">
        <v>3157</v>
      </c>
      <c r="J519" s="13" t="s">
        <v>3307</v>
      </c>
      <c r="K519" s="13" t="s">
        <v>3153</v>
      </c>
      <c r="L519" s="13" t="s">
        <v>3169</v>
      </c>
      <c r="M519" s="13" t="s">
        <v>3230</v>
      </c>
      <c r="N519" s="13" t="s">
        <v>3162</v>
      </c>
      <c r="O519" s="13" t="s">
        <v>4240</v>
      </c>
      <c r="P519" s="13">
        <v>1.0</v>
      </c>
      <c r="Q519" s="13" t="s">
        <v>3177</v>
      </c>
      <c r="R519" s="13" t="s">
        <v>3163</v>
      </c>
      <c r="S519" s="13" t="s">
        <v>4240</v>
      </c>
      <c r="T519" s="13" t="s">
        <v>3178</v>
      </c>
      <c r="U519" s="13" t="s">
        <v>3164</v>
      </c>
      <c r="V519" s="13" t="s">
        <v>3164</v>
      </c>
      <c r="W519" s="13" t="s">
        <v>3167</v>
      </c>
      <c r="X519" s="13" t="s">
        <v>3155</v>
      </c>
      <c r="Y519" s="13" t="s">
        <v>3156</v>
      </c>
      <c r="Z519" s="13" t="s">
        <v>33</v>
      </c>
      <c r="AA519" s="13" t="b">
        <v>0</v>
      </c>
      <c r="AB519" s="48"/>
      <c r="AC519" s="49"/>
    </row>
    <row r="520" ht="14.25" customHeight="1">
      <c r="A520" s="13">
        <v>25473.0</v>
      </c>
      <c r="B520" s="13" t="str">
        <f t="shared" si="5"/>
        <v>Observational</v>
      </c>
      <c r="C520" s="13" t="s">
        <v>4856</v>
      </c>
      <c r="D520" s="1" t="s">
        <v>5056</v>
      </c>
      <c r="E520" s="13" t="s">
        <v>5249</v>
      </c>
      <c r="F520" s="13" t="s">
        <v>3381</v>
      </c>
      <c r="G520" s="13" t="s">
        <v>3159</v>
      </c>
      <c r="H520" s="13" t="s">
        <v>3166</v>
      </c>
      <c r="I520" s="13" t="s">
        <v>3157</v>
      </c>
      <c r="J520" s="13" t="s">
        <v>3570</v>
      </c>
      <c r="K520" s="13" t="s">
        <v>3153</v>
      </c>
      <c r="L520" s="13" t="s">
        <v>3169</v>
      </c>
      <c r="M520" s="13" t="s">
        <v>3230</v>
      </c>
      <c r="N520" s="13" t="s">
        <v>3162</v>
      </c>
      <c r="O520" s="13" t="s">
        <v>3167</v>
      </c>
      <c r="P520" s="13">
        <v>1.0</v>
      </c>
      <c r="Q520" s="13" t="s">
        <v>3177</v>
      </c>
      <c r="R520" s="13" t="s">
        <v>3260</v>
      </c>
      <c r="S520" s="13" t="s">
        <v>33</v>
      </c>
      <c r="T520" s="13" t="s">
        <v>3224</v>
      </c>
      <c r="U520" s="13" t="s">
        <v>3164</v>
      </c>
      <c r="V520" s="13" t="s">
        <v>3164</v>
      </c>
      <c r="W520" s="13" t="s">
        <v>3167</v>
      </c>
      <c r="X520" s="13" t="s">
        <v>3170</v>
      </c>
      <c r="Y520" s="13" t="s">
        <v>3156</v>
      </c>
      <c r="Z520" s="13" t="s">
        <v>3202</v>
      </c>
      <c r="AA520" s="13" t="b">
        <v>0</v>
      </c>
      <c r="AB520" s="48"/>
      <c r="AC520" s="49"/>
    </row>
    <row r="521" ht="14.25" customHeight="1">
      <c r="A521" s="13">
        <v>25520.0</v>
      </c>
      <c r="B521" s="13" t="str">
        <f t="shared" si="5"/>
        <v>Observational</v>
      </c>
      <c r="C521" s="13" t="s">
        <v>4856</v>
      </c>
      <c r="D521" s="1" t="s">
        <v>5056</v>
      </c>
      <c r="E521" s="13" t="s">
        <v>5249</v>
      </c>
      <c r="F521" s="13" t="s">
        <v>3183</v>
      </c>
      <c r="G521" s="13" t="s">
        <v>3183</v>
      </c>
      <c r="H521" s="13" t="s">
        <v>3166</v>
      </c>
      <c r="I521" s="13" t="s">
        <v>3157</v>
      </c>
      <c r="J521" s="13" t="s">
        <v>3400</v>
      </c>
      <c r="K521" s="13" t="s">
        <v>3153</v>
      </c>
      <c r="L521" s="13" t="s">
        <v>3169</v>
      </c>
      <c r="M521" s="13" t="s">
        <v>3230</v>
      </c>
      <c r="N521" s="13" t="s">
        <v>3162</v>
      </c>
      <c r="O521" s="13" t="s">
        <v>4256</v>
      </c>
      <c r="P521" s="13">
        <v>1.0</v>
      </c>
      <c r="Q521" s="13" t="s">
        <v>3160</v>
      </c>
      <c r="R521" s="13" t="s">
        <v>3163</v>
      </c>
      <c r="S521" s="13" t="s">
        <v>4256</v>
      </c>
      <c r="T521" s="13" t="s">
        <v>3178</v>
      </c>
      <c r="U521" s="13" t="s">
        <v>3164</v>
      </c>
      <c r="V521" s="13" t="s">
        <v>3164</v>
      </c>
      <c r="W521" s="13" t="s">
        <v>3167</v>
      </c>
      <c r="X521" s="13" t="s">
        <v>3192</v>
      </c>
      <c r="Y521" s="13" t="s">
        <v>3156</v>
      </c>
      <c r="Z521" s="13" t="s">
        <v>33</v>
      </c>
      <c r="AA521" s="13" t="b">
        <v>0</v>
      </c>
      <c r="AB521" s="48"/>
      <c r="AC521" s="49"/>
    </row>
    <row r="522" ht="14.25" customHeight="1">
      <c r="A522" s="13">
        <v>25523.0</v>
      </c>
      <c r="B522" s="13" t="str">
        <f t="shared" si="5"/>
        <v>Observational</v>
      </c>
      <c r="C522" s="13" t="s">
        <v>4856</v>
      </c>
      <c r="D522" s="1" t="s">
        <v>5056</v>
      </c>
      <c r="E522" s="13" t="s">
        <v>5249</v>
      </c>
      <c r="F522" s="13" t="s">
        <v>3183</v>
      </c>
      <c r="G522" s="13" t="s">
        <v>3183</v>
      </c>
      <c r="H522" s="13" t="s">
        <v>3166</v>
      </c>
      <c r="I522" s="13" t="s">
        <v>3157</v>
      </c>
      <c r="J522" s="13" t="s">
        <v>3791</v>
      </c>
      <c r="K522" s="13" t="s">
        <v>3153</v>
      </c>
      <c r="L522" s="13" t="s">
        <v>3169</v>
      </c>
      <c r="M522" s="13" t="s">
        <v>3230</v>
      </c>
      <c r="N522" s="13" t="s">
        <v>3162</v>
      </c>
      <c r="O522" s="13" t="s">
        <v>3724</v>
      </c>
      <c r="P522" s="13">
        <v>1.0</v>
      </c>
      <c r="Q522" s="13" t="s">
        <v>3160</v>
      </c>
      <c r="R522" s="13" t="s">
        <v>3163</v>
      </c>
      <c r="S522" s="13" t="s">
        <v>3724</v>
      </c>
      <c r="T522" s="13" t="s">
        <v>3178</v>
      </c>
      <c r="U522" s="13" t="s">
        <v>3164</v>
      </c>
      <c r="V522" s="13" t="s">
        <v>3164</v>
      </c>
      <c r="W522" s="13" t="s">
        <v>3167</v>
      </c>
      <c r="X522" s="13" t="s">
        <v>3192</v>
      </c>
      <c r="Y522" s="13" t="s">
        <v>3156</v>
      </c>
      <c r="Z522" s="13" t="s">
        <v>33</v>
      </c>
      <c r="AA522" s="13" t="b">
        <v>0</v>
      </c>
      <c r="AB522" s="48"/>
      <c r="AC522" s="49"/>
    </row>
    <row r="523" ht="14.25" customHeight="1">
      <c r="A523" s="13">
        <v>25567.0</v>
      </c>
      <c r="B523" s="13" t="str">
        <f t="shared" si="5"/>
        <v>Observational</v>
      </c>
      <c r="C523" s="13" t="s">
        <v>4856</v>
      </c>
      <c r="D523" s="1" t="s">
        <v>5056</v>
      </c>
      <c r="E523" s="13" t="s">
        <v>5249</v>
      </c>
      <c r="F523" s="13" t="s">
        <v>3381</v>
      </c>
      <c r="G523" s="13" t="s">
        <v>3183</v>
      </c>
      <c r="H523" s="13" t="s">
        <v>3166</v>
      </c>
      <c r="I523" s="13" t="s">
        <v>3222</v>
      </c>
      <c r="J523" s="13" t="s">
        <v>3182</v>
      </c>
      <c r="K523" s="13" t="s">
        <v>3153</v>
      </c>
      <c r="L523" s="13" t="s">
        <v>3169</v>
      </c>
      <c r="M523" s="13" t="s">
        <v>3230</v>
      </c>
      <c r="N523" s="13" t="s">
        <v>3162</v>
      </c>
      <c r="O523" s="13" t="s">
        <v>4268</v>
      </c>
      <c r="P523" s="13">
        <v>1.0</v>
      </c>
      <c r="Q523" s="13" t="s">
        <v>3177</v>
      </c>
      <c r="R523" s="13" t="s">
        <v>3177</v>
      </c>
      <c r="S523" s="13" t="s">
        <v>4268</v>
      </c>
      <c r="T523" s="13" t="s">
        <v>3178</v>
      </c>
      <c r="U523" s="13" t="s">
        <v>3228</v>
      </c>
      <c r="V523" s="13" t="s">
        <v>3228</v>
      </c>
      <c r="W523" s="13" t="s">
        <v>3167</v>
      </c>
      <c r="X523" s="13" t="s">
        <v>3192</v>
      </c>
      <c r="Y523" s="13" t="s">
        <v>33</v>
      </c>
      <c r="Z523" s="13" t="s">
        <v>33</v>
      </c>
      <c r="AA523" s="13" t="b">
        <v>0</v>
      </c>
      <c r="AB523" s="48"/>
      <c r="AC523" s="49"/>
    </row>
    <row r="524" ht="14.25" customHeight="1">
      <c r="A524" s="13">
        <v>25591.0</v>
      </c>
      <c r="B524" s="13" t="str">
        <f t="shared" si="5"/>
        <v>Observational</v>
      </c>
      <c r="C524" s="13" t="s">
        <v>4856</v>
      </c>
      <c r="D524" s="1" t="s">
        <v>5056</v>
      </c>
      <c r="E524" s="13" t="s">
        <v>5249</v>
      </c>
      <c r="F524" s="13" t="s">
        <v>3159</v>
      </c>
      <c r="G524" s="13" t="s">
        <v>3159</v>
      </c>
      <c r="H524" s="13" t="s">
        <v>3166</v>
      </c>
      <c r="I524" s="13" t="s">
        <v>3188</v>
      </c>
      <c r="J524" s="13" t="s">
        <v>3402</v>
      </c>
      <c r="K524" s="13" t="s">
        <v>3153</v>
      </c>
      <c r="L524" s="13" t="s">
        <v>3169</v>
      </c>
      <c r="M524" s="13" t="s">
        <v>3230</v>
      </c>
      <c r="N524" s="13" t="s">
        <v>3162</v>
      </c>
      <c r="O524" s="13" t="s">
        <v>33</v>
      </c>
      <c r="P524" s="13">
        <v>1.0</v>
      </c>
      <c r="Q524" s="13" t="s">
        <v>3160</v>
      </c>
      <c r="R524" s="13" t="s">
        <v>3163</v>
      </c>
      <c r="S524" s="13" t="s">
        <v>33</v>
      </c>
      <c r="T524" s="13" t="s">
        <v>3367</v>
      </c>
      <c r="U524" s="13" t="s">
        <v>3165</v>
      </c>
      <c r="V524" s="13" t="s">
        <v>3197</v>
      </c>
      <c r="W524" s="13" t="s">
        <v>3167</v>
      </c>
      <c r="X524" s="13" t="s">
        <v>3170</v>
      </c>
      <c r="Y524" s="13" t="s">
        <v>3202</v>
      </c>
      <c r="Z524" s="13">
        <v>200.0</v>
      </c>
      <c r="AA524" s="13" t="b">
        <v>0</v>
      </c>
      <c r="AB524" s="48"/>
      <c r="AC524" s="49"/>
    </row>
    <row r="525" ht="14.25" customHeight="1">
      <c r="A525" s="13">
        <v>25654.0</v>
      </c>
      <c r="B525" s="13" t="str">
        <f t="shared" si="5"/>
        <v>Observational</v>
      </c>
      <c r="C525" s="13" t="s">
        <v>4856</v>
      </c>
      <c r="D525" s="1" t="s">
        <v>5056</v>
      </c>
      <c r="E525" s="13" t="s">
        <v>5249</v>
      </c>
      <c r="F525" s="13" t="s">
        <v>3159</v>
      </c>
      <c r="G525" s="13" t="s">
        <v>3159</v>
      </c>
      <c r="H525" s="13" t="s">
        <v>3166</v>
      </c>
      <c r="I525" s="13" t="s">
        <v>4138</v>
      </c>
      <c r="J525" s="13" t="s">
        <v>4294</v>
      </c>
      <c r="K525" s="13" t="s">
        <v>3153</v>
      </c>
      <c r="L525" s="13" t="s">
        <v>3169</v>
      </c>
      <c r="M525" s="13" t="s">
        <v>3230</v>
      </c>
      <c r="N525" s="13" t="s">
        <v>3162</v>
      </c>
      <c r="O525" s="13" t="s">
        <v>33</v>
      </c>
      <c r="P525" s="13">
        <v>1.0</v>
      </c>
      <c r="Q525" s="13" t="s">
        <v>3160</v>
      </c>
      <c r="R525" s="13" t="s">
        <v>3163</v>
      </c>
      <c r="S525" s="13" t="s">
        <v>33</v>
      </c>
      <c r="T525" s="13" t="s">
        <v>3178</v>
      </c>
      <c r="U525" s="13" t="s">
        <v>3232</v>
      </c>
      <c r="V525" s="13" t="s">
        <v>3232</v>
      </c>
      <c r="W525" s="13" t="s">
        <v>3167</v>
      </c>
      <c r="X525" s="13" t="s">
        <v>3211</v>
      </c>
      <c r="Y525" s="13" t="s">
        <v>3156</v>
      </c>
      <c r="Z525" s="13" t="s">
        <v>33</v>
      </c>
      <c r="AA525" s="13" t="b">
        <v>0</v>
      </c>
      <c r="AB525" s="48"/>
      <c r="AC525" s="49"/>
    </row>
    <row r="526" ht="14.25" customHeight="1">
      <c r="A526" s="13">
        <v>25930.0</v>
      </c>
      <c r="B526" s="13" t="str">
        <f t="shared" si="5"/>
        <v>Observational</v>
      </c>
      <c r="C526" s="13" t="s">
        <v>4856</v>
      </c>
      <c r="D526" s="1" t="s">
        <v>5056</v>
      </c>
      <c r="E526" s="13" t="s">
        <v>5249</v>
      </c>
      <c r="F526" s="13" t="s">
        <v>3183</v>
      </c>
      <c r="G526" s="13" t="s">
        <v>3183</v>
      </c>
      <c r="H526" s="13" t="s">
        <v>3166</v>
      </c>
      <c r="I526" s="13" t="s">
        <v>3203</v>
      </c>
      <c r="J526" s="13" t="s">
        <v>3204</v>
      </c>
      <c r="K526" s="13" t="s">
        <v>3153</v>
      </c>
      <c r="L526" s="13" t="s">
        <v>3169</v>
      </c>
      <c r="M526" s="13" t="s">
        <v>3230</v>
      </c>
      <c r="N526" s="13" t="s">
        <v>3162</v>
      </c>
      <c r="O526" s="13" t="s">
        <v>4394</v>
      </c>
      <c r="P526" s="13">
        <v>1.0</v>
      </c>
      <c r="Q526" s="13" t="s">
        <v>3160</v>
      </c>
      <c r="R526" s="13" t="s">
        <v>3163</v>
      </c>
      <c r="S526" s="13" t="s">
        <v>4394</v>
      </c>
      <c r="T526" s="13" t="s">
        <v>3178</v>
      </c>
      <c r="U526" s="13" t="s">
        <v>3164</v>
      </c>
      <c r="V526" s="13" t="s">
        <v>3164</v>
      </c>
      <c r="W526" s="13" t="s">
        <v>3167</v>
      </c>
      <c r="X526" s="13" t="s">
        <v>3192</v>
      </c>
      <c r="Y526" s="13" t="s">
        <v>3187</v>
      </c>
      <c r="Z526" s="13">
        <v>1.0</v>
      </c>
      <c r="AA526" s="13" t="b">
        <v>0</v>
      </c>
      <c r="AB526" s="48"/>
      <c r="AC526" s="49"/>
    </row>
    <row r="527" ht="14.25" customHeight="1">
      <c r="A527" s="13" t="s">
        <v>2847</v>
      </c>
      <c r="B527" s="13" t="str">
        <f t="shared" si="5"/>
        <v>Observational</v>
      </c>
      <c r="C527" s="13" t="s">
        <v>4856</v>
      </c>
      <c r="D527" s="1" t="s">
        <v>5056</v>
      </c>
      <c r="E527" s="13" t="s">
        <v>5249</v>
      </c>
      <c r="F527" s="13" t="s">
        <v>3173</v>
      </c>
      <c r="G527" s="13" t="s">
        <v>3173</v>
      </c>
      <c r="H527" s="13" t="s">
        <v>3166</v>
      </c>
      <c r="I527" s="13" t="s">
        <v>3188</v>
      </c>
      <c r="J527" s="13" t="s">
        <v>4429</v>
      </c>
      <c r="K527" s="13" t="s">
        <v>3153</v>
      </c>
      <c r="L527" s="13" t="s">
        <v>3169</v>
      </c>
      <c r="M527" s="13" t="s">
        <v>3230</v>
      </c>
      <c r="N527" s="13" t="s">
        <v>3162</v>
      </c>
      <c r="O527" s="13" t="s">
        <v>33</v>
      </c>
      <c r="P527" s="13">
        <v>1.0</v>
      </c>
      <c r="Q527" s="13" t="s">
        <v>3160</v>
      </c>
      <c r="R527" s="13" t="s">
        <v>3163</v>
      </c>
      <c r="S527" s="13" t="s">
        <v>33</v>
      </c>
      <c r="T527" s="13" t="s">
        <v>3178</v>
      </c>
      <c r="U527" s="13" t="s">
        <v>3164</v>
      </c>
      <c r="V527" s="13" t="s">
        <v>3164</v>
      </c>
      <c r="W527" s="13" t="s">
        <v>3167</v>
      </c>
      <c r="X527" s="13" t="s">
        <v>3211</v>
      </c>
      <c r="Y527" s="13" t="s">
        <v>33</v>
      </c>
      <c r="Z527" s="13" t="s">
        <v>33</v>
      </c>
      <c r="AA527" s="13" t="b">
        <v>0</v>
      </c>
      <c r="AB527" s="48"/>
      <c r="AC527" s="49"/>
    </row>
    <row r="528" ht="14.25" customHeight="1">
      <c r="A528" s="13">
        <v>23576.0</v>
      </c>
      <c r="B528" s="13" t="str">
        <f t="shared" si="5"/>
        <v>Observational</v>
      </c>
      <c r="C528" s="13" t="s">
        <v>4856</v>
      </c>
      <c r="D528" s="1" t="s">
        <v>5250</v>
      </c>
      <c r="E528" s="13" t="s">
        <v>5249</v>
      </c>
      <c r="F528" s="13" t="s">
        <v>3190</v>
      </c>
      <c r="G528" s="13" t="s">
        <v>3190</v>
      </c>
      <c r="H528" s="13" t="s">
        <v>3166</v>
      </c>
      <c r="I528" s="13" t="s">
        <v>3188</v>
      </c>
      <c r="J528" s="13" t="s">
        <v>3233</v>
      </c>
      <c r="K528" s="13" t="s">
        <v>3153</v>
      </c>
      <c r="L528" s="13" t="s">
        <v>3169</v>
      </c>
      <c r="M528" s="13" t="s">
        <v>3504</v>
      </c>
      <c r="N528" s="13" t="s">
        <v>3162</v>
      </c>
      <c r="O528" s="13" t="s">
        <v>33</v>
      </c>
      <c r="P528" s="13">
        <v>1.0</v>
      </c>
      <c r="Q528" s="13" t="s">
        <v>3160</v>
      </c>
      <c r="R528" s="13" t="s">
        <v>3163</v>
      </c>
      <c r="S528" s="13" t="s">
        <v>33</v>
      </c>
      <c r="T528" s="13" t="s">
        <v>3178</v>
      </c>
      <c r="U528" s="13" t="s">
        <v>3232</v>
      </c>
      <c r="V528" s="13" t="s">
        <v>3232</v>
      </c>
      <c r="W528" s="13" t="s">
        <v>3167</v>
      </c>
      <c r="X528" s="13" t="s">
        <v>3170</v>
      </c>
      <c r="Y528" s="13" t="s">
        <v>3187</v>
      </c>
      <c r="Z528" s="13">
        <v>1.0</v>
      </c>
      <c r="AA528" s="13" t="b">
        <v>0</v>
      </c>
      <c r="AB528" s="48"/>
      <c r="AC528" s="49"/>
    </row>
    <row r="529" ht="14.25" customHeight="1">
      <c r="A529" s="13">
        <v>25957.0</v>
      </c>
      <c r="B529" s="13" t="str">
        <f t="shared" si="5"/>
        <v>Observational</v>
      </c>
      <c r="C529" s="13" t="s">
        <v>4856</v>
      </c>
      <c r="D529" s="1" t="s">
        <v>5251</v>
      </c>
      <c r="E529" s="13" t="s">
        <v>5252</v>
      </c>
      <c r="F529" s="13" t="s">
        <v>3186</v>
      </c>
      <c r="G529" s="13" t="s">
        <v>3381</v>
      </c>
      <c r="H529" s="13" t="s">
        <v>3253</v>
      </c>
      <c r="I529" s="13" t="s">
        <v>3222</v>
      </c>
      <c r="J529" s="13" t="s">
        <v>3182</v>
      </c>
      <c r="K529" s="13" t="s">
        <v>3153</v>
      </c>
      <c r="L529" s="13" t="s">
        <v>3169</v>
      </c>
      <c r="M529" s="13" t="s">
        <v>4404</v>
      </c>
      <c r="N529" s="13" t="s">
        <v>3175</v>
      </c>
      <c r="O529" s="13" t="s">
        <v>33</v>
      </c>
      <c r="P529" s="13">
        <v>10.0</v>
      </c>
      <c r="Q529" s="13" t="s">
        <v>3177</v>
      </c>
      <c r="R529" s="13" t="s">
        <v>3177</v>
      </c>
      <c r="S529" s="13" t="s">
        <v>4405</v>
      </c>
      <c r="T529" s="13" t="s">
        <v>3276</v>
      </c>
      <c r="U529" s="13" t="s">
        <v>3252</v>
      </c>
      <c r="V529" s="13" t="s">
        <v>3252</v>
      </c>
      <c r="W529" s="13" t="s">
        <v>3496</v>
      </c>
      <c r="X529" s="13" t="s">
        <v>3192</v>
      </c>
      <c r="Y529" s="13" t="s">
        <v>3202</v>
      </c>
      <c r="Z529" s="13">
        <v>90.0</v>
      </c>
      <c r="AA529" s="13" t="b">
        <v>0</v>
      </c>
      <c r="AB529" s="48"/>
      <c r="AC529" s="49"/>
    </row>
    <row r="530" ht="14.25" customHeight="1">
      <c r="A530" s="13">
        <v>24208.0</v>
      </c>
      <c r="B530" s="13" t="str">
        <f t="shared" si="5"/>
        <v>Observational</v>
      </c>
      <c r="C530" s="13" t="s">
        <v>4886</v>
      </c>
      <c r="D530" s="50" t="s">
        <v>5250</v>
      </c>
      <c r="E530" s="2" t="s">
        <v>4965</v>
      </c>
      <c r="F530" s="13" t="s">
        <v>3333</v>
      </c>
      <c r="G530" s="13" t="s">
        <v>3186</v>
      </c>
      <c r="H530" s="13" t="s">
        <v>3242</v>
      </c>
      <c r="I530" s="13" t="s">
        <v>3157</v>
      </c>
      <c r="J530" s="13" t="s">
        <v>3348</v>
      </c>
      <c r="K530" s="13" t="s">
        <v>3153</v>
      </c>
      <c r="L530" s="13" t="s">
        <v>3465</v>
      </c>
      <c r="M530" s="13" t="s">
        <v>3798</v>
      </c>
      <c r="N530" s="13" t="s">
        <v>3175</v>
      </c>
      <c r="O530" s="13" t="s">
        <v>33</v>
      </c>
      <c r="P530" s="13">
        <v>3.0</v>
      </c>
      <c r="Q530" s="13" t="s">
        <v>3160</v>
      </c>
      <c r="R530" s="13" t="s">
        <v>3163</v>
      </c>
      <c r="S530" s="13" t="s">
        <v>33</v>
      </c>
      <c r="T530" s="13" t="s">
        <v>3167</v>
      </c>
      <c r="U530" s="13" t="s">
        <v>3247</v>
      </c>
      <c r="V530" s="13" t="s">
        <v>3247</v>
      </c>
      <c r="W530" s="13" t="s">
        <v>3356</v>
      </c>
      <c r="X530" s="13" t="s">
        <v>3192</v>
      </c>
      <c r="Y530" s="13" t="s">
        <v>3202</v>
      </c>
      <c r="Z530" s="13">
        <v>100.0</v>
      </c>
      <c r="AA530" s="13" t="b">
        <v>1</v>
      </c>
      <c r="AB530" s="48"/>
      <c r="AC530" s="49"/>
    </row>
    <row r="531" ht="14.25" customHeight="1">
      <c r="A531" s="13">
        <v>25369.0</v>
      </c>
      <c r="B531" s="13" t="str">
        <f t="shared" si="5"/>
        <v>Observational</v>
      </c>
      <c r="C531" s="13" t="s">
        <v>4856</v>
      </c>
      <c r="D531" s="1" t="s">
        <v>5253</v>
      </c>
      <c r="E531" s="13" t="s">
        <v>5254</v>
      </c>
      <c r="F531" s="13" t="s">
        <v>4212</v>
      </c>
      <c r="G531" s="13" t="s">
        <v>3333</v>
      </c>
      <c r="H531" s="13" t="s">
        <v>3166</v>
      </c>
      <c r="I531" s="13" t="s">
        <v>3188</v>
      </c>
      <c r="J531" s="13" t="s">
        <v>3483</v>
      </c>
      <c r="K531" s="13" t="s">
        <v>3153</v>
      </c>
      <c r="L531" s="13" t="s">
        <v>3169</v>
      </c>
      <c r="M531" s="13" t="s">
        <v>4213</v>
      </c>
      <c r="N531" s="13" t="s">
        <v>3162</v>
      </c>
      <c r="O531" s="13" t="s">
        <v>33</v>
      </c>
      <c r="P531" s="13">
        <v>3.0</v>
      </c>
      <c r="Q531" s="13" t="s">
        <v>3160</v>
      </c>
      <c r="R531" s="13" t="s">
        <v>3163</v>
      </c>
      <c r="S531" s="13" t="s">
        <v>33</v>
      </c>
      <c r="T531" s="13" t="s">
        <v>3178</v>
      </c>
      <c r="U531" s="13" t="s">
        <v>3164</v>
      </c>
      <c r="V531" s="13" t="s">
        <v>3164</v>
      </c>
      <c r="W531" s="13" t="s">
        <v>3167</v>
      </c>
      <c r="X531" s="13" t="s">
        <v>3170</v>
      </c>
      <c r="Y531" s="13" t="s">
        <v>3156</v>
      </c>
      <c r="Z531" s="13" t="s">
        <v>33</v>
      </c>
      <c r="AA531" s="13" t="b">
        <v>0</v>
      </c>
      <c r="AB531" s="48"/>
      <c r="AC531" s="49"/>
    </row>
    <row r="532" ht="14.25" customHeight="1">
      <c r="A532" s="13">
        <v>24149.0</v>
      </c>
      <c r="B532" s="13" t="str">
        <f t="shared" si="5"/>
        <v>Observational</v>
      </c>
      <c r="C532" s="13" t="s">
        <v>4856</v>
      </c>
      <c r="D532" s="13" t="s">
        <v>5255</v>
      </c>
      <c r="E532" s="13" t="s">
        <v>5256</v>
      </c>
      <c r="F532" s="13" t="s">
        <v>3265</v>
      </c>
      <c r="G532" s="13" t="s">
        <v>3208</v>
      </c>
      <c r="H532" s="13" t="s">
        <v>3242</v>
      </c>
      <c r="I532" s="13" t="s">
        <v>3188</v>
      </c>
      <c r="J532" s="13" t="s">
        <v>3207</v>
      </c>
      <c r="K532" s="13" t="s">
        <v>3153</v>
      </c>
      <c r="L532" s="13" t="s">
        <v>3169</v>
      </c>
      <c r="M532" s="13" t="s">
        <v>3765</v>
      </c>
      <c r="N532" s="13" t="s">
        <v>3162</v>
      </c>
      <c r="O532" s="13" t="s">
        <v>33</v>
      </c>
      <c r="P532" s="13">
        <v>4.0</v>
      </c>
      <c r="Q532" s="13" t="s">
        <v>3160</v>
      </c>
      <c r="R532" s="13" t="s">
        <v>3163</v>
      </c>
      <c r="S532" s="13" t="s">
        <v>33</v>
      </c>
      <c r="T532" s="13" t="s">
        <v>3167</v>
      </c>
      <c r="U532" s="13" t="s">
        <v>3247</v>
      </c>
      <c r="V532" s="13" t="s">
        <v>3247</v>
      </c>
      <c r="W532" s="13" t="s">
        <v>3496</v>
      </c>
      <c r="X532" s="13" t="s">
        <v>3192</v>
      </c>
      <c r="Y532" s="13" t="s">
        <v>3202</v>
      </c>
      <c r="Z532" s="13">
        <v>500.0</v>
      </c>
      <c r="AA532" s="13" t="b">
        <v>1</v>
      </c>
      <c r="AB532" s="48"/>
      <c r="AC532" s="49"/>
    </row>
    <row r="533" ht="14.25" customHeight="1">
      <c r="A533" s="13">
        <v>24937.0</v>
      </c>
      <c r="B533" s="13" t="str">
        <f t="shared" si="5"/>
        <v>Observational</v>
      </c>
      <c r="C533" s="13" t="s">
        <v>4856</v>
      </c>
      <c r="D533" s="1" t="s">
        <v>5257</v>
      </c>
      <c r="E533" s="13" t="s">
        <v>5258</v>
      </c>
      <c r="F533" s="13" t="s">
        <v>3183</v>
      </c>
      <c r="G533" s="13" t="s">
        <v>3353</v>
      </c>
      <c r="H533" s="13" t="s">
        <v>3242</v>
      </c>
      <c r="I533" s="13" t="s">
        <v>3244</v>
      </c>
      <c r="J533" s="13" t="s">
        <v>3245</v>
      </c>
      <c r="K533" s="13" t="s">
        <v>3153</v>
      </c>
      <c r="L533" s="13" t="s">
        <v>3169</v>
      </c>
      <c r="M533" s="13" t="s">
        <v>4085</v>
      </c>
      <c r="N533" s="13" t="s">
        <v>3175</v>
      </c>
      <c r="O533" s="13" t="s">
        <v>3689</v>
      </c>
      <c r="P533" s="13">
        <v>5.0</v>
      </c>
      <c r="Q533" s="13" t="s">
        <v>3177</v>
      </c>
      <c r="R533" s="13" t="s">
        <v>3177</v>
      </c>
      <c r="S533" s="13" t="s">
        <v>4086</v>
      </c>
      <c r="T533" s="13" t="s">
        <v>3167</v>
      </c>
      <c r="U533" s="13" t="s">
        <v>3247</v>
      </c>
      <c r="V533" s="13" t="s">
        <v>3247</v>
      </c>
      <c r="W533" s="13" t="s">
        <v>3248</v>
      </c>
      <c r="X533" s="13" t="s">
        <v>3155</v>
      </c>
      <c r="Y533" s="13" t="s">
        <v>3187</v>
      </c>
      <c r="Z533" s="13">
        <v>10.0</v>
      </c>
      <c r="AA533" s="13" t="b">
        <v>0</v>
      </c>
      <c r="AB533" s="48"/>
      <c r="AC533" s="49"/>
    </row>
    <row r="534" ht="14.25" customHeight="1">
      <c r="A534" s="13" t="s">
        <v>2279</v>
      </c>
      <c r="B534" s="13" t="str">
        <f t="shared" si="5"/>
        <v>Observational</v>
      </c>
      <c r="C534" s="13" t="s">
        <v>4856</v>
      </c>
      <c r="D534" s="1" t="s">
        <v>5259</v>
      </c>
      <c r="E534" s="13" t="s">
        <v>5260</v>
      </c>
      <c r="F534" s="13" t="s">
        <v>3208</v>
      </c>
      <c r="G534" s="13" t="s">
        <v>3290</v>
      </c>
      <c r="H534" s="13" t="s">
        <v>3242</v>
      </c>
      <c r="I534" s="13" t="s">
        <v>3188</v>
      </c>
      <c r="J534" s="13" t="s">
        <v>3458</v>
      </c>
      <c r="K534" s="13" t="s">
        <v>3153</v>
      </c>
      <c r="L534" s="13" t="s">
        <v>3169</v>
      </c>
      <c r="M534" s="13" t="s">
        <v>3459</v>
      </c>
      <c r="N534" s="13" t="s">
        <v>3162</v>
      </c>
      <c r="O534" s="13" t="s">
        <v>33</v>
      </c>
      <c r="P534" s="13">
        <v>2.0</v>
      </c>
      <c r="Q534" s="13" t="s">
        <v>3160</v>
      </c>
      <c r="R534" s="13" t="s">
        <v>3163</v>
      </c>
      <c r="S534" s="13" t="s">
        <v>33</v>
      </c>
      <c r="T534" s="13" t="s">
        <v>3167</v>
      </c>
      <c r="U534" s="13" t="s">
        <v>3197</v>
      </c>
      <c r="V534" s="13" t="s">
        <v>3197</v>
      </c>
      <c r="W534" s="13" t="s">
        <v>3248</v>
      </c>
      <c r="X534" s="13" t="s">
        <v>3211</v>
      </c>
      <c r="Y534" s="13" t="s">
        <v>33</v>
      </c>
      <c r="Z534" s="13" t="s">
        <v>33</v>
      </c>
      <c r="AA534" s="13" t="b">
        <v>0</v>
      </c>
      <c r="AB534" s="47"/>
      <c r="AC534" s="49"/>
    </row>
    <row r="535" ht="14.25" customHeight="1">
      <c r="A535" s="13">
        <v>25190.0</v>
      </c>
      <c r="B535" s="13" t="str">
        <f t="shared" si="5"/>
        <v>Observational</v>
      </c>
      <c r="C535" s="13" t="s">
        <v>4856</v>
      </c>
      <c r="D535" s="1" t="s">
        <v>5259</v>
      </c>
      <c r="E535" s="13" t="s">
        <v>5260</v>
      </c>
      <c r="F535" s="13" t="s">
        <v>3208</v>
      </c>
      <c r="G535" s="13" t="s">
        <v>3273</v>
      </c>
      <c r="H535" s="13" t="s">
        <v>3242</v>
      </c>
      <c r="I535" s="13" t="s">
        <v>3188</v>
      </c>
      <c r="J535" s="13" t="s">
        <v>3189</v>
      </c>
      <c r="K535" s="13" t="s">
        <v>3153</v>
      </c>
      <c r="L535" s="13" t="s">
        <v>3169</v>
      </c>
      <c r="M535" s="13" t="s">
        <v>3459</v>
      </c>
      <c r="N535" s="13" t="s">
        <v>3162</v>
      </c>
      <c r="O535" s="13" t="s">
        <v>33</v>
      </c>
      <c r="P535" s="13">
        <v>2.0</v>
      </c>
      <c r="Q535" s="13" t="s">
        <v>3160</v>
      </c>
      <c r="R535" s="13" t="s">
        <v>3163</v>
      </c>
      <c r="S535" s="13" t="s">
        <v>33</v>
      </c>
      <c r="T535" s="13" t="s">
        <v>3167</v>
      </c>
      <c r="U535" s="13" t="s">
        <v>3247</v>
      </c>
      <c r="V535" s="13" t="s">
        <v>3247</v>
      </c>
      <c r="W535" s="13" t="s">
        <v>3248</v>
      </c>
      <c r="X535" s="13" t="s">
        <v>3170</v>
      </c>
      <c r="Y535" s="13" t="s">
        <v>3202</v>
      </c>
      <c r="Z535" s="13">
        <v>30.0</v>
      </c>
      <c r="AA535" s="13" t="b">
        <v>0</v>
      </c>
      <c r="AB535" s="48"/>
      <c r="AC535" s="49"/>
    </row>
    <row r="536" ht="14.25" customHeight="1">
      <c r="A536" s="13">
        <v>25521.0</v>
      </c>
      <c r="B536" s="13" t="str">
        <f t="shared" si="5"/>
        <v>Observational</v>
      </c>
      <c r="C536" s="13" t="s">
        <v>4856</v>
      </c>
      <c r="D536" s="50" t="s">
        <v>5056</v>
      </c>
      <c r="E536" s="2" t="s">
        <v>4965</v>
      </c>
      <c r="F536" s="13" t="s">
        <v>3208</v>
      </c>
      <c r="G536" s="13" t="s">
        <v>3186</v>
      </c>
      <c r="H536" s="13" t="s">
        <v>3166</v>
      </c>
      <c r="I536" s="13" t="s">
        <v>3222</v>
      </c>
      <c r="J536" s="13" t="s">
        <v>3182</v>
      </c>
      <c r="K536" s="13" t="s">
        <v>3153</v>
      </c>
      <c r="L536" s="13" t="s">
        <v>3169</v>
      </c>
      <c r="M536" s="13" t="s">
        <v>4257</v>
      </c>
      <c r="N536" s="13" t="s">
        <v>3162</v>
      </c>
      <c r="O536" s="13" t="s">
        <v>33</v>
      </c>
      <c r="P536" s="13">
        <v>2.0</v>
      </c>
      <c r="Q536" s="13" t="s">
        <v>3160</v>
      </c>
      <c r="R536" s="13" t="s">
        <v>3177</v>
      </c>
      <c r="S536" s="13" t="s">
        <v>33</v>
      </c>
      <c r="T536" s="13" t="s">
        <v>3178</v>
      </c>
      <c r="U536" s="13" t="s">
        <v>3164</v>
      </c>
      <c r="V536" s="13" t="s">
        <v>3164</v>
      </c>
      <c r="W536" s="13" t="s">
        <v>3167</v>
      </c>
      <c r="X536" s="13" t="s">
        <v>3170</v>
      </c>
      <c r="Y536" s="13" t="s">
        <v>3202</v>
      </c>
      <c r="Z536" s="13">
        <v>10.0</v>
      </c>
      <c r="AA536" s="13" t="b">
        <v>1</v>
      </c>
      <c r="AB536" s="48"/>
      <c r="AC536" s="49"/>
    </row>
    <row r="537" ht="14.25" customHeight="1">
      <c r="A537" s="13">
        <v>24606.0</v>
      </c>
      <c r="B537" s="13" t="str">
        <f t="shared" si="5"/>
        <v>Observational</v>
      </c>
      <c r="C537" s="13" t="s">
        <v>4856</v>
      </c>
      <c r="D537" s="13" t="s">
        <v>5062</v>
      </c>
      <c r="E537" s="13" t="s">
        <v>5261</v>
      </c>
      <c r="F537" s="13" t="s">
        <v>3173</v>
      </c>
      <c r="G537" s="13" t="s">
        <v>3159</v>
      </c>
      <c r="H537" s="13" t="s">
        <v>3166</v>
      </c>
      <c r="I537" s="13" t="s">
        <v>3222</v>
      </c>
      <c r="J537" s="13" t="s">
        <v>3229</v>
      </c>
      <c r="K537" s="13" t="s">
        <v>3153</v>
      </c>
      <c r="L537" s="13" t="s">
        <v>3169</v>
      </c>
      <c r="M537" s="13" t="s">
        <v>3975</v>
      </c>
      <c r="N537" s="13" t="s">
        <v>3175</v>
      </c>
      <c r="O537" s="13" t="s">
        <v>33</v>
      </c>
      <c r="P537" s="13">
        <v>3.0</v>
      </c>
      <c r="Q537" s="13" t="s">
        <v>3160</v>
      </c>
      <c r="R537" s="13" t="s">
        <v>3177</v>
      </c>
      <c r="S537" s="13" t="s">
        <v>33</v>
      </c>
      <c r="T537" s="13" t="s">
        <v>3178</v>
      </c>
      <c r="U537" s="13" t="s">
        <v>3164</v>
      </c>
      <c r="V537" s="13" t="s">
        <v>3164</v>
      </c>
      <c r="W537" s="13" t="s">
        <v>3167</v>
      </c>
      <c r="X537" s="13" t="s">
        <v>3192</v>
      </c>
      <c r="Y537" s="13" t="s">
        <v>3156</v>
      </c>
      <c r="Z537" s="13" t="s">
        <v>33</v>
      </c>
      <c r="AA537" s="13" t="b">
        <v>1</v>
      </c>
      <c r="AB537" s="48"/>
      <c r="AC537" s="49"/>
    </row>
    <row r="538" ht="14.25" customHeight="1">
      <c r="A538" s="13">
        <v>24648.0</v>
      </c>
      <c r="B538" s="13" t="str">
        <f t="shared" si="5"/>
        <v>Observational</v>
      </c>
      <c r="C538" s="13" t="s">
        <v>4856</v>
      </c>
      <c r="D538" s="1" t="s">
        <v>5262</v>
      </c>
      <c r="E538" s="13" t="s">
        <v>5263</v>
      </c>
      <c r="F538" s="13" t="s">
        <v>3186</v>
      </c>
      <c r="G538" s="13" t="s">
        <v>3702</v>
      </c>
      <c r="H538" s="13" t="s">
        <v>3166</v>
      </c>
      <c r="I538" s="13" t="s">
        <v>3222</v>
      </c>
      <c r="J538" s="13" t="s">
        <v>3229</v>
      </c>
      <c r="K538" s="13" t="s">
        <v>3153</v>
      </c>
      <c r="L538" s="13" t="s">
        <v>3169</v>
      </c>
      <c r="M538" s="13" t="s">
        <v>3982</v>
      </c>
      <c r="N538" s="13" t="s">
        <v>3175</v>
      </c>
      <c r="O538" s="13" t="s">
        <v>33</v>
      </c>
      <c r="P538" s="13">
        <v>3.0</v>
      </c>
      <c r="Q538" s="13" t="s">
        <v>3177</v>
      </c>
      <c r="R538" s="13" t="s">
        <v>3177</v>
      </c>
      <c r="S538" s="13" t="s">
        <v>33</v>
      </c>
      <c r="T538" s="13" t="s">
        <v>3178</v>
      </c>
      <c r="U538" s="13" t="s">
        <v>3164</v>
      </c>
      <c r="V538" s="13" t="s">
        <v>3164</v>
      </c>
      <c r="W538" s="13" t="s">
        <v>3167</v>
      </c>
      <c r="X538" s="13" t="s">
        <v>3192</v>
      </c>
      <c r="Y538" s="13" t="s">
        <v>33</v>
      </c>
      <c r="Z538" s="13" t="s">
        <v>33</v>
      </c>
      <c r="AA538" s="13" t="b">
        <v>0</v>
      </c>
      <c r="AB538" s="48"/>
      <c r="AC538" s="49"/>
    </row>
    <row r="539" ht="14.25" customHeight="1">
      <c r="A539" s="13">
        <v>24253.0</v>
      </c>
      <c r="B539" s="13" t="str">
        <f t="shared" si="5"/>
        <v>Observational</v>
      </c>
      <c r="C539" s="13" t="s">
        <v>4856</v>
      </c>
      <c r="D539" s="1" t="s">
        <v>5264</v>
      </c>
      <c r="E539" s="13" t="s">
        <v>4992</v>
      </c>
      <c r="F539" s="13" t="s">
        <v>3183</v>
      </c>
      <c r="G539" s="13" t="s">
        <v>3815</v>
      </c>
      <c r="H539" s="13" t="s">
        <v>3253</v>
      </c>
      <c r="I539" s="13" t="s">
        <v>3167</v>
      </c>
      <c r="J539" s="13" t="s">
        <v>3167</v>
      </c>
      <c r="K539" s="13" t="s">
        <v>3153</v>
      </c>
      <c r="L539" s="13" t="s">
        <v>3169</v>
      </c>
      <c r="M539" s="13" t="s">
        <v>3814</v>
      </c>
      <c r="N539" s="13" t="s">
        <v>3162</v>
      </c>
      <c r="O539" s="13" t="s">
        <v>3689</v>
      </c>
      <c r="P539" s="13">
        <v>2.0</v>
      </c>
      <c r="Q539" s="13" t="s">
        <v>3160</v>
      </c>
      <c r="R539" s="13" t="s">
        <v>3163</v>
      </c>
      <c r="S539" s="13" t="s">
        <v>3689</v>
      </c>
      <c r="T539" s="13" t="s">
        <v>3816</v>
      </c>
      <c r="U539" s="13" t="s">
        <v>3252</v>
      </c>
      <c r="V539" s="13" t="s">
        <v>3252</v>
      </c>
      <c r="W539" s="13" t="s">
        <v>3377</v>
      </c>
      <c r="X539" s="13" t="s">
        <v>3217</v>
      </c>
      <c r="Y539" s="13" t="s">
        <v>3156</v>
      </c>
      <c r="Z539" s="13" t="s">
        <v>33</v>
      </c>
      <c r="AA539" s="13" t="b">
        <v>0</v>
      </c>
      <c r="AB539" s="48"/>
      <c r="AC539" s="49"/>
    </row>
    <row r="540" ht="14.25" customHeight="1">
      <c r="A540" s="13">
        <v>24917.0</v>
      </c>
      <c r="B540" s="13" t="str">
        <f t="shared" si="5"/>
        <v>Observational</v>
      </c>
      <c r="C540" s="13" t="s">
        <v>4856</v>
      </c>
      <c r="D540" s="1" t="s">
        <v>5062</v>
      </c>
      <c r="E540" s="13" t="s">
        <v>5254</v>
      </c>
      <c r="F540" s="13" t="s">
        <v>3183</v>
      </c>
      <c r="G540" s="13" t="s">
        <v>3183</v>
      </c>
      <c r="H540" s="13" t="s">
        <v>3166</v>
      </c>
      <c r="I540" s="13" t="s">
        <v>3188</v>
      </c>
      <c r="J540" s="13" t="s">
        <v>3286</v>
      </c>
      <c r="K540" s="13" t="s">
        <v>3153</v>
      </c>
      <c r="L540" s="13" t="s">
        <v>3169</v>
      </c>
      <c r="M540" s="13" t="s">
        <v>4082</v>
      </c>
      <c r="N540" s="13" t="s">
        <v>3162</v>
      </c>
      <c r="O540" s="13" t="s">
        <v>3689</v>
      </c>
      <c r="P540" s="13">
        <v>2.0</v>
      </c>
      <c r="Q540" s="13" t="s">
        <v>3160</v>
      </c>
      <c r="R540" s="13" t="s">
        <v>3163</v>
      </c>
      <c r="S540" s="13" t="s">
        <v>33</v>
      </c>
      <c r="T540" s="13" t="s">
        <v>3178</v>
      </c>
      <c r="U540" s="13" t="s">
        <v>3164</v>
      </c>
      <c r="V540" s="13" t="s">
        <v>3164</v>
      </c>
      <c r="W540" s="13" t="s">
        <v>3167</v>
      </c>
      <c r="X540" s="13" t="s">
        <v>3155</v>
      </c>
      <c r="Y540" s="13" t="s">
        <v>33</v>
      </c>
      <c r="Z540" s="13" t="s">
        <v>33</v>
      </c>
      <c r="AA540" s="13" t="b">
        <v>0</v>
      </c>
      <c r="AB540" s="48"/>
      <c r="AC540" s="49"/>
    </row>
    <row r="541" ht="14.25" customHeight="1">
      <c r="A541" s="13">
        <v>25803.0</v>
      </c>
      <c r="B541" s="13" t="str">
        <f t="shared" si="5"/>
        <v>Observational</v>
      </c>
      <c r="C541" s="13" t="s">
        <v>4856</v>
      </c>
      <c r="D541" s="1" t="s">
        <v>5062</v>
      </c>
      <c r="E541" s="13" t="s">
        <v>5254</v>
      </c>
      <c r="F541" s="13" t="s">
        <v>3381</v>
      </c>
      <c r="G541" s="13" t="s">
        <v>3381</v>
      </c>
      <c r="H541" s="13" t="s">
        <v>3166</v>
      </c>
      <c r="I541" s="13" t="s">
        <v>3222</v>
      </c>
      <c r="J541" s="13" t="s">
        <v>3775</v>
      </c>
      <c r="K541" s="13" t="s">
        <v>3153</v>
      </c>
      <c r="L541" s="13" t="s">
        <v>3169</v>
      </c>
      <c r="M541" s="13" t="s">
        <v>4082</v>
      </c>
      <c r="N541" s="13" t="s">
        <v>3162</v>
      </c>
      <c r="O541" s="13" t="s">
        <v>4328</v>
      </c>
      <c r="P541" s="13">
        <v>1.0</v>
      </c>
      <c r="Q541" s="13" t="s">
        <v>3177</v>
      </c>
      <c r="R541" s="13" t="s">
        <v>3177</v>
      </c>
      <c r="S541" s="13" t="s">
        <v>33</v>
      </c>
      <c r="T541" s="13" t="s">
        <v>3168</v>
      </c>
      <c r="U541" s="13" t="s">
        <v>3164</v>
      </c>
      <c r="V541" s="13" t="s">
        <v>3164</v>
      </c>
      <c r="W541" s="13" t="s">
        <v>3167</v>
      </c>
      <c r="X541" s="13" t="s">
        <v>3211</v>
      </c>
      <c r="Y541" s="13" t="s">
        <v>3187</v>
      </c>
      <c r="Z541" s="13">
        <v>100.0</v>
      </c>
      <c r="AA541" s="13" t="b">
        <v>0</v>
      </c>
      <c r="AB541" s="48"/>
      <c r="AC541" s="49"/>
    </row>
    <row r="542" ht="14.25" customHeight="1">
      <c r="A542" s="13">
        <v>23694.0</v>
      </c>
      <c r="B542" s="13" t="str">
        <f t="shared" si="5"/>
        <v>Observational</v>
      </c>
      <c r="C542" s="13" t="s">
        <v>4856</v>
      </c>
      <c r="D542" s="1" t="s">
        <v>5265</v>
      </c>
      <c r="E542" s="13" t="s">
        <v>5254</v>
      </c>
      <c r="F542" s="13" t="s">
        <v>3159</v>
      </c>
      <c r="G542" s="13" t="s">
        <v>3159</v>
      </c>
      <c r="H542" s="13" t="s">
        <v>3166</v>
      </c>
      <c r="I542" s="13" t="s">
        <v>3244</v>
      </c>
      <c r="J542" s="13" t="s">
        <v>3531</v>
      </c>
      <c r="K542" s="13" t="s">
        <v>3153</v>
      </c>
      <c r="L542" s="13" t="s">
        <v>3169</v>
      </c>
      <c r="M542" s="13" t="s">
        <v>3577</v>
      </c>
      <c r="N542" s="13" t="s">
        <v>3175</v>
      </c>
      <c r="O542" s="13" t="s">
        <v>33</v>
      </c>
      <c r="P542" s="13">
        <v>3.0</v>
      </c>
      <c r="Q542" s="13" t="s">
        <v>3177</v>
      </c>
      <c r="R542" s="13" t="s">
        <v>3163</v>
      </c>
      <c r="S542" s="13" t="s">
        <v>33</v>
      </c>
      <c r="T542" s="13" t="s">
        <v>3276</v>
      </c>
      <c r="U542" s="13" t="s">
        <v>3197</v>
      </c>
      <c r="V542" s="13" t="s">
        <v>3197</v>
      </c>
      <c r="W542" s="13" t="s">
        <v>3167</v>
      </c>
      <c r="X542" s="13" t="s">
        <v>3155</v>
      </c>
      <c r="Y542" s="13" t="s">
        <v>3187</v>
      </c>
      <c r="Z542" s="13">
        <v>1.0</v>
      </c>
      <c r="AA542" s="13" t="b">
        <v>0</v>
      </c>
      <c r="AB542" s="48"/>
      <c r="AC542" s="49"/>
    </row>
    <row r="543" ht="14.25" customHeight="1">
      <c r="A543" s="13">
        <v>24256.0</v>
      </c>
      <c r="B543" s="13" t="str">
        <f t="shared" si="5"/>
        <v>Observational</v>
      </c>
      <c r="C543" s="13" t="s">
        <v>4856</v>
      </c>
      <c r="D543" s="1" t="s">
        <v>5266</v>
      </c>
      <c r="E543" s="13" t="s">
        <v>5267</v>
      </c>
      <c r="F543" s="13" t="s">
        <v>3159</v>
      </c>
      <c r="G543" s="13" t="s">
        <v>3437</v>
      </c>
      <c r="H543" s="13" t="s">
        <v>3242</v>
      </c>
      <c r="I543" s="13" t="s">
        <v>3188</v>
      </c>
      <c r="J543" s="13" t="s">
        <v>3432</v>
      </c>
      <c r="K543" s="13" t="s">
        <v>3153</v>
      </c>
      <c r="L543" s="13" t="s">
        <v>3169</v>
      </c>
      <c r="M543" s="13" t="s">
        <v>3817</v>
      </c>
      <c r="N543" s="13" t="s">
        <v>3162</v>
      </c>
      <c r="O543" s="13" t="s">
        <v>3167</v>
      </c>
      <c r="P543" s="13">
        <v>1.0</v>
      </c>
      <c r="Q543" s="13" t="s">
        <v>3160</v>
      </c>
      <c r="R543" s="13" t="s">
        <v>3231</v>
      </c>
      <c r="S543" s="13" t="s">
        <v>33</v>
      </c>
      <c r="T543" s="13" t="s">
        <v>3167</v>
      </c>
      <c r="U543" s="13" t="s">
        <v>3197</v>
      </c>
      <c r="V543" s="13" t="s">
        <v>3197</v>
      </c>
      <c r="W543" s="13" t="s">
        <v>3294</v>
      </c>
      <c r="X543" s="13" t="s">
        <v>3170</v>
      </c>
      <c r="Y543" s="13" t="s">
        <v>3156</v>
      </c>
      <c r="Z543" s="13" t="s">
        <v>3167</v>
      </c>
      <c r="AA543" s="13" t="b">
        <v>0</v>
      </c>
      <c r="AB543" s="48"/>
      <c r="AC543" s="49"/>
    </row>
    <row r="544" ht="14.25" customHeight="1">
      <c r="A544" s="13">
        <v>25211.0</v>
      </c>
      <c r="B544" s="13" t="str">
        <f t="shared" si="5"/>
        <v>Observational</v>
      </c>
      <c r="C544" s="13" t="s">
        <v>4856</v>
      </c>
      <c r="D544" s="1" t="s">
        <v>5268</v>
      </c>
      <c r="E544" s="13" t="s">
        <v>5269</v>
      </c>
      <c r="F544" s="13" t="s">
        <v>3265</v>
      </c>
      <c r="G544" s="13" t="s">
        <v>3183</v>
      </c>
      <c r="H544" s="13" t="s">
        <v>3166</v>
      </c>
      <c r="I544" s="13" t="s">
        <v>3203</v>
      </c>
      <c r="J544" s="13" t="s">
        <v>3204</v>
      </c>
      <c r="K544" s="13" t="s">
        <v>3153</v>
      </c>
      <c r="L544" s="13" t="s">
        <v>3169</v>
      </c>
      <c r="M544" s="13" t="s">
        <v>4177</v>
      </c>
      <c r="N544" s="13" t="s">
        <v>3162</v>
      </c>
      <c r="O544" s="13" t="s">
        <v>3167</v>
      </c>
      <c r="P544" s="13">
        <v>2.0</v>
      </c>
      <c r="Q544" s="13" t="s">
        <v>3160</v>
      </c>
      <c r="R544" s="13" t="s">
        <v>3231</v>
      </c>
      <c r="S544" s="13" t="s">
        <v>4178</v>
      </c>
      <c r="T544" s="13" t="s">
        <v>3178</v>
      </c>
      <c r="U544" s="13" t="s">
        <v>3164</v>
      </c>
      <c r="V544" s="13" t="s">
        <v>3164</v>
      </c>
      <c r="W544" s="13" t="s">
        <v>3167</v>
      </c>
      <c r="X544" s="13" t="s">
        <v>3170</v>
      </c>
      <c r="Y544" s="13" t="s">
        <v>3202</v>
      </c>
      <c r="Z544" s="13">
        <v>500.0</v>
      </c>
      <c r="AA544" s="13" t="b">
        <v>0</v>
      </c>
      <c r="AB544" s="48"/>
      <c r="AC544" s="49"/>
    </row>
    <row r="545" ht="14.25" customHeight="1">
      <c r="A545" s="13">
        <v>23518.0</v>
      </c>
      <c r="B545" s="13" t="str">
        <f t="shared" si="5"/>
        <v>Observational</v>
      </c>
      <c r="C545" s="13" t="s">
        <v>4856</v>
      </c>
      <c r="D545" s="1" t="s">
        <v>5270</v>
      </c>
      <c r="E545" s="13" t="s">
        <v>5271</v>
      </c>
      <c r="F545" s="13" t="s">
        <v>3159</v>
      </c>
      <c r="G545" s="13" t="s">
        <v>3159</v>
      </c>
      <c r="H545" s="13" t="s">
        <v>3166</v>
      </c>
      <c r="I545" s="13" t="s">
        <v>3222</v>
      </c>
      <c r="J545" s="13" t="s">
        <v>3182</v>
      </c>
      <c r="K545" s="13" t="s">
        <v>3153</v>
      </c>
      <c r="L545" s="13" t="s">
        <v>3169</v>
      </c>
      <c r="M545" s="13" t="s">
        <v>3482</v>
      </c>
      <c r="N545" s="13" t="s">
        <v>3162</v>
      </c>
      <c r="O545" s="13" t="s">
        <v>3167</v>
      </c>
      <c r="P545" s="13">
        <v>2.0</v>
      </c>
      <c r="Q545" s="13" t="s">
        <v>3177</v>
      </c>
      <c r="R545" s="13" t="s">
        <v>3231</v>
      </c>
      <c r="S545" s="13" t="s">
        <v>33</v>
      </c>
      <c r="T545" s="13" t="s">
        <v>3178</v>
      </c>
      <c r="U545" s="13" t="s">
        <v>3164</v>
      </c>
      <c r="V545" s="13" t="s">
        <v>3164</v>
      </c>
      <c r="W545" s="13" t="s">
        <v>3167</v>
      </c>
      <c r="X545" s="13" t="s">
        <v>3170</v>
      </c>
      <c r="Y545" s="13" t="s">
        <v>3202</v>
      </c>
      <c r="Z545" s="13">
        <v>50.0</v>
      </c>
      <c r="AA545" s="13" t="b">
        <v>0</v>
      </c>
      <c r="AB545" s="48"/>
      <c r="AC545" s="49"/>
    </row>
    <row r="546" ht="14.25" customHeight="1">
      <c r="A546" s="13">
        <v>23262.0</v>
      </c>
      <c r="B546" s="13" t="str">
        <f t="shared" si="5"/>
        <v>Observational</v>
      </c>
      <c r="C546" s="13" t="s">
        <v>4856</v>
      </c>
      <c r="D546" s="1" t="s">
        <v>5272</v>
      </c>
      <c r="E546" s="13" t="s">
        <v>5249</v>
      </c>
      <c r="F546" s="13" t="s">
        <v>3186</v>
      </c>
      <c r="G546" s="13" t="s">
        <v>3173</v>
      </c>
      <c r="H546" s="13" t="s">
        <v>3166</v>
      </c>
      <c r="I546" s="13" t="s">
        <v>3222</v>
      </c>
      <c r="J546" s="13" t="s">
        <v>3182</v>
      </c>
      <c r="K546" s="13" t="s">
        <v>3153</v>
      </c>
      <c r="L546" s="13" t="s">
        <v>3169</v>
      </c>
      <c r="M546" s="13" t="s">
        <v>3363</v>
      </c>
      <c r="N546" s="13" t="s">
        <v>3162</v>
      </c>
      <c r="O546" s="13" t="s">
        <v>33</v>
      </c>
      <c r="P546" s="13">
        <v>1.0</v>
      </c>
      <c r="Q546" s="13" t="s">
        <v>3177</v>
      </c>
      <c r="R546" s="13" t="s">
        <v>3177</v>
      </c>
      <c r="S546" s="13" t="s">
        <v>33</v>
      </c>
      <c r="T546" s="13" t="s">
        <v>3224</v>
      </c>
      <c r="U546" s="13" t="s">
        <v>3164</v>
      </c>
      <c r="V546" s="13" t="s">
        <v>3164</v>
      </c>
      <c r="W546" s="13" t="s">
        <v>3167</v>
      </c>
      <c r="X546" s="13" t="s">
        <v>3192</v>
      </c>
      <c r="Y546" s="13" t="s">
        <v>3187</v>
      </c>
      <c r="Z546" s="13">
        <v>1.0</v>
      </c>
      <c r="AA546" s="13" t="b">
        <v>0</v>
      </c>
      <c r="AB546" s="48"/>
      <c r="AC546" s="49"/>
    </row>
    <row r="547" ht="14.25" customHeight="1">
      <c r="A547" s="13">
        <v>23649.0</v>
      </c>
      <c r="B547" s="13" t="str">
        <f t="shared" si="5"/>
        <v>Observational</v>
      </c>
      <c r="C547" s="13" t="s">
        <v>4856</v>
      </c>
      <c r="D547" s="1" t="s">
        <v>5272</v>
      </c>
      <c r="E547" s="13" t="s">
        <v>5249</v>
      </c>
      <c r="F547" s="13" t="s">
        <v>3183</v>
      </c>
      <c r="G547" s="13" t="s">
        <v>3173</v>
      </c>
      <c r="H547" s="13" t="s">
        <v>3166</v>
      </c>
      <c r="I547" s="13" t="s">
        <v>3157</v>
      </c>
      <c r="J547" s="13" t="s">
        <v>3551</v>
      </c>
      <c r="K547" s="13" t="s">
        <v>3153</v>
      </c>
      <c r="L547" s="13" t="s">
        <v>3169</v>
      </c>
      <c r="M547" s="13" t="s">
        <v>3363</v>
      </c>
      <c r="N547" s="13" t="s">
        <v>3162</v>
      </c>
      <c r="O547" s="13" t="s">
        <v>3552</v>
      </c>
      <c r="P547" s="13">
        <v>1.0</v>
      </c>
      <c r="Q547" s="13" t="s">
        <v>3160</v>
      </c>
      <c r="R547" s="13" t="s">
        <v>3260</v>
      </c>
      <c r="S547" s="13" t="s">
        <v>3553</v>
      </c>
      <c r="T547" s="13" t="s">
        <v>3224</v>
      </c>
      <c r="U547" s="13" t="s">
        <v>3232</v>
      </c>
      <c r="V547" s="13" t="s">
        <v>3232</v>
      </c>
      <c r="W547" s="13" t="s">
        <v>3167</v>
      </c>
      <c r="X547" s="13" t="s">
        <v>3211</v>
      </c>
      <c r="Y547" s="13" t="s">
        <v>3311</v>
      </c>
      <c r="Z547" s="13">
        <v>10.0</v>
      </c>
      <c r="AA547" s="13" t="b">
        <v>0</v>
      </c>
      <c r="AB547" s="48"/>
      <c r="AC547" s="49"/>
    </row>
    <row r="548" ht="14.25" customHeight="1">
      <c r="A548" s="13">
        <v>23791.0</v>
      </c>
      <c r="B548" s="13" t="str">
        <f t="shared" si="5"/>
        <v>Observational</v>
      </c>
      <c r="C548" s="13" t="s">
        <v>4856</v>
      </c>
      <c r="D548" s="1" t="s">
        <v>5272</v>
      </c>
      <c r="E548" s="13" t="s">
        <v>5249</v>
      </c>
      <c r="F548" s="13" t="s">
        <v>3381</v>
      </c>
      <c r="G548" s="13" t="s">
        <v>3183</v>
      </c>
      <c r="H548" s="13" t="s">
        <v>3166</v>
      </c>
      <c r="I548" s="13" t="s">
        <v>3222</v>
      </c>
      <c r="J548" s="13" t="s">
        <v>3182</v>
      </c>
      <c r="K548" s="13" t="s">
        <v>3153</v>
      </c>
      <c r="L548" s="13" t="s">
        <v>3169</v>
      </c>
      <c r="M548" s="13" t="s">
        <v>3363</v>
      </c>
      <c r="N548" s="13" t="s">
        <v>3162</v>
      </c>
      <c r="O548" s="13" t="s">
        <v>3621</v>
      </c>
      <c r="P548" s="13">
        <v>1.0</v>
      </c>
      <c r="Q548" s="13" t="s">
        <v>3177</v>
      </c>
      <c r="R548" s="13" t="s">
        <v>3163</v>
      </c>
      <c r="S548" s="13" t="s">
        <v>3622</v>
      </c>
      <c r="T548" s="13" t="s">
        <v>3224</v>
      </c>
      <c r="U548" s="13" t="s">
        <v>3164</v>
      </c>
      <c r="V548" s="13" t="s">
        <v>3164</v>
      </c>
      <c r="W548" s="13" t="s">
        <v>3167</v>
      </c>
      <c r="X548" s="13" t="s">
        <v>3192</v>
      </c>
      <c r="Y548" s="13" t="s">
        <v>3187</v>
      </c>
      <c r="Z548" s="13">
        <v>1.0</v>
      </c>
      <c r="AA548" s="13" t="b">
        <v>0</v>
      </c>
      <c r="AB548" s="48"/>
      <c r="AC548" s="49"/>
    </row>
    <row r="549" ht="14.25" customHeight="1">
      <c r="A549" s="13">
        <v>24029.0</v>
      </c>
      <c r="B549" s="13" t="str">
        <f t="shared" si="5"/>
        <v>Observational</v>
      </c>
      <c r="C549" s="13" t="s">
        <v>4856</v>
      </c>
      <c r="D549" s="1" t="s">
        <v>5272</v>
      </c>
      <c r="E549" s="13" t="s">
        <v>5249</v>
      </c>
      <c r="F549" s="13" t="s">
        <v>3183</v>
      </c>
      <c r="G549" s="13" t="s">
        <v>3159</v>
      </c>
      <c r="H549" s="13" t="s">
        <v>3166</v>
      </c>
      <c r="I549" s="13" t="s">
        <v>3222</v>
      </c>
      <c r="J549" s="13" t="s">
        <v>3182</v>
      </c>
      <c r="K549" s="13" t="s">
        <v>3153</v>
      </c>
      <c r="L549" s="13" t="s">
        <v>3169</v>
      </c>
      <c r="M549" s="13" t="s">
        <v>3363</v>
      </c>
      <c r="N549" s="13" t="s">
        <v>3162</v>
      </c>
      <c r="O549" s="13" t="s">
        <v>3726</v>
      </c>
      <c r="P549" s="13">
        <v>1.0</v>
      </c>
      <c r="Q549" s="13" t="s">
        <v>3160</v>
      </c>
      <c r="R549" s="13" t="s">
        <v>3231</v>
      </c>
      <c r="S549" s="13" t="s">
        <v>33</v>
      </c>
      <c r="T549" s="13" t="s">
        <v>3224</v>
      </c>
      <c r="U549" s="13" t="s">
        <v>3164</v>
      </c>
      <c r="V549" s="13" t="s">
        <v>3164</v>
      </c>
      <c r="W549" s="13" t="s">
        <v>3167</v>
      </c>
      <c r="X549" s="13" t="s">
        <v>3170</v>
      </c>
      <c r="Y549" s="13" t="s">
        <v>3156</v>
      </c>
      <c r="Z549" s="13" t="s">
        <v>3167</v>
      </c>
      <c r="AA549" s="13" t="b">
        <v>0</v>
      </c>
      <c r="AB549" s="48"/>
      <c r="AC549" s="49"/>
    </row>
    <row r="550" ht="14.25" customHeight="1">
      <c r="A550" s="13">
        <v>24202.0</v>
      </c>
      <c r="B550" s="13" t="str">
        <f t="shared" si="5"/>
        <v>Observational</v>
      </c>
      <c r="C550" s="13" t="s">
        <v>4856</v>
      </c>
      <c r="D550" s="1" t="s">
        <v>5272</v>
      </c>
      <c r="E550" s="13" t="s">
        <v>5249</v>
      </c>
      <c r="F550" s="13" t="s">
        <v>3381</v>
      </c>
      <c r="G550" s="13" t="s">
        <v>3183</v>
      </c>
      <c r="H550" s="13" t="s">
        <v>3166</v>
      </c>
      <c r="I550" s="13" t="s">
        <v>3157</v>
      </c>
      <c r="J550" s="13" t="s">
        <v>3199</v>
      </c>
      <c r="K550" s="13" t="s">
        <v>3153</v>
      </c>
      <c r="L550" s="13" t="s">
        <v>3169</v>
      </c>
      <c r="M550" s="13" t="s">
        <v>3363</v>
      </c>
      <c r="N550" s="13" t="s">
        <v>3162</v>
      </c>
      <c r="O550" s="13" t="s">
        <v>3796</v>
      </c>
      <c r="P550" s="13">
        <v>1.0</v>
      </c>
      <c r="Q550" s="13" t="s">
        <v>3160</v>
      </c>
      <c r="R550" s="13" t="s">
        <v>3231</v>
      </c>
      <c r="S550" s="13" t="s">
        <v>3796</v>
      </c>
      <c r="T550" s="13" t="s">
        <v>3224</v>
      </c>
      <c r="U550" s="13" t="s">
        <v>3232</v>
      </c>
      <c r="V550" s="13" t="s">
        <v>3232</v>
      </c>
      <c r="W550" s="13" t="s">
        <v>3167</v>
      </c>
      <c r="X550" s="13" t="s">
        <v>3192</v>
      </c>
      <c r="Y550" s="13" t="s">
        <v>3202</v>
      </c>
      <c r="Z550" s="13">
        <v>20.0</v>
      </c>
      <c r="AA550" s="13" t="b">
        <v>0</v>
      </c>
      <c r="AB550" s="48"/>
      <c r="AC550" s="49"/>
    </row>
    <row r="551" ht="14.25" customHeight="1">
      <c r="A551" s="13">
        <v>24203.0</v>
      </c>
      <c r="B551" s="13" t="str">
        <f t="shared" si="5"/>
        <v>Observational</v>
      </c>
      <c r="C551" s="13" t="s">
        <v>4856</v>
      </c>
      <c r="D551" s="1" t="s">
        <v>5272</v>
      </c>
      <c r="E551" s="13" t="s">
        <v>5249</v>
      </c>
      <c r="F551" s="13" t="s">
        <v>3190</v>
      </c>
      <c r="G551" s="13" t="s">
        <v>3159</v>
      </c>
      <c r="H551" s="13" t="s">
        <v>3166</v>
      </c>
      <c r="I551" s="13" t="s">
        <v>3157</v>
      </c>
      <c r="J551" s="13" t="s">
        <v>3199</v>
      </c>
      <c r="K551" s="13" t="s">
        <v>3153</v>
      </c>
      <c r="L551" s="13" t="s">
        <v>3169</v>
      </c>
      <c r="M551" s="13" t="s">
        <v>3363</v>
      </c>
      <c r="N551" s="13" t="s">
        <v>3162</v>
      </c>
      <c r="O551" s="13" t="s">
        <v>3167</v>
      </c>
      <c r="P551" s="13">
        <v>1.0</v>
      </c>
      <c r="Q551" s="13" t="s">
        <v>3160</v>
      </c>
      <c r="R551" s="13" t="s">
        <v>3231</v>
      </c>
      <c r="S551" s="13" t="s">
        <v>33</v>
      </c>
      <c r="T551" s="13" t="s">
        <v>3224</v>
      </c>
      <c r="U551" s="13" t="s">
        <v>3164</v>
      </c>
      <c r="V551" s="13" t="s">
        <v>3164</v>
      </c>
      <c r="W551" s="13" t="s">
        <v>3167</v>
      </c>
      <c r="X551" s="13" t="s">
        <v>3192</v>
      </c>
      <c r="Y551" s="13" t="s">
        <v>3187</v>
      </c>
      <c r="Z551" s="13">
        <v>100.0</v>
      </c>
      <c r="AA551" s="13" t="b">
        <v>0</v>
      </c>
      <c r="AB551" s="48"/>
      <c r="AC551" s="49"/>
    </row>
    <row r="552" ht="14.25" customHeight="1">
      <c r="A552" s="13">
        <v>24364.0</v>
      </c>
      <c r="B552" s="13" t="str">
        <f t="shared" si="5"/>
        <v>Observational</v>
      </c>
      <c r="C552" s="13" t="s">
        <v>4856</v>
      </c>
      <c r="D552" s="1" t="s">
        <v>5272</v>
      </c>
      <c r="E552" s="13" t="s">
        <v>5249</v>
      </c>
      <c r="F552" s="13" t="s">
        <v>3381</v>
      </c>
      <c r="G552" s="13" t="s">
        <v>3183</v>
      </c>
      <c r="H552" s="13" t="s">
        <v>3166</v>
      </c>
      <c r="I552" s="13" t="s">
        <v>3171</v>
      </c>
      <c r="J552" s="13" t="s">
        <v>3385</v>
      </c>
      <c r="K552" s="13" t="s">
        <v>3153</v>
      </c>
      <c r="L552" s="13" t="s">
        <v>3169</v>
      </c>
      <c r="M552" s="13" t="s">
        <v>3363</v>
      </c>
      <c r="N552" s="13" t="s">
        <v>3162</v>
      </c>
      <c r="O552" s="13" t="s">
        <v>3870</v>
      </c>
      <c r="P552" s="13">
        <v>1.0</v>
      </c>
      <c r="Q552" s="13" t="s">
        <v>3177</v>
      </c>
      <c r="R552" s="13" t="s">
        <v>3177</v>
      </c>
      <c r="S552" s="13" t="s">
        <v>3871</v>
      </c>
      <c r="T552" s="13" t="s">
        <v>3178</v>
      </c>
      <c r="U552" s="13" t="s">
        <v>3228</v>
      </c>
      <c r="V552" s="13" t="s">
        <v>3228</v>
      </c>
      <c r="W552" s="13" t="s">
        <v>3167</v>
      </c>
      <c r="X552" s="13" t="s">
        <v>3170</v>
      </c>
      <c r="Y552" s="13" t="s">
        <v>3156</v>
      </c>
      <c r="Z552" s="13" t="s">
        <v>33</v>
      </c>
      <c r="AA552" s="13" t="b">
        <v>0</v>
      </c>
      <c r="AB552" s="48"/>
      <c r="AC552" s="49"/>
    </row>
    <row r="553" ht="14.25" customHeight="1">
      <c r="A553" s="13">
        <v>25120.0</v>
      </c>
      <c r="B553" s="13" t="str">
        <f t="shared" si="5"/>
        <v>Observational</v>
      </c>
      <c r="C553" s="13" t="s">
        <v>4856</v>
      </c>
      <c r="D553" s="1" t="s">
        <v>5272</v>
      </c>
      <c r="E553" s="13" t="s">
        <v>5249</v>
      </c>
      <c r="F553" s="13" t="s">
        <v>3159</v>
      </c>
      <c r="G553" s="13" t="s">
        <v>3159</v>
      </c>
      <c r="H553" s="13" t="s">
        <v>3166</v>
      </c>
      <c r="I553" s="13" t="s">
        <v>3244</v>
      </c>
      <c r="J553" s="13" t="s">
        <v>3289</v>
      </c>
      <c r="K553" s="13" t="s">
        <v>3153</v>
      </c>
      <c r="L553" s="13" t="s">
        <v>3169</v>
      </c>
      <c r="M553" s="13" t="s">
        <v>3363</v>
      </c>
      <c r="N553" s="13" t="s">
        <v>3162</v>
      </c>
      <c r="O553" s="13" t="s">
        <v>33</v>
      </c>
      <c r="P553" s="13">
        <v>1.0</v>
      </c>
      <c r="Q553" s="13" t="s">
        <v>3160</v>
      </c>
      <c r="R553" s="13" t="s">
        <v>3163</v>
      </c>
      <c r="S553" s="13" t="s">
        <v>33</v>
      </c>
      <c r="T553" s="13" t="s">
        <v>3178</v>
      </c>
      <c r="U553" s="13" t="s">
        <v>3164</v>
      </c>
      <c r="V553" s="13" t="s">
        <v>3164</v>
      </c>
      <c r="W553" s="13" t="s">
        <v>3167</v>
      </c>
      <c r="X553" s="13" t="s">
        <v>3170</v>
      </c>
      <c r="Y553" s="13" t="s">
        <v>3156</v>
      </c>
      <c r="Z553" s="13" t="s">
        <v>33</v>
      </c>
      <c r="AA553" s="13" t="b">
        <v>0</v>
      </c>
      <c r="AB553" s="48"/>
      <c r="AC553" s="49"/>
    </row>
    <row r="554" ht="14.25" customHeight="1">
      <c r="A554" s="13">
        <v>25122.0</v>
      </c>
      <c r="B554" s="13" t="str">
        <f t="shared" si="5"/>
        <v>Observational</v>
      </c>
      <c r="C554" s="13" t="s">
        <v>4856</v>
      </c>
      <c r="D554" s="1" t="s">
        <v>5272</v>
      </c>
      <c r="E554" s="13" t="s">
        <v>5249</v>
      </c>
      <c r="F554" s="13" t="s">
        <v>3333</v>
      </c>
      <c r="G554" s="13" t="s">
        <v>3173</v>
      </c>
      <c r="H554" s="13" t="s">
        <v>3166</v>
      </c>
      <c r="I554" s="13" t="s">
        <v>3157</v>
      </c>
      <c r="J554" s="13" t="s">
        <v>3199</v>
      </c>
      <c r="K554" s="13" t="s">
        <v>3153</v>
      </c>
      <c r="L554" s="13" t="s">
        <v>3169</v>
      </c>
      <c r="M554" s="13" t="s">
        <v>3363</v>
      </c>
      <c r="N554" s="13" t="s">
        <v>3162</v>
      </c>
      <c r="O554" s="13" t="s">
        <v>33</v>
      </c>
      <c r="P554" s="13">
        <v>1.0</v>
      </c>
      <c r="Q554" s="13" t="s">
        <v>3160</v>
      </c>
      <c r="R554" s="13" t="s">
        <v>3163</v>
      </c>
      <c r="S554" s="13" t="s">
        <v>33</v>
      </c>
      <c r="T554" s="13" t="s">
        <v>3224</v>
      </c>
      <c r="U554" s="13" t="s">
        <v>3232</v>
      </c>
      <c r="V554" s="13" t="s">
        <v>3232</v>
      </c>
      <c r="W554" s="13" t="s">
        <v>3167</v>
      </c>
      <c r="X554" s="13" t="s">
        <v>3192</v>
      </c>
      <c r="Y554" s="13" t="s">
        <v>3187</v>
      </c>
      <c r="Z554" s="13">
        <v>1.0</v>
      </c>
      <c r="AA554" s="13" t="b">
        <v>0</v>
      </c>
      <c r="AB554" s="48"/>
      <c r="AC554" s="49"/>
    </row>
    <row r="555" ht="14.25" customHeight="1">
      <c r="A555" s="13">
        <v>25145.0</v>
      </c>
      <c r="B555" s="13" t="str">
        <f t="shared" si="5"/>
        <v>Observational</v>
      </c>
      <c r="C555" s="13" t="s">
        <v>4856</v>
      </c>
      <c r="D555" s="1" t="s">
        <v>5272</v>
      </c>
      <c r="E555" s="13" t="s">
        <v>5249</v>
      </c>
      <c r="F555" s="13" t="s">
        <v>3183</v>
      </c>
      <c r="G555" s="13" t="s">
        <v>4159</v>
      </c>
      <c r="H555" s="13" t="s">
        <v>3166</v>
      </c>
      <c r="I555" s="13" t="s">
        <v>3171</v>
      </c>
      <c r="J555" s="13" t="s">
        <v>4157</v>
      </c>
      <c r="K555" s="13" t="s">
        <v>3153</v>
      </c>
      <c r="L555" s="13" t="s">
        <v>3169</v>
      </c>
      <c r="M555" s="13" t="s">
        <v>3363</v>
      </c>
      <c r="N555" s="13" t="s">
        <v>3162</v>
      </c>
      <c r="O555" s="13" t="s">
        <v>4158</v>
      </c>
      <c r="P555" s="13">
        <v>1.0</v>
      </c>
      <c r="Q555" s="13" t="s">
        <v>3160</v>
      </c>
      <c r="R555" s="13" t="s">
        <v>3231</v>
      </c>
      <c r="S555" s="13" t="s">
        <v>3397</v>
      </c>
      <c r="T555" s="13" t="s">
        <v>3224</v>
      </c>
      <c r="U555" s="13" t="s">
        <v>3164</v>
      </c>
      <c r="V555" s="13" t="s">
        <v>3164</v>
      </c>
      <c r="W555" s="13" t="s">
        <v>3167</v>
      </c>
      <c r="X555" s="13" t="s">
        <v>3211</v>
      </c>
      <c r="Y555" s="13" t="s">
        <v>3156</v>
      </c>
      <c r="Z555" s="13" t="s">
        <v>3167</v>
      </c>
      <c r="AA555" s="13" t="b">
        <v>0</v>
      </c>
      <c r="AB555" s="48"/>
      <c r="AC555" s="49"/>
    </row>
    <row r="556" ht="14.25" customHeight="1">
      <c r="A556" s="13">
        <v>25588.0</v>
      </c>
      <c r="B556" s="13" t="str">
        <f t="shared" si="5"/>
        <v>Observational</v>
      </c>
      <c r="C556" s="13" t="s">
        <v>4856</v>
      </c>
      <c r="D556" s="1" t="s">
        <v>5272</v>
      </c>
      <c r="E556" s="13" t="s">
        <v>5249</v>
      </c>
      <c r="F556" s="13" t="s">
        <v>3333</v>
      </c>
      <c r="G556" s="13" t="s">
        <v>3287</v>
      </c>
      <c r="H556" s="13" t="s">
        <v>3166</v>
      </c>
      <c r="I556" s="13" t="s">
        <v>3157</v>
      </c>
      <c r="J556" s="13" t="s">
        <v>3570</v>
      </c>
      <c r="K556" s="13" t="s">
        <v>3153</v>
      </c>
      <c r="L556" s="13" t="s">
        <v>3169</v>
      </c>
      <c r="M556" s="13" t="s">
        <v>3363</v>
      </c>
      <c r="N556" s="13" t="s">
        <v>3162</v>
      </c>
      <c r="O556" s="13" t="s">
        <v>33</v>
      </c>
      <c r="P556" s="13">
        <v>1.0</v>
      </c>
      <c r="Q556" s="13" t="s">
        <v>3177</v>
      </c>
      <c r="R556" s="13" t="s">
        <v>3163</v>
      </c>
      <c r="S556" s="13" t="s">
        <v>33</v>
      </c>
      <c r="T556" s="13" t="s">
        <v>3224</v>
      </c>
      <c r="U556" s="13" t="s">
        <v>3164</v>
      </c>
      <c r="V556" s="13" t="s">
        <v>3164</v>
      </c>
      <c r="W556" s="13" t="s">
        <v>3167</v>
      </c>
      <c r="X556" s="13" t="s">
        <v>3192</v>
      </c>
      <c r="Y556" s="13" t="s">
        <v>33</v>
      </c>
      <c r="Z556" s="13" t="s">
        <v>33</v>
      </c>
      <c r="AA556" s="13" t="b">
        <v>0</v>
      </c>
      <c r="AB556" s="48"/>
      <c r="AC556" s="49"/>
    </row>
    <row r="557" ht="14.25" customHeight="1">
      <c r="A557" s="13">
        <v>24266.0</v>
      </c>
      <c r="B557" s="13" t="str">
        <f t="shared" si="5"/>
        <v>Observational</v>
      </c>
      <c r="C557" s="13" t="s">
        <v>4856</v>
      </c>
      <c r="D557" s="1" t="s">
        <v>5273</v>
      </c>
      <c r="E557" s="13" t="s">
        <v>5274</v>
      </c>
      <c r="F557" s="13" t="s">
        <v>3381</v>
      </c>
      <c r="G557" s="13" t="s">
        <v>3335</v>
      </c>
      <c r="H557" s="13" t="s">
        <v>3195</v>
      </c>
      <c r="I557" s="13" t="s">
        <v>3244</v>
      </c>
      <c r="J557" s="13" t="s">
        <v>3289</v>
      </c>
      <c r="K557" s="13" t="s">
        <v>3153</v>
      </c>
      <c r="L557" s="13" t="s">
        <v>3169</v>
      </c>
      <c r="M557" s="13" t="s">
        <v>3820</v>
      </c>
      <c r="N557" s="13" t="s">
        <v>3162</v>
      </c>
      <c r="O557" s="13" t="s">
        <v>3821</v>
      </c>
      <c r="P557" s="13">
        <v>1.0</v>
      </c>
      <c r="Q557" s="13" t="s">
        <v>3160</v>
      </c>
      <c r="R557" s="13" t="s">
        <v>3163</v>
      </c>
      <c r="S557" s="13" t="s">
        <v>33</v>
      </c>
      <c r="T557" s="13" t="s">
        <v>3167</v>
      </c>
      <c r="U557" s="13" t="s">
        <v>3195</v>
      </c>
      <c r="V557" s="13" t="s">
        <v>3195</v>
      </c>
      <c r="W557" s="13" t="s">
        <v>3167</v>
      </c>
      <c r="X557" s="13" t="s">
        <v>3192</v>
      </c>
      <c r="Y557" s="13" t="s">
        <v>3202</v>
      </c>
      <c r="Z557" s="13">
        <v>30.0</v>
      </c>
      <c r="AA557" s="13" t="b">
        <v>0</v>
      </c>
      <c r="AB557" s="48"/>
      <c r="AC557" s="49"/>
    </row>
    <row r="558" ht="14.25" customHeight="1">
      <c r="A558" s="13">
        <v>24576.0</v>
      </c>
      <c r="B558" s="13" t="str">
        <f t="shared" si="5"/>
        <v>Observational</v>
      </c>
      <c r="C558" s="13" t="s">
        <v>4856</v>
      </c>
      <c r="D558" s="1" t="s">
        <v>5275</v>
      </c>
      <c r="E558" s="13" t="s">
        <v>5263</v>
      </c>
      <c r="F558" s="13" t="s">
        <v>3186</v>
      </c>
      <c r="G558" s="13" t="s">
        <v>3159</v>
      </c>
      <c r="H558" s="13" t="s">
        <v>3166</v>
      </c>
      <c r="I558" s="13" t="s">
        <v>3222</v>
      </c>
      <c r="J558" s="13" t="s">
        <v>3229</v>
      </c>
      <c r="K558" s="13" t="s">
        <v>3153</v>
      </c>
      <c r="L558" s="13" t="s">
        <v>3169</v>
      </c>
      <c r="M558" s="13" t="s">
        <v>3961</v>
      </c>
      <c r="N558" s="13" t="s">
        <v>3175</v>
      </c>
      <c r="O558" s="13" t="s">
        <v>33</v>
      </c>
      <c r="P558" s="13">
        <v>4.0</v>
      </c>
      <c r="Q558" s="13" t="s">
        <v>3177</v>
      </c>
      <c r="R558" s="13" t="s">
        <v>3177</v>
      </c>
      <c r="S558" s="13" t="s">
        <v>33</v>
      </c>
      <c r="T558" s="13" t="s">
        <v>3178</v>
      </c>
      <c r="U558" s="13" t="s">
        <v>3164</v>
      </c>
      <c r="V558" s="13" t="s">
        <v>3164</v>
      </c>
      <c r="W558" s="13" t="s">
        <v>3167</v>
      </c>
      <c r="X558" s="13" t="s">
        <v>3170</v>
      </c>
      <c r="Y558" s="13" t="s">
        <v>33</v>
      </c>
      <c r="Z558" s="13" t="s">
        <v>33</v>
      </c>
      <c r="AA558" s="13" t="b">
        <v>0</v>
      </c>
      <c r="AB558" s="48"/>
      <c r="AC558" s="49"/>
    </row>
    <row r="559" ht="14.25" customHeight="1">
      <c r="A559" s="13">
        <v>23018.0</v>
      </c>
      <c r="B559" s="13" t="str">
        <f t="shared" si="5"/>
        <v>Observational</v>
      </c>
      <c r="C559" s="13" t="s">
        <v>4864</v>
      </c>
      <c r="D559" s="1" t="s">
        <v>5276</v>
      </c>
      <c r="E559" s="13" t="s">
        <v>5249</v>
      </c>
      <c r="F559" s="13" t="s">
        <v>3183</v>
      </c>
      <c r="G559" s="13" t="s">
        <v>3186</v>
      </c>
      <c r="H559" s="13" t="s">
        <v>3166</v>
      </c>
      <c r="I559" s="13" t="s">
        <v>3181</v>
      </c>
      <c r="J559" s="13" t="s">
        <v>3182</v>
      </c>
      <c r="K559" s="13" t="s">
        <v>3153</v>
      </c>
      <c r="L559" s="13" t="s">
        <v>3179</v>
      </c>
      <c r="M559" s="13" t="s">
        <v>3184</v>
      </c>
      <c r="N559" s="13" t="s">
        <v>3162</v>
      </c>
      <c r="O559" s="13" t="s">
        <v>3185</v>
      </c>
      <c r="P559" s="13">
        <v>1.0</v>
      </c>
      <c r="Q559" s="13" t="s">
        <v>3160</v>
      </c>
      <c r="R559" s="13" t="s">
        <v>3177</v>
      </c>
      <c r="S559" s="13" t="s">
        <v>33</v>
      </c>
      <c r="T559" s="13" t="s">
        <v>3178</v>
      </c>
      <c r="U559" s="13" t="s">
        <v>3164</v>
      </c>
      <c r="V559" s="13" t="s">
        <v>3164</v>
      </c>
      <c r="W559" s="13" t="s">
        <v>3167</v>
      </c>
      <c r="X559" s="13" t="s">
        <v>3170</v>
      </c>
      <c r="Y559" s="13" t="s">
        <v>3180</v>
      </c>
      <c r="Z559" s="13">
        <v>0.1</v>
      </c>
      <c r="AA559" s="13" t="b">
        <v>0</v>
      </c>
      <c r="AB559" s="48"/>
      <c r="AC559" s="49"/>
    </row>
    <row r="560" ht="14.25" customHeight="1">
      <c r="A560" s="13">
        <v>23771.0</v>
      </c>
      <c r="B560" s="13" t="str">
        <f t="shared" si="5"/>
        <v>Observational</v>
      </c>
      <c r="C560" s="13" t="s">
        <v>4864</v>
      </c>
      <c r="D560" s="1" t="s">
        <v>5276</v>
      </c>
      <c r="E560" s="13" t="s">
        <v>5249</v>
      </c>
      <c r="F560" s="13" t="s">
        <v>3381</v>
      </c>
      <c r="G560" s="13" t="s">
        <v>3201</v>
      </c>
      <c r="H560" s="13" t="s">
        <v>3166</v>
      </c>
      <c r="I560" s="13" t="s">
        <v>3181</v>
      </c>
      <c r="J560" s="13" t="s">
        <v>3182</v>
      </c>
      <c r="K560" s="13" t="s">
        <v>3153</v>
      </c>
      <c r="L560" s="13" t="s">
        <v>3179</v>
      </c>
      <c r="M560" s="13" t="s">
        <v>3184</v>
      </c>
      <c r="N560" s="13" t="s">
        <v>3162</v>
      </c>
      <c r="O560" s="13" t="s">
        <v>3609</v>
      </c>
      <c r="P560" s="13">
        <v>1.0</v>
      </c>
      <c r="Q560" s="13" t="s">
        <v>3177</v>
      </c>
      <c r="R560" s="13" t="s">
        <v>3177</v>
      </c>
      <c r="S560" s="13" t="s">
        <v>33</v>
      </c>
      <c r="T560" s="13" t="s">
        <v>3178</v>
      </c>
      <c r="U560" s="13" t="s">
        <v>3164</v>
      </c>
      <c r="V560" s="13" t="s">
        <v>3164</v>
      </c>
      <c r="W560" s="13" t="s">
        <v>3167</v>
      </c>
      <c r="X560" s="13" t="s">
        <v>3170</v>
      </c>
      <c r="Y560" s="13" t="s">
        <v>3187</v>
      </c>
      <c r="Z560" s="13">
        <v>1.0</v>
      </c>
      <c r="AA560" s="13" t="b">
        <v>0</v>
      </c>
      <c r="AB560" s="48"/>
      <c r="AC560" s="49"/>
    </row>
    <row r="561" ht="14.25" customHeight="1">
      <c r="A561" s="13">
        <v>23796.0</v>
      </c>
      <c r="B561" s="13" t="str">
        <f t="shared" si="5"/>
        <v>Observational</v>
      </c>
      <c r="C561" s="13" t="s">
        <v>4864</v>
      </c>
      <c r="D561" s="1" t="s">
        <v>5276</v>
      </c>
      <c r="E561" s="13" t="s">
        <v>5249</v>
      </c>
      <c r="F561" s="13" t="s">
        <v>3183</v>
      </c>
      <c r="G561" s="13" t="s">
        <v>3159</v>
      </c>
      <c r="H561" s="13" t="s">
        <v>3166</v>
      </c>
      <c r="I561" s="13" t="s">
        <v>3264</v>
      </c>
      <c r="J561" s="13" t="s">
        <v>3625</v>
      </c>
      <c r="K561" s="13" t="s">
        <v>3153</v>
      </c>
      <c r="L561" s="13" t="s">
        <v>3179</v>
      </c>
      <c r="M561" s="13" t="s">
        <v>3184</v>
      </c>
      <c r="N561" s="13" t="s">
        <v>3162</v>
      </c>
      <c r="O561" s="13" t="s">
        <v>3626</v>
      </c>
      <c r="P561" s="13">
        <v>1.0</v>
      </c>
      <c r="Q561" s="13" t="s">
        <v>3177</v>
      </c>
      <c r="R561" s="13" t="s">
        <v>3177</v>
      </c>
      <c r="S561" s="13" t="s">
        <v>3167</v>
      </c>
      <c r="T561" s="13" t="s">
        <v>3178</v>
      </c>
      <c r="U561" s="13" t="s">
        <v>3164</v>
      </c>
      <c r="V561" s="13" t="s">
        <v>3164</v>
      </c>
      <c r="W561" s="13" t="s">
        <v>3167</v>
      </c>
      <c r="X561" s="13" t="s">
        <v>3192</v>
      </c>
      <c r="Y561" s="13" t="s">
        <v>3202</v>
      </c>
      <c r="Z561" s="13">
        <v>250.0</v>
      </c>
      <c r="AA561" s="13" t="b">
        <v>0</v>
      </c>
      <c r="AB561" s="48"/>
      <c r="AC561" s="49"/>
    </row>
    <row r="562" ht="14.25" customHeight="1">
      <c r="A562" s="13">
        <v>23828.0</v>
      </c>
      <c r="B562" s="13" t="str">
        <f t="shared" si="5"/>
        <v>Observational</v>
      </c>
      <c r="C562" s="13" t="s">
        <v>4864</v>
      </c>
      <c r="D562" s="1" t="s">
        <v>5276</v>
      </c>
      <c r="E562" s="13" t="s">
        <v>5249</v>
      </c>
      <c r="F562" s="13" t="s">
        <v>3159</v>
      </c>
      <c r="G562" s="13" t="s">
        <v>3159</v>
      </c>
      <c r="H562" s="13" t="s">
        <v>3166</v>
      </c>
      <c r="I562" s="13" t="s">
        <v>3181</v>
      </c>
      <c r="J562" s="13" t="s">
        <v>3229</v>
      </c>
      <c r="K562" s="13" t="s">
        <v>3153</v>
      </c>
      <c r="L562" s="13" t="s">
        <v>3179</v>
      </c>
      <c r="M562" s="13" t="s">
        <v>3184</v>
      </c>
      <c r="N562" s="13" t="s">
        <v>3162</v>
      </c>
      <c r="O562" s="13" t="s">
        <v>33</v>
      </c>
      <c r="P562" s="13">
        <v>1.0</v>
      </c>
      <c r="Q562" s="13" t="s">
        <v>3177</v>
      </c>
      <c r="R562" s="13" t="s">
        <v>3177</v>
      </c>
      <c r="S562" s="13" t="s">
        <v>33</v>
      </c>
      <c r="T562" s="13" t="s">
        <v>3635</v>
      </c>
      <c r="U562" s="13" t="s">
        <v>3164</v>
      </c>
      <c r="V562" s="13" t="s">
        <v>3232</v>
      </c>
      <c r="W562" s="13" t="s">
        <v>3167</v>
      </c>
      <c r="X562" s="13" t="s">
        <v>3192</v>
      </c>
      <c r="Y562" s="13" t="s">
        <v>3187</v>
      </c>
      <c r="Z562" s="13">
        <v>25.0</v>
      </c>
      <c r="AA562" s="13" t="b">
        <v>0</v>
      </c>
      <c r="AB562" s="48"/>
      <c r="AC562" s="49"/>
    </row>
    <row r="563" ht="14.25" customHeight="1">
      <c r="A563" s="13">
        <v>23920.0</v>
      </c>
      <c r="B563" s="13" t="str">
        <f t="shared" si="5"/>
        <v>Observational</v>
      </c>
      <c r="C563" s="13" t="s">
        <v>4864</v>
      </c>
      <c r="D563" s="1" t="s">
        <v>5276</v>
      </c>
      <c r="E563" s="13" t="s">
        <v>5249</v>
      </c>
      <c r="F563" s="13" t="s">
        <v>3201</v>
      </c>
      <c r="G563" s="13" t="s">
        <v>3159</v>
      </c>
      <c r="H563" s="13" t="s">
        <v>3166</v>
      </c>
      <c r="I563" s="13" t="s">
        <v>3261</v>
      </c>
      <c r="J563" s="13" t="s">
        <v>3182</v>
      </c>
      <c r="K563" s="13" t="s">
        <v>3153</v>
      </c>
      <c r="L563" s="13" t="s">
        <v>3179</v>
      </c>
      <c r="M563" s="13" t="s">
        <v>3184</v>
      </c>
      <c r="N563" s="13" t="s">
        <v>3162</v>
      </c>
      <c r="O563" s="13" t="s">
        <v>33</v>
      </c>
      <c r="P563" s="13">
        <v>1.0</v>
      </c>
      <c r="Q563" s="13" t="s">
        <v>3177</v>
      </c>
      <c r="R563" s="13" t="s">
        <v>3177</v>
      </c>
      <c r="S563" s="13" t="s">
        <v>33</v>
      </c>
      <c r="T563" s="13" t="s">
        <v>3178</v>
      </c>
      <c r="U563" s="13" t="s">
        <v>3164</v>
      </c>
      <c r="V563" s="13" t="s">
        <v>3164</v>
      </c>
      <c r="W563" s="13" t="s">
        <v>3167</v>
      </c>
      <c r="X563" s="13" t="s">
        <v>3170</v>
      </c>
      <c r="Y563" s="13" t="s">
        <v>3187</v>
      </c>
      <c r="Z563" s="13">
        <v>16.0</v>
      </c>
      <c r="AA563" s="13" t="b">
        <v>0</v>
      </c>
      <c r="AB563" s="48"/>
      <c r="AC563" s="49"/>
    </row>
    <row r="564" ht="14.25" customHeight="1">
      <c r="A564" s="13">
        <v>24162.0</v>
      </c>
      <c r="B564" s="13" t="str">
        <f t="shared" si="5"/>
        <v>Observational</v>
      </c>
      <c r="C564" s="13" t="s">
        <v>4864</v>
      </c>
      <c r="D564" s="1" t="s">
        <v>5276</v>
      </c>
      <c r="E564" s="13" t="s">
        <v>5249</v>
      </c>
      <c r="F564" s="13" t="s">
        <v>3333</v>
      </c>
      <c r="G564" s="13" t="s">
        <v>3173</v>
      </c>
      <c r="H564" s="13" t="s">
        <v>3166</v>
      </c>
      <c r="I564" s="13" t="s">
        <v>3527</v>
      </c>
      <c r="J564" s="13" t="s">
        <v>3778</v>
      </c>
      <c r="K564" s="13" t="s">
        <v>3153</v>
      </c>
      <c r="L564" s="13" t="s">
        <v>3179</v>
      </c>
      <c r="M564" s="13" t="s">
        <v>3184</v>
      </c>
      <c r="N564" s="13" t="s">
        <v>3162</v>
      </c>
      <c r="O564" s="13" t="s">
        <v>33</v>
      </c>
      <c r="P564" s="13">
        <v>1.0</v>
      </c>
      <c r="Q564" s="13" t="s">
        <v>3160</v>
      </c>
      <c r="R564" s="13" t="s">
        <v>3163</v>
      </c>
      <c r="S564" s="13" t="s">
        <v>33</v>
      </c>
      <c r="T564" s="13" t="s">
        <v>3178</v>
      </c>
      <c r="U564" s="13" t="s">
        <v>3164</v>
      </c>
      <c r="V564" s="13" t="s">
        <v>3232</v>
      </c>
      <c r="W564" s="13" t="s">
        <v>3167</v>
      </c>
      <c r="X564" s="13" t="s">
        <v>3211</v>
      </c>
      <c r="Y564" s="13" t="s">
        <v>33</v>
      </c>
      <c r="Z564" s="13" t="s">
        <v>33</v>
      </c>
      <c r="AA564" s="13" t="b">
        <v>0</v>
      </c>
      <c r="AB564" s="48"/>
      <c r="AC564" s="49"/>
    </row>
    <row r="565" ht="14.25" customHeight="1">
      <c r="A565" s="13">
        <v>24326.0</v>
      </c>
      <c r="B565" s="13" t="str">
        <f t="shared" si="5"/>
        <v>Observational</v>
      </c>
      <c r="C565" s="13" t="s">
        <v>4864</v>
      </c>
      <c r="D565" s="1" t="s">
        <v>5276</v>
      </c>
      <c r="E565" s="13" t="s">
        <v>5249</v>
      </c>
      <c r="F565" s="13" t="s">
        <v>3287</v>
      </c>
      <c r="G565" s="13" t="s">
        <v>3287</v>
      </c>
      <c r="H565" s="13" t="s">
        <v>3166</v>
      </c>
      <c r="I565" s="13" t="s">
        <v>3261</v>
      </c>
      <c r="J565" s="13" t="s">
        <v>3240</v>
      </c>
      <c r="K565" s="13" t="s">
        <v>3153</v>
      </c>
      <c r="L565" s="13" t="s">
        <v>3179</v>
      </c>
      <c r="M565" s="13" t="s">
        <v>3184</v>
      </c>
      <c r="N565" s="13" t="s">
        <v>3162</v>
      </c>
      <c r="O565" s="13" t="s">
        <v>33</v>
      </c>
      <c r="P565" s="13">
        <v>1.0</v>
      </c>
      <c r="Q565" s="13" t="s">
        <v>3177</v>
      </c>
      <c r="R565" s="13" t="s">
        <v>3177</v>
      </c>
      <c r="S565" s="13" t="s">
        <v>33</v>
      </c>
      <c r="T565" s="13" t="s">
        <v>3178</v>
      </c>
      <c r="U565" s="13" t="s">
        <v>3164</v>
      </c>
      <c r="V565" s="13" t="s">
        <v>3228</v>
      </c>
      <c r="W565" s="13" t="s">
        <v>3167</v>
      </c>
      <c r="X565" s="13" t="s">
        <v>3155</v>
      </c>
      <c r="Y565" s="13" t="s">
        <v>3187</v>
      </c>
      <c r="Z565" s="13">
        <v>25.0</v>
      </c>
      <c r="AA565" s="13" t="b">
        <v>0</v>
      </c>
      <c r="AB565" s="48"/>
      <c r="AC565" s="49"/>
    </row>
    <row r="566" ht="14.25" customHeight="1">
      <c r="A566" s="13">
        <v>25114.0</v>
      </c>
      <c r="B566" s="13" t="str">
        <f t="shared" si="5"/>
        <v>Observational</v>
      </c>
      <c r="C566" s="13" t="s">
        <v>4864</v>
      </c>
      <c r="D566" s="1" t="s">
        <v>5276</v>
      </c>
      <c r="E566" s="13" t="s">
        <v>5249</v>
      </c>
      <c r="F566" s="13" t="s">
        <v>3201</v>
      </c>
      <c r="G566" s="13" t="s">
        <v>3201</v>
      </c>
      <c r="H566" s="13" t="s">
        <v>3166</v>
      </c>
      <c r="I566" s="13" t="s">
        <v>3249</v>
      </c>
      <c r="J566" s="13" t="s">
        <v>3307</v>
      </c>
      <c r="K566" s="13" t="s">
        <v>3153</v>
      </c>
      <c r="L566" s="13" t="s">
        <v>3179</v>
      </c>
      <c r="M566" s="13" t="s">
        <v>3184</v>
      </c>
      <c r="N566" s="13" t="s">
        <v>3162</v>
      </c>
      <c r="O566" s="13" t="s">
        <v>33</v>
      </c>
      <c r="P566" s="13">
        <v>1.0</v>
      </c>
      <c r="Q566" s="13" t="s">
        <v>3177</v>
      </c>
      <c r="R566" s="13" t="s">
        <v>3177</v>
      </c>
      <c r="S566" s="13" t="s">
        <v>33</v>
      </c>
      <c r="T566" s="13" t="s">
        <v>3178</v>
      </c>
      <c r="U566" s="13" t="s">
        <v>3164</v>
      </c>
      <c r="V566" s="13" t="s">
        <v>3165</v>
      </c>
      <c r="W566" s="13" t="s">
        <v>3167</v>
      </c>
      <c r="X566" s="13" t="s">
        <v>3192</v>
      </c>
      <c r="Y566" s="13" t="s">
        <v>3187</v>
      </c>
      <c r="Z566" s="13">
        <v>16.0</v>
      </c>
      <c r="AA566" s="13" t="b">
        <v>0</v>
      </c>
      <c r="AB566" s="48"/>
      <c r="AC566" s="49"/>
    </row>
    <row r="567" ht="14.25" customHeight="1">
      <c r="A567" s="13">
        <v>25169.0</v>
      </c>
      <c r="B567" s="13" t="str">
        <f t="shared" si="5"/>
        <v>Observational</v>
      </c>
      <c r="C567" s="13" t="s">
        <v>4864</v>
      </c>
      <c r="D567" s="1" t="s">
        <v>5276</v>
      </c>
      <c r="E567" s="13" t="s">
        <v>5249</v>
      </c>
      <c r="F567" s="13" t="s">
        <v>3183</v>
      </c>
      <c r="G567" s="13" t="s">
        <v>3287</v>
      </c>
      <c r="H567" s="13" t="s">
        <v>3166</v>
      </c>
      <c r="I567" s="13" t="s">
        <v>3527</v>
      </c>
      <c r="J567" s="13" t="s">
        <v>3229</v>
      </c>
      <c r="K567" s="13" t="s">
        <v>3153</v>
      </c>
      <c r="L567" s="13" t="s">
        <v>3179</v>
      </c>
      <c r="M567" s="13" t="s">
        <v>3184</v>
      </c>
      <c r="N567" s="13" t="s">
        <v>3162</v>
      </c>
      <c r="O567" s="13" t="s">
        <v>33</v>
      </c>
      <c r="P567" s="13">
        <v>1.0</v>
      </c>
      <c r="Q567" s="13" t="s">
        <v>3177</v>
      </c>
      <c r="R567" s="13" t="s">
        <v>3177</v>
      </c>
      <c r="S567" s="13" t="s">
        <v>33</v>
      </c>
      <c r="T567" s="13" t="s">
        <v>3178</v>
      </c>
      <c r="U567" s="13" t="s">
        <v>3164</v>
      </c>
      <c r="V567" s="13" t="s">
        <v>3164</v>
      </c>
      <c r="W567" s="13" t="s">
        <v>3167</v>
      </c>
      <c r="X567" s="13" t="s">
        <v>3192</v>
      </c>
      <c r="Y567" s="13" t="s">
        <v>3588</v>
      </c>
      <c r="Z567" s="13">
        <v>30.0</v>
      </c>
      <c r="AA567" s="13" t="b">
        <v>0</v>
      </c>
      <c r="AB567" s="48"/>
      <c r="AC567" s="49"/>
    </row>
    <row r="568" ht="14.25" customHeight="1">
      <c r="A568" s="13">
        <v>25188.0</v>
      </c>
      <c r="B568" s="13" t="str">
        <f t="shared" si="5"/>
        <v>Observational</v>
      </c>
      <c r="C568" s="13" t="s">
        <v>4864</v>
      </c>
      <c r="D568" s="1" t="s">
        <v>5276</v>
      </c>
      <c r="E568" s="13" t="s">
        <v>5249</v>
      </c>
      <c r="F568" s="13" t="s">
        <v>3208</v>
      </c>
      <c r="G568" s="13" t="s">
        <v>3208</v>
      </c>
      <c r="H568" s="13" t="s">
        <v>3166</v>
      </c>
      <c r="I568" s="13" t="s">
        <v>3193</v>
      </c>
      <c r="J568" s="13" t="s">
        <v>3233</v>
      </c>
      <c r="K568" s="13" t="s">
        <v>3153</v>
      </c>
      <c r="L568" s="13" t="s">
        <v>3179</v>
      </c>
      <c r="M568" s="13" t="s">
        <v>3184</v>
      </c>
      <c r="N568" s="13" t="s">
        <v>3162</v>
      </c>
      <c r="O568" s="13" t="s">
        <v>33</v>
      </c>
      <c r="P568" s="13">
        <v>1.0</v>
      </c>
      <c r="Q568" s="13" t="s">
        <v>3160</v>
      </c>
      <c r="R568" s="13" t="s">
        <v>3163</v>
      </c>
      <c r="S568" s="13" t="s">
        <v>33</v>
      </c>
      <c r="T568" s="13" t="s">
        <v>3198</v>
      </c>
      <c r="U568" s="13" t="s">
        <v>3164</v>
      </c>
      <c r="V568" s="13" t="s">
        <v>3197</v>
      </c>
      <c r="W568" s="13" t="s">
        <v>3167</v>
      </c>
      <c r="X568" s="13" t="s">
        <v>3170</v>
      </c>
      <c r="Y568" s="13" t="s">
        <v>33</v>
      </c>
      <c r="Z568" s="13" t="s">
        <v>33</v>
      </c>
      <c r="AA568" s="13" t="b">
        <v>0</v>
      </c>
      <c r="AB568" s="48"/>
      <c r="AC568" s="49"/>
    </row>
    <row r="569" ht="14.25" customHeight="1">
      <c r="A569" s="13">
        <v>25315.0</v>
      </c>
      <c r="B569" s="13" t="str">
        <f t="shared" si="5"/>
        <v>Observational</v>
      </c>
      <c r="C569" s="13" t="s">
        <v>4864</v>
      </c>
      <c r="D569" s="1" t="s">
        <v>5276</v>
      </c>
      <c r="E569" s="13" t="s">
        <v>5249</v>
      </c>
      <c r="F569" s="13" t="s">
        <v>3208</v>
      </c>
      <c r="G569" s="13" t="s">
        <v>3159</v>
      </c>
      <c r="H569" s="13" t="s">
        <v>3166</v>
      </c>
      <c r="I569" s="13" t="s">
        <v>3181</v>
      </c>
      <c r="J569" s="13" t="s">
        <v>3182</v>
      </c>
      <c r="K569" s="13" t="s">
        <v>3153</v>
      </c>
      <c r="L569" s="13" t="s">
        <v>3179</v>
      </c>
      <c r="M569" s="13" t="s">
        <v>3184</v>
      </c>
      <c r="N569" s="13" t="s">
        <v>3162</v>
      </c>
      <c r="O569" s="13" t="s">
        <v>4201</v>
      </c>
      <c r="P569" s="13">
        <v>1.0</v>
      </c>
      <c r="Q569" s="13" t="s">
        <v>3160</v>
      </c>
      <c r="R569" s="13" t="s">
        <v>3177</v>
      </c>
      <c r="S569" s="13" t="s">
        <v>33</v>
      </c>
      <c r="T569" s="13" t="s">
        <v>3178</v>
      </c>
      <c r="U569" s="13" t="s">
        <v>3164</v>
      </c>
      <c r="V569" s="13" t="s">
        <v>3165</v>
      </c>
      <c r="W569" s="13" t="s">
        <v>3167</v>
      </c>
      <c r="X569" s="13" t="s">
        <v>3192</v>
      </c>
      <c r="Y569" s="13" t="s">
        <v>3187</v>
      </c>
      <c r="Z569" s="13">
        <v>4.0</v>
      </c>
      <c r="AA569" s="13" t="b">
        <v>0</v>
      </c>
      <c r="AB569" s="48"/>
      <c r="AC569" s="49"/>
    </row>
    <row r="570" ht="14.25" customHeight="1">
      <c r="A570" s="13">
        <v>25628.0</v>
      </c>
      <c r="B570" s="13" t="str">
        <f t="shared" si="5"/>
        <v>Observational</v>
      </c>
      <c r="C570" s="13" t="s">
        <v>4864</v>
      </c>
      <c r="D570" s="1" t="s">
        <v>5276</v>
      </c>
      <c r="E570" s="13" t="s">
        <v>5249</v>
      </c>
      <c r="F570" s="13" t="s">
        <v>3173</v>
      </c>
      <c r="G570" s="13" t="s">
        <v>3702</v>
      </c>
      <c r="H570" s="13" t="s">
        <v>3166</v>
      </c>
      <c r="I570" s="13" t="s">
        <v>3264</v>
      </c>
      <c r="J570" s="13" t="s">
        <v>3204</v>
      </c>
      <c r="K570" s="13" t="s">
        <v>3153</v>
      </c>
      <c r="L570" s="13" t="s">
        <v>3179</v>
      </c>
      <c r="M570" s="13" t="s">
        <v>3184</v>
      </c>
      <c r="N570" s="13" t="s">
        <v>3162</v>
      </c>
      <c r="O570" s="13" t="s">
        <v>33</v>
      </c>
      <c r="P570" s="13">
        <v>1.0</v>
      </c>
      <c r="Q570" s="13" t="s">
        <v>3160</v>
      </c>
      <c r="R570" s="13" t="s">
        <v>3177</v>
      </c>
      <c r="S570" s="13" t="s">
        <v>33</v>
      </c>
      <c r="T570" s="13" t="s">
        <v>3178</v>
      </c>
      <c r="U570" s="13" t="s">
        <v>3164</v>
      </c>
      <c r="V570" s="13" t="s">
        <v>3164</v>
      </c>
      <c r="W570" s="13" t="s">
        <v>3167</v>
      </c>
      <c r="X570" s="13" t="s">
        <v>3192</v>
      </c>
      <c r="Y570" s="13" t="s">
        <v>3202</v>
      </c>
      <c r="Z570" s="13">
        <v>100.0</v>
      </c>
      <c r="AA570" s="13" t="b">
        <v>0</v>
      </c>
      <c r="AB570" s="48"/>
      <c r="AC570" s="49"/>
    </row>
    <row r="571" ht="14.25" customHeight="1">
      <c r="A571" s="13">
        <v>25875.0</v>
      </c>
      <c r="B571" s="13" t="str">
        <f t="shared" si="5"/>
        <v>Observational</v>
      </c>
      <c r="C571" s="13" t="s">
        <v>4864</v>
      </c>
      <c r="D571" s="1" t="s">
        <v>5276</v>
      </c>
      <c r="E571" s="13" t="s">
        <v>5249</v>
      </c>
      <c r="F571" s="13" t="s">
        <v>3381</v>
      </c>
      <c r="G571" s="13" t="s">
        <v>3287</v>
      </c>
      <c r="H571" s="13" t="s">
        <v>3166</v>
      </c>
      <c r="I571" s="13" t="s">
        <v>3261</v>
      </c>
      <c r="J571" s="13" t="s">
        <v>3182</v>
      </c>
      <c r="K571" s="13" t="s">
        <v>3153</v>
      </c>
      <c r="L571" s="13" t="s">
        <v>3179</v>
      </c>
      <c r="M571" s="13" t="s">
        <v>3184</v>
      </c>
      <c r="N571" s="13" t="s">
        <v>3162</v>
      </c>
      <c r="O571" s="13" t="s">
        <v>4369</v>
      </c>
      <c r="P571" s="13">
        <v>1.0</v>
      </c>
      <c r="Q571" s="13" t="s">
        <v>3177</v>
      </c>
      <c r="R571" s="13" t="s">
        <v>3177</v>
      </c>
      <c r="S571" s="13" t="s">
        <v>33</v>
      </c>
      <c r="T571" s="13" t="s">
        <v>3178</v>
      </c>
      <c r="U571" s="13" t="s">
        <v>3164</v>
      </c>
      <c r="V571" s="13" t="s">
        <v>3164</v>
      </c>
      <c r="W571" s="13" t="s">
        <v>3167</v>
      </c>
      <c r="X571" s="13" t="s">
        <v>3192</v>
      </c>
      <c r="Y571" s="13" t="s">
        <v>3180</v>
      </c>
      <c r="Z571" s="13">
        <v>5.0</v>
      </c>
      <c r="AA571" s="13" t="b">
        <v>0</v>
      </c>
      <c r="AB571" s="48"/>
      <c r="AC571" s="49"/>
    </row>
    <row r="572" ht="14.25" customHeight="1">
      <c r="A572" s="13">
        <v>26011.0</v>
      </c>
      <c r="B572" s="13" t="str">
        <f t="shared" si="5"/>
        <v>Observational</v>
      </c>
      <c r="C572" s="13" t="s">
        <v>4864</v>
      </c>
      <c r="D572" s="1" t="s">
        <v>5276</v>
      </c>
      <c r="E572" s="13" t="s">
        <v>5249</v>
      </c>
      <c r="F572" s="13" t="s">
        <v>3265</v>
      </c>
      <c r="G572" s="13" t="s">
        <v>3210</v>
      </c>
      <c r="H572" s="13" t="s">
        <v>3195</v>
      </c>
      <c r="I572" s="13" t="s">
        <v>3261</v>
      </c>
      <c r="J572" s="13" t="s">
        <v>3182</v>
      </c>
      <c r="K572" s="13" t="s">
        <v>3153</v>
      </c>
      <c r="L572" s="13" t="s">
        <v>3179</v>
      </c>
      <c r="M572" s="13" t="s">
        <v>3184</v>
      </c>
      <c r="N572" s="13" t="s">
        <v>3162</v>
      </c>
      <c r="O572" s="13" t="s">
        <v>33</v>
      </c>
      <c r="P572" s="13">
        <v>1.0</v>
      </c>
      <c r="Q572" s="13" t="s">
        <v>3160</v>
      </c>
      <c r="R572" s="13" t="s">
        <v>3163</v>
      </c>
      <c r="S572" s="13" t="s">
        <v>33</v>
      </c>
      <c r="T572" s="13" t="s">
        <v>3167</v>
      </c>
      <c r="U572" s="13" t="s">
        <v>3195</v>
      </c>
      <c r="V572" s="13" t="s">
        <v>3195</v>
      </c>
      <c r="W572" s="13" t="s">
        <v>3167</v>
      </c>
      <c r="X572" s="13" t="s">
        <v>3192</v>
      </c>
      <c r="Y572" s="13" t="s">
        <v>3156</v>
      </c>
      <c r="Z572" s="13" t="s">
        <v>33</v>
      </c>
      <c r="AA572" s="13" t="b">
        <v>0</v>
      </c>
      <c r="AB572" s="48"/>
      <c r="AC572" s="49"/>
    </row>
    <row r="573" ht="14.25" customHeight="1">
      <c r="A573" s="13">
        <v>26214.0</v>
      </c>
      <c r="B573" s="13" t="str">
        <f t="shared" si="5"/>
        <v>Observational</v>
      </c>
      <c r="C573" s="13" t="s">
        <v>4864</v>
      </c>
      <c r="D573" s="1" t="s">
        <v>5276</v>
      </c>
      <c r="E573" s="13" t="s">
        <v>5249</v>
      </c>
      <c r="F573" s="13" t="s">
        <v>3201</v>
      </c>
      <c r="G573" s="13" t="s">
        <v>3159</v>
      </c>
      <c r="H573" s="13" t="s">
        <v>3166</v>
      </c>
      <c r="I573" s="13" t="s">
        <v>3181</v>
      </c>
      <c r="J573" s="13" t="s">
        <v>3341</v>
      </c>
      <c r="K573" s="13" t="s">
        <v>3153</v>
      </c>
      <c r="L573" s="13" t="s">
        <v>3179</v>
      </c>
      <c r="M573" s="13" t="s">
        <v>3184</v>
      </c>
      <c r="N573" s="13" t="s">
        <v>3162</v>
      </c>
      <c r="O573" s="13" t="s">
        <v>33</v>
      </c>
      <c r="P573" s="13">
        <v>1.0</v>
      </c>
      <c r="Q573" s="13" t="s">
        <v>3160</v>
      </c>
      <c r="R573" s="13" t="s">
        <v>3177</v>
      </c>
      <c r="S573" s="13" t="s">
        <v>33</v>
      </c>
      <c r="T573" s="13" t="s">
        <v>3178</v>
      </c>
      <c r="U573" s="13" t="s">
        <v>3164</v>
      </c>
      <c r="V573" s="13" t="s">
        <v>3164</v>
      </c>
      <c r="W573" s="13" t="s">
        <v>3167</v>
      </c>
      <c r="X573" s="13" t="s">
        <v>3192</v>
      </c>
      <c r="Y573" s="13" t="s">
        <v>3187</v>
      </c>
      <c r="Z573" s="13">
        <v>1.0</v>
      </c>
      <c r="AA573" s="13" t="b">
        <v>0</v>
      </c>
      <c r="AB573" s="48"/>
      <c r="AC573" s="49"/>
    </row>
    <row r="574" ht="14.25" customHeight="1">
      <c r="A574" s="13">
        <v>26015.0</v>
      </c>
      <c r="B574" s="13" t="str">
        <f t="shared" si="5"/>
        <v>Observational</v>
      </c>
      <c r="C574" s="13" t="s">
        <v>4864</v>
      </c>
      <c r="D574" s="1" t="s">
        <v>5276</v>
      </c>
      <c r="E574" s="13" t="s">
        <v>5249</v>
      </c>
      <c r="F574" s="13" t="s">
        <v>3265</v>
      </c>
      <c r="G574" s="13" t="s">
        <v>3214</v>
      </c>
      <c r="H574" s="13" t="s">
        <v>3166</v>
      </c>
      <c r="I574" s="13" t="s">
        <v>3181</v>
      </c>
      <c r="J574" s="13" t="s">
        <v>3229</v>
      </c>
      <c r="K574" s="13" t="s">
        <v>3153</v>
      </c>
      <c r="L574" s="13" t="s">
        <v>3179</v>
      </c>
      <c r="M574" s="13" t="s">
        <v>3184</v>
      </c>
      <c r="N574" s="13" t="s">
        <v>3162</v>
      </c>
      <c r="O574" s="13" t="s">
        <v>33</v>
      </c>
      <c r="P574" s="13">
        <v>1.0</v>
      </c>
      <c r="Q574" s="13" t="s">
        <v>3177</v>
      </c>
      <c r="R574" s="13" t="s">
        <v>3177</v>
      </c>
      <c r="S574" s="13" t="s">
        <v>33</v>
      </c>
      <c r="T574" s="13" t="s">
        <v>3178</v>
      </c>
      <c r="U574" s="13" t="s">
        <v>3164</v>
      </c>
      <c r="V574" s="13" t="s">
        <v>3165</v>
      </c>
      <c r="W574" s="13" t="s">
        <v>3167</v>
      </c>
      <c r="X574" s="13" t="s">
        <v>3192</v>
      </c>
      <c r="Y574" s="13" t="s">
        <v>3187</v>
      </c>
      <c r="Z574" s="13">
        <v>25.0</v>
      </c>
      <c r="AA574" s="13" t="b">
        <v>0</v>
      </c>
      <c r="AB574" s="48"/>
      <c r="AC574" s="49"/>
    </row>
    <row r="575" ht="14.25" customHeight="1">
      <c r="A575" s="13">
        <v>26053.0</v>
      </c>
      <c r="B575" s="13" t="str">
        <f t="shared" si="5"/>
        <v>Observational</v>
      </c>
      <c r="C575" s="13" t="s">
        <v>4864</v>
      </c>
      <c r="D575" s="1" t="s">
        <v>5276</v>
      </c>
      <c r="E575" s="13" t="s">
        <v>5249</v>
      </c>
      <c r="F575" s="13" t="s">
        <v>3183</v>
      </c>
      <c r="G575" s="13" t="s">
        <v>3159</v>
      </c>
      <c r="H575" s="13" t="s">
        <v>3166</v>
      </c>
      <c r="I575" s="13" t="s">
        <v>3527</v>
      </c>
      <c r="J575" s="13" t="s">
        <v>3229</v>
      </c>
      <c r="K575" s="13" t="s">
        <v>3153</v>
      </c>
      <c r="L575" s="13" t="s">
        <v>3179</v>
      </c>
      <c r="M575" s="13" t="s">
        <v>3184</v>
      </c>
      <c r="N575" s="13" t="s">
        <v>3162</v>
      </c>
      <c r="O575" s="13" t="s">
        <v>4426</v>
      </c>
      <c r="P575" s="13">
        <v>1.0</v>
      </c>
      <c r="Q575" s="13" t="s">
        <v>3177</v>
      </c>
      <c r="R575" s="13" t="s">
        <v>3163</v>
      </c>
      <c r="S575" s="13" t="s">
        <v>33</v>
      </c>
      <c r="T575" s="13" t="s">
        <v>3224</v>
      </c>
      <c r="U575" s="13" t="s">
        <v>3232</v>
      </c>
      <c r="V575" s="13" t="s">
        <v>3232</v>
      </c>
      <c r="W575" s="13" t="s">
        <v>3167</v>
      </c>
      <c r="X575" s="13" t="s">
        <v>3192</v>
      </c>
      <c r="Y575" s="13" t="s">
        <v>33</v>
      </c>
      <c r="Z575" s="13" t="s">
        <v>33</v>
      </c>
      <c r="AA575" s="13" t="b">
        <v>0</v>
      </c>
      <c r="AB575" s="48"/>
      <c r="AC575" s="49"/>
    </row>
    <row r="576" ht="14.25" customHeight="1">
      <c r="A576" s="13">
        <v>25067.0</v>
      </c>
      <c r="B576" s="13" t="str">
        <f t="shared" si="5"/>
        <v>Observational</v>
      </c>
      <c r="C576" s="13" t="s">
        <v>4864</v>
      </c>
      <c r="D576" s="1" t="s">
        <v>5277</v>
      </c>
      <c r="E576" s="13" t="s">
        <v>5278</v>
      </c>
      <c r="F576" s="13" t="s">
        <v>3190</v>
      </c>
      <c r="G576" s="13" t="s">
        <v>3210</v>
      </c>
      <c r="H576" s="13" t="s">
        <v>3195</v>
      </c>
      <c r="I576" s="13" t="s">
        <v>3249</v>
      </c>
      <c r="J576" s="13" t="s">
        <v>3307</v>
      </c>
      <c r="K576" s="13" t="s">
        <v>3153</v>
      </c>
      <c r="L576" s="13" t="s">
        <v>3179</v>
      </c>
      <c r="M576" s="13" t="s">
        <v>4124</v>
      </c>
      <c r="N576" s="13" t="s">
        <v>3162</v>
      </c>
      <c r="O576" s="13" t="s">
        <v>33</v>
      </c>
      <c r="P576" s="13">
        <v>6.0</v>
      </c>
      <c r="Q576" s="13" t="s">
        <v>3177</v>
      </c>
      <c r="R576" s="13" t="s">
        <v>3163</v>
      </c>
      <c r="S576" s="13" t="s">
        <v>33</v>
      </c>
      <c r="T576" s="13" t="s">
        <v>3167</v>
      </c>
      <c r="U576" s="13" t="s">
        <v>3195</v>
      </c>
      <c r="V576" s="13" t="s">
        <v>3195</v>
      </c>
      <c r="W576" s="13" t="s">
        <v>3167</v>
      </c>
      <c r="X576" s="13" t="s">
        <v>3170</v>
      </c>
      <c r="Y576" s="13" t="s">
        <v>3538</v>
      </c>
      <c r="Z576" s="13">
        <v>250.0</v>
      </c>
      <c r="AA576" s="13" t="b">
        <v>0</v>
      </c>
      <c r="AB576" s="48"/>
      <c r="AC576" s="49"/>
    </row>
    <row r="577" ht="14.25" customHeight="1">
      <c r="A577" s="13">
        <v>24055.0</v>
      </c>
      <c r="B577" s="13" t="str">
        <f t="shared" si="5"/>
        <v>Observational</v>
      </c>
      <c r="C577" s="13" t="s">
        <v>4864</v>
      </c>
      <c r="D577" s="1" t="s">
        <v>5279</v>
      </c>
      <c r="E577" s="13" t="s">
        <v>4992</v>
      </c>
      <c r="F577" s="13" t="s">
        <v>3183</v>
      </c>
      <c r="G577" s="13" t="s">
        <v>3183</v>
      </c>
      <c r="H577" s="13" t="s">
        <v>3166</v>
      </c>
      <c r="I577" s="13" t="s">
        <v>3261</v>
      </c>
      <c r="J577" s="13" t="s">
        <v>3229</v>
      </c>
      <c r="K577" s="13" t="s">
        <v>3153</v>
      </c>
      <c r="L577" s="13" t="s">
        <v>3179</v>
      </c>
      <c r="M577" s="13" t="s">
        <v>3735</v>
      </c>
      <c r="N577" s="13" t="s">
        <v>3162</v>
      </c>
      <c r="O577" s="13" t="s">
        <v>3736</v>
      </c>
      <c r="P577" s="13">
        <v>2.0</v>
      </c>
      <c r="Q577" s="13" t="s">
        <v>3160</v>
      </c>
      <c r="R577" s="13" t="s">
        <v>3163</v>
      </c>
      <c r="S577" s="13" t="s">
        <v>3737</v>
      </c>
      <c r="T577" s="13" t="s">
        <v>3178</v>
      </c>
      <c r="U577" s="13" t="s">
        <v>3164</v>
      </c>
      <c r="V577" s="13" t="s">
        <v>3165</v>
      </c>
      <c r="W577" s="13" t="s">
        <v>3167</v>
      </c>
      <c r="X577" s="13" t="s">
        <v>3192</v>
      </c>
      <c r="Y577" s="13" t="s">
        <v>3187</v>
      </c>
      <c r="Z577" s="13">
        <v>1.0</v>
      </c>
      <c r="AA577" s="13" t="b">
        <v>0</v>
      </c>
      <c r="AB577" s="48"/>
      <c r="AC577" s="49"/>
    </row>
    <row r="578" ht="14.25" customHeight="1">
      <c r="A578" s="13">
        <v>26103.0</v>
      </c>
      <c r="B578" s="13" t="str">
        <f t="shared" si="5"/>
        <v>Observational</v>
      </c>
      <c r="C578" s="13" t="s">
        <v>4864</v>
      </c>
      <c r="D578" s="1" t="s">
        <v>5280</v>
      </c>
      <c r="E578" s="13" t="s">
        <v>5281</v>
      </c>
      <c r="F578" s="13" t="s">
        <v>3173</v>
      </c>
      <c r="G578" s="13" t="s">
        <v>3173</v>
      </c>
      <c r="H578" s="13" t="s">
        <v>3166</v>
      </c>
      <c r="I578" s="13" t="s">
        <v>3181</v>
      </c>
      <c r="J578" s="13" t="s">
        <v>3229</v>
      </c>
      <c r="K578" s="13" t="s">
        <v>3153</v>
      </c>
      <c r="L578" s="13" t="s">
        <v>3179</v>
      </c>
      <c r="M578" s="13" t="s">
        <v>4453</v>
      </c>
      <c r="N578" s="13" t="s">
        <v>3162</v>
      </c>
      <c r="O578" s="13" t="s">
        <v>33</v>
      </c>
      <c r="P578" s="13">
        <v>3.0</v>
      </c>
      <c r="Q578" s="13" t="s">
        <v>3160</v>
      </c>
      <c r="R578" s="13" t="s">
        <v>3163</v>
      </c>
      <c r="S578" s="13" t="s">
        <v>33</v>
      </c>
      <c r="T578" s="13" t="s">
        <v>3178</v>
      </c>
      <c r="U578" s="13" t="s">
        <v>3164</v>
      </c>
      <c r="V578" s="13" t="s">
        <v>3165</v>
      </c>
      <c r="W578" s="13" t="s">
        <v>3167</v>
      </c>
      <c r="X578" s="13" t="s">
        <v>3192</v>
      </c>
      <c r="Y578" s="13" t="s">
        <v>33</v>
      </c>
      <c r="Z578" s="13" t="s">
        <v>33</v>
      </c>
      <c r="AA578" s="13" t="b">
        <v>0</v>
      </c>
      <c r="AB578" s="48"/>
      <c r="AC578" s="49"/>
    </row>
    <row r="579" ht="14.25" customHeight="1">
      <c r="A579" s="13">
        <v>24693.0</v>
      </c>
      <c r="B579" s="2" t="s">
        <v>4904</v>
      </c>
      <c r="C579" s="13" t="s">
        <v>4864</v>
      </c>
      <c r="D579" s="13" t="s">
        <v>5282</v>
      </c>
      <c r="E579" s="13" t="s">
        <v>5283</v>
      </c>
      <c r="F579" s="13" t="s">
        <v>3173</v>
      </c>
      <c r="G579" s="13" t="s">
        <v>3173</v>
      </c>
      <c r="H579" s="13" t="s">
        <v>3166</v>
      </c>
      <c r="I579" s="13" t="s">
        <v>3994</v>
      </c>
      <c r="J579" s="13" t="s">
        <v>3289</v>
      </c>
      <c r="K579" s="13" t="s">
        <v>3315</v>
      </c>
      <c r="L579" s="13" t="s">
        <v>3179</v>
      </c>
      <c r="M579" s="13" t="s">
        <v>3995</v>
      </c>
      <c r="N579" s="13" t="s">
        <v>3162</v>
      </c>
      <c r="O579" s="13" t="s">
        <v>33</v>
      </c>
      <c r="P579" s="13">
        <v>5.0</v>
      </c>
      <c r="Q579" s="13" t="s">
        <v>3160</v>
      </c>
      <c r="R579" s="13" t="s">
        <v>3163</v>
      </c>
      <c r="S579" s="13" t="s">
        <v>33</v>
      </c>
      <c r="T579" s="13" t="s">
        <v>3178</v>
      </c>
      <c r="U579" s="13" t="s">
        <v>3165</v>
      </c>
      <c r="V579" s="13" t="s">
        <v>3165</v>
      </c>
      <c r="W579" s="13" t="s">
        <v>3167</v>
      </c>
      <c r="X579" s="13" t="s">
        <v>3155</v>
      </c>
      <c r="Y579" s="13" t="s">
        <v>3156</v>
      </c>
      <c r="Z579" s="13" t="s">
        <v>33</v>
      </c>
      <c r="AA579" s="13" t="b">
        <v>1</v>
      </c>
      <c r="AB579" s="48"/>
      <c r="AC579" s="49"/>
    </row>
    <row r="580" ht="14.25" customHeight="1">
      <c r="A580" s="13">
        <v>25072.0</v>
      </c>
      <c r="B580" s="13" t="str">
        <f t="shared" ref="B580:B646" si="6">K580</f>
        <v>Observational</v>
      </c>
      <c r="C580" s="13" t="s">
        <v>4864</v>
      </c>
      <c r="D580" s="1" t="s">
        <v>5284</v>
      </c>
      <c r="E580" s="13" t="s">
        <v>5285</v>
      </c>
      <c r="F580" s="13" t="s">
        <v>3333</v>
      </c>
      <c r="G580" s="13" t="s">
        <v>3210</v>
      </c>
      <c r="H580" s="13" t="s">
        <v>3195</v>
      </c>
      <c r="I580" s="13" t="s">
        <v>3167</v>
      </c>
      <c r="J580" s="13" t="s">
        <v>3167</v>
      </c>
      <c r="K580" s="13" t="s">
        <v>3153</v>
      </c>
      <c r="L580" s="13" t="s">
        <v>3179</v>
      </c>
      <c r="M580" s="13" t="s">
        <v>4125</v>
      </c>
      <c r="N580" s="13" t="s">
        <v>3175</v>
      </c>
      <c r="O580" s="13" t="s">
        <v>3167</v>
      </c>
      <c r="P580" s="13">
        <v>6.0</v>
      </c>
      <c r="Q580" s="13" t="s">
        <v>3160</v>
      </c>
      <c r="R580" s="13" t="s">
        <v>3231</v>
      </c>
      <c r="S580" s="13" t="s">
        <v>33</v>
      </c>
      <c r="T580" s="13" t="s">
        <v>3167</v>
      </c>
      <c r="U580" s="13" t="s">
        <v>3195</v>
      </c>
      <c r="V580" s="13" t="s">
        <v>3195</v>
      </c>
      <c r="W580" s="13" t="s">
        <v>3167</v>
      </c>
      <c r="X580" s="13" t="s">
        <v>3217</v>
      </c>
      <c r="Y580" s="13" t="s">
        <v>3156</v>
      </c>
      <c r="Z580" s="13" t="s">
        <v>3167</v>
      </c>
      <c r="AA580" s="13" t="b">
        <v>0</v>
      </c>
      <c r="AB580" s="48"/>
      <c r="AC580" s="49"/>
    </row>
    <row r="581" ht="14.25" customHeight="1">
      <c r="A581" s="13">
        <v>24777.0</v>
      </c>
      <c r="B581" s="13" t="str">
        <f t="shared" si="6"/>
        <v>Observational</v>
      </c>
      <c r="C581" s="13" t="s">
        <v>4864</v>
      </c>
      <c r="D581" s="1" t="s">
        <v>5286</v>
      </c>
      <c r="E581" s="13" t="s">
        <v>5287</v>
      </c>
      <c r="F581" s="13" t="s">
        <v>3183</v>
      </c>
      <c r="G581" s="13" t="s">
        <v>3183</v>
      </c>
      <c r="H581" s="13" t="s">
        <v>3166</v>
      </c>
      <c r="I581" s="13" t="s">
        <v>3249</v>
      </c>
      <c r="J581" s="13" t="s">
        <v>3307</v>
      </c>
      <c r="K581" s="13" t="s">
        <v>3153</v>
      </c>
      <c r="L581" s="13" t="s">
        <v>3179</v>
      </c>
      <c r="M581" s="13" t="s">
        <v>4035</v>
      </c>
      <c r="N581" s="13" t="s">
        <v>3162</v>
      </c>
      <c r="O581" s="13" t="s">
        <v>3183</v>
      </c>
      <c r="P581" s="13">
        <v>4.0</v>
      </c>
      <c r="Q581" s="13" t="s">
        <v>3177</v>
      </c>
      <c r="R581" s="13" t="s">
        <v>3177</v>
      </c>
      <c r="S581" s="13" t="s">
        <v>4036</v>
      </c>
      <c r="T581" s="13" t="s">
        <v>3216</v>
      </c>
      <c r="U581" s="13" t="s">
        <v>3164</v>
      </c>
      <c r="V581" s="13" t="s">
        <v>3164</v>
      </c>
      <c r="W581" s="13" t="s">
        <v>3167</v>
      </c>
      <c r="X581" s="13" t="s">
        <v>3192</v>
      </c>
      <c r="Y581" s="13" t="s">
        <v>3187</v>
      </c>
      <c r="Z581" s="13">
        <v>400.0</v>
      </c>
      <c r="AA581" s="13" t="b">
        <v>0</v>
      </c>
      <c r="AB581" s="48"/>
      <c r="AC581" s="49"/>
    </row>
    <row r="582" ht="14.25" customHeight="1">
      <c r="A582" s="13">
        <v>23823.0</v>
      </c>
      <c r="B582" s="13" t="str">
        <f t="shared" si="6"/>
        <v>Observational</v>
      </c>
      <c r="C582" s="13" t="s">
        <v>4864</v>
      </c>
      <c r="D582" s="13" t="s">
        <v>5288</v>
      </c>
      <c r="E582" s="13" t="s">
        <v>5289</v>
      </c>
      <c r="F582" s="13" t="s">
        <v>3201</v>
      </c>
      <c r="G582" s="13" t="s">
        <v>3201</v>
      </c>
      <c r="H582" s="13" t="s">
        <v>3166</v>
      </c>
      <c r="I582" s="13" t="s">
        <v>3249</v>
      </c>
      <c r="J582" s="13" t="s">
        <v>3630</v>
      </c>
      <c r="K582" s="13" t="s">
        <v>3153</v>
      </c>
      <c r="L582" s="13" t="s">
        <v>3179</v>
      </c>
      <c r="M582" s="13" t="s">
        <v>3631</v>
      </c>
      <c r="N582" s="13" t="s">
        <v>3175</v>
      </c>
      <c r="O582" s="13" t="s">
        <v>3167</v>
      </c>
      <c r="P582" s="13">
        <v>3.0</v>
      </c>
      <c r="Q582" s="13" t="s">
        <v>3177</v>
      </c>
      <c r="R582" s="13" t="s">
        <v>3260</v>
      </c>
      <c r="S582" s="13" t="s">
        <v>33</v>
      </c>
      <c r="T582" s="13" t="s">
        <v>3632</v>
      </c>
      <c r="U582" s="13" t="s">
        <v>3247</v>
      </c>
      <c r="V582" s="13" t="s">
        <v>3247</v>
      </c>
      <c r="W582" s="13" t="s">
        <v>3167</v>
      </c>
      <c r="X582" s="13" t="s">
        <v>3211</v>
      </c>
      <c r="Y582" s="13" t="s">
        <v>3156</v>
      </c>
      <c r="Z582" s="13" t="s">
        <v>3167</v>
      </c>
      <c r="AA582" s="13" t="b">
        <v>1</v>
      </c>
      <c r="AB582" s="48"/>
      <c r="AC582" s="49"/>
    </row>
    <row r="583" ht="14.25" customHeight="1">
      <c r="A583" s="13">
        <v>23487.0</v>
      </c>
      <c r="B583" s="13" t="str">
        <f t="shared" si="6"/>
        <v>Observational</v>
      </c>
      <c r="C583" s="13" t="s">
        <v>4864</v>
      </c>
      <c r="D583" s="1" t="s">
        <v>5290</v>
      </c>
      <c r="E583" s="13" t="s">
        <v>5267</v>
      </c>
      <c r="F583" s="13" t="s">
        <v>3159</v>
      </c>
      <c r="G583" s="13" t="s">
        <v>3159</v>
      </c>
      <c r="H583" s="13" t="s">
        <v>3166</v>
      </c>
      <c r="I583" s="13" t="s">
        <v>3261</v>
      </c>
      <c r="J583" s="13" t="s">
        <v>3229</v>
      </c>
      <c r="K583" s="13" t="s">
        <v>3153</v>
      </c>
      <c r="L583" s="13" t="s">
        <v>3179</v>
      </c>
      <c r="M583" s="13" t="s">
        <v>3462</v>
      </c>
      <c r="N583" s="13" t="s">
        <v>3162</v>
      </c>
      <c r="O583" s="13" t="s">
        <v>33</v>
      </c>
      <c r="P583" s="13">
        <v>2.0</v>
      </c>
      <c r="Q583" s="13" t="s">
        <v>3160</v>
      </c>
      <c r="R583" s="13" t="s">
        <v>3163</v>
      </c>
      <c r="S583" s="13" t="s">
        <v>33</v>
      </c>
      <c r="T583" s="13" t="s">
        <v>3178</v>
      </c>
      <c r="U583" s="13" t="s">
        <v>3164</v>
      </c>
      <c r="V583" s="13" t="s">
        <v>3165</v>
      </c>
      <c r="W583" s="13" t="s">
        <v>3167</v>
      </c>
      <c r="X583" s="13" t="s">
        <v>3170</v>
      </c>
      <c r="Y583" s="13" t="s">
        <v>33</v>
      </c>
      <c r="Z583" s="13" t="s">
        <v>33</v>
      </c>
      <c r="AA583" s="13" t="b">
        <v>0</v>
      </c>
      <c r="AB583" s="48"/>
      <c r="AC583" s="49"/>
    </row>
    <row r="584" ht="14.25" customHeight="1">
      <c r="A584" s="13">
        <v>24558.0</v>
      </c>
      <c r="B584" s="13" t="str">
        <f t="shared" si="6"/>
        <v>Observational</v>
      </c>
      <c r="C584" s="13" t="s">
        <v>4864</v>
      </c>
      <c r="D584" s="13" t="s">
        <v>5291</v>
      </c>
      <c r="E584" s="13" t="s">
        <v>5292</v>
      </c>
      <c r="F584" s="13" t="s">
        <v>3186</v>
      </c>
      <c r="G584" s="13" t="s">
        <v>3282</v>
      </c>
      <c r="H584" s="13" t="s">
        <v>3166</v>
      </c>
      <c r="I584" s="13" t="s">
        <v>3261</v>
      </c>
      <c r="J584" s="13" t="s">
        <v>3229</v>
      </c>
      <c r="K584" s="13" t="s">
        <v>3153</v>
      </c>
      <c r="L584" s="13" t="s">
        <v>3179</v>
      </c>
      <c r="M584" s="13" t="s">
        <v>3954</v>
      </c>
      <c r="N584" s="13" t="s">
        <v>3175</v>
      </c>
      <c r="O584" s="13" t="s">
        <v>33</v>
      </c>
      <c r="P584" s="13">
        <v>5.0</v>
      </c>
      <c r="Q584" s="13" t="s">
        <v>3177</v>
      </c>
      <c r="R584" s="13" t="s">
        <v>3177</v>
      </c>
      <c r="S584" s="13" t="s">
        <v>33</v>
      </c>
      <c r="T584" s="13" t="s">
        <v>3224</v>
      </c>
      <c r="U584" s="13" t="s">
        <v>3228</v>
      </c>
      <c r="V584" s="13" t="s">
        <v>3232</v>
      </c>
      <c r="W584" s="13" t="s">
        <v>3167</v>
      </c>
      <c r="X584" s="13" t="s">
        <v>3192</v>
      </c>
      <c r="Y584" s="13" t="s">
        <v>3187</v>
      </c>
      <c r="Z584" s="13">
        <v>400.0</v>
      </c>
      <c r="AA584" s="13" t="b">
        <v>1</v>
      </c>
      <c r="AB584" s="48"/>
      <c r="AC584" s="49"/>
    </row>
    <row r="585" ht="14.25" customHeight="1">
      <c r="A585" s="13">
        <v>25870.0</v>
      </c>
      <c r="B585" s="13" t="str">
        <f t="shared" si="6"/>
        <v>Experimental</v>
      </c>
      <c r="C585" s="13" t="s">
        <v>4856</v>
      </c>
      <c r="D585" s="1"/>
      <c r="E585" s="2" t="s">
        <v>5293</v>
      </c>
      <c r="F585" s="13" t="s">
        <v>3159</v>
      </c>
      <c r="G585" s="13" t="s">
        <v>3159</v>
      </c>
      <c r="H585" s="13" t="s">
        <v>3166</v>
      </c>
      <c r="I585" s="13" t="s">
        <v>3222</v>
      </c>
      <c r="J585" s="13" t="s">
        <v>3182</v>
      </c>
      <c r="K585" s="13" t="s">
        <v>3457</v>
      </c>
      <c r="L585" s="13" t="s">
        <v>3169</v>
      </c>
      <c r="M585" s="13" t="s">
        <v>4365</v>
      </c>
      <c r="N585" s="13" t="s">
        <v>3162</v>
      </c>
      <c r="O585" s="13" t="s">
        <v>33</v>
      </c>
      <c r="P585" s="13">
        <v>1.0</v>
      </c>
      <c r="Q585" s="13" t="s">
        <v>3160</v>
      </c>
      <c r="R585" s="13" t="s">
        <v>3163</v>
      </c>
      <c r="S585" s="13" t="s">
        <v>33</v>
      </c>
      <c r="T585" s="13" t="s">
        <v>3224</v>
      </c>
      <c r="U585" s="13" t="s">
        <v>3164</v>
      </c>
      <c r="V585" s="13" t="s">
        <v>3164</v>
      </c>
      <c r="W585" s="13" t="s">
        <v>3167</v>
      </c>
      <c r="X585" s="13" t="s">
        <v>3170</v>
      </c>
      <c r="Y585" s="13" t="s">
        <v>3156</v>
      </c>
      <c r="Z585" s="13" t="s">
        <v>33</v>
      </c>
      <c r="AA585" s="13" t="b">
        <v>1</v>
      </c>
      <c r="AB585" s="48"/>
      <c r="AC585" s="49"/>
    </row>
    <row r="586" ht="14.25" customHeight="1">
      <c r="A586" s="13">
        <v>24079.0</v>
      </c>
      <c r="B586" s="13" t="str">
        <f t="shared" si="6"/>
        <v>Observational</v>
      </c>
      <c r="C586" s="13" t="s">
        <v>4856</v>
      </c>
      <c r="D586" s="1" t="s">
        <v>5294</v>
      </c>
      <c r="E586" s="2" t="s">
        <v>5295</v>
      </c>
      <c r="F586" s="13" t="s">
        <v>3381</v>
      </c>
      <c r="G586" s="13" t="s">
        <v>3183</v>
      </c>
      <c r="H586" s="13" t="s">
        <v>3166</v>
      </c>
      <c r="I586" s="13" t="s">
        <v>3188</v>
      </c>
      <c r="J586" s="13" t="s">
        <v>3741</v>
      </c>
      <c r="K586" s="13" t="s">
        <v>3153</v>
      </c>
      <c r="L586" s="13" t="s">
        <v>3169</v>
      </c>
      <c r="M586" s="13" t="s">
        <v>3391</v>
      </c>
      <c r="N586" s="13" t="s">
        <v>3175</v>
      </c>
      <c r="O586" s="13" t="s">
        <v>3742</v>
      </c>
      <c r="P586" s="13">
        <v>1.0</v>
      </c>
      <c r="Q586" s="13" t="s">
        <v>3177</v>
      </c>
      <c r="R586" s="13" t="s">
        <v>3177</v>
      </c>
      <c r="S586" s="13" t="s">
        <v>3397</v>
      </c>
      <c r="T586" s="13" t="s">
        <v>3224</v>
      </c>
      <c r="U586" s="13" t="s">
        <v>3228</v>
      </c>
      <c r="V586" s="13" t="s">
        <v>3228</v>
      </c>
      <c r="W586" s="13" t="s">
        <v>3167</v>
      </c>
      <c r="X586" s="13" t="s">
        <v>3211</v>
      </c>
      <c r="Y586" s="13" t="s">
        <v>3187</v>
      </c>
      <c r="Z586" s="13">
        <v>1.0</v>
      </c>
      <c r="AA586" s="13" t="b">
        <v>0</v>
      </c>
      <c r="AB586" s="48"/>
      <c r="AC586" s="49"/>
    </row>
    <row r="587" ht="14.25" customHeight="1">
      <c r="A587" s="13">
        <v>23313.0</v>
      </c>
      <c r="B587" s="13" t="str">
        <f t="shared" si="6"/>
        <v>Observational</v>
      </c>
      <c r="C587" s="13" t="s">
        <v>4856</v>
      </c>
      <c r="D587" s="1" t="s">
        <v>5294</v>
      </c>
      <c r="E587" s="2" t="s">
        <v>5295</v>
      </c>
      <c r="F587" s="13" t="s">
        <v>3159</v>
      </c>
      <c r="G587" s="13" t="s">
        <v>3159</v>
      </c>
      <c r="H587" s="13" t="s">
        <v>3166</v>
      </c>
      <c r="I587" s="13" t="s">
        <v>3188</v>
      </c>
      <c r="J587" s="13" t="s">
        <v>3390</v>
      </c>
      <c r="K587" s="13" t="s">
        <v>3153</v>
      </c>
      <c r="L587" s="13" t="s">
        <v>3169</v>
      </c>
      <c r="M587" s="13" t="s">
        <v>3391</v>
      </c>
      <c r="N587" s="13" t="s">
        <v>3162</v>
      </c>
      <c r="O587" s="13" t="s">
        <v>33</v>
      </c>
      <c r="P587" s="13">
        <v>1.0</v>
      </c>
      <c r="Q587" s="13" t="s">
        <v>3160</v>
      </c>
      <c r="R587" s="13" t="s">
        <v>3177</v>
      </c>
      <c r="S587" s="13" t="s">
        <v>33</v>
      </c>
      <c r="T587" s="13" t="s">
        <v>3224</v>
      </c>
      <c r="U587" s="13" t="s">
        <v>3164</v>
      </c>
      <c r="V587" s="13" t="s">
        <v>3215</v>
      </c>
      <c r="W587" s="13" t="s">
        <v>3167</v>
      </c>
      <c r="X587" s="13" t="s">
        <v>3192</v>
      </c>
      <c r="Y587" s="13" t="s">
        <v>3156</v>
      </c>
      <c r="Z587" s="13" t="s">
        <v>3167</v>
      </c>
      <c r="AA587" s="13" t="b">
        <v>0</v>
      </c>
      <c r="AB587" s="48"/>
      <c r="AC587" s="49"/>
    </row>
    <row r="588" ht="14.25" customHeight="1">
      <c r="A588" s="13">
        <v>23315.0</v>
      </c>
      <c r="B588" s="13" t="str">
        <f t="shared" si="6"/>
        <v>Observational</v>
      </c>
      <c r="C588" s="13" t="s">
        <v>4864</v>
      </c>
      <c r="D588" s="1" t="s">
        <v>5294</v>
      </c>
      <c r="E588" s="2" t="s">
        <v>5295</v>
      </c>
      <c r="F588" s="13" t="s">
        <v>3183</v>
      </c>
      <c r="G588" s="13" t="s">
        <v>3183</v>
      </c>
      <c r="H588" s="13" t="s">
        <v>3166</v>
      </c>
      <c r="I588" s="13" t="s">
        <v>3392</v>
      </c>
      <c r="J588" s="13" t="s">
        <v>3204</v>
      </c>
      <c r="K588" s="13" t="s">
        <v>3153</v>
      </c>
      <c r="L588" s="13" t="s">
        <v>3179</v>
      </c>
      <c r="M588" s="13" t="s">
        <v>3391</v>
      </c>
      <c r="N588" s="13" t="s">
        <v>3162</v>
      </c>
      <c r="O588" s="13" t="s">
        <v>3393</v>
      </c>
      <c r="P588" s="13">
        <v>1.0</v>
      </c>
      <c r="Q588" s="13" t="s">
        <v>3177</v>
      </c>
      <c r="R588" s="13" t="s">
        <v>3177</v>
      </c>
      <c r="S588" s="13" t="s">
        <v>33</v>
      </c>
      <c r="T588" s="13" t="s">
        <v>3225</v>
      </c>
      <c r="U588" s="13" t="s">
        <v>3215</v>
      </c>
      <c r="V588" s="13" t="s">
        <v>3232</v>
      </c>
      <c r="W588" s="13" t="s">
        <v>3167</v>
      </c>
      <c r="X588" s="13" t="s">
        <v>3155</v>
      </c>
      <c r="Y588" s="13" t="s">
        <v>3187</v>
      </c>
      <c r="Z588" s="13">
        <v>81.0</v>
      </c>
      <c r="AA588" s="13" t="b">
        <v>0</v>
      </c>
      <c r="AB588" s="48"/>
      <c r="AC588" s="49"/>
    </row>
    <row r="589" ht="14.25" customHeight="1">
      <c r="A589" s="13">
        <v>23318.0</v>
      </c>
      <c r="B589" s="13" t="str">
        <f t="shared" si="6"/>
        <v>Observational</v>
      </c>
      <c r="C589" s="13" t="s">
        <v>4856</v>
      </c>
      <c r="D589" s="1" t="s">
        <v>5294</v>
      </c>
      <c r="E589" s="2" t="s">
        <v>5295</v>
      </c>
      <c r="F589" s="13" t="s">
        <v>3159</v>
      </c>
      <c r="G589" s="13" t="s">
        <v>3159</v>
      </c>
      <c r="H589" s="13" t="s">
        <v>3166</v>
      </c>
      <c r="I589" s="13" t="s">
        <v>3188</v>
      </c>
      <c r="J589" s="13" t="s">
        <v>3394</v>
      </c>
      <c r="K589" s="13" t="s">
        <v>3153</v>
      </c>
      <c r="L589" s="13" t="s">
        <v>3169</v>
      </c>
      <c r="M589" s="13" t="s">
        <v>3391</v>
      </c>
      <c r="N589" s="13" t="s">
        <v>3162</v>
      </c>
      <c r="O589" s="13" t="s">
        <v>3167</v>
      </c>
      <c r="P589" s="13">
        <v>1.0</v>
      </c>
      <c r="Q589" s="13" t="s">
        <v>3160</v>
      </c>
      <c r="R589" s="13" t="s">
        <v>3231</v>
      </c>
      <c r="S589" s="13" t="s">
        <v>33</v>
      </c>
      <c r="T589" s="13" t="s">
        <v>3178</v>
      </c>
      <c r="U589" s="13" t="s">
        <v>3164</v>
      </c>
      <c r="V589" s="13" t="s">
        <v>3232</v>
      </c>
      <c r="W589" s="13" t="s">
        <v>3167</v>
      </c>
      <c r="X589" s="13" t="s">
        <v>3170</v>
      </c>
      <c r="Y589" s="13" t="s">
        <v>3156</v>
      </c>
      <c r="Z589" s="13" t="s">
        <v>3202</v>
      </c>
      <c r="AA589" s="13" t="b">
        <v>0</v>
      </c>
      <c r="AB589" s="48"/>
      <c r="AC589" s="49"/>
    </row>
    <row r="590" ht="14.25" customHeight="1">
      <c r="A590" s="13">
        <v>23412.0</v>
      </c>
      <c r="B590" s="13" t="str">
        <f t="shared" si="6"/>
        <v>Observational</v>
      </c>
      <c r="C590" s="13" t="s">
        <v>4856</v>
      </c>
      <c r="D590" s="1" t="s">
        <v>5294</v>
      </c>
      <c r="E590" s="2" t="s">
        <v>5295</v>
      </c>
      <c r="F590" s="13" t="s">
        <v>3159</v>
      </c>
      <c r="G590" s="13" t="s">
        <v>3437</v>
      </c>
      <c r="H590" s="13" t="s">
        <v>3166</v>
      </c>
      <c r="I590" s="13" t="s">
        <v>3171</v>
      </c>
      <c r="J590" s="13" t="s">
        <v>3436</v>
      </c>
      <c r="K590" s="13" t="s">
        <v>3153</v>
      </c>
      <c r="L590" s="13" t="s">
        <v>3169</v>
      </c>
      <c r="M590" s="13" t="s">
        <v>3391</v>
      </c>
      <c r="N590" s="13" t="s">
        <v>3162</v>
      </c>
      <c r="O590" s="13" t="s">
        <v>33</v>
      </c>
      <c r="P590" s="13">
        <v>1.0</v>
      </c>
      <c r="Q590" s="13" t="s">
        <v>3177</v>
      </c>
      <c r="R590" s="13" t="s">
        <v>3177</v>
      </c>
      <c r="S590" s="13" t="s">
        <v>33</v>
      </c>
      <c r="T590" s="13" t="s">
        <v>3178</v>
      </c>
      <c r="U590" s="13" t="s">
        <v>3232</v>
      </c>
      <c r="V590" s="13" t="s">
        <v>3232</v>
      </c>
      <c r="W590" s="13" t="s">
        <v>3167</v>
      </c>
      <c r="X590" s="13" t="s">
        <v>3170</v>
      </c>
      <c r="Y590" s="13" t="s">
        <v>3202</v>
      </c>
      <c r="Z590" s="13">
        <v>500.0</v>
      </c>
      <c r="AA590" s="13" t="b">
        <v>0</v>
      </c>
      <c r="AB590" s="48"/>
      <c r="AC590" s="49"/>
    </row>
    <row r="591" ht="14.25" customHeight="1">
      <c r="A591" s="13">
        <v>23430.0</v>
      </c>
      <c r="B591" s="13" t="str">
        <f t="shared" si="6"/>
        <v>Observational</v>
      </c>
      <c r="C591" s="13" t="s">
        <v>4856</v>
      </c>
      <c r="D591" s="1" t="s">
        <v>5294</v>
      </c>
      <c r="E591" s="2" t="s">
        <v>5295</v>
      </c>
      <c r="F591" s="13" t="s">
        <v>3183</v>
      </c>
      <c r="G591" s="13" t="s">
        <v>3183</v>
      </c>
      <c r="H591" s="13" t="s">
        <v>3166</v>
      </c>
      <c r="I591" s="13" t="s">
        <v>3222</v>
      </c>
      <c r="J591" s="13" t="s">
        <v>3229</v>
      </c>
      <c r="K591" s="13" t="s">
        <v>3153</v>
      </c>
      <c r="L591" s="13" t="s">
        <v>3169</v>
      </c>
      <c r="M591" s="13" t="s">
        <v>3391</v>
      </c>
      <c r="N591" s="13" t="s">
        <v>3162</v>
      </c>
      <c r="O591" s="13" t="s">
        <v>3446</v>
      </c>
      <c r="P591" s="13">
        <v>1.0</v>
      </c>
      <c r="Q591" s="13" t="s">
        <v>3177</v>
      </c>
      <c r="R591" s="13" t="s">
        <v>3177</v>
      </c>
      <c r="S591" s="13" t="s">
        <v>3446</v>
      </c>
      <c r="T591" s="13" t="s">
        <v>3224</v>
      </c>
      <c r="U591" s="13" t="s">
        <v>3164</v>
      </c>
      <c r="V591" s="13" t="s">
        <v>3164</v>
      </c>
      <c r="W591" s="13" t="s">
        <v>3167</v>
      </c>
      <c r="X591" s="13" t="s">
        <v>3192</v>
      </c>
      <c r="Y591" s="13" t="s">
        <v>3156</v>
      </c>
      <c r="Z591" s="13" t="s">
        <v>33</v>
      </c>
      <c r="AA591" s="13" t="b">
        <v>0</v>
      </c>
      <c r="AB591" s="48"/>
      <c r="AC591" s="49"/>
    </row>
    <row r="592" ht="14.25" customHeight="1">
      <c r="A592" s="13">
        <v>23489.0</v>
      </c>
      <c r="B592" s="13" t="str">
        <f t="shared" si="6"/>
        <v>Observational</v>
      </c>
      <c r="C592" s="13" t="s">
        <v>4856</v>
      </c>
      <c r="D592" s="1" t="s">
        <v>5294</v>
      </c>
      <c r="E592" s="2" t="s">
        <v>5295</v>
      </c>
      <c r="F592" s="13" t="s">
        <v>3159</v>
      </c>
      <c r="G592" s="13" t="s">
        <v>3159</v>
      </c>
      <c r="H592" s="13" t="s">
        <v>3166</v>
      </c>
      <c r="I592" s="13" t="s">
        <v>3244</v>
      </c>
      <c r="J592" s="13" t="s">
        <v>3463</v>
      </c>
      <c r="K592" s="13" t="s">
        <v>3153</v>
      </c>
      <c r="L592" s="13" t="s">
        <v>3169</v>
      </c>
      <c r="M592" s="13" t="s">
        <v>3391</v>
      </c>
      <c r="N592" s="13" t="s">
        <v>3162</v>
      </c>
      <c r="O592" s="13" t="s">
        <v>33</v>
      </c>
      <c r="P592" s="13">
        <v>1.0</v>
      </c>
      <c r="Q592" s="13" t="s">
        <v>3177</v>
      </c>
      <c r="R592" s="13" t="s">
        <v>3177</v>
      </c>
      <c r="S592" s="13" t="s">
        <v>33</v>
      </c>
      <c r="T592" s="13" t="s">
        <v>3178</v>
      </c>
      <c r="U592" s="13" t="s">
        <v>3165</v>
      </c>
      <c r="V592" s="13" t="s">
        <v>3165</v>
      </c>
      <c r="W592" s="13" t="s">
        <v>3167</v>
      </c>
      <c r="X592" s="13" t="s">
        <v>3155</v>
      </c>
      <c r="Y592" s="13" t="s">
        <v>3156</v>
      </c>
      <c r="Z592" s="13" t="s">
        <v>33</v>
      </c>
      <c r="AA592" s="13" t="b">
        <v>0</v>
      </c>
      <c r="AB592" s="48"/>
      <c r="AC592" s="49"/>
    </row>
    <row r="593" ht="14.25" customHeight="1">
      <c r="A593" s="13">
        <v>23614.0</v>
      </c>
      <c r="B593" s="13" t="str">
        <f t="shared" si="6"/>
        <v>Observational</v>
      </c>
      <c r="C593" s="13" t="s">
        <v>4856</v>
      </c>
      <c r="D593" s="1" t="s">
        <v>5294</v>
      </c>
      <c r="E593" s="2" t="s">
        <v>5295</v>
      </c>
      <c r="F593" s="13" t="s">
        <v>3190</v>
      </c>
      <c r="G593" s="13" t="s">
        <v>3173</v>
      </c>
      <c r="H593" s="13" t="s">
        <v>3166</v>
      </c>
      <c r="I593" s="13" t="s">
        <v>3171</v>
      </c>
      <c r="J593" s="13" t="s">
        <v>3537</v>
      </c>
      <c r="K593" s="13" t="s">
        <v>3153</v>
      </c>
      <c r="L593" s="13" t="s">
        <v>3169</v>
      </c>
      <c r="M593" s="13" t="s">
        <v>3391</v>
      </c>
      <c r="N593" s="13" t="s">
        <v>3162</v>
      </c>
      <c r="O593" s="13" t="s">
        <v>33</v>
      </c>
      <c r="P593" s="13">
        <v>1.0</v>
      </c>
      <c r="Q593" s="13" t="s">
        <v>3177</v>
      </c>
      <c r="R593" s="13" t="s">
        <v>3163</v>
      </c>
      <c r="S593" s="13" t="s">
        <v>33</v>
      </c>
      <c r="T593" s="13" t="s">
        <v>3224</v>
      </c>
      <c r="U593" s="13" t="s">
        <v>3165</v>
      </c>
      <c r="V593" s="13" t="s">
        <v>3165</v>
      </c>
      <c r="W593" s="13" t="s">
        <v>3167</v>
      </c>
      <c r="X593" s="13" t="s">
        <v>3155</v>
      </c>
      <c r="Y593" s="13" t="s">
        <v>33</v>
      </c>
      <c r="Z593" s="13" t="s">
        <v>33</v>
      </c>
      <c r="AA593" s="13" t="b">
        <v>0</v>
      </c>
      <c r="AB593" s="48"/>
      <c r="AC593" s="49"/>
    </row>
    <row r="594" ht="14.25" customHeight="1">
      <c r="A594" s="13">
        <v>23653.0</v>
      </c>
      <c r="B594" s="13" t="str">
        <f t="shared" si="6"/>
        <v>Observational</v>
      </c>
      <c r="C594" s="13" t="s">
        <v>4852</v>
      </c>
      <c r="D594" s="1" t="s">
        <v>5294</v>
      </c>
      <c r="E594" s="2" t="s">
        <v>5295</v>
      </c>
      <c r="F594" s="13" t="s">
        <v>3190</v>
      </c>
      <c r="G594" s="13" t="s">
        <v>3159</v>
      </c>
      <c r="H594" s="13" t="s">
        <v>3166</v>
      </c>
      <c r="I594" s="13" t="s">
        <v>3171</v>
      </c>
      <c r="J594" s="13" t="s">
        <v>3555</v>
      </c>
      <c r="K594" s="13" t="s">
        <v>3153</v>
      </c>
      <c r="L594" s="13" t="s">
        <v>3154</v>
      </c>
      <c r="M594" s="13" t="s">
        <v>3391</v>
      </c>
      <c r="N594" s="13" t="s">
        <v>3162</v>
      </c>
      <c r="O594" s="13" t="s">
        <v>3167</v>
      </c>
      <c r="P594" s="13">
        <v>1.0</v>
      </c>
      <c r="Q594" s="13" t="s">
        <v>3177</v>
      </c>
      <c r="R594" s="13" t="s">
        <v>3260</v>
      </c>
      <c r="S594" s="13" t="s">
        <v>33</v>
      </c>
      <c r="T594" s="13" t="s">
        <v>3168</v>
      </c>
      <c r="U594" s="13" t="s">
        <v>3165</v>
      </c>
      <c r="V594" s="13" t="s">
        <v>3165</v>
      </c>
      <c r="W594" s="13" t="s">
        <v>3167</v>
      </c>
      <c r="X594" s="13" t="s">
        <v>3170</v>
      </c>
      <c r="Y594" s="13" t="s">
        <v>3156</v>
      </c>
      <c r="Z594" s="13" t="s">
        <v>3167</v>
      </c>
      <c r="AA594" s="13" t="b">
        <v>0</v>
      </c>
      <c r="AB594" s="48"/>
      <c r="AC594" s="49"/>
    </row>
    <row r="595" ht="14.25" customHeight="1">
      <c r="A595" s="13">
        <v>23704.0</v>
      </c>
      <c r="B595" s="13" t="str">
        <f t="shared" si="6"/>
        <v>Observational</v>
      </c>
      <c r="C595" s="13" t="s">
        <v>4856</v>
      </c>
      <c r="D595" s="1" t="s">
        <v>5294</v>
      </c>
      <c r="E595" s="2" t="s">
        <v>5295</v>
      </c>
      <c r="F595" s="13" t="s">
        <v>3201</v>
      </c>
      <c r="G595" s="13" t="s">
        <v>3159</v>
      </c>
      <c r="H595" s="13" t="s">
        <v>3166</v>
      </c>
      <c r="I595" s="13" t="s">
        <v>3188</v>
      </c>
      <c r="J595" s="13" t="s">
        <v>3233</v>
      </c>
      <c r="K595" s="13" t="s">
        <v>3153</v>
      </c>
      <c r="L595" s="13" t="s">
        <v>3169</v>
      </c>
      <c r="M595" s="13" t="s">
        <v>3391</v>
      </c>
      <c r="N595" s="13" t="s">
        <v>3162</v>
      </c>
      <c r="O595" s="13" t="s">
        <v>33</v>
      </c>
      <c r="P595" s="13">
        <v>1.0</v>
      </c>
      <c r="Q595" s="13" t="s">
        <v>3177</v>
      </c>
      <c r="R595" s="13" t="s">
        <v>3163</v>
      </c>
      <c r="S595" s="13" t="s">
        <v>33</v>
      </c>
      <c r="T595" s="13" t="s">
        <v>3178</v>
      </c>
      <c r="U595" s="13" t="s">
        <v>3232</v>
      </c>
      <c r="V595" s="13" t="s">
        <v>3232</v>
      </c>
      <c r="W595" s="13" t="s">
        <v>3167</v>
      </c>
      <c r="X595" s="13" t="s">
        <v>3192</v>
      </c>
      <c r="Y595" s="13" t="s">
        <v>33</v>
      </c>
      <c r="Z595" s="13" t="s">
        <v>33</v>
      </c>
      <c r="AA595" s="13" t="b">
        <v>0</v>
      </c>
      <c r="AB595" s="48"/>
      <c r="AC595" s="49"/>
    </row>
    <row r="596" ht="14.25" customHeight="1">
      <c r="A596" s="13">
        <v>23854.0</v>
      </c>
      <c r="B596" s="13" t="str">
        <f t="shared" si="6"/>
        <v>Observational</v>
      </c>
      <c r="C596" s="13" t="s">
        <v>4856</v>
      </c>
      <c r="D596" s="1" t="s">
        <v>5294</v>
      </c>
      <c r="E596" s="2" t="s">
        <v>5295</v>
      </c>
      <c r="F596" s="13" t="s">
        <v>3159</v>
      </c>
      <c r="G596" s="13" t="s">
        <v>3159</v>
      </c>
      <c r="H596" s="13" t="s">
        <v>3166</v>
      </c>
      <c r="I596" s="13" t="s">
        <v>3171</v>
      </c>
      <c r="J596" s="13" t="s">
        <v>3649</v>
      </c>
      <c r="K596" s="13" t="s">
        <v>3153</v>
      </c>
      <c r="L596" s="13" t="s">
        <v>3169</v>
      </c>
      <c r="M596" s="13" t="s">
        <v>3391</v>
      </c>
      <c r="N596" s="13" t="s">
        <v>3162</v>
      </c>
      <c r="O596" s="13" t="s">
        <v>33</v>
      </c>
      <c r="P596" s="13">
        <v>1.0</v>
      </c>
      <c r="Q596" s="13" t="s">
        <v>3177</v>
      </c>
      <c r="R596" s="13" t="s">
        <v>3177</v>
      </c>
      <c r="S596" s="13" t="s">
        <v>33</v>
      </c>
      <c r="T596" s="13" t="s">
        <v>3178</v>
      </c>
      <c r="U596" s="13" t="s">
        <v>3232</v>
      </c>
      <c r="V596" s="13" t="s">
        <v>3232</v>
      </c>
      <c r="W596" s="13" t="s">
        <v>3167</v>
      </c>
      <c r="X596" s="13" t="s">
        <v>3211</v>
      </c>
      <c r="Y596" s="13" t="s">
        <v>3156</v>
      </c>
      <c r="Z596" s="13" t="s">
        <v>33</v>
      </c>
      <c r="AA596" s="13" t="b">
        <v>0</v>
      </c>
      <c r="AB596" s="48"/>
      <c r="AC596" s="49"/>
    </row>
    <row r="597" ht="14.25" customHeight="1">
      <c r="A597" s="13">
        <v>23893.0</v>
      </c>
      <c r="B597" s="13" t="str">
        <f t="shared" si="6"/>
        <v>Observational</v>
      </c>
      <c r="C597" s="13" t="s">
        <v>4856</v>
      </c>
      <c r="D597" s="1" t="s">
        <v>5294</v>
      </c>
      <c r="E597" s="2" t="s">
        <v>5295</v>
      </c>
      <c r="F597" s="13" t="s">
        <v>3159</v>
      </c>
      <c r="G597" s="13" t="s">
        <v>3335</v>
      </c>
      <c r="H597" s="13" t="s">
        <v>3195</v>
      </c>
      <c r="I597" s="13" t="s">
        <v>3244</v>
      </c>
      <c r="J597" s="13" t="s">
        <v>3289</v>
      </c>
      <c r="K597" s="13" t="s">
        <v>3153</v>
      </c>
      <c r="L597" s="13" t="s">
        <v>3169</v>
      </c>
      <c r="M597" s="13" t="s">
        <v>3391</v>
      </c>
      <c r="N597" s="13" t="s">
        <v>3162</v>
      </c>
      <c r="O597" s="13" t="s">
        <v>33</v>
      </c>
      <c r="P597" s="13">
        <v>1.0</v>
      </c>
      <c r="Q597" s="13" t="s">
        <v>3177</v>
      </c>
      <c r="R597" s="13" t="s">
        <v>3163</v>
      </c>
      <c r="S597" s="13" t="s">
        <v>3323</v>
      </c>
      <c r="T597" s="13" t="s">
        <v>3167</v>
      </c>
      <c r="U597" s="13" t="s">
        <v>3195</v>
      </c>
      <c r="V597" s="13" t="s">
        <v>3195</v>
      </c>
      <c r="W597" s="13" t="s">
        <v>3167</v>
      </c>
      <c r="X597" s="13" t="s">
        <v>3170</v>
      </c>
      <c r="Y597" s="13" t="s">
        <v>3156</v>
      </c>
      <c r="Z597" s="13" t="s">
        <v>33</v>
      </c>
      <c r="AA597" s="13" t="b">
        <v>0</v>
      </c>
      <c r="AB597" s="48"/>
      <c r="AC597" s="49"/>
    </row>
    <row r="598" ht="14.25" customHeight="1">
      <c r="A598" s="13">
        <v>23960.0</v>
      </c>
      <c r="B598" s="13" t="str">
        <f t="shared" si="6"/>
        <v>Observational</v>
      </c>
      <c r="C598" s="13" t="s">
        <v>4856</v>
      </c>
      <c r="D598" s="1" t="s">
        <v>5294</v>
      </c>
      <c r="E598" s="2" t="s">
        <v>5295</v>
      </c>
      <c r="F598" s="13" t="s">
        <v>3159</v>
      </c>
      <c r="G598" s="13" t="s">
        <v>3159</v>
      </c>
      <c r="H598" s="13" t="s">
        <v>3166</v>
      </c>
      <c r="I598" s="13" t="s">
        <v>3222</v>
      </c>
      <c r="J598" s="13" t="s">
        <v>3182</v>
      </c>
      <c r="K598" s="13" t="s">
        <v>3153</v>
      </c>
      <c r="L598" s="13" t="s">
        <v>3169</v>
      </c>
      <c r="M598" s="13" t="s">
        <v>3391</v>
      </c>
      <c r="N598" s="13" t="s">
        <v>3162</v>
      </c>
      <c r="O598" s="13" t="s">
        <v>3167</v>
      </c>
      <c r="P598" s="13">
        <v>1.0</v>
      </c>
      <c r="Q598" s="13" t="s">
        <v>3177</v>
      </c>
      <c r="R598" s="13" t="s">
        <v>3231</v>
      </c>
      <c r="S598" s="13" t="s">
        <v>33</v>
      </c>
      <c r="T598" s="13" t="s">
        <v>3178</v>
      </c>
      <c r="U598" s="13" t="s">
        <v>3164</v>
      </c>
      <c r="V598" s="13" t="s">
        <v>3164</v>
      </c>
      <c r="W598" s="13" t="s">
        <v>3167</v>
      </c>
      <c r="X598" s="13" t="s">
        <v>3192</v>
      </c>
      <c r="Y598" s="13" t="s">
        <v>3156</v>
      </c>
      <c r="Z598" s="13" t="s">
        <v>3167</v>
      </c>
      <c r="AA598" s="13" t="b">
        <v>0</v>
      </c>
      <c r="AB598" s="48"/>
      <c r="AC598" s="49"/>
    </row>
    <row r="599" ht="14.25" customHeight="1">
      <c r="A599" s="13">
        <v>24155.0</v>
      </c>
      <c r="B599" s="13" t="str">
        <f t="shared" si="6"/>
        <v>Observational</v>
      </c>
      <c r="C599" s="13" t="s">
        <v>4856</v>
      </c>
      <c r="D599" s="1" t="s">
        <v>5294</v>
      </c>
      <c r="E599" s="2" t="s">
        <v>5295</v>
      </c>
      <c r="F599" s="13" t="s">
        <v>3190</v>
      </c>
      <c r="G599" s="13" t="s">
        <v>3190</v>
      </c>
      <c r="H599" s="13" t="s">
        <v>3166</v>
      </c>
      <c r="I599" s="13" t="s">
        <v>3188</v>
      </c>
      <c r="J599" s="13" t="s">
        <v>3189</v>
      </c>
      <c r="K599" s="13" t="s">
        <v>3153</v>
      </c>
      <c r="L599" s="13" t="s">
        <v>3169</v>
      </c>
      <c r="M599" s="13" t="s">
        <v>3391</v>
      </c>
      <c r="N599" s="13" t="s">
        <v>3162</v>
      </c>
      <c r="O599" s="13" t="s">
        <v>33</v>
      </c>
      <c r="P599" s="13">
        <v>1.0</v>
      </c>
      <c r="Q599" s="13" t="s">
        <v>3177</v>
      </c>
      <c r="R599" s="13" t="s">
        <v>3177</v>
      </c>
      <c r="S599" s="13" t="s">
        <v>33</v>
      </c>
      <c r="T599" s="13" t="s">
        <v>3178</v>
      </c>
      <c r="U599" s="13" t="s">
        <v>3228</v>
      </c>
      <c r="V599" s="13" t="s">
        <v>3228</v>
      </c>
      <c r="W599" s="13" t="s">
        <v>3167</v>
      </c>
      <c r="X599" s="13" t="s">
        <v>3192</v>
      </c>
      <c r="Y599" s="13" t="s">
        <v>3156</v>
      </c>
      <c r="Z599" s="13" t="s">
        <v>33</v>
      </c>
      <c r="AA599" s="13" t="b">
        <v>0</v>
      </c>
      <c r="AB599" s="48"/>
      <c r="AC599" s="49"/>
    </row>
    <row r="600" ht="14.25" customHeight="1">
      <c r="A600" s="13">
        <v>24212.0</v>
      </c>
      <c r="B600" s="13" t="str">
        <f t="shared" si="6"/>
        <v>Observational</v>
      </c>
      <c r="C600" s="13" t="s">
        <v>4856</v>
      </c>
      <c r="D600" s="1" t="s">
        <v>5294</v>
      </c>
      <c r="E600" s="2" t="s">
        <v>5295</v>
      </c>
      <c r="F600" s="13" t="s">
        <v>3183</v>
      </c>
      <c r="G600" s="13" t="s">
        <v>3183</v>
      </c>
      <c r="H600" s="13" t="s">
        <v>3166</v>
      </c>
      <c r="I600" s="13" t="s">
        <v>3167</v>
      </c>
      <c r="J600" s="13" t="s">
        <v>3167</v>
      </c>
      <c r="K600" s="13" t="s">
        <v>3153</v>
      </c>
      <c r="L600" s="13" t="s">
        <v>3169</v>
      </c>
      <c r="M600" s="13" t="s">
        <v>3391</v>
      </c>
      <c r="N600" s="13" t="s">
        <v>3162</v>
      </c>
      <c r="O600" s="13" t="s">
        <v>3802</v>
      </c>
      <c r="P600" s="13">
        <v>1.0</v>
      </c>
      <c r="Q600" s="13" t="s">
        <v>3177</v>
      </c>
      <c r="R600" s="13" t="s">
        <v>3163</v>
      </c>
      <c r="S600" s="13" t="s">
        <v>3802</v>
      </c>
      <c r="T600" s="13" t="s">
        <v>3216</v>
      </c>
      <c r="U600" s="13" t="s">
        <v>3165</v>
      </c>
      <c r="V600" s="13" t="s">
        <v>3165</v>
      </c>
      <c r="W600" s="13" t="s">
        <v>3167</v>
      </c>
      <c r="X600" s="13" t="s">
        <v>3217</v>
      </c>
      <c r="Y600" s="13" t="s">
        <v>33</v>
      </c>
      <c r="Z600" s="13" t="s">
        <v>33</v>
      </c>
      <c r="AA600" s="13" t="b">
        <v>0</v>
      </c>
      <c r="AB600" s="48"/>
      <c r="AC600" s="49"/>
    </row>
    <row r="601" ht="14.25" customHeight="1">
      <c r="A601" s="13">
        <v>24310.0</v>
      </c>
      <c r="B601" s="13" t="str">
        <f t="shared" si="6"/>
        <v>Observational</v>
      </c>
      <c r="C601" s="13" t="s">
        <v>4856</v>
      </c>
      <c r="D601" s="1" t="s">
        <v>5294</v>
      </c>
      <c r="E601" s="2" t="s">
        <v>5295</v>
      </c>
      <c r="F601" s="13" t="s">
        <v>3845</v>
      </c>
      <c r="G601" s="13" t="s">
        <v>3847</v>
      </c>
      <c r="H601" s="13" t="s">
        <v>3166</v>
      </c>
      <c r="I601" s="13" t="s">
        <v>3167</v>
      </c>
      <c r="J601" s="13" t="s">
        <v>3167</v>
      </c>
      <c r="K601" s="13" t="s">
        <v>3153</v>
      </c>
      <c r="L601" s="13" t="s">
        <v>3169</v>
      </c>
      <c r="M601" s="13" t="s">
        <v>3391</v>
      </c>
      <c r="N601" s="13" t="s">
        <v>3162</v>
      </c>
      <c r="O601" s="13" t="s">
        <v>3846</v>
      </c>
      <c r="P601" s="13">
        <v>1.0</v>
      </c>
      <c r="Q601" s="13" t="s">
        <v>3177</v>
      </c>
      <c r="R601" s="13" t="s">
        <v>3177</v>
      </c>
      <c r="S601" s="13" t="s">
        <v>3846</v>
      </c>
      <c r="T601" s="13" t="s">
        <v>3216</v>
      </c>
      <c r="U601" s="13" t="s">
        <v>3165</v>
      </c>
      <c r="V601" s="13" t="s">
        <v>3165</v>
      </c>
      <c r="W601" s="13" t="s">
        <v>3167</v>
      </c>
      <c r="X601" s="13" t="s">
        <v>3217</v>
      </c>
      <c r="Y601" s="13" t="s">
        <v>3156</v>
      </c>
      <c r="Z601" s="13" t="s">
        <v>33</v>
      </c>
      <c r="AA601" s="13" t="b">
        <v>0</v>
      </c>
      <c r="AB601" s="48"/>
      <c r="AC601" s="49"/>
    </row>
    <row r="602" ht="14.25" customHeight="1">
      <c r="A602" s="13">
        <v>24341.0</v>
      </c>
      <c r="B602" s="13" t="str">
        <f t="shared" si="6"/>
        <v>Observational</v>
      </c>
      <c r="C602" s="13" t="s">
        <v>4856</v>
      </c>
      <c r="D602" s="1" t="s">
        <v>5294</v>
      </c>
      <c r="E602" s="2" t="s">
        <v>5295</v>
      </c>
      <c r="F602" s="13" t="s">
        <v>3296</v>
      </c>
      <c r="G602" s="13" t="s">
        <v>3190</v>
      </c>
      <c r="H602" s="13" t="s">
        <v>3166</v>
      </c>
      <c r="I602" s="13" t="s">
        <v>3171</v>
      </c>
      <c r="J602" s="13" t="s">
        <v>3537</v>
      </c>
      <c r="K602" s="13" t="s">
        <v>3153</v>
      </c>
      <c r="L602" s="13" t="s">
        <v>3169</v>
      </c>
      <c r="M602" s="13" t="s">
        <v>3391</v>
      </c>
      <c r="N602" s="13" t="s">
        <v>3162</v>
      </c>
      <c r="O602" s="13" t="s">
        <v>33</v>
      </c>
      <c r="P602" s="13">
        <v>1.0</v>
      </c>
      <c r="Q602" s="13" t="s">
        <v>3177</v>
      </c>
      <c r="R602" s="13" t="s">
        <v>3163</v>
      </c>
      <c r="S602" s="13" t="s">
        <v>33</v>
      </c>
      <c r="T602" s="13" t="s">
        <v>3632</v>
      </c>
      <c r="U602" s="13" t="s">
        <v>3247</v>
      </c>
      <c r="V602" s="13" t="s">
        <v>3247</v>
      </c>
      <c r="W602" s="13" t="s">
        <v>3167</v>
      </c>
      <c r="X602" s="13" t="s">
        <v>3170</v>
      </c>
      <c r="Y602" s="13" t="s">
        <v>3202</v>
      </c>
      <c r="Z602" s="13">
        <v>10.0</v>
      </c>
      <c r="AA602" s="13" t="b">
        <v>0</v>
      </c>
      <c r="AB602" s="48"/>
      <c r="AC602" s="49"/>
    </row>
    <row r="603" ht="14.25" customHeight="1">
      <c r="A603" s="13">
        <v>24346.0</v>
      </c>
      <c r="B603" s="13" t="str">
        <f t="shared" si="6"/>
        <v>Observational</v>
      </c>
      <c r="C603" s="13" t="s">
        <v>4856</v>
      </c>
      <c r="D603" s="1" t="s">
        <v>5294</v>
      </c>
      <c r="E603" s="2" t="s">
        <v>5295</v>
      </c>
      <c r="F603" s="13" t="s">
        <v>3173</v>
      </c>
      <c r="G603" s="13" t="s">
        <v>3214</v>
      </c>
      <c r="H603" s="13" t="s">
        <v>3166</v>
      </c>
      <c r="I603" s="13" t="s">
        <v>3188</v>
      </c>
      <c r="J603" s="13" t="s">
        <v>3167</v>
      </c>
      <c r="K603" s="13" t="s">
        <v>3153</v>
      </c>
      <c r="L603" s="13" t="s">
        <v>3169</v>
      </c>
      <c r="M603" s="13" t="s">
        <v>3391</v>
      </c>
      <c r="N603" s="13" t="s">
        <v>3162</v>
      </c>
      <c r="O603" s="13" t="s">
        <v>3167</v>
      </c>
      <c r="P603" s="13">
        <v>1.0</v>
      </c>
      <c r="Q603" s="13" t="s">
        <v>3177</v>
      </c>
      <c r="R603" s="13" t="s">
        <v>3231</v>
      </c>
      <c r="S603" s="13" t="s">
        <v>3864</v>
      </c>
      <c r="T603" s="13" t="s">
        <v>3224</v>
      </c>
      <c r="U603" s="13" t="s">
        <v>3164</v>
      </c>
      <c r="V603" s="13" t="s">
        <v>3164</v>
      </c>
      <c r="W603" s="13" t="s">
        <v>3167</v>
      </c>
      <c r="X603" s="13" t="s">
        <v>3284</v>
      </c>
      <c r="Y603" s="13" t="s">
        <v>3156</v>
      </c>
      <c r="Z603" s="13" t="s">
        <v>3180</v>
      </c>
      <c r="AA603" s="13" t="b">
        <v>0</v>
      </c>
      <c r="AB603" s="48"/>
      <c r="AC603" s="49"/>
    </row>
    <row r="604" ht="14.25" customHeight="1">
      <c r="A604" s="13">
        <v>24416.0</v>
      </c>
      <c r="B604" s="13" t="str">
        <f t="shared" si="6"/>
        <v>Observational</v>
      </c>
      <c r="C604" s="13" t="s">
        <v>4856</v>
      </c>
      <c r="D604" s="1" t="s">
        <v>5294</v>
      </c>
      <c r="E604" s="2" t="s">
        <v>5295</v>
      </c>
      <c r="F604" s="13" t="s">
        <v>3159</v>
      </c>
      <c r="G604" s="13" t="s">
        <v>3159</v>
      </c>
      <c r="H604" s="13" t="s">
        <v>3166</v>
      </c>
      <c r="I604" s="13" t="s">
        <v>3171</v>
      </c>
      <c r="J604" s="13" t="s">
        <v>3891</v>
      </c>
      <c r="K604" s="13" t="s">
        <v>3153</v>
      </c>
      <c r="L604" s="13" t="s">
        <v>3169</v>
      </c>
      <c r="M604" s="13" t="s">
        <v>3391</v>
      </c>
      <c r="N604" s="13" t="s">
        <v>3162</v>
      </c>
      <c r="O604" s="13" t="s">
        <v>33</v>
      </c>
      <c r="P604" s="13">
        <v>1.0</v>
      </c>
      <c r="Q604" s="13" t="s">
        <v>3160</v>
      </c>
      <c r="R604" s="13" t="s">
        <v>3163</v>
      </c>
      <c r="S604" s="13" t="s">
        <v>33</v>
      </c>
      <c r="T604" s="13" t="s">
        <v>3178</v>
      </c>
      <c r="U604" s="13" t="s">
        <v>3232</v>
      </c>
      <c r="V604" s="13" t="s">
        <v>3232</v>
      </c>
      <c r="W604" s="13" t="s">
        <v>3167</v>
      </c>
      <c r="X604" s="13" t="s">
        <v>3211</v>
      </c>
      <c r="Y604" s="13" t="s">
        <v>3156</v>
      </c>
      <c r="Z604" s="13" t="s">
        <v>33</v>
      </c>
      <c r="AA604" s="13" t="b">
        <v>0</v>
      </c>
      <c r="AB604" s="48"/>
      <c r="AC604" s="49"/>
    </row>
    <row r="605" ht="14.25" customHeight="1">
      <c r="A605" s="13">
        <v>24573.0</v>
      </c>
      <c r="B605" s="13" t="str">
        <f t="shared" si="6"/>
        <v>Observational</v>
      </c>
      <c r="C605" s="13" t="s">
        <v>4856</v>
      </c>
      <c r="D605" s="1" t="s">
        <v>5294</v>
      </c>
      <c r="E605" s="2" t="s">
        <v>5295</v>
      </c>
      <c r="F605" s="13" t="s">
        <v>3580</v>
      </c>
      <c r="G605" s="13" t="s">
        <v>3580</v>
      </c>
      <c r="H605" s="13" t="s">
        <v>3166</v>
      </c>
      <c r="I605" s="13" t="s">
        <v>3171</v>
      </c>
      <c r="J605" s="13" t="s">
        <v>3555</v>
      </c>
      <c r="K605" s="13" t="s">
        <v>3153</v>
      </c>
      <c r="L605" s="13" t="s">
        <v>3169</v>
      </c>
      <c r="M605" s="13" t="s">
        <v>3391</v>
      </c>
      <c r="N605" s="13" t="s">
        <v>3162</v>
      </c>
      <c r="O605" s="13" t="s">
        <v>33</v>
      </c>
      <c r="P605" s="13">
        <v>1.0</v>
      </c>
      <c r="Q605" s="13" t="s">
        <v>3160</v>
      </c>
      <c r="R605" s="13" t="s">
        <v>3163</v>
      </c>
      <c r="S605" s="13" t="s">
        <v>33</v>
      </c>
      <c r="T605" s="13" t="s">
        <v>3178</v>
      </c>
      <c r="U605" s="13" t="s">
        <v>3164</v>
      </c>
      <c r="V605" s="13" t="s">
        <v>3165</v>
      </c>
      <c r="W605" s="13" t="s">
        <v>3167</v>
      </c>
      <c r="X605" s="13" t="s">
        <v>3170</v>
      </c>
      <c r="Y605" s="13" t="s">
        <v>3187</v>
      </c>
      <c r="Z605" s="13">
        <v>1.0</v>
      </c>
      <c r="AA605" s="13" t="b">
        <v>0</v>
      </c>
      <c r="AB605" s="48"/>
      <c r="AC605" s="49"/>
    </row>
    <row r="606" ht="14.25" customHeight="1">
      <c r="A606" s="13">
        <v>24619.0</v>
      </c>
      <c r="B606" s="13" t="str">
        <f t="shared" si="6"/>
        <v>Observational</v>
      </c>
      <c r="C606" s="13" t="s">
        <v>4856</v>
      </c>
      <c r="D606" s="1" t="s">
        <v>5294</v>
      </c>
      <c r="E606" s="2" t="s">
        <v>5295</v>
      </c>
      <c r="F606" s="13" t="s">
        <v>3159</v>
      </c>
      <c r="G606" s="13" t="s">
        <v>3159</v>
      </c>
      <c r="H606" s="13" t="s">
        <v>3166</v>
      </c>
      <c r="I606" s="13" t="s">
        <v>3171</v>
      </c>
      <c r="J606" s="13" t="s">
        <v>3555</v>
      </c>
      <c r="K606" s="13" t="s">
        <v>3153</v>
      </c>
      <c r="L606" s="13" t="s">
        <v>3169</v>
      </c>
      <c r="M606" s="13" t="s">
        <v>3391</v>
      </c>
      <c r="N606" s="13" t="s">
        <v>3162</v>
      </c>
      <c r="O606" s="13" t="s">
        <v>3167</v>
      </c>
      <c r="P606" s="13">
        <v>1.0</v>
      </c>
      <c r="Q606" s="13" t="s">
        <v>3177</v>
      </c>
      <c r="R606" s="13" t="s">
        <v>3231</v>
      </c>
      <c r="S606" s="13" t="s">
        <v>33</v>
      </c>
      <c r="T606" s="13" t="s">
        <v>3178</v>
      </c>
      <c r="U606" s="13" t="s">
        <v>3164</v>
      </c>
      <c r="V606" s="13" t="s">
        <v>3164</v>
      </c>
      <c r="W606" s="13" t="s">
        <v>3167</v>
      </c>
      <c r="X606" s="13" t="s">
        <v>3192</v>
      </c>
      <c r="Y606" s="13" t="s">
        <v>3202</v>
      </c>
      <c r="Z606" s="13">
        <v>500.0</v>
      </c>
      <c r="AA606" s="13" t="b">
        <v>0</v>
      </c>
      <c r="AB606" s="48"/>
      <c r="AC606" s="49"/>
    </row>
    <row r="607" ht="14.25" customHeight="1">
      <c r="A607" s="13">
        <v>24620.0</v>
      </c>
      <c r="B607" s="13" t="str">
        <f t="shared" si="6"/>
        <v>Observational</v>
      </c>
      <c r="C607" s="13" t="s">
        <v>4856</v>
      </c>
      <c r="D607" s="1" t="s">
        <v>5294</v>
      </c>
      <c r="E607" s="2" t="s">
        <v>5295</v>
      </c>
      <c r="F607" s="13" t="s">
        <v>3159</v>
      </c>
      <c r="G607" s="13" t="s">
        <v>3159</v>
      </c>
      <c r="H607" s="13" t="s">
        <v>3166</v>
      </c>
      <c r="I607" s="13" t="s">
        <v>3171</v>
      </c>
      <c r="J607" s="13" t="s">
        <v>3555</v>
      </c>
      <c r="K607" s="13" t="s">
        <v>3153</v>
      </c>
      <c r="L607" s="13" t="s">
        <v>3169</v>
      </c>
      <c r="M607" s="13" t="s">
        <v>3391</v>
      </c>
      <c r="N607" s="13" t="s">
        <v>3162</v>
      </c>
      <c r="O607" s="13" t="s">
        <v>33</v>
      </c>
      <c r="P607" s="13">
        <v>1.0</v>
      </c>
      <c r="Q607" s="13" t="s">
        <v>3177</v>
      </c>
      <c r="R607" s="13" t="s">
        <v>3163</v>
      </c>
      <c r="S607" s="13" t="s">
        <v>33</v>
      </c>
      <c r="T607" s="13" t="s">
        <v>3178</v>
      </c>
      <c r="U607" s="13" t="s">
        <v>3165</v>
      </c>
      <c r="V607" s="13" t="s">
        <v>3165</v>
      </c>
      <c r="W607" s="13" t="s">
        <v>3167</v>
      </c>
      <c r="X607" s="13" t="s">
        <v>3192</v>
      </c>
      <c r="Y607" s="13" t="s">
        <v>33</v>
      </c>
      <c r="Z607" s="13" t="s">
        <v>33</v>
      </c>
      <c r="AA607" s="13" t="b">
        <v>0</v>
      </c>
      <c r="AB607" s="48"/>
      <c r="AC607" s="49"/>
    </row>
    <row r="608" ht="14.25" customHeight="1">
      <c r="A608" s="13">
        <v>24636.0</v>
      </c>
      <c r="B608" s="13" t="str">
        <f t="shared" si="6"/>
        <v>Observational</v>
      </c>
      <c r="C608" s="13" t="s">
        <v>4856</v>
      </c>
      <c r="D608" s="1" t="s">
        <v>5294</v>
      </c>
      <c r="E608" s="2" t="s">
        <v>5295</v>
      </c>
      <c r="F608" s="13" t="s">
        <v>3183</v>
      </c>
      <c r="G608" s="13" t="s">
        <v>3183</v>
      </c>
      <c r="H608" s="13" t="s">
        <v>3166</v>
      </c>
      <c r="I608" s="13" t="s">
        <v>3167</v>
      </c>
      <c r="J608" s="13" t="s">
        <v>3167</v>
      </c>
      <c r="K608" s="13" t="s">
        <v>3153</v>
      </c>
      <c r="L608" s="13" t="s">
        <v>3169</v>
      </c>
      <c r="M608" s="13" t="s">
        <v>3391</v>
      </c>
      <c r="N608" s="13" t="s">
        <v>3162</v>
      </c>
      <c r="O608" s="13" t="s">
        <v>3221</v>
      </c>
      <c r="P608" s="13">
        <v>1.0</v>
      </c>
      <c r="Q608" s="13" t="s">
        <v>3160</v>
      </c>
      <c r="R608" s="13" t="s">
        <v>3177</v>
      </c>
      <c r="S608" s="13" t="s">
        <v>3221</v>
      </c>
      <c r="T608" s="13" t="s">
        <v>3178</v>
      </c>
      <c r="U608" s="13" t="s">
        <v>3228</v>
      </c>
      <c r="V608" s="13" t="s">
        <v>3232</v>
      </c>
      <c r="W608" s="13" t="s">
        <v>3167</v>
      </c>
      <c r="X608" s="13" t="s">
        <v>3217</v>
      </c>
      <c r="Y608" s="13" t="s">
        <v>3180</v>
      </c>
      <c r="Z608" s="13">
        <v>1.0</v>
      </c>
      <c r="AA608" s="13" t="b">
        <v>0</v>
      </c>
      <c r="AB608" s="48"/>
      <c r="AC608" s="49"/>
    </row>
    <row r="609" ht="14.25" customHeight="1">
      <c r="A609" s="13">
        <v>24660.0</v>
      </c>
      <c r="B609" s="13" t="str">
        <f t="shared" si="6"/>
        <v>Observational</v>
      </c>
      <c r="C609" s="13" t="s">
        <v>4856</v>
      </c>
      <c r="D609" s="1" t="s">
        <v>5294</v>
      </c>
      <c r="E609" s="2" t="s">
        <v>5295</v>
      </c>
      <c r="F609" s="13" t="s">
        <v>3190</v>
      </c>
      <c r="G609" s="13" t="s">
        <v>3580</v>
      </c>
      <c r="H609" s="13" t="s">
        <v>3166</v>
      </c>
      <c r="I609" s="13" t="s">
        <v>3188</v>
      </c>
      <c r="J609" s="13" t="s">
        <v>3327</v>
      </c>
      <c r="K609" s="13" t="s">
        <v>3153</v>
      </c>
      <c r="L609" s="13" t="s">
        <v>3169</v>
      </c>
      <c r="M609" s="13" t="s">
        <v>3391</v>
      </c>
      <c r="N609" s="13" t="s">
        <v>3162</v>
      </c>
      <c r="O609" s="13" t="s">
        <v>33</v>
      </c>
      <c r="P609" s="13">
        <v>1.0</v>
      </c>
      <c r="Q609" s="13" t="s">
        <v>3160</v>
      </c>
      <c r="R609" s="13" t="s">
        <v>3163</v>
      </c>
      <c r="S609" s="13" t="s">
        <v>33</v>
      </c>
      <c r="T609" s="13" t="s">
        <v>3178</v>
      </c>
      <c r="U609" s="13" t="s">
        <v>3164</v>
      </c>
      <c r="V609" s="13" t="s">
        <v>3164</v>
      </c>
      <c r="W609" s="13" t="s">
        <v>3167</v>
      </c>
      <c r="X609" s="13" t="s">
        <v>3192</v>
      </c>
      <c r="Y609" s="13" t="s">
        <v>3156</v>
      </c>
      <c r="Z609" s="13" t="s">
        <v>33</v>
      </c>
      <c r="AA609" s="13" t="b">
        <v>0</v>
      </c>
      <c r="AB609" s="48"/>
      <c r="AC609" s="49"/>
    </row>
    <row r="610" ht="14.25" customHeight="1">
      <c r="A610" s="13">
        <v>24699.0</v>
      </c>
      <c r="B610" s="13" t="str">
        <f t="shared" si="6"/>
        <v>Observational</v>
      </c>
      <c r="C610" s="13" t="s">
        <v>4856</v>
      </c>
      <c r="D610" s="1" t="s">
        <v>5294</v>
      </c>
      <c r="E610" s="2" t="s">
        <v>5295</v>
      </c>
      <c r="F610" s="13" t="s">
        <v>3159</v>
      </c>
      <c r="G610" s="13" t="s">
        <v>3159</v>
      </c>
      <c r="H610" s="13" t="s">
        <v>3166</v>
      </c>
      <c r="I610" s="13" t="s">
        <v>3157</v>
      </c>
      <c r="J610" s="13" t="s">
        <v>3199</v>
      </c>
      <c r="K610" s="13" t="s">
        <v>3153</v>
      </c>
      <c r="L610" s="13" t="s">
        <v>3169</v>
      </c>
      <c r="M610" s="13" t="s">
        <v>3391</v>
      </c>
      <c r="N610" s="13" t="s">
        <v>3162</v>
      </c>
      <c r="O610" s="13" t="s">
        <v>33</v>
      </c>
      <c r="P610" s="13">
        <v>1.0</v>
      </c>
      <c r="Q610" s="13" t="s">
        <v>3177</v>
      </c>
      <c r="R610" s="13" t="s">
        <v>3163</v>
      </c>
      <c r="S610" s="13" t="s">
        <v>33</v>
      </c>
      <c r="T610" s="13" t="s">
        <v>3893</v>
      </c>
      <c r="U610" s="13" t="s">
        <v>3197</v>
      </c>
      <c r="V610" s="13" t="s">
        <v>3197</v>
      </c>
      <c r="W610" s="13" t="s">
        <v>3167</v>
      </c>
      <c r="X610" s="13" t="s">
        <v>3192</v>
      </c>
      <c r="Y610" s="13" t="s">
        <v>3156</v>
      </c>
      <c r="Z610" s="13" t="s">
        <v>33</v>
      </c>
      <c r="AA610" s="13" t="b">
        <v>0</v>
      </c>
      <c r="AB610" s="48"/>
      <c r="AC610" s="49"/>
    </row>
    <row r="611" ht="14.25" customHeight="1">
      <c r="A611" s="13">
        <v>24720.0</v>
      </c>
      <c r="B611" s="13" t="str">
        <f t="shared" si="6"/>
        <v>Observational</v>
      </c>
      <c r="C611" s="13" t="s">
        <v>4856</v>
      </c>
      <c r="D611" s="1" t="s">
        <v>5294</v>
      </c>
      <c r="E611" s="2" t="s">
        <v>5295</v>
      </c>
      <c r="F611" s="13" t="s">
        <v>3381</v>
      </c>
      <c r="G611" s="13" t="s">
        <v>3381</v>
      </c>
      <c r="H611" s="13" t="s">
        <v>3166</v>
      </c>
      <c r="I611" s="13" t="s">
        <v>3157</v>
      </c>
      <c r="J611" s="13" t="s">
        <v>3199</v>
      </c>
      <c r="K611" s="13" t="s">
        <v>3153</v>
      </c>
      <c r="L611" s="13" t="s">
        <v>3169</v>
      </c>
      <c r="M611" s="13" t="s">
        <v>3391</v>
      </c>
      <c r="N611" s="13" t="s">
        <v>3162</v>
      </c>
      <c r="O611" s="13" t="s">
        <v>4010</v>
      </c>
      <c r="P611" s="13">
        <v>1.0</v>
      </c>
      <c r="Q611" s="13" t="s">
        <v>3160</v>
      </c>
      <c r="R611" s="13" t="s">
        <v>3231</v>
      </c>
      <c r="S611" s="13" t="s">
        <v>33</v>
      </c>
      <c r="T611" s="13" t="s">
        <v>3518</v>
      </c>
      <c r="U611" s="13" t="s">
        <v>3197</v>
      </c>
      <c r="V611" s="13" t="s">
        <v>3197</v>
      </c>
      <c r="W611" s="13" t="s">
        <v>3167</v>
      </c>
      <c r="X611" s="13" t="s">
        <v>3192</v>
      </c>
      <c r="Y611" s="13" t="s">
        <v>3187</v>
      </c>
      <c r="Z611" s="13">
        <v>1.0</v>
      </c>
      <c r="AA611" s="13" t="b">
        <v>0</v>
      </c>
      <c r="AB611" s="48"/>
      <c r="AC611" s="49"/>
    </row>
    <row r="612" ht="14.25" customHeight="1">
      <c r="A612" s="13">
        <v>24769.0</v>
      </c>
      <c r="B612" s="13" t="str">
        <f t="shared" si="6"/>
        <v>Observational</v>
      </c>
      <c r="C612" s="13" t="s">
        <v>4856</v>
      </c>
      <c r="D612" s="1" t="s">
        <v>5294</v>
      </c>
      <c r="E612" s="2" t="s">
        <v>5295</v>
      </c>
      <c r="F612" s="13" t="s">
        <v>3190</v>
      </c>
      <c r="G612" s="13" t="s">
        <v>3190</v>
      </c>
      <c r="H612" s="13" t="s">
        <v>3166</v>
      </c>
      <c r="I612" s="13" t="s">
        <v>3188</v>
      </c>
      <c r="J612" s="13" t="s">
        <v>3189</v>
      </c>
      <c r="K612" s="13" t="s">
        <v>3153</v>
      </c>
      <c r="L612" s="13" t="s">
        <v>3169</v>
      </c>
      <c r="M612" s="13" t="s">
        <v>3391</v>
      </c>
      <c r="N612" s="13" t="s">
        <v>3162</v>
      </c>
      <c r="O612" s="13" t="s">
        <v>33</v>
      </c>
      <c r="P612" s="13">
        <v>1.0</v>
      </c>
      <c r="Q612" s="13" t="s">
        <v>3177</v>
      </c>
      <c r="R612" s="13" t="s">
        <v>3177</v>
      </c>
      <c r="S612" s="13" t="s">
        <v>33</v>
      </c>
      <c r="T612" s="13" t="s">
        <v>3178</v>
      </c>
      <c r="U612" s="13" t="s">
        <v>3164</v>
      </c>
      <c r="V612" s="13" t="s">
        <v>3164</v>
      </c>
      <c r="W612" s="13" t="s">
        <v>3167</v>
      </c>
      <c r="X612" s="13" t="s">
        <v>3192</v>
      </c>
      <c r="Y612" s="13" t="s">
        <v>3156</v>
      </c>
      <c r="Z612" s="13" t="s">
        <v>33</v>
      </c>
      <c r="AA612" s="13" t="b">
        <v>0</v>
      </c>
      <c r="AB612" s="48"/>
      <c r="AC612" s="49"/>
    </row>
    <row r="613" ht="14.25" customHeight="1">
      <c r="A613" s="13">
        <v>24785.0</v>
      </c>
      <c r="B613" s="13" t="str">
        <f t="shared" si="6"/>
        <v>Observational</v>
      </c>
      <c r="C613" s="13" t="s">
        <v>4856</v>
      </c>
      <c r="D613" s="1" t="s">
        <v>5294</v>
      </c>
      <c r="E613" s="2" t="s">
        <v>5295</v>
      </c>
      <c r="F613" s="13" t="s">
        <v>3186</v>
      </c>
      <c r="G613" s="13" t="s">
        <v>3208</v>
      </c>
      <c r="H613" s="13" t="s">
        <v>3166</v>
      </c>
      <c r="I613" s="13" t="s">
        <v>3171</v>
      </c>
      <c r="J613" s="13" t="s">
        <v>3172</v>
      </c>
      <c r="K613" s="13" t="s">
        <v>3153</v>
      </c>
      <c r="L613" s="13" t="s">
        <v>3169</v>
      </c>
      <c r="M613" s="13" t="s">
        <v>3391</v>
      </c>
      <c r="N613" s="13" t="s">
        <v>3162</v>
      </c>
      <c r="O613" s="13" t="s">
        <v>33</v>
      </c>
      <c r="P613" s="13">
        <v>1.0</v>
      </c>
      <c r="Q613" s="13" t="s">
        <v>3177</v>
      </c>
      <c r="R613" s="13" t="s">
        <v>3177</v>
      </c>
      <c r="S613" s="13" t="s">
        <v>33</v>
      </c>
      <c r="T613" s="13" t="s">
        <v>3178</v>
      </c>
      <c r="U613" s="13" t="s">
        <v>3164</v>
      </c>
      <c r="V613" s="13" t="s">
        <v>3164</v>
      </c>
      <c r="W613" s="13" t="s">
        <v>3167</v>
      </c>
      <c r="X613" s="13" t="s">
        <v>3192</v>
      </c>
      <c r="Y613" s="13" t="s">
        <v>3187</v>
      </c>
      <c r="Z613" s="13">
        <v>25.0</v>
      </c>
      <c r="AA613" s="13" t="b">
        <v>0</v>
      </c>
      <c r="AB613" s="48"/>
      <c r="AC613" s="49"/>
    </row>
    <row r="614" ht="14.25" customHeight="1">
      <c r="A614" s="13">
        <v>24796.0</v>
      </c>
      <c r="B614" s="13" t="str">
        <f t="shared" si="6"/>
        <v>Observational</v>
      </c>
      <c r="C614" s="13" t="s">
        <v>4856</v>
      </c>
      <c r="D614" s="1" t="s">
        <v>5294</v>
      </c>
      <c r="E614" s="2" t="s">
        <v>5295</v>
      </c>
      <c r="F614" s="13" t="s">
        <v>3159</v>
      </c>
      <c r="G614" s="13" t="s">
        <v>3159</v>
      </c>
      <c r="H614" s="13" t="s">
        <v>3166</v>
      </c>
      <c r="I614" s="13" t="s">
        <v>3171</v>
      </c>
      <c r="J614" s="13" t="s">
        <v>4012</v>
      </c>
      <c r="K614" s="13" t="s">
        <v>3153</v>
      </c>
      <c r="L614" s="13" t="s">
        <v>3169</v>
      </c>
      <c r="M614" s="13" t="s">
        <v>3391</v>
      </c>
      <c r="N614" s="13" t="s">
        <v>3162</v>
      </c>
      <c r="O614" s="13" t="s">
        <v>33</v>
      </c>
      <c r="P614" s="13">
        <v>1.0</v>
      </c>
      <c r="Q614" s="13" t="s">
        <v>3160</v>
      </c>
      <c r="R614" s="13" t="s">
        <v>3163</v>
      </c>
      <c r="S614" s="13" t="s">
        <v>33</v>
      </c>
      <c r="T614" s="13" t="s">
        <v>3178</v>
      </c>
      <c r="U614" s="13" t="s">
        <v>3164</v>
      </c>
      <c r="V614" s="13" t="s">
        <v>3164</v>
      </c>
      <c r="W614" s="13" t="s">
        <v>3167</v>
      </c>
      <c r="X614" s="13" t="s">
        <v>3170</v>
      </c>
      <c r="Y614" s="13" t="s">
        <v>3156</v>
      </c>
      <c r="Z614" s="13" t="s">
        <v>33</v>
      </c>
      <c r="AA614" s="13" t="b">
        <v>0</v>
      </c>
      <c r="AB614" s="48"/>
      <c r="AC614" s="49"/>
    </row>
    <row r="615" ht="14.25" customHeight="1">
      <c r="A615" s="13">
        <v>24821.0</v>
      </c>
      <c r="B615" s="13" t="str">
        <f t="shared" si="6"/>
        <v>Observational</v>
      </c>
      <c r="C615" s="13" t="s">
        <v>4856</v>
      </c>
      <c r="D615" s="1" t="s">
        <v>5294</v>
      </c>
      <c r="E615" s="2" t="s">
        <v>5295</v>
      </c>
      <c r="F615" s="13" t="s">
        <v>3580</v>
      </c>
      <c r="G615" s="13" t="s">
        <v>3208</v>
      </c>
      <c r="H615" s="13" t="s">
        <v>3166</v>
      </c>
      <c r="I615" s="13" t="s">
        <v>3171</v>
      </c>
      <c r="J615" s="13" t="s">
        <v>4045</v>
      </c>
      <c r="K615" s="13" t="s">
        <v>3153</v>
      </c>
      <c r="L615" s="13" t="s">
        <v>3169</v>
      </c>
      <c r="M615" s="13" t="s">
        <v>3391</v>
      </c>
      <c r="N615" s="13" t="s">
        <v>3162</v>
      </c>
      <c r="O615" s="13" t="s">
        <v>33</v>
      </c>
      <c r="P615" s="13">
        <v>1.0</v>
      </c>
      <c r="Q615" s="13" t="s">
        <v>3177</v>
      </c>
      <c r="R615" s="13" t="s">
        <v>3163</v>
      </c>
      <c r="S615" s="13" t="s">
        <v>33</v>
      </c>
      <c r="T615" s="13" t="s">
        <v>3178</v>
      </c>
      <c r="U615" s="13" t="s">
        <v>3164</v>
      </c>
      <c r="V615" s="13" t="s">
        <v>3232</v>
      </c>
      <c r="W615" s="13" t="s">
        <v>3167</v>
      </c>
      <c r="X615" s="13" t="s">
        <v>3170</v>
      </c>
      <c r="Y615" s="13" t="s">
        <v>3156</v>
      </c>
      <c r="Z615" s="13" t="s">
        <v>33</v>
      </c>
      <c r="AA615" s="13" t="b">
        <v>0</v>
      </c>
      <c r="AB615" s="48"/>
      <c r="AC615" s="49"/>
    </row>
    <row r="616" ht="14.25" customHeight="1">
      <c r="A616" s="13">
        <v>24822.0</v>
      </c>
      <c r="B616" s="13" t="str">
        <f t="shared" si="6"/>
        <v>Observational</v>
      </c>
      <c r="C616" s="13" t="s">
        <v>4856</v>
      </c>
      <c r="D616" s="1" t="s">
        <v>5294</v>
      </c>
      <c r="E616" s="2" t="s">
        <v>5295</v>
      </c>
      <c r="F616" s="13" t="s">
        <v>3580</v>
      </c>
      <c r="G616" s="13" t="s">
        <v>3208</v>
      </c>
      <c r="H616" s="13" t="s">
        <v>3166</v>
      </c>
      <c r="I616" s="13" t="s">
        <v>3171</v>
      </c>
      <c r="J616" s="13" t="s">
        <v>4045</v>
      </c>
      <c r="K616" s="13" t="s">
        <v>3153</v>
      </c>
      <c r="L616" s="13" t="s">
        <v>3169</v>
      </c>
      <c r="M616" s="13" t="s">
        <v>3391</v>
      </c>
      <c r="N616" s="13" t="s">
        <v>3162</v>
      </c>
      <c r="O616" s="13" t="s">
        <v>33</v>
      </c>
      <c r="P616" s="13">
        <v>1.0</v>
      </c>
      <c r="Q616" s="13" t="s">
        <v>3177</v>
      </c>
      <c r="R616" s="13" t="s">
        <v>3163</v>
      </c>
      <c r="S616" s="13" t="s">
        <v>33</v>
      </c>
      <c r="T616" s="13" t="s">
        <v>3178</v>
      </c>
      <c r="U616" s="13" t="s">
        <v>3232</v>
      </c>
      <c r="V616" s="13" t="s">
        <v>3232</v>
      </c>
      <c r="W616" s="13" t="s">
        <v>3167</v>
      </c>
      <c r="X616" s="13" t="s">
        <v>3170</v>
      </c>
      <c r="Y616" s="13" t="s">
        <v>3156</v>
      </c>
      <c r="Z616" s="13" t="s">
        <v>33</v>
      </c>
      <c r="AA616" s="13" t="b">
        <v>0</v>
      </c>
      <c r="AB616" s="48"/>
      <c r="AC616" s="49"/>
    </row>
    <row r="617" ht="14.25" customHeight="1">
      <c r="A617" s="13" t="s">
        <v>2124</v>
      </c>
      <c r="B617" s="13" t="str">
        <f t="shared" si="6"/>
        <v>Observational</v>
      </c>
      <c r="C617" s="13" t="s">
        <v>4856</v>
      </c>
      <c r="D617" s="1" t="s">
        <v>5294</v>
      </c>
      <c r="E617" s="2" t="s">
        <v>5295</v>
      </c>
      <c r="F617" s="13" t="s">
        <v>3183</v>
      </c>
      <c r="G617" s="13" t="s">
        <v>3183</v>
      </c>
      <c r="H617" s="13" t="s">
        <v>3166</v>
      </c>
      <c r="I617" s="13" t="s">
        <v>3171</v>
      </c>
      <c r="J617" s="13" t="s">
        <v>3167</v>
      </c>
      <c r="K617" s="13" t="s">
        <v>3153</v>
      </c>
      <c r="L617" s="13" t="s">
        <v>3169</v>
      </c>
      <c r="M617" s="13" t="s">
        <v>3391</v>
      </c>
      <c r="N617" s="13" t="s">
        <v>3162</v>
      </c>
      <c r="O617" s="13" t="s">
        <v>319</v>
      </c>
      <c r="P617" s="13">
        <v>1.0</v>
      </c>
      <c r="Q617" s="13" t="s">
        <v>3177</v>
      </c>
      <c r="R617" s="13" t="s">
        <v>3163</v>
      </c>
      <c r="S617" s="13" t="s">
        <v>319</v>
      </c>
      <c r="T617" s="13" t="s">
        <v>3178</v>
      </c>
      <c r="U617" s="13" t="s">
        <v>3165</v>
      </c>
      <c r="V617" s="13" t="s">
        <v>3165</v>
      </c>
      <c r="W617" s="13" t="s">
        <v>3167</v>
      </c>
      <c r="X617" s="13" t="s">
        <v>3217</v>
      </c>
      <c r="Y617" s="13" t="s">
        <v>3156</v>
      </c>
      <c r="Z617" s="13" t="s">
        <v>33</v>
      </c>
      <c r="AA617" s="13" t="b">
        <v>0</v>
      </c>
      <c r="AB617" s="48"/>
      <c r="AC617" s="49"/>
    </row>
    <row r="618" ht="14.25" customHeight="1">
      <c r="A618" s="13">
        <v>24871.0</v>
      </c>
      <c r="B618" s="13" t="str">
        <f t="shared" si="6"/>
        <v>Observational</v>
      </c>
      <c r="C618" s="13" t="s">
        <v>4856</v>
      </c>
      <c r="D618" s="1" t="s">
        <v>5294</v>
      </c>
      <c r="E618" s="2" t="s">
        <v>5295</v>
      </c>
      <c r="F618" s="13" t="s">
        <v>3250</v>
      </c>
      <c r="G618" s="13" t="s">
        <v>3250</v>
      </c>
      <c r="H618" s="13" t="s">
        <v>3166</v>
      </c>
      <c r="I618" s="13" t="s">
        <v>3171</v>
      </c>
      <c r="J618" s="13" t="s">
        <v>3657</v>
      </c>
      <c r="K618" s="13" t="s">
        <v>3153</v>
      </c>
      <c r="L618" s="13" t="s">
        <v>3169</v>
      </c>
      <c r="M618" s="13" t="s">
        <v>3391</v>
      </c>
      <c r="N618" s="13" t="s">
        <v>3162</v>
      </c>
      <c r="O618" s="13" t="s">
        <v>33</v>
      </c>
      <c r="P618" s="13">
        <v>1.0</v>
      </c>
      <c r="Q618" s="13" t="s">
        <v>3177</v>
      </c>
      <c r="R618" s="13" t="s">
        <v>3177</v>
      </c>
      <c r="S618" s="13" t="s">
        <v>33</v>
      </c>
      <c r="T618" s="13" t="s">
        <v>3178</v>
      </c>
      <c r="U618" s="13" t="s">
        <v>3164</v>
      </c>
      <c r="V618" s="13" t="s">
        <v>3164</v>
      </c>
      <c r="W618" s="13" t="s">
        <v>3167</v>
      </c>
      <c r="X618" s="13" t="s">
        <v>3192</v>
      </c>
      <c r="Y618" s="13" t="s">
        <v>3156</v>
      </c>
      <c r="Z618" s="13" t="s">
        <v>33</v>
      </c>
      <c r="AA618" s="13" t="b">
        <v>0</v>
      </c>
      <c r="AB618" s="48"/>
      <c r="AC618" s="49"/>
    </row>
    <row r="619" ht="14.25" customHeight="1">
      <c r="A619" s="13">
        <v>24966.0</v>
      </c>
      <c r="B619" s="13" t="str">
        <f t="shared" si="6"/>
        <v>Observational</v>
      </c>
      <c r="C619" s="13" t="s">
        <v>4856</v>
      </c>
      <c r="D619" s="1" t="s">
        <v>5294</v>
      </c>
      <c r="E619" s="2" t="s">
        <v>5295</v>
      </c>
      <c r="F619" s="13" t="s">
        <v>3190</v>
      </c>
      <c r="G619" s="13" t="s">
        <v>3190</v>
      </c>
      <c r="H619" s="13" t="s">
        <v>3166</v>
      </c>
      <c r="I619" s="13" t="s">
        <v>3171</v>
      </c>
      <c r="J619" s="13" t="s">
        <v>3378</v>
      </c>
      <c r="K619" s="13" t="s">
        <v>3153</v>
      </c>
      <c r="L619" s="13" t="s">
        <v>3169</v>
      </c>
      <c r="M619" s="13" t="s">
        <v>3391</v>
      </c>
      <c r="N619" s="13" t="s">
        <v>3162</v>
      </c>
      <c r="O619" s="13" t="s">
        <v>33</v>
      </c>
      <c r="P619" s="13">
        <v>1.0</v>
      </c>
      <c r="Q619" s="13" t="s">
        <v>3177</v>
      </c>
      <c r="R619" s="13" t="s">
        <v>3177</v>
      </c>
      <c r="S619" s="13" t="s">
        <v>33</v>
      </c>
      <c r="T619" s="13" t="s">
        <v>3178</v>
      </c>
      <c r="U619" s="13" t="s">
        <v>3232</v>
      </c>
      <c r="V619" s="13" t="s">
        <v>3232</v>
      </c>
      <c r="W619" s="13" t="s">
        <v>3167</v>
      </c>
      <c r="X619" s="13" t="s">
        <v>3170</v>
      </c>
      <c r="Y619" s="13" t="s">
        <v>33</v>
      </c>
      <c r="Z619" s="13" t="s">
        <v>33</v>
      </c>
      <c r="AA619" s="13" t="b">
        <v>0</v>
      </c>
      <c r="AB619" s="48"/>
      <c r="AC619" s="49"/>
    </row>
    <row r="620" ht="14.25" customHeight="1">
      <c r="A620" s="13" t="s">
        <v>316</v>
      </c>
      <c r="B620" s="13" t="str">
        <f t="shared" si="6"/>
        <v>Observational</v>
      </c>
      <c r="C620" s="13" t="s">
        <v>4856</v>
      </c>
      <c r="D620" s="1" t="s">
        <v>5294</v>
      </c>
      <c r="E620" s="2" t="s">
        <v>5295</v>
      </c>
      <c r="F620" s="13" t="s">
        <v>3173</v>
      </c>
      <c r="G620" s="13" t="s">
        <v>3173</v>
      </c>
      <c r="H620" s="13" t="s">
        <v>3166</v>
      </c>
      <c r="I620" s="13" t="s">
        <v>3188</v>
      </c>
      <c r="J620" s="13" t="s">
        <v>4096</v>
      </c>
      <c r="K620" s="13" t="s">
        <v>3153</v>
      </c>
      <c r="L620" s="13" t="s">
        <v>3169</v>
      </c>
      <c r="M620" s="13" t="s">
        <v>3391</v>
      </c>
      <c r="N620" s="13" t="s">
        <v>3162</v>
      </c>
      <c r="O620" s="13" t="s">
        <v>33</v>
      </c>
      <c r="P620" s="13">
        <v>1.0</v>
      </c>
      <c r="Q620" s="13" t="s">
        <v>3160</v>
      </c>
      <c r="R620" s="13" t="s">
        <v>3163</v>
      </c>
      <c r="S620" s="13" t="s">
        <v>33</v>
      </c>
      <c r="T620" s="13" t="s">
        <v>3178</v>
      </c>
      <c r="U620" s="13" t="s">
        <v>3164</v>
      </c>
      <c r="V620" s="13" t="s">
        <v>3164</v>
      </c>
      <c r="W620" s="13" t="s">
        <v>3167</v>
      </c>
      <c r="X620" s="13" t="s">
        <v>3211</v>
      </c>
      <c r="Y620" s="13" t="s">
        <v>3156</v>
      </c>
      <c r="Z620" s="13" t="s">
        <v>33</v>
      </c>
      <c r="AA620" s="13" t="b">
        <v>0</v>
      </c>
      <c r="AB620" s="48"/>
      <c r="AC620" s="49"/>
    </row>
    <row r="621" ht="14.25" customHeight="1">
      <c r="A621" s="13">
        <v>25068.0</v>
      </c>
      <c r="B621" s="13" t="str">
        <f t="shared" si="6"/>
        <v>Observational</v>
      </c>
      <c r="C621" s="13" t="s">
        <v>4856</v>
      </c>
      <c r="D621" s="1" t="s">
        <v>5294</v>
      </c>
      <c r="E621" s="2" t="s">
        <v>5295</v>
      </c>
      <c r="F621" s="13" t="s">
        <v>3190</v>
      </c>
      <c r="G621" s="13" t="s">
        <v>3190</v>
      </c>
      <c r="H621" s="13" t="s">
        <v>3166</v>
      </c>
      <c r="I621" s="13" t="s">
        <v>3244</v>
      </c>
      <c r="J621" s="13" t="s">
        <v>3289</v>
      </c>
      <c r="K621" s="13" t="s">
        <v>3153</v>
      </c>
      <c r="L621" s="13" t="s">
        <v>3169</v>
      </c>
      <c r="M621" s="13" t="s">
        <v>3391</v>
      </c>
      <c r="N621" s="13" t="s">
        <v>3162</v>
      </c>
      <c r="O621" s="13" t="s">
        <v>33</v>
      </c>
      <c r="P621" s="13">
        <v>1.0</v>
      </c>
      <c r="Q621" s="13" t="s">
        <v>3160</v>
      </c>
      <c r="R621" s="13" t="s">
        <v>3163</v>
      </c>
      <c r="S621" s="13" t="s">
        <v>33</v>
      </c>
      <c r="T621" s="13" t="s">
        <v>3276</v>
      </c>
      <c r="U621" s="13" t="s">
        <v>3197</v>
      </c>
      <c r="V621" s="13" t="s">
        <v>3197</v>
      </c>
      <c r="W621" s="13" t="s">
        <v>3167</v>
      </c>
      <c r="X621" s="13" t="s">
        <v>3170</v>
      </c>
      <c r="Y621" s="13" t="s">
        <v>3156</v>
      </c>
      <c r="Z621" s="13" t="s">
        <v>33</v>
      </c>
      <c r="AA621" s="13" t="b">
        <v>0</v>
      </c>
      <c r="AB621" s="48"/>
      <c r="AC621" s="49"/>
    </row>
    <row r="622" ht="14.25" customHeight="1">
      <c r="A622" s="13">
        <v>25089.0</v>
      </c>
      <c r="B622" s="13" t="str">
        <f t="shared" si="6"/>
        <v>Observational</v>
      </c>
      <c r="C622" s="13" t="s">
        <v>4856</v>
      </c>
      <c r="D622" s="1" t="s">
        <v>5294</v>
      </c>
      <c r="E622" s="2" t="s">
        <v>5295</v>
      </c>
      <c r="F622" s="13" t="s">
        <v>3190</v>
      </c>
      <c r="G622" s="13" t="s">
        <v>3437</v>
      </c>
      <c r="H622" s="13" t="s">
        <v>3166</v>
      </c>
      <c r="I622" s="13" t="s">
        <v>3188</v>
      </c>
      <c r="J622" s="13" t="s">
        <v>3483</v>
      </c>
      <c r="K622" s="13" t="s">
        <v>3153</v>
      </c>
      <c r="L622" s="13" t="s">
        <v>3169</v>
      </c>
      <c r="M622" s="13" t="s">
        <v>3391</v>
      </c>
      <c r="N622" s="13" t="s">
        <v>3162</v>
      </c>
      <c r="O622" s="13" t="s">
        <v>33</v>
      </c>
      <c r="P622" s="13">
        <v>1.0</v>
      </c>
      <c r="Q622" s="13" t="s">
        <v>3160</v>
      </c>
      <c r="R622" s="13" t="s">
        <v>3163</v>
      </c>
      <c r="S622" s="13" t="s">
        <v>33</v>
      </c>
      <c r="T622" s="13" t="s">
        <v>3178</v>
      </c>
      <c r="U622" s="13" t="s">
        <v>3232</v>
      </c>
      <c r="V622" s="13" t="s">
        <v>3232</v>
      </c>
      <c r="W622" s="13" t="s">
        <v>3167</v>
      </c>
      <c r="X622" s="13" t="s">
        <v>3170</v>
      </c>
      <c r="Y622" s="13" t="s">
        <v>3156</v>
      </c>
      <c r="Z622" s="13" t="s">
        <v>33</v>
      </c>
      <c r="AA622" s="13" t="b">
        <v>0</v>
      </c>
      <c r="AB622" s="47"/>
      <c r="AC622" s="49"/>
    </row>
    <row r="623" ht="14.25" customHeight="1">
      <c r="A623" s="13">
        <v>25099.0</v>
      </c>
      <c r="B623" s="13" t="str">
        <f t="shared" si="6"/>
        <v>Observational</v>
      </c>
      <c r="C623" s="13" t="s">
        <v>4856</v>
      </c>
      <c r="D623" s="1" t="s">
        <v>5294</v>
      </c>
      <c r="E623" s="2" t="s">
        <v>5295</v>
      </c>
      <c r="F623" s="13" t="s">
        <v>3186</v>
      </c>
      <c r="G623" s="13" t="s">
        <v>3437</v>
      </c>
      <c r="H623" s="13" t="s">
        <v>3166</v>
      </c>
      <c r="I623" s="13" t="s">
        <v>3244</v>
      </c>
      <c r="J623" s="13" t="s">
        <v>3345</v>
      </c>
      <c r="K623" s="13" t="s">
        <v>3153</v>
      </c>
      <c r="L623" s="13" t="s">
        <v>3169</v>
      </c>
      <c r="M623" s="13" t="s">
        <v>3391</v>
      </c>
      <c r="N623" s="13" t="s">
        <v>3162</v>
      </c>
      <c r="O623" s="13" t="s">
        <v>33</v>
      </c>
      <c r="P623" s="13">
        <v>1.0</v>
      </c>
      <c r="Q623" s="13" t="s">
        <v>3177</v>
      </c>
      <c r="R623" s="13" t="s">
        <v>3163</v>
      </c>
      <c r="S623" s="13" t="s">
        <v>33</v>
      </c>
      <c r="T623" s="13" t="s">
        <v>3178</v>
      </c>
      <c r="U623" s="13" t="s">
        <v>3164</v>
      </c>
      <c r="V623" s="13" t="s">
        <v>3164</v>
      </c>
      <c r="W623" s="13" t="s">
        <v>3167</v>
      </c>
      <c r="X623" s="13" t="s">
        <v>3192</v>
      </c>
      <c r="Y623" s="13" t="s">
        <v>3156</v>
      </c>
      <c r="Z623" s="13" t="s">
        <v>33</v>
      </c>
      <c r="AA623" s="13" t="b">
        <v>0</v>
      </c>
      <c r="AB623" s="48"/>
      <c r="AC623" s="49"/>
    </row>
    <row r="624" ht="14.25" customHeight="1">
      <c r="A624" s="13">
        <v>25150.0</v>
      </c>
      <c r="B624" s="13" t="str">
        <f t="shared" si="6"/>
        <v>Observational</v>
      </c>
      <c r="C624" s="13" t="s">
        <v>4856</v>
      </c>
      <c r="D624" s="1" t="s">
        <v>5294</v>
      </c>
      <c r="E624" s="2" t="s">
        <v>5295</v>
      </c>
      <c r="F624" s="13" t="s">
        <v>3173</v>
      </c>
      <c r="G624" s="13" t="s">
        <v>3333</v>
      </c>
      <c r="H624" s="13" t="s">
        <v>3166</v>
      </c>
      <c r="I624" s="13" t="s">
        <v>3244</v>
      </c>
      <c r="J624" s="13" t="s">
        <v>4160</v>
      </c>
      <c r="K624" s="13" t="s">
        <v>3153</v>
      </c>
      <c r="L624" s="13" t="s">
        <v>3169</v>
      </c>
      <c r="M624" s="13" t="s">
        <v>3391</v>
      </c>
      <c r="N624" s="13" t="s">
        <v>3162</v>
      </c>
      <c r="O624" s="13" t="s">
        <v>33</v>
      </c>
      <c r="P624" s="13">
        <v>1.0</v>
      </c>
      <c r="Q624" s="13" t="s">
        <v>3160</v>
      </c>
      <c r="R624" s="13" t="s">
        <v>3177</v>
      </c>
      <c r="S624" s="13" t="s">
        <v>33</v>
      </c>
      <c r="T624" s="13" t="s">
        <v>3224</v>
      </c>
      <c r="U624" s="13" t="s">
        <v>3164</v>
      </c>
      <c r="V624" s="13" t="s">
        <v>3164</v>
      </c>
      <c r="W624" s="13" t="s">
        <v>3167</v>
      </c>
      <c r="X624" s="13" t="s">
        <v>3211</v>
      </c>
      <c r="Y624" s="13" t="s">
        <v>3156</v>
      </c>
      <c r="Z624" s="13" t="s">
        <v>33</v>
      </c>
      <c r="AA624" s="13" t="b">
        <v>0</v>
      </c>
      <c r="AB624" s="48"/>
      <c r="AC624" s="49"/>
    </row>
    <row r="625" ht="14.25" customHeight="1">
      <c r="A625" s="13">
        <v>25172.0</v>
      </c>
      <c r="B625" s="13" t="str">
        <f t="shared" si="6"/>
        <v>Observational</v>
      </c>
      <c r="C625" s="13" t="s">
        <v>4856</v>
      </c>
      <c r="D625" s="1" t="s">
        <v>5294</v>
      </c>
      <c r="E625" s="2" t="s">
        <v>5295</v>
      </c>
      <c r="F625" s="13" t="s">
        <v>3183</v>
      </c>
      <c r="G625" s="13" t="s">
        <v>3183</v>
      </c>
      <c r="H625" s="13" t="s">
        <v>3166</v>
      </c>
      <c r="I625" s="13" t="s">
        <v>3171</v>
      </c>
      <c r="J625" s="13" t="s">
        <v>3378</v>
      </c>
      <c r="K625" s="13" t="s">
        <v>3153</v>
      </c>
      <c r="L625" s="13" t="s">
        <v>3169</v>
      </c>
      <c r="M625" s="13" t="s">
        <v>3391</v>
      </c>
      <c r="N625" s="13" t="s">
        <v>3162</v>
      </c>
      <c r="O625" s="13" t="s">
        <v>4168</v>
      </c>
      <c r="P625" s="13">
        <v>1.0</v>
      </c>
      <c r="Q625" s="13" t="s">
        <v>3160</v>
      </c>
      <c r="R625" s="13" t="s">
        <v>3163</v>
      </c>
      <c r="S625" s="13" t="s">
        <v>4169</v>
      </c>
      <c r="T625" s="13" t="s">
        <v>3178</v>
      </c>
      <c r="U625" s="13" t="s">
        <v>3164</v>
      </c>
      <c r="V625" s="13" t="s">
        <v>3164</v>
      </c>
      <c r="W625" s="13" t="s">
        <v>3167</v>
      </c>
      <c r="X625" s="13" t="s">
        <v>3192</v>
      </c>
      <c r="Y625" s="13" t="s">
        <v>3156</v>
      </c>
      <c r="Z625" s="13" t="s">
        <v>33</v>
      </c>
      <c r="AA625" s="13" t="b">
        <v>0</v>
      </c>
      <c r="AB625" s="48"/>
      <c r="AC625" s="49"/>
    </row>
    <row r="626" ht="14.25" customHeight="1">
      <c r="A626" s="13">
        <v>25234.0</v>
      </c>
      <c r="B626" s="13" t="str">
        <f t="shared" si="6"/>
        <v>Observational</v>
      </c>
      <c r="C626" s="13" t="s">
        <v>4856</v>
      </c>
      <c r="D626" s="1" t="s">
        <v>5294</v>
      </c>
      <c r="E626" s="2" t="s">
        <v>5295</v>
      </c>
      <c r="F626" s="13" t="s">
        <v>3159</v>
      </c>
      <c r="G626" s="13" t="s">
        <v>3159</v>
      </c>
      <c r="H626" s="13" t="s">
        <v>3166</v>
      </c>
      <c r="I626" s="13" t="s">
        <v>3188</v>
      </c>
      <c r="J626" s="13" t="s">
        <v>3189</v>
      </c>
      <c r="K626" s="13" t="s">
        <v>3153</v>
      </c>
      <c r="L626" s="13" t="s">
        <v>3169</v>
      </c>
      <c r="M626" s="13" t="s">
        <v>3391</v>
      </c>
      <c r="N626" s="13" t="s">
        <v>3162</v>
      </c>
      <c r="O626" s="13" t="s">
        <v>33</v>
      </c>
      <c r="P626" s="13">
        <v>1.0</v>
      </c>
      <c r="Q626" s="13" t="s">
        <v>3177</v>
      </c>
      <c r="R626" s="13" t="s">
        <v>3163</v>
      </c>
      <c r="S626" s="13" t="s">
        <v>33</v>
      </c>
      <c r="T626" s="13" t="s">
        <v>3178</v>
      </c>
      <c r="U626" s="13" t="s">
        <v>3164</v>
      </c>
      <c r="V626" s="13" t="s">
        <v>3164</v>
      </c>
      <c r="W626" s="13" t="s">
        <v>3167</v>
      </c>
      <c r="X626" s="13" t="s">
        <v>3170</v>
      </c>
      <c r="Y626" s="13" t="s">
        <v>3156</v>
      </c>
      <c r="Z626" s="13" t="s">
        <v>33</v>
      </c>
      <c r="AA626" s="13" t="b">
        <v>0</v>
      </c>
      <c r="AB626" s="48"/>
      <c r="AC626" s="49"/>
    </row>
    <row r="627" ht="14.25" customHeight="1">
      <c r="A627" s="13">
        <v>25298.0</v>
      </c>
      <c r="B627" s="13" t="str">
        <f t="shared" si="6"/>
        <v>Observational</v>
      </c>
      <c r="C627" s="13" t="s">
        <v>4856</v>
      </c>
      <c r="D627" s="1" t="s">
        <v>5294</v>
      </c>
      <c r="E627" s="2" t="s">
        <v>5295</v>
      </c>
      <c r="F627" s="13" t="s">
        <v>3901</v>
      </c>
      <c r="G627" s="13" t="s">
        <v>3901</v>
      </c>
      <c r="H627" s="13" t="s">
        <v>3166</v>
      </c>
      <c r="I627" s="13" t="s">
        <v>3171</v>
      </c>
      <c r="J627" s="13" t="s">
        <v>3385</v>
      </c>
      <c r="K627" s="13" t="s">
        <v>3153</v>
      </c>
      <c r="L627" s="13" t="s">
        <v>3169</v>
      </c>
      <c r="M627" s="13" t="s">
        <v>3391</v>
      </c>
      <c r="N627" s="13" t="s">
        <v>3162</v>
      </c>
      <c r="O627" s="13" t="s">
        <v>4197</v>
      </c>
      <c r="P627" s="13">
        <v>1.0</v>
      </c>
      <c r="Q627" s="13" t="s">
        <v>3177</v>
      </c>
      <c r="R627" s="13" t="s">
        <v>3231</v>
      </c>
      <c r="S627" s="13" t="s">
        <v>33</v>
      </c>
      <c r="T627" s="13" t="s">
        <v>3178</v>
      </c>
      <c r="U627" s="13" t="s">
        <v>3164</v>
      </c>
      <c r="V627" s="13" t="s">
        <v>3164</v>
      </c>
      <c r="W627" s="13" t="s">
        <v>3167</v>
      </c>
      <c r="X627" s="13" t="s">
        <v>3192</v>
      </c>
      <c r="Y627" s="13" t="s">
        <v>3156</v>
      </c>
      <c r="Z627" s="13" t="s">
        <v>3167</v>
      </c>
      <c r="AA627" s="13" t="b">
        <v>0</v>
      </c>
      <c r="AB627" s="48"/>
      <c r="AC627" s="49"/>
    </row>
    <row r="628" ht="14.25" customHeight="1">
      <c r="A628" s="13">
        <v>25308.0</v>
      </c>
      <c r="B628" s="13" t="str">
        <f t="shared" si="6"/>
        <v>Observational</v>
      </c>
      <c r="C628" s="13" t="s">
        <v>4856</v>
      </c>
      <c r="D628" s="1" t="s">
        <v>5294</v>
      </c>
      <c r="E628" s="2" t="s">
        <v>5295</v>
      </c>
      <c r="F628" s="13" t="s">
        <v>3159</v>
      </c>
      <c r="G628" s="13" t="s">
        <v>3159</v>
      </c>
      <c r="H628" s="13" t="s">
        <v>3166</v>
      </c>
      <c r="I628" s="13" t="s">
        <v>3188</v>
      </c>
      <c r="J628" s="13" t="s">
        <v>3233</v>
      </c>
      <c r="K628" s="13" t="s">
        <v>3153</v>
      </c>
      <c r="L628" s="13" t="s">
        <v>3169</v>
      </c>
      <c r="M628" s="13" t="s">
        <v>3391</v>
      </c>
      <c r="N628" s="13" t="s">
        <v>3162</v>
      </c>
      <c r="O628" s="13" t="s">
        <v>33</v>
      </c>
      <c r="P628" s="13">
        <v>1.0</v>
      </c>
      <c r="Q628" s="13" t="s">
        <v>3160</v>
      </c>
      <c r="R628" s="13" t="s">
        <v>3163</v>
      </c>
      <c r="S628" s="13" t="s">
        <v>33</v>
      </c>
      <c r="T628" s="13" t="s">
        <v>3178</v>
      </c>
      <c r="U628" s="13" t="s">
        <v>3164</v>
      </c>
      <c r="V628" s="13" t="s">
        <v>3164</v>
      </c>
      <c r="W628" s="13" t="s">
        <v>3167</v>
      </c>
      <c r="X628" s="13" t="s">
        <v>3170</v>
      </c>
      <c r="Y628" s="13" t="s">
        <v>3187</v>
      </c>
      <c r="Z628" s="13">
        <v>4.0</v>
      </c>
      <c r="AA628" s="13" t="b">
        <v>0</v>
      </c>
      <c r="AB628" s="48"/>
      <c r="AC628" s="49"/>
    </row>
    <row r="629" ht="14.25" customHeight="1">
      <c r="A629" s="13">
        <v>25361.0</v>
      </c>
      <c r="B629" s="13" t="str">
        <f t="shared" si="6"/>
        <v>Observational</v>
      </c>
      <c r="C629" s="13" t="s">
        <v>4856</v>
      </c>
      <c r="D629" s="1" t="s">
        <v>5294</v>
      </c>
      <c r="E629" s="2" t="s">
        <v>5295</v>
      </c>
      <c r="F629" s="13" t="s">
        <v>3183</v>
      </c>
      <c r="G629" s="13" t="s">
        <v>3183</v>
      </c>
      <c r="H629" s="13" t="s">
        <v>3166</v>
      </c>
      <c r="I629" s="13" t="s">
        <v>3188</v>
      </c>
      <c r="J629" s="13" t="s">
        <v>3189</v>
      </c>
      <c r="K629" s="13" t="s">
        <v>3153</v>
      </c>
      <c r="L629" s="13" t="s">
        <v>3169</v>
      </c>
      <c r="M629" s="13" t="s">
        <v>3391</v>
      </c>
      <c r="N629" s="13" t="s">
        <v>3162</v>
      </c>
      <c r="O629" s="13" t="s">
        <v>4210</v>
      </c>
      <c r="P629" s="13">
        <v>1.0</v>
      </c>
      <c r="Q629" s="13" t="s">
        <v>3160</v>
      </c>
      <c r="R629" s="13" t="s">
        <v>3163</v>
      </c>
      <c r="S629" s="13" t="s">
        <v>4211</v>
      </c>
      <c r="T629" s="13" t="s">
        <v>3178</v>
      </c>
      <c r="U629" s="13" t="s">
        <v>3164</v>
      </c>
      <c r="V629" s="13" t="s">
        <v>3164</v>
      </c>
      <c r="W629" s="13" t="s">
        <v>3167</v>
      </c>
      <c r="X629" s="13" t="s">
        <v>3192</v>
      </c>
      <c r="Y629" s="13" t="s">
        <v>3156</v>
      </c>
      <c r="Z629" s="13" t="s">
        <v>33</v>
      </c>
      <c r="AA629" s="13" t="b">
        <v>0</v>
      </c>
      <c r="AB629" s="48"/>
      <c r="AC629" s="49"/>
    </row>
    <row r="630" ht="14.25" customHeight="1">
      <c r="A630" s="13">
        <v>25372.0</v>
      </c>
      <c r="B630" s="13" t="str">
        <f t="shared" si="6"/>
        <v>Observational</v>
      </c>
      <c r="C630" s="13" t="s">
        <v>4856</v>
      </c>
      <c r="D630" s="1" t="s">
        <v>5294</v>
      </c>
      <c r="E630" s="2" t="s">
        <v>5295</v>
      </c>
      <c r="F630" s="13" t="s">
        <v>3338</v>
      </c>
      <c r="G630" s="13" t="s">
        <v>3338</v>
      </c>
      <c r="H630" s="13" t="s">
        <v>3166</v>
      </c>
      <c r="I630" s="13" t="s">
        <v>3167</v>
      </c>
      <c r="J630" s="13" t="s">
        <v>3167</v>
      </c>
      <c r="K630" s="13" t="s">
        <v>3153</v>
      </c>
      <c r="L630" s="13" t="s">
        <v>3169</v>
      </c>
      <c r="M630" s="13" t="s">
        <v>3391</v>
      </c>
      <c r="N630" s="13" t="s">
        <v>3162</v>
      </c>
      <c r="O630" s="13" t="s">
        <v>3397</v>
      </c>
      <c r="P630" s="13">
        <v>1.0</v>
      </c>
      <c r="Q630" s="13" t="s">
        <v>3177</v>
      </c>
      <c r="R630" s="13" t="s">
        <v>3177</v>
      </c>
      <c r="S630" s="13" t="s">
        <v>33</v>
      </c>
      <c r="T630" s="13" t="s">
        <v>3178</v>
      </c>
      <c r="U630" s="13" t="s">
        <v>3232</v>
      </c>
      <c r="V630" s="13" t="s">
        <v>3232</v>
      </c>
      <c r="W630" s="13" t="s">
        <v>3167</v>
      </c>
      <c r="X630" s="13" t="s">
        <v>3217</v>
      </c>
      <c r="Y630" s="13" t="s">
        <v>33</v>
      </c>
      <c r="Z630" s="13" t="s">
        <v>33</v>
      </c>
      <c r="AA630" s="13" t="b">
        <v>0</v>
      </c>
      <c r="AB630" s="48"/>
      <c r="AC630" s="49"/>
    </row>
    <row r="631" ht="14.25" customHeight="1">
      <c r="A631" s="13">
        <v>25461.0</v>
      </c>
      <c r="B631" s="13" t="str">
        <f t="shared" si="6"/>
        <v>Observational</v>
      </c>
      <c r="C631" s="13" t="s">
        <v>4856</v>
      </c>
      <c r="D631" s="1" t="s">
        <v>5294</v>
      </c>
      <c r="E631" s="2" t="s">
        <v>5295</v>
      </c>
      <c r="F631" s="13" t="s">
        <v>3333</v>
      </c>
      <c r="G631" s="13" t="s">
        <v>3173</v>
      </c>
      <c r="H631" s="13" t="s">
        <v>3166</v>
      </c>
      <c r="I631" s="13" t="s">
        <v>3244</v>
      </c>
      <c r="J631" s="13" t="s">
        <v>3463</v>
      </c>
      <c r="K631" s="13" t="s">
        <v>3153</v>
      </c>
      <c r="L631" s="13" t="s">
        <v>3169</v>
      </c>
      <c r="M631" s="13" t="s">
        <v>3391</v>
      </c>
      <c r="N631" s="13" t="s">
        <v>3162</v>
      </c>
      <c r="O631" s="13" t="s">
        <v>33</v>
      </c>
      <c r="P631" s="13">
        <v>1.0</v>
      </c>
      <c r="Q631" s="13" t="s">
        <v>3177</v>
      </c>
      <c r="R631" s="13" t="s">
        <v>3177</v>
      </c>
      <c r="S631" s="13" t="s">
        <v>33</v>
      </c>
      <c r="T631" s="13" t="s">
        <v>3178</v>
      </c>
      <c r="U631" s="13" t="s">
        <v>3164</v>
      </c>
      <c r="V631" s="13" t="s">
        <v>3164</v>
      </c>
      <c r="W631" s="13" t="s">
        <v>3167</v>
      </c>
      <c r="X631" s="13" t="s">
        <v>3192</v>
      </c>
      <c r="Y631" s="13" t="s">
        <v>3187</v>
      </c>
      <c r="Z631" s="13">
        <v>20.0</v>
      </c>
      <c r="AA631" s="13" t="b">
        <v>0</v>
      </c>
      <c r="AB631" s="48"/>
      <c r="AC631" s="49"/>
    </row>
    <row r="632" ht="14.25" customHeight="1">
      <c r="A632" s="13">
        <v>25542.0</v>
      </c>
      <c r="B632" s="13" t="str">
        <f t="shared" si="6"/>
        <v>Observational</v>
      </c>
      <c r="C632" s="13" t="s">
        <v>4856</v>
      </c>
      <c r="D632" s="1" t="s">
        <v>5294</v>
      </c>
      <c r="E632" s="2" t="s">
        <v>5295</v>
      </c>
      <c r="F632" s="13" t="s">
        <v>3159</v>
      </c>
      <c r="G632" s="13" t="s">
        <v>3159</v>
      </c>
      <c r="H632" s="13" t="s">
        <v>3166</v>
      </c>
      <c r="I632" s="13" t="s">
        <v>3171</v>
      </c>
      <c r="J632" s="13" t="s">
        <v>3378</v>
      </c>
      <c r="K632" s="13" t="s">
        <v>3153</v>
      </c>
      <c r="L632" s="13" t="s">
        <v>3169</v>
      </c>
      <c r="M632" s="13" t="s">
        <v>3391</v>
      </c>
      <c r="N632" s="13" t="s">
        <v>3162</v>
      </c>
      <c r="O632" s="13" t="s">
        <v>33</v>
      </c>
      <c r="P632" s="13">
        <v>1.0</v>
      </c>
      <c r="Q632" s="13" t="s">
        <v>3160</v>
      </c>
      <c r="R632" s="13" t="s">
        <v>3163</v>
      </c>
      <c r="S632" s="13" t="s">
        <v>33</v>
      </c>
      <c r="T632" s="13" t="s">
        <v>3178</v>
      </c>
      <c r="U632" s="13" t="s">
        <v>3164</v>
      </c>
      <c r="V632" s="13" t="s">
        <v>3165</v>
      </c>
      <c r="W632" s="13" t="s">
        <v>3167</v>
      </c>
      <c r="X632" s="13" t="s">
        <v>3170</v>
      </c>
      <c r="Y632" s="13" t="s">
        <v>3156</v>
      </c>
      <c r="Z632" s="13" t="s">
        <v>33</v>
      </c>
      <c r="AA632" s="13" t="b">
        <v>0</v>
      </c>
      <c r="AB632" s="48"/>
      <c r="AC632" s="49"/>
    </row>
    <row r="633" ht="14.25" customHeight="1">
      <c r="A633" s="13">
        <v>25633.0</v>
      </c>
      <c r="B633" s="13" t="str">
        <f t="shared" si="6"/>
        <v>Observational</v>
      </c>
      <c r="C633" s="13" t="s">
        <v>4856</v>
      </c>
      <c r="D633" s="1" t="s">
        <v>5294</v>
      </c>
      <c r="E633" s="2" t="s">
        <v>5295</v>
      </c>
      <c r="F633" s="13" t="s">
        <v>3183</v>
      </c>
      <c r="G633" s="13" t="s">
        <v>3186</v>
      </c>
      <c r="H633" s="13" t="s">
        <v>3166</v>
      </c>
      <c r="I633" s="13" t="s">
        <v>3188</v>
      </c>
      <c r="J633" s="13" t="s">
        <v>3432</v>
      </c>
      <c r="K633" s="13" t="s">
        <v>3153</v>
      </c>
      <c r="L633" s="13" t="s">
        <v>3169</v>
      </c>
      <c r="M633" s="13" t="s">
        <v>3391</v>
      </c>
      <c r="N633" s="13" t="s">
        <v>3162</v>
      </c>
      <c r="O633" s="13" t="s">
        <v>4284</v>
      </c>
      <c r="P633" s="13">
        <v>1.0</v>
      </c>
      <c r="Q633" s="13" t="s">
        <v>3160</v>
      </c>
      <c r="R633" s="13" t="s">
        <v>3177</v>
      </c>
      <c r="S633" s="13" t="s">
        <v>33</v>
      </c>
      <c r="T633" s="13" t="s">
        <v>3178</v>
      </c>
      <c r="U633" s="13" t="s">
        <v>3164</v>
      </c>
      <c r="V633" s="13" t="s">
        <v>3165</v>
      </c>
      <c r="W633" s="13" t="s">
        <v>3167</v>
      </c>
      <c r="X633" s="13" t="s">
        <v>3170</v>
      </c>
      <c r="Y633" s="13" t="s">
        <v>3156</v>
      </c>
      <c r="Z633" s="13" t="s">
        <v>33</v>
      </c>
      <c r="AA633" s="13" t="b">
        <v>0</v>
      </c>
      <c r="AB633" s="48"/>
      <c r="AC633" s="49"/>
    </row>
    <row r="634" ht="14.25" customHeight="1">
      <c r="A634" s="13" t="s">
        <v>2346</v>
      </c>
      <c r="B634" s="13" t="str">
        <f t="shared" si="6"/>
        <v>Observational</v>
      </c>
      <c r="C634" s="13" t="s">
        <v>4856</v>
      </c>
      <c r="D634" s="1" t="s">
        <v>5294</v>
      </c>
      <c r="E634" s="2" t="s">
        <v>5295</v>
      </c>
      <c r="F634" s="13" t="s">
        <v>3183</v>
      </c>
      <c r="G634" s="13" t="s">
        <v>3183</v>
      </c>
      <c r="H634" s="13" t="s">
        <v>3166</v>
      </c>
      <c r="I634" s="13" t="s">
        <v>3188</v>
      </c>
      <c r="J634" s="13" t="s">
        <v>4304</v>
      </c>
      <c r="K634" s="13" t="s">
        <v>3153</v>
      </c>
      <c r="L634" s="13" t="s">
        <v>3169</v>
      </c>
      <c r="M634" s="13" t="s">
        <v>3391</v>
      </c>
      <c r="N634" s="13" t="s">
        <v>3162</v>
      </c>
      <c r="O634" s="13" t="s">
        <v>3689</v>
      </c>
      <c r="P634" s="13">
        <v>1.0</v>
      </c>
      <c r="Q634" s="13" t="s">
        <v>3160</v>
      </c>
      <c r="R634" s="13" t="s">
        <v>3163</v>
      </c>
      <c r="S634" s="13" t="s">
        <v>3689</v>
      </c>
      <c r="T634" s="13" t="s">
        <v>3178</v>
      </c>
      <c r="U634" s="13" t="s">
        <v>3164</v>
      </c>
      <c r="V634" s="13" t="s">
        <v>3164</v>
      </c>
      <c r="W634" s="13" t="s">
        <v>3167</v>
      </c>
      <c r="X634" s="13" t="s">
        <v>3211</v>
      </c>
      <c r="Y634" s="13" t="s">
        <v>3156</v>
      </c>
      <c r="Z634" s="13" t="s">
        <v>33</v>
      </c>
      <c r="AA634" s="13" t="b">
        <v>0</v>
      </c>
      <c r="AB634" s="48"/>
      <c r="AC634" s="49"/>
    </row>
    <row r="635" ht="14.25" customHeight="1">
      <c r="A635" s="13">
        <v>25697.0</v>
      </c>
      <c r="B635" s="13" t="str">
        <f t="shared" si="6"/>
        <v>Observational</v>
      </c>
      <c r="C635" s="13" t="s">
        <v>4856</v>
      </c>
      <c r="D635" s="1" t="s">
        <v>5294</v>
      </c>
      <c r="E635" s="2" t="s">
        <v>5295</v>
      </c>
      <c r="F635" s="13" t="s">
        <v>3190</v>
      </c>
      <c r="G635" s="13" t="s">
        <v>3190</v>
      </c>
      <c r="H635" s="13" t="s">
        <v>3166</v>
      </c>
      <c r="I635" s="13" t="s">
        <v>3188</v>
      </c>
      <c r="J635" s="13" t="s">
        <v>3189</v>
      </c>
      <c r="K635" s="13" t="s">
        <v>3153</v>
      </c>
      <c r="L635" s="13" t="s">
        <v>3169</v>
      </c>
      <c r="M635" s="13" t="s">
        <v>3391</v>
      </c>
      <c r="N635" s="13" t="s">
        <v>3162</v>
      </c>
      <c r="O635" s="13" t="s">
        <v>3167</v>
      </c>
      <c r="P635" s="13">
        <v>1.0</v>
      </c>
      <c r="Q635" s="13" t="s">
        <v>3177</v>
      </c>
      <c r="R635" s="13" t="s">
        <v>3231</v>
      </c>
      <c r="S635" s="13" t="s">
        <v>33</v>
      </c>
      <c r="T635" s="13" t="s">
        <v>3178</v>
      </c>
      <c r="U635" s="13" t="s">
        <v>3164</v>
      </c>
      <c r="V635" s="13" t="s">
        <v>3164</v>
      </c>
      <c r="W635" s="13" t="s">
        <v>3167</v>
      </c>
      <c r="X635" s="13" t="s">
        <v>3192</v>
      </c>
      <c r="Y635" s="13" t="s">
        <v>3156</v>
      </c>
      <c r="Z635" s="13" t="s">
        <v>3167</v>
      </c>
      <c r="AA635" s="13" t="b">
        <v>0</v>
      </c>
      <c r="AB635" s="48"/>
      <c r="AC635" s="49"/>
    </row>
    <row r="636" ht="14.25" customHeight="1">
      <c r="A636" s="13">
        <v>25709.0</v>
      </c>
      <c r="B636" s="13" t="str">
        <f t="shared" si="6"/>
        <v>Observational</v>
      </c>
      <c r="C636" s="13" t="s">
        <v>4852</v>
      </c>
      <c r="D636" s="1" t="s">
        <v>5294</v>
      </c>
      <c r="E636" s="2" t="s">
        <v>5295</v>
      </c>
      <c r="F636" s="13" t="s">
        <v>3190</v>
      </c>
      <c r="G636" s="13" t="s">
        <v>3190</v>
      </c>
      <c r="H636" s="13" t="s">
        <v>3166</v>
      </c>
      <c r="I636" s="13" t="s">
        <v>3244</v>
      </c>
      <c r="J636" s="13" t="s">
        <v>3289</v>
      </c>
      <c r="K636" s="13" t="s">
        <v>3153</v>
      </c>
      <c r="L636" s="13" t="s">
        <v>3154</v>
      </c>
      <c r="M636" s="13" t="s">
        <v>3391</v>
      </c>
      <c r="N636" s="13" t="s">
        <v>3162</v>
      </c>
      <c r="O636" s="13" t="s">
        <v>33</v>
      </c>
      <c r="P636" s="13">
        <v>1.0</v>
      </c>
      <c r="Q636" s="13" t="s">
        <v>3160</v>
      </c>
      <c r="R636" s="13" t="s">
        <v>3163</v>
      </c>
      <c r="S636" s="13" t="s">
        <v>33</v>
      </c>
      <c r="T636" s="13" t="s">
        <v>3216</v>
      </c>
      <c r="U636" s="13" t="s">
        <v>3164</v>
      </c>
      <c r="V636" s="13" t="s">
        <v>3164</v>
      </c>
      <c r="W636" s="13" t="s">
        <v>3167</v>
      </c>
      <c r="X636" s="13" t="s">
        <v>3192</v>
      </c>
      <c r="Y636" s="13" t="s">
        <v>3156</v>
      </c>
      <c r="Z636" s="13" t="s">
        <v>33</v>
      </c>
      <c r="AA636" s="13" t="b">
        <v>0</v>
      </c>
      <c r="AB636" s="48"/>
      <c r="AC636" s="49"/>
    </row>
    <row r="637" ht="14.25" customHeight="1">
      <c r="A637" s="13">
        <v>25712.0</v>
      </c>
      <c r="B637" s="13" t="str">
        <f t="shared" si="6"/>
        <v>Observational</v>
      </c>
      <c r="C637" s="13" t="s">
        <v>4856</v>
      </c>
      <c r="D637" s="1" t="s">
        <v>5294</v>
      </c>
      <c r="E637" s="2" t="s">
        <v>5295</v>
      </c>
      <c r="F637" s="13" t="s">
        <v>3186</v>
      </c>
      <c r="G637" s="13" t="s">
        <v>3183</v>
      </c>
      <c r="H637" s="13" t="s">
        <v>3166</v>
      </c>
      <c r="I637" s="13" t="s">
        <v>3188</v>
      </c>
      <c r="J637" s="13" t="s">
        <v>3189</v>
      </c>
      <c r="K637" s="13" t="s">
        <v>3153</v>
      </c>
      <c r="L637" s="13" t="s">
        <v>3169</v>
      </c>
      <c r="M637" s="13" t="s">
        <v>3391</v>
      </c>
      <c r="N637" s="13" t="s">
        <v>3162</v>
      </c>
      <c r="O637" s="13" t="s">
        <v>33</v>
      </c>
      <c r="P637" s="13">
        <v>1.0</v>
      </c>
      <c r="Q637" s="13" t="s">
        <v>3160</v>
      </c>
      <c r="R637" s="13" t="s">
        <v>3163</v>
      </c>
      <c r="S637" s="13" t="s">
        <v>33</v>
      </c>
      <c r="T637" s="13" t="s">
        <v>3224</v>
      </c>
      <c r="U637" s="13" t="s">
        <v>3164</v>
      </c>
      <c r="V637" s="13" t="s">
        <v>3232</v>
      </c>
      <c r="W637" s="13" t="s">
        <v>3167</v>
      </c>
      <c r="X637" s="13" t="s">
        <v>3192</v>
      </c>
      <c r="Y637" s="13" t="s">
        <v>33</v>
      </c>
      <c r="Z637" s="13" t="s">
        <v>33</v>
      </c>
      <c r="AA637" s="13" t="b">
        <v>0</v>
      </c>
      <c r="AB637" s="48"/>
      <c r="AC637" s="49"/>
    </row>
    <row r="638" ht="14.25" customHeight="1">
      <c r="A638" s="13">
        <v>25716.0</v>
      </c>
      <c r="B638" s="13" t="str">
        <f t="shared" si="6"/>
        <v>Observational</v>
      </c>
      <c r="C638" s="13" t="s">
        <v>4856</v>
      </c>
      <c r="D638" s="1" t="s">
        <v>5294</v>
      </c>
      <c r="E638" s="2" t="s">
        <v>5295</v>
      </c>
      <c r="F638" s="13" t="s">
        <v>3159</v>
      </c>
      <c r="G638" s="13" t="s">
        <v>3159</v>
      </c>
      <c r="H638" s="13" t="s">
        <v>3166</v>
      </c>
      <c r="I638" s="13" t="s">
        <v>3188</v>
      </c>
      <c r="J638" s="13" t="s">
        <v>4314</v>
      </c>
      <c r="K638" s="13" t="s">
        <v>3153</v>
      </c>
      <c r="L638" s="13" t="s">
        <v>3169</v>
      </c>
      <c r="M638" s="13" t="s">
        <v>3391</v>
      </c>
      <c r="N638" s="13" t="s">
        <v>3162</v>
      </c>
      <c r="O638" s="13" t="s">
        <v>33</v>
      </c>
      <c r="P638" s="13">
        <v>1.0</v>
      </c>
      <c r="Q638" s="13" t="s">
        <v>3177</v>
      </c>
      <c r="R638" s="13" t="s">
        <v>3177</v>
      </c>
      <c r="S638" s="13" t="s">
        <v>33</v>
      </c>
      <c r="T638" s="13" t="s">
        <v>3178</v>
      </c>
      <c r="U638" s="13" t="s">
        <v>3164</v>
      </c>
      <c r="V638" s="13" t="s">
        <v>3164</v>
      </c>
      <c r="W638" s="13" t="s">
        <v>3167</v>
      </c>
      <c r="X638" s="13" t="s">
        <v>3170</v>
      </c>
      <c r="Y638" s="13" t="s">
        <v>3187</v>
      </c>
      <c r="Z638" s="13">
        <v>1.0</v>
      </c>
      <c r="AA638" s="13" t="b">
        <v>0</v>
      </c>
      <c r="AB638" s="48"/>
      <c r="AC638" s="49"/>
    </row>
    <row r="639" ht="14.25" customHeight="1">
      <c r="A639" s="13">
        <v>25717.0</v>
      </c>
      <c r="B639" s="13" t="str">
        <f t="shared" si="6"/>
        <v>Observational</v>
      </c>
      <c r="C639" s="13" t="s">
        <v>4856</v>
      </c>
      <c r="D639" s="1" t="s">
        <v>5294</v>
      </c>
      <c r="E639" s="2" t="s">
        <v>5295</v>
      </c>
      <c r="F639" s="13" t="s">
        <v>3159</v>
      </c>
      <c r="G639" s="13" t="s">
        <v>3381</v>
      </c>
      <c r="H639" s="13" t="s">
        <v>3166</v>
      </c>
      <c r="I639" s="13" t="s">
        <v>3203</v>
      </c>
      <c r="J639" s="13" t="s">
        <v>3204</v>
      </c>
      <c r="K639" s="13" t="s">
        <v>3153</v>
      </c>
      <c r="L639" s="13" t="s">
        <v>3169</v>
      </c>
      <c r="M639" s="13" t="s">
        <v>3391</v>
      </c>
      <c r="N639" s="13" t="s">
        <v>3162</v>
      </c>
      <c r="O639" s="13" t="s">
        <v>33</v>
      </c>
      <c r="P639" s="13">
        <v>1.0</v>
      </c>
      <c r="Q639" s="13" t="s">
        <v>3160</v>
      </c>
      <c r="R639" s="13" t="s">
        <v>3163</v>
      </c>
      <c r="S639" s="13" t="s">
        <v>4315</v>
      </c>
      <c r="T639" s="13" t="s">
        <v>3224</v>
      </c>
      <c r="U639" s="13" t="s">
        <v>3232</v>
      </c>
      <c r="V639" s="13" t="s">
        <v>3232</v>
      </c>
      <c r="W639" s="13" t="s">
        <v>3167</v>
      </c>
      <c r="X639" s="13" t="s">
        <v>3192</v>
      </c>
      <c r="Y639" s="13" t="s">
        <v>3180</v>
      </c>
      <c r="Z639" s="13">
        <v>0.5</v>
      </c>
      <c r="AA639" s="13" t="b">
        <v>0</v>
      </c>
      <c r="AB639" s="48"/>
      <c r="AC639" s="49"/>
    </row>
    <row r="640" ht="14.25" customHeight="1">
      <c r="A640" s="13">
        <v>25798.0</v>
      </c>
      <c r="B640" s="13" t="str">
        <f t="shared" si="6"/>
        <v>Observational</v>
      </c>
      <c r="C640" s="13" t="s">
        <v>4856</v>
      </c>
      <c r="D640" s="1" t="s">
        <v>5294</v>
      </c>
      <c r="E640" s="2" t="s">
        <v>5295</v>
      </c>
      <c r="F640" s="13" t="s">
        <v>3173</v>
      </c>
      <c r="G640" s="13" t="s">
        <v>3437</v>
      </c>
      <c r="H640" s="13" t="s">
        <v>3166</v>
      </c>
      <c r="I640" s="13" t="s">
        <v>3171</v>
      </c>
      <c r="J640" s="13" t="s">
        <v>3172</v>
      </c>
      <c r="K640" s="13" t="s">
        <v>3153</v>
      </c>
      <c r="L640" s="13" t="s">
        <v>3169</v>
      </c>
      <c r="M640" s="13" t="s">
        <v>3391</v>
      </c>
      <c r="N640" s="13" t="s">
        <v>3162</v>
      </c>
      <c r="O640" s="13" t="s">
        <v>33</v>
      </c>
      <c r="P640" s="13">
        <v>1.0</v>
      </c>
      <c r="Q640" s="13" t="s">
        <v>3160</v>
      </c>
      <c r="R640" s="13" t="s">
        <v>3163</v>
      </c>
      <c r="S640" s="13" t="s">
        <v>33</v>
      </c>
      <c r="T640" s="13" t="s">
        <v>3178</v>
      </c>
      <c r="U640" s="13" t="s">
        <v>3232</v>
      </c>
      <c r="V640" s="13" t="s">
        <v>3232</v>
      </c>
      <c r="W640" s="13" t="s">
        <v>3167</v>
      </c>
      <c r="X640" s="13" t="s">
        <v>3170</v>
      </c>
      <c r="Y640" s="13" t="s">
        <v>3156</v>
      </c>
      <c r="Z640" s="13" t="s">
        <v>33</v>
      </c>
      <c r="AA640" s="13" t="b">
        <v>0</v>
      </c>
      <c r="AB640" s="48"/>
      <c r="AC640" s="49"/>
    </row>
    <row r="641" ht="14.25" customHeight="1">
      <c r="A641" s="13">
        <v>25978.0</v>
      </c>
      <c r="B641" s="13" t="str">
        <f t="shared" si="6"/>
        <v>Observational</v>
      </c>
      <c r="C641" s="13" t="s">
        <v>4856</v>
      </c>
      <c r="D641" s="1" t="s">
        <v>5294</v>
      </c>
      <c r="E641" s="2" t="s">
        <v>5295</v>
      </c>
      <c r="F641" s="13" t="s">
        <v>3159</v>
      </c>
      <c r="G641" s="13" t="s">
        <v>3159</v>
      </c>
      <c r="H641" s="13" t="s">
        <v>3166</v>
      </c>
      <c r="I641" s="13" t="s">
        <v>3171</v>
      </c>
      <c r="J641" s="13" t="s">
        <v>3718</v>
      </c>
      <c r="K641" s="13" t="s">
        <v>3153</v>
      </c>
      <c r="L641" s="13" t="s">
        <v>3169</v>
      </c>
      <c r="M641" s="13" t="s">
        <v>3391</v>
      </c>
      <c r="N641" s="13" t="s">
        <v>3162</v>
      </c>
      <c r="O641" s="13" t="s">
        <v>33</v>
      </c>
      <c r="P641" s="13">
        <v>1.0</v>
      </c>
      <c r="Q641" s="13" t="s">
        <v>3160</v>
      </c>
      <c r="R641" s="13" t="s">
        <v>3163</v>
      </c>
      <c r="S641" s="13" t="s">
        <v>33</v>
      </c>
      <c r="T641" s="13" t="s">
        <v>3178</v>
      </c>
      <c r="U641" s="13" t="s">
        <v>3164</v>
      </c>
      <c r="V641" s="13" t="s">
        <v>3164</v>
      </c>
      <c r="W641" s="13" t="s">
        <v>3167</v>
      </c>
      <c r="X641" s="13" t="s">
        <v>3211</v>
      </c>
      <c r="Y641" s="13" t="s">
        <v>3156</v>
      </c>
      <c r="Z641" s="13" t="s">
        <v>33</v>
      </c>
      <c r="AA641" s="13" t="b">
        <v>0</v>
      </c>
      <c r="AB641" s="48"/>
      <c r="AC641" s="49"/>
    </row>
    <row r="642" ht="14.25" customHeight="1">
      <c r="A642" s="13">
        <v>26006.0</v>
      </c>
      <c r="B642" s="13" t="str">
        <f t="shared" si="6"/>
        <v>Observational</v>
      </c>
      <c r="C642" s="13" t="s">
        <v>4856</v>
      </c>
      <c r="D642" s="1" t="s">
        <v>5294</v>
      </c>
      <c r="E642" s="2" t="s">
        <v>5295</v>
      </c>
      <c r="F642" s="13" t="s">
        <v>3214</v>
      </c>
      <c r="G642" s="13" t="s">
        <v>3214</v>
      </c>
      <c r="H642" s="13" t="s">
        <v>3166</v>
      </c>
      <c r="I642" s="13" t="s">
        <v>3244</v>
      </c>
      <c r="J642" s="13" t="s">
        <v>3167</v>
      </c>
      <c r="K642" s="13" t="s">
        <v>3153</v>
      </c>
      <c r="L642" s="13" t="s">
        <v>3169</v>
      </c>
      <c r="M642" s="13" t="s">
        <v>3391</v>
      </c>
      <c r="N642" s="13" t="s">
        <v>3162</v>
      </c>
      <c r="O642" s="13" t="s">
        <v>33</v>
      </c>
      <c r="P642" s="13">
        <v>1.0</v>
      </c>
      <c r="Q642" s="13" t="s">
        <v>3160</v>
      </c>
      <c r="R642" s="13" t="s">
        <v>3163</v>
      </c>
      <c r="S642" s="13" t="s">
        <v>33</v>
      </c>
      <c r="T642" s="13" t="s">
        <v>3224</v>
      </c>
      <c r="U642" s="13" t="s">
        <v>3164</v>
      </c>
      <c r="V642" s="13" t="s">
        <v>3164</v>
      </c>
      <c r="W642" s="13" t="s">
        <v>3167</v>
      </c>
      <c r="X642" s="13" t="s">
        <v>3284</v>
      </c>
      <c r="Y642" s="13" t="s">
        <v>3156</v>
      </c>
      <c r="Z642" s="13" t="s">
        <v>33</v>
      </c>
      <c r="AA642" s="13" t="b">
        <v>0</v>
      </c>
      <c r="AB642" s="48"/>
      <c r="AC642" s="49"/>
    </row>
    <row r="643" ht="14.25" customHeight="1">
      <c r="A643" s="13">
        <v>26017.0</v>
      </c>
      <c r="B643" s="13" t="str">
        <f t="shared" si="6"/>
        <v>Observational</v>
      </c>
      <c r="C643" s="13" t="s">
        <v>4856</v>
      </c>
      <c r="D643" s="1" t="s">
        <v>5294</v>
      </c>
      <c r="E643" s="2" t="s">
        <v>5295</v>
      </c>
      <c r="F643" s="13" t="s">
        <v>3214</v>
      </c>
      <c r="G643" s="13" t="s">
        <v>3214</v>
      </c>
      <c r="H643" s="13" t="s">
        <v>3166</v>
      </c>
      <c r="I643" s="13" t="s">
        <v>3171</v>
      </c>
      <c r="J643" s="13" t="s">
        <v>3167</v>
      </c>
      <c r="K643" s="13" t="s">
        <v>3153</v>
      </c>
      <c r="L643" s="13" t="s">
        <v>3169</v>
      </c>
      <c r="M643" s="13" t="s">
        <v>3391</v>
      </c>
      <c r="N643" s="13" t="s">
        <v>3162</v>
      </c>
      <c r="O643" s="13" t="s">
        <v>33</v>
      </c>
      <c r="P643" s="13">
        <v>1.0</v>
      </c>
      <c r="Q643" s="13" t="s">
        <v>3177</v>
      </c>
      <c r="R643" s="13" t="s">
        <v>3177</v>
      </c>
      <c r="S643" s="13" t="s">
        <v>33</v>
      </c>
      <c r="T643" s="13" t="s">
        <v>3224</v>
      </c>
      <c r="U643" s="13" t="s">
        <v>3232</v>
      </c>
      <c r="V643" s="13" t="s">
        <v>3232</v>
      </c>
      <c r="W643" s="13" t="s">
        <v>3167</v>
      </c>
      <c r="X643" s="13" t="s">
        <v>3284</v>
      </c>
      <c r="Y643" s="13" t="s">
        <v>3156</v>
      </c>
      <c r="Z643" s="13" t="s">
        <v>33</v>
      </c>
      <c r="AA643" s="13" t="b">
        <v>0</v>
      </c>
      <c r="AB643" s="48"/>
      <c r="AC643" s="49"/>
    </row>
    <row r="644" ht="14.25" customHeight="1">
      <c r="A644" s="13" t="s">
        <v>2508</v>
      </c>
      <c r="B644" s="13" t="str">
        <f t="shared" si="6"/>
        <v>Observational</v>
      </c>
      <c r="C644" s="13" t="s">
        <v>4856</v>
      </c>
      <c r="D644" s="1" t="s">
        <v>5294</v>
      </c>
      <c r="E644" s="2" t="s">
        <v>5295</v>
      </c>
      <c r="F644" s="13" t="s">
        <v>3183</v>
      </c>
      <c r="G644" s="13" t="s">
        <v>3183</v>
      </c>
      <c r="H644" s="13" t="s">
        <v>3166</v>
      </c>
      <c r="I644" s="13" t="s">
        <v>3167</v>
      </c>
      <c r="J644" s="13" t="s">
        <v>3167</v>
      </c>
      <c r="K644" s="13" t="s">
        <v>3153</v>
      </c>
      <c r="L644" s="13" t="s">
        <v>3169</v>
      </c>
      <c r="M644" s="13" t="s">
        <v>3391</v>
      </c>
      <c r="N644" s="13" t="s">
        <v>3162</v>
      </c>
      <c r="O644" s="13" t="s">
        <v>3689</v>
      </c>
      <c r="P644" s="13">
        <v>1.0</v>
      </c>
      <c r="Q644" s="13" t="s">
        <v>3177</v>
      </c>
      <c r="R644" s="13" t="s">
        <v>3163</v>
      </c>
      <c r="S644" s="13" t="s">
        <v>4425</v>
      </c>
      <c r="T644" s="13" t="s">
        <v>3178</v>
      </c>
      <c r="U644" s="13" t="s">
        <v>3164</v>
      </c>
      <c r="V644" s="13" t="s">
        <v>3164</v>
      </c>
      <c r="W644" s="13" t="s">
        <v>3167</v>
      </c>
      <c r="X644" s="13" t="s">
        <v>3217</v>
      </c>
      <c r="Y644" s="13" t="s">
        <v>3156</v>
      </c>
      <c r="Z644" s="13" t="s">
        <v>33</v>
      </c>
      <c r="AA644" s="13" t="b">
        <v>0</v>
      </c>
      <c r="AB644" s="48"/>
      <c r="AC644" s="49"/>
    </row>
    <row r="645" ht="14.25" customHeight="1">
      <c r="A645" s="13">
        <v>26112.0</v>
      </c>
      <c r="B645" s="13" t="str">
        <f t="shared" si="6"/>
        <v>Observational</v>
      </c>
      <c r="C645" s="13" t="s">
        <v>4856</v>
      </c>
      <c r="D645" s="1" t="s">
        <v>5294</v>
      </c>
      <c r="E645" s="2" t="s">
        <v>5295</v>
      </c>
      <c r="F645" s="13" t="s">
        <v>3580</v>
      </c>
      <c r="G645" s="13" t="s">
        <v>3159</v>
      </c>
      <c r="H645" s="13" t="s">
        <v>3166</v>
      </c>
      <c r="I645" s="13" t="s">
        <v>3244</v>
      </c>
      <c r="J645" s="13" t="s">
        <v>3345</v>
      </c>
      <c r="K645" s="13" t="s">
        <v>3153</v>
      </c>
      <c r="L645" s="13" t="s">
        <v>3169</v>
      </c>
      <c r="M645" s="13" t="s">
        <v>3391</v>
      </c>
      <c r="N645" s="13" t="s">
        <v>3162</v>
      </c>
      <c r="O645" s="13" t="s">
        <v>3167</v>
      </c>
      <c r="P645" s="13">
        <v>1.0</v>
      </c>
      <c r="Q645" s="13" t="s">
        <v>3160</v>
      </c>
      <c r="R645" s="13" t="s">
        <v>3231</v>
      </c>
      <c r="S645" s="13" t="s">
        <v>33</v>
      </c>
      <c r="T645" s="13" t="s">
        <v>3178</v>
      </c>
      <c r="U645" s="13" t="s">
        <v>3232</v>
      </c>
      <c r="V645" s="13" t="s">
        <v>3232</v>
      </c>
      <c r="W645" s="13" t="s">
        <v>3167</v>
      </c>
      <c r="X645" s="13" t="s">
        <v>3170</v>
      </c>
      <c r="Y645" s="13" t="s">
        <v>3156</v>
      </c>
      <c r="Z645" s="13" t="s">
        <v>3167</v>
      </c>
      <c r="AA645" s="13" t="b">
        <v>0</v>
      </c>
      <c r="AB645" s="48"/>
      <c r="AC645" s="49"/>
    </row>
    <row r="646" ht="14.25" customHeight="1">
      <c r="A646" s="13">
        <v>26137.0</v>
      </c>
      <c r="B646" s="13" t="str">
        <f t="shared" si="6"/>
        <v>Observational</v>
      </c>
      <c r="C646" s="13" t="s">
        <v>4856</v>
      </c>
      <c r="D646" s="1" t="s">
        <v>5294</v>
      </c>
      <c r="E646" s="2" t="s">
        <v>5295</v>
      </c>
      <c r="F646" s="13" t="s">
        <v>3333</v>
      </c>
      <c r="G646" s="13" t="s">
        <v>3173</v>
      </c>
      <c r="H646" s="13" t="s">
        <v>3166</v>
      </c>
      <c r="I646" s="13" t="s">
        <v>3171</v>
      </c>
      <c r="J646" s="13" t="s">
        <v>4461</v>
      </c>
      <c r="K646" s="13" t="s">
        <v>3153</v>
      </c>
      <c r="L646" s="13" t="s">
        <v>3169</v>
      </c>
      <c r="M646" s="13" t="s">
        <v>3391</v>
      </c>
      <c r="N646" s="13" t="s">
        <v>3162</v>
      </c>
      <c r="O646" s="13" t="s">
        <v>33</v>
      </c>
      <c r="P646" s="13">
        <v>1.0</v>
      </c>
      <c r="Q646" s="13" t="s">
        <v>3177</v>
      </c>
      <c r="R646" s="13" t="s">
        <v>3163</v>
      </c>
      <c r="S646" s="13" t="s">
        <v>33</v>
      </c>
      <c r="T646" s="13" t="s">
        <v>3632</v>
      </c>
      <c r="U646" s="13" t="s">
        <v>3247</v>
      </c>
      <c r="V646" s="13" t="s">
        <v>3247</v>
      </c>
      <c r="W646" s="13" t="s">
        <v>3167</v>
      </c>
      <c r="X646" s="13" t="s">
        <v>3211</v>
      </c>
      <c r="Y646" s="13" t="s">
        <v>3187</v>
      </c>
      <c r="Z646" s="13">
        <v>1.0</v>
      </c>
      <c r="AA646" s="13" t="b">
        <v>0</v>
      </c>
      <c r="AB646" s="48"/>
      <c r="AC646" s="49"/>
    </row>
    <row r="647" ht="14.25" customHeight="1">
      <c r="A647" s="13">
        <v>25365.0</v>
      </c>
      <c r="B647" s="2" t="s">
        <v>4904</v>
      </c>
      <c r="C647" s="13" t="s">
        <v>4856</v>
      </c>
      <c r="D647" s="1" t="s">
        <v>5294</v>
      </c>
      <c r="E647" s="2" t="s">
        <v>5295</v>
      </c>
      <c r="F647" s="13" t="s">
        <v>3173</v>
      </c>
      <c r="G647" s="13" t="s">
        <v>3346</v>
      </c>
      <c r="H647" s="13" t="s">
        <v>3166</v>
      </c>
      <c r="I647" s="13" t="s">
        <v>3167</v>
      </c>
      <c r="J647" s="13" t="s">
        <v>3167</v>
      </c>
      <c r="K647" s="13" t="s">
        <v>3315</v>
      </c>
      <c r="L647" s="13" t="s">
        <v>3169</v>
      </c>
      <c r="M647" s="13" t="s">
        <v>3391</v>
      </c>
      <c r="N647" s="13" t="s">
        <v>3162</v>
      </c>
      <c r="O647" s="13" t="s">
        <v>33</v>
      </c>
      <c r="P647" s="13">
        <v>1.0</v>
      </c>
      <c r="Q647" s="13" t="s">
        <v>3177</v>
      </c>
      <c r="R647" s="13" t="s">
        <v>3163</v>
      </c>
      <c r="S647" s="13" t="s">
        <v>33</v>
      </c>
      <c r="T647" s="13" t="s">
        <v>3178</v>
      </c>
      <c r="U647" s="13" t="s">
        <v>3232</v>
      </c>
      <c r="V647" s="13" t="s">
        <v>3232</v>
      </c>
      <c r="W647" s="13" t="s">
        <v>3167</v>
      </c>
      <c r="X647" s="13" t="s">
        <v>3217</v>
      </c>
      <c r="Y647" s="13" t="s">
        <v>3156</v>
      </c>
      <c r="Z647" s="13" t="s">
        <v>33</v>
      </c>
      <c r="AA647" s="13" t="b">
        <v>0</v>
      </c>
      <c r="AB647" s="48"/>
      <c r="AC647" s="49"/>
    </row>
    <row r="648" ht="14.25" customHeight="1">
      <c r="A648" s="13">
        <v>25664.0</v>
      </c>
      <c r="B648" s="2" t="s">
        <v>4904</v>
      </c>
      <c r="C648" s="13" t="s">
        <v>4856</v>
      </c>
      <c r="D648" s="1" t="s">
        <v>5294</v>
      </c>
      <c r="E648" s="2" t="s">
        <v>5295</v>
      </c>
      <c r="F648" s="13" t="s">
        <v>3173</v>
      </c>
      <c r="G648" s="13" t="s">
        <v>3173</v>
      </c>
      <c r="H648" s="13" t="s">
        <v>3166</v>
      </c>
      <c r="I648" s="13" t="s">
        <v>3244</v>
      </c>
      <c r="J648" s="13" t="s">
        <v>3262</v>
      </c>
      <c r="K648" s="13" t="s">
        <v>3315</v>
      </c>
      <c r="L648" s="13" t="s">
        <v>3169</v>
      </c>
      <c r="M648" s="13" t="s">
        <v>3391</v>
      </c>
      <c r="N648" s="13" t="s">
        <v>3162</v>
      </c>
      <c r="O648" s="13" t="s">
        <v>33</v>
      </c>
      <c r="P648" s="13">
        <v>1.0</v>
      </c>
      <c r="Q648" s="13" t="s">
        <v>3160</v>
      </c>
      <c r="R648" s="13" t="s">
        <v>3177</v>
      </c>
      <c r="S648" s="13" t="s">
        <v>33</v>
      </c>
      <c r="T648" s="13" t="s">
        <v>3224</v>
      </c>
      <c r="U648" s="13" t="s">
        <v>3232</v>
      </c>
      <c r="V648" s="13" t="s">
        <v>3232</v>
      </c>
      <c r="W648" s="13" t="s">
        <v>3167</v>
      </c>
      <c r="X648" s="13" t="s">
        <v>3284</v>
      </c>
      <c r="Y648" s="13" t="s">
        <v>3156</v>
      </c>
      <c r="Z648" s="13" t="s">
        <v>33</v>
      </c>
      <c r="AA648" s="13" t="b">
        <v>0</v>
      </c>
      <c r="AB648" s="48"/>
      <c r="AC648" s="49"/>
    </row>
    <row r="649" ht="14.25" customHeight="1">
      <c r="A649" s="13">
        <v>25896.0</v>
      </c>
      <c r="B649" s="2" t="s">
        <v>4904</v>
      </c>
      <c r="C649" s="13" t="s">
        <v>4856</v>
      </c>
      <c r="D649" s="1" t="s">
        <v>5294</v>
      </c>
      <c r="E649" s="2" t="s">
        <v>5295</v>
      </c>
      <c r="F649" s="13" t="s">
        <v>3173</v>
      </c>
      <c r="G649" s="13" t="s">
        <v>3173</v>
      </c>
      <c r="H649" s="13" t="s">
        <v>3166</v>
      </c>
      <c r="I649" s="13" t="s">
        <v>3188</v>
      </c>
      <c r="J649" s="13" t="s">
        <v>3207</v>
      </c>
      <c r="K649" s="13" t="s">
        <v>3315</v>
      </c>
      <c r="L649" s="13" t="s">
        <v>3169</v>
      </c>
      <c r="M649" s="13" t="s">
        <v>3391</v>
      </c>
      <c r="N649" s="13" t="s">
        <v>3162</v>
      </c>
      <c r="O649" s="13" t="s">
        <v>3167</v>
      </c>
      <c r="P649" s="13">
        <v>1.0</v>
      </c>
      <c r="Q649" s="13" t="s">
        <v>3177</v>
      </c>
      <c r="R649" s="13" t="s">
        <v>3260</v>
      </c>
      <c r="S649" s="13" t="s">
        <v>33</v>
      </c>
      <c r="T649" s="13" t="s">
        <v>3276</v>
      </c>
      <c r="U649" s="13" t="s">
        <v>3197</v>
      </c>
      <c r="V649" s="13" t="s">
        <v>3197</v>
      </c>
      <c r="W649" s="13" t="s">
        <v>3167</v>
      </c>
      <c r="X649" s="13" t="s">
        <v>3155</v>
      </c>
      <c r="Y649" s="13" t="s">
        <v>3156</v>
      </c>
      <c r="Z649" s="13" t="s">
        <v>3167</v>
      </c>
      <c r="AA649" s="13" t="b">
        <v>0</v>
      </c>
      <c r="AB649" s="48"/>
      <c r="AC649" s="49"/>
    </row>
    <row r="650" ht="14.25" customHeight="1">
      <c r="A650" s="13">
        <v>26068.0</v>
      </c>
      <c r="B650" s="13" t="str">
        <f t="shared" ref="B650:B774" si="7">K650</f>
        <v>Observational</v>
      </c>
      <c r="C650" s="13" t="s">
        <v>4856</v>
      </c>
      <c r="D650" s="1" t="s">
        <v>5296</v>
      </c>
      <c r="E650" s="13" t="s">
        <v>5297</v>
      </c>
      <c r="F650" s="13" t="s">
        <v>3159</v>
      </c>
      <c r="G650" s="13" t="s">
        <v>3159</v>
      </c>
      <c r="H650" s="13" t="s">
        <v>3166</v>
      </c>
      <c r="I650" s="13" t="s">
        <v>3244</v>
      </c>
      <c r="J650" s="13" t="s">
        <v>3278</v>
      </c>
      <c r="K650" s="13" t="s">
        <v>3153</v>
      </c>
      <c r="L650" s="13" t="s">
        <v>3169</v>
      </c>
      <c r="M650" s="13" t="s">
        <v>4435</v>
      </c>
      <c r="N650" s="13" t="s">
        <v>3162</v>
      </c>
      <c r="O650" s="13" t="s">
        <v>33</v>
      </c>
      <c r="P650" s="13">
        <v>2.0</v>
      </c>
      <c r="Q650" s="13" t="s">
        <v>3160</v>
      </c>
      <c r="R650" s="13" t="s">
        <v>3177</v>
      </c>
      <c r="S650" s="13" t="s">
        <v>33</v>
      </c>
      <c r="T650" s="13" t="s">
        <v>3178</v>
      </c>
      <c r="U650" s="13" t="s">
        <v>3232</v>
      </c>
      <c r="V650" s="13" t="s">
        <v>3232</v>
      </c>
      <c r="W650" s="13" t="s">
        <v>3167</v>
      </c>
      <c r="X650" s="13" t="s">
        <v>3170</v>
      </c>
      <c r="Y650" s="13" t="s">
        <v>3156</v>
      </c>
      <c r="Z650" s="13" t="s">
        <v>33</v>
      </c>
      <c r="AA650" s="13" t="b">
        <v>0</v>
      </c>
      <c r="AB650" s="48"/>
      <c r="AC650" s="49"/>
    </row>
    <row r="651" ht="14.25" customHeight="1">
      <c r="A651" s="13">
        <v>25417.0</v>
      </c>
      <c r="B651" s="13" t="str">
        <f t="shared" si="7"/>
        <v>Observational</v>
      </c>
      <c r="C651" s="13" t="s">
        <v>4856</v>
      </c>
      <c r="D651" s="13" t="s">
        <v>5294</v>
      </c>
      <c r="E651" s="13" t="s">
        <v>5298</v>
      </c>
      <c r="F651" s="13" t="s">
        <v>3186</v>
      </c>
      <c r="G651" s="13" t="s">
        <v>3381</v>
      </c>
      <c r="H651" s="13" t="s">
        <v>3166</v>
      </c>
      <c r="I651" s="13" t="s">
        <v>3244</v>
      </c>
      <c r="J651" s="13" t="s">
        <v>4084</v>
      </c>
      <c r="K651" s="13" t="s">
        <v>3153</v>
      </c>
      <c r="L651" s="13" t="s">
        <v>3169</v>
      </c>
      <c r="M651" s="13" t="s">
        <v>4236</v>
      </c>
      <c r="N651" s="13" t="s">
        <v>3162</v>
      </c>
      <c r="O651" s="13" t="s">
        <v>4237</v>
      </c>
      <c r="P651" s="13">
        <v>2.0</v>
      </c>
      <c r="Q651" s="13" t="s">
        <v>3177</v>
      </c>
      <c r="R651" s="13" t="s">
        <v>3260</v>
      </c>
      <c r="S651" s="13" t="s">
        <v>3689</v>
      </c>
      <c r="T651" s="13" t="s">
        <v>3178</v>
      </c>
      <c r="U651" s="13" t="s">
        <v>3232</v>
      </c>
      <c r="V651" s="13" t="s">
        <v>3232</v>
      </c>
      <c r="W651" s="13" t="s">
        <v>3167</v>
      </c>
      <c r="X651" s="13" t="s">
        <v>3211</v>
      </c>
      <c r="Y651" s="13" t="s">
        <v>3187</v>
      </c>
      <c r="Z651" s="13">
        <v>1.0</v>
      </c>
      <c r="AA651" s="13" t="b">
        <v>1</v>
      </c>
      <c r="AB651" s="48"/>
      <c r="AC651" s="49"/>
    </row>
    <row r="652" ht="14.25" customHeight="1">
      <c r="A652" s="13">
        <v>24963.0</v>
      </c>
      <c r="B652" s="13" t="str">
        <f t="shared" si="7"/>
        <v>Observational</v>
      </c>
      <c r="C652" s="13" t="s">
        <v>4856</v>
      </c>
      <c r="D652" s="1" t="s">
        <v>5299</v>
      </c>
      <c r="E652" s="13" t="s">
        <v>5300</v>
      </c>
      <c r="F652" s="13" t="s">
        <v>3173</v>
      </c>
      <c r="G652" s="13" t="s">
        <v>3173</v>
      </c>
      <c r="H652" s="13" t="s">
        <v>3166</v>
      </c>
      <c r="I652" s="13" t="s">
        <v>3222</v>
      </c>
      <c r="J652" s="13" t="s">
        <v>3229</v>
      </c>
      <c r="K652" s="13" t="s">
        <v>3153</v>
      </c>
      <c r="L652" s="13" t="s">
        <v>3169</v>
      </c>
      <c r="M652" s="13" t="s">
        <v>4092</v>
      </c>
      <c r="N652" s="13" t="s">
        <v>3175</v>
      </c>
      <c r="O652" s="13" t="s">
        <v>33</v>
      </c>
      <c r="P652" s="13">
        <v>3.0</v>
      </c>
      <c r="Q652" s="13" t="s">
        <v>3177</v>
      </c>
      <c r="R652" s="13" t="s">
        <v>3177</v>
      </c>
      <c r="S652" s="13" t="s">
        <v>33</v>
      </c>
      <c r="T652" s="13" t="s">
        <v>3178</v>
      </c>
      <c r="U652" s="13" t="s">
        <v>3164</v>
      </c>
      <c r="V652" s="13" t="s">
        <v>3164</v>
      </c>
      <c r="W652" s="13" t="s">
        <v>3167</v>
      </c>
      <c r="X652" s="13" t="s">
        <v>3192</v>
      </c>
      <c r="Y652" s="13" t="s">
        <v>33</v>
      </c>
      <c r="Z652" s="13" t="s">
        <v>33</v>
      </c>
      <c r="AA652" s="13" t="b">
        <v>0</v>
      </c>
      <c r="AB652" s="48"/>
      <c r="AC652" s="49"/>
    </row>
    <row r="653" ht="14.25" customHeight="1">
      <c r="A653" s="13">
        <v>25926.0</v>
      </c>
      <c r="B653" s="13" t="str">
        <f t="shared" si="7"/>
        <v>Observational</v>
      </c>
      <c r="C653" s="13" t="s">
        <v>4856</v>
      </c>
      <c r="D653" s="1" t="s">
        <v>5301</v>
      </c>
      <c r="E653" s="13" t="s">
        <v>5302</v>
      </c>
      <c r="F653" s="13" t="s">
        <v>3159</v>
      </c>
      <c r="G653" s="13" t="s">
        <v>3159</v>
      </c>
      <c r="H653" s="13" t="s">
        <v>3166</v>
      </c>
      <c r="I653" s="13" t="s">
        <v>3188</v>
      </c>
      <c r="J653" s="13" t="s">
        <v>3402</v>
      </c>
      <c r="K653" s="13" t="s">
        <v>3153</v>
      </c>
      <c r="L653" s="13" t="s">
        <v>3169</v>
      </c>
      <c r="M653" s="13" t="s">
        <v>4393</v>
      </c>
      <c r="N653" s="13" t="s">
        <v>3175</v>
      </c>
      <c r="O653" s="13" t="s">
        <v>33</v>
      </c>
      <c r="P653" s="13">
        <v>4.0</v>
      </c>
      <c r="Q653" s="13" t="s">
        <v>3177</v>
      </c>
      <c r="R653" s="13" t="s">
        <v>3163</v>
      </c>
      <c r="S653" s="13" t="s">
        <v>33</v>
      </c>
      <c r="T653" s="13" t="s">
        <v>3178</v>
      </c>
      <c r="U653" s="13" t="s">
        <v>3164</v>
      </c>
      <c r="V653" s="13" t="s">
        <v>3228</v>
      </c>
      <c r="W653" s="13" t="s">
        <v>3167</v>
      </c>
      <c r="X653" s="13" t="s">
        <v>3170</v>
      </c>
      <c r="Y653" s="13" t="s">
        <v>3187</v>
      </c>
      <c r="Z653" s="13">
        <v>1.0</v>
      </c>
      <c r="AA653" s="13" t="b">
        <v>0</v>
      </c>
      <c r="AB653" s="47"/>
      <c r="AC653" s="49"/>
    </row>
    <row r="654" ht="14.25" customHeight="1">
      <c r="A654" s="13">
        <v>25643.0</v>
      </c>
      <c r="B654" s="13" t="str">
        <f t="shared" si="7"/>
        <v>Observational</v>
      </c>
      <c r="C654" s="13" t="s">
        <v>4880</v>
      </c>
      <c r="D654" s="1" t="s">
        <v>5303</v>
      </c>
      <c r="E654" s="13" t="s">
        <v>5304</v>
      </c>
      <c r="F654" s="13" t="s">
        <v>3195</v>
      </c>
      <c r="G654" s="13" t="s">
        <v>3195</v>
      </c>
      <c r="H654" s="13" t="s">
        <v>3166</v>
      </c>
      <c r="I654" s="13" t="s">
        <v>3167</v>
      </c>
      <c r="J654" s="13" t="s">
        <v>3167</v>
      </c>
      <c r="K654" s="13" t="s">
        <v>3153</v>
      </c>
      <c r="L654" s="13" t="s">
        <v>3684</v>
      </c>
      <c r="M654" s="13" t="s">
        <v>4291</v>
      </c>
      <c r="N654" s="13" t="s">
        <v>3162</v>
      </c>
      <c r="O654" s="13" t="s">
        <v>33</v>
      </c>
      <c r="P654" s="13">
        <v>2.0</v>
      </c>
      <c r="Q654" s="13" t="s">
        <v>3160</v>
      </c>
      <c r="R654" s="13" t="s">
        <v>3163</v>
      </c>
      <c r="S654" s="13" t="s">
        <v>33</v>
      </c>
      <c r="T654" s="13" t="s">
        <v>4292</v>
      </c>
      <c r="U654" s="13" t="s">
        <v>3247</v>
      </c>
      <c r="V654" s="13" t="s">
        <v>3247</v>
      </c>
      <c r="W654" s="13" t="s">
        <v>3167</v>
      </c>
      <c r="X654" s="13" t="s">
        <v>3217</v>
      </c>
      <c r="Y654" s="13" t="s">
        <v>3156</v>
      </c>
      <c r="Z654" s="13" t="s">
        <v>33</v>
      </c>
      <c r="AA654" s="13" t="b">
        <v>0</v>
      </c>
      <c r="AB654" s="48"/>
      <c r="AC654" s="49"/>
    </row>
    <row r="655" ht="14.25" customHeight="1">
      <c r="A655" s="13">
        <v>23142.0</v>
      </c>
      <c r="B655" s="13" t="str">
        <f t="shared" si="7"/>
        <v>Observational</v>
      </c>
      <c r="C655" s="13" t="s">
        <v>4856</v>
      </c>
      <c r="D655" s="1" t="s">
        <v>5305</v>
      </c>
      <c r="E655" s="2" t="s">
        <v>5306</v>
      </c>
      <c r="F655" s="13" t="s">
        <v>3173</v>
      </c>
      <c r="G655" s="13" t="s">
        <v>3173</v>
      </c>
      <c r="H655" s="13" t="s">
        <v>3166</v>
      </c>
      <c r="I655" s="13" t="s">
        <v>3244</v>
      </c>
      <c r="J655" s="13" t="s">
        <v>3245</v>
      </c>
      <c r="K655" s="13" t="s">
        <v>3153</v>
      </c>
      <c r="L655" s="13" t="s">
        <v>3169</v>
      </c>
      <c r="M655" s="13" t="s">
        <v>3301</v>
      </c>
      <c r="N655" s="13" t="s">
        <v>3162</v>
      </c>
      <c r="O655" s="13" t="s">
        <v>33</v>
      </c>
      <c r="P655" s="13">
        <v>2.0</v>
      </c>
      <c r="Q655" s="13" t="s">
        <v>3300</v>
      </c>
      <c r="R655" s="13" t="s">
        <v>3163</v>
      </c>
      <c r="S655" s="13" t="s">
        <v>33</v>
      </c>
      <c r="T655" s="13" t="s">
        <v>3216</v>
      </c>
      <c r="U655" s="13" t="s">
        <v>3232</v>
      </c>
      <c r="V655" s="13" t="s">
        <v>3232</v>
      </c>
      <c r="W655" s="13" t="s">
        <v>3167</v>
      </c>
      <c r="X655" s="13" t="s">
        <v>3155</v>
      </c>
      <c r="Y655" s="13" t="s">
        <v>3156</v>
      </c>
      <c r="Z655" s="13" t="s">
        <v>33</v>
      </c>
      <c r="AA655" s="13" t="b">
        <v>0</v>
      </c>
      <c r="AB655" s="48"/>
      <c r="AC655" s="49"/>
    </row>
    <row r="656" ht="14.25" customHeight="1">
      <c r="A656" s="13">
        <v>23865.0</v>
      </c>
      <c r="B656" s="13" t="str">
        <f t="shared" si="7"/>
        <v>Observational</v>
      </c>
      <c r="C656" s="13" t="s">
        <v>4856</v>
      </c>
      <c r="D656" s="1" t="s">
        <v>5307</v>
      </c>
      <c r="E656" s="13" t="s">
        <v>5308</v>
      </c>
      <c r="F656" s="13" t="s">
        <v>3201</v>
      </c>
      <c r="G656" s="13" t="s">
        <v>3659</v>
      </c>
      <c r="H656" s="13" t="s">
        <v>3166</v>
      </c>
      <c r="I656" s="13" t="s">
        <v>3171</v>
      </c>
      <c r="J656" s="13" t="s">
        <v>3657</v>
      </c>
      <c r="K656" s="13" t="s">
        <v>3153</v>
      </c>
      <c r="L656" s="13" t="s">
        <v>3169</v>
      </c>
      <c r="M656" s="13" t="s">
        <v>3658</v>
      </c>
      <c r="N656" s="13" t="s">
        <v>3162</v>
      </c>
      <c r="O656" s="13" t="s">
        <v>33</v>
      </c>
      <c r="P656" s="13">
        <v>2.0</v>
      </c>
      <c r="Q656" s="13" t="s">
        <v>3177</v>
      </c>
      <c r="R656" s="13" t="s">
        <v>3177</v>
      </c>
      <c r="S656" s="13" t="s">
        <v>33</v>
      </c>
      <c r="T656" s="13" t="s">
        <v>3178</v>
      </c>
      <c r="U656" s="13" t="s">
        <v>3164</v>
      </c>
      <c r="V656" s="13" t="s">
        <v>3252</v>
      </c>
      <c r="W656" s="13" t="s">
        <v>3167</v>
      </c>
      <c r="X656" s="13" t="s">
        <v>3170</v>
      </c>
      <c r="Y656" s="13" t="s">
        <v>3187</v>
      </c>
      <c r="Z656" s="13">
        <v>0.25</v>
      </c>
      <c r="AA656" s="13" t="b">
        <v>0</v>
      </c>
      <c r="AB656" s="48"/>
      <c r="AC656" s="49"/>
    </row>
    <row r="657" ht="14.25" customHeight="1">
      <c r="A657" s="13">
        <v>25970.0</v>
      </c>
      <c r="B657" s="13" t="str">
        <f t="shared" si="7"/>
        <v>Observational</v>
      </c>
      <c r="C657" s="13" t="s">
        <v>4856</v>
      </c>
      <c r="D657" s="1" t="s">
        <v>5309</v>
      </c>
      <c r="E657" s="2" t="s">
        <v>5295</v>
      </c>
      <c r="F657" s="13" t="s">
        <v>3381</v>
      </c>
      <c r="G657" s="13" t="s">
        <v>3183</v>
      </c>
      <c r="H657" s="13" t="s">
        <v>3242</v>
      </c>
      <c r="I657" s="13" t="s">
        <v>3188</v>
      </c>
      <c r="J657" s="13" t="s">
        <v>3432</v>
      </c>
      <c r="K657" s="13" t="s">
        <v>3153</v>
      </c>
      <c r="L657" s="13" t="s">
        <v>3169</v>
      </c>
      <c r="M657" s="13" t="s">
        <v>3715</v>
      </c>
      <c r="N657" s="13" t="s">
        <v>3175</v>
      </c>
      <c r="O657" s="13" t="s">
        <v>33</v>
      </c>
      <c r="P657" s="13">
        <v>1.0</v>
      </c>
      <c r="Q657" s="13" t="s">
        <v>3160</v>
      </c>
      <c r="R657" s="13" t="s">
        <v>3163</v>
      </c>
      <c r="S657" s="13" t="s">
        <v>3724</v>
      </c>
      <c r="T657" s="13" t="s">
        <v>3167</v>
      </c>
      <c r="U657" s="13" t="s">
        <v>3247</v>
      </c>
      <c r="V657" s="13" t="s">
        <v>3247</v>
      </c>
      <c r="W657" s="13" t="s">
        <v>3634</v>
      </c>
      <c r="X657" s="13" t="s">
        <v>3155</v>
      </c>
      <c r="Y657" s="13" t="s">
        <v>3520</v>
      </c>
      <c r="Z657" s="13">
        <v>2.5</v>
      </c>
      <c r="AA657" s="13" t="b">
        <v>0</v>
      </c>
      <c r="AB657" s="48"/>
      <c r="AC657" s="49"/>
    </row>
    <row r="658" ht="14.25" customHeight="1">
      <c r="A658" s="13">
        <v>23985.0</v>
      </c>
      <c r="B658" s="13" t="str">
        <f t="shared" si="7"/>
        <v>Observational</v>
      </c>
      <c r="C658" s="13" t="s">
        <v>4856</v>
      </c>
      <c r="D658" s="1" t="s">
        <v>5309</v>
      </c>
      <c r="E658" s="2" t="s">
        <v>5295</v>
      </c>
      <c r="F658" s="13" t="s">
        <v>3159</v>
      </c>
      <c r="G658" s="13" t="s">
        <v>3159</v>
      </c>
      <c r="H658" s="13" t="s">
        <v>3242</v>
      </c>
      <c r="I658" s="13" t="s">
        <v>3171</v>
      </c>
      <c r="J658" s="13" t="s">
        <v>3714</v>
      </c>
      <c r="K658" s="13" t="s">
        <v>3153</v>
      </c>
      <c r="L658" s="13" t="s">
        <v>3169</v>
      </c>
      <c r="M658" s="13" t="s">
        <v>3715</v>
      </c>
      <c r="N658" s="13" t="s">
        <v>3162</v>
      </c>
      <c r="O658" s="13" t="s">
        <v>3167</v>
      </c>
      <c r="P658" s="13">
        <v>1.0</v>
      </c>
      <c r="Q658" s="13" t="s">
        <v>3160</v>
      </c>
      <c r="R658" s="13" t="s">
        <v>3231</v>
      </c>
      <c r="S658" s="13" t="s">
        <v>33</v>
      </c>
      <c r="T658" s="13" t="s">
        <v>3167</v>
      </c>
      <c r="U658" s="13" t="s">
        <v>3164</v>
      </c>
      <c r="V658" s="13" t="s">
        <v>3164</v>
      </c>
      <c r="W658" s="13" t="s">
        <v>3377</v>
      </c>
      <c r="X658" s="13" t="s">
        <v>3155</v>
      </c>
      <c r="Y658" s="13" t="s">
        <v>3156</v>
      </c>
      <c r="Z658" s="13" t="s">
        <v>3167</v>
      </c>
      <c r="AA658" s="13" t="b">
        <v>0</v>
      </c>
      <c r="AB658" s="48"/>
      <c r="AC658" s="49"/>
    </row>
    <row r="659" ht="14.25" customHeight="1">
      <c r="A659" s="13">
        <v>24024.0</v>
      </c>
      <c r="B659" s="13" t="str">
        <f t="shared" si="7"/>
        <v>Observational</v>
      </c>
      <c r="C659" s="13" t="s">
        <v>4856</v>
      </c>
      <c r="D659" s="1" t="s">
        <v>5309</v>
      </c>
      <c r="E659" s="2" t="s">
        <v>5295</v>
      </c>
      <c r="F659" s="13" t="s">
        <v>3159</v>
      </c>
      <c r="G659" s="13" t="s">
        <v>3159</v>
      </c>
      <c r="H659" s="13" t="s">
        <v>3242</v>
      </c>
      <c r="I659" s="13" t="s">
        <v>3188</v>
      </c>
      <c r="J659" s="13" t="s">
        <v>3286</v>
      </c>
      <c r="K659" s="13" t="s">
        <v>3153</v>
      </c>
      <c r="L659" s="13" t="s">
        <v>3169</v>
      </c>
      <c r="M659" s="13" t="s">
        <v>3715</v>
      </c>
      <c r="N659" s="13" t="s">
        <v>3162</v>
      </c>
      <c r="O659" s="13" t="s">
        <v>33</v>
      </c>
      <c r="P659" s="13">
        <v>1.0</v>
      </c>
      <c r="Q659" s="13" t="s">
        <v>3160</v>
      </c>
      <c r="R659" s="13" t="s">
        <v>3163</v>
      </c>
      <c r="S659" s="13" t="s">
        <v>33</v>
      </c>
      <c r="T659" s="13" t="s">
        <v>3167</v>
      </c>
      <c r="U659" s="13" t="s">
        <v>3228</v>
      </c>
      <c r="V659" s="13" t="s">
        <v>3228</v>
      </c>
      <c r="W659" s="13" t="s">
        <v>3377</v>
      </c>
      <c r="X659" s="13" t="s">
        <v>3192</v>
      </c>
      <c r="Y659" s="13" t="s">
        <v>3156</v>
      </c>
      <c r="Z659" s="13" t="s">
        <v>33</v>
      </c>
      <c r="AA659" s="13" t="b">
        <v>0</v>
      </c>
      <c r="AB659" s="48"/>
      <c r="AC659" s="49"/>
    </row>
    <row r="660" ht="14.25" customHeight="1">
      <c r="A660" s="13">
        <v>25858.0</v>
      </c>
      <c r="B660" s="13" t="str">
        <f t="shared" si="7"/>
        <v>Observational</v>
      </c>
      <c r="C660" s="13" t="s">
        <v>4856</v>
      </c>
      <c r="D660" s="1" t="s">
        <v>5309</v>
      </c>
      <c r="E660" s="2" t="s">
        <v>5295</v>
      </c>
      <c r="F660" s="13" t="s">
        <v>3190</v>
      </c>
      <c r="G660" s="13" t="s">
        <v>3186</v>
      </c>
      <c r="H660" s="13" t="s">
        <v>3242</v>
      </c>
      <c r="I660" s="13" t="s">
        <v>3171</v>
      </c>
      <c r="J660" s="13" t="s">
        <v>4361</v>
      </c>
      <c r="K660" s="13" t="s">
        <v>3153</v>
      </c>
      <c r="L660" s="13" t="s">
        <v>3169</v>
      </c>
      <c r="M660" s="13" t="s">
        <v>3715</v>
      </c>
      <c r="N660" s="13" t="s">
        <v>3162</v>
      </c>
      <c r="O660" s="13" t="s">
        <v>3167</v>
      </c>
      <c r="P660" s="13">
        <v>1.0</v>
      </c>
      <c r="Q660" s="13" t="s">
        <v>3160</v>
      </c>
      <c r="R660" s="13" t="s">
        <v>3231</v>
      </c>
      <c r="S660" s="13" t="s">
        <v>33</v>
      </c>
      <c r="T660" s="13" t="s">
        <v>3167</v>
      </c>
      <c r="U660" s="13" t="s">
        <v>3164</v>
      </c>
      <c r="V660" s="13" t="s">
        <v>3165</v>
      </c>
      <c r="W660" s="13" t="s">
        <v>3377</v>
      </c>
      <c r="X660" s="13" t="s">
        <v>3211</v>
      </c>
      <c r="Y660" s="13" t="s">
        <v>3156</v>
      </c>
      <c r="Z660" s="13" t="s">
        <v>4183</v>
      </c>
      <c r="AA660" s="13" t="b">
        <v>0</v>
      </c>
      <c r="AB660" s="48"/>
      <c r="AC660" s="49"/>
    </row>
    <row r="661" ht="14.25" customHeight="1">
      <c r="A661" s="13">
        <v>26094.0</v>
      </c>
      <c r="B661" s="13" t="str">
        <f t="shared" si="7"/>
        <v>Observational</v>
      </c>
      <c r="C661" s="13" t="s">
        <v>4856</v>
      </c>
      <c r="D661" s="1" t="s">
        <v>5309</v>
      </c>
      <c r="E661" s="2" t="s">
        <v>5295</v>
      </c>
      <c r="F661" s="13" t="s">
        <v>3296</v>
      </c>
      <c r="G661" s="13" t="s">
        <v>3190</v>
      </c>
      <c r="H661" s="13" t="s">
        <v>3242</v>
      </c>
      <c r="I661" s="13" t="s">
        <v>3222</v>
      </c>
      <c r="J661" s="13" t="s">
        <v>3182</v>
      </c>
      <c r="K661" s="13" t="s">
        <v>3153</v>
      </c>
      <c r="L661" s="13" t="s">
        <v>3169</v>
      </c>
      <c r="M661" s="13" t="s">
        <v>3715</v>
      </c>
      <c r="N661" s="13" t="s">
        <v>3162</v>
      </c>
      <c r="O661" s="13" t="s">
        <v>33</v>
      </c>
      <c r="P661" s="13">
        <v>1.0</v>
      </c>
      <c r="Q661" s="13" t="s">
        <v>3160</v>
      </c>
      <c r="R661" s="13" t="s">
        <v>3163</v>
      </c>
      <c r="S661" s="13" t="s">
        <v>33</v>
      </c>
      <c r="T661" s="13" t="s">
        <v>3167</v>
      </c>
      <c r="U661" s="13" t="s">
        <v>3164</v>
      </c>
      <c r="V661" s="13" t="s">
        <v>3164</v>
      </c>
      <c r="W661" s="13" t="s">
        <v>3377</v>
      </c>
      <c r="X661" s="13" t="s">
        <v>3170</v>
      </c>
      <c r="Y661" s="13" t="s">
        <v>3156</v>
      </c>
      <c r="Z661" s="13" t="s">
        <v>33</v>
      </c>
      <c r="AA661" s="13" t="b">
        <v>0</v>
      </c>
      <c r="AB661" s="48"/>
      <c r="AC661" s="49"/>
    </row>
    <row r="662" ht="14.25" customHeight="1">
      <c r="A662" s="13">
        <v>23968.0</v>
      </c>
      <c r="B662" s="13" t="str">
        <f t="shared" si="7"/>
        <v>Observational</v>
      </c>
      <c r="C662" s="13" t="s">
        <v>4856</v>
      </c>
      <c r="D662" s="1" t="s">
        <v>5310</v>
      </c>
      <c r="E662" s="13" t="s">
        <v>5311</v>
      </c>
      <c r="F662" s="13" t="s">
        <v>3545</v>
      </c>
      <c r="G662" s="13" t="s">
        <v>3190</v>
      </c>
      <c r="H662" s="13" t="s">
        <v>3242</v>
      </c>
      <c r="I662" s="13" t="s">
        <v>3171</v>
      </c>
      <c r="J662" s="13" t="s">
        <v>3704</v>
      </c>
      <c r="K662" s="13" t="s">
        <v>3153</v>
      </c>
      <c r="L662" s="13" t="s">
        <v>3169</v>
      </c>
      <c r="M662" s="13" t="s">
        <v>3705</v>
      </c>
      <c r="N662" s="13" t="s">
        <v>3162</v>
      </c>
      <c r="O662" s="13" t="s">
        <v>3689</v>
      </c>
      <c r="P662" s="13">
        <v>6.0</v>
      </c>
      <c r="Q662" s="13" t="s">
        <v>3177</v>
      </c>
      <c r="R662" s="13" t="s">
        <v>3163</v>
      </c>
      <c r="S662" s="13" t="s">
        <v>33</v>
      </c>
      <c r="T662" s="13" t="s">
        <v>3167</v>
      </c>
      <c r="U662" s="13" t="s">
        <v>3164</v>
      </c>
      <c r="V662" s="13" t="s">
        <v>3197</v>
      </c>
      <c r="W662" s="13" t="s">
        <v>3377</v>
      </c>
      <c r="X662" s="13" t="s">
        <v>3192</v>
      </c>
      <c r="Y662" s="13" t="s">
        <v>3588</v>
      </c>
      <c r="Z662" s="13">
        <v>2.5</v>
      </c>
      <c r="AA662" s="13" t="b">
        <v>0</v>
      </c>
      <c r="AB662" s="48"/>
      <c r="AC662" s="49"/>
    </row>
    <row r="663" ht="14.25" customHeight="1">
      <c r="A663" s="13">
        <v>23384.0</v>
      </c>
      <c r="B663" s="13" t="str">
        <f t="shared" si="7"/>
        <v>Observational</v>
      </c>
      <c r="C663" s="13" t="s">
        <v>4864</v>
      </c>
      <c r="D663" s="1" t="s">
        <v>5205</v>
      </c>
      <c r="E663" s="13" t="s">
        <v>5304</v>
      </c>
      <c r="F663" s="13" t="s">
        <v>3201</v>
      </c>
      <c r="G663" s="13" t="s">
        <v>3159</v>
      </c>
      <c r="H663" s="13" t="s">
        <v>3166</v>
      </c>
      <c r="I663" s="13" t="s">
        <v>3264</v>
      </c>
      <c r="J663" s="13" t="s">
        <v>3425</v>
      </c>
      <c r="K663" s="13" t="s">
        <v>3153</v>
      </c>
      <c r="L663" s="13" t="s">
        <v>3179</v>
      </c>
      <c r="M663" s="13" t="s">
        <v>3426</v>
      </c>
      <c r="N663" s="13" t="s">
        <v>3162</v>
      </c>
      <c r="O663" s="13" t="s">
        <v>33</v>
      </c>
      <c r="P663" s="13">
        <v>1.0</v>
      </c>
      <c r="Q663" s="13" t="s">
        <v>3177</v>
      </c>
      <c r="R663" s="13" t="s">
        <v>3163</v>
      </c>
      <c r="S663" s="13" t="s">
        <v>33</v>
      </c>
      <c r="T663" s="13" t="s">
        <v>3168</v>
      </c>
      <c r="U663" s="13" t="s">
        <v>3232</v>
      </c>
      <c r="V663" s="13" t="s">
        <v>3232</v>
      </c>
      <c r="W663" s="13" t="s">
        <v>3167</v>
      </c>
      <c r="X663" s="13" t="s">
        <v>3170</v>
      </c>
      <c r="Y663" s="13" t="s">
        <v>3156</v>
      </c>
      <c r="Z663" s="13" t="s">
        <v>33</v>
      </c>
      <c r="AA663" s="13" t="b">
        <v>0</v>
      </c>
      <c r="AB663" s="48"/>
      <c r="AC663" s="49"/>
    </row>
    <row r="664" ht="14.25" customHeight="1">
      <c r="A664" s="13">
        <v>24451.0</v>
      </c>
      <c r="B664" s="13" t="str">
        <f t="shared" si="7"/>
        <v>Observational</v>
      </c>
      <c r="C664" s="13" t="s">
        <v>4856</v>
      </c>
      <c r="D664" s="1" t="s">
        <v>5205</v>
      </c>
      <c r="E664" s="13" t="s">
        <v>5304</v>
      </c>
      <c r="F664" s="13" t="s">
        <v>3159</v>
      </c>
      <c r="G664" s="13" t="s">
        <v>3208</v>
      </c>
      <c r="H664" s="13" t="s">
        <v>3242</v>
      </c>
      <c r="I664" s="13" t="s">
        <v>3222</v>
      </c>
      <c r="J664" s="13" t="s">
        <v>3182</v>
      </c>
      <c r="K664" s="13" t="s">
        <v>3153</v>
      </c>
      <c r="L664" s="13" t="s">
        <v>3169</v>
      </c>
      <c r="M664" s="13" t="s">
        <v>3426</v>
      </c>
      <c r="N664" s="13" t="s">
        <v>3162</v>
      </c>
      <c r="O664" s="13" t="s">
        <v>3167</v>
      </c>
      <c r="P664" s="13">
        <v>1.0</v>
      </c>
      <c r="Q664" s="13" t="s">
        <v>3160</v>
      </c>
      <c r="R664" s="13" t="s">
        <v>3231</v>
      </c>
      <c r="S664" s="13" t="s">
        <v>33</v>
      </c>
      <c r="T664" s="13" t="s">
        <v>3167</v>
      </c>
      <c r="U664" s="13" t="s">
        <v>3164</v>
      </c>
      <c r="V664" s="13" t="s">
        <v>3164</v>
      </c>
      <c r="W664" s="13" t="s">
        <v>3433</v>
      </c>
      <c r="X664" s="13" t="s">
        <v>3170</v>
      </c>
      <c r="Y664" s="13" t="s">
        <v>3187</v>
      </c>
      <c r="Z664" s="13">
        <v>1.0</v>
      </c>
      <c r="AA664" s="13" t="b">
        <v>0</v>
      </c>
      <c r="AB664" s="48"/>
      <c r="AC664" s="49"/>
    </row>
    <row r="665" ht="14.25" customHeight="1">
      <c r="A665" s="13">
        <v>25482.0</v>
      </c>
      <c r="B665" s="13" t="str">
        <f t="shared" si="7"/>
        <v>Observational</v>
      </c>
      <c r="C665" s="13" t="s">
        <v>4856</v>
      </c>
      <c r="D665" s="1" t="s">
        <v>5205</v>
      </c>
      <c r="E665" s="13" t="s">
        <v>5304</v>
      </c>
      <c r="F665" s="13" t="s">
        <v>3159</v>
      </c>
      <c r="G665" s="13" t="s">
        <v>3159</v>
      </c>
      <c r="H665" s="13" t="s">
        <v>3242</v>
      </c>
      <c r="I665" s="13" t="s">
        <v>3244</v>
      </c>
      <c r="J665" s="13" t="s">
        <v>3289</v>
      </c>
      <c r="K665" s="13" t="s">
        <v>3153</v>
      </c>
      <c r="L665" s="13" t="s">
        <v>3169</v>
      </c>
      <c r="M665" s="13" t="s">
        <v>3426</v>
      </c>
      <c r="N665" s="13" t="s">
        <v>3162</v>
      </c>
      <c r="O665" s="13" t="s">
        <v>33</v>
      </c>
      <c r="P665" s="13">
        <v>1.0</v>
      </c>
      <c r="Q665" s="13" t="s">
        <v>3177</v>
      </c>
      <c r="R665" s="13" t="s">
        <v>3177</v>
      </c>
      <c r="S665" s="13" t="s">
        <v>33</v>
      </c>
      <c r="T665" s="13" t="s">
        <v>3167</v>
      </c>
      <c r="U665" s="13" t="s">
        <v>3164</v>
      </c>
      <c r="V665" s="13" t="s">
        <v>3232</v>
      </c>
      <c r="W665" s="13" t="s">
        <v>3377</v>
      </c>
      <c r="X665" s="13" t="s">
        <v>3170</v>
      </c>
      <c r="Y665" s="13" t="s">
        <v>3156</v>
      </c>
      <c r="Z665" s="13" t="s">
        <v>33</v>
      </c>
      <c r="AA665" s="13" t="b">
        <v>0</v>
      </c>
      <c r="AB665" s="48"/>
      <c r="AC665" s="49"/>
    </row>
    <row r="666" ht="14.25" customHeight="1">
      <c r="A666" s="13">
        <v>26054.0</v>
      </c>
      <c r="B666" s="13" t="str">
        <f t="shared" si="7"/>
        <v>Observational</v>
      </c>
      <c r="C666" s="13" t="s">
        <v>4856</v>
      </c>
      <c r="D666" s="1" t="s">
        <v>5205</v>
      </c>
      <c r="E666" s="13" t="s">
        <v>5304</v>
      </c>
      <c r="F666" s="13" t="s">
        <v>3159</v>
      </c>
      <c r="G666" s="13" t="s">
        <v>3335</v>
      </c>
      <c r="H666" s="13" t="s">
        <v>3166</v>
      </c>
      <c r="I666" s="13" t="s">
        <v>3188</v>
      </c>
      <c r="J666" s="13" t="s">
        <v>3233</v>
      </c>
      <c r="K666" s="13" t="s">
        <v>3153</v>
      </c>
      <c r="L666" s="13" t="s">
        <v>3169</v>
      </c>
      <c r="M666" s="13" t="s">
        <v>3426</v>
      </c>
      <c r="N666" s="13" t="s">
        <v>3162</v>
      </c>
      <c r="O666" s="13" t="s">
        <v>33</v>
      </c>
      <c r="P666" s="13">
        <v>1.0</v>
      </c>
      <c r="Q666" s="13" t="s">
        <v>3160</v>
      </c>
      <c r="R666" s="13" t="s">
        <v>3163</v>
      </c>
      <c r="S666" s="13" t="s">
        <v>3323</v>
      </c>
      <c r="T666" s="13" t="s">
        <v>3168</v>
      </c>
      <c r="U666" s="13" t="s">
        <v>3165</v>
      </c>
      <c r="V666" s="13" t="s">
        <v>3165</v>
      </c>
      <c r="W666" s="13" t="s">
        <v>3167</v>
      </c>
      <c r="X666" s="13" t="s">
        <v>3192</v>
      </c>
      <c r="Y666" s="13" t="s">
        <v>3156</v>
      </c>
      <c r="Z666" s="13" t="s">
        <v>33</v>
      </c>
      <c r="AA666" s="13" t="b">
        <v>0</v>
      </c>
      <c r="AB666" s="48"/>
      <c r="AC666" s="49"/>
    </row>
    <row r="667" ht="14.25" customHeight="1">
      <c r="A667" s="13">
        <v>23464.0</v>
      </c>
      <c r="B667" s="13" t="str">
        <f t="shared" si="7"/>
        <v>Observational</v>
      </c>
      <c r="C667" s="13" t="s">
        <v>4856</v>
      </c>
      <c r="D667" s="50" t="s">
        <v>5205</v>
      </c>
      <c r="E667" s="2" t="s">
        <v>5312</v>
      </c>
      <c r="F667" s="13" t="s">
        <v>3173</v>
      </c>
      <c r="G667" s="13" t="s">
        <v>3381</v>
      </c>
      <c r="H667" s="13" t="s">
        <v>3242</v>
      </c>
      <c r="I667" s="13" t="s">
        <v>3171</v>
      </c>
      <c r="J667" s="13" t="s">
        <v>3454</v>
      </c>
      <c r="K667" s="13" t="s">
        <v>3153</v>
      </c>
      <c r="L667" s="13" t="s">
        <v>3169</v>
      </c>
      <c r="M667" s="13" t="s">
        <v>3455</v>
      </c>
      <c r="N667" s="13" t="s">
        <v>3267</v>
      </c>
      <c r="O667" s="13" t="s">
        <v>33</v>
      </c>
      <c r="P667" s="13">
        <v>3.0</v>
      </c>
      <c r="Q667" s="13" t="s">
        <v>3177</v>
      </c>
      <c r="R667" s="13" t="s">
        <v>3177</v>
      </c>
      <c r="S667" s="13" t="s">
        <v>3456</v>
      </c>
      <c r="T667" s="13" t="s">
        <v>3167</v>
      </c>
      <c r="U667" s="13" t="s">
        <v>3197</v>
      </c>
      <c r="V667" s="13" t="s">
        <v>3247</v>
      </c>
      <c r="W667" s="13" t="s">
        <v>3248</v>
      </c>
      <c r="X667" s="13" t="s">
        <v>3155</v>
      </c>
      <c r="Y667" s="13" t="s">
        <v>3187</v>
      </c>
      <c r="Z667" s="13">
        <v>25.0</v>
      </c>
      <c r="AA667" s="13" t="b">
        <v>1</v>
      </c>
      <c r="AB667" s="48"/>
      <c r="AC667" s="49"/>
    </row>
    <row r="668" ht="14.25" customHeight="1">
      <c r="A668" s="13" t="s">
        <v>1237</v>
      </c>
      <c r="B668" s="13" t="str">
        <f t="shared" si="7"/>
        <v>Observational</v>
      </c>
      <c r="C668" s="13" t="s">
        <v>4856</v>
      </c>
      <c r="D668" s="1" t="s">
        <v>5313</v>
      </c>
      <c r="E668" s="13" t="s">
        <v>5314</v>
      </c>
      <c r="F668" s="13" t="s">
        <v>3208</v>
      </c>
      <c r="G668" s="13" t="s">
        <v>3210</v>
      </c>
      <c r="H668" s="13" t="s">
        <v>3166</v>
      </c>
      <c r="I668" s="13" t="s">
        <v>3222</v>
      </c>
      <c r="J668" s="13" t="s">
        <v>3262</v>
      </c>
      <c r="K668" s="13" t="s">
        <v>3153</v>
      </c>
      <c r="L668" s="13" t="s">
        <v>3169</v>
      </c>
      <c r="M668" s="13" t="s">
        <v>4432</v>
      </c>
      <c r="N668" s="13" t="s">
        <v>3162</v>
      </c>
      <c r="O668" s="13" t="s">
        <v>33</v>
      </c>
      <c r="P668" s="13">
        <v>2.0</v>
      </c>
      <c r="Q668" s="13" t="s">
        <v>3160</v>
      </c>
      <c r="R668" s="13" t="s">
        <v>3163</v>
      </c>
      <c r="S668" s="13" t="s">
        <v>33</v>
      </c>
      <c r="T668" s="13" t="s">
        <v>3168</v>
      </c>
      <c r="U668" s="13" t="s">
        <v>3164</v>
      </c>
      <c r="V668" s="13" t="s">
        <v>3164</v>
      </c>
      <c r="W668" s="13" t="s">
        <v>3167</v>
      </c>
      <c r="X668" s="13" t="s">
        <v>3170</v>
      </c>
      <c r="Y668" s="13" t="s">
        <v>3156</v>
      </c>
      <c r="Z668" s="13" t="s">
        <v>33</v>
      </c>
      <c r="AA668" s="13" t="b">
        <v>0</v>
      </c>
      <c r="AB668" s="48"/>
      <c r="AC668" s="49"/>
    </row>
    <row r="669" ht="14.25" customHeight="1">
      <c r="A669" s="13">
        <v>24096.0</v>
      </c>
      <c r="B669" s="13" t="str">
        <f t="shared" si="7"/>
        <v>Observational</v>
      </c>
      <c r="C669" s="13" t="s">
        <v>4856</v>
      </c>
      <c r="D669" s="1" t="s">
        <v>5315</v>
      </c>
      <c r="E669" s="13" t="s">
        <v>5316</v>
      </c>
      <c r="F669" s="13" t="s">
        <v>3201</v>
      </c>
      <c r="G669" s="13" t="s">
        <v>3210</v>
      </c>
      <c r="H669" s="13" t="s">
        <v>3195</v>
      </c>
      <c r="I669" s="13" t="s">
        <v>3157</v>
      </c>
      <c r="J669" s="13" t="s">
        <v>3307</v>
      </c>
      <c r="K669" s="13" t="s">
        <v>3153</v>
      </c>
      <c r="L669" s="13" t="s">
        <v>3169</v>
      </c>
      <c r="M669" s="13" t="s">
        <v>3746</v>
      </c>
      <c r="N669" s="13" t="s">
        <v>3175</v>
      </c>
      <c r="O669" s="13" t="s">
        <v>33</v>
      </c>
      <c r="P669" s="13">
        <v>2.0</v>
      </c>
      <c r="Q669" s="13" t="s">
        <v>3177</v>
      </c>
      <c r="R669" s="13" t="s">
        <v>3163</v>
      </c>
      <c r="S669" s="13" t="s">
        <v>33</v>
      </c>
      <c r="T669" s="13" t="s">
        <v>3167</v>
      </c>
      <c r="U669" s="13" t="s">
        <v>3195</v>
      </c>
      <c r="V669" s="13" t="s">
        <v>3195</v>
      </c>
      <c r="W669" s="13" t="s">
        <v>3167</v>
      </c>
      <c r="X669" s="13" t="s">
        <v>3170</v>
      </c>
      <c r="Y669" s="13" t="s">
        <v>3156</v>
      </c>
      <c r="Z669" s="13" t="s">
        <v>33</v>
      </c>
      <c r="AA669" s="13" t="b">
        <v>0</v>
      </c>
      <c r="AB669" s="48"/>
      <c r="AC669" s="49"/>
    </row>
    <row r="670" ht="14.25" customHeight="1">
      <c r="A670" s="13">
        <v>25008.0</v>
      </c>
      <c r="B670" s="13" t="str">
        <f t="shared" si="7"/>
        <v>Observational</v>
      </c>
      <c r="C670" s="13" t="s">
        <v>4864</v>
      </c>
      <c r="D670" s="1" t="s">
        <v>5317</v>
      </c>
      <c r="E670" s="2" t="s">
        <v>5295</v>
      </c>
      <c r="F670" s="13" t="s">
        <v>3183</v>
      </c>
      <c r="G670" s="13" t="s">
        <v>3183</v>
      </c>
      <c r="H670" s="13" t="s">
        <v>3166</v>
      </c>
      <c r="I670" s="13" t="s">
        <v>3193</v>
      </c>
      <c r="J670" s="13" t="s">
        <v>3194</v>
      </c>
      <c r="K670" s="13" t="s">
        <v>3153</v>
      </c>
      <c r="L670" s="13" t="s">
        <v>3179</v>
      </c>
      <c r="M670" s="13" t="s">
        <v>3342</v>
      </c>
      <c r="N670" s="13" t="s">
        <v>3175</v>
      </c>
      <c r="O670" s="13" t="s">
        <v>4100</v>
      </c>
      <c r="P670" s="13">
        <v>1.0</v>
      </c>
      <c r="Q670" s="13" t="s">
        <v>3177</v>
      </c>
      <c r="R670" s="13" t="s">
        <v>3260</v>
      </c>
      <c r="S670" s="13" t="s">
        <v>33</v>
      </c>
      <c r="T670" s="13" t="s">
        <v>3178</v>
      </c>
      <c r="U670" s="13" t="s">
        <v>3165</v>
      </c>
      <c r="V670" s="13" t="s">
        <v>3165</v>
      </c>
      <c r="W670" s="13" t="s">
        <v>3167</v>
      </c>
      <c r="X670" s="13" t="s">
        <v>3155</v>
      </c>
      <c r="Y670" s="13" t="s">
        <v>3156</v>
      </c>
      <c r="Z670" s="13" t="s">
        <v>3167</v>
      </c>
      <c r="AA670" s="13" t="b">
        <v>0</v>
      </c>
      <c r="AB670" s="48"/>
      <c r="AC670" s="49"/>
    </row>
    <row r="671" ht="14.25" customHeight="1">
      <c r="A671" s="13">
        <v>24036.0</v>
      </c>
      <c r="B671" s="13" t="str">
        <f t="shared" si="7"/>
        <v>Experimental</v>
      </c>
      <c r="C671" s="13" t="s">
        <v>4864</v>
      </c>
      <c r="D671" s="1" t="s">
        <v>5317</v>
      </c>
      <c r="E671" s="2" t="s">
        <v>5295</v>
      </c>
      <c r="F671" s="13" t="s">
        <v>3201</v>
      </c>
      <c r="G671" s="13" t="s">
        <v>3159</v>
      </c>
      <c r="H671" s="13" t="s">
        <v>3166</v>
      </c>
      <c r="I671" s="13" t="s">
        <v>3181</v>
      </c>
      <c r="J671" s="13" t="s">
        <v>3730</v>
      </c>
      <c r="K671" s="13" t="s">
        <v>3457</v>
      </c>
      <c r="L671" s="13" t="s">
        <v>3179</v>
      </c>
      <c r="M671" s="13" t="s">
        <v>3342</v>
      </c>
      <c r="N671" s="13" t="s">
        <v>3162</v>
      </c>
      <c r="O671" s="13" t="s">
        <v>33</v>
      </c>
      <c r="P671" s="13">
        <v>1.0</v>
      </c>
      <c r="Q671" s="13" t="s">
        <v>3177</v>
      </c>
      <c r="R671" s="13" t="s">
        <v>3163</v>
      </c>
      <c r="S671" s="13" t="s">
        <v>33</v>
      </c>
      <c r="T671" s="13" t="s">
        <v>3224</v>
      </c>
      <c r="U671" s="13" t="s">
        <v>3232</v>
      </c>
      <c r="V671" s="13" t="s">
        <v>3232</v>
      </c>
      <c r="W671" s="13" t="s">
        <v>3167</v>
      </c>
      <c r="X671" s="13" t="s">
        <v>3170</v>
      </c>
      <c r="Y671" s="13" t="s">
        <v>33</v>
      </c>
      <c r="Z671" s="13" t="s">
        <v>33</v>
      </c>
      <c r="AA671" s="13" t="b">
        <v>0</v>
      </c>
      <c r="AB671" s="48"/>
      <c r="AC671" s="49"/>
    </row>
    <row r="672" ht="14.25" customHeight="1">
      <c r="A672" s="13">
        <v>23234.0</v>
      </c>
      <c r="B672" s="13" t="str">
        <f t="shared" si="7"/>
        <v>Observational</v>
      </c>
      <c r="C672" s="13" t="s">
        <v>4864</v>
      </c>
      <c r="D672" s="1" t="s">
        <v>5317</v>
      </c>
      <c r="E672" s="2" t="s">
        <v>5295</v>
      </c>
      <c r="F672" s="13" t="s">
        <v>3159</v>
      </c>
      <c r="G672" s="13" t="s">
        <v>3159</v>
      </c>
      <c r="H672" s="13" t="s">
        <v>3166</v>
      </c>
      <c r="I672" s="13" t="s">
        <v>3181</v>
      </c>
      <c r="J672" s="13" t="s">
        <v>3341</v>
      </c>
      <c r="K672" s="13" t="s">
        <v>3153</v>
      </c>
      <c r="L672" s="13" t="s">
        <v>3179</v>
      </c>
      <c r="M672" s="13" t="s">
        <v>3342</v>
      </c>
      <c r="N672" s="13" t="s">
        <v>3162</v>
      </c>
      <c r="O672" s="13" t="s">
        <v>33</v>
      </c>
      <c r="P672" s="13">
        <v>1.0</v>
      </c>
      <c r="Q672" s="13" t="s">
        <v>3177</v>
      </c>
      <c r="R672" s="13" t="s">
        <v>3177</v>
      </c>
      <c r="S672" s="13" t="s">
        <v>33</v>
      </c>
      <c r="T672" s="13" t="s">
        <v>3255</v>
      </c>
      <c r="U672" s="13" t="s">
        <v>3164</v>
      </c>
      <c r="V672" s="13" t="s">
        <v>3164</v>
      </c>
      <c r="W672" s="13" t="s">
        <v>3167</v>
      </c>
      <c r="X672" s="13" t="s">
        <v>3192</v>
      </c>
      <c r="Y672" s="13" t="s">
        <v>3187</v>
      </c>
      <c r="Z672" s="13">
        <v>1369.0</v>
      </c>
      <c r="AA672" s="13" t="b">
        <v>0</v>
      </c>
      <c r="AB672" s="48"/>
      <c r="AC672" s="49"/>
    </row>
    <row r="673" ht="14.25" customHeight="1">
      <c r="A673" s="13">
        <v>23306.0</v>
      </c>
      <c r="B673" s="13" t="str">
        <f t="shared" si="7"/>
        <v>Observational</v>
      </c>
      <c r="C673" s="13" t="s">
        <v>4864</v>
      </c>
      <c r="D673" s="1" t="s">
        <v>5317</v>
      </c>
      <c r="E673" s="2" t="s">
        <v>5295</v>
      </c>
      <c r="F673" s="13" t="s">
        <v>3183</v>
      </c>
      <c r="G673" s="13" t="s">
        <v>3183</v>
      </c>
      <c r="H673" s="13" t="s">
        <v>3166</v>
      </c>
      <c r="I673" s="13" t="s">
        <v>3261</v>
      </c>
      <c r="J673" s="13" t="s">
        <v>3387</v>
      </c>
      <c r="K673" s="13" t="s">
        <v>3153</v>
      </c>
      <c r="L673" s="13" t="s">
        <v>3179</v>
      </c>
      <c r="M673" s="13" t="s">
        <v>3342</v>
      </c>
      <c r="N673" s="13" t="s">
        <v>3162</v>
      </c>
      <c r="O673" s="13" t="s">
        <v>3388</v>
      </c>
      <c r="P673" s="13">
        <v>1.0</v>
      </c>
      <c r="Q673" s="13" t="s">
        <v>3160</v>
      </c>
      <c r="R673" s="13" t="s">
        <v>3163</v>
      </c>
      <c r="S673" s="13" t="s">
        <v>3389</v>
      </c>
      <c r="T673" s="13" t="s">
        <v>3224</v>
      </c>
      <c r="U673" s="13" t="s">
        <v>3232</v>
      </c>
      <c r="V673" s="13" t="s">
        <v>3232</v>
      </c>
      <c r="W673" s="13" t="s">
        <v>3167</v>
      </c>
      <c r="X673" s="13" t="s">
        <v>3211</v>
      </c>
      <c r="Y673" s="13" t="s">
        <v>33</v>
      </c>
      <c r="Z673" s="13" t="s">
        <v>33</v>
      </c>
      <c r="AA673" s="13" t="b">
        <v>0</v>
      </c>
      <c r="AB673" s="48"/>
      <c r="AC673" s="49"/>
    </row>
    <row r="674" ht="14.25" customHeight="1">
      <c r="A674" s="13">
        <v>23365.0</v>
      </c>
      <c r="B674" s="13" t="str">
        <f t="shared" si="7"/>
        <v>Observational</v>
      </c>
      <c r="C674" s="13" t="s">
        <v>4864</v>
      </c>
      <c r="D674" s="1" t="s">
        <v>5317</v>
      </c>
      <c r="E674" s="2" t="s">
        <v>5295</v>
      </c>
      <c r="F674" s="13" t="s">
        <v>3183</v>
      </c>
      <c r="G674" s="13" t="s">
        <v>3183</v>
      </c>
      <c r="H674" s="13" t="s">
        <v>3166</v>
      </c>
      <c r="I674" s="13" t="s">
        <v>3261</v>
      </c>
      <c r="J674" s="13" t="s">
        <v>3412</v>
      </c>
      <c r="K674" s="13" t="s">
        <v>3153</v>
      </c>
      <c r="L674" s="13" t="s">
        <v>3179</v>
      </c>
      <c r="M674" s="13" t="s">
        <v>3342</v>
      </c>
      <c r="N674" s="13" t="s">
        <v>3162</v>
      </c>
      <c r="O674" s="13" t="s">
        <v>3413</v>
      </c>
      <c r="P674" s="13">
        <v>1.0</v>
      </c>
      <c r="Q674" s="13" t="s">
        <v>3177</v>
      </c>
      <c r="R674" s="13" t="s">
        <v>3177</v>
      </c>
      <c r="S674" s="13" t="s">
        <v>3414</v>
      </c>
      <c r="T674" s="13" t="s">
        <v>3178</v>
      </c>
      <c r="U674" s="13" t="s">
        <v>3164</v>
      </c>
      <c r="V674" s="13" t="s">
        <v>3165</v>
      </c>
      <c r="W674" s="13" t="s">
        <v>3167</v>
      </c>
      <c r="X674" s="13" t="s">
        <v>3192</v>
      </c>
      <c r="Y674" s="13" t="s">
        <v>3187</v>
      </c>
      <c r="Z674" s="13">
        <v>48.0</v>
      </c>
      <c r="AA674" s="13" t="b">
        <v>0</v>
      </c>
      <c r="AB674" s="48"/>
      <c r="AC674" s="49"/>
    </row>
    <row r="675" ht="14.25" customHeight="1">
      <c r="A675" s="13">
        <v>23371.0</v>
      </c>
      <c r="B675" s="13" t="str">
        <f t="shared" si="7"/>
        <v>Observational</v>
      </c>
      <c r="C675" s="13" t="s">
        <v>4856</v>
      </c>
      <c r="D675" s="1" t="s">
        <v>5317</v>
      </c>
      <c r="E675" s="2" t="s">
        <v>5295</v>
      </c>
      <c r="F675" s="13" t="s">
        <v>3173</v>
      </c>
      <c r="G675" s="13" t="s">
        <v>3417</v>
      </c>
      <c r="H675" s="13" t="s">
        <v>3166</v>
      </c>
      <c r="I675" s="13" t="s">
        <v>3188</v>
      </c>
      <c r="J675" s="13" t="s">
        <v>3233</v>
      </c>
      <c r="K675" s="13" t="s">
        <v>3153</v>
      </c>
      <c r="L675" s="13" t="s">
        <v>3169</v>
      </c>
      <c r="M675" s="13" t="s">
        <v>3342</v>
      </c>
      <c r="N675" s="13" t="s">
        <v>3162</v>
      </c>
      <c r="O675" s="13" t="s">
        <v>33</v>
      </c>
      <c r="P675" s="13">
        <v>2.0</v>
      </c>
      <c r="Q675" s="13" t="s">
        <v>3177</v>
      </c>
      <c r="R675" s="13" t="s">
        <v>3177</v>
      </c>
      <c r="S675" s="13" t="s">
        <v>3418</v>
      </c>
      <c r="T675" s="13" t="s">
        <v>3178</v>
      </c>
      <c r="U675" s="13" t="s">
        <v>3164</v>
      </c>
      <c r="V675" s="13" t="s">
        <v>3164</v>
      </c>
      <c r="W675" s="13" t="s">
        <v>3167</v>
      </c>
      <c r="X675" s="13" t="s">
        <v>3192</v>
      </c>
      <c r="Y675" s="13" t="s">
        <v>3187</v>
      </c>
      <c r="Z675" s="13">
        <v>1.44</v>
      </c>
      <c r="AA675" s="13" t="b">
        <v>0</v>
      </c>
      <c r="AB675" s="48"/>
      <c r="AC675" s="49"/>
    </row>
    <row r="676" ht="14.25" customHeight="1">
      <c r="A676" s="13">
        <v>23452.0</v>
      </c>
      <c r="B676" s="13" t="str">
        <f t="shared" si="7"/>
        <v>Observational</v>
      </c>
      <c r="C676" s="13" t="s">
        <v>4864</v>
      </c>
      <c r="D676" s="1" t="s">
        <v>5317</v>
      </c>
      <c r="E676" s="2" t="s">
        <v>5295</v>
      </c>
      <c r="F676" s="13" t="s">
        <v>3173</v>
      </c>
      <c r="G676" s="13" t="s">
        <v>3210</v>
      </c>
      <c r="H676" s="13" t="s">
        <v>3166</v>
      </c>
      <c r="I676" s="13" t="s">
        <v>3264</v>
      </c>
      <c r="J676" s="13" t="s">
        <v>3450</v>
      </c>
      <c r="K676" s="13" t="s">
        <v>3153</v>
      </c>
      <c r="L676" s="13" t="s">
        <v>3179</v>
      </c>
      <c r="M676" s="13" t="s">
        <v>3342</v>
      </c>
      <c r="N676" s="13" t="s">
        <v>3162</v>
      </c>
      <c r="O676" s="13" t="s">
        <v>33</v>
      </c>
      <c r="P676" s="13">
        <v>1.0</v>
      </c>
      <c r="Q676" s="13" t="s">
        <v>3160</v>
      </c>
      <c r="R676" s="13" t="s">
        <v>3163</v>
      </c>
      <c r="S676" s="13" t="s">
        <v>3451</v>
      </c>
      <c r="T676" s="13" t="s">
        <v>3168</v>
      </c>
      <c r="U676" s="13" t="s">
        <v>3232</v>
      </c>
      <c r="V676" s="13" t="s">
        <v>3232</v>
      </c>
      <c r="W676" s="13" t="s">
        <v>3167</v>
      </c>
      <c r="X676" s="13" t="s">
        <v>3155</v>
      </c>
      <c r="Y676" s="13" t="s">
        <v>3156</v>
      </c>
      <c r="Z676" s="13" t="s">
        <v>33</v>
      </c>
      <c r="AA676" s="13" t="b">
        <v>0</v>
      </c>
      <c r="AB676" s="48"/>
      <c r="AC676" s="49"/>
    </row>
    <row r="677" ht="14.25" customHeight="1">
      <c r="A677" s="13">
        <v>23456.0</v>
      </c>
      <c r="B677" s="13" t="str">
        <f t="shared" si="7"/>
        <v>Observational</v>
      </c>
      <c r="C677" s="13" t="s">
        <v>4864</v>
      </c>
      <c r="D677" s="1" t="s">
        <v>5317</v>
      </c>
      <c r="E677" s="2" t="s">
        <v>5295</v>
      </c>
      <c r="F677" s="13" t="s">
        <v>3183</v>
      </c>
      <c r="G677" s="13" t="s">
        <v>3287</v>
      </c>
      <c r="H677" s="13" t="s">
        <v>3166</v>
      </c>
      <c r="I677" s="13" t="s">
        <v>3264</v>
      </c>
      <c r="J677" s="13" t="s">
        <v>3321</v>
      </c>
      <c r="K677" s="13" t="s">
        <v>3153</v>
      </c>
      <c r="L677" s="13" t="s">
        <v>3179</v>
      </c>
      <c r="M677" s="13" t="s">
        <v>3342</v>
      </c>
      <c r="N677" s="13" t="s">
        <v>3162</v>
      </c>
      <c r="O677" s="13" t="s">
        <v>3453</v>
      </c>
      <c r="P677" s="13">
        <v>1.0</v>
      </c>
      <c r="Q677" s="13" t="s">
        <v>3177</v>
      </c>
      <c r="R677" s="13" t="s">
        <v>3177</v>
      </c>
      <c r="S677" s="13" t="s">
        <v>33</v>
      </c>
      <c r="T677" s="13" t="s">
        <v>3224</v>
      </c>
      <c r="U677" s="13" t="s">
        <v>3164</v>
      </c>
      <c r="V677" s="13" t="s">
        <v>3164</v>
      </c>
      <c r="W677" s="13" t="s">
        <v>3167</v>
      </c>
      <c r="X677" s="13" t="s">
        <v>3192</v>
      </c>
      <c r="Y677" s="13" t="s">
        <v>33</v>
      </c>
      <c r="Z677" s="13" t="s">
        <v>33</v>
      </c>
      <c r="AA677" s="13" t="b">
        <v>0</v>
      </c>
      <c r="AB677" s="48"/>
      <c r="AC677" s="49"/>
    </row>
    <row r="678" ht="14.25" customHeight="1">
      <c r="A678" s="13">
        <v>23461.0</v>
      </c>
      <c r="B678" s="13" t="str">
        <f t="shared" si="7"/>
        <v>Observational</v>
      </c>
      <c r="C678" s="13" t="s">
        <v>4856</v>
      </c>
      <c r="D678" s="1" t="s">
        <v>5317</v>
      </c>
      <c r="E678" s="2" t="s">
        <v>5295</v>
      </c>
      <c r="F678" s="13" t="s">
        <v>3190</v>
      </c>
      <c r="G678" s="13" t="s">
        <v>3190</v>
      </c>
      <c r="H678" s="13" t="s">
        <v>3166</v>
      </c>
      <c r="I678" s="13" t="s">
        <v>3171</v>
      </c>
      <c r="J678" s="13" t="s">
        <v>3172</v>
      </c>
      <c r="K678" s="13" t="s">
        <v>3153</v>
      </c>
      <c r="L678" s="13" t="s">
        <v>3169</v>
      </c>
      <c r="M678" s="13" t="s">
        <v>3342</v>
      </c>
      <c r="N678" s="13" t="s">
        <v>3162</v>
      </c>
      <c r="O678" s="13" t="s">
        <v>33</v>
      </c>
      <c r="P678" s="13">
        <v>1.0</v>
      </c>
      <c r="Q678" s="13" t="s">
        <v>3177</v>
      </c>
      <c r="R678" s="13" t="s">
        <v>3177</v>
      </c>
      <c r="S678" s="13" t="s">
        <v>33</v>
      </c>
      <c r="T678" s="13" t="s">
        <v>3168</v>
      </c>
      <c r="U678" s="13" t="s">
        <v>3164</v>
      </c>
      <c r="V678" s="13" t="s">
        <v>3164</v>
      </c>
      <c r="W678" s="13" t="s">
        <v>3167</v>
      </c>
      <c r="X678" s="13" t="s">
        <v>3192</v>
      </c>
      <c r="Y678" s="13" t="s">
        <v>3156</v>
      </c>
      <c r="Z678" s="13" t="s">
        <v>33</v>
      </c>
      <c r="AA678" s="13" t="b">
        <v>0</v>
      </c>
      <c r="AB678" s="48"/>
      <c r="AC678" s="49"/>
    </row>
    <row r="679" ht="14.25" customHeight="1">
      <c r="A679" s="13" t="s">
        <v>1381</v>
      </c>
      <c r="B679" s="13" t="str">
        <f t="shared" si="7"/>
        <v>Observational</v>
      </c>
      <c r="C679" s="13" t="s">
        <v>4864</v>
      </c>
      <c r="D679" s="1" t="s">
        <v>5317</v>
      </c>
      <c r="E679" s="2" t="s">
        <v>5295</v>
      </c>
      <c r="F679" s="13" t="s">
        <v>3186</v>
      </c>
      <c r="G679" s="13" t="s">
        <v>3159</v>
      </c>
      <c r="H679" s="13" t="s">
        <v>3166</v>
      </c>
      <c r="I679" s="13" t="s">
        <v>3167</v>
      </c>
      <c r="J679" s="13" t="s">
        <v>3167</v>
      </c>
      <c r="K679" s="13" t="s">
        <v>3153</v>
      </c>
      <c r="L679" s="13" t="s">
        <v>3179</v>
      </c>
      <c r="M679" s="13" t="s">
        <v>3342</v>
      </c>
      <c r="N679" s="13" t="s">
        <v>3162</v>
      </c>
      <c r="O679" s="13" t="s">
        <v>33</v>
      </c>
      <c r="P679" s="13">
        <v>1.0</v>
      </c>
      <c r="Q679" s="13" t="s">
        <v>3177</v>
      </c>
      <c r="R679" s="13" t="s">
        <v>3177</v>
      </c>
      <c r="S679" s="13" t="s">
        <v>33</v>
      </c>
      <c r="T679" s="13" t="s">
        <v>3255</v>
      </c>
      <c r="U679" s="13" t="s">
        <v>3197</v>
      </c>
      <c r="V679" s="13" t="s">
        <v>3197</v>
      </c>
      <c r="W679" s="13" t="s">
        <v>3167</v>
      </c>
      <c r="X679" s="13" t="s">
        <v>3217</v>
      </c>
      <c r="Y679" s="13" t="s">
        <v>3156</v>
      </c>
      <c r="Z679" s="13" t="s">
        <v>33</v>
      </c>
      <c r="AA679" s="13" t="b">
        <v>0</v>
      </c>
      <c r="AB679" s="48"/>
      <c r="AC679" s="49"/>
    </row>
    <row r="680" ht="14.25" customHeight="1">
      <c r="A680" s="13">
        <v>23560.0</v>
      </c>
      <c r="B680" s="13" t="str">
        <f t="shared" si="7"/>
        <v>Observational</v>
      </c>
      <c r="C680" s="13" t="s">
        <v>4864</v>
      </c>
      <c r="D680" s="1" t="s">
        <v>5317</v>
      </c>
      <c r="E680" s="2" t="s">
        <v>5295</v>
      </c>
      <c r="F680" s="13" t="s">
        <v>3173</v>
      </c>
      <c r="G680" s="13" t="s">
        <v>3173</v>
      </c>
      <c r="H680" s="13" t="s">
        <v>3166</v>
      </c>
      <c r="I680" s="13" t="s">
        <v>3167</v>
      </c>
      <c r="J680" s="13" t="s">
        <v>3167</v>
      </c>
      <c r="K680" s="13" t="s">
        <v>3153</v>
      </c>
      <c r="L680" s="13" t="s">
        <v>3179</v>
      </c>
      <c r="M680" s="13" t="s">
        <v>3342</v>
      </c>
      <c r="N680" s="13" t="s">
        <v>3162</v>
      </c>
      <c r="O680" s="13" t="s">
        <v>33</v>
      </c>
      <c r="P680" s="13">
        <v>1.0</v>
      </c>
      <c r="Q680" s="13" t="s">
        <v>3177</v>
      </c>
      <c r="R680" s="13" t="s">
        <v>3177</v>
      </c>
      <c r="S680" s="13" t="s">
        <v>33</v>
      </c>
      <c r="T680" s="13" t="s">
        <v>3168</v>
      </c>
      <c r="U680" s="13" t="s">
        <v>3232</v>
      </c>
      <c r="V680" s="13" t="s">
        <v>3232</v>
      </c>
      <c r="W680" s="13" t="s">
        <v>3167</v>
      </c>
      <c r="X680" s="13" t="s">
        <v>3217</v>
      </c>
      <c r="Y680" s="13" t="s">
        <v>3180</v>
      </c>
      <c r="Z680" s="13">
        <v>1.0</v>
      </c>
      <c r="AA680" s="13" t="b">
        <v>0</v>
      </c>
      <c r="AB680" s="48"/>
      <c r="AC680" s="49"/>
    </row>
    <row r="681" ht="14.25" customHeight="1">
      <c r="A681" s="13">
        <v>23566.0</v>
      </c>
      <c r="B681" s="13" t="str">
        <f t="shared" si="7"/>
        <v>Observational</v>
      </c>
      <c r="C681" s="13" t="s">
        <v>4864</v>
      </c>
      <c r="D681" s="1" t="s">
        <v>5317</v>
      </c>
      <c r="E681" s="2" t="s">
        <v>5295</v>
      </c>
      <c r="F681" s="13" t="s">
        <v>3201</v>
      </c>
      <c r="G681" s="13" t="s">
        <v>3214</v>
      </c>
      <c r="H681" s="13" t="s">
        <v>3166</v>
      </c>
      <c r="I681" s="13" t="s">
        <v>3181</v>
      </c>
      <c r="J681" s="13" t="s">
        <v>3362</v>
      </c>
      <c r="K681" s="13" t="s">
        <v>3153</v>
      </c>
      <c r="L681" s="13" t="s">
        <v>3179</v>
      </c>
      <c r="M681" s="13" t="s">
        <v>3342</v>
      </c>
      <c r="N681" s="13" t="s">
        <v>3162</v>
      </c>
      <c r="O681" s="13" t="s">
        <v>3167</v>
      </c>
      <c r="P681" s="13">
        <v>1.0</v>
      </c>
      <c r="Q681" s="13" t="s">
        <v>3177</v>
      </c>
      <c r="R681" s="13" t="s">
        <v>3260</v>
      </c>
      <c r="S681" s="13" t="s">
        <v>33</v>
      </c>
      <c r="T681" s="13" t="s">
        <v>3225</v>
      </c>
      <c r="U681" s="13" t="s">
        <v>3232</v>
      </c>
      <c r="V681" s="13" t="s">
        <v>3232</v>
      </c>
      <c r="W681" s="13" t="s">
        <v>3167</v>
      </c>
      <c r="X681" s="13" t="s">
        <v>3155</v>
      </c>
      <c r="Y681" s="13" t="s">
        <v>3156</v>
      </c>
      <c r="Z681" s="13" t="s">
        <v>3167</v>
      </c>
      <c r="AA681" s="13" t="b">
        <v>0</v>
      </c>
      <c r="AB681" s="48"/>
      <c r="AC681" s="49"/>
    </row>
    <row r="682" ht="14.25" customHeight="1">
      <c r="A682" s="13">
        <v>23573.0</v>
      </c>
      <c r="B682" s="13" t="str">
        <f t="shared" si="7"/>
        <v>Observational</v>
      </c>
      <c r="C682" s="13" t="s">
        <v>4864</v>
      </c>
      <c r="D682" s="1" t="s">
        <v>5317</v>
      </c>
      <c r="E682" s="2" t="s">
        <v>5295</v>
      </c>
      <c r="F682" s="13" t="s">
        <v>3183</v>
      </c>
      <c r="G682" s="13" t="s">
        <v>3265</v>
      </c>
      <c r="H682" s="13" t="s">
        <v>3166</v>
      </c>
      <c r="I682" s="13" t="s">
        <v>3167</v>
      </c>
      <c r="J682" s="13" t="s">
        <v>3167</v>
      </c>
      <c r="K682" s="13" t="s">
        <v>3153</v>
      </c>
      <c r="L682" s="13" t="s">
        <v>3179</v>
      </c>
      <c r="M682" s="13" t="s">
        <v>3342</v>
      </c>
      <c r="N682" s="13" t="s">
        <v>3162</v>
      </c>
      <c r="O682" s="13" t="s">
        <v>3503</v>
      </c>
      <c r="P682" s="13">
        <v>1.0</v>
      </c>
      <c r="Q682" s="13" t="s">
        <v>3177</v>
      </c>
      <c r="R682" s="13" t="s">
        <v>3177</v>
      </c>
      <c r="S682" s="13" t="s">
        <v>33</v>
      </c>
      <c r="T682" s="13" t="s">
        <v>3224</v>
      </c>
      <c r="U682" s="13" t="s">
        <v>3164</v>
      </c>
      <c r="V682" s="13" t="s">
        <v>3165</v>
      </c>
      <c r="W682" s="13" t="s">
        <v>3167</v>
      </c>
      <c r="X682" s="13" t="s">
        <v>3217</v>
      </c>
      <c r="Y682" s="13" t="s">
        <v>3180</v>
      </c>
      <c r="Z682" s="13">
        <v>5.0</v>
      </c>
      <c r="AA682" s="13" t="b">
        <v>0</v>
      </c>
      <c r="AB682" s="48"/>
      <c r="AC682" s="49"/>
    </row>
    <row r="683" ht="14.25" customHeight="1">
      <c r="A683" s="13">
        <v>23603.0</v>
      </c>
      <c r="B683" s="13" t="str">
        <f t="shared" si="7"/>
        <v>Observational</v>
      </c>
      <c r="C683" s="13" t="s">
        <v>4864</v>
      </c>
      <c r="D683" s="1" t="s">
        <v>5317</v>
      </c>
      <c r="E683" s="2" t="s">
        <v>5295</v>
      </c>
      <c r="F683" s="13" t="s">
        <v>3183</v>
      </c>
      <c r="G683" s="13" t="s">
        <v>3183</v>
      </c>
      <c r="H683" s="13" t="s">
        <v>3166</v>
      </c>
      <c r="I683" s="13" t="s">
        <v>3527</v>
      </c>
      <c r="J683" s="13" t="s">
        <v>3528</v>
      </c>
      <c r="K683" s="13" t="s">
        <v>3153</v>
      </c>
      <c r="L683" s="13" t="s">
        <v>3179</v>
      </c>
      <c r="M683" s="13" t="s">
        <v>3342</v>
      </c>
      <c r="N683" s="13" t="s">
        <v>3162</v>
      </c>
      <c r="O683" s="13" t="s">
        <v>3529</v>
      </c>
      <c r="P683" s="13">
        <v>1.0</v>
      </c>
      <c r="Q683" s="13" t="s">
        <v>3177</v>
      </c>
      <c r="R683" s="13" t="s">
        <v>3530</v>
      </c>
      <c r="S683" s="13" t="s">
        <v>3529</v>
      </c>
      <c r="T683" s="13" t="s">
        <v>3225</v>
      </c>
      <c r="U683" s="13" t="s">
        <v>3164</v>
      </c>
      <c r="V683" s="13" t="s">
        <v>3164</v>
      </c>
      <c r="W683" s="13" t="s">
        <v>3167</v>
      </c>
      <c r="X683" s="13" t="s">
        <v>3192</v>
      </c>
      <c r="Y683" s="13" t="s">
        <v>3187</v>
      </c>
      <c r="Z683" s="13">
        <v>1.0</v>
      </c>
      <c r="AA683" s="13" t="b">
        <v>0</v>
      </c>
      <c r="AB683" s="48"/>
      <c r="AC683" s="49"/>
    </row>
    <row r="684" ht="14.25" customHeight="1">
      <c r="A684" s="13">
        <v>23626.0</v>
      </c>
      <c r="B684" s="13" t="str">
        <f t="shared" si="7"/>
        <v>Observational</v>
      </c>
      <c r="C684" s="13" t="s">
        <v>4864</v>
      </c>
      <c r="D684" s="1" t="s">
        <v>5317</v>
      </c>
      <c r="E684" s="2" t="s">
        <v>5295</v>
      </c>
      <c r="F684" s="13" t="s">
        <v>3183</v>
      </c>
      <c r="G684" s="13" t="s">
        <v>3159</v>
      </c>
      <c r="H684" s="13" t="s">
        <v>3166</v>
      </c>
      <c r="I684" s="13" t="s">
        <v>3249</v>
      </c>
      <c r="J684" s="13" t="s">
        <v>3307</v>
      </c>
      <c r="K684" s="13" t="s">
        <v>3153</v>
      </c>
      <c r="L684" s="13" t="s">
        <v>3179</v>
      </c>
      <c r="M684" s="13" t="s">
        <v>3342</v>
      </c>
      <c r="N684" s="13" t="s">
        <v>3162</v>
      </c>
      <c r="O684" s="13" t="s">
        <v>3543</v>
      </c>
      <c r="P684" s="13">
        <v>1.0</v>
      </c>
      <c r="Q684" s="13" t="s">
        <v>3177</v>
      </c>
      <c r="R684" s="13" t="s">
        <v>3177</v>
      </c>
      <c r="S684" s="13" t="s">
        <v>33</v>
      </c>
      <c r="T684" s="13" t="s">
        <v>3178</v>
      </c>
      <c r="U684" s="13" t="s">
        <v>3164</v>
      </c>
      <c r="V684" s="13" t="s">
        <v>3228</v>
      </c>
      <c r="W684" s="13" t="s">
        <v>3167</v>
      </c>
      <c r="X684" s="13" t="s">
        <v>3170</v>
      </c>
      <c r="Y684" s="13" t="s">
        <v>3156</v>
      </c>
      <c r="Z684" s="13" t="s">
        <v>33</v>
      </c>
      <c r="AA684" s="13" t="b">
        <v>0</v>
      </c>
      <c r="AB684" s="48"/>
      <c r="AC684" s="49"/>
    </row>
    <row r="685" ht="14.25" customHeight="1">
      <c r="A685" s="13">
        <v>23654.0</v>
      </c>
      <c r="B685" s="13" t="str">
        <f t="shared" si="7"/>
        <v>Observational</v>
      </c>
      <c r="C685" s="13" t="s">
        <v>4864</v>
      </c>
      <c r="D685" s="1" t="s">
        <v>5317</v>
      </c>
      <c r="E685" s="2" t="s">
        <v>5295</v>
      </c>
      <c r="F685" s="13" t="s">
        <v>3183</v>
      </c>
      <c r="G685" s="13" t="s">
        <v>3287</v>
      </c>
      <c r="H685" s="13" t="s">
        <v>3166</v>
      </c>
      <c r="I685" s="13" t="s">
        <v>3392</v>
      </c>
      <c r="J685" s="13" t="s">
        <v>3556</v>
      </c>
      <c r="K685" s="13" t="s">
        <v>3153</v>
      </c>
      <c r="L685" s="13" t="s">
        <v>3179</v>
      </c>
      <c r="M685" s="13" t="s">
        <v>3342</v>
      </c>
      <c r="N685" s="13" t="s">
        <v>3162</v>
      </c>
      <c r="O685" s="13" t="s">
        <v>3557</v>
      </c>
      <c r="P685" s="13">
        <v>1.0</v>
      </c>
      <c r="Q685" s="13" t="s">
        <v>3177</v>
      </c>
      <c r="R685" s="13" t="s">
        <v>3260</v>
      </c>
      <c r="S685" s="13" t="s">
        <v>33</v>
      </c>
      <c r="T685" s="13" t="s">
        <v>3225</v>
      </c>
      <c r="U685" s="13" t="s">
        <v>3164</v>
      </c>
      <c r="V685" s="13" t="s">
        <v>3164</v>
      </c>
      <c r="W685" s="13" t="s">
        <v>3167</v>
      </c>
      <c r="X685" s="13" t="s">
        <v>3211</v>
      </c>
      <c r="Y685" s="13" t="s">
        <v>3180</v>
      </c>
      <c r="Z685" s="13">
        <v>5.0</v>
      </c>
      <c r="AA685" s="13" t="b">
        <v>0</v>
      </c>
      <c r="AB685" s="48"/>
      <c r="AC685" s="49"/>
    </row>
    <row r="686" ht="14.25" customHeight="1">
      <c r="A686" s="13">
        <v>23730.0</v>
      </c>
      <c r="B686" s="13" t="str">
        <f t="shared" si="7"/>
        <v>Observational</v>
      </c>
      <c r="C686" s="13" t="s">
        <v>4864</v>
      </c>
      <c r="D686" s="1" t="s">
        <v>5317</v>
      </c>
      <c r="E686" s="2" t="s">
        <v>5295</v>
      </c>
      <c r="F686" s="13" t="s">
        <v>3159</v>
      </c>
      <c r="G686" s="13" t="s">
        <v>3159</v>
      </c>
      <c r="H686" s="13" t="s">
        <v>3166</v>
      </c>
      <c r="I686" s="13" t="s">
        <v>3533</v>
      </c>
      <c r="J686" s="13" t="s">
        <v>3289</v>
      </c>
      <c r="K686" s="13" t="s">
        <v>3153</v>
      </c>
      <c r="L686" s="13" t="s">
        <v>3179</v>
      </c>
      <c r="M686" s="13" t="s">
        <v>3342</v>
      </c>
      <c r="N686" s="13" t="s">
        <v>3162</v>
      </c>
      <c r="O686" s="13" t="s">
        <v>33</v>
      </c>
      <c r="P686" s="13">
        <v>1.0</v>
      </c>
      <c r="Q686" s="13" t="s">
        <v>3160</v>
      </c>
      <c r="R686" s="13" t="s">
        <v>3163</v>
      </c>
      <c r="S686" s="13" t="s">
        <v>33</v>
      </c>
      <c r="T686" s="13" t="s">
        <v>3178</v>
      </c>
      <c r="U686" s="13" t="s">
        <v>3164</v>
      </c>
      <c r="V686" s="13" t="s">
        <v>3164</v>
      </c>
      <c r="W686" s="13" t="s">
        <v>3167</v>
      </c>
      <c r="X686" s="13" t="s">
        <v>3170</v>
      </c>
      <c r="Y686" s="13" t="s">
        <v>3187</v>
      </c>
      <c r="Z686" s="13">
        <v>1.0</v>
      </c>
      <c r="AA686" s="13" t="b">
        <v>0</v>
      </c>
      <c r="AB686" s="48"/>
      <c r="AC686" s="49"/>
    </row>
    <row r="687" ht="14.25" customHeight="1">
      <c r="A687" s="13">
        <v>23737.0</v>
      </c>
      <c r="B687" s="13" t="str">
        <f t="shared" si="7"/>
        <v>Observational</v>
      </c>
      <c r="C687" s="13" t="s">
        <v>4864</v>
      </c>
      <c r="D687" s="1" t="s">
        <v>5317</v>
      </c>
      <c r="E687" s="2" t="s">
        <v>5295</v>
      </c>
      <c r="F687" s="13" t="s">
        <v>3290</v>
      </c>
      <c r="G687" s="13" t="s">
        <v>3437</v>
      </c>
      <c r="H687" s="13" t="s">
        <v>3166</v>
      </c>
      <c r="I687" s="13" t="s">
        <v>3261</v>
      </c>
      <c r="J687" s="13" t="s">
        <v>3240</v>
      </c>
      <c r="K687" s="13" t="s">
        <v>3153</v>
      </c>
      <c r="L687" s="13" t="s">
        <v>3179</v>
      </c>
      <c r="M687" s="13" t="s">
        <v>3342</v>
      </c>
      <c r="N687" s="13" t="s">
        <v>3162</v>
      </c>
      <c r="O687" s="13" t="s">
        <v>33</v>
      </c>
      <c r="P687" s="13">
        <v>1.0</v>
      </c>
      <c r="Q687" s="13" t="s">
        <v>3177</v>
      </c>
      <c r="R687" s="13" t="s">
        <v>3177</v>
      </c>
      <c r="S687" s="13" t="s">
        <v>33</v>
      </c>
      <c r="T687" s="13" t="s">
        <v>3597</v>
      </c>
      <c r="U687" s="13" t="s">
        <v>3164</v>
      </c>
      <c r="V687" s="13" t="s">
        <v>3247</v>
      </c>
      <c r="W687" s="13" t="s">
        <v>3167</v>
      </c>
      <c r="X687" s="13" t="s">
        <v>3170</v>
      </c>
      <c r="Y687" s="13" t="s">
        <v>3187</v>
      </c>
      <c r="Z687" s="13">
        <v>1.0</v>
      </c>
      <c r="AA687" s="13" t="b">
        <v>0</v>
      </c>
      <c r="AB687" s="48"/>
      <c r="AC687" s="49"/>
    </row>
    <row r="688" ht="14.25" customHeight="1">
      <c r="A688" s="13">
        <v>23779.0</v>
      </c>
      <c r="B688" s="13" t="str">
        <f t="shared" si="7"/>
        <v>Observational</v>
      </c>
      <c r="C688" s="13" t="s">
        <v>4864</v>
      </c>
      <c r="D688" s="1" t="s">
        <v>5317</v>
      </c>
      <c r="E688" s="2" t="s">
        <v>5295</v>
      </c>
      <c r="F688" s="13" t="s">
        <v>3183</v>
      </c>
      <c r="G688" s="13" t="s">
        <v>3183</v>
      </c>
      <c r="H688" s="13" t="s">
        <v>3166</v>
      </c>
      <c r="I688" s="13" t="s">
        <v>3167</v>
      </c>
      <c r="J688" s="13" t="s">
        <v>3167</v>
      </c>
      <c r="K688" s="13" t="s">
        <v>3153</v>
      </c>
      <c r="L688" s="13" t="s">
        <v>3179</v>
      </c>
      <c r="M688" s="13" t="s">
        <v>3342</v>
      </c>
      <c r="N688" s="13" t="s">
        <v>3162</v>
      </c>
      <c r="O688" s="13" t="s">
        <v>3613</v>
      </c>
      <c r="P688" s="13">
        <v>1.0</v>
      </c>
      <c r="Q688" s="13" t="s">
        <v>3177</v>
      </c>
      <c r="R688" s="13" t="s">
        <v>3177</v>
      </c>
      <c r="S688" s="13" t="s">
        <v>3397</v>
      </c>
      <c r="T688" s="13" t="s">
        <v>3225</v>
      </c>
      <c r="U688" s="13" t="s">
        <v>3232</v>
      </c>
      <c r="V688" s="13" t="s">
        <v>3232</v>
      </c>
      <c r="W688" s="13" t="s">
        <v>3167</v>
      </c>
      <c r="X688" s="13" t="s">
        <v>3217</v>
      </c>
      <c r="Y688" s="13" t="s">
        <v>33</v>
      </c>
      <c r="Z688" s="13" t="s">
        <v>33</v>
      </c>
      <c r="AA688" s="13" t="b">
        <v>0</v>
      </c>
      <c r="AB688" s="48"/>
      <c r="AC688" s="49"/>
    </row>
    <row r="689" ht="14.25" customHeight="1">
      <c r="A689" s="13">
        <v>23785.0</v>
      </c>
      <c r="B689" s="13" t="str">
        <f t="shared" si="7"/>
        <v>Observational</v>
      </c>
      <c r="C689" s="13" t="s">
        <v>4864</v>
      </c>
      <c r="D689" s="1" t="s">
        <v>5317</v>
      </c>
      <c r="E689" s="2" t="s">
        <v>5295</v>
      </c>
      <c r="F689" s="13" t="s">
        <v>3159</v>
      </c>
      <c r="G689" s="13" t="s">
        <v>3159</v>
      </c>
      <c r="H689" s="13" t="s">
        <v>3166</v>
      </c>
      <c r="I689" s="13" t="s">
        <v>3261</v>
      </c>
      <c r="J689" s="13" t="s">
        <v>3199</v>
      </c>
      <c r="K689" s="13" t="s">
        <v>3153</v>
      </c>
      <c r="L689" s="13" t="s">
        <v>3179</v>
      </c>
      <c r="M689" s="13" t="s">
        <v>3342</v>
      </c>
      <c r="N689" s="13" t="s">
        <v>3162</v>
      </c>
      <c r="O689" s="13" t="s">
        <v>33</v>
      </c>
      <c r="P689" s="13">
        <v>1.0</v>
      </c>
      <c r="Q689" s="13" t="s">
        <v>3160</v>
      </c>
      <c r="R689" s="13" t="s">
        <v>3163</v>
      </c>
      <c r="S689" s="13" t="s">
        <v>33</v>
      </c>
      <c r="T689" s="13" t="s">
        <v>3168</v>
      </c>
      <c r="U689" s="13" t="s">
        <v>3232</v>
      </c>
      <c r="V689" s="13" t="s">
        <v>3232</v>
      </c>
      <c r="W689" s="13" t="s">
        <v>3167</v>
      </c>
      <c r="X689" s="13" t="s">
        <v>3170</v>
      </c>
      <c r="Y689" s="13" t="s">
        <v>33</v>
      </c>
      <c r="Z689" s="13" t="s">
        <v>33</v>
      </c>
      <c r="AA689" s="13" t="b">
        <v>0</v>
      </c>
      <c r="AB689" s="48"/>
      <c r="AC689" s="49"/>
    </row>
    <row r="690" ht="14.25" customHeight="1">
      <c r="A690" s="13">
        <v>23804.0</v>
      </c>
      <c r="B690" s="13" t="str">
        <f t="shared" si="7"/>
        <v>Observational</v>
      </c>
      <c r="C690" s="13" t="s">
        <v>4864</v>
      </c>
      <c r="D690" s="1" t="s">
        <v>5317</v>
      </c>
      <c r="E690" s="2" t="s">
        <v>5295</v>
      </c>
      <c r="F690" s="13" t="s">
        <v>3381</v>
      </c>
      <c r="G690" s="13" t="s">
        <v>3628</v>
      </c>
      <c r="H690" s="13" t="s">
        <v>3166</v>
      </c>
      <c r="I690" s="13" t="s">
        <v>3181</v>
      </c>
      <c r="J690" s="13" t="s">
        <v>3182</v>
      </c>
      <c r="K690" s="13" t="s">
        <v>3153</v>
      </c>
      <c r="L690" s="13" t="s">
        <v>3179</v>
      </c>
      <c r="M690" s="13" t="s">
        <v>3342</v>
      </c>
      <c r="N690" s="13" t="s">
        <v>3162</v>
      </c>
      <c r="O690" s="13" t="s">
        <v>3627</v>
      </c>
      <c r="P690" s="13">
        <v>1.0</v>
      </c>
      <c r="Q690" s="13" t="s">
        <v>3177</v>
      </c>
      <c r="R690" s="13" t="s">
        <v>3163</v>
      </c>
      <c r="S690" s="13" t="s">
        <v>33</v>
      </c>
      <c r="T690" s="13" t="s">
        <v>3216</v>
      </c>
      <c r="U690" s="13" t="s">
        <v>3164</v>
      </c>
      <c r="V690" s="13" t="s">
        <v>3164</v>
      </c>
      <c r="W690" s="13" t="s">
        <v>3167</v>
      </c>
      <c r="X690" s="13" t="s">
        <v>3192</v>
      </c>
      <c r="Y690" s="13" t="s">
        <v>3180</v>
      </c>
      <c r="Z690" s="13">
        <v>0.5</v>
      </c>
      <c r="AA690" s="13" t="b">
        <v>0</v>
      </c>
      <c r="AB690" s="48"/>
      <c r="AC690" s="49"/>
    </row>
    <row r="691" ht="14.25" customHeight="1">
      <c r="A691" s="13">
        <v>23825.0</v>
      </c>
      <c r="B691" s="13" t="str">
        <f t="shared" si="7"/>
        <v>Observational</v>
      </c>
      <c r="C691" s="13" t="s">
        <v>4852</v>
      </c>
      <c r="D691" s="1" t="s">
        <v>5317</v>
      </c>
      <c r="E691" s="2" t="s">
        <v>5295</v>
      </c>
      <c r="F691" s="13" t="s">
        <v>3159</v>
      </c>
      <c r="G691" s="13" t="s">
        <v>3159</v>
      </c>
      <c r="H691" s="13" t="s">
        <v>3166</v>
      </c>
      <c r="I691" s="13" t="s">
        <v>3188</v>
      </c>
      <c r="J691" s="13" t="s">
        <v>3554</v>
      </c>
      <c r="K691" s="13" t="s">
        <v>3153</v>
      </c>
      <c r="L691" s="13" t="s">
        <v>3154</v>
      </c>
      <c r="M691" s="13" t="s">
        <v>3342</v>
      </c>
      <c r="N691" s="13" t="s">
        <v>3162</v>
      </c>
      <c r="O691" s="13" t="s">
        <v>3167</v>
      </c>
      <c r="P691" s="13">
        <v>1.0</v>
      </c>
      <c r="Q691" s="13" t="s">
        <v>3160</v>
      </c>
      <c r="R691" s="13" t="s">
        <v>3231</v>
      </c>
      <c r="S691" s="13" t="s">
        <v>33</v>
      </c>
      <c r="T691" s="13" t="s">
        <v>3225</v>
      </c>
      <c r="U691" s="13" t="s">
        <v>3232</v>
      </c>
      <c r="V691" s="13" t="s">
        <v>3232</v>
      </c>
      <c r="W691" s="13" t="s">
        <v>3167</v>
      </c>
      <c r="X691" s="13" t="s">
        <v>3170</v>
      </c>
      <c r="Y691" s="13" t="s">
        <v>3156</v>
      </c>
      <c r="Z691" s="13" t="s">
        <v>3167</v>
      </c>
      <c r="AA691" s="13" t="b">
        <v>0</v>
      </c>
      <c r="AB691" s="48"/>
      <c r="AC691" s="49"/>
    </row>
    <row r="692" ht="14.25" customHeight="1">
      <c r="A692" s="13">
        <v>23836.0</v>
      </c>
      <c r="B692" s="13" t="str">
        <f t="shared" si="7"/>
        <v>Observational</v>
      </c>
      <c r="C692" s="13" t="s">
        <v>4864</v>
      </c>
      <c r="D692" s="1" t="s">
        <v>5317</v>
      </c>
      <c r="E692" s="2" t="s">
        <v>5295</v>
      </c>
      <c r="F692" s="13" t="s">
        <v>3173</v>
      </c>
      <c r="G692" s="13" t="s">
        <v>3173</v>
      </c>
      <c r="H692" s="13" t="s">
        <v>3166</v>
      </c>
      <c r="I692" s="13" t="s">
        <v>3181</v>
      </c>
      <c r="J692" s="13" t="s">
        <v>3182</v>
      </c>
      <c r="K692" s="13" t="s">
        <v>3153</v>
      </c>
      <c r="L692" s="13" t="s">
        <v>3179</v>
      </c>
      <c r="M692" s="13" t="s">
        <v>3342</v>
      </c>
      <c r="N692" s="13" t="s">
        <v>3162</v>
      </c>
      <c r="O692" s="13" t="s">
        <v>33</v>
      </c>
      <c r="P692" s="13">
        <v>1.0</v>
      </c>
      <c r="Q692" s="13" t="s">
        <v>3160</v>
      </c>
      <c r="R692" s="13" t="s">
        <v>3163</v>
      </c>
      <c r="S692" s="13" t="s">
        <v>33</v>
      </c>
      <c r="T692" s="13" t="s">
        <v>3636</v>
      </c>
      <c r="U692" s="13" t="s">
        <v>3247</v>
      </c>
      <c r="V692" s="13" t="s">
        <v>3247</v>
      </c>
      <c r="W692" s="13" t="s">
        <v>3167</v>
      </c>
      <c r="X692" s="13" t="s">
        <v>3170</v>
      </c>
      <c r="Y692" s="13" t="s">
        <v>3156</v>
      </c>
      <c r="Z692" s="13" t="s">
        <v>33</v>
      </c>
      <c r="AA692" s="13" t="b">
        <v>0</v>
      </c>
      <c r="AB692" s="48"/>
      <c r="AC692" s="49"/>
    </row>
    <row r="693" ht="14.25" customHeight="1">
      <c r="A693" s="13">
        <v>23879.0</v>
      </c>
      <c r="B693" s="13" t="str">
        <f t="shared" si="7"/>
        <v>Observational</v>
      </c>
      <c r="C693" s="13" t="s">
        <v>4864</v>
      </c>
      <c r="D693" s="1" t="s">
        <v>5317</v>
      </c>
      <c r="E693" s="2" t="s">
        <v>5295</v>
      </c>
      <c r="F693" s="13" t="s">
        <v>3159</v>
      </c>
      <c r="G693" s="13" t="s">
        <v>3159</v>
      </c>
      <c r="H693" s="13" t="s">
        <v>3166</v>
      </c>
      <c r="I693" s="13" t="s">
        <v>3666</v>
      </c>
      <c r="J693" s="13" t="s">
        <v>3289</v>
      </c>
      <c r="K693" s="13" t="s">
        <v>3153</v>
      </c>
      <c r="L693" s="13" t="s">
        <v>3179</v>
      </c>
      <c r="M693" s="13" t="s">
        <v>3342</v>
      </c>
      <c r="N693" s="13" t="s">
        <v>3162</v>
      </c>
      <c r="O693" s="13" t="s">
        <v>33</v>
      </c>
      <c r="P693" s="13">
        <v>1.0</v>
      </c>
      <c r="Q693" s="13" t="s">
        <v>3160</v>
      </c>
      <c r="R693" s="13" t="s">
        <v>3163</v>
      </c>
      <c r="S693" s="13" t="s">
        <v>33</v>
      </c>
      <c r="T693" s="13" t="s">
        <v>3225</v>
      </c>
      <c r="U693" s="13" t="s">
        <v>3232</v>
      </c>
      <c r="V693" s="13" t="s">
        <v>3232</v>
      </c>
      <c r="W693" s="13" t="s">
        <v>3167</v>
      </c>
      <c r="X693" s="13" t="s">
        <v>3192</v>
      </c>
      <c r="Y693" s="13" t="s">
        <v>3156</v>
      </c>
      <c r="Z693" s="13" t="s">
        <v>33</v>
      </c>
      <c r="AA693" s="13" t="b">
        <v>0</v>
      </c>
      <c r="AB693" s="48"/>
      <c r="AC693" s="49"/>
    </row>
    <row r="694" ht="14.25" customHeight="1">
      <c r="A694" s="13">
        <v>23932.0</v>
      </c>
      <c r="B694" s="13" t="str">
        <f t="shared" si="7"/>
        <v>Observational</v>
      </c>
      <c r="C694" s="13" t="s">
        <v>4864</v>
      </c>
      <c r="D694" s="1" t="s">
        <v>5317</v>
      </c>
      <c r="E694" s="2" t="s">
        <v>5295</v>
      </c>
      <c r="F694" s="13" t="s">
        <v>3282</v>
      </c>
      <c r="G694" s="13" t="s">
        <v>3159</v>
      </c>
      <c r="H694" s="13" t="s">
        <v>3166</v>
      </c>
      <c r="I694" s="13" t="s">
        <v>3261</v>
      </c>
      <c r="J694" s="13" t="s">
        <v>3240</v>
      </c>
      <c r="K694" s="13" t="s">
        <v>3153</v>
      </c>
      <c r="L694" s="13" t="s">
        <v>3179</v>
      </c>
      <c r="M694" s="13" t="s">
        <v>3342</v>
      </c>
      <c r="N694" s="13" t="s">
        <v>3162</v>
      </c>
      <c r="O694" s="13" t="s">
        <v>3691</v>
      </c>
      <c r="P694" s="13">
        <v>1.0</v>
      </c>
      <c r="Q694" s="13" t="s">
        <v>3177</v>
      </c>
      <c r="R694" s="13" t="s">
        <v>3177</v>
      </c>
      <c r="S694" s="13" t="s">
        <v>33</v>
      </c>
      <c r="T694" s="13" t="s">
        <v>3632</v>
      </c>
      <c r="U694" s="13" t="s">
        <v>3247</v>
      </c>
      <c r="V694" s="13" t="s">
        <v>3247</v>
      </c>
      <c r="W694" s="13" t="s">
        <v>3167</v>
      </c>
      <c r="X694" s="13" t="s">
        <v>3192</v>
      </c>
      <c r="Y694" s="13" t="s">
        <v>3180</v>
      </c>
      <c r="Z694" s="13">
        <v>0.03</v>
      </c>
      <c r="AA694" s="13" t="b">
        <v>0</v>
      </c>
      <c r="AB694" s="48"/>
      <c r="AC694" s="49"/>
    </row>
    <row r="695" ht="14.25" customHeight="1">
      <c r="A695" s="13">
        <v>23991.0</v>
      </c>
      <c r="B695" s="13" t="str">
        <f t="shared" si="7"/>
        <v>Observational</v>
      </c>
      <c r="C695" s="13" t="s">
        <v>4864</v>
      </c>
      <c r="D695" s="1" t="s">
        <v>5317</v>
      </c>
      <c r="E695" s="2" t="s">
        <v>5295</v>
      </c>
      <c r="F695" s="13" t="s">
        <v>3159</v>
      </c>
      <c r="G695" s="13" t="s">
        <v>3159</v>
      </c>
      <c r="H695" s="13" t="s">
        <v>3166</v>
      </c>
      <c r="I695" s="13" t="s">
        <v>3249</v>
      </c>
      <c r="J695" s="13" t="s">
        <v>3199</v>
      </c>
      <c r="K695" s="13" t="s">
        <v>3153</v>
      </c>
      <c r="L695" s="13" t="s">
        <v>3179</v>
      </c>
      <c r="M695" s="13" t="s">
        <v>3342</v>
      </c>
      <c r="N695" s="13" t="s">
        <v>3162</v>
      </c>
      <c r="O695" s="13" t="s">
        <v>33</v>
      </c>
      <c r="P695" s="13">
        <v>1.0</v>
      </c>
      <c r="Q695" s="13" t="s">
        <v>3177</v>
      </c>
      <c r="R695" s="13" t="s">
        <v>3163</v>
      </c>
      <c r="S695" s="13" t="s">
        <v>33</v>
      </c>
      <c r="T695" s="13" t="s">
        <v>3224</v>
      </c>
      <c r="U695" s="13" t="s">
        <v>3232</v>
      </c>
      <c r="V695" s="13" t="s">
        <v>3232</v>
      </c>
      <c r="W695" s="13" t="s">
        <v>3167</v>
      </c>
      <c r="X695" s="13" t="s">
        <v>3192</v>
      </c>
      <c r="Y695" s="13" t="s">
        <v>3156</v>
      </c>
      <c r="Z695" s="13" t="s">
        <v>33</v>
      </c>
      <c r="AA695" s="13" t="b">
        <v>0</v>
      </c>
      <c r="AB695" s="48"/>
      <c r="AC695" s="49"/>
    </row>
    <row r="696" ht="14.25" customHeight="1">
      <c r="A696" s="13">
        <v>23993.0</v>
      </c>
      <c r="B696" s="13" t="str">
        <f t="shared" si="7"/>
        <v>Observational</v>
      </c>
      <c r="C696" s="13" t="s">
        <v>4864</v>
      </c>
      <c r="D696" s="1" t="s">
        <v>5317</v>
      </c>
      <c r="E696" s="2" t="s">
        <v>5295</v>
      </c>
      <c r="F696" s="13" t="s">
        <v>3159</v>
      </c>
      <c r="G696" s="13" t="s">
        <v>3159</v>
      </c>
      <c r="H696" s="13" t="s">
        <v>3166</v>
      </c>
      <c r="I696" s="13" t="s">
        <v>3249</v>
      </c>
      <c r="J696" s="13" t="s">
        <v>3199</v>
      </c>
      <c r="K696" s="13" t="s">
        <v>3153</v>
      </c>
      <c r="L696" s="13" t="s">
        <v>3179</v>
      </c>
      <c r="M696" s="13" t="s">
        <v>3342</v>
      </c>
      <c r="N696" s="13" t="s">
        <v>3162</v>
      </c>
      <c r="O696" s="13" t="s">
        <v>33</v>
      </c>
      <c r="P696" s="13">
        <v>1.0</v>
      </c>
      <c r="Q696" s="13" t="s">
        <v>3177</v>
      </c>
      <c r="R696" s="13" t="s">
        <v>3177</v>
      </c>
      <c r="S696" s="13" t="s">
        <v>33</v>
      </c>
      <c r="T696" s="13" t="s">
        <v>3225</v>
      </c>
      <c r="U696" s="13" t="s">
        <v>3232</v>
      </c>
      <c r="V696" s="13" t="s">
        <v>3232</v>
      </c>
      <c r="W696" s="13" t="s">
        <v>3167</v>
      </c>
      <c r="X696" s="13" t="s">
        <v>3170</v>
      </c>
      <c r="Y696" s="13" t="s">
        <v>3187</v>
      </c>
      <c r="Z696" s="13">
        <v>1.0</v>
      </c>
      <c r="AA696" s="13" t="b">
        <v>0</v>
      </c>
      <c r="AB696" s="48"/>
      <c r="AC696" s="49"/>
    </row>
    <row r="697" ht="14.25" customHeight="1">
      <c r="A697" s="13">
        <v>24013.0</v>
      </c>
      <c r="B697" s="13" t="str">
        <f t="shared" si="7"/>
        <v>Observational</v>
      </c>
      <c r="C697" s="13" t="s">
        <v>4864</v>
      </c>
      <c r="D697" s="1" t="s">
        <v>5317</v>
      </c>
      <c r="E697" s="2" t="s">
        <v>5295</v>
      </c>
      <c r="F697" s="13" t="s">
        <v>3186</v>
      </c>
      <c r="G697" s="13" t="s">
        <v>3159</v>
      </c>
      <c r="H697" s="13" t="s">
        <v>3166</v>
      </c>
      <c r="I697" s="13" t="s">
        <v>3249</v>
      </c>
      <c r="J697" s="13" t="s">
        <v>3725</v>
      </c>
      <c r="K697" s="13" t="s">
        <v>3153</v>
      </c>
      <c r="L697" s="13" t="s">
        <v>3179</v>
      </c>
      <c r="M697" s="13" t="s">
        <v>3342</v>
      </c>
      <c r="N697" s="13" t="s">
        <v>3162</v>
      </c>
      <c r="O697" s="13" t="s">
        <v>33</v>
      </c>
      <c r="P697" s="13">
        <v>1.0</v>
      </c>
      <c r="Q697" s="13" t="s">
        <v>3177</v>
      </c>
      <c r="R697" s="13" t="s">
        <v>3177</v>
      </c>
      <c r="S697" s="13" t="s">
        <v>33</v>
      </c>
      <c r="T697" s="13" t="s">
        <v>3224</v>
      </c>
      <c r="U697" s="13" t="s">
        <v>3164</v>
      </c>
      <c r="V697" s="13" t="s">
        <v>3164</v>
      </c>
      <c r="W697" s="13" t="s">
        <v>3167</v>
      </c>
      <c r="X697" s="13" t="s">
        <v>3211</v>
      </c>
      <c r="Y697" s="13" t="s">
        <v>3180</v>
      </c>
      <c r="Z697" s="13">
        <v>0.1</v>
      </c>
      <c r="AA697" s="13" t="b">
        <v>0</v>
      </c>
      <c r="AB697" s="48"/>
      <c r="AC697" s="49"/>
    </row>
    <row r="698" ht="14.25" customHeight="1">
      <c r="A698" s="13">
        <v>24060.0</v>
      </c>
      <c r="B698" s="13" t="str">
        <f t="shared" si="7"/>
        <v>Observational</v>
      </c>
      <c r="C698" s="13" t="s">
        <v>4864</v>
      </c>
      <c r="D698" s="1" t="s">
        <v>5317</v>
      </c>
      <c r="E698" s="2" t="s">
        <v>5295</v>
      </c>
      <c r="F698" s="13" t="s">
        <v>3159</v>
      </c>
      <c r="G698" s="13" t="s">
        <v>3159</v>
      </c>
      <c r="H698" s="13" t="s">
        <v>3166</v>
      </c>
      <c r="I698" s="13" t="s">
        <v>3181</v>
      </c>
      <c r="J698" s="13" t="s">
        <v>3362</v>
      </c>
      <c r="K698" s="13" t="s">
        <v>3153</v>
      </c>
      <c r="L698" s="13" t="s">
        <v>3179</v>
      </c>
      <c r="M698" s="13" t="s">
        <v>3342</v>
      </c>
      <c r="N698" s="13" t="s">
        <v>3162</v>
      </c>
      <c r="O698" s="13" t="s">
        <v>33</v>
      </c>
      <c r="P698" s="13">
        <v>1.0</v>
      </c>
      <c r="Q698" s="13" t="s">
        <v>3177</v>
      </c>
      <c r="R698" s="13" t="s">
        <v>3163</v>
      </c>
      <c r="S698" s="13" t="s">
        <v>33</v>
      </c>
      <c r="T698" s="13" t="s">
        <v>3738</v>
      </c>
      <c r="U698" s="13" t="s">
        <v>3164</v>
      </c>
      <c r="V698" s="13" t="s">
        <v>3197</v>
      </c>
      <c r="W698" s="13" t="s">
        <v>3167</v>
      </c>
      <c r="X698" s="13" t="s">
        <v>3170</v>
      </c>
      <c r="Y698" s="13" t="s">
        <v>3180</v>
      </c>
      <c r="Z698" s="13">
        <v>0.03</v>
      </c>
      <c r="AA698" s="13" t="b">
        <v>0</v>
      </c>
      <c r="AB698" s="48"/>
      <c r="AC698" s="49"/>
    </row>
    <row r="699" ht="14.25" customHeight="1">
      <c r="A699" s="13">
        <v>24087.0</v>
      </c>
      <c r="B699" s="13" t="str">
        <f t="shared" si="7"/>
        <v>Observational</v>
      </c>
      <c r="C699" s="13" t="s">
        <v>4864</v>
      </c>
      <c r="D699" s="1" t="s">
        <v>5317</v>
      </c>
      <c r="E699" s="2" t="s">
        <v>5295</v>
      </c>
      <c r="F699" s="13" t="s">
        <v>3186</v>
      </c>
      <c r="G699" s="13" t="s">
        <v>3208</v>
      </c>
      <c r="H699" s="13" t="s">
        <v>3166</v>
      </c>
      <c r="I699" s="13" t="s">
        <v>3264</v>
      </c>
      <c r="J699" s="13" t="s">
        <v>3204</v>
      </c>
      <c r="K699" s="13" t="s">
        <v>3153</v>
      </c>
      <c r="L699" s="13" t="s">
        <v>3179</v>
      </c>
      <c r="M699" s="13" t="s">
        <v>3342</v>
      </c>
      <c r="N699" s="13" t="s">
        <v>3162</v>
      </c>
      <c r="O699" s="13" t="s">
        <v>33</v>
      </c>
      <c r="P699" s="13">
        <v>1.0</v>
      </c>
      <c r="Q699" s="13" t="s">
        <v>3160</v>
      </c>
      <c r="R699" s="13" t="s">
        <v>3163</v>
      </c>
      <c r="S699" s="13" t="s">
        <v>33</v>
      </c>
      <c r="T699" s="13" t="s">
        <v>3178</v>
      </c>
      <c r="U699" s="13" t="s">
        <v>3164</v>
      </c>
      <c r="V699" s="13" t="s">
        <v>3164</v>
      </c>
      <c r="W699" s="13" t="s">
        <v>3167</v>
      </c>
      <c r="X699" s="13" t="s">
        <v>3192</v>
      </c>
      <c r="Y699" s="13" t="s">
        <v>33</v>
      </c>
      <c r="Z699" s="13" t="s">
        <v>33</v>
      </c>
      <c r="AA699" s="13" t="b">
        <v>0</v>
      </c>
      <c r="AB699" s="48"/>
      <c r="AC699" s="49"/>
    </row>
    <row r="700" ht="14.25" customHeight="1">
      <c r="A700" s="13">
        <v>24129.0</v>
      </c>
      <c r="B700" s="13" t="str">
        <f t="shared" si="7"/>
        <v>Observational</v>
      </c>
      <c r="C700" s="13" t="s">
        <v>4864</v>
      </c>
      <c r="D700" s="1" t="s">
        <v>5317</v>
      </c>
      <c r="E700" s="2" t="s">
        <v>5295</v>
      </c>
      <c r="F700" s="13" t="s">
        <v>3159</v>
      </c>
      <c r="G700" s="13" t="s">
        <v>3159</v>
      </c>
      <c r="H700" s="13" t="s">
        <v>3166</v>
      </c>
      <c r="I700" s="13" t="s">
        <v>3264</v>
      </c>
      <c r="J700" s="13" t="s">
        <v>3425</v>
      </c>
      <c r="K700" s="13" t="s">
        <v>3153</v>
      </c>
      <c r="L700" s="13" t="s">
        <v>3179</v>
      </c>
      <c r="M700" s="13" t="s">
        <v>3342</v>
      </c>
      <c r="N700" s="13" t="s">
        <v>3162</v>
      </c>
      <c r="O700" s="13" t="s">
        <v>33</v>
      </c>
      <c r="P700" s="13">
        <v>1.0</v>
      </c>
      <c r="Q700" s="13" t="s">
        <v>3177</v>
      </c>
      <c r="R700" s="13" t="s">
        <v>3177</v>
      </c>
      <c r="S700" s="13" t="s">
        <v>33</v>
      </c>
      <c r="T700" s="13" t="s">
        <v>3255</v>
      </c>
      <c r="U700" s="13" t="s">
        <v>3164</v>
      </c>
      <c r="V700" s="13" t="s">
        <v>3164</v>
      </c>
      <c r="W700" s="13" t="s">
        <v>3167</v>
      </c>
      <c r="X700" s="13" t="s">
        <v>3170</v>
      </c>
      <c r="Y700" s="13" t="s">
        <v>3156</v>
      </c>
      <c r="Z700" s="13" t="s">
        <v>33</v>
      </c>
      <c r="AA700" s="13" t="b">
        <v>0</v>
      </c>
      <c r="AB700" s="48"/>
      <c r="AC700" s="49"/>
    </row>
    <row r="701" ht="14.25" customHeight="1">
      <c r="A701" s="13">
        <v>24140.0</v>
      </c>
      <c r="B701" s="13" t="str">
        <f t="shared" si="7"/>
        <v>Observational</v>
      </c>
      <c r="C701" s="13" t="s">
        <v>4864</v>
      </c>
      <c r="D701" s="1" t="s">
        <v>5317</v>
      </c>
      <c r="E701" s="2" t="s">
        <v>5295</v>
      </c>
      <c r="F701" s="13" t="s">
        <v>3183</v>
      </c>
      <c r="G701" s="13" t="s">
        <v>3183</v>
      </c>
      <c r="H701" s="13" t="s">
        <v>3166</v>
      </c>
      <c r="I701" s="13" t="s">
        <v>3763</v>
      </c>
      <c r="J701" s="13" t="s">
        <v>3764</v>
      </c>
      <c r="K701" s="13" t="s">
        <v>3153</v>
      </c>
      <c r="L701" s="13" t="s">
        <v>3179</v>
      </c>
      <c r="M701" s="13" t="s">
        <v>3342</v>
      </c>
      <c r="N701" s="13" t="s">
        <v>3162</v>
      </c>
      <c r="O701" s="13" t="s">
        <v>33</v>
      </c>
      <c r="P701" s="13">
        <v>1.0</v>
      </c>
      <c r="Q701" s="13" t="s">
        <v>3160</v>
      </c>
      <c r="R701" s="13" t="s">
        <v>3163</v>
      </c>
      <c r="S701" s="13" t="s">
        <v>3689</v>
      </c>
      <c r="T701" s="13" t="s">
        <v>3518</v>
      </c>
      <c r="U701" s="13" t="s">
        <v>3164</v>
      </c>
      <c r="V701" s="13" t="s">
        <v>3197</v>
      </c>
      <c r="W701" s="13" t="s">
        <v>3167</v>
      </c>
      <c r="X701" s="13" t="s">
        <v>3192</v>
      </c>
      <c r="Y701" s="13" t="s">
        <v>33</v>
      </c>
      <c r="Z701" s="13" t="s">
        <v>33</v>
      </c>
      <c r="AA701" s="13" t="b">
        <v>0</v>
      </c>
      <c r="AB701" s="48"/>
      <c r="AC701" s="49"/>
    </row>
    <row r="702" ht="14.25" customHeight="1">
      <c r="A702" s="13">
        <v>24177.0</v>
      </c>
      <c r="B702" s="13" t="str">
        <f t="shared" si="7"/>
        <v>Observational</v>
      </c>
      <c r="C702" s="13" t="s">
        <v>4864</v>
      </c>
      <c r="D702" s="1" t="s">
        <v>5317</v>
      </c>
      <c r="E702" s="2" t="s">
        <v>5295</v>
      </c>
      <c r="F702" s="13" t="s">
        <v>3159</v>
      </c>
      <c r="G702" s="13" t="s">
        <v>3159</v>
      </c>
      <c r="H702" s="13" t="s">
        <v>3166</v>
      </c>
      <c r="I702" s="13" t="s">
        <v>3686</v>
      </c>
      <c r="J702" s="13" t="s">
        <v>3229</v>
      </c>
      <c r="K702" s="13" t="s">
        <v>3153</v>
      </c>
      <c r="L702" s="13" t="s">
        <v>3179</v>
      </c>
      <c r="M702" s="13" t="s">
        <v>3342</v>
      </c>
      <c r="N702" s="13" t="s">
        <v>3162</v>
      </c>
      <c r="O702" s="13" t="s">
        <v>33</v>
      </c>
      <c r="P702" s="13">
        <v>1.0</v>
      </c>
      <c r="Q702" s="13" t="s">
        <v>3177</v>
      </c>
      <c r="R702" s="13" t="s">
        <v>3177</v>
      </c>
      <c r="S702" s="13" t="s">
        <v>33</v>
      </c>
      <c r="T702" s="13" t="s">
        <v>3224</v>
      </c>
      <c r="U702" s="13" t="s">
        <v>3232</v>
      </c>
      <c r="V702" s="13" t="s">
        <v>3232</v>
      </c>
      <c r="W702" s="13" t="s">
        <v>3167</v>
      </c>
      <c r="X702" s="13" t="s">
        <v>3192</v>
      </c>
      <c r="Y702" s="13" t="s">
        <v>3187</v>
      </c>
      <c r="Z702" s="13">
        <v>10000.0</v>
      </c>
      <c r="AA702" s="13" t="b">
        <v>0</v>
      </c>
      <c r="AB702" s="48"/>
      <c r="AC702" s="49"/>
    </row>
    <row r="703" ht="14.25" customHeight="1">
      <c r="A703" s="13">
        <v>24195.0</v>
      </c>
      <c r="B703" s="13" t="str">
        <f t="shared" si="7"/>
        <v>Observational</v>
      </c>
      <c r="C703" s="13" t="s">
        <v>4864</v>
      </c>
      <c r="D703" s="1" t="s">
        <v>5317</v>
      </c>
      <c r="E703" s="2" t="s">
        <v>5295</v>
      </c>
      <c r="F703" s="13" t="s">
        <v>3208</v>
      </c>
      <c r="G703" s="13" t="s">
        <v>3183</v>
      </c>
      <c r="H703" s="13" t="s">
        <v>3166</v>
      </c>
      <c r="I703" s="13" t="s">
        <v>3261</v>
      </c>
      <c r="J703" s="13" t="s">
        <v>3570</v>
      </c>
      <c r="K703" s="13" t="s">
        <v>3153</v>
      </c>
      <c r="L703" s="13" t="s">
        <v>3179</v>
      </c>
      <c r="M703" s="13" t="s">
        <v>3342</v>
      </c>
      <c r="N703" s="13" t="s">
        <v>3162</v>
      </c>
      <c r="O703" s="13" t="s">
        <v>33</v>
      </c>
      <c r="P703" s="13">
        <v>1.0</v>
      </c>
      <c r="Q703" s="13" t="s">
        <v>3177</v>
      </c>
      <c r="R703" s="13" t="s">
        <v>3163</v>
      </c>
      <c r="S703" s="13" t="s">
        <v>3794</v>
      </c>
      <c r="T703" s="13" t="s">
        <v>3255</v>
      </c>
      <c r="U703" s="13" t="s">
        <v>3197</v>
      </c>
      <c r="V703" s="13" t="s">
        <v>3197</v>
      </c>
      <c r="W703" s="13" t="s">
        <v>3167</v>
      </c>
      <c r="X703" s="13" t="s">
        <v>3155</v>
      </c>
      <c r="Y703" s="13" t="s">
        <v>3793</v>
      </c>
      <c r="Z703" s="13">
        <v>1.0</v>
      </c>
      <c r="AA703" s="13" t="b">
        <v>0</v>
      </c>
      <c r="AB703" s="48"/>
      <c r="AC703" s="49"/>
    </row>
    <row r="704" ht="14.25" customHeight="1">
      <c r="A704" s="13">
        <v>24206.0</v>
      </c>
      <c r="B704" s="13" t="str">
        <f t="shared" si="7"/>
        <v>Observational</v>
      </c>
      <c r="C704" s="13" t="s">
        <v>4864</v>
      </c>
      <c r="D704" s="1" t="s">
        <v>5317</v>
      </c>
      <c r="E704" s="2" t="s">
        <v>5295</v>
      </c>
      <c r="F704" s="13" t="s">
        <v>3287</v>
      </c>
      <c r="G704" s="13" t="s">
        <v>3159</v>
      </c>
      <c r="H704" s="13" t="s">
        <v>3166</v>
      </c>
      <c r="I704" s="13" t="s">
        <v>3261</v>
      </c>
      <c r="J704" s="13" t="s">
        <v>3400</v>
      </c>
      <c r="K704" s="13" t="s">
        <v>3153</v>
      </c>
      <c r="L704" s="13" t="s">
        <v>3179</v>
      </c>
      <c r="M704" s="13" t="s">
        <v>3342</v>
      </c>
      <c r="N704" s="13" t="s">
        <v>3162</v>
      </c>
      <c r="O704" s="13" t="s">
        <v>33</v>
      </c>
      <c r="P704" s="13">
        <v>1.0</v>
      </c>
      <c r="Q704" s="13" t="s">
        <v>3177</v>
      </c>
      <c r="R704" s="13" t="s">
        <v>3177</v>
      </c>
      <c r="S704" s="13" t="s">
        <v>33</v>
      </c>
      <c r="T704" s="13" t="s">
        <v>3797</v>
      </c>
      <c r="U704" s="13" t="s">
        <v>3164</v>
      </c>
      <c r="V704" s="13" t="s">
        <v>3197</v>
      </c>
      <c r="W704" s="13" t="s">
        <v>3167</v>
      </c>
      <c r="X704" s="13" t="s">
        <v>3192</v>
      </c>
      <c r="Y704" s="13" t="s">
        <v>3793</v>
      </c>
      <c r="Z704" s="13">
        <v>36.0</v>
      </c>
      <c r="AA704" s="13" t="b">
        <v>0</v>
      </c>
      <c r="AB704" s="48"/>
      <c r="AC704" s="49"/>
    </row>
    <row r="705" ht="14.25" customHeight="1">
      <c r="A705" s="13" t="s">
        <v>845</v>
      </c>
      <c r="B705" s="13" t="str">
        <f t="shared" si="7"/>
        <v>Observational</v>
      </c>
      <c r="C705" s="13" t="s">
        <v>4864</v>
      </c>
      <c r="D705" s="1" t="s">
        <v>5317</v>
      </c>
      <c r="E705" s="2" t="s">
        <v>5295</v>
      </c>
      <c r="F705" s="13" t="s">
        <v>3183</v>
      </c>
      <c r="G705" s="13" t="s">
        <v>3183</v>
      </c>
      <c r="H705" s="13" t="s">
        <v>3166</v>
      </c>
      <c r="I705" s="13" t="s">
        <v>3527</v>
      </c>
      <c r="J705" s="13" t="s">
        <v>3229</v>
      </c>
      <c r="K705" s="13" t="s">
        <v>3153</v>
      </c>
      <c r="L705" s="13" t="s">
        <v>3179</v>
      </c>
      <c r="M705" s="13" t="s">
        <v>3342</v>
      </c>
      <c r="N705" s="13" t="s">
        <v>3162</v>
      </c>
      <c r="O705" s="13" t="s">
        <v>3806</v>
      </c>
      <c r="P705" s="13">
        <v>1.0</v>
      </c>
      <c r="Q705" s="13" t="s">
        <v>3177</v>
      </c>
      <c r="R705" s="13" t="s">
        <v>3177</v>
      </c>
      <c r="S705" s="13" t="s">
        <v>3806</v>
      </c>
      <c r="T705" s="13" t="s">
        <v>3168</v>
      </c>
      <c r="U705" s="13" t="s">
        <v>3197</v>
      </c>
      <c r="V705" s="13" t="s">
        <v>3197</v>
      </c>
      <c r="W705" s="13" t="s">
        <v>3167</v>
      </c>
      <c r="X705" s="13" t="s">
        <v>3192</v>
      </c>
      <c r="Y705" s="13" t="s">
        <v>3156</v>
      </c>
      <c r="Z705" s="13" t="s">
        <v>33</v>
      </c>
      <c r="AA705" s="13" t="b">
        <v>0</v>
      </c>
      <c r="AB705" s="48"/>
      <c r="AC705" s="49"/>
    </row>
    <row r="706" ht="14.25" customHeight="1">
      <c r="A706" s="13">
        <v>24262.0</v>
      </c>
      <c r="B706" s="13" t="str">
        <f t="shared" si="7"/>
        <v>Observational</v>
      </c>
      <c r="C706" s="13" t="s">
        <v>4864</v>
      </c>
      <c r="D706" s="1" t="s">
        <v>5317</v>
      </c>
      <c r="E706" s="2" t="s">
        <v>5295</v>
      </c>
      <c r="F706" s="13" t="s">
        <v>3159</v>
      </c>
      <c r="G706" s="13" t="s">
        <v>3159</v>
      </c>
      <c r="H706" s="13" t="s">
        <v>3166</v>
      </c>
      <c r="I706" s="13" t="s">
        <v>3261</v>
      </c>
      <c r="J706" s="13" t="s">
        <v>3229</v>
      </c>
      <c r="K706" s="13" t="s">
        <v>3153</v>
      </c>
      <c r="L706" s="13" t="s">
        <v>3179</v>
      </c>
      <c r="M706" s="13" t="s">
        <v>3342</v>
      </c>
      <c r="N706" s="13" t="s">
        <v>3162</v>
      </c>
      <c r="O706" s="13" t="s">
        <v>33</v>
      </c>
      <c r="P706" s="13">
        <v>1.0</v>
      </c>
      <c r="Q706" s="13" t="s">
        <v>3177</v>
      </c>
      <c r="R706" s="13" t="s">
        <v>3177</v>
      </c>
      <c r="S706" s="13" t="s">
        <v>33</v>
      </c>
      <c r="T706" s="13" t="s">
        <v>3255</v>
      </c>
      <c r="U706" s="13" t="s">
        <v>3164</v>
      </c>
      <c r="V706" s="13" t="s">
        <v>3197</v>
      </c>
      <c r="W706" s="13" t="s">
        <v>3167</v>
      </c>
      <c r="X706" s="13" t="s">
        <v>3192</v>
      </c>
      <c r="Y706" s="13" t="s">
        <v>3187</v>
      </c>
      <c r="Z706" s="13">
        <v>25.0</v>
      </c>
      <c r="AA706" s="13" t="b">
        <v>0</v>
      </c>
      <c r="AB706" s="48"/>
      <c r="AC706" s="49"/>
    </row>
    <row r="707" ht="14.25" customHeight="1">
      <c r="A707" s="13">
        <v>25557.0</v>
      </c>
      <c r="B707" s="13" t="str">
        <f t="shared" si="7"/>
        <v>Observational</v>
      </c>
      <c r="C707" s="13" t="s">
        <v>4864</v>
      </c>
      <c r="D707" s="1" t="s">
        <v>5317</v>
      </c>
      <c r="E707" s="2" t="s">
        <v>5295</v>
      </c>
      <c r="F707" s="13" t="s">
        <v>3296</v>
      </c>
      <c r="G707" s="13" t="s">
        <v>3159</v>
      </c>
      <c r="H707" s="13" t="s">
        <v>3166</v>
      </c>
      <c r="I707" s="13" t="s">
        <v>3392</v>
      </c>
      <c r="J707" s="13" t="s">
        <v>3836</v>
      </c>
      <c r="K707" s="13" t="s">
        <v>3153</v>
      </c>
      <c r="L707" s="13" t="s">
        <v>3179</v>
      </c>
      <c r="M707" s="13" t="s">
        <v>3342</v>
      </c>
      <c r="N707" s="13" t="s">
        <v>3162</v>
      </c>
      <c r="O707" s="13" t="s">
        <v>33</v>
      </c>
      <c r="P707" s="13">
        <v>1.0</v>
      </c>
      <c r="Q707" s="13" t="s">
        <v>3177</v>
      </c>
      <c r="R707" s="13" t="s">
        <v>3163</v>
      </c>
      <c r="S707" s="13" t="s">
        <v>33</v>
      </c>
      <c r="T707" s="13" t="s">
        <v>3225</v>
      </c>
      <c r="U707" s="13" t="s">
        <v>3164</v>
      </c>
      <c r="V707" s="13" t="s">
        <v>3232</v>
      </c>
      <c r="W707" s="13" t="s">
        <v>3167</v>
      </c>
      <c r="X707" s="13" t="s">
        <v>3170</v>
      </c>
      <c r="Y707" s="13" t="s">
        <v>3180</v>
      </c>
      <c r="Z707" s="13">
        <v>0.01</v>
      </c>
      <c r="AA707" s="13" t="b">
        <v>0</v>
      </c>
      <c r="AB707" s="48"/>
      <c r="AC707" s="49"/>
    </row>
    <row r="708" ht="14.25" customHeight="1">
      <c r="A708" s="13">
        <v>24297.0</v>
      </c>
      <c r="B708" s="13" t="str">
        <f t="shared" si="7"/>
        <v>Observational</v>
      </c>
      <c r="C708" s="13" t="s">
        <v>4864</v>
      </c>
      <c r="D708" s="1" t="s">
        <v>5317</v>
      </c>
      <c r="E708" s="2" t="s">
        <v>5295</v>
      </c>
      <c r="F708" s="13" t="s">
        <v>3159</v>
      </c>
      <c r="G708" s="13" t="s">
        <v>3159</v>
      </c>
      <c r="H708" s="13" t="s">
        <v>3166</v>
      </c>
      <c r="I708" s="13" t="s">
        <v>3392</v>
      </c>
      <c r="J708" s="13" t="s">
        <v>3204</v>
      </c>
      <c r="K708" s="13" t="s">
        <v>3153</v>
      </c>
      <c r="L708" s="13" t="s">
        <v>3179</v>
      </c>
      <c r="M708" s="13" t="s">
        <v>3342</v>
      </c>
      <c r="N708" s="13" t="s">
        <v>3162</v>
      </c>
      <c r="O708" s="13" t="s">
        <v>33</v>
      </c>
      <c r="P708" s="13">
        <v>1.0</v>
      </c>
      <c r="Q708" s="13" t="s">
        <v>3160</v>
      </c>
      <c r="R708" s="13" t="s">
        <v>3163</v>
      </c>
      <c r="S708" s="13" t="s">
        <v>33</v>
      </c>
      <c r="T708" s="13" t="s">
        <v>3255</v>
      </c>
      <c r="U708" s="13" t="s">
        <v>3164</v>
      </c>
      <c r="V708" s="13" t="s">
        <v>3164</v>
      </c>
      <c r="W708" s="13" t="s">
        <v>3167</v>
      </c>
      <c r="X708" s="13" t="s">
        <v>3170</v>
      </c>
      <c r="Y708" s="13" t="s">
        <v>3156</v>
      </c>
      <c r="Z708" s="13" t="s">
        <v>33</v>
      </c>
      <c r="AA708" s="13" t="b">
        <v>0</v>
      </c>
      <c r="AB708" s="48"/>
      <c r="AC708" s="49"/>
    </row>
    <row r="709" ht="14.25" customHeight="1">
      <c r="A709" s="13">
        <v>24392.0</v>
      </c>
      <c r="B709" s="13" t="str">
        <f t="shared" si="7"/>
        <v>Observational</v>
      </c>
      <c r="C709" s="13" t="s">
        <v>4864</v>
      </c>
      <c r="D709" s="1" t="s">
        <v>5317</v>
      </c>
      <c r="E709" s="2" t="s">
        <v>5295</v>
      </c>
      <c r="F709" s="13" t="s">
        <v>3183</v>
      </c>
      <c r="G709" s="13" t="s">
        <v>3183</v>
      </c>
      <c r="H709" s="13" t="s">
        <v>3166</v>
      </c>
      <c r="I709" s="13" t="s">
        <v>3181</v>
      </c>
      <c r="J709" s="13" t="s">
        <v>3493</v>
      </c>
      <c r="K709" s="13" t="s">
        <v>3153</v>
      </c>
      <c r="L709" s="13" t="s">
        <v>3179</v>
      </c>
      <c r="M709" s="13" t="s">
        <v>3342</v>
      </c>
      <c r="N709" s="13" t="s">
        <v>3162</v>
      </c>
      <c r="O709" s="13" t="s">
        <v>3689</v>
      </c>
      <c r="P709" s="13">
        <v>1.0</v>
      </c>
      <c r="Q709" s="13" t="s">
        <v>3177</v>
      </c>
      <c r="R709" s="13" t="s">
        <v>3177</v>
      </c>
      <c r="S709" s="13" t="s">
        <v>33</v>
      </c>
      <c r="T709" s="13" t="s">
        <v>3255</v>
      </c>
      <c r="U709" s="13" t="s">
        <v>3164</v>
      </c>
      <c r="V709" s="13" t="s">
        <v>3197</v>
      </c>
      <c r="W709" s="13" t="s">
        <v>3167</v>
      </c>
      <c r="X709" s="13" t="s">
        <v>3155</v>
      </c>
      <c r="Y709" s="13" t="s">
        <v>3180</v>
      </c>
      <c r="Z709" s="13">
        <v>0.5</v>
      </c>
      <c r="AA709" s="13" t="b">
        <v>0</v>
      </c>
      <c r="AB709" s="48"/>
      <c r="AC709" s="49"/>
    </row>
    <row r="710" ht="14.25" customHeight="1">
      <c r="A710" s="13">
        <v>24450.0</v>
      </c>
      <c r="B710" s="13" t="str">
        <f t="shared" si="7"/>
        <v>Observational</v>
      </c>
      <c r="C710" s="13" t="s">
        <v>4864</v>
      </c>
      <c r="D710" s="1" t="s">
        <v>5317</v>
      </c>
      <c r="E710" s="2" t="s">
        <v>5295</v>
      </c>
      <c r="F710" s="13" t="s">
        <v>3208</v>
      </c>
      <c r="G710" s="13" t="s">
        <v>3208</v>
      </c>
      <c r="H710" s="13" t="s">
        <v>3166</v>
      </c>
      <c r="I710" s="13" t="s">
        <v>3261</v>
      </c>
      <c r="J710" s="13" t="s">
        <v>3436</v>
      </c>
      <c r="K710" s="13" t="s">
        <v>3153</v>
      </c>
      <c r="L710" s="13" t="s">
        <v>3179</v>
      </c>
      <c r="M710" s="13" t="s">
        <v>3342</v>
      </c>
      <c r="N710" s="13" t="s">
        <v>3162</v>
      </c>
      <c r="O710" s="13" t="s">
        <v>33</v>
      </c>
      <c r="P710" s="13">
        <v>1.0</v>
      </c>
      <c r="Q710" s="13" t="s">
        <v>3160</v>
      </c>
      <c r="R710" s="13" t="s">
        <v>3163</v>
      </c>
      <c r="S710" s="13" t="s">
        <v>33</v>
      </c>
      <c r="T710" s="13" t="s">
        <v>3255</v>
      </c>
      <c r="U710" s="13" t="s">
        <v>3197</v>
      </c>
      <c r="V710" s="13" t="s">
        <v>3197</v>
      </c>
      <c r="W710" s="13" t="s">
        <v>3167</v>
      </c>
      <c r="X710" s="13" t="s">
        <v>3155</v>
      </c>
      <c r="Y710" s="13" t="s">
        <v>3202</v>
      </c>
      <c r="Z710" s="13">
        <v>20.0</v>
      </c>
      <c r="AA710" s="13" t="b">
        <v>0</v>
      </c>
      <c r="AB710" s="48"/>
      <c r="AC710" s="49"/>
    </row>
    <row r="711" ht="14.25" customHeight="1">
      <c r="A711" s="13">
        <v>24465.0</v>
      </c>
      <c r="B711" s="13" t="str">
        <f t="shared" si="7"/>
        <v>Observational</v>
      </c>
      <c r="C711" s="13" t="s">
        <v>4864</v>
      </c>
      <c r="D711" s="1" t="s">
        <v>5317</v>
      </c>
      <c r="E711" s="2" t="s">
        <v>5295</v>
      </c>
      <c r="F711" s="13" t="s">
        <v>3159</v>
      </c>
      <c r="G711" s="13" t="s">
        <v>3159</v>
      </c>
      <c r="H711" s="13" t="s">
        <v>3166</v>
      </c>
      <c r="I711" s="13" t="s">
        <v>3249</v>
      </c>
      <c r="J711" s="13" t="s">
        <v>3919</v>
      </c>
      <c r="K711" s="13" t="s">
        <v>3153</v>
      </c>
      <c r="L711" s="13" t="s">
        <v>3179</v>
      </c>
      <c r="M711" s="13" t="s">
        <v>3342</v>
      </c>
      <c r="N711" s="13" t="s">
        <v>3162</v>
      </c>
      <c r="O711" s="13" t="s">
        <v>3167</v>
      </c>
      <c r="P711" s="13">
        <v>1.0</v>
      </c>
      <c r="Q711" s="13" t="s">
        <v>3160</v>
      </c>
      <c r="R711" s="13" t="s">
        <v>3231</v>
      </c>
      <c r="S711" s="13" t="s">
        <v>33</v>
      </c>
      <c r="T711" s="13" t="s">
        <v>3224</v>
      </c>
      <c r="U711" s="13" t="s">
        <v>3164</v>
      </c>
      <c r="V711" s="13" t="s">
        <v>3164</v>
      </c>
      <c r="W711" s="13" t="s">
        <v>3167</v>
      </c>
      <c r="X711" s="13" t="s">
        <v>3211</v>
      </c>
      <c r="Y711" s="13" t="s">
        <v>3156</v>
      </c>
      <c r="Z711" s="13" t="s">
        <v>3167</v>
      </c>
      <c r="AA711" s="13" t="b">
        <v>0</v>
      </c>
      <c r="AB711" s="48"/>
      <c r="AC711" s="49"/>
    </row>
    <row r="712" ht="14.25" customHeight="1">
      <c r="A712" s="13">
        <v>24507.0</v>
      </c>
      <c r="B712" s="13" t="str">
        <f t="shared" si="7"/>
        <v>Observational</v>
      </c>
      <c r="C712" s="13" t="s">
        <v>4864</v>
      </c>
      <c r="D712" s="1" t="s">
        <v>5317</v>
      </c>
      <c r="E712" s="2" t="s">
        <v>5295</v>
      </c>
      <c r="F712" s="13" t="s">
        <v>3208</v>
      </c>
      <c r="G712" s="13" t="s">
        <v>3183</v>
      </c>
      <c r="H712" s="13" t="s">
        <v>3166</v>
      </c>
      <c r="I712" s="13" t="s">
        <v>3261</v>
      </c>
      <c r="J712" s="13" t="s">
        <v>3240</v>
      </c>
      <c r="K712" s="13" t="s">
        <v>3153</v>
      </c>
      <c r="L712" s="13" t="s">
        <v>3179</v>
      </c>
      <c r="M712" s="13" t="s">
        <v>3342</v>
      </c>
      <c r="N712" s="13" t="s">
        <v>3162</v>
      </c>
      <c r="O712" s="13" t="s">
        <v>3944</v>
      </c>
      <c r="P712" s="13">
        <v>1.0</v>
      </c>
      <c r="Q712" s="13" t="s">
        <v>3177</v>
      </c>
      <c r="R712" s="13" t="s">
        <v>3260</v>
      </c>
      <c r="S712" s="13" t="s">
        <v>3945</v>
      </c>
      <c r="T712" s="13" t="s">
        <v>3178</v>
      </c>
      <c r="U712" s="13" t="s">
        <v>3164</v>
      </c>
      <c r="V712" s="13" t="s">
        <v>3165</v>
      </c>
      <c r="W712" s="13" t="s">
        <v>3167</v>
      </c>
      <c r="X712" s="13" t="s">
        <v>3192</v>
      </c>
      <c r="Y712" s="13" t="s">
        <v>3187</v>
      </c>
      <c r="Z712" s="13">
        <v>400.0</v>
      </c>
      <c r="AA712" s="13" t="b">
        <v>0</v>
      </c>
      <c r="AB712" s="48"/>
      <c r="AC712" s="49"/>
    </row>
    <row r="713" ht="14.25" customHeight="1">
      <c r="A713" s="13">
        <v>24624.0</v>
      </c>
      <c r="B713" s="13" t="str">
        <f t="shared" si="7"/>
        <v>Observational</v>
      </c>
      <c r="C713" s="13" t="s">
        <v>4852</v>
      </c>
      <c r="D713" s="1" t="s">
        <v>5317</v>
      </c>
      <c r="E713" s="2" t="s">
        <v>5295</v>
      </c>
      <c r="F713" s="13" t="s">
        <v>3173</v>
      </c>
      <c r="G713" s="13" t="s">
        <v>3173</v>
      </c>
      <c r="H713" s="13" t="s">
        <v>3166</v>
      </c>
      <c r="I713" s="13" t="s">
        <v>3244</v>
      </c>
      <c r="J713" s="13" t="s">
        <v>3977</v>
      </c>
      <c r="K713" s="13" t="s">
        <v>3153</v>
      </c>
      <c r="L713" s="13" t="s">
        <v>3154</v>
      </c>
      <c r="M713" s="13" t="s">
        <v>3342</v>
      </c>
      <c r="N713" s="13" t="s">
        <v>3162</v>
      </c>
      <c r="O713" s="13" t="s">
        <v>33</v>
      </c>
      <c r="P713" s="13">
        <v>1.0</v>
      </c>
      <c r="Q713" s="13" t="s">
        <v>3160</v>
      </c>
      <c r="R713" s="13" t="s">
        <v>3177</v>
      </c>
      <c r="S713" s="13" t="s">
        <v>33</v>
      </c>
      <c r="T713" s="13" t="s">
        <v>3225</v>
      </c>
      <c r="U713" s="13" t="s">
        <v>3164</v>
      </c>
      <c r="V713" s="13" t="s">
        <v>3164</v>
      </c>
      <c r="W713" s="13" t="s">
        <v>3167</v>
      </c>
      <c r="X713" s="13" t="s">
        <v>3211</v>
      </c>
      <c r="Y713" s="13" t="s">
        <v>3180</v>
      </c>
      <c r="Z713" s="13">
        <v>0.5</v>
      </c>
      <c r="AA713" s="13" t="b">
        <v>0</v>
      </c>
      <c r="AB713" s="48"/>
      <c r="AC713" s="49"/>
    </row>
    <row r="714" ht="14.25" customHeight="1">
      <c r="A714" s="13">
        <v>24628.0</v>
      </c>
      <c r="B714" s="13" t="str">
        <f t="shared" si="7"/>
        <v>Observational</v>
      </c>
      <c r="C714" s="13" t="s">
        <v>4864</v>
      </c>
      <c r="D714" s="1" t="s">
        <v>5317</v>
      </c>
      <c r="E714" s="2" t="s">
        <v>5295</v>
      </c>
      <c r="F714" s="13" t="s">
        <v>3190</v>
      </c>
      <c r="G714" s="13" t="s">
        <v>3190</v>
      </c>
      <c r="H714" s="13" t="s">
        <v>3166</v>
      </c>
      <c r="I714" s="13" t="s">
        <v>3193</v>
      </c>
      <c r="J714" s="13" t="s">
        <v>3189</v>
      </c>
      <c r="K714" s="13" t="s">
        <v>3153</v>
      </c>
      <c r="L714" s="13" t="s">
        <v>3179</v>
      </c>
      <c r="M714" s="13" t="s">
        <v>3342</v>
      </c>
      <c r="N714" s="13" t="s">
        <v>3162</v>
      </c>
      <c r="O714" s="13" t="s">
        <v>33</v>
      </c>
      <c r="P714" s="13">
        <v>1.0</v>
      </c>
      <c r="Q714" s="13" t="s">
        <v>3160</v>
      </c>
      <c r="R714" s="13" t="s">
        <v>3163</v>
      </c>
      <c r="S714" s="13" t="s">
        <v>33</v>
      </c>
      <c r="T714" s="13" t="s">
        <v>3225</v>
      </c>
      <c r="U714" s="13" t="s">
        <v>3164</v>
      </c>
      <c r="V714" s="13" t="s">
        <v>3164</v>
      </c>
      <c r="W714" s="13" t="s">
        <v>3167</v>
      </c>
      <c r="X714" s="13" t="s">
        <v>3192</v>
      </c>
      <c r="Y714" s="13" t="s">
        <v>3156</v>
      </c>
      <c r="Z714" s="13" t="s">
        <v>33</v>
      </c>
      <c r="AA714" s="13" t="b">
        <v>0</v>
      </c>
      <c r="AB714" s="48"/>
      <c r="AC714" s="49"/>
    </row>
    <row r="715" ht="14.25" customHeight="1">
      <c r="A715" s="13">
        <v>24700.0</v>
      </c>
      <c r="B715" s="13" t="str">
        <f t="shared" si="7"/>
        <v>Observational</v>
      </c>
      <c r="C715" s="13" t="s">
        <v>4864</v>
      </c>
      <c r="D715" s="1" t="s">
        <v>5317</v>
      </c>
      <c r="E715" s="2" t="s">
        <v>5295</v>
      </c>
      <c r="F715" s="13" t="s">
        <v>3183</v>
      </c>
      <c r="G715" s="13" t="s">
        <v>3159</v>
      </c>
      <c r="H715" s="13" t="s">
        <v>3166</v>
      </c>
      <c r="I715" s="13" t="s">
        <v>3261</v>
      </c>
      <c r="J715" s="13" t="s">
        <v>4002</v>
      </c>
      <c r="K715" s="13" t="s">
        <v>3153</v>
      </c>
      <c r="L715" s="13" t="s">
        <v>3179</v>
      </c>
      <c r="M715" s="13" t="s">
        <v>3342</v>
      </c>
      <c r="N715" s="13" t="s">
        <v>3162</v>
      </c>
      <c r="O715" s="13" t="s">
        <v>33</v>
      </c>
      <c r="P715" s="13">
        <v>1.0</v>
      </c>
      <c r="Q715" s="13" t="s">
        <v>3177</v>
      </c>
      <c r="R715" s="13" t="s">
        <v>3177</v>
      </c>
      <c r="S715" s="13" t="s">
        <v>33</v>
      </c>
      <c r="T715" s="13" t="s">
        <v>4003</v>
      </c>
      <c r="U715" s="13" t="s">
        <v>3164</v>
      </c>
      <c r="V715" s="13" t="s">
        <v>3247</v>
      </c>
      <c r="W715" s="13" t="s">
        <v>3167</v>
      </c>
      <c r="X715" s="13" t="s">
        <v>3192</v>
      </c>
      <c r="Y715" s="13" t="s">
        <v>3187</v>
      </c>
      <c r="Z715" s="13">
        <v>25.0</v>
      </c>
      <c r="AA715" s="13" t="b">
        <v>0</v>
      </c>
      <c r="AB715" s="48"/>
      <c r="AC715" s="49"/>
    </row>
    <row r="716" ht="14.25" customHeight="1">
      <c r="A716" s="13">
        <v>24730.0</v>
      </c>
      <c r="B716" s="13" t="str">
        <f t="shared" si="7"/>
        <v>Observational</v>
      </c>
      <c r="C716" s="13" t="s">
        <v>4864</v>
      </c>
      <c r="D716" s="1" t="s">
        <v>5317</v>
      </c>
      <c r="E716" s="2" t="s">
        <v>5295</v>
      </c>
      <c r="F716" s="13" t="s">
        <v>3183</v>
      </c>
      <c r="G716" s="13" t="s">
        <v>3173</v>
      </c>
      <c r="H716" s="13" t="s">
        <v>3166</v>
      </c>
      <c r="I716" s="13" t="s">
        <v>4015</v>
      </c>
      <c r="J716" s="13" t="s">
        <v>3204</v>
      </c>
      <c r="K716" s="13" t="s">
        <v>3153</v>
      </c>
      <c r="L716" s="13" t="s">
        <v>3179</v>
      </c>
      <c r="M716" s="13" t="s">
        <v>3342</v>
      </c>
      <c r="N716" s="13" t="s">
        <v>3162</v>
      </c>
      <c r="O716" s="13" t="s">
        <v>3689</v>
      </c>
      <c r="P716" s="13">
        <v>1.0</v>
      </c>
      <c r="Q716" s="13" t="s">
        <v>3177</v>
      </c>
      <c r="R716" s="13" t="s">
        <v>3260</v>
      </c>
      <c r="S716" s="13" t="s">
        <v>33</v>
      </c>
      <c r="T716" s="13" t="s">
        <v>3597</v>
      </c>
      <c r="U716" s="13" t="s">
        <v>3232</v>
      </c>
      <c r="V716" s="13" t="s">
        <v>3247</v>
      </c>
      <c r="W716" s="13" t="s">
        <v>3167</v>
      </c>
      <c r="X716" s="13" t="s">
        <v>3155</v>
      </c>
      <c r="Y716" s="13" t="s">
        <v>3180</v>
      </c>
      <c r="Z716" s="13">
        <v>0.01</v>
      </c>
      <c r="AA716" s="13" t="b">
        <v>0</v>
      </c>
      <c r="AB716" s="48"/>
      <c r="AC716" s="49"/>
    </row>
    <row r="717" ht="14.25" customHeight="1">
      <c r="A717" s="13">
        <v>24739.0</v>
      </c>
      <c r="B717" s="13" t="str">
        <f t="shared" si="7"/>
        <v>Observational</v>
      </c>
      <c r="C717" s="13" t="s">
        <v>4864</v>
      </c>
      <c r="D717" s="1" t="s">
        <v>5317</v>
      </c>
      <c r="E717" s="2" t="s">
        <v>5295</v>
      </c>
      <c r="F717" s="13" t="s">
        <v>3173</v>
      </c>
      <c r="G717" s="13" t="s">
        <v>3159</v>
      </c>
      <c r="H717" s="13" t="s">
        <v>3166</v>
      </c>
      <c r="I717" s="13" t="s">
        <v>3392</v>
      </c>
      <c r="J717" s="13" t="s">
        <v>4017</v>
      </c>
      <c r="K717" s="13" t="s">
        <v>3153</v>
      </c>
      <c r="L717" s="13" t="s">
        <v>3179</v>
      </c>
      <c r="M717" s="13" t="s">
        <v>3342</v>
      </c>
      <c r="N717" s="13" t="s">
        <v>3162</v>
      </c>
      <c r="O717" s="13" t="s">
        <v>33</v>
      </c>
      <c r="P717" s="13">
        <v>1.0</v>
      </c>
      <c r="Q717" s="13" t="s">
        <v>3160</v>
      </c>
      <c r="R717" s="13" t="s">
        <v>3163</v>
      </c>
      <c r="S717" s="13" t="s">
        <v>33</v>
      </c>
      <c r="T717" s="13" t="s">
        <v>3255</v>
      </c>
      <c r="U717" s="13" t="s">
        <v>3247</v>
      </c>
      <c r="V717" s="13" t="s">
        <v>3247</v>
      </c>
      <c r="W717" s="13" t="s">
        <v>3167</v>
      </c>
      <c r="X717" s="13" t="s">
        <v>3211</v>
      </c>
      <c r="Y717" s="13" t="s">
        <v>3156</v>
      </c>
      <c r="Z717" s="13" t="s">
        <v>33</v>
      </c>
      <c r="AA717" s="13" t="b">
        <v>0</v>
      </c>
      <c r="AB717" s="48"/>
      <c r="AC717" s="49"/>
    </row>
    <row r="718" ht="14.25" customHeight="1">
      <c r="A718" s="13">
        <v>24740.0</v>
      </c>
      <c r="B718" s="13" t="str">
        <f t="shared" si="7"/>
        <v>Observational</v>
      </c>
      <c r="C718" s="13" t="s">
        <v>4864</v>
      </c>
      <c r="D718" s="1" t="s">
        <v>5317</v>
      </c>
      <c r="E718" s="2" t="s">
        <v>5295</v>
      </c>
      <c r="F718" s="13" t="s">
        <v>3173</v>
      </c>
      <c r="G718" s="13" t="s">
        <v>3159</v>
      </c>
      <c r="H718" s="13" t="s">
        <v>3166</v>
      </c>
      <c r="I718" s="13" t="s">
        <v>3392</v>
      </c>
      <c r="J718" s="13" t="s">
        <v>4018</v>
      </c>
      <c r="K718" s="13" t="s">
        <v>3153</v>
      </c>
      <c r="L718" s="13" t="s">
        <v>3179</v>
      </c>
      <c r="M718" s="13" t="s">
        <v>3342</v>
      </c>
      <c r="N718" s="13" t="s">
        <v>3162</v>
      </c>
      <c r="O718" s="13" t="s">
        <v>33</v>
      </c>
      <c r="P718" s="13">
        <v>1.0</v>
      </c>
      <c r="Q718" s="13" t="s">
        <v>3160</v>
      </c>
      <c r="R718" s="13" t="s">
        <v>3163</v>
      </c>
      <c r="S718" s="13" t="s">
        <v>33</v>
      </c>
      <c r="T718" s="13" t="s">
        <v>4003</v>
      </c>
      <c r="U718" s="13" t="s">
        <v>3197</v>
      </c>
      <c r="V718" s="13" t="s">
        <v>3197</v>
      </c>
      <c r="W718" s="13" t="s">
        <v>3167</v>
      </c>
      <c r="X718" s="13" t="s">
        <v>3155</v>
      </c>
      <c r="Y718" s="13" t="s">
        <v>3156</v>
      </c>
      <c r="Z718" s="13" t="s">
        <v>33</v>
      </c>
      <c r="AA718" s="13" t="b">
        <v>0</v>
      </c>
      <c r="AB718" s="48"/>
      <c r="AC718" s="49"/>
    </row>
    <row r="719" ht="14.25" customHeight="1">
      <c r="A719" s="13">
        <v>24742.0</v>
      </c>
      <c r="B719" s="13" t="str">
        <f t="shared" si="7"/>
        <v>Observational</v>
      </c>
      <c r="C719" s="13" t="s">
        <v>4864</v>
      </c>
      <c r="D719" s="1" t="s">
        <v>5317</v>
      </c>
      <c r="E719" s="2" t="s">
        <v>5295</v>
      </c>
      <c r="F719" s="13" t="s">
        <v>3287</v>
      </c>
      <c r="G719" s="13" t="s">
        <v>3287</v>
      </c>
      <c r="H719" s="13" t="s">
        <v>3166</v>
      </c>
      <c r="I719" s="13" t="s">
        <v>3261</v>
      </c>
      <c r="J719" s="13" t="s">
        <v>3182</v>
      </c>
      <c r="K719" s="13" t="s">
        <v>3153</v>
      </c>
      <c r="L719" s="13" t="s">
        <v>3179</v>
      </c>
      <c r="M719" s="13" t="s">
        <v>3342</v>
      </c>
      <c r="N719" s="13" t="s">
        <v>3162</v>
      </c>
      <c r="O719" s="13" t="s">
        <v>33</v>
      </c>
      <c r="P719" s="13">
        <v>1.0</v>
      </c>
      <c r="Q719" s="13" t="s">
        <v>3160</v>
      </c>
      <c r="R719" s="13" t="s">
        <v>3163</v>
      </c>
      <c r="S719" s="13" t="s">
        <v>33</v>
      </c>
      <c r="T719" s="13" t="s">
        <v>3216</v>
      </c>
      <c r="U719" s="13" t="s">
        <v>3164</v>
      </c>
      <c r="V719" s="13" t="s">
        <v>3165</v>
      </c>
      <c r="W719" s="13" t="s">
        <v>3167</v>
      </c>
      <c r="X719" s="13" t="s">
        <v>3192</v>
      </c>
      <c r="Y719" s="13" t="s">
        <v>3156</v>
      </c>
      <c r="Z719" s="13" t="s">
        <v>33</v>
      </c>
      <c r="AA719" s="13" t="b">
        <v>0</v>
      </c>
      <c r="AB719" s="48"/>
      <c r="AC719" s="49"/>
    </row>
    <row r="720" ht="14.25" customHeight="1">
      <c r="A720" s="13">
        <v>24741.0</v>
      </c>
      <c r="B720" s="13" t="str">
        <f t="shared" si="7"/>
        <v>Observational</v>
      </c>
      <c r="C720" s="13" t="s">
        <v>4864</v>
      </c>
      <c r="D720" s="1" t="s">
        <v>5317</v>
      </c>
      <c r="E720" s="2" t="s">
        <v>5295</v>
      </c>
      <c r="F720" s="13" t="s">
        <v>3287</v>
      </c>
      <c r="G720" s="13" t="s">
        <v>3287</v>
      </c>
      <c r="H720" s="13" t="s">
        <v>3166</v>
      </c>
      <c r="I720" s="13" t="s">
        <v>3261</v>
      </c>
      <c r="J720" s="13" t="s">
        <v>3182</v>
      </c>
      <c r="K720" s="13" t="s">
        <v>3153</v>
      </c>
      <c r="L720" s="13" t="s">
        <v>3179</v>
      </c>
      <c r="M720" s="13" t="s">
        <v>3342</v>
      </c>
      <c r="N720" s="13" t="s">
        <v>3162</v>
      </c>
      <c r="O720" s="13" t="s">
        <v>33</v>
      </c>
      <c r="P720" s="13">
        <v>1.0</v>
      </c>
      <c r="Q720" s="13" t="s">
        <v>3160</v>
      </c>
      <c r="R720" s="13" t="s">
        <v>3163</v>
      </c>
      <c r="S720" s="13" t="s">
        <v>33</v>
      </c>
      <c r="T720" s="13" t="s">
        <v>3216</v>
      </c>
      <c r="U720" s="13" t="s">
        <v>3164</v>
      </c>
      <c r="V720" s="13" t="s">
        <v>3165</v>
      </c>
      <c r="W720" s="13" t="s">
        <v>3167</v>
      </c>
      <c r="X720" s="13" t="s">
        <v>3192</v>
      </c>
      <c r="Y720" s="13" t="s">
        <v>3156</v>
      </c>
      <c r="Z720" s="13" t="s">
        <v>33</v>
      </c>
      <c r="AA720" s="13" t="b">
        <v>0</v>
      </c>
      <c r="AB720" s="48"/>
      <c r="AC720" s="49"/>
    </row>
    <row r="721" ht="14.25" customHeight="1">
      <c r="A721" s="13">
        <v>24754.0</v>
      </c>
      <c r="B721" s="13" t="str">
        <f t="shared" si="7"/>
        <v>Observational</v>
      </c>
      <c r="C721" s="13" t="s">
        <v>4852</v>
      </c>
      <c r="D721" s="1" t="s">
        <v>5317</v>
      </c>
      <c r="E721" s="2" t="s">
        <v>5295</v>
      </c>
      <c r="F721" s="13" t="s">
        <v>3183</v>
      </c>
      <c r="G721" s="13" t="s">
        <v>3183</v>
      </c>
      <c r="H721" s="13" t="s">
        <v>3166</v>
      </c>
      <c r="I721" s="13" t="s">
        <v>3167</v>
      </c>
      <c r="J721" s="13" t="s">
        <v>3167</v>
      </c>
      <c r="K721" s="13" t="s">
        <v>3153</v>
      </c>
      <c r="L721" s="13" t="s">
        <v>3154</v>
      </c>
      <c r="M721" s="13" t="s">
        <v>3342</v>
      </c>
      <c r="N721" s="13" t="s">
        <v>3162</v>
      </c>
      <c r="O721" s="13" t="s">
        <v>3475</v>
      </c>
      <c r="P721" s="13">
        <v>1.0</v>
      </c>
      <c r="Q721" s="13" t="s">
        <v>3177</v>
      </c>
      <c r="R721" s="13" t="s">
        <v>3177</v>
      </c>
      <c r="S721" s="13" t="s">
        <v>33</v>
      </c>
      <c r="T721" s="13" t="s">
        <v>3255</v>
      </c>
      <c r="U721" s="13" t="s">
        <v>3197</v>
      </c>
      <c r="V721" s="13" t="s">
        <v>3197</v>
      </c>
      <c r="W721" s="13" t="s">
        <v>3167</v>
      </c>
      <c r="X721" s="13" t="s">
        <v>3217</v>
      </c>
      <c r="Y721" s="13" t="s">
        <v>3187</v>
      </c>
      <c r="Z721" s="13">
        <v>100.0</v>
      </c>
      <c r="AA721" s="13" t="b">
        <v>0</v>
      </c>
      <c r="AB721" s="48"/>
      <c r="AC721" s="49"/>
    </row>
    <row r="722" ht="14.25" customHeight="1">
      <c r="A722" s="13">
        <v>24813.0</v>
      </c>
      <c r="B722" s="13" t="str">
        <f t="shared" si="7"/>
        <v>Observational</v>
      </c>
      <c r="C722" s="13" t="s">
        <v>4864</v>
      </c>
      <c r="D722" s="1" t="s">
        <v>5317</v>
      </c>
      <c r="E722" s="2" t="s">
        <v>5295</v>
      </c>
      <c r="F722" s="13" t="s">
        <v>3190</v>
      </c>
      <c r="G722" s="13" t="s">
        <v>3190</v>
      </c>
      <c r="H722" s="13" t="s">
        <v>3166</v>
      </c>
      <c r="I722" s="13" t="s">
        <v>3929</v>
      </c>
      <c r="J722" s="13" t="s">
        <v>4043</v>
      </c>
      <c r="K722" s="13" t="s">
        <v>3153</v>
      </c>
      <c r="L722" s="13" t="s">
        <v>3179</v>
      </c>
      <c r="M722" s="13" t="s">
        <v>3342</v>
      </c>
      <c r="N722" s="13" t="s">
        <v>3162</v>
      </c>
      <c r="O722" s="13" t="s">
        <v>3167</v>
      </c>
      <c r="P722" s="13">
        <v>1.0</v>
      </c>
      <c r="Q722" s="13" t="s">
        <v>3160</v>
      </c>
      <c r="R722" s="13" t="s">
        <v>3231</v>
      </c>
      <c r="S722" s="13" t="s">
        <v>33</v>
      </c>
      <c r="T722" s="13" t="s">
        <v>3225</v>
      </c>
      <c r="U722" s="13" t="s">
        <v>3164</v>
      </c>
      <c r="V722" s="13" t="s">
        <v>3215</v>
      </c>
      <c r="W722" s="13" t="s">
        <v>3167</v>
      </c>
      <c r="X722" s="13" t="s">
        <v>3211</v>
      </c>
      <c r="Y722" s="13" t="s">
        <v>3156</v>
      </c>
      <c r="Z722" s="13" t="s">
        <v>3167</v>
      </c>
      <c r="AA722" s="13" t="b">
        <v>0</v>
      </c>
      <c r="AB722" s="48"/>
      <c r="AC722" s="49"/>
    </row>
    <row r="723" ht="14.25" customHeight="1">
      <c r="A723" s="13">
        <v>24879.0</v>
      </c>
      <c r="B723" s="13" t="str">
        <f t="shared" si="7"/>
        <v>Observational</v>
      </c>
      <c r="C723" s="13" t="s">
        <v>4864</v>
      </c>
      <c r="D723" s="1" t="s">
        <v>5317</v>
      </c>
      <c r="E723" s="2" t="s">
        <v>5295</v>
      </c>
      <c r="F723" s="13" t="s">
        <v>3186</v>
      </c>
      <c r="G723" s="13" t="s">
        <v>3186</v>
      </c>
      <c r="H723" s="13" t="s">
        <v>3166</v>
      </c>
      <c r="I723" s="13" t="s">
        <v>4067</v>
      </c>
      <c r="J723" s="13" t="s">
        <v>3584</v>
      </c>
      <c r="K723" s="13" t="s">
        <v>3153</v>
      </c>
      <c r="L723" s="13" t="s">
        <v>3179</v>
      </c>
      <c r="M723" s="13" t="s">
        <v>3342</v>
      </c>
      <c r="N723" s="13" t="s">
        <v>3162</v>
      </c>
      <c r="O723" s="13" t="s">
        <v>33</v>
      </c>
      <c r="P723" s="13">
        <v>1.0</v>
      </c>
      <c r="Q723" s="13" t="s">
        <v>3177</v>
      </c>
      <c r="R723" s="13" t="s">
        <v>3177</v>
      </c>
      <c r="S723" s="13" t="s">
        <v>33</v>
      </c>
      <c r="T723" s="13" t="s">
        <v>4068</v>
      </c>
      <c r="U723" s="13" t="s">
        <v>3197</v>
      </c>
      <c r="V723" s="13" t="s">
        <v>3197</v>
      </c>
      <c r="W723" s="13" t="s">
        <v>3167</v>
      </c>
      <c r="X723" s="13" t="s">
        <v>3211</v>
      </c>
      <c r="Y723" s="13" t="s">
        <v>3187</v>
      </c>
      <c r="Z723" s="13">
        <v>400.0</v>
      </c>
      <c r="AA723" s="13" t="b">
        <v>0</v>
      </c>
      <c r="AB723" s="48"/>
      <c r="AC723" s="49"/>
    </row>
    <row r="724" ht="14.25" customHeight="1">
      <c r="A724" s="13">
        <v>24885.0</v>
      </c>
      <c r="B724" s="13" t="str">
        <f t="shared" si="7"/>
        <v>Observational</v>
      </c>
      <c r="C724" s="13" t="s">
        <v>4864</v>
      </c>
      <c r="D724" s="1" t="s">
        <v>5317</v>
      </c>
      <c r="E724" s="2" t="s">
        <v>5295</v>
      </c>
      <c r="F724" s="13" t="s">
        <v>3183</v>
      </c>
      <c r="G724" s="13" t="s">
        <v>3159</v>
      </c>
      <c r="H724" s="13" t="s">
        <v>3166</v>
      </c>
      <c r="I724" s="13" t="s">
        <v>4070</v>
      </c>
      <c r="J724" s="13" t="s">
        <v>3167</v>
      </c>
      <c r="K724" s="13" t="s">
        <v>3153</v>
      </c>
      <c r="L724" s="13" t="s">
        <v>3179</v>
      </c>
      <c r="M724" s="13" t="s">
        <v>3342</v>
      </c>
      <c r="N724" s="13" t="s">
        <v>3162</v>
      </c>
      <c r="O724" s="13" t="s">
        <v>4071</v>
      </c>
      <c r="P724" s="13">
        <v>1.0</v>
      </c>
      <c r="Q724" s="13" t="s">
        <v>3177</v>
      </c>
      <c r="R724" s="13" t="s">
        <v>3231</v>
      </c>
      <c r="S724" s="13" t="s">
        <v>33</v>
      </c>
      <c r="T724" s="13" t="s">
        <v>3225</v>
      </c>
      <c r="U724" s="13" t="s">
        <v>3164</v>
      </c>
      <c r="V724" s="13" t="s">
        <v>3164</v>
      </c>
      <c r="W724" s="13" t="s">
        <v>3167</v>
      </c>
      <c r="X724" s="13" t="s">
        <v>3284</v>
      </c>
      <c r="Y724" s="13" t="s">
        <v>3180</v>
      </c>
      <c r="Z724" s="13">
        <v>5.0</v>
      </c>
      <c r="AA724" s="13" t="b">
        <v>0</v>
      </c>
      <c r="AB724" s="48"/>
      <c r="AC724" s="49"/>
    </row>
    <row r="725" ht="14.25" customHeight="1">
      <c r="A725" s="13">
        <v>26902.0</v>
      </c>
      <c r="B725" s="13" t="str">
        <f t="shared" si="7"/>
        <v>Observational</v>
      </c>
      <c r="C725" s="13" t="s">
        <v>4864</v>
      </c>
      <c r="D725" s="1" t="s">
        <v>5317</v>
      </c>
      <c r="E725" s="2" t="s">
        <v>5295</v>
      </c>
      <c r="F725" s="13" t="s">
        <v>3159</v>
      </c>
      <c r="G725" s="13" t="s">
        <v>3159</v>
      </c>
      <c r="H725" s="13" t="s">
        <v>3166</v>
      </c>
      <c r="I725" s="13" t="s">
        <v>3527</v>
      </c>
      <c r="J725" s="13" t="s">
        <v>4081</v>
      </c>
      <c r="K725" s="13" t="s">
        <v>3153</v>
      </c>
      <c r="L725" s="13" t="s">
        <v>3179</v>
      </c>
      <c r="M725" s="13" t="s">
        <v>3342</v>
      </c>
      <c r="N725" s="13" t="s">
        <v>3162</v>
      </c>
      <c r="O725" s="13" t="s">
        <v>33</v>
      </c>
      <c r="P725" s="13">
        <v>1.0</v>
      </c>
      <c r="Q725" s="13" t="s">
        <v>3177</v>
      </c>
      <c r="R725" s="13" t="s">
        <v>3177</v>
      </c>
      <c r="S725" s="13" t="s">
        <v>33</v>
      </c>
      <c r="T725" s="13" t="s">
        <v>3168</v>
      </c>
      <c r="U725" s="13" t="s">
        <v>3165</v>
      </c>
      <c r="V725" s="13" t="s">
        <v>3232</v>
      </c>
      <c r="W725" s="13" t="s">
        <v>3167</v>
      </c>
      <c r="X725" s="13" t="s">
        <v>3211</v>
      </c>
      <c r="Y725" s="13" t="s">
        <v>33</v>
      </c>
      <c r="Z725" s="13" t="s">
        <v>33</v>
      </c>
      <c r="AA725" s="13" t="b">
        <v>0</v>
      </c>
      <c r="AB725" s="48"/>
      <c r="AC725" s="49"/>
    </row>
    <row r="726" ht="14.25" customHeight="1">
      <c r="A726" s="13">
        <v>24944.0</v>
      </c>
      <c r="B726" s="13" t="str">
        <f t="shared" si="7"/>
        <v>Observational</v>
      </c>
      <c r="C726" s="13" t="s">
        <v>4864</v>
      </c>
      <c r="D726" s="1" t="s">
        <v>5317</v>
      </c>
      <c r="E726" s="2" t="s">
        <v>5295</v>
      </c>
      <c r="F726" s="13" t="s">
        <v>3159</v>
      </c>
      <c r="G726" s="13" t="s">
        <v>3333</v>
      </c>
      <c r="H726" s="13" t="s">
        <v>3253</v>
      </c>
      <c r="I726" s="13" t="s">
        <v>3261</v>
      </c>
      <c r="J726" s="13" t="s">
        <v>3240</v>
      </c>
      <c r="K726" s="13" t="s">
        <v>3153</v>
      </c>
      <c r="L726" s="13" t="s">
        <v>3179</v>
      </c>
      <c r="M726" s="13" t="s">
        <v>3342</v>
      </c>
      <c r="N726" s="13" t="s">
        <v>3162</v>
      </c>
      <c r="O726" s="13" t="s">
        <v>33</v>
      </c>
      <c r="P726" s="13">
        <v>1.0</v>
      </c>
      <c r="Q726" s="13" t="s">
        <v>3160</v>
      </c>
      <c r="R726" s="13" t="s">
        <v>3177</v>
      </c>
      <c r="S726" s="13" t="s">
        <v>33</v>
      </c>
      <c r="T726" s="13" t="s">
        <v>3632</v>
      </c>
      <c r="U726" s="13" t="s">
        <v>3252</v>
      </c>
      <c r="V726" s="13" t="s">
        <v>3252</v>
      </c>
      <c r="W726" s="13" t="s">
        <v>3634</v>
      </c>
      <c r="X726" s="13" t="s">
        <v>3170</v>
      </c>
      <c r="Y726" s="13" t="s">
        <v>3187</v>
      </c>
      <c r="Z726" s="13">
        <v>1.0</v>
      </c>
      <c r="AA726" s="13" t="b">
        <v>0</v>
      </c>
      <c r="AB726" s="48"/>
      <c r="AC726" s="49"/>
    </row>
    <row r="727" ht="14.25" customHeight="1">
      <c r="A727" s="13">
        <v>24951.0</v>
      </c>
      <c r="B727" s="13" t="str">
        <f t="shared" si="7"/>
        <v>Observational</v>
      </c>
      <c r="C727" s="13" t="s">
        <v>4864</v>
      </c>
      <c r="D727" s="1" t="s">
        <v>5317</v>
      </c>
      <c r="E727" s="2" t="s">
        <v>5295</v>
      </c>
      <c r="F727" s="13" t="s">
        <v>3381</v>
      </c>
      <c r="G727" s="13" t="s">
        <v>3159</v>
      </c>
      <c r="H727" s="13" t="s">
        <v>3166</v>
      </c>
      <c r="I727" s="13" t="s">
        <v>3261</v>
      </c>
      <c r="J727" s="13" t="s">
        <v>3400</v>
      </c>
      <c r="K727" s="13" t="s">
        <v>3153</v>
      </c>
      <c r="L727" s="13" t="s">
        <v>3179</v>
      </c>
      <c r="M727" s="13" t="s">
        <v>3342</v>
      </c>
      <c r="N727" s="13" t="s">
        <v>3162</v>
      </c>
      <c r="O727" s="13" t="s">
        <v>4088</v>
      </c>
      <c r="P727" s="13">
        <v>1.0</v>
      </c>
      <c r="Q727" s="13" t="s">
        <v>3177</v>
      </c>
      <c r="R727" s="13" t="s">
        <v>3231</v>
      </c>
      <c r="S727" s="13" t="s">
        <v>33</v>
      </c>
      <c r="T727" s="13" t="s">
        <v>4003</v>
      </c>
      <c r="U727" s="13" t="s">
        <v>3247</v>
      </c>
      <c r="V727" s="13" t="s">
        <v>3247</v>
      </c>
      <c r="W727" s="13" t="s">
        <v>3167</v>
      </c>
      <c r="X727" s="13" t="s">
        <v>3155</v>
      </c>
      <c r="Y727" s="13" t="s">
        <v>3187</v>
      </c>
      <c r="Z727" s="13">
        <v>400.0</v>
      </c>
      <c r="AA727" s="13" t="b">
        <v>0</v>
      </c>
      <c r="AB727" s="48"/>
      <c r="AC727" s="49"/>
    </row>
    <row r="728" ht="14.25" customHeight="1">
      <c r="A728" s="13">
        <v>25066.0</v>
      </c>
      <c r="B728" s="13" t="str">
        <f t="shared" si="7"/>
        <v>Observational</v>
      </c>
      <c r="C728" s="13" t="s">
        <v>4864</v>
      </c>
      <c r="D728" s="1" t="s">
        <v>5317</v>
      </c>
      <c r="E728" s="2" t="s">
        <v>5295</v>
      </c>
      <c r="F728" s="13" t="s">
        <v>3250</v>
      </c>
      <c r="G728" s="13" t="s">
        <v>3250</v>
      </c>
      <c r="H728" s="13" t="s">
        <v>3166</v>
      </c>
      <c r="I728" s="13" t="s">
        <v>3261</v>
      </c>
      <c r="J728" s="13" t="s">
        <v>3182</v>
      </c>
      <c r="K728" s="13" t="s">
        <v>3153</v>
      </c>
      <c r="L728" s="13" t="s">
        <v>3179</v>
      </c>
      <c r="M728" s="13" t="s">
        <v>3342</v>
      </c>
      <c r="N728" s="13" t="s">
        <v>3162</v>
      </c>
      <c r="O728" s="13" t="s">
        <v>33</v>
      </c>
      <c r="P728" s="13">
        <v>1.0</v>
      </c>
      <c r="Q728" s="13" t="s">
        <v>3177</v>
      </c>
      <c r="R728" s="13" t="s">
        <v>3163</v>
      </c>
      <c r="S728" s="13" t="s">
        <v>33</v>
      </c>
      <c r="T728" s="13" t="s">
        <v>4068</v>
      </c>
      <c r="U728" s="13" t="s">
        <v>3228</v>
      </c>
      <c r="V728" s="13" t="s">
        <v>3247</v>
      </c>
      <c r="W728" s="13" t="s">
        <v>3167</v>
      </c>
      <c r="X728" s="13" t="s">
        <v>3170</v>
      </c>
      <c r="Y728" s="13" t="s">
        <v>3156</v>
      </c>
      <c r="Z728" s="13" t="s">
        <v>33</v>
      </c>
      <c r="AA728" s="13" t="b">
        <v>0</v>
      </c>
      <c r="AB728" s="48"/>
      <c r="AC728" s="49"/>
    </row>
    <row r="729" ht="14.25" customHeight="1">
      <c r="A729" s="13">
        <v>25112.0</v>
      </c>
      <c r="B729" s="13" t="str">
        <f t="shared" si="7"/>
        <v>Observational</v>
      </c>
      <c r="C729" s="13" t="s">
        <v>4864</v>
      </c>
      <c r="D729" s="1" t="s">
        <v>5317</v>
      </c>
      <c r="E729" s="2" t="s">
        <v>5295</v>
      </c>
      <c r="F729" s="13" t="s">
        <v>3183</v>
      </c>
      <c r="G729" s="13" t="s">
        <v>3186</v>
      </c>
      <c r="H729" s="13" t="s">
        <v>3166</v>
      </c>
      <c r="I729" s="13" t="s">
        <v>3264</v>
      </c>
      <c r="J729" s="13" t="s">
        <v>3625</v>
      </c>
      <c r="K729" s="13" t="s">
        <v>3153</v>
      </c>
      <c r="L729" s="13" t="s">
        <v>3179</v>
      </c>
      <c r="M729" s="13" t="s">
        <v>3342</v>
      </c>
      <c r="N729" s="13" t="s">
        <v>3162</v>
      </c>
      <c r="O729" s="13" t="s">
        <v>3689</v>
      </c>
      <c r="P729" s="13">
        <v>1.0</v>
      </c>
      <c r="Q729" s="13" t="s">
        <v>3177</v>
      </c>
      <c r="R729" s="13" t="s">
        <v>3177</v>
      </c>
      <c r="S729" s="13" t="s">
        <v>33</v>
      </c>
      <c r="T729" s="13" t="s">
        <v>3168</v>
      </c>
      <c r="U729" s="13" t="s">
        <v>3165</v>
      </c>
      <c r="V729" s="13" t="s">
        <v>3165</v>
      </c>
      <c r="W729" s="13" t="s">
        <v>3167</v>
      </c>
      <c r="X729" s="13" t="s">
        <v>3192</v>
      </c>
      <c r="Y729" s="13" t="s">
        <v>3187</v>
      </c>
      <c r="Z729" s="13">
        <v>1.0</v>
      </c>
      <c r="AA729" s="13" t="b">
        <v>0</v>
      </c>
      <c r="AB729" s="48"/>
      <c r="AC729" s="49"/>
    </row>
    <row r="730" ht="14.25" customHeight="1">
      <c r="A730" s="13">
        <v>25124.0</v>
      </c>
      <c r="B730" s="13" t="str">
        <f t="shared" si="7"/>
        <v>Observational</v>
      </c>
      <c r="C730" s="13" t="s">
        <v>4864</v>
      </c>
      <c r="D730" s="1" t="s">
        <v>5317</v>
      </c>
      <c r="E730" s="2" t="s">
        <v>5295</v>
      </c>
      <c r="F730" s="13" t="s">
        <v>3282</v>
      </c>
      <c r="G730" s="13" t="s">
        <v>3183</v>
      </c>
      <c r="H730" s="13" t="s">
        <v>3166</v>
      </c>
      <c r="I730" s="13" t="s">
        <v>3249</v>
      </c>
      <c r="J730" s="13" t="s">
        <v>4142</v>
      </c>
      <c r="K730" s="13" t="s">
        <v>3153</v>
      </c>
      <c r="L730" s="13" t="s">
        <v>3179</v>
      </c>
      <c r="M730" s="13" t="s">
        <v>3342</v>
      </c>
      <c r="N730" s="13" t="s">
        <v>3162</v>
      </c>
      <c r="O730" s="13" t="s">
        <v>4143</v>
      </c>
      <c r="P730" s="13">
        <v>1.0</v>
      </c>
      <c r="Q730" s="13" t="s">
        <v>3177</v>
      </c>
      <c r="R730" s="13" t="s">
        <v>3163</v>
      </c>
      <c r="S730" s="13" t="s">
        <v>4143</v>
      </c>
      <c r="T730" s="13" t="s">
        <v>3225</v>
      </c>
      <c r="U730" s="13" t="s">
        <v>3232</v>
      </c>
      <c r="V730" s="13" t="s">
        <v>3232</v>
      </c>
      <c r="W730" s="13" t="s">
        <v>3167</v>
      </c>
      <c r="X730" s="13" t="s">
        <v>3211</v>
      </c>
      <c r="Y730" s="13" t="s">
        <v>3156</v>
      </c>
      <c r="Z730" s="13" t="s">
        <v>33</v>
      </c>
      <c r="AA730" s="13" t="b">
        <v>0</v>
      </c>
      <c r="AB730" s="48"/>
      <c r="AC730" s="49"/>
    </row>
    <row r="731" ht="14.25" customHeight="1">
      <c r="A731" s="13">
        <v>25137.0</v>
      </c>
      <c r="B731" s="13" t="str">
        <f t="shared" si="7"/>
        <v>Observational</v>
      </c>
      <c r="C731" s="13" t="s">
        <v>4864</v>
      </c>
      <c r="D731" s="1" t="s">
        <v>5317</v>
      </c>
      <c r="E731" s="2" t="s">
        <v>5295</v>
      </c>
      <c r="F731" s="13" t="s">
        <v>3183</v>
      </c>
      <c r="G731" s="13" t="s">
        <v>3183</v>
      </c>
      <c r="H731" s="13" t="s">
        <v>3166</v>
      </c>
      <c r="I731" s="13" t="s">
        <v>3167</v>
      </c>
      <c r="J731" s="13" t="s">
        <v>3167</v>
      </c>
      <c r="K731" s="13" t="s">
        <v>3153</v>
      </c>
      <c r="L731" s="13" t="s">
        <v>3179</v>
      </c>
      <c r="M731" s="13" t="s">
        <v>3342</v>
      </c>
      <c r="N731" s="13" t="s">
        <v>3162</v>
      </c>
      <c r="O731" s="13" t="s">
        <v>3689</v>
      </c>
      <c r="P731" s="13">
        <v>1.0</v>
      </c>
      <c r="Q731" s="13" t="s">
        <v>3160</v>
      </c>
      <c r="R731" s="13" t="s">
        <v>3163</v>
      </c>
      <c r="S731" s="13" t="s">
        <v>4154</v>
      </c>
      <c r="T731" s="13" t="s">
        <v>3255</v>
      </c>
      <c r="U731" s="13" t="s">
        <v>3197</v>
      </c>
      <c r="V731" s="13" t="s">
        <v>3197</v>
      </c>
      <c r="W731" s="13" t="s">
        <v>3167</v>
      </c>
      <c r="X731" s="13" t="s">
        <v>3217</v>
      </c>
      <c r="Y731" s="13" t="s">
        <v>33</v>
      </c>
      <c r="Z731" s="13" t="s">
        <v>33</v>
      </c>
      <c r="AA731" s="13" t="b">
        <v>0</v>
      </c>
      <c r="AB731" s="48"/>
      <c r="AC731" s="49"/>
    </row>
    <row r="732" ht="14.25" customHeight="1">
      <c r="A732" s="13">
        <v>25156.0</v>
      </c>
      <c r="B732" s="13" t="str">
        <f t="shared" si="7"/>
        <v>Observational</v>
      </c>
      <c r="C732" s="13" t="s">
        <v>4864</v>
      </c>
      <c r="D732" s="1" t="s">
        <v>5317</v>
      </c>
      <c r="E732" s="2" t="s">
        <v>5295</v>
      </c>
      <c r="F732" s="13" t="s">
        <v>3183</v>
      </c>
      <c r="G732" s="13" t="s">
        <v>3287</v>
      </c>
      <c r="H732" s="13" t="s">
        <v>3166</v>
      </c>
      <c r="I732" s="13" t="s">
        <v>3261</v>
      </c>
      <c r="J732" s="13" t="s">
        <v>4162</v>
      </c>
      <c r="K732" s="13" t="s">
        <v>3153</v>
      </c>
      <c r="L732" s="13" t="s">
        <v>3179</v>
      </c>
      <c r="M732" s="13" t="s">
        <v>3342</v>
      </c>
      <c r="N732" s="13" t="s">
        <v>3162</v>
      </c>
      <c r="O732" s="13" t="s">
        <v>4163</v>
      </c>
      <c r="P732" s="13">
        <v>1.0</v>
      </c>
      <c r="Q732" s="13" t="s">
        <v>3177</v>
      </c>
      <c r="R732" s="13" t="s">
        <v>3177</v>
      </c>
      <c r="S732" s="13" t="s">
        <v>33</v>
      </c>
      <c r="T732" s="13" t="s">
        <v>3216</v>
      </c>
      <c r="U732" s="13" t="s">
        <v>3164</v>
      </c>
      <c r="V732" s="13" t="s">
        <v>3164</v>
      </c>
      <c r="W732" s="13" t="s">
        <v>3167</v>
      </c>
      <c r="X732" s="13" t="s">
        <v>3211</v>
      </c>
      <c r="Y732" s="13" t="s">
        <v>3187</v>
      </c>
      <c r="Z732" s="13">
        <v>81.0</v>
      </c>
      <c r="AA732" s="13" t="b">
        <v>0</v>
      </c>
      <c r="AB732" s="48"/>
      <c r="AC732" s="49"/>
    </row>
    <row r="733" ht="14.25" customHeight="1">
      <c r="A733" s="13">
        <v>25157.0</v>
      </c>
      <c r="B733" s="13" t="str">
        <f t="shared" si="7"/>
        <v>Observational</v>
      </c>
      <c r="C733" s="13" t="s">
        <v>4864</v>
      </c>
      <c r="D733" s="1" t="s">
        <v>5317</v>
      </c>
      <c r="E733" s="2" t="s">
        <v>5295</v>
      </c>
      <c r="F733" s="13" t="s">
        <v>3173</v>
      </c>
      <c r="G733" s="13" t="s">
        <v>3159</v>
      </c>
      <c r="H733" s="13" t="s">
        <v>3166</v>
      </c>
      <c r="I733" s="13" t="s">
        <v>3261</v>
      </c>
      <c r="J733" s="13" t="s">
        <v>3240</v>
      </c>
      <c r="K733" s="13" t="s">
        <v>3153</v>
      </c>
      <c r="L733" s="13" t="s">
        <v>3179</v>
      </c>
      <c r="M733" s="13" t="s">
        <v>3342</v>
      </c>
      <c r="N733" s="13" t="s">
        <v>3162</v>
      </c>
      <c r="O733" s="13" t="s">
        <v>33</v>
      </c>
      <c r="P733" s="13">
        <v>1.0</v>
      </c>
      <c r="Q733" s="13" t="s">
        <v>3177</v>
      </c>
      <c r="R733" s="13" t="s">
        <v>3177</v>
      </c>
      <c r="S733" s="13" t="s">
        <v>33</v>
      </c>
      <c r="T733" s="13" t="s">
        <v>3168</v>
      </c>
      <c r="U733" s="13" t="s">
        <v>3164</v>
      </c>
      <c r="V733" s="13" t="s">
        <v>3164</v>
      </c>
      <c r="W733" s="13" t="s">
        <v>3167</v>
      </c>
      <c r="X733" s="13" t="s">
        <v>3192</v>
      </c>
      <c r="Y733" s="13" t="s">
        <v>3187</v>
      </c>
      <c r="Z733" s="13">
        <v>200.0</v>
      </c>
      <c r="AA733" s="13" t="b">
        <v>0</v>
      </c>
      <c r="AB733" s="48"/>
      <c r="AC733" s="49"/>
    </row>
    <row r="734" ht="14.25" customHeight="1">
      <c r="A734" s="13">
        <v>25158.0</v>
      </c>
      <c r="B734" s="13" t="str">
        <f t="shared" si="7"/>
        <v>Observational</v>
      </c>
      <c r="C734" s="13" t="s">
        <v>4864</v>
      </c>
      <c r="D734" s="1" t="s">
        <v>5317</v>
      </c>
      <c r="E734" s="2" t="s">
        <v>5295</v>
      </c>
      <c r="F734" s="13" t="s">
        <v>3190</v>
      </c>
      <c r="G734" s="13" t="s">
        <v>3190</v>
      </c>
      <c r="H734" s="13" t="s">
        <v>3166</v>
      </c>
      <c r="I734" s="13" t="s">
        <v>3193</v>
      </c>
      <c r="J734" s="13" t="s">
        <v>3402</v>
      </c>
      <c r="K734" s="13" t="s">
        <v>3153</v>
      </c>
      <c r="L734" s="13" t="s">
        <v>3179</v>
      </c>
      <c r="M734" s="13" t="s">
        <v>3342</v>
      </c>
      <c r="N734" s="13" t="s">
        <v>3162</v>
      </c>
      <c r="O734" s="13" t="s">
        <v>33</v>
      </c>
      <c r="P734" s="13">
        <v>1.0</v>
      </c>
      <c r="Q734" s="13" t="s">
        <v>3177</v>
      </c>
      <c r="R734" s="13" t="s">
        <v>3177</v>
      </c>
      <c r="S734" s="13" t="s">
        <v>33</v>
      </c>
      <c r="T734" s="13" t="s">
        <v>3178</v>
      </c>
      <c r="U734" s="13" t="s">
        <v>3164</v>
      </c>
      <c r="V734" s="13" t="s">
        <v>3164</v>
      </c>
      <c r="W734" s="13" t="s">
        <v>3167</v>
      </c>
      <c r="X734" s="13" t="s">
        <v>3155</v>
      </c>
      <c r="Y734" s="13" t="s">
        <v>33</v>
      </c>
      <c r="Z734" s="13" t="s">
        <v>33</v>
      </c>
      <c r="AA734" s="13" t="b">
        <v>0</v>
      </c>
      <c r="AB734" s="48"/>
      <c r="AC734" s="49"/>
    </row>
    <row r="735" ht="14.25" customHeight="1">
      <c r="A735" s="13">
        <v>25193.0</v>
      </c>
      <c r="B735" s="13" t="str">
        <f t="shared" si="7"/>
        <v>Observational</v>
      </c>
      <c r="C735" s="13" t="s">
        <v>4864</v>
      </c>
      <c r="D735" s="1" t="s">
        <v>5317</v>
      </c>
      <c r="E735" s="2" t="s">
        <v>5295</v>
      </c>
      <c r="F735" s="13" t="s">
        <v>3186</v>
      </c>
      <c r="G735" s="13" t="s">
        <v>3186</v>
      </c>
      <c r="H735" s="13" t="s">
        <v>3166</v>
      </c>
      <c r="I735" s="13" t="s">
        <v>3264</v>
      </c>
      <c r="J735" s="13" t="s">
        <v>3321</v>
      </c>
      <c r="K735" s="13" t="s">
        <v>3153</v>
      </c>
      <c r="L735" s="13" t="s">
        <v>3179</v>
      </c>
      <c r="M735" s="13" t="s">
        <v>3342</v>
      </c>
      <c r="N735" s="13" t="s">
        <v>3162</v>
      </c>
      <c r="O735" s="13" t="s">
        <v>33</v>
      </c>
      <c r="P735" s="13">
        <v>1.0</v>
      </c>
      <c r="Q735" s="13" t="s">
        <v>3160</v>
      </c>
      <c r="R735" s="13" t="s">
        <v>3163</v>
      </c>
      <c r="S735" s="13" t="s">
        <v>33</v>
      </c>
      <c r="T735" s="13" t="s">
        <v>4174</v>
      </c>
      <c r="U735" s="13" t="s">
        <v>3247</v>
      </c>
      <c r="V735" s="13" t="s">
        <v>3247</v>
      </c>
      <c r="W735" s="13" t="s">
        <v>3167</v>
      </c>
      <c r="X735" s="13" t="s">
        <v>3192</v>
      </c>
      <c r="Y735" s="13" t="s">
        <v>3156</v>
      </c>
      <c r="Z735" s="13" t="s">
        <v>33</v>
      </c>
      <c r="AA735" s="13" t="b">
        <v>0</v>
      </c>
      <c r="AB735" s="48"/>
      <c r="AC735" s="49"/>
    </row>
    <row r="736" ht="14.25" customHeight="1">
      <c r="A736" s="13">
        <v>25233.0</v>
      </c>
      <c r="B736" s="13" t="str">
        <f t="shared" si="7"/>
        <v>Observational</v>
      </c>
      <c r="C736" s="13" t="s">
        <v>4864</v>
      </c>
      <c r="D736" s="1" t="s">
        <v>5317</v>
      </c>
      <c r="E736" s="2" t="s">
        <v>5295</v>
      </c>
      <c r="F736" s="13" t="s">
        <v>3190</v>
      </c>
      <c r="G736" s="13" t="s">
        <v>3173</v>
      </c>
      <c r="H736" s="13" t="s">
        <v>3253</v>
      </c>
      <c r="I736" s="13" t="s">
        <v>3249</v>
      </c>
      <c r="J736" s="13" t="s">
        <v>3199</v>
      </c>
      <c r="K736" s="13" t="s">
        <v>3153</v>
      </c>
      <c r="L736" s="13" t="s">
        <v>3179</v>
      </c>
      <c r="M736" s="13" t="s">
        <v>3342</v>
      </c>
      <c r="N736" s="13" t="s">
        <v>3162</v>
      </c>
      <c r="O736" s="13" t="s">
        <v>33</v>
      </c>
      <c r="P736" s="13">
        <v>1.0</v>
      </c>
      <c r="Q736" s="13" t="s">
        <v>3177</v>
      </c>
      <c r="R736" s="13" t="s">
        <v>3163</v>
      </c>
      <c r="S736" s="13" t="s">
        <v>33</v>
      </c>
      <c r="T736" s="13" t="s">
        <v>4185</v>
      </c>
      <c r="U736" s="13" t="s">
        <v>3165</v>
      </c>
      <c r="V736" s="13" t="s">
        <v>3252</v>
      </c>
      <c r="W736" s="13" t="s">
        <v>3254</v>
      </c>
      <c r="X736" s="13" t="s">
        <v>3170</v>
      </c>
      <c r="Y736" s="13" t="s">
        <v>3202</v>
      </c>
      <c r="Z736" s="13">
        <v>500.0</v>
      </c>
      <c r="AA736" s="13" t="b">
        <v>0</v>
      </c>
      <c r="AB736" s="48"/>
      <c r="AC736" s="49"/>
    </row>
    <row r="737" ht="14.25" customHeight="1">
      <c r="A737" s="13">
        <v>25246.0</v>
      </c>
      <c r="B737" s="13" t="str">
        <f t="shared" si="7"/>
        <v>Observational</v>
      </c>
      <c r="C737" s="13" t="s">
        <v>4864</v>
      </c>
      <c r="D737" s="1" t="s">
        <v>5317</v>
      </c>
      <c r="E737" s="2" t="s">
        <v>5295</v>
      </c>
      <c r="F737" s="13" t="s">
        <v>3208</v>
      </c>
      <c r="G737" s="13" t="s">
        <v>3208</v>
      </c>
      <c r="H737" s="13" t="s">
        <v>3166</v>
      </c>
      <c r="I737" s="13" t="s">
        <v>3167</v>
      </c>
      <c r="J737" s="13" t="s">
        <v>3167</v>
      </c>
      <c r="K737" s="13" t="s">
        <v>3153</v>
      </c>
      <c r="L737" s="13" t="s">
        <v>3179</v>
      </c>
      <c r="M737" s="13" t="s">
        <v>3342</v>
      </c>
      <c r="N737" s="13" t="s">
        <v>3162</v>
      </c>
      <c r="O737" s="13" t="s">
        <v>33</v>
      </c>
      <c r="P737" s="13">
        <v>1.0</v>
      </c>
      <c r="Q737" s="13" t="s">
        <v>3177</v>
      </c>
      <c r="R737" s="13" t="s">
        <v>3177</v>
      </c>
      <c r="S737" s="13" t="s">
        <v>33</v>
      </c>
      <c r="T737" s="13" t="s">
        <v>3225</v>
      </c>
      <c r="U737" s="13" t="s">
        <v>3232</v>
      </c>
      <c r="V737" s="13" t="s">
        <v>3232</v>
      </c>
      <c r="W737" s="13" t="s">
        <v>3167</v>
      </c>
      <c r="X737" s="13" t="s">
        <v>3217</v>
      </c>
      <c r="Y737" s="13" t="s">
        <v>3180</v>
      </c>
      <c r="Z737" s="13">
        <v>1.0</v>
      </c>
      <c r="AA737" s="13" t="b">
        <v>0</v>
      </c>
      <c r="AB737" s="48"/>
      <c r="AC737" s="49"/>
    </row>
    <row r="738" ht="14.25" customHeight="1">
      <c r="A738" s="13">
        <v>25247.0</v>
      </c>
      <c r="B738" s="13" t="str">
        <f t="shared" si="7"/>
        <v>Observational</v>
      </c>
      <c r="C738" s="13" t="s">
        <v>4864</v>
      </c>
      <c r="D738" s="1" t="s">
        <v>5317</v>
      </c>
      <c r="E738" s="2" t="s">
        <v>5295</v>
      </c>
      <c r="F738" s="13" t="s">
        <v>3208</v>
      </c>
      <c r="G738" s="13" t="s">
        <v>3287</v>
      </c>
      <c r="H738" s="13" t="s">
        <v>3166</v>
      </c>
      <c r="I738" s="13" t="s">
        <v>3167</v>
      </c>
      <c r="J738" s="13" t="s">
        <v>3167</v>
      </c>
      <c r="K738" s="13" t="s">
        <v>3153</v>
      </c>
      <c r="L738" s="13" t="s">
        <v>3179</v>
      </c>
      <c r="M738" s="13" t="s">
        <v>3342</v>
      </c>
      <c r="N738" s="13" t="s">
        <v>3162</v>
      </c>
      <c r="O738" s="13" t="s">
        <v>4187</v>
      </c>
      <c r="P738" s="13">
        <v>1.0</v>
      </c>
      <c r="Q738" s="13" t="s">
        <v>3177</v>
      </c>
      <c r="R738" s="13" t="s">
        <v>3260</v>
      </c>
      <c r="S738" s="13" t="s">
        <v>33</v>
      </c>
      <c r="T738" s="13" t="s">
        <v>3225</v>
      </c>
      <c r="U738" s="13" t="s">
        <v>3164</v>
      </c>
      <c r="V738" s="13" t="s">
        <v>3232</v>
      </c>
      <c r="W738" s="13" t="s">
        <v>3167</v>
      </c>
      <c r="X738" s="13" t="s">
        <v>3217</v>
      </c>
      <c r="Y738" s="13" t="s">
        <v>3180</v>
      </c>
      <c r="Z738" s="13">
        <v>1.0</v>
      </c>
      <c r="AA738" s="13" t="b">
        <v>0</v>
      </c>
      <c r="AB738" s="48"/>
      <c r="AC738" s="49"/>
    </row>
    <row r="739" ht="14.25" customHeight="1">
      <c r="A739" s="13" t="s">
        <v>1224</v>
      </c>
      <c r="B739" s="13" t="str">
        <f t="shared" si="7"/>
        <v>Observational</v>
      </c>
      <c r="C739" s="13" t="s">
        <v>4864</v>
      </c>
      <c r="D739" s="1" t="s">
        <v>5317</v>
      </c>
      <c r="E739" s="2" t="s">
        <v>5295</v>
      </c>
      <c r="F739" s="13" t="s">
        <v>3190</v>
      </c>
      <c r="G739" s="13" t="s">
        <v>3190</v>
      </c>
      <c r="H739" s="13" t="s">
        <v>3166</v>
      </c>
      <c r="I739" s="13" t="s">
        <v>3392</v>
      </c>
      <c r="J739" s="13" t="s">
        <v>3454</v>
      </c>
      <c r="K739" s="13" t="s">
        <v>3153</v>
      </c>
      <c r="L739" s="13" t="s">
        <v>3179</v>
      </c>
      <c r="M739" s="13" t="s">
        <v>3342</v>
      </c>
      <c r="N739" s="13" t="s">
        <v>3162</v>
      </c>
      <c r="O739" s="13" t="s">
        <v>33</v>
      </c>
      <c r="P739" s="13">
        <v>1.0</v>
      </c>
      <c r="Q739" s="13" t="s">
        <v>3160</v>
      </c>
      <c r="R739" s="13" t="s">
        <v>3163</v>
      </c>
      <c r="S739" s="13" t="s">
        <v>33</v>
      </c>
      <c r="T739" s="13" t="s">
        <v>3168</v>
      </c>
      <c r="U739" s="13" t="s">
        <v>3164</v>
      </c>
      <c r="V739" s="13" t="s">
        <v>3164</v>
      </c>
      <c r="W739" s="13" t="s">
        <v>3167</v>
      </c>
      <c r="X739" s="13" t="s">
        <v>3170</v>
      </c>
      <c r="Y739" s="13" t="s">
        <v>3156</v>
      </c>
      <c r="Z739" s="13" t="s">
        <v>33</v>
      </c>
      <c r="AA739" s="13" t="b">
        <v>0</v>
      </c>
      <c r="AB739" s="48"/>
      <c r="AC739" s="49"/>
    </row>
    <row r="740" ht="14.25" customHeight="1">
      <c r="A740" s="13">
        <v>25371.0</v>
      </c>
      <c r="B740" s="13" t="str">
        <f t="shared" si="7"/>
        <v>Observational</v>
      </c>
      <c r="C740" s="13" t="s">
        <v>4864</v>
      </c>
      <c r="D740" s="1" t="s">
        <v>5317</v>
      </c>
      <c r="E740" s="2" t="s">
        <v>5295</v>
      </c>
      <c r="F740" s="13" t="s">
        <v>3173</v>
      </c>
      <c r="G740" s="13" t="s">
        <v>3173</v>
      </c>
      <c r="H740" s="13" t="s">
        <v>3166</v>
      </c>
      <c r="I740" s="13" t="s">
        <v>3264</v>
      </c>
      <c r="J740" s="13" t="s">
        <v>4214</v>
      </c>
      <c r="K740" s="13" t="s">
        <v>3153</v>
      </c>
      <c r="L740" s="13" t="s">
        <v>3179</v>
      </c>
      <c r="M740" s="13" t="s">
        <v>3342</v>
      </c>
      <c r="N740" s="13" t="s">
        <v>3162</v>
      </c>
      <c r="O740" s="13" t="s">
        <v>4215</v>
      </c>
      <c r="P740" s="13">
        <v>1.0</v>
      </c>
      <c r="Q740" s="13" t="s">
        <v>3177</v>
      </c>
      <c r="R740" s="13" t="s">
        <v>3231</v>
      </c>
      <c r="S740" s="13" t="s">
        <v>33</v>
      </c>
      <c r="T740" s="13" t="s">
        <v>3255</v>
      </c>
      <c r="U740" s="13" t="s">
        <v>3197</v>
      </c>
      <c r="V740" s="13" t="s">
        <v>3197</v>
      </c>
      <c r="W740" s="13" t="s">
        <v>3167</v>
      </c>
      <c r="X740" s="13" t="s">
        <v>3155</v>
      </c>
      <c r="Y740" s="13" t="s">
        <v>3311</v>
      </c>
      <c r="Z740" s="13" t="s">
        <v>3311</v>
      </c>
      <c r="AA740" s="13" t="b">
        <v>0</v>
      </c>
      <c r="AB740" s="48"/>
      <c r="AC740" s="49"/>
    </row>
    <row r="741" ht="14.25" customHeight="1">
      <c r="A741" s="13">
        <v>25374.0</v>
      </c>
      <c r="B741" s="13" t="str">
        <f t="shared" si="7"/>
        <v>Observational</v>
      </c>
      <c r="C741" s="13" t="s">
        <v>4864</v>
      </c>
      <c r="D741" s="1" t="s">
        <v>5317</v>
      </c>
      <c r="E741" s="2" t="s">
        <v>5295</v>
      </c>
      <c r="F741" s="13" t="s">
        <v>3173</v>
      </c>
      <c r="G741" s="13" t="s">
        <v>3173</v>
      </c>
      <c r="H741" s="13" t="s">
        <v>3166</v>
      </c>
      <c r="I741" s="13" t="s">
        <v>3865</v>
      </c>
      <c r="J741" s="13" t="s">
        <v>3204</v>
      </c>
      <c r="K741" s="13" t="s">
        <v>3153</v>
      </c>
      <c r="L741" s="13" t="s">
        <v>3179</v>
      </c>
      <c r="M741" s="13" t="s">
        <v>3342</v>
      </c>
      <c r="N741" s="13" t="s">
        <v>3162</v>
      </c>
      <c r="O741" s="13" t="s">
        <v>4216</v>
      </c>
      <c r="P741" s="13">
        <v>1.0</v>
      </c>
      <c r="Q741" s="13" t="s">
        <v>3177</v>
      </c>
      <c r="R741" s="13" t="s">
        <v>3177</v>
      </c>
      <c r="S741" s="13" t="s">
        <v>33</v>
      </c>
      <c r="T741" s="13" t="s">
        <v>3216</v>
      </c>
      <c r="U741" s="13" t="s">
        <v>3228</v>
      </c>
      <c r="V741" s="13" t="s">
        <v>3228</v>
      </c>
      <c r="W741" s="13" t="s">
        <v>3167</v>
      </c>
      <c r="X741" s="13" t="s">
        <v>3155</v>
      </c>
      <c r="Y741" s="13" t="s">
        <v>3180</v>
      </c>
      <c r="Z741" s="13">
        <v>1.0</v>
      </c>
      <c r="AA741" s="13" t="b">
        <v>0</v>
      </c>
      <c r="AB741" s="48"/>
      <c r="AC741" s="49"/>
    </row>
    <row r="742" ht="14.25" customHeight="1">
      <c r="A742" s="13">
        <v>25407.0</v>
      </c>
      <c r="B742" s="13" t="str">
        <f t="shared" si="7"/>
        <v>Observational</v>
      </c>
      <c r="C742" s="13" t="s">
        <v>4864</v>
      </c>
      <c r="D742" s="1" t="s">
        <v>5317</v>
      </c>
      <c r="E742" s="2" t="s">
        <v>5295</v>
      </c>
      <c r="F742" s="13" t="s">
        <v>3183</v>
      </c>
      <c r="G742" s="13" t="s">
        <v>3208</v>
      </c>
      <c r="H742" s="13" t="s">
        <v>3166</v>
      </c>
      <c r="I742" s="13" t="s">
        <v>4070</v>
      </c>
      <c r="J742" s="13" t="s">
        <v>3167</v>
      </c>
      <c r="K742" s="13" t="s">
        <v>3153</v>
      </c>
      <c r="L742" s="13" t="s">
        <v>3179</v>
      </c>
      <c r="M742" s="13" t="s">
        <v>3342</v>
      </c>
      <c r="N742" s="13" t="s">
        <v>3162</v>
      </c>
      <c r="O742" s="13" t="s">
        <v>4230</v>
      </c>
      <c r="P742" s="13">
        <v>1.0</v>
      </c>
      <c r="Q742" s="13" t="s">
        <v>3177</v>
      </c>
      <c r="R742" s="13" t="s">
        <v>3177</v>
      </c>
      <c r="S742" s="13" t="s">
        <v>33</v>
      </c>
      <c r="T742" s="13" t="s">
        <v>3216</v>
      </c>
      <c r="U742" s="13" t="s">
        <v>3164</v>
      </c>
      <c r="V742" s="13" t="s">
        <v>3164</v>
      </c>
      <c r="W742" s="13" t="s">
        <v>3167</v>
      </c>
      <c r="X742" s="13" t="s">
        <v>3284</v>
      </c>
      <c r="Y742" s="13" t="s">
        <v>3180</v>
      </c>
      <c r="Z742" s="13">
        <v>5.0</v>
      </c>
      <c r="AA742" s="13" t="b">
        <v>0</v>
      </c>
      <c r="AB742" s="48"/>
      <c r="AC742" s="49"/>
    </row>
    <row r="743" ht="14.25" customHeight="1">
      <c r="A743" s="13">
        <v>25431.0</v>
      </c>
      <c r="B743" s="13" t="str">
        <f t="shared" si="7"/>
        <v>Observational</v>
      </c>
      <c r="C743" s="13" t="s">
        <v>4864</v>
      </c>
      <c r="D743" s="1" t="s">
        <v>5317</v>
      </c>
      <c r="E743" s="2" t="s">
        <v>5295</v>
      </c>
      <c r="F743" s="13" t="s">
        <v>3183</v>
      </c>
      <c r="G743" s="13" t="s">
        <v>3186</v>
      </c>
      <c r="H743" s="13" t="s">
        <v>3166</v>
      </c>
      <c r="I743" s="13" t="s">
        <v>3264</v>
      </c>
      <c r="J743" s="13" t="s">
        <v>3625</v>
      </c>
      <c r="K743" s="13" t="s">
        <v>3153</v>
      </c>
      <c r="L743" s="13" t="s">
        <v>3179</v>
      </c>
      <c r="M743" s="13" t="s">
        <v>3342</v>
      </c>
      <c r="N743" s="13" t="s">
        <v>3162</v>
      </c>
      <c r="O743" s="13" t="s">
        <v>3724</v>
      </c>
      <c r="P743" s="13">
        <v>1.0</v>
      </c>
      <c r="Q743" s="13" t="s">
        <v>3160</v>
      </c>
      <c r="R743" s="13" t="s">
        <v>3231</v>
      </c>
      <c r="S743" s="13" t="s">
        <v>33</v>
      </c>
      <c r="T743" s="13" t="s">
        <v>3597</v>
      </c>
      <c r="U743" s="13" t="s">
        <v>3247</v>
      </c>
      <c r="V743" s="13" t="s">
        <v>3247</v>
      </c>
      <c r="W743" s="13" t="s">
        <v>3167</v>
      </c>
      <c r="X743" s="13" t="s">
        <v>3155</v>
      </c>
      <c r="Y743" s="13" t="s">
        <v>3187</v>
      </c>
      <c r="Z743" s="13">
        <v>1.0</v>
      </c>
      <c r="AA743" s="13" t="b">
        <v>0</v>
      </c>
      <c r="AB743" s="48"/>
      <c r="AC743" s="49"/>
    </row>
    <row r="744" ht="14.25" customHeight="1">
      <c r="A744" s="13">
        <v>25449.0</v>
      </c>
      <c r="B744" s="13" t="str">
        <f t="shared" si="7"/>
        <v>Observational</v>
      </c>
      <c r="C744" s="13" t="s">
        <v>4864</v>
      </c>
      <c r="D744" s="1" t="s">
        <v>5317</v>
      </c>
      <c r="E744" s="2" t="s">
        <v>5295</v>
      </c>
      <c r="F744" s="13" t="s">
        <v>3183</v>
      </c>
      <c r="G744" s="13" t="s">
        <v>3159</v>
      </c>
      <c r="H744" s="13" t="s">
        <v>3166</v>
      </c>
      <c r="I744" s="13" t="s">
        <v>3181</v>
      </c>
      <c r="J744" s="13" t="s">
        <v>3182</v>
      </c>
      <c r="K744" s="13" t="s">
        <v>3153</v>
      </c>
      <c r="L744" s="13" t="s">
        <v>3179</v>
      </c>
      <c r="M744" s="13" t="s">
        <v>3342</v>
      </c>
      <c r="N744" s="13" t="s">
        <v>3162</v>
      </c>
      <c r="O744" s="13" t="s">
        <v>4242</v>
      </c>
      <c r="P744" s="13">
        <v>1.0</v>
      </c>
      <c r="Q744" s="13" t="s">
        <v>3177</v>
      </c>
      <c r="R744" s="13" t="s">
        <v>3163</v>
      </c>
      <c r="S744" s="13" t="s">
        <v>33</v>
      </c>
      <c r="T744" s="13" t="s">
        <v>3168</v>
      </c>
      <c r="U744" s="13" t="s">
        <v>3164</v>
      </c>
      <c r="V744" s="13" t="s">
        <v>3232</v>
      </c>
      <c r="W744" s="13" t="s">
        <v>3167</v>
      </c>
      <c r="X744" s="13" t="s">
        <v>3192</v>
      </c>
      <c r="Y744" s="13" t="s">
        <v>3187</v>
      </c>
      <c r="Z744" s="13">
        <v>289.0</v>
      </c>
      <c r="AA744" s="13" t="b">
        <v>0</v>
      </c>
      <c r="AB744" s="48"/>
      <c r="AC744" s="49"/>
    </row>
    <row r="745" ht="14.25" customHeight="1">
      <c r="A745" s="13">
        <v>25464.0</v>
      </c>
      <c r="B745" s="13" t="str">
        <f t="shared" si="7"/>
        <v>Observational</v>
      </c>
      <c r="C745" s="13" t="s">
        <v>4864</v>
      </c>
      <c r="D745" s="1" t="s">
        <v>5317</v>
      </c>
      <c r="E745" s="2" t="s">
        <v>5295</v>
      </c>
      <c r="F745" s="13" t="s">
        <v>3159</v>
      </c>
      <c r="G745" s="13" t="s">
        <v>3159</v>
      </c>
      <c r="H745" s="13" t="s">
        <v>3166</v>
      </c>
      <c r="I745" s="13" t="s">
        <v>3261</v>
      </c>
      <c r="J745" s="13" t="s">
        <v>4244</v>
      </c>
      <c r="K745" s="13" t="s">
        <v>3153</v>
      </c>
      <c r="L745" s="13" t="s">
        <v>3179</v>
      </c>
      <c r="M745" s="13" t="s">
        <v>3342</v>
      </c>
      <c r="N745" s="13" t="s">
        <v>3162</v>
      </c>
      <c r="O745" s="13" t="s">
        <v>3167</v>
      </c>
      <c r="P745" s="13">
        <v>1.0</v>
      </c>
      <c r="Q745" s="13" t="s">
        <v>3177</v>
      </c>
      <c r="R745" s="13" t="s">
        <v>3260</v>
      </c>
      <c r="S745" s="13" t="s">
        <v>33</v>
      </c>
      <c r="T745" s="13" t="s">
        <v>3620</v>
      </c>
      <c r="U745" s="13" t="s">
        <v>3164</v>
      </c>
      <c r="V745" s="13" t="s">
        <v>3247</v>
      </c>
      <c r="W745" s="13" t="s">
        <v>3167</v>
      </c>
      <c r="X745" s="13" t="s">
        <v>3170</v>
      </c>
      <c r="Y745" s="13" t="s">
        <v>3156</v>
      </c>
      <c r="Z745" s="13" t="s">
        <v>3167</v>
      </c>
      <c r="AA745" s="13" t="b">
        <v>0</v>
      </c>
      <c r="AB745" s="48"/>
      <c r="AC745" s="49"/>
    </row>
    <row r="746" ht="14.25" customHeight="1">
      <c r="A746" s="13">
        <v>25469.0</v>
      </c>
      <c r="B746" s="13" t="str">
        <f t="shared" si="7"/>
        <v>Observational</v>
      </c>
      <c r="C746" s="13" t="s">
        <v>4864</v>
      </c>
      <c r="D746" s="1" t="s">
        <v>5317</v>
      </c>
      <c r="E746" s="2" t="s">
        <v>5295</v>
      </c>
      <c r="F746" s="13" t="s">
        <v>3183</v>
      </c>
      <c r="G746" s="13" t="s">
        <v>3183</v>
      </c>
      <c r="H746" s="13" t="s">
        <v>3166</v>
      </c>
      <c r="I746" s="13" t="s">
        <v>3181</v>
      </c>
      <c r="J746" s="13" t="s">
        <v>3182</v>
      </c>
      <c r="K746" s="13" t="s">
        <v>3153</v>
      </c>
      <c r="L746" s="13" t="s">
        <v>3179</v>
      </c>
      <c r="M746" s="13" t="s">
        <v>3342</v>
      </c>
      <c r="N746" s="13" t="s">
        <v>3162</v>
      </c>
      <c r="O746" s="13" t="s">
        <v>4245</v>
      </c>
      <c r="P746" s="13">
        <v>2.0</v>
      </c>
      <c r="Q746" s="13" t="s">
        <v>3177</v>
      </c>
      <c r="R746" s="13" t="s">
        <v>3177</v>
      </c>
      <c r="S746" s="13" t="s">
        <v>4245</v>
      </c>
      <c r="T746" s="13" t="s">
        <v>4246</v>
      </c>
      <c r="U746" s="13" t="s">
        <v>3164</v>
      </c>
      <c r="V746" s="13" t="s">
        <v>3247</v>
      </c>
      <c r="W746" s="13" t="s">
        <v>3167</v>
      </c>
      <c r="X746" s="13" t="s">
        <v>3192</v>
      </c>
      <c r="Y746" s="13" t="s">
        <v>3187</v>
      </c>
      <c r="Z746" s="13">
        <v>4500.0</v>
      </c>
      <c r="AA746" s="13" t="b">
        <v>0</v>
      </c>
      <c r="AB746" s="48"/>
      <c r="AC746" s="49"/>
    </row>
    <row r="747" ht="14.25" customHeight="1">
      <c r="A747" s="13">
        <v>25565.0</v>
      </c>
      <c r="B747" s="13" t="str">
        <f t="shared" si="7"/>
        <v>Observational</v>
      </c>
      <c r="C747" s="13" t="s">
        <v>4864</v>
      </c>
      <c r="D747" s="1" t="s">
        <v>5317</v>
      </c>
      <c r="E747" s="2" t="s">
        <v>5295</v>
      </c>
      <c r="F747" s="13" t="s">
        <v>3190</v>
      </c>
      <c r="G747" s="13" t="s">
        <v>3190</v>
      </c>
      <c r="H747" s="13" t="s">
        <v>3166</v>
      </c>
      <c r="I747" s="13" t="s">
        <v>3181</v>
      </c>
      <c r="J747" s="13" t="s">
        <v>3262</v>
      </c>
      <c r="K747" s="13" t="s">
        <v>3153</v>
      </c>
      <c r="L747" s="13" t="s">
        <v>3179</v>
      </c>
      <c r="M747" s="13" t="s">
        <v>3342</v>
      </c>
      <c r="N747" s="13" t="s">
        <v>3162</v>
      </c>
      <c r="O747" s="13" t="s">
        <v>33</v>
      </c>
      <c r="P747" s="13">
        <v>1.0</v>
      </c>
      <c r="Q747" s="13" t="s">
        <v>3160</v>
      </c>
      <c r="R747" s="13" t="s">
        <v>3163</v>
      </c>
      <c r="S747" s="13" t="s">
        <v>33</v>
      </c>
      <c r="T747" s="13" t="s">
        <v>4267</v>
      </c>
      <c r="U747" s="13" t="s">
        <v>3247</v>
      </c>
      <c r="V747" s="13" t="s">
        <v>3247</v>
      </c>
      <c r="W747" s="13" t="s">
        <v>3167</v>
      </c>
      <c r="X747" s="13" t="s">
        <v>3170</v>
      </c>
      <c r="Y747" s="13" t="s">
        <v>3180</v>
      </c>
      <c r="Z747" s="13">
        <v>1.0E-4</v>
      </c>
      <c r="AA747" s="13" t="b">
        <v>0</v>
      </c>
      <c r="AB747" s="48"/>
      <c r="AC747" s="49"/>
    </row>
    <row r="748" ht="14.25" customHeight="1">
      <c r="A748" s="13">
        <v>25574.0</v>
      </c>
      <c r="B748" s="13" t="str">
        <f t="shared" si="7"/>
        <v>Observational</v>
      </c>
      <c r="C748" s="13" t="s">
        <v>4864</v>
      </c>
      <c r="D748" s="1" t="s">
        <v>5317</v>
      </c>
      <c r="E748" s="2" t="s">
        <v>5295</v>
      </c>
      <c r="F748" s="13" t="s">
        <v>3370</v>
      </c>
      <c r="G748" s="13" t="s">
        <v>3370</v>
      </c>
      <c r="H748" s="13" t="s">
        <v>3166</v>
      </c>
      <c r="I748" s="13" t="s">
        <v>3167</v>
      </c>
      <c r="J748" s="13" t="s">
        <v>3167</v>
      </c>
      <c r="K748" s="13" t="s">
        <v>3153</v>
      </c>
      <c r="L748" s="13" t="s">
        <v>3179</v>
      </c>
      <c r="M748" s="13" t="s">
        <v>3342</v>
      </c>
      <c r="N748" s="13" t="s">
        <v>3162</v>
      </c>
      <c r="O748" s="13" t="s">
        <v>33</v>
      </c>
      <c r="P748" s="13">
        <v>1.0</v>
      </c>
      <c r="Q748" s="13" t="s">
        <v>3160</v>
      </c>
      <c r="R748" s="13" t="s">
        <v>3163</v>
      </c>
      <c r="S748" s="13" t="s">
        <v>33</v>
      </c>
      <c r="T748" s="13" t="s">
        <v>4269</v>
      </c>
      <c r="U748" s="13" t="s">
        <v>3247</v>
      </c>
      <c r="V748" s="13" t="s">
        <v>3247</v>
      </c>
      <c r="W748" s="13" t="s">
        <v>3167</v>
      </c>
      <c r="X748" s="13" t="s">
        <v>3217</v>
      </c>
      <c r="Y748" s="13" t="s">
        <v>33</v>
      </c>
      <c r="Z748" s="13" t="s">
        <v>33</v>
      </c>
      <c r="AA748" s="13" t="b">
        <v>0</v>
      </c>
      <c r="AB748" s="48"/>
      <c r="AC748" s="49"/>
    </row>
    <row r="749" ht="14.25" customHeight="1">
      <c r="A749" s="13">
        <v>25598.0</v>
      </c>
      <c r="B749" s="13" t="str">
        <f t="shared" si="7"/>
        <v>Observational</v>
      </c>
      <c r="C749" s="13" t="s">
        <v>5083</v>
      </c>
      <c r="D749" s="1" t="s">
        <v>5317</v>
      </c>
      <c r="E749" s="2" t="s">
        <v>5295</v>
      </c>
      <c r="F749" s="13" t="s">
        <v>3580</v>
      </c>
      <c r="G749" s="13" t="s">
        <v>3580</v>
      </c>
      <c r="H749" s="13" t="s">
        <v>3166</v>
      </c>
      <c r="I749" s="13" t="s">
        <v>3171</v>
      </c>
      <c r="J749" s="13" t="s">
        <v>3378</v>
      </c>
      <c r="K749" s="13" t="s">
        <v>3153</v>
      </c>
      <c r="L749" s="13" t="s">
        <v>3517</v>
      </c>
      <c r="M749" s="13" t="s">
        <v>3342</v>
      </c>
      <c r="N749" s="13" t="s">
        <v>3162</v>
      </c>
      <c r="O749" s="13" t="s">
        <v>33</v>
      </c>
      <c r="P749" s="13">
        <v>1.0</v>
      </c>
      <c r="Q749" s="13" t="s">
        <v>3160</v>
      </c>
      <c r="R749" s="13" t="s">
        <v>3163</v>
      </c>
      <c r="S749" s="13" t="s">
        <v>33</v>
      </c>
      <c r="T749" s="13" t="s">
        <v>3168</v>
      </c>
      <c r="U749" s="13" t="s">
        <v>3232</v>
      </c>
      <c r="V749" s="13" t="s">
        <v>3232</v>
      </c>
      <c r="W749" s="13" t="s">
        <v>3167</v>
      </c>
      <c r="X749" s="13" t="s">
        <v>3170</v>
      </c>
      <c r="Y749" s="13" t="s">
        <v>3156</v>
      </c>
      <c r="Z749" s="13" t="s">
        <v>33</v>
      </c>
      <c r="AA749" s="13" t="b">
        <v>0</v>
      </c>
      <c r="AB749" s="48"/>
      <c r="AC749" s="49"/>
    </row>
    <row r="750" ht="14.25" customHeight="1">
      <c r="A750" s="13">
        <v>25607.0</v>
      </c>
      <c r="B750" s="13" t="str">
        <f t="shared" si="7"/>
        <v>Observational</v>
      </c>
      <c r="C750" s="13" t="s">
        <v>4864</v>
      </c>
      <c r="D750" s="1" t="s">
        <v>5317</v>
      </c>
      <c r="E750" s="2" t="s">
        <v>5295</v>
      </c>
      <c r="F750" s="13" t="s">
        <v>3186</v>
      </c>
      <c r="G750" s="13" t="s">
        <v>3159</v>
      </c>
      <c r="H750" s="13" t="s">
        <v>3166</v>
      </c>
      <c r="I750" s="13" t="s">
        <v>3249</v>
      </c>
      <c r="J750" s="13" t="s">
        <v>3600</v>
      </c>
      <c r="K750" s="13" t="s">
        <v>3153</v>
      </c>
      <c r="L750" s="13" t="s">
        <v>3179</v>
      </c>
      <c r="M750" s="13" t="s">
        <v>3342</v>
      </c>
      <c r="N750" s="13" t="s">
        <v>3162</v>
      </c>
      <c r="O750" s="13" t="s">
        <v>33</v>
      </c>
      <c r="P750" s="13">
        <v>1.0</v>
      </c>
      <c r="Q750" s="13" t="s">
        <v>3160</v>
      </c>
      <c r="R750" s="13" t="s">
        <v>3163</v>
      </c>
      <c r="S750" s="13" t="s">
        <v>33</v>
      </c>
      <c r="T750" s="13" t="s">
        <v>3225</v>
      </c>
      <c r="U750" s="13" t="s">
        <v>3232</v>
      </c>
      <c r="V750" s="13" t="s">
        <v>3232</v>
      </c>
      <c r="W750" s="13" t="s">
        <v>3167</v>
      </c>
      <c r="X750" s="13" t="s">
        <v>3192</v>
      </c>
      <c r="Y750" s="13" t="s">
        <v>3156</v>
      </c>
      <c r="Z750" s="13" t="s">
        <v>33</v>
      </c>
      <c r="AA750" s="13" t="b">
        <v>0</v>
      </c>
      <c r="AB750" s="48"/>
      <c r="AC750" s="49"/>
    </row>
    <row r="751" ht="14.25" customHeight="1">
      <c r="A751" s="13">
        <v>25651.0</v>
      </c>
      <c r="B751" s="13" t="str">
        <f t="shared" si="7"/>
        <v>Observational</v>
      </c>
      <c r="C751" s="13" t="s">
        <v>4864</v>
      </c>
      <c r="D751" s="1" t="s">
        <v>5317</v>
      </c>
      <c r="E751" s="2" t="s">
        <v>5295</v>
      </c>
      <c r="F751" s="13" t="s">
        <v>3159</v>
      </c>
      <c r="G751" s="13" t="s">
        <v>3159</v>
      </c>
      <c r="H751" s="13" t="s">
        <v>3166</v>
      </c>
      <c r="I751" s="13" t="s">
        <v>3261</v>
      </c>
      <c r="J751" s="13" t="s">
        <v>3570</v>
      </c>
      <c r="K751" s="13" t="s">
        <v>3153</v>
      </c>
      <c r="L751" s="13" t="s">
        <v>3179</v>
      </c>
      <c r="M751" s="13" t="s">
        <v>3342</v>
      </c>
      <c r="N751" s="13" t="s">
        <v>3162</v>
      </c>
      <c r="O751" s="13" t="s">
        <v>33</v>
      </c>
      <c r="P751" s="13">
        <v>1.0</v>
      </c>
      <c r="Q751" s="13" t="s">
        <v>3160</v>
      </c>
      <c r="R751" s="13" t="s">
        <v>3163</v>
      </c>
      <c r="S751" s="13" t="s">
        <v>33</v>
      </c>
      <c r="T751" s="13" t="s">
        <v>3168</v>
      </c>
      <c r="U751" s="13" t="s">
        <v>3164</v>
      </c>
      <c r="V751" s="13" t="s">
        <v>3164</v>
      </c>
      <c r="W751" s="13" t="s">
        <v>3167</v>
      </c>
      <c r="X751" s="13" t="s">
        <v>3170</v>
      </c>
      <c r="Y751" s="13" t="s">
        <v>3156</v>
      </c>
      <c r="Z751" s="13" t="s">
        <v>33</v>
      </c>
      <c r="AA751" s="13" t="b">
        <v>0</v>
      </c>
      <c r="AB751" s="47"/>
      <c r="AC751" s="49"/>
    </row>
    <row r="752" ht="14.25" customHeight="1">
      <c r="A752" s="13">
        <v>25674.0</v>
      </c>
      <c r="B752" s="13" t="str">
        <f t="shared" si="7"/>
        <v>Observational</v>
      </c>
      <c r="C752" s="13" t="s">
        <v>4864</v>
      </c>
      <c r="D752" s="1" t="s">
        <v>5317</v>
      </c>
      <c r="E752" s="2" t="s">
        <v>5295</v>
      </c>
      <c r="F752" s="13" t="s">
        <v>3159</v>
      </c>
      <c r="G752" s="13" t="s">
        <v>3186</v>
      </c>
      <c r="H752" s="13" t="s">
        <v>3166</v>
      </c>
      <c r="I752" s="13" t="s">
        <v>3261</v>
      </c>
      <c r="J752" s="13" t="s">
        <v>3240</v>
      </c>
      <c r="K752" s="13" t="s">
        <v>3153</v>
      </c>
      <c r="L752" s="13" t="s">
        <v>3179</v>
      </c>
      <c r="M752" s="13" t="s">
        <v>3342</v>
      </c>
      <c r="N752" s="13" t="s">
        <v>3162</v>
      </c>
      <c r="O752" s="13" t="s">
        <v>33</v>
      </c>
      <c r="P752" s="13">
        <v>1.0</v>
      </c>
      <c r="Q752" s="13" t="s">
        <v>3160</v>
      </c>
      <c r="R752" s="13" t="s">
        <v>3177</v>
      </c>
      <c r="S752" s="13" t="s">
        <v>33</v>
      </c>
      <c r="T752" s="13" t="s">
        <v>4297</v>
      </c>
      <c r="U752" s="13" t="s">
        <v>3164</v>
      </c>
      <c r="V752" s="13" t="s">
        <v>3247</v>
      </c>
      <c r="W752" s="13" t="s">
        <v>3167</v>
      </c>
      <c r="X752" s="13" t="s">
        <v>3192</v>
      </c>
      <c r="Y752" s="13" t="s">
        <v>3156</v>
      </c>
      <c r="Z752" s="13" t="s">
        <v>33</v>
      </c>
      <c r="AA752" s="13" t="b">
        <v>0</v>
      </c>
      <c r="AB752" s="48"/>
      <c r="AC752" s="49"/>
    </row>
    <row r="753" ht="14.25" customHeight="1">
      <c r="A753" s="13">
        <v>25676.0</v>
      </c>
      <c r="B753" s="13" t="str">
        <f t="shared" si="7"/>
        <v>Observational</v>
      </c>
      <c r="C753" s="13" t="s">
        <v>4864</v>
      </c>
      <c r="D753" s="1" t="s">
        <v>5317</v>
      </c>
      <c r="E753" s="2" t="s">
        <v>5295</v>
      </c>
      <c r="F753" s="13" t="s">
        <v>3186</v>
      </c>
      <c r="G753" s="13" t="s">
        <v>3186</v>
      </c>
      <c r="H753" s="13" t="s">
        <v>3253</v>
      </c>
      <c r="I753" s="13" t="s">
        <v>3261</v>
      </c>
      <c r="J753" s="13" t="s">
        <v>3400</v>
      </c>
      <c r="K753" s="13" t="s">
        <v>3153</v>
      </c>
      <c r="L753" s="13" t="s">
        <v>3179</v>
      </c>
      <c r="M753" s="13" t="s">
        <v>3342</v>
      </c>
      <c r="N753" s="13" t="s">
        <v>3162</v>
      </c>
      <c r="O753" s="13" t="s">
        <v>33</v>
      </c>
      <c r="P753" s="13">
        <v>1.0</v>
      </c>
      <c r="Q753" s="13" t="s">
        <v>3177</v>
      </c>
      <c r="R753" s="13" t="s">
        <v>3177</v>
      </c>
      <c r="S753" s="13" t="s">
        <v>33</v>
      </c>
      <c r="T753" s="13" t="s">
        <v>3632</v>
      </c>
      <c r="U753" s="13" t="s">
        <v>3252</v>
      </c>
      <c r="V753" s="13" t="s">
        <v>3252</v>
      </c>
      <c r="W753" s="13" t="s">
        <v>3496</v>
      </c>
      <c r="X753" s="13" t="s">
        <v>3155</v>
      </c>
      <c r="Y753" s="13" t="s">
        <v>3187</v>
      </c>
      <c r="Z753" s="13">
        <v>31.0</v>
      </c>
      <c r="AA753" s="13" t="b">
        <v>0</v>
      </c>
      <c r="AB753" s="48"/>
      <c r="AC753" s="49"/>
    </row>
    <row r="754" ht="14.25" customHeight="1">
      <c r="A754" s="13">
        <v>25675.0</v>
      </c>
      <c r="B754" s="13" t="str">
        <f t="shared" si="7"/>
        <v>Observational</v>
      </c>
      <c r="C754" s="13" t="s">
        <v>4864</v>
      </c>
      <c r="D754" s="1" t="s">
        <v>5317</v>
      </c>
      <c r="E754" s="2" t="s">
        <v>5295</v>
      </c>
      <c r="F754" s="13" t="s">
        <v>3159</v>
      </c>
      <c r="G754" s="13" t="s">
        <v>3159</v>
      </c>
      <c r="H754" s="13" t="s">
        <v>3253</v>
      </c>
      <c r="I754" s="13" t="s">
        <v>3249</v>
      </c>
      <c r="J754" s="13" t="s">
        <v>3199</v>
      </c>
      <c r="K754" s="13" t="s">
        <v>3153</v>
      </c>
      <c r="L754" s="13" t="s">
        <v>3179</v>
      </c>
      <c r="M754" s="13" t="s">
        <v>3342</v>
      </c>
      <c r="N754" s="13" t="s">
        <v>3162</v>
      </c>
      <c r="O754" s="13" t="s">
        <v>33</v>
      </c>
      <c r="P754" s="13">
        <v>1.0</v>
      </c>
      <c r="Q754" s="13" t="s">
        <v>3177</v>
      </c>
      <c r="R754" s="13" t="s">
        <v>3177</v>
      </c>
      <c r="S754" s="13" t="s">
        <v>33</v>
      </c>
      <c r="T754" s="13" t="s">
        <v>3255</v>
      </c>
      <c r="U754" s="13" t="s">
        <v>3197</v>
      </c>
      <c r="V754" s="13" t="s">
        <v>3252</v>
      </c>
      <c r="W754" s="13" t="s">
        <v>3254</v>
      </c>
      <c r="X754" s="13" t="s">
        <v>3170</v>
      </c>
      <c r="Y754" s="13" t="s">
        <v>3202</v>
      </c>
      <c r="Z754" s="13">
        <v>50.0</v>
      </c>
      <c r="AA754" s="13" t="b">
        <v>0</v>
      </c>
      <c r="AB754" s="47"/>
      <c r="AC754" s="49"/>
    </row>
    <row r="755" ht="14.25" customHeight="1">
      <c r="A755" s="13">
        <v>25680.0</v>
      </c>
      <c r="B755" s="13" t="str">
        <f t="shared" si="7"/>
        <v>Observational</v>
      </c>
      <c r="C755" s="13" t="s">
        <v>4864</v>
      </c>
      <c r="D755" s="1" t="s">
        <v>5317</v>
      </c>
      <c r="E755" s="2" t="s">
        <v>5295</v>
      </c>
      <c r="F755" s="13" t="s">
        <v>3159</v>
      </c>
      <c r="G755" s="13" t="s">
        <v>3159</v>
      </c>
      <c r="H755" s="13" t="s">
        <v>3166</v>
      </c>
      <c r="I755" s="13" t="s">
        <v>3261</v>
      </c>
      <c r="J755" s="13" t="s">
        <v>3240</v>
      </c>
      <c r="K755" s="13" t="s">
        <v>3153</v>
      </c>
      <c r="L755" s="13" t="s">
        <v>3179</v>
      </c>
      <c r="M755" s="13" t="s">
        <v>3342</v>
      </c>
      <c r="N755" s="13" t="s">
        <v>3162</v>
      </c>
      <c r="O755" s="13" t="s">
        <v>33</v>
      </c>
      <c r="P755" s="13">
        <v>1.0</v>
      </c>
      <c r="Q755" s="13" t="s">
        <v>3177</v>
      </c>
      <c r="R755" s="13" t="s">
        <v>3163</v>
      </c>
      <c r="S755" s="13" t="s">
        <v>33</v>
      </c>
      <c r="T755" s="13" t="s">
        <v>3168</v>
      </c>
      <c r="U755" s="13" t="s">
        <v>3232</v>
      </c>
      <c r="V755" s="13" t="s">
        <v>3232</v>
      </c>
      <c r="W755" s="13" t="s">
        <v>3167</v>
      </c>
      <c r="X755" s="13" t="s">
        <v>3170</v>
      </c>
      <c r="Y755" s="13" t="s">
        <v>3538</v>
      </c>
      <c r="Z755" s="13">
        <v>100.0</v>
      </c>
      <c r="AA755" s="13" t="b">
        <v>0</v>
      </c>
      <c r="AB755" s="48"/>
      <c r="AC755" s="49"/>
    </row>
    <row r="756" ht="14.25" customHeight="1">
      <c r="A756" s="13">
        <v>25684.0</v>
      </c>
      <c r="B756" s="13" t="str">
        <f t="shared" si="7"/>
        <v>Observational</v>
      </c>
      <c r="C756" s="13" t="s">
        <v>4864</v>
      </c>
      <c r="D756" s="1" t="s">
        <v>5317</v>
      </c>
      <c r="E756" s="2" t="s">
        <v>5295</v>
      </c>
      <c r="F756" s="13" t="s">
        <v>3173</v>
      </c>
      <c r="G756" s="13" t="s">
        <v>3173</v>
      </c>
      <c r="H756" s="13" t="s">
        <v>3166</v>
      </c>
      <c r="I756" s="13" t="s">
        <v>4299</v>
      </c>
      <c r="J756" s="13" t="s">
        <v>3167</v>
      </c>
      <c r="K756" s="13" t="s">
        <v>3153</v>
      </c>
      <c r="L756" s="13" t="s">
        <v>3179</v>
      </c>
      <c r="M756" s="13" t="s">
        <v>3342</v>
      </c>
      <c r="N756" s="13" t="s">
        <v>3162</v>
      </c>
      <c r="O756" s="13" t="s">
        <v>33</v>
      </c>
      <c r="P756" s="13">
        <v>1.0</v>
      </c>
      <c r="Q756" s="13" t="s">
        <v>3177</v>
      </c>
      <c r="R756" s="13" t="s">
        <v>3163</v>
      </c>
      <c r="S756" s="13" t="s">
        <v>33</v>
      </c>
      <c r="T756" s="13" t="s">
        <v>3255</v>
      </c>
      <c r="U756" s="13" t="s">
        <v>3197</v>
      </c>
      <c r="V756" s="13" t="s">
        <v>3197</v>
      </c>
      <c r="W756" s="13" t="s">
        <v>3167</v>
      </c>
      <c r="X756" s="13" t="s">
        <v>3284</v>
      </c>
      <c r="Y756" s="13" t="s">
        <v>3187</v>
      </c>
      <c r="Z756" s="13">
        <v>1.0</v>
      </c>
      <c r="AA756" s="13" t="b">
        <v>0</v>
      </c>
      <c r="AB756" s="48"/>
      <c r="AC756" s="49"/>
    </row>
    <row r="757" ht="14.25" customHeight="1">
      <c r="A757" s="13">
        <v>25692.0</v>
      </c>
      <c r="B757" s="13" t="str">
        <f t="shared" si="7"/>
        <v>Observational</v>
      </c>
      <c r="C757" s="13" t="s">
        <v>4864</v>
      </c>
      <c r="D757" s="1" t="s">
        <v>5317</v>
      </c>
      <c r="E757" s="2" t="s">
        <v>5295</v>
      </c>
      <c r="F757" s="13" t="s">
        <v>3183</v>
      </c>
      <c r="G757" s="13" t="s">
        <v>3159</v>
      </c>
      <c r="H757" s="13" t="s">
        <v>3166</v>
      </c>
      <c r="I757" s="13" t="s">
        <v>3261</v>
      </c>
      <c r="J757" s="13" t="s">
        <v>3229</v>
      </c>
      <c r="K757" s="13" t="s">
        <v>3153</v>
      </c>
      <c r="L757" s="13" t="s">
        <v>3179</v>
      </c>
      <c r="M757" s="13" t="s">
        <v>3342</v>
      </c>
      <c r="N757" s="13" t="s">
        <v>3162</v>
      </c>
      <c r="O757" s="13" t="s">
        <v>4305</v>
      </c>
      <c r="P757" s="13">
        <v>1.0</v>
      </c>
      <c r="Q757" s="13" t="s">
        <v>3177</v>
      </c>
      <c r="R757" s="13" t="s">
        <v>3163</v>
      </c>
      <c r="S757" s="13" t="s">
        <v>33</v>
      </c>
      <c r="T757" s="13" t="s">
        <v>4055</v>
      </c>
      <c r="U757" s="13" t="s">
        <v>3247</v>
      </c>
      <c r="V757" s="13" t="s">
        <v>3247</v>
      </c>
      <c r="W757" s="13" t="s">
        <v>3167</v>
      </c>
      <c r="X757" s="13" t="s">
        <v>3192</v>
      </c>
      <c r="Y757" s="13" t="s">
        <v>33</v>
      </c>
      <c r="Z757" s="13" t="s">
        <v>33</v>
      </c>
      <c r="AA757" s="13" t="b">
        <v>0</v>
      </c>
      <c r="AB757" s="48"/>
      <c r="AC757" s="49"/>
    </row>
    <row r="758" ht="14.25" customHeight="1">
      <c r="A758" s="13">
        <v>25711.0</v>
      </c>
      <c r="B758" s="13" t="str">
        <f t="shared" si="7"/>
        <v>Observational</v>
      </c>
      <c r="C758" s="13" t="s">
        <v>4864</v>
      </c>
      <c r="D758" s="1" t="s">
        <v>5317</v>
      </c>
      <c r="E758" s="2" t="s">
        <v>5295</v>
      </c>
      <c r="F758" s="13" t="s">
        <v>3183</v>
      </c>
      <c r="G758" s="13" t="s">
        <v>3381</v>
      </c>
      <c r="H758" s="13" t="s">
        <v>3166</v>
      </c>
      <c r="I758" s="13" t="s">
        <v>3167</v>
      </c>
      <c r="J758" s="13" t="s">
        <v>3167</v>
      </c>
      <c r="K758" s="13" t="s">
        <v>3153</v>
      </c>
      <c r="L758" s="13" t="s">
        <v>3179</v>
      </c>
      <c r="M758" s="13" t="s">
        <v>3342</v>
      </c>
      <c r="N758" s="13" t="s">
        <v>3162</v>
      </c>
      <c r="O758" s="13" t="s">
        <v>4307</v>
      </c>
      <c r="P758" s="13">
        <v>1.0</v>
      </c>
      <c r="Q758" s="13" t="s">
        <v>3177</v>
      </c>
      <c r="R758" s="13" t="s">
        <v>3163</v>
      </c>
      <c r="S758" s="13" t="s">
        <v>4308</v>
      </c>
      <c r="T758" s="13" t="s">
        <v>3255</v>
      </c>
      <c r="U758" s="13" t="s">
        <v>3197</v>
      </c>
      <c r="V758" s="13" t="s">
        <v>3197</v>
      </c>
      <c r="W758" s="13" t="s">
        <v>3167</v>
      </c>
      <c r="X758" s="13" t="s">
        <v>3217</v>
      </c>
      <c r="Y758" s="13" t="s">
        <v>3180</v>
      </c>
      <c r="Z758" s="13">
        <v>0.5</v>
      </c>
      <c r="AA758" s="13" t="b">
        <v>0</v>
      </c>
      <c r="AB758" s="48"/>
      <c r="AC758" s="49"/>
    </row>
    <row r="759" ht="14.25" customHeight="1">
      <c r="A759" s="13" t="s">
        <v>2679</v>
      </c>
      <c r="B759" s="13" t="str">
        <f t="shared" si="7"/>
        <v>Observational</v>
      </c>
      <c r="C759" s="13" t="s">
        <v>4864</v>
      </c>
      <c r="D759" s="1" t="s">
        <v>5317</v>
      </c>
      <c r="E759" s="2" t="s">
        <v>5295</v>
      </c>
      <c r="F759" s="13" t="s">
        <v>3183</v>
      </c>
      <c r="G759" s="13" t="s">
        <v>3183</v>
      </c>
      <c r="H759" s="13" t="s">
        <v>3166</v>
      </c>
      <c r="I759" s="13" t="s">
        <v>3167</v>
      </c>
      <c r="J759" s="13" t="s">
        <v>3167</v>
      </c>
      <c r="K759" s="13" t="s">
        <v>3153</v>
      </c>
      <c r="L759" s="13" t="s">
        <v>3179</v>
      </c>
      <c r="M759" s="13" t="s">
        <v>3342</v>
      </c>
      <c r="N759" s="13" t="s">
        <v>3162</v>
      </c>
      <c r="O759" s="13" t="s">
        <v>3724</v>
      </c>
      <c r="P759" s="13">
        <v>1.0</v>
      </c>
      <c r="Q759" s="13" t="s">
        <v>3177</v>
      </c>
      <c r="R759" s="13" t="s">
        <v>3163</v>
      </c>
      <c r="S759" s="13" t="s">
        <v>4309</v>
      </c>
      <c r="T759" s="13" t="s">
        <v>3255</v>
      </c>
      <c r="U759" s="13" t="s">
        <v>3197</v>
      </c>
      <c r="V759" s="13" t="s">
        <v>3197</v>
      </c>
      <c r="W759" s="13" t="s">
        <v>3167</v>
      </c>
      <c r="X759" s="13" t="s">
        <v>3217</v>
      </c>
      <c r="Y759" s="13" t="s">
        <v>33</v>
      </c>
      <c r="Z759" s="13" t="s">
        <v>33</v>
      </c>
      <c r="AA759" s="13" t="b">
        <v>0</v>
      </c>
      <c r="AB759" s="48"/>
      <c r="AC759" s="49"/>
    </row>
    <row r="760" ht="14.25" customHeight="1">
      <c r="A760" s="13">
        <v>25732.0</v>
      </c>
      <c r="B760" s="13" t="str">
        <f t="shared" si="7"/>
        <v>Observational</v>
      </c>
      <c r="C760" s="13" t="s">
        <v>4864</v>
      </c>
      <c r="D760" s="1" t="s">
        <v>5317</v>
      </c>
      <c r="E760" s="2" t="s">
        <v>5295</v>
      </c>
      <c r="F760" s="13" t="s">
        <v>3195</v>
      </c>
      <c r="G760" s="13" t="s">
        <v>3208</v>
      </c>
      <c r="H760" s="13" t="s">
        <v>3166</v>
      </c>
      <c r="I760" s="13" t="s">
        <v>3763</v>
      </c>
      <c r="J760" s="13" t="s">
        <v>3764</v>
      </c>
      <c r="K760" s="13" t="s">
        <v>3153</v>
      </c>
      <c r="L760" s="13" t="s">
        <v>3179</v>
      </c>
      <c r="M760" s="13" t="s">
        <v>3342</v>
      </c>
      <c r="N760" s="13" t="s">
        <v>3162</v>
      </c>
      <c r="O760" s="13" t="s">
        <v>3689</v>
      </c>
      <c r="P760" s="13">
        <v>1.0</v>
      </c>
      <c r="Q760" s="13" t="s">
        <v>3160</v>
      </c>
      <c r="R760" s="13" t="s">
        <v>3231</v>
      </c>
      <c r="S760" s="13" t="s">
        <v>33</v>
      </c>
      <c r="T760" s="13" t="s">
        <v>3224</v>
      </c>
      <c r="U760" s="13" t="s">
        <v>3164</v>
      </c>
      <c r="V760" s="13" t="s">
        <v>3165</v>
      </c>
      <c r="W760" s="13" t="s">
        <v>3167</v>
      </c>
      <c r="X760" s="13" t="s">
        <v>3155</v>
      </c>
      <c r="Y760" s="13" t="s">
        <v>3156</v>
      </c>
      <c r="Z760" s="13" t="s">
        <v>3167</v>
      </c>
      <c r="AA760" s="13" t="b">
        <v>0</v>
      </c>
      <c r="AB760" s="48"/>
      <c r="AC760" s="49"/>
    </row>
    <row r="761" ht="14.25" customHeight="1">
      <c r="A761" s="13">
        <v>25757.0</v>
      </c>
      <c r="B761" s="13" t="str">
        <f t="shared" si="7"/>
        <v>Observational</v>
      </c>
      <c r="C761" s="13" t="s">
        <v>4864</v>
      </c>
      <c r="D761" s="1" t="s">
        <v>5317</v>
      </c>
      <c r="E761" s="2" t="s">
        <v>5295</v>
      </c>
      <c r="F761" s="13" t="s">
        <v>3186</v>
      </c>
      <c r="G761" s="13" t="s">
        <v>3210</v>
      </c>
      <c r="H761" s="13" t="s">
        <v>3195</v>
      </c>
      <c r="I761" s="13" t="s">
        <v>3264</v>
      </c>
      <c r="J761" s="13" t="s">
        <v>3204</v>
      </c>
      <c r="K761" s="13" t="s">
        <v>3153</v>
      </c>
      <c r="L761" s="13" t="s">
        <v>3179</v>
      </c>
      <c r="M761" s="13" t="s">
        <v>3342</v>
      </c>
      <c r="N761" s="13" t="s">
        <v>3162</v>
      </c>
      <c r="O761" s="13" t="s">
        <v>33</v>
      </c>
      <c r="P761" s="13">
        <v>1.0</v>
      </c>
      <c r="Q761" s="13" t="s">
        <v>3177</v>
      </c>
      <c r="R761" s="13" t="s">
        <v>3163</v>
      </c>
      <c r="S761" s="13" t="s">
        <v>33</v>
      </c>
      <c r="T761" s="13" t="s">
        <v>3167</v>
      </c>
      <c r="U761" s="13" t="s">
        <v>3195</v>
      </c>
      <c r="V761" s="13" t="s">
        <v>3195</v>
      </c>
      <c r="W761" s="13" t="s">
        <v>3167</v>
      </c>
      <c r="X761" s="13" t="s">
        <v>3192</v>
      </c>
      <c r="Y761" s="13" t="s">
        <v>3202</v>
      </c>
      <c r="Z761" s="13">
        <v>50.0</v>
      </c>
      <c r="AA761" s="13" t="b">
        <v>0</v>
      </c>
      <c r="AB761" s="48"/>
      <c r="AC761" s="49"/>
    </row>
    <row r="762" ht="14.25" customHeight="1">
      <c r="A762" s="13">
        <v>25761.0</v>
      </c>
      <c r="B762" s="13" t="str">
        <f t="shared" si="7"/>
        <v>Observational</v>
      </c>
      <c r="C762" s="13" t="s">
        <v>4864</v>
      </c>
      <c r="D762" s="1" t="s">
        <v>5317</v>
      </c>
      <c r="E762" s="2" t="s">
        <v>5295</v>
      </c>
      <c r="F762" s="13" t="s">
        <v>3183</v>
      </c>
      <c r="G762" s="13" t="s">
        <v>3287</v>
      </c>
      <c r="H762" s="13" t="s">
        <v>3166</v>
      </c>
      <c r="I762" s="13" t="s">
        <v>3392</v>
      </c>
      <c r="J762" s="13" t="s">
        <v>4322</v>
      </c>
      <c r="K762" s="13" t="s">
        <v>3153</v>
      </c>
      <c r="L762" s="13" t="s">
        <v>3179</v>
      </c>
      <c r="M762" s="13" t="s">
        <v>3342</v>
      </c>
      <c r="N762" s="13" t="s">
        <v>3162</v>
      </c>
      <c r="O762" s="13" t="s">
        <v>4323</v>
      </c>
      <c r="P762" s="13">
        <v>1.0</v>
      </c>
      <c r="Q762" s="13" t="s">
        <v>3160</v>
      </c>
      <c r="R762" s="13" t="s">
        <v>3163</v>
      </c>
      <c r="S762" s="13" t="s">
        <v>33</v>
      </c>
      <c r="T762" s="13" t="s">
        <v>3224</v>
      </c>
      <c r="U762" s="13" t="s">
        <v>3164</v>
      </c>
      <c r="V762" s="13" t="s">
        <v>3164</v>
      </c>
      <c r="W762" s="13" t="s">
        <v>3167</v>
      </c>
      <c r="X762" s="13" t="s">
        <v>3211</v>
      </c>
      <c r="Y762" s="13" t="s">
        <v>3156</v>
      </c>
      <c r="Z762" s="13" t="s">
        <v>33</v>
      </c>
      <c r="AA762" s="13" t="b">
        <v>0</v>
      </c>
      <c r="AB762" s="48"/>
      <c r="AC762" s="49"/>
    </row>
    <row r="763" ht="14.25" customHeight="1">
      <c r="A763" s="13">
        <v>25796.0</v>
      </c>
      <c r="B763" s="13" t="str">
        <f t="shared" si="7"/>
        <v>Observational</v>
      </c>
      <c r="C763" s="13" t="s">
        <v>4864</v>
      </c>
      <c r="D763" s="1" t="s">
        <v>5317</v>
      </c>
      <c r="E763" s="2" t="s">
        <v>5295</v>
      </c>
      <c r="F763" s="13" t="s">
        <v>3183</v>
      </c>
      <c r="G763" s="13" t="s">
        <v>3287</v>
      </c>
      <c r="H763" s="13" t="s">
        <v>3166</v>
      </c>
      <c r="I763" s="13" t="s">
        <v>3533</v>
      </c>
      <c r="J763" s="13" t="s">
        <v>3289</v>
      </c>
      <c r="K763" s="13" t="s">
        <v>3153</v>
      </c>
      <c r="L763" s="13" t="s">
        <v>3179</v>
      </c>
      <c r="M763" s="13" t="s">
        <v>3342</v>
      </c>
      <c r="N763" s="13" t="s">
        <v>3162</v>
      </c>
      <c r="O763" s="13" t="s">
        <v>3167</v>
      </c>
      <c r="P763" s="13">
        <v>1.0</v>
      </c>
      <c r="Q763" s="13" t="s">
        <v>3160</v>
      </c>
      <c r="R763" s="13" t="s">
        <v>3260</v>
      </c>
      <c r="S763" s="13" t="s">
        <v>33</v>
      </c>
      <c r="T763" s="13" t="s">
        <v>3225</v>
      </c>
      <c r="U763" s="13" t="s">
        <v>3164</v>
      </c>
      <c r="V763" s="13" t="s">
        <v>3164</v>
      </c>
      <c r="W763" s="13" t="s">
        <v>3167</v>
      </c>
      <c r="X763" s="13" t="s">
        <v>3211</v>
      </c>
      <c r="Y763" s="13" t="s">
        <v>3180</v>
      </c>
      <c r="Z763" s="13" t="s">
        <v>3180</v>
      </c>
      <c r="AA763" s="13" t="b">
        <v>0</v>
      </c>
      <c r="AB763" s="48"/>
      <c r="AC763" s="49"/>
    </row>
    <row r="764" ht="14.25" customHeight="1">
      <c r="A764" s="13">
        <v>25805.0</v>
      </c>
      <c r="B764" s="13" t="str">
        <f t="shared" si="7"/>
        <v>Observational</v>
      </c>
      <c r="C764" s="13" t="s">
        <v>4864</v>
      </c>
      <c r="D764" s="1" t="s">
        <v>5317</v>
      </c>
      <c r="E764" s="2" t="s">
        <v>5295</v>
      </c>
      <c r="F764" s="13" t="s">
        <v>3183</v>
      </c>
      <c r="G764" s="13" t="s">
        <v>3159</v>
      </c>
      <c r="H764" s="13" t="s">
        <v>3166</v>
      </c>
      <c r="I764" s="13" t="s">
        <v>3264</v>
      </c>
      <c r="J764" s="13" t="s">
        <v>4329</v>
      </c>
      <c r="K764" s="13" t="s">
        <v>3153</v>
      </c>
      <c r="L764" s="13" t="s">
        <v>3179</v>
      </c>
      <c r="M764" s="13" t="s">
        <v>3342</v>
      </c>
      <c r="N764" s="13" t="s">
        <v>3162</v>
      </c>
      <c r="O764" s="13" t="s">
        <v>3167</v>
      </c>
      <c r="P764" s="13">
        <v>1.0</v>
      </c>
      <c r="Q764" s="13" t="s">
        <v>3160</v>
      </c>
      <c r="R764" s="13" t="s">
        <v>3260</v>
      </c>
      <c r="S764" s="13" t="s">
        <v>33</v>
      </c>
      <c r="T764" s="13" t="s">
        <v>3224</v>
      </c>
      <c r="U764" s="13" t="s">
        <v>3164</v>
      </c>
      <c r="V764" s="13" t="s">
        <v>3164</v>
      </c>
      <c r="W764" s="13" t="s">
        <v>3167</v>
      </c>
      <c r="X764" s="13" t="s">
        <v>3192</v>
      </c>
      <c r="Y764" s="13" t="s">
        <v>3187</v>
      </c>
      <c r="Z764" s="13">
        <v>50.0</v>
      </c>
      <c r="AA764" s="13" t="b">
        <v>0</v>
      </c>
      <c r="AB764" s="48"/>
      <c r="AC764" s="49"/>
    </row>
    <row r="765" ht="14.25" customHeight="1">
      <c r="A765" s="13">
        <v>25832.0</v>
      </c>
      <c r="B765" s="13" t="str">
        <f t="shared" si="7"/>
        <v>Observational</v>
      </c>
      <c r="C765" s="13" t="s">
        <v>4864</v>
      </c>
      <c r="D765" s="1" t="s">
        <v>5317</v>
      </c>
      <c r="E765" s="2" t="s">
        <v>5295</v>
      </c>
      <c r="F765" s="13" t="s">
        <v>3183</v>
      </c>
      <c r="G765" s="13" t="s">
        <v>3183</v>
      </c>
      <c r="H765" s="13" t="s">
        <v>3166</v>
      </c>
      <c r="I765" s="13" t="s">
        <v>4015</v>
      </c>
      <c r="J765" s="13" t="s">
        <v>3204</v>
      </c>
      <c r="K765" s="13" t="s">
        <v>3153</v>
      </c>
      <c r="L765" s="13" t="s">
        <v>3179</v>
      </c>
      <c r="M765" s="13" t="s">
        <v>3342</v>
      </c>
      <c r="N765" s="13" t="s">
        <v>3162</v>
      </c>
      <c r="O765" s="13" t="s">
        <v>3689</v>
      </c>
      <c r="P765" s="13">
        <v>1.0</v>
      </c>
      <c r="Q765" s="13" t="s">
        <v>3177</v>
      </c>
      <c r="R765" s="13" t="s">
        <v>3177</v>
      </c>
      <c r="S765" s="13" t="s">
        <v>3689</v>
      </c>
      <c r="T765" s="13" t="s">
        <v>3178</v>
      </c>
      <c r="U765" s="13" t="s">
        <v>3232</v>
      </c>
      <c r="V765" s="13" t="s">
        <v>3232</v>
      </c>
      <c r="W765" s="13" t="s">
        <v>3167</v>
      </c>
      <c r="X765" s="13" t="s">
        <v>3155</v>
      </c>
      <c r="Y765" s="13" t="s">
        <v>3180</v>
      </c>
      <c r="Z765" s="13">
        <v>0.5</v>
      </c>
      <c r="AA765" s="13" t="b">
        <v>0</v>
      </c>
      <c r="AB765" s="48"/>
      <c r="AC765" s="49"/>
    </row>
    <row r="766" ht="14.25" customHeight="1">
      <c r="A766" s="13">
        <v>25866.0</v>
      </c>
      <c r="B766" s="13" t="str">
        <f t="shared" si="7"/>
        <v>Observational</v>
      </c>
      <c r="C766" s="13" t="s">
        <v>4864</v>
      </c>
      <c r="D766" s="1" t="s">
        <v>5317</v>
      </c>
      <c r="E766" s="2" t="s">
        <v>5295</v>
      </c>
      <c r="F766" s="13" t="s">
        <v>3290</v>
      </c>
      <c r="G766" s="13" t="s">
        <v>3335</v>
      </c>
      <c r="H766" s="13" t="s">
        <v>3195</v>
      </c>
      <c r="I766" s="13" t="s">
        <v>3261</v>
      </c>
      <c r="J766" s="13" t="s">
        <v>4360</v>
      </c>
      <c r="K766" s="13" t="s">
        <v>3153</v>
      </c>
      <c r="L766" s="13" t="s">
        <v>3179</v>
      </c>
      <c r="M766" s="13" t="s">
        <v>3342</v>
      </c>
      <c r="N766" s="13" t="s">
        <v>3162</v>
      </c>
      <c r="O766" s="13" t="s">
        <v>33</v>
      </c>
      <c r="P766" s="13">
        <v>1.0</v>
      </c>
      <c r="Q766" s="13" t="s">
        <v>3177</v>
      </c>
      <c r="R766" s="13" t="s">
        <v>3163</v>
      </c>
      <c r="S766" s="13" t="s">
        <v>3601</v>
      </c>
      <c r="T766" s="13" t="s">
        <v>3167</v>
      </c>
      <c r="U766" s="13" t="s">
        <v>3195</v>
      </c>
      <c r="V766" s="13" t="s">
        <v>3195</v>
      </c>
      <c r="W766" s="13" t="s">
        <v>3167</v>
      </c>
      <c r="X766" s="13" t="s">
        <v>3211</v>
      </c>
      <c r="Y766" s="13" t="s">
        <v>33</v>
      </c>
      <c r="Z766" s="13" t="s">
        <v>33</v>
      </c>
      <c r="AA766" s="13" t="b">
        <v>0</v>
      </c>
      <c r="AB766" s="48"/>
      <c r="AC766" s="49"/>
    </row>
    <row r="767" ht="14.25" customHeight="1">
      <c r="A767" s="13">
        <v>25884.0</v>
      </c>
      <c r="B767" s="13" t="str">
        <f t="shared" si="7"/>
        <v>Observational</v>
      </c>
      <c r="C767" s="13" t="s">
        <v>4864</v>
      </c>
      <c r="D767" s="1" t="s">
        <v>5317</v>
      </c>
      <c r="E767" s="2" t="s">
        <v>5295</v>
      </c>
      <c r="F767" s="13" t="s">
        <v>3159</v>
      </c>
      <c r="G767" s="13" t="s">
        <v>3159</v>
      </c>
      <c r="H767" s="13" t="s">
        <v>3166</v>
      </c>
      <c r="I767" s="13" t="s">
        <v>3249</v>
      </c>
      <c r="J767" s="13" t="s">
        <v>3307</v>
      </c>
      <c r="K767" s="13" t="s">
        <v>3153</v>
      </c>
      <c r="L767" s="13" t="s">
        <v>3179</v>
      </c>
      <c r="M767" s="13" t="s">
        <v>3342</v>
      </c>
      <c r="N767" s="13" t="s">
        <v>3162</v>
      </c>
      <c r="O767" s="13" t="s">
        <v>3167</v>
      </c>
      <c r="P767" s="13">
        <v>1.0</v>
      </c>
      <c r="Q767" s="13" t="s">
        <v>3160</v>
      </c>
      <c r="R767" s="13" t="s">
        <v>3231</v>
      </c>
      <c r="S767" s="13" t="s">
        <v>33</v>
      </c>
      <c r="T767" s="13" t="s">
        <v>3738</v>
      </c>
      <c r="U767" s="13" t="s">
        <v>3197</v>
      </c>
      <c r="V767" s="13" t="s">
        <v>3197</v>
      </c>
      <c r="W767" s="13" t="s">
        <v>3167</v>
      </c>
      <c r="X767" s="13" t="s">
        <v>3192</v>
      </c>
      <c r="Y767" s="13" t="s">
        <v>3156</v>
      </c>
      <c r="Z767" s="13" t="s">
        <v>3167</v>
      </c>
      <c r="AA767" s="13" t="b">
        <v>0</v>
      </c>
      <c r="AB767" s="48"/>
      <c r="AC767" s="49"/>
    </row>
    <row r="768" ht="14.25" customHeight="1">
      <c r="A768" s="13">
        <v>25913.0</v>
      </c>
      <c r="B768" s="13" t="str">
        <f t="shared" si="7"/>
        <v>Observational</v>
      </c>
      <c r="C768" s="13" t="s">
        <v>4864</v>
      </c>
      <c r="D768" s="1" t="s">
        <v>5317</v>
      </c>
      <c r="E768" s="2" t="s">
        <v>5295</v>
      </c>
      <c r="F768" s="13" t="s">
        <v>3296</v>
      </c>
      <c r="G768" s="13" t="s">
        <v>3545</v>
      </c>
      <c r="H768" s="13" t="s">
        <v>3166</v>
      </c>
      <c r="I768" s="13" t="s">
        <v>3193</v>
      </c>
      <c r="J768" s="13" t="s">
        <v>4389</v>
      </c>
      <c r="K768" s="13" t="s">
        <v>3153</v>
      </c>
      <c r="L768" s="13" t="s">
        <v>3179</v>
      </c>
      <c r="M768" s="13" t="s">
        <v>3342</v>
      </c>
      <c r="N768" s="13" t="s">
        <v>3162</v>
      </c>
      <c r="O768" s="13" t="s">
        <v>33</v>
      </c>
      <c r="P768" s="13">
        <v>1.0</v>
      </c>
      <c r="Q768" s="13" t="s">
        <v>3160</v>
      </c>
      <c r="R768" s="13" t="s">
        <v>3177</v>
      </c>
      <c r="S768" s="13" t="s">
        <v>4390</v>
      </c>
      <c r="T768" s="13" t="s">
        <v>3178</v>
      </c>
      <c r="U768" s="13" t="s">
        <v>3164</v>
      </c>
      <c r="V768" s="13" t="s">
        <v>3165</v>
      </c>
      <c r="W768" s="13" t="s">
        <v>3167</v>
      </c>
      <c r="X768" s="13" t="s">
        <v>3211</v>
      </c>
      <c r="Y768" s="13" t="s">
        <v>3156</v>
      </c>
      <c r="Z768" s="13" t="s">
        <v>33</v>
      </c>
      <c r="AA768" s="13" t="b">
        <v>0</v>
      </c>
      <c r="AB768" s="48"/>
      <c r="AC768" s="49"/>
    </row>
    <row r="769" ht="14.25" customHeight="1">
      <c r="A769" s="13">
        <v>25953.0</v>
      </c>
      <c r="B769" s="13" t="str">
        <f t="shared" si="7"/>
        <v>Observational</v>
      </c>
      <c r="C769" s="13" t="s">
        <v>4864</v>
      </c>
      <c r="D769" s="1" t="s">
        <v>5317</v>
      </c>
      <c r="E769" s="2" t="s">
        <v>5295</v>
      </c>
      <c r="F769" s="13" t="s">
        <v>3338</v>
      </c>
      <c r="G769" s="13" t="s">
        <v>3338</v>
      </c>
      <c r="H769" s="13" t="s">
        <v>3166</v>
      </c>
      <c r="I769" s="13" t="s">
        <v>3167</v>
      </c>
      <c r="J769" s="13" t="s">
        <v>3167</v>
      </c>
      <c r="K769" s="13" t="s">
        <v>3153</v>
      </c>
      <c r="L769" s="13" t="s">
        <v>3179</v>
      </c>
      <c r="M769" s="13" t="s">
        <v>3342</v>
      </c>
      <c r="N769" s="13" t="s">
        <v>3162</v>
      </c>
      <c r="O769" s="13" t="s">
        <v>33</v>
      </c>
      <c r="P769" s="13">
        <v>1.0</v>
      </c>
      <c r="Q769" s="13" t="s">
        <v>3177</v>
      </c>
      <c r="R769" s="13" t="s">
        <v>3163</v>
      </c>
      <c r="S769" s="13" t="s">
        <v>33</v>
      </c>
      <c r="T769" s="13" t="s">
        <v>3216</v>
      </c>
      <c r="U769" s="13" t="s">
        <v>3164</v>
      </c>
      <c r="V769" s="13" t="s">
        <v>3165</v>
      </c>
      <c r="W769" s="13" t="s">
        <v>3167</v>
      </c>
      <c r="X769" s="13" t="s">
        <v>3217</v>
      </c>
      <c r="Y769" s="13" t="s">
        <v>3156</v>
      </c>
      <c r="Z769" s="13" t="s">
        <v>33</v>
      </c>
      <c r="AA769" s="13" t="b">
        <v>0</v>
      </c>
      <c r="AB769" s="48"/>
      <c r="AC769" s="49"/>
    </row>
    <row r="770" ht="14.25" customHeight="1">
      <c r="A770" s="13">
        <v>25986.0</v>
      </c>
      <c r="B770" s="13" t="str">
        <f t="shared" si="7"/>
        <v>Observational</v>
      </c>
      <c r="C770" s="13" t="s">
        <v>4864</v>
      </c>
      <c r="D770" s="1" t="s">
        <v>5317</v>
      </c>
      <c r="E770" s="2" t="s">
        <v>5295</v>
      </c>
      <c r="F770" s="13" t="s">
        <v>3208</v>
      </c>
      <c r="G770" s="13" t="s">
        <v>3208</v>
      </c>
      <c r="H770" s="13" t="s">
        <v>3166</v>
      </c>
      <c r="I770" s="13" t="s">
        <v>3392</v>
      </c>
      <c r="J770" s="13" t="s">
        <v>3167</v>
      </c>
      <c r="K770" s="13" t="s">
        <v>3153</v>
      </c>
      <c r="L770" s="13" t="s">
        <v>3179</v>
      </c>
      <c r="M770" s="13" t="s">
        <v>3342</v>
      </c>
      <c r="N770" s="13" t="s">
        <v>3162</v>
      </c>
      <c r="O770" s="13" t="s">
        <v>33</v>
      </c>
      <c r="P770" s="13">
        <v>1.0</v>
      </c>
      <c r="Q770" s="13" t="s">
        <v>3160</v>
      </c>
      <c r="R770" s="13" t="s">
        <v>3163</v>
      </c>
      <c r="S770" s="13" t="s">
        <v>33</v>
      </c>
      <c r="T770" s="13" t="s">
        <v>3224</v>
      </c>
      <c r="U770" s="13" t="s">
        <v>3164</v>
      </c>
      <c r="V770" s="13" t="s">
        <v>3164</v>
      </c>
      <c r="W770" s="13" t="s">
        <v>3167</v>
      </c>
      <c r="X770" s="13" t="s">
        <v>3284</v>
      </c>
      <c r="Y770" s="13" t="s">
        <v>3156</v>
      </c>
      <c r="Z770" s="13" t="s">
        <v>33</v>
      </c>
      <c r="AA770" s="13" t="b">
        <v>0</v>
      </c>
      <c r="AB770" s="48"/>
      <c r="AC770" s="49"/>
    </row>
    <row r="771" ht="14.25" customHeight="1">
      <c r="A771" s="13">
        <v>25991.0</v>
      </c>
      <c r="B771" s="13" t="str">
        <f t="shared" si="7"/>
        <v>Observational</v>
      </c>
      <c r="C771" s="13" t="s">
        <v>4864</v>
      </c>
      <c r="D771" s="1" t="s">
        <v>5317</v>
      </c>
      <c r="E771" s="2" t="s">
        <v>5295</v>
      </c>
      <c r="F771" s="13" t="s">
        <v>3159</v>
      </c>
      <c r="G771" s="13" t="s">
        <v>3214</v>
      </c>
      <c r="H771" s="13" t="s">
        <v>3166</v>
      </c>
      <c r="I771" s="13" t="s">
        <v>3533</v>
      </c>
      <c r="J771" s="13" t="s">
        <v>4413</v>
      </c>
      <c r="K771" s="13" t="s">
        <v>3153</v>
      </c>
      <c r="L771" s="13" t="s">
        <v>3179</v>
      </c>
      <c r="M771" s="13" t="s">
        <v>3342</v>
      </c>
      <c r="N771" s="13" t="s">
        <v>3162</v>
      </c>
      <c r="O771" s="13" t="s">
        <v>33</v>
      </c>
      <c r="P771" s="13">
        <v>1.0</v>
      </c>
      <c r="Q771" s="13" t="s">
        <v>3160</v>
      </c>
      <c r="R771" s="13" t="s">
        <v>3163</v>
      </c>
      <c r="S771" s="13" t="s">
        <v>33</v>
      </c>
      <c r="T771" s="13" t="s">
        <v>3178</v>
      </c>
      <c r="U771" s="13" t="s">
        <v>3164</v>
      </c>
      <c r="V771" s="13" t="s">
        <v>3164</v>
      </c>
      <c r="W771" s="13" t="s">
        <v>3167</v>
      </c>
      <c r="X771" s="13" t="s">
        <v>3170</v>
      </c>
      <c r="Y771" s="13" t="s">
        <v>3156</v>
      </c>
      <c r="Z771" s="13" t="s">
        <v>33</v>
      </c>
      <c r="AA771" s="13" t="b">
        <v>0</v>
      </c>
      <c r="AB771" s="48"/>
      <c r="AC771" s="49"/>
    </row>
    <row r="772" ht="14.25" customHeight="1">
      <c r="A772" s="13">
        <v>26002.0</v>
      </c>
      <c r="B772" s="13" t="str">
        <f t="shared" si="7"/>
        <v>Observational</v>
      </c>
      <c r="C772" s="13" t="s">
        <v>4864</v>
      </c>
      <c r="D772" s="1" t="s">
        <v>5317</v>
      </c>
      <c r="E772" s="2" t="s">
        <v>5295</v>
      </c>
      <c r="F772" s="13" t="s">
        <v>3580</v>
      </c>
      <c r="G772" s="13" t="s">
        <v>3580</v>
      </c>
      <c r="H772" s="13" t="s">
        <v>3166</v>
      </c>
      <c r="I772" s="13" t="s">
        <v>3533</v>
      </c>
      <c r="J772" s="13" t="s">
        <v>3194</v>
      </c>
      <c r="K772" s="13" t="s">
        <v>3153</v>
      </c>
      <c r="L772" s="13" t="s">
        <v>3179</v>
      </c>
      <c r="M772" s="13" t="s">
        <v>3342</v>
      </c>
      <c r="N772" s="13" t="s">
        <v>3162</v>
      </c>
      <c r="O772" s="13" t="s">
        <v>3167</v>
      </c>
      <c r="P772" s="13">
        <v>1.0</v>
      </c>
      <c r="Q772" s="13" t="s">
        <v>3177</v>
      </c>
      <c r="R772" s="13" t="s">
        <v>3260</v>
      </c>
      <c r="S772" s="13" t="s">
        <v>33</v>
      </c>
      <c r="T772" s="13" t="s">
        <v>3178</v>
      </c>
      <c r="U772" s="13" t="s">
        <v>3164</v>
      </c>
      <c r="V772" s="13" t="s">
        <v>3164</v>
      </c>
      <c r="W772" s="13" t="s">
        <v>3167</v>
      </c>
      <c r="X772" s="13" t="s">
        <v>3170</v>
      </c>
      <c r="Y772" s="13" t="s">
        <v>3156</v>
      </c>
      <c r="Z772" s="13" t="s">
        <v>3167</v>
      </c>
      <c r="AA772" s="13" t="b">
        <v>0</v>
      </c>
      <c r="AB772" s="48"/>
      <c r="AC772" s="49"/>
    </row>
    <row r="773" ht="14.25" customHeight="1">
      <c r="A773" s="13">
        <v>26044.0</v>
      </c>
      <c r="B773" s="13" t="str">
        <f t="shared" si="7"/>
        <v>Observational</v>
      </c>
      <c r="C773" s="13" t="s">
        <v>4864</v>
      </c>
      <c r="D773" s="1" t="s">
        <v>5317</v>
      </c>
      <c r="E773" s="2" t="s">
        <v>5295</v>
      </c>
      <c r="F773" s="13" t="s">
        <v>3208</v>
      </c>
      <c r="G773" s="13" t="s">
        <v>3208</v>
      </c>
      <c r="H773" s="13" t="s">
        <v>3166</v>
      </c>
      <c r="I773" s="13" t="s">
        <v>3261</v>
      </c>
      <c r="J773" s="13" t="s">
        <v>3412</v>
      </c>
      <c r="K773" s="13" t="s">
        <v>3153</v>
      </c>
      <c r="L773" s="13" t="s">
        <v>3179</v>
      </c>
      <c r="M773" s="13" t="s">
        <v>3342</v>
      </c>
      <c r="N773" s="13" t="s">
        <v>3162</v>
      </c>
      <c r="O773" s="13" t="s">
        <v>33</v>
      </c>
      <c r="P773" s="13">
        <v>1.0</v>
      </c>
      <c r="Q773" s="13" t="s">
        <v>3177</v>
      </c>
      <c r="R773" s="13" t="s">
        <v>3163</v>
      </c>
      <c r="S773" s="13" t="s">
        <v>33</v>
      </c>
      <c r="T773" s="13" t="s">
        <v>3255</v>
      </c>
      <c r="U773" s="13" t="s">
        <v>3197</v>
      </c>
      <c r="V773" s="13" t="s">
        <v>3197</v>
      </c>
      <c r="W773" s="13" t="s">
        <v>3167</v>
      </c>
      <c r="X773" s="13" t="s">
        <v>3211</v>
      </c>
      <c r="Y773" s="13" t="s">
        <v>3187</v>
      </c>
      <c r="Z773" s="13">
        <v>9.0</v>
      </c>
      <c r="AA773" s="13" t="b">
        <v>0</v>
      </c>
      <c r="AB773" s="48"/>
      <c r="AC773" s="49"/>
    </row>
    <row r="774" ht="14.25" customHeight="1">
      <c r="A774" s="13" t="s">
        <v>1544</v>
      </c>
      <c r="B774" s="13" t="str">
        <f t="shared" si="7"/>
        <v>Observational</v>
      </c>
      <c r="C774" s="13" t="s">
        <v>4864</v>
      </c>
      <c r="D774" s="1" t="s">
        <v>5317</v>
      </c>
      <c r="E774" s="2" t="s">
        <v>5295</v>
      </c>
      <c r="F774" s="13" t="s">
        <v>3338</v>
      </c>
      <c r="G774" s="13" t="s">
        <v>3338</v>
      </c>
      <c r="H774" s="13" t="s">
        <v>3166</v>
      </c>
      <c r="I774" s="13" t="s">
        <v>3181</v>
      </c>
      <c r="J774" s="13" t="s">
        <v>3423</v>
      </c>
      <c r="K774" s="13" t="s">
        <v>3153</v>
      </c>
      <c r="L774" s="13" t="s">
        <v>3179</v>
      </c>
      <c r="M774" s="13" t="s">
        <v>3342</v>
      </c>
      <c r="N774" s="13" t="s">
        <v>3162</v>
      </c>
      <c r="O774" s="13" t="s">
        <v>33</v>
      </c>
      <c r="P774" s="13">
        <v>1.0</v>
      </c>
      <c r="Q774" s="13" t="s">
        <v>3160</v>
      </c>
      <c r="R774" s="13" t="s">
        <v>3163</v>
      </c>
      <c r="S774" s="13" t="s">
        <v>33</v>
      </c>
      <c r="T774" s="13" t="s">
        <v>3168</v>
      </c>
      <c r="U774" s="13" t="s">
        <v>3164</v>
      </c>
      <c r="V774" s="13" t="s">
        <v>3164</v>
      </c>
      <c r="W774" s="13" t="s">
        <v>3167</v>
      </c>
      <c r="X774" s="13" t="s">
        <v>3155</v>
      </c>
      <c r="Y774" s="13" t="s">
        <v>3156</v>
      </c>
      <c r="Z774" s="13" t="s">
        <v>33</v>
      </c>
      <c r="AA774" s="13" t="b">
        <v>0</v>
      </c>
      <c r="AB774" s="48"/>
      <c r="AC774" s="49"/>
    </row>
    <row r="775" ht="14.25" customHeight="1">
      <c r="A775" s="13" t="s">
        <v>2515</v>
      </c>
      <c r="B775" s="2" t="s">
        <v>4904</v>
      </c>
      <c r="C775" s="13" t="s">
        <v>4864</v>
      </c>
      <c r="D775" s="1" t="s">
        <v>5317</v>
      </c>
      <c r="E775" s="2" t="s">
        <v>5295</v>
      </c>
      <c r="F775" s="13" t="s">
        <v>3370</v>
      </c>
      <c r="G775" s="13" t="s">
        <v>3370</v>
      </c>
      <c r="H775" s="13" t="s">
        <v>3166</v>
      </c>
      <c r="I775" s="13" t="s">
        <v>3167</v>
      </c>
      <c r="J775" s="13" t="s">
        <v>3167</v>
      </c>
      <c r="K775" s="13" t="s">
        <v>3315</v>
      </c>
      <c r="L775" s="13" t="s">
        <v>3179</v>
      </c>
      <c r="M775" s="13" t="s">
        <v>3342</v>
      </c>
      <c r="N775" s="13" t="s">
        <v>3162</v>
      </c>
      <c r="O775" s="13" t="s">
        <v>33</v>
      </c>
      <c r="P775" s="13">
        <v>1.0</v>
      </c>
      <c r="Q775" s="13" t="s">
        <v>3177</v>
      </c>
      <c r="R775" s="13" t="s">
        <v>3163</v>
      </c>
      <c r="S775" s="13" t="s">
        <v>33</v>
      </c>
      <c r="T775" s="13" t="s">
        <v>3216</v>
      </c>
      <c r="U775" s="13" t="s">
        <v>3165</v>
      </c>
      <c r="V775" s="13" t="s">
        <v>3165</v>
      </c>
      <c r="W775" s="13" t="s">
        <v>3167</v>
      </c>
      <c r="X775" s="13" t="s">
        <v>3217</v>
      </c>
      <c r="Y775" s="13" t="s">
        <v>3156</v>
      </c>
      <c r="Z775" s="13" t="s">
        <v>33</v>
      </c>
      <c r="AA775" s="13" t="b">
        <v>0</v>
      </c>
      <c r="AB775" s="48"/>
      <c r="AC775" s="49"/>
    </row>
    <row r="776" ht="14.25" customHeight="1">
      <c r="A776" s="13">
        <v>26145.0</v>
      </c>
      <c r="B776" s="2" t="s">
        <v>4904</v>
      </c>
      <c r="C776" s="13" t="s">
        <v>4864</v>
      </c>
      <c r="D776" s="1" t="s">
        <v>5317</v>
      </c>
      <c r="E776" s="2" t="s">
        <v>5295</v>
      </c>
      <c r="F776" s="13" t="s">
        <v>3173</v>
      </c>
      <c r="G776" s="13" t="s">
        <v>3173</v>
      </c>
      <c r="H776" s="13" t="s">
        <v>3166</v>
      </c>
      <c r="I776" s="13" t="s">
        <v>3261</v>
      </c>
      <c r="J776" s="13" t="s">
        <v>4463</v>
      </c>
      <c r="K776" s="13" t="s">
        <v>3315</v>
      </c>
      <c r="L776" s="13" t="s">
        <v>3179</v>
      </c>
      <c r="M776" s="13" t="s">
        <v>3342</v>
      </c>
      <c r="N776" s="13" t="s">
        <v>3162</v>
      </c>
      <c r="O776" s="13" t="s">
        <v>33</v>
      </c>
      <c r="P776" s="13">
        <v>1.0</v>
      </c>
      <c r="Q776" s="13" t="s">
        <v>3160</v>
      </c>
      <c r="R776" s="13" t="s">
        <v>3163</v>
      </c>
      <c r="S776" s="13" t="s">
        <v>33</v>
      </c>
      <c r="T776" s="13" t="s">
        <v>3224</v>
      </c>
      <c r="U776" s="13" t="s">
        <v>3232</v>
      </c>
      <c r="V776" s="13" t="s">
        <v>3232</v>
      </c>
      <c r="W776" s="13" t="s">
        <v>3167</v>
      </c>
      <c r="X776" s="13" t="s">
        <v>3211</v>
      </c>
      <c r="Y776" s="13" t="s">
        <v>3156</v>
      </c>
      <c r="Z776" s="13" t="s">
        <v>33</v>
      </c>
      <c r="AA776" s="13" t="b">
        <v>0</v>
      </c>
      <c r="AB776" s="48"/>
      <c r="AC776" s="49"/>
    </row>
    <row r="777" ht="14.25" customHeight="1">
      <c r="A777" s="13">
        <v>25336.0</v>
      </c>
      <c r="B777" s="13" t="str">
        <f t="shared" ref="B777:B983" si="8">K777</f>
        <v>Observational</v>
      </c>
      <c r="C777" s="13" t="s">
        <v>4864</v>
      </c>
      <c r="D777" s="1" t="s">
        <v>5318</v>
      </c>
      <c r="E777" s="13" t="s">
        <v>5297</v>
      </c>
      <c r="F777" s="13" t="s">
        <v>3190</v>
      </c>
      <c r="G777" s="13" t="s">
        <v>3190</v>
      </c>
      <c r="H777" s="13" t="s">
        <v>3166</v>
      </c>
      <c r="I777" s="13" t="s">
        <v>3249</v>
      </c>
      <c r="J777" s="13" t="s">
        <v>3199</v>
      </c>
      <c r="K777" s="13" t="s">
        <v>3153</v>
      </c>
      <c r="L777" s="13" t="s">
        <v>3179</v>
      </c>
      <c r="M777" s="13" t="s">
        <v>4205</v>
      </c>
      <c r="N777" s="13" t="s">
        <v>3162</v>
      </c>
      <c r="O777" s="13" t="s">
        <v>33</v>
      </c>
      <c r="P777" s="13">
        <v>2.0</v>
      </c>
      <c r="Q777" s="13" t="s">
        <v>3160</v>
      </c>
      <c r="R777" s="13" t="s">
        <v>3163</v>
      </c>
      <c r="S777" s="13" t="s">
        <v>33</v>
      </c>
      <c r="T777" s="13" t="s">
        <v>3178</v>
      </c>
      <c r="U777" s="13" t="s">
        <v>3164</v>
      </c>
      <c r="V777" s="13" t="s">
        <v>3164</v>
      </c>
      <c r="W777" s="13" t="s">
        <v>3167</v>
      </c>
      <c r="X777" s="13" t="s">
        <v>3170</v>
      </c>
      <c r="Y777" s="13" t="s">
        <v>3156</v>
      </c>
      <c r="Z777" s="13" t="s">
        <v>33</v>
      </c>
      <c r="AA777" s="13" t="b">
        <v>0</v>
      </c>
      <c r="AB777" s="48"/>
      <c r="AC777" s="49"/>
    </row>
    <row r="778" ht="14.25" customHeight="1">
      <c r="A778" s="13">
        <v>23957.0</v>
      </c>
      <c r="B778" s="13" t="str">
        <f t="shared" si="8"/>
        <v>Observational</v>
      </c>
      <c r="C778" s="13" t="s">
        <v>4864</v>
      </c>
      <c r="D778" s="1" t="s">
        <v>5319</v>
      </c>
      <c r="E778" s="13" t="s">
        <v>5320</v>
      </c>
      <c r="F778" s="13" t="s">
        <v>3381</v>
      </c>
      <c r="G778" s="13" t="s">
        <v>3381</v>
      </c>
      <c r="H778" s="13" t="s">
        <v>3253</v>
      </c>
      <c r="I778" s="13" t="s">
        <v>3249</v>
      </c>
      <c r="J778" s="13" t="s">
        <v>3699</v>
      </c>
      <c r="K778" s="13" t="s">
        <v>3153</v>
      </c>
      <c r="L778" s="13" t="s">
        <v>3179</v>
      </c>
      <c r="M778" s="13" t="s">
        <v>3700</v>
      </c>
      <c r="N778" s="13" t="s">
        <v>3175</v>
      </c>
      <c r="O778" s="13" t="s">
        <v>3689</v>
      </c>
      <c r="P778" s="13">
        <v>11.0</v>
      </c>
      <c r="Q778" s="13" t="s">
        <v>3177</v>
      </c>
      <c r="R778" s="13" t="s">
        <v>3177</v>
      </c>
      <c r="S778" s="13" t="s">
        <v>3689</v>
      </c>
      <c r="T778" s="13" t="s">
        <v>3168</v>
      </c>
      <c r="U778" s="13" t="s">
        <v>3165</v>
      </c>
      <c r="V778" s="13" t="s">
        <v>3252</v>
      </c>
      <c r="W778" s="13" t="s">
        <v>3254</v>
      </c>
      <c r="X778" s="13" t="s">
        <v>3211</v>
      </c>
      <c r="Y778" s="13" t="s">
        <v>3187</v>
      </c>
      <c r="Z778" s="13">
        <v>100.0</v>
      </c>
      <c r="AA778" s="13" t="b">
        <v>0</v>
      </c>
      <c r="AB778" s="48"/>
      <c r="AC778" s="49"/>
    </row>
    <row r="779" ht="14.25" customHeight="1">
      <c r="A779" s="13">
        <v>25952.0</v>
      </c>
      <c r="B779" s="13" t="str">
        <f t="shared" si="8"/>
        <v>Observational</v>
      </c>
      <c r="C779" s="13" t="s">
        <v>4864</v>
      </c>
      <c r="D779" s="13" t="s">
        <v>5321</v>
      </c>
      <c r="E779" s="13" t="s">
        <v>5322</v>
      </c>
      <c r="F779" s="13" t="s">
        <v>3296</v>
      </c>
      <c r="G779" s="13" t="s">
        <v>3183</v>
      </c>
      <c r="H779" s="13" t="s">
        <v>3166</v>
      </c>
      <c r="I779" s="13" t="s">
        <v>3167</v>
      </c>
      <c r="J779" s="13" t="s">
        <v>3167</v>
      </c>
      <c r="K779" s="13" t="s">
        <v>3153</v>
      </c>
      <c r="L779" s="13" t="s">
        <v>3179</v>
      </c>
      <c r="M779" s="13" t="s">
        <v>4402</v>
      </c>
      <c r="N779" s="13" t="s">
        <v>3175</v>
      </c>
      <c r="O779" s="13" t="s">
        <v>33</v>
      </c>
      <c r="P779" s="13">
        <v>4.0</v>
      </c>
      <c r="Q779" s="13" t="s">
        <v>3160</v>
      </c>
      <c r="R779" s="13" t="s">
        <v>3163</v>
      </c>
      <c r="S779" s="13" t="s">
        <v>4403</v>
      </c>
      <c r="T779" s="13" t="s">
        <v>3216</v>
      </c>
      <c r="U779" s="13" t="s">
        <v>3164</v>
      </c>
      <c r="V779" s="13" t="s">
        <v>3165</v>
      </c>
      <c r="W779" s="13" t="s">
        <v>3167</v>
      </c>
      <c r="X779" s="13" t="s">
        <v>3217</v>
      </c>
      <c r="Y779" s="13" t="s">
        <v>3156</v>
      </c>
      <c r="Z779" s="13" t="s">
        <v>33</v>
      </c>
      <c r="AA779" s="13" t="b">
        <v>1</v>
      </c>
      <c r="AB779" s="47"/>
      <c r="AC779" s="49"/>
    </row>
    <row r="780" ht="14.25" customHeight="1">
      <c r="A780" s="13">
        <v>25806.0</v>
      </c>
      <c r="B780" s="13" t="str">
        <f t="shared" si="8"/>
        <v>Observational</v>
      </c>
      <c r="C780" s="13" t="s">
        <v>4864</v>
      </c>
      <c r="D780" s="1" t="s">
        <v>5321</v>
      </c>
      <c r="E780" s="13" t="s">
        <v>5314</v>
      </c>
      <c r="F780" s="13" t="s">
        <v>3381</v>
      </c>
      <c r="G780" s="13" t="s">
        <v>3173</v>
      </c>
      <c r="H780" s="13" t="s">
        <v>3166</v>
      </c>
      <c r="I780" s="13" t="s">
        <v>3167</v>
      </c>
      <c r="J780" s="13" t="s">
        <v>3167</v>
      </c>
      <c r="K780" s="13" t="s">
        <v>3153</v>
      </c>
      <c r="L780" s="13" t="s">
        <v>3179</v>
      </c>
      <c r="M780" s="13" t="s">
        <v>4330</v>
      </c>
      <c r="N780" s="13" t="s">
        <v>3162</v>
      </c>
      <c r="O780" s="13" t="s">
        <v>3689</v>
      </c>
      <c r="P780" s="13">
        <v>2.0</v>
      </c>
      <c r="Q780" s="13" t="s">
        <v>3177</v>
      </c>
      <c r="R780" s="13" t="s">
        <v>3177</v>
      </c>
      <c r="S780" s="13" t="s">
        <v>33</v>
      </c>
      <c r="T780" s="13" t="s">
        <v>3225</v>
      </c>
      <c r="U780" s="13" t="s">
        <v>3165</v>
      </c>
      <c r="V780" s="13" t="s">
        <v>3165</v>
      </c>
      <c r="W780" s="13" t="s">
        <v>3167</v>
      </c>
      <c r="X780" s="13" t="s">
        <v>3217</v>
      </c>
      <c r="Y780" s="13" t="s">
        <v>3180</v>
      </c>
      <c r="Z780" s="13">
        <v>5.0</v>
      </c>
      <c r="AA780" s="13" t="b">
        <v>0</v>
      </c>
      <c r="AB780" s="48"/>
      <c r="AC780" s="49"/>
    </row>
    <row r="781" ht="14.25" customHeight="1">
      <c r="A781" s="13">
        <v>24128.0</v>
      </c>
      <c r="B781" s="13" t="str">
        <f t="shared" si="8"/>
        <v>Observational</v>
      </c>
      <c r="C781" s="13" t="s">
        <v>4864</v>
      </c>
      <c r="D781" s="13" t="s">
        <v>5323</v>
      </c>
      <c r="E781" s="13" t="s">
        <v>5324</v>
      </c>
      <c r="F781" s="13" t="s">
        <v>3186</v>
      </c>
      <c r="G781" s="13" t="s">
        <v>3186</v>
      </c>
      <c r="H781" s="13" t="s">
        <v>3253</v>
      </c>
      <c r="I781" s="13" t="s">
        <v>3167</v>
      </c>
      <c r="J781" s="13" t="s">
        <v>3167</v>
      </c>
      <c r="K781" s="13" t="s">
        <v>3153</v>
      </c>
      <c r="L781" s="13" t="s">
        <v>3179</v>
      </c>
      <c r="M781" s="13" t="s">
        <v>3758</v>
      </c>
      <c r="N781" s="13" t="s">
        <v>3162</v>
      </c>
      <c r="O781" s="13" t="s">
        <v>33</v>
      </c>
      <c r="P781" s="13">
        <v>9.0</v>
      </c>
      <c r="Q781" s="13" t="s">
        <v>3177</v>
      </c>
      <c r="R781" s="13" t="s">
        <v>3163</v>
      </c>
      <c r="S781" s="13" t="s">
        <v>33</v>
      </c>
      <c r="T781" s="13" t="s">
        <v>3755</v>
      </c>
      <c r="U781" s="13" t="s">
        <v>3252</v>
      </c>
      <c r="V781" s="13" t="s">
        <v>3252</v>
      </c>
      <c r="W781" s="13" t="s">
        <v>3755</v>
      </c>
      <c r="X781" s="13" t="s">
        <v>3217</v>
      </c>
      <c r="Y781" s="13" t="s">
        <v>3187</v>
      </c>
      <c r="Z781" s="13">
        <v>1.0</v>
      </c>
      <c r="AA781" s="13" t="b">
        <v>1</v>
      </c>
      <c r="AB781" s="48"/>
      <c r="AC781" s="49"/>
    </row>
    <row r="782" ht="14.25" customHeight="1">
      <c r="A782" s="13">
        <v>26067.0</v>
      </c>
      <c r="B782" s="13" t="str">
        <f t="shared" si="8"/>
        <v>Observational</v>
      </c>
      <c r="C782" s="13" t="s">
        <v>4864</v>
      </c>
      <c r="D782" s="13" t="s">
        <v>5325</v>
      </c>
      <c r="E782" s="13" t="s">
        <v>5326</v>
      </c>
      <c r="F782" s="13" t="s">
        <v>3381</v>
      </c>
      <c r="G782" s="13" t="s">
        <v>3183</v>
      </c>
      <c r="H782" s="13" t="s">
        <v>3253</v>
      </c>
      <c r="I782" s="13" t="s">
        <v>3261</v>
      </c>
      <c r="J782" s="13" t="s">
        <v>3182</v>
      </c>
      <c r="K782" s="13" t="s">
        <v>3153</v>
      </c>
      <c r="L782" s="13" t="s">
        <v>3179</v>
      </c>
      <c r="M782" s="13" t="s">
        <v>4434</v>
      </c>
      <c r="N782" s="13" t="s">
        <v>3175</v>
      </c>
      <c r="O782" s="13" t="s">
        <v>3689</v>
      </c>
      <c r="P782" s="13">
        <v>16.0</v>
      </c>
      <c r="Q782" s="13" t="s">
        <v>3177</v>
      </c>
      <c r="R782" s="13" t="s">
        <v>3177</v>
      </c>
      <c r="S782" s="13" t="s">
        <v>3689</v>
      </c>
      <c r="T782" s="13" t="s">
        <v>3755</v>
      </c>
      <c r="U782" s="13" t="s">
        <v>3252</v>
      </c>
      <c r="V782" s="13" t="s">
        <v>3252</v>
      </c>
      <c r="W782" s="13" t="s">
        <v>3356</v>
      </c>
      <c r="X782" s="13" t="s">
        <v>3192</v>
      </c>
      <c r="Y782" s="13" t="s">
        <v>3187</v>
      </c>
      <c r="Z782" s="13">
        <v>1.0</v>
      </c>
      <c r="AA782" s="13" t="b">
        <v>1</v>
      </c>
      <c r="AB782" s="48"/>
      <c r="AC782" s="49"/>
    </row>
    <row r="783" ht="14.25" customHeight="1">
      <c r="A783" s="13">
        <v>24473.0</v>
      </c>
      <c r="B783" s="13" t="str">
        <f t="shared" si="8"/>
        <v>Observational</v>
      </c>
      <c r="C783" s="13" t="s">
        <v>4864</v>
      </c>
      <c r="D783" s="13" t="s">
        <v>5327</v>
      </c>
      <c r="E783" s="13" t="s">
        <v>5328</v>
      </c>
      <c r="F783" s="13" t="s">
        <v>3190</v>
      </c>
      <c r="G783" s="13" t="s">
        <v>3183</v>
      </c>
      <c r="H783" s="13" t="s">
        <v>3166</v>
      </c>
      <c r="I783" s="13" t="s">
        <v>3249</v>
      </c>
      <c r="J783" s="13" t="s">
        <v>3364</v>
      </c>
      <c r="K783" s="13" t="s">
        <v>3153</v>
      </c>
      <c r="L783" s="13" t="s">
        <v>3179</v>
      </c>
      <c r="M783" s="13" t="s">
        <v>3926</v>
      </c>
      <c r="N783" s="13" t="s">
        <v>3162</v>
      </c>
      <c r="O783" s="13" t="s">
        <v>33</v>
      </c>
      <c r="P783" s="13">
        <v>6.0</v>
      </c>
      <c r="Q783" s="13" t="s">
        <v>3177</v>
      </c>
      <c r="R783" s="13" t="s">
        <v>3177</v>
      </c>
      <c r="S783" s="13" t="s">
        <v>3384</v>
      </c>
      <c r="T783" s="13" t="s">
        <v>3255</v>
      </c>
      <c r="U783" s="13" t="s">
        <v>3197</v>
      </c>
      <c r="V783" s="13" t="s">
        <v>3197</v>
      </c>
      <c r="W783" s="13" t="s">
        <v>3167</v>
      </c>
      <c r="X783" s="13" t="s">
        <v>3155</v>
      </c>
      <c r="Y783" s="13" t="s">
        <v>3180</v>
      </c>
      <c r="Z783" s="13">
        <v>0.1</v>
      </c>
      <c r="AA783" s="13" t="b">
        <v>1</v>
      </c>
      <c r="AB783" s="48"/>
      <c r="AC783" s="49"/>
    </row>
    <row r="784" ht="14.25" customHeight="1">
      <c r="A784" s="13">
        <v>24154.0</v>
      </c>
      <c r="B784" s="13" t="str">
        <f t="shared" si="8"/>
        <v>Observational</v>
      </c>
      <c r="C784" s="13" t="s">
        <v>4864</v>
      </c>
      <c r="D784" s="1" t="s">
        <v>5329</v>
      </c>
      <c r="E784" s="13" t="s">
        <v>5330</v>
      </c>
      <c r="F784" s="13" t="s">
        <v>3183</v>
      </c>
      <c r="G784" s="13" t="s">
        <v>3287</v>
      </c>
      <c r="H784" s="13" t="s">
        <v>3166</v>
      </c>
      <c r="I784" s="13" t="s">
        <v>3392</v>
      </c>
      <c r="J784" s="13" t="s">
        <v>3770</v>
      </c>
      <c r="K784" s="13" t="s">
        <v>3153</v>
      </c>
      <c r="L784" s="13" t="s">
        <v>3179</v>
      </c>
      <c r="M784" s="13" t="s">
        <v>3771</v>
      </c>
      <c r="N784" s="13" t="s">
        <v>3162</v>
      </c>
      <c r="O784" s="13" t="s">
        <v>3772</v>
      </c>
      <c r="P784" s="13">
        <v>2.0</v>
      </c>
      <c r="Q784" s="13" t="s">
        <v>3177</v>
      </c>
      <c r="R784" s="13" t="s">
        <v>3177</v>
      </c>
      <c r="S784" s="13" t="s">
        <v>33</v>
      </c>
      <c r="T784" s="13" t="s">
        <v>3216</v>
      </c>
      <c r="U784" s="13" t="s">
        <v>3164</v>
      </c>
      <c r="V784" s="13" t="s">
        <v>3228</v>
      </c>
      <c r="W784" s="13" t="s">
        <v>3167</v>
      </c>
      <c r="X784" s="13" t="s">
        <v>3211</v>
      </c>
      <c r="Y784" s="13" t="s">
        <v>3180</v>
      </c>
      <c r="Z784" s="13">
        <v>5.0</v>
      </c>
      <c r="AA784" s="13" t="b">
        <v>0</v>
      </c>
      <c r="AB784" s="48"/>
      <c r="AC784" s="49"/>
    </row>
    <row r="785" ht="14.25" customHeight="1">
      <c r="A785" s="13">
        <v>24897.0</v>
      </c>
      <c r="B785" s="13" t="str">
        <f t="shared" si="8"/>
        <v>Observational</v>
      </c>
      <c r="C785" s="13" t="s">
        <v>4864</v>
      </c>
      <c r="D785" s="1" t="s">
        <v>5331</v>
      </c>
      <c r="E785" s="13" t="s">
        <v>5332</v>
      </c>
      <c r="F785" s="13" t="s">
        <v>3381</v>
      </c>
      <c r="G785" s="13" t="s">
        <v>3210</v>
      </c>
      <c r="H785" s="13" t="s">
        <v>3195</v>
      </c>
      <c r="I785" s="13" t="s">
        <v>3249</v>
      </c>
      <c r="J785" s="13" t="s">
        <v>4074</v>
      </c>
      <c r="K785" s="13" t="s">
        <v>3153</v>
      </c>
      <c r="L785" s="13" t="s">
        <v>3179</v>
      </c>
      <c r="M785" s="13" t="s">
        <v>4075</v>
      </c>
      <c r="N785" s="13" t="s">
        <v>3162</v>
      </c>
      <c r="O785" s="13" t="s">
        <v>4076</v>
      </c>
      <c r="P785" s="13">
        <v>5.0</v>
      </c>
      <c r="Q785" s="13" t="s">
        <v>3177</v>
      </c>
      <c r="R785" s="13" t="s">
        <v>3163</v>
      </c>
      <c r="S785" s="13" t="s">
        <v>33</v>
      </c>
      <c r="T785" s="13" t="s">
        <v>3167</v>
      </c>
      <c r="U785" s="13" t="s">
        <v>3195</v>
      </c>
      <c r="V785" s="13" t="s">
        <v>3195</v>
      </c>
      <c r="W785" s="13" t="s">
        <v>3167</v>
      </c>
      <c r="X785" s="13" t="s">
        <v>3211</v>
      </c>
      <c r="Y785" s="13" t="s">
        <v>3187</v>
      </c>
      <c r="Z785" s="13">
        <v>1.0</v>
      </c>
      <c r="AA785" s="13" t="b">
        <v>0</v>
      </c>
      <c r="AB785" s="48"/>
      <c r="AC785" s="49"/>
    </row>
    <row r="786" ht="14.25" customHeight="1">
      <c r="A786" s="13">
        <v>24088.0</v>
      </c>
      <c r="B786" s="13" t="str">
        <f t="shared" si="8"/>
        <v>Observational</v>
      </c>
      <c r="C786" s="13" t="s">
        <v>4864</v>
      </c>
      <c r="D786" s="1" t="s">
        <v>5333</v>
      </c>
      <c r="E786" s="13" t="s">
        <v>5334</v>
      </c>
      <c r="F786" s="13" t="s">
        <v>3190</v>
      </c>
      <c r="G786" s="13" t="s">
        <v>3208</v>
      </c>
      <c r="H786" s="13" t="s">
        <v>3166</v>
      </c>
      <c r="I786" s="13" t="s">
        <v>3264</v>
      </c>
      <c r="J786" s="13" t="s">
        <v>3204</v>
      </c>
      <c r="K786" s="13" t="s">
        <v>3153</v>
      </c>
      <c r="L786" s="13" t="s">
        <v>3179</v>
      </c>
      <c r="M786" s="13" t="s">
        <v>3745</v>
      </c>
      <c r="N786" s="13" t="s">
        <v>3175</v>
      </c>
      <c r="O786" s="13" t="s">
        <v>33</v>
      </c>
      <c r="P786" s="13">
        <v>4.0</v>
      </c>
      <c r="Q786" s="13" t="s">
        <v>3160</v>
      </c>
      <c r="R786" s="13" t="s">
        <v>3163</v>
      </c>
      <c r="S786" s="13" t="s">
        <v>33</v>
      </c>
      <c r="T786" s="13" t="s">
        <v>3178</v>
      </c>
      <c r="U786" s="13" t="s">
        <v>3164</v>
      </c>
      <c r="V786" s="13" t="s">
        <v>3164</v>
      </c>
      <c r="W786" s="13" t="s">
        <v>3167</v>
      </c>
      <c r="X786" s="13" t="s">
        <v>3192</v>
      </c>
      <c r="Y786" s="13" t="s">
        <v>33</v>
      </c>
      <c r="Z786" s="13" t="s">
        <v>33</v>
      </c>
      <c r="AA786" s="13" t="b">
        <v>0</v>
      </c>
      <c r="AB786" s="48"/>
      <c r="AC786" s="49"/>
    </row>
    <row r="787" ht="14.25" customHeight="1">
      <c r="A787" s="13">
        <v>24366.0</v>
      </c>
      <c r="B787" s="13" t="str">
        <f t="shared" si="8"/>
        <v>Observational</v>
      </c>
      <c r="C787" s="13" t="s">
        <v>4886</v>
      </c>
      <c r="D787" s="13" t="s">
        <v>5335</v>
      </c>
      <c r="E787" s="13" t="s">
        <v>5336</v>
      </c>
      <c r="F787" s="13" t="s">
        <v>3183</v>
      </c>
      <c r="G787" s="13" t="s">
        <v>3210</v>
      </c>
      <c r="H787" s="13" t="s">
        <v>3195</v>
      </c>
      <c r="I787" s="13" t="s">
        <v>3244</v>
      </c>
      <c r="J787" s="13" t="s">
        <v>3289</v>
      </c>
      <c r="K787" s="13" t="s">
        <v>3153</v>
      </c>
      <c r="L787" s="13" t="s">
        <v>3465</v>
      </c>
      <c r="M787" s="13" t="s">
        <v>3873</v>
      </c>
      <c r="N787" s="13" t="s">
        <v>3175</v>
      </c>
      <c r="O787" s="13" t="s">
        <v>3874</v>
      </c>
      <c r="P787" s="13">
        <v>7.0</v>
      </c>
      <c r="Q787" s="13" t="s">
        <v>3177</v>
      </c>
      <c r="R787" s="13" t="s">
        <v>3163</v>
      </c>
      <c r="S787" s="13" t="s">
        <v>33</v>
      </c>
      <c r="T787" s="13" t="s">
        <v>3167</v>
      </c>
      <c r="U787" s="13" t="s">
        <v>3195</v>
      </c>
      <c r="V787" s="13" t="s">
        <v>3195</v>
      </c>
      <c r="W787" s="13" t="s">
        <v>3167</v>
      </c>
      <c r="X787" s="13" t="s">
        <v>3192</v>
      </c>
      <c r="Y787" s="13" t="s">
        <v>3156</v>
      </c>
      <c r="Z787" s="13" t="s">
        <v>3167</v>
      </c>
      <c r="AA787" s="13" t="b">
        <v>1</v>
      </c>
      <c r="AB787" s="48"/>
      <c r="AC787" s="49"/>
    </row>
    <row r="788" ht="14.25" customHeight="1">
      <c r="A788" s="13">
        <v>24503.0</v>
      </c>
      <c r="B788" s="13" t="str">
        <f t="shared" si="8"/>
        <v>Observational</v>
      </c>
      <c r="C788" s="13" t="s">
        <v>4864</v>
      </c>
      <c r="D788" s="1" t="s">
        <v>5337</v>
      </c>
      <c r="E788" s="13" t="s">
        <v>5300</v>
      </c>
      <c r="F788" s="13" t="s">
        <v>3183</v>
      </c>
      <c r="G788" s="13" t="s">
        <v>3183</v>
      </c>
      <c r="H788" s="13" t="s">
        <v>3166</v>
      </c>
      <c r="I788" s="13" t="s">
        <v>3181</v>
      </c>
      <c r="J788" s="13" t="s">
        <v>3182</v>
      </c>
      <c r="K788" s="13" t="s">
        <v>3153</v>
      </c>
      <c r="L788" s="13" t="s">
        <v>3179</v>
      </c>
      <c r="M788" s="13" t="s">
        <v>3943</v>
      </c>
      <c r="N788" s="13" t="s">
        <v>3175</v>
      </c>
      <c r="O788" s="13" t="s">
        <v>3774</v>
      </c>
      <c r="P788" s="13">
        <v>4.0</v>
      </c>
      <c r="Q788" s="13" t="s">
        <v>3160</v>
      </c>
      <c r="R788" s="13" t="s">
        <v>3163</v>
      </c>
      <c r="S788" s="13" t="s">
        <v>3397</v>
      </c>
      <c r="T788" s="13" t="s">
        <v>3178</v>
      </c>
      <c r="U788" s="13" t="s">
        <v>3228</v>
      </c>
      <c r="V788" s="13" t="s">
        <v>3164</v>
      </c>
      <c r="W788" s="13" t="s">
        <v>3167</v>
      </c>
      <c r="X788" s="13" t="s">
        <v>3192</v>
      </c>
      <c r="Y788" s="13" t="s">
        <v>3187</v>
      </c>
      <c r="Z788" s="13">
        <v>1.0</v>
      </c>
      <c r="AA788" s="13" t="b">
        <v>0</v>
      </c>
      <c r="AB788" s="48"/>
      <c r="AC788" s="49"/>
    </row>
    <row r="789" ht="14.25" customHeight="1">
      <c r="A789" s="13">
        <v>24461.0</v>
      </c>
      <c r="B789" s="13" t="str">
        <f t="shared" si="8"/>
        <v>Observational</v>
      </c>
      <c r="C789" s="13" t="s">
        <v>4864</v>
      </c>
      <c r="D789" s="1" t="s">
        <v>5338</v>
      </c>
      <c r="E789" s="13" t="s">
        <v>5339</v>
      </c>
      <c r="F789" s="13" t="s">
        <v>3901</v>
      </c>
      <c r="G789" s="13" t="s">
        <v>3186</v>
      </c>
      <c r="H789" s="13" t="s">
        <v>3253</v>
      </c>
      <c r="I789" s="13" t="s">
        <v>3392</v>
      </c>
      <c r="J789" s="13" t="s">
        <v>3378</v>
      </c>
      <c r="K789" s="13" t="s">
        <v>3153</v>
      </c>
      <c r="L789" s="13" t="s">
        <v>3179</v>
      </c>
      <c r="M789" s="13" t="s">
        <v>3917</v>
      </c>
      <c r="N789" s="13" t="s">
        <v>3175</v>
      </c>
      <c r="O789" s="13" t="s">
        <v>33</v>
      </c>
      <c r="P789" s="13">
        <v>13.0</v>
      </c>
      <c r="Q789" s="13" t="s">
        <v>3177</v>
      </c>
      <c r="R789" s="13" t="s">
        <v>3163</v>
      </c>
      <c r="S789" s="13" t="s">
        <v>33</v>
      </c>
      <c r="T789" s="13" t="s">
        <v>3918</v>
      </c>
      <c r="U789" s="13" t="s">
        <v>3252</v>
      </c>
      <c r="V789" s="13" t="s">
        <v>3252</v>
      </c>
      <c r="W789" s="13" t="s">
        <v>3356</v>
      </c>
      <c r="X789" s="13" t="s">
        <v>3192</v>
      </c>
      <c r="Y789" s="13" t="s">
        <v>3187</v>
      </c>
      <c r="Z789" s="13">
        <v>10.0</v>
      </c>
      <c r="AA789" s="13" t="b">
        <v>0</v>
      </c>
      <c r="AB789" s="48"/>
      <c r="AC789" s="49"/>
    </row>
    <row r="790" ht="14.25" customHeight="1">
      <c r="A790" s="13">
        <v>24761.0</v>
      </c>
      <c r="B790" s="13" t="str">
        <f t="shared" si="8"/>
        <v>Observational</v>
      </c>
      <c r="C790" s="13" t="s">
        <v>4856</v>
      </c>
      <c r="D790" s="1" t="s">
        <v>5340</v>
      </c>
      <c r="E790" s="13" t="s">
        <v>5341</v>
      </c>
      <c r="F790" s="13" t="s">
        <v>3159</v>
      </c>
      <c r="G790" s="13" t="s">
        <v>3159</v>
      </c>
      <c r="H790" s="13" t="s">
        <v>3166</v>
      </c>
      <c r="I790" s="13" t="s">
        <v>3203</v>
      </c>
      <c r="J790" s="13" t="s">
        <v>3204</v>
      </c>
      <c r="K790" s="13" t="s">
        <v>3153</v>
      </c>
      <c r="L790" s="13" t="s">
        <v>3169</v>
      </c>
      <c r="M790" s="13" t="s">
        <v>4025</v>
      </c>
      <c r="N790" s="13" t="s">
        <v>3162</v>
      </c>
      <c r="O790" s="13" t="s">
        <v>33</v>
      </c>
      <c r="P790" s="13">
        <v>3.0</v>
      </c>
      <c r="Q790" s="13" t="s">
        <v>3177</v>
      </c>
      <c r="R790" s="13" t="s">
        <v>3177</v>
      </c>
      <c r="S790" s="13" t="s">
        <v>33</v>
      </c>
      <c r="T790" s="13" t="s">
        <v>3224</v>
      </c>
      <c r="U790" s="13" t="s">
        <v>3164</v>
      </c>
      <c r="V790" s="13" t="s">
        <v>3232</v>
      </c>
      <c r="W790" s="13" t="s">
        <v>3167</v>
      </c>
      <c r="X790" s="13" t="s">
        <v>3170</v>
      </c>
      <c r="Y790" s="13" t="s">
        <v>3187</v>
      </c>
      <c r="Z790" s="13">
        <v>0.25</v>
      </c>
      <c r="AA790" s="13" t="b">
        <v>0</v>
      </c>
      <c r="AB790" s="48"/>
      <c r="AC790" s="49"/>
    </row>
    <row r="791" ht="14.25" customHeight="1">
      <c r="A791" s="13">
        <v>24475.0</v>
      </c>
      <c r="B791" s="13" t="str">
        <f t="shared" si="8"/>
        <v>Observational</v>
      </c>
      <c r="C791" s="13" t="s">
        <v>4864</v>
      </c>
      <c r="D791" s="1" t="s">
        <v>5342</v>
      </c>
      <c r="E791" s="13" t="s">
        <v>5343</v>
      </c>
      <c r="F791" s="13" t="s">
        <v>3173</v>
      </c>
      <c r="G791" s="13" t="s">
        <v>3173</v>
      </c>
      <c r="H791" s="13" t="s">
        <v>3166</v>
      </c>
      <c r="I791" s="13" t="s">
        <v>3929</v>
      </c>
      <c r="J791" s="13" t="s">
        <v>3930</v>
      </c>
      <c r="K791" s="13" t="s">
        <v>3153</v>
      </c>
      <c r="L791" s="13" t="s">
        <v>3179</v>
      </c>
      <c r="M791" s="13" t="s">
        <v>3931</v>
      </c>
      <c r="N791" s="13" t="s">
        <v>3175</v>
      </c>
      <c r="O791" s="13" t="s">
        <v>33</v>
      </c>
      <c r="P791" s="13">
        <v>5.0</v>
      </c>
      <c r="Q791" s="13" t="s">
        <v>3177</v>
      </c>
      <c r="R791" s="13" t="s">
        <v>3177</v>
      </c>
      <c r="S791" s="13" t="s">
        <v>33</v>
      </c>
      <c r="T791" s="13" t="s">
        <v>3597</v>
      </c>
      <c r="U791" s="13" t="s">
        <v>3232</v>
      </c>
      <c r="V791" s="13" t="s">
        <v>3197</v>
      </c>
      <c r="W791" s="13" t="s">
        <v>3167</v>
      </c>
      <c r="X791" s="13" t="s">
        <v>3211</v>
      </c>
      <c r="Y791" s="13" t="s">
        <v>33</v>
      </c>
      <c r="Z791" s="13" t="s">
        <v>33</v>
      </c>
      <c r="AA791" s="13" t="b">
        <v>0</v>
      </c>
      <c r="AB791" s="48"/>
      <c r="AC791" s="49"/>
    </row>
    <row r="792" ht="14.25" customHeight="1">
      <c r="A792" s="13">
        <v>25629.0</v>
      </c>
      <c r="B792" s="13" t="str">
        <f t="shared" si="8"/>
        <v>Observational</v>
      </c>
      <c r="C792" s="13" t="s">
        <v>4864</v>
      </c>
      <c r="D792" s="1" t="s">
        <v>5344</v>
      </c>
      <c r="E792" s="13" t="s">
        <v>5316</v>
      </c>
      <c r="F792" s="13" t="s">
        <v>3218</v>
      </c>
      <c r="G792" s="13" t="s">
        <v>3201</v>
      </c>
      <c r="H792" s="13" t="s">
        <v>3166</v>
      </c>
      <c r="I792" s="13" t="s">
        <v>3261</v>
      </c>
      <c r="J792" s="13" t="s">
        <v>3900</v>
      </c>
      <c r="K792" s="13" t="s">
        <v>3153</v>
      </c>
      <c r="L792" s="13" t="s">
        <v>3179</v>
      </c>
      <c r="M792" s="13" t="s">
        <v>4282</v>
      </c>
      <c r="N792" s="13" t="s">
        <v>3175</v>
      </c>
      <c r="O792" s="13" t="s">
        <v>4283</v>
      </c>
      <c r="P792" s="13">
        <v>3.0</v>
      </c>
      <c r="Q792" s="13" t="s">
        <v>3177</v>
      </c>
      <c r="R792" s="13" t="s">
        <v>3163</v>
      </c>
      <c r="S792" s="13" t="s">
        <v>33</v>
      </c>
      <c r="T792" s="13" t="s">
        <v>3255</v>
      </c>
      <c r="U792" s="13" t="s">
        <v>3197</v>
      </c>
      <c r="V792" s="13" t="s">
        <v>3197</v>
      </c>
      <c r="W792" s="13" t="s">
        <v>3167</v>
      </c>
      <c r="X792" s="13" t="s">
        <v>3192</v>
      </c>
      <c r="Y792" s="13" t="s">
        <v>3156</v>
      </c>
      <c r="Z792" s="13" t="s">
        <v>33</v>
      </c>
      <c r="AA792" s="13" t="b">
        <v>0</v>
      </c>
      <c r="AB792" s="48"/>
      <c r="AC792" s="49"/>
    </row>
    <row r="793" ht="14.25" customHeight="1">
      <c r="A793" s="13">
        <v>25686.0</v>
      </c>
      <c r="B793" s="13" t="str">
        <f t="shared" si="8"/>
        <v>Observational</v>
      </c>
      <c r="C793" s="13" t="s">
        <v>4864</v>
      </c>
      <c r="D793" s="1" t="s">
        <v>5345</v>
      </c>
      <c r="E793" s="13" t="s">
        <v>5346</v>
      </c>
      <c r="F793" s="13" t="s">
        <v>3186</v>
      </c>
      <c r="G793" s="13" t="s">
        <v>3186</v>
      </c>
      <c r="H793" s="13" t="s">
        <v>3253</v>
      </c>
      <c r="I793" s="13" t="s">
        <v>3167</v>
      </c>
      <c r="J793" s="13" t="s">
        <v>3167</v>
      </c>
      <c r="K793" s="13" t="s">
        <v>3153</v>
      </c>
      <c r="L793" s="13" t="s">
        <v>3179</v>
      </c>
      <c r="M793" s="13" t="s">
        <v>4300</v>
      </c>
      <c r="N793" s="13" t="s">
        <v>3175</v>
      </c>
      <c r="O793" s="13" t="s">
        <v>33</v>
      </c>
      <c r="P793" s="13">
        <v>8.0</v>
      </c>
      <c r="Q793" s="13" t="s">
        <v>3177</v>
      </c>
      <c r="R793" s="13" t="s">
        <v>3177</v>
      </c>
      <c r="S793" s="13" t="s">
        <v>33</v>
      </c>
      <c r="T793" s="13" t="s">
        <v>3755</v>
      </c>
      <c r="U793" s="13" t="s">
        <v>3252</v>
      </c>
      <c r="V793" s="13" t="s">
        <v>3252</v>
      </c>
      <c r="W793" s="13" t="s">
        <v>3755</v>
      </c>
      <c r="X793" s="13" t="s">
        <v>3217</v>
      </c>
      <c r="Y793" s="13" t="s">
        <v>3187</v>
      </c>
      <c r="Z793" s="13">
        <v>5.0</v>
      </c>
      <c r="AA793" s="13" t="b">
        <v>0</v>
      </c>
      <c r="AB793" s="48"/>
      <c r="AC793" s="49"/>
    </row>
    <row r="794" ht="14.25" customHeight="1">
      <c r="A794" s="13">
        <v>24788.0</v>
      </c>
      <c r="B794" s="13" t="str">
        <f t="shared" si="8"/>
        <v>Observational</v>
      </c>
      <c r="C794" s="13" t="s">
        <v>4864</v>
      </c>
      <c r="D794" s="1" t="s">
        <v>5347</v>
      </c>
      <c r="E794" s="13" t="s">
        <v>5348</v>
      </c>
      <c r="F794" s="13" t="s">
        <v>3173</v>
      </c>
      <c r="G794" s="13" t="s">
        <v>3173</v>
      </c>
      <c r="H794" s="13" t="s">
        <v>3166</v>
      </c>
      <c r="I794" s="13" t="s">
        <v>3264</v>
      </c>
      <c r="J794" s="13" t="s">
        <v>3204</v>
      </c>
      <c r="K794" s="13" t="s">
        <v>3153</v>
      </c>
      <c r="L794" s="13" t="s">
        <v>3179</v>
      </c>
      <c r="M794" s="13" t="s">
        <v>4037</v>
      </c>
      <c r="N794" s="13" t="s">
        <v>3162</v>
      </c>
      <c r="O794" s="13" t="s">
        <v>33</v>
      </c>
      <c r="P794" s="13">
        <v>3.0</v>
      </c>
      <c r="Q794" s="13" t="s">
        <v>3160</v>
      </c>
      <c r="R794" s="13" t="s">
        <v>3163</v>
      </c>
      <c r="S794" s="13" t="s">
        <v>33</v>
      </c>
      <c r="T794" s="13" t="s">
        <v>3178</v>
      </c>
      <c r="U794" s="13" t="s">
        <v>3164</v>
      </c>
      <c r="V794" s="13" t="s">
        <v>3164</v>
      </c>
      <c r="W794" s="13" t="s">
        <v>3167</v>
      </c>
      <c r="X794" s="13" t="s">
        <v>3192</v>
      </c>
      <c r="Y794" s="13" t="s">
        <v>3156</v>
      </c>
      <c r="Z794" s="13" t="s">
        <v>33</v>
      </c>
      <c r="AA794" s="13" t="b">
        <v>0</v>
      </c>
      <c r="AB794" s="48"/>
      <c r="AC794" s="49"/>
    </row>
    <row r="795" ht="14.25" customHeight="1">
      <c r="A795" s="13">
        <v>25530.0</v>
      </c>
      <c r="B795" s="13" t="str">
        <f t="shared" si="8"/>
        <v>Experimental</v>
      </c>
      <c r="C795" s="13" t="s">
        <v>4852</v>
      </c>
      <c r="D795" s="1" t="s">
        <v>5349</v>
      </c>
      <c r="E795" s="13" t="s">
        <v>5350</v>
      </c>
      <c r="F795" s="13" t="s">
        <v>3159</v>
      </c>
      <c r="G795" s="13" t="s">
        <v>3159</v>
      </c>
      <c r="H795" s="13" t="s">
        <v>3166</v>
      </c>
      <c r="I795" s="13" t="s">
        <v>3222</v>
      </c>
      <c r="J795" s="13" t="s">
        <v>3182</v>
      </c>
      <c r="K795" s="13" t="s">
        <v>3457</v>
      </c>
      <c r="L795" s="13" t="s">
        <v>3154</v>
      </c>
      <c r="M795" s="13" t="s">
        <v>3494</v>
      </c>
      <c r="N795" s="13" t="s">
        <v>3162</v>
      </c>
      <c r="O795" s="13" t="s">
        <v>33</v>
      </c>
      <c r="P795" s="13">
        <v>1.0</v>
      </c>
      <c r="Q795" s="13" t="s">
        <v>3160</v>
      </c>
      <c r="R795" s="13" t="s">
        <v>3163</v>
      </c>
      <c r="S795" s="13" t="s">
        <v>33</v>
      </c>
      <c r="T795" s="13" t="s">
        <v>3216</v>
      </c>
      <c r="U795" s="13" t="s">
        <v>3164</v>
      </c>
      <c r="V795" s="13" t="s">
        <v>3164</v>
      </c>
      <c r="W795" s="13" t="s">
        <v>3167</v>
      </c>
      <c r="X795" s="13" t="s">
        <v>3170</v>
      </c>
      <c r="Y795" s="13" t="s">
        <v>3156</v>
      </c>
      <c r="Z795" s="13" t="s">
        <v>33</v>
      </c>
      <c r="AA795" s="13" t="b">
        <v>0</v>
      </c>
      <c r="AB795" s="48"/>
      <c r="AC795" s="49"/>
    </row>
    <row r="796" ht="14.25" customHeight="1">
      <c r="A796" s="13">
        <v>23547.0</v>
      </c>
      <c r="B796" s="13" t="str">
        <f t="shared" si="8"/>
        <v>Observational</v>
      </c>
      <c r="C796" s="13" t="s">
        <v>4856</v>
      </c>
      <c r="D796" s="1" t="s">
        <v>5349</v>
      </c>
      <c r="E796" s="13" t="s">
        <v>5350</v>
      </c>
      <c r="F796" s="13" t="s">
        <v>3183</v>
      </c>
      <c r="G796" s="13" t="s">
        <v>3346</v>
      </c>
      <c r="H796" s="13" t="s">
        <v>3166</v>
      </c>
      <c r="I796" s="13" t="s">
        <v>3188</v>
      </c>
      <c r="J796" s="13" t="s">
        <v>3493</v>
      </c>
      <c r="K796" s="13" t="s">
        <v>3153</v>
      </c>
      <c r="L796" s="13" t="s">
        <v>3169</v>
      </c>
      <c r="M796" s="13" t="s">
        <v>3494</v>
      </c>
      <c r="N796" s="13" t="s">
        <v>3162</v>
      </c>
      <c r="O796" s="13" t="s">
        <v>3495</v>
      </c>
      <c r="P796" s="13">
        <v>1.0</v>
      </c>
      <c r="Q796" s="13" t="s">
        <v>3177</v>
      </c>
      <c r="R796" s="13" t="s">
        <v>3163</v>
      </c>
      <c r="S796" s="13" t="s">
        <v>33</v>
      </c>
      <c r="T796" s="13" t="s">
        <v>3178</v>
      </c>
      <c r="U796" s="13" t="s">
        <v>3164</v>
      </c>
      <c r="V796" s="13" t="s">
        <v>3165</v>
      </c>
      <c r="W796" s="13" t="s">
        <v>3167</v>
      </c>
      <c r="X796" s="13" t="s">
        <v>3155</v>
      </c>
      <c r="Y796" s="13" t="s">
        <v>3187</v>
      </c>
      <c r="Z796" s="13">
        <v>1.0</v>
      </c>
      <c r="AA796" s="13" t="b">
        <v>0</v>
      </c>
      <c r="AB796" s="48"/>
      <c r="AC796" s="49"/>
    </row>
    <row r="797" ht="14.25" customHeight="1">
      <c r="A797" s="13">
        <v>23594.0</v>
      </c>
      <c r="B797" s="13" t="str">
        <f t="shared" si="8"/>
        <v>Observational</v>
      </c>
      <c r="C797" s="13" t="s">
        <v>4856</v>
      </c>
      <c r="D797" s="1" t="s">
        <v>5349</v>
      </c>
      <c r="E797" s="13" t="s">
        <v>5350</v>
      </c>
      <c r="F797" s="13" t="s">
        <v>3159</v>
      </c>
      <c r="G797" s="13" t="s">
        <v>3173</v>
      </c>
      <c r="H797" s="13" t="s">
        <v>3166</v>
      </c>
      <c r="I797" s="13" t="s">
        <v>3157</v>
      </c>
      <c r="J797" s="13" t="s">
        <v>3400</v>
      </c>
      <c r="K797" s="13" t="s">
        <v>3153</v>
      </c>
      <c r="L797" s="13" t="s">
        <v>3169</v>
      </c>
      <c r="M797" s="13" t="s">
        <v>3494</v>
      </c>
      <c r="N797" s="13" t="s">
        <v>3162</v>
      </c>
      <c r="O797" s="13" t="s">
        <v>33</v>
      </c>
      <c r="P797" s="13">
        <v>1.0</v>
      </c>
      <c r="Q797" s="13" t="s">
        <v>3160</v>
      </c>
      <c r="R797" s="13" t="s">
        <v>3163</v>
      </c>
      <c r="S797" s="13" t="s">
        <v>33</v>
      </c>
      <c r="T797" s="13" t="s">
        <v>3518</v>
      </c>
      <c r="U797" s="13" t="s">
        <v>3164</v>
      </c>
      <c r="V797" s="13" t="s">
        <v>3197</v>
      </c>
      <c r="W797" s="13" t="s">
        <v>3167</v>
      </c>
      <c r="X797" s="13" t="s">
        <v>3170</v>
      </c>
      <c r="Y797" s="13" t="s">
        <v>3202</v>
      </c>
      <c r="Z797" s="13">
        <v>10.0</v>
      </c>
      <c r="AA797" s="13" t="b">
        <v>0</v>
      </c>
      <c r="AB797" s="48"/>
      <c r="AC797" s="49"/>
    </row>
    <row r="798" ht="14.25" customHeight="1">
      <c r="A798" s="13">
        <v>23595.0</v>
      </c>
      <c r="B798" s="13" t="str">
        <f t="shared" si="8"/>
        <v>Observational</v>
      </c>
      <c r="C798" s="13" t="s">
        <v>4856</v>
      </c>
      <c r="D798" s="1" t="s">
        <v>5349</v>
      </c>
      <c r="E798" s="13" t="s">
        <v>5350</v>
      </c>
      <c r="F798" s="13" t="s">
        <v>3183</v>
      </c>
      <c r="G798" s="13" t="s">
        <v>3208</v>
      </c>
      <c r="H798" s="13" t="s">
        <v>3166</v>
      </c>
      <c r="I798" s="13" t="s">
        <v>3157</v>
      </c>
      <c r="J798" s="13" t="s">
        <v>3400</v>
      </c>
      <c r="K798" s="13" t="s">
        <v>3153</v>
      </c>
      <c r="L798" s="13" t="s">
        <v>3169</v>
      </c>
      <c r="M798" s="13" t="s">
        <v>3494</v>
      </c>
      <c r="N798" s="13" t="s">
        <v>3162</v>
      </c>
      <c r="O798" s="14" t="s">
        <v>3519</v>
      </c>
      <c r="P798" s="13">
        <v>1.0</v>
      </c>
      <c r="Q798" s="13" t="s">
        <v>3160</v>
      </c>
      <c r="R798" s="13" t="s">
        <v>3177</v>
      </c>
      <c r="S798" s="13" t="s">
        <v>33</v>
      </c>
      <c r="T798" s="13" t="s">
        <v>3224</v>
      </c>
      <c r="U798" s="13" t="s">
        <v>3164</v>
      </c>
      <c r="V798" s="13" t="s">
        <v>3164</v>
      </c>
      <c r="W798" s="13" t="s">
        <v>3167</v>
      </c>
      <c r="X798" s="13" t="s">
        <v>3170</v>
      </c>
      <c r="Y798" s="13" t="s">
        <v>3202</v>
      </c>
      <c r="Z798" s="13">
        <v>10.0</v>
      </c>
      <c r="AA798" s="13" t="b">
        <v>0</v>
      </c>
      <c r="AB798" s="48"/>
      <c r="AC798" s="49"/>
    </row>
    <row r="799" ht="14.25" customHeight="1">
      <c r="A799" s="13">
        <v>23616.0</v>
      </c>
      <c r="B799" s="13" t="str">
        <f t="shared" si="8"/>
        <v>Observational</v>
      </c>
      <c r="C799" s="13" t="s">
        <v>4856</v>
      </c>
      <c r="D799" s="1" t="s">
        <v>5349</v>
      </c>
      <c r="E799" s="13" t="s">
        <v>5350</v>
      </c>
      <c r="F799" s="13" t="s">
        <v>3183</v>
      </c>
      <c r="G799" s="13" t="s">
        <v>3210</v>
      </c>
      <c r="H799" s="13" t="s">
        <v>3195</v>
      </c>
      <c r="I799" s="13" t="s">
        <v>3222</v>
      </c>
      <c r="J799" s="13" t="s">
        <v>3182</v>
      </c>
      <c r="K799" s="13" t="s">
        <v>3153</v>
      </c>
      <c r="L799" s="13" t="s">
        <v>3169</v>
      </c>
      <c r="M799" s="13" t="s">
        <v>3494</v>
      </c>
      <c r="N799" s="13" t="s">
        <v>3162</v>
      </c>
      <c r="O799" s="13" t="s">
        <v>3539</v>
      </c>
      <c r="P799" s="13">
        <v>1.0</v>
      </c>
      <c r="Q799" s="13" t="s">
        <v>3160</v>
      </c>
      <c r="R799" s="13" t="s">
        <v>3231</v>
      </c>
      <c r="S799" s="13" t="s">
        <v>3539</v>
      </c>
      <c r="T799" s="13" t="s">
        <v>3167</v>
      </c>
      <c r="U799" s="13" t="s">
        <v>3195</v>
      </c>
      <c r="V799" s="13" t="s">
        <v>3195</v>
      </c>
      <c r="W799" s="13" t="s">
        <v>3167</v>
      </c>
      <c r="X799" s="13" t="s">
        <v>3170</v>
      </c>
      <c r="Y799" s="13" t="s">
        <v>3538</v>
      </c>
      <c r="Z799" s="13">
        <v>10.0</v>
      </c>
      <c r="AA799" s="13" t="b">
        <v>0</v>
      </c>
      <c r="AB799" s="48"/>
      <c r="AC799" s="49"/>
    </row>
    <row r="800" ht="14.25" customHeight="1">
      <c r="A800" s="13">
        <v>24107.0</v>
      </c>
      <c r="B800" s="13" t="str">
        <f t="shared" si="8"/>
        <v>Observational</v>
      </c>
      <c r="C800" s="13" t="s">
        <v>4864</v>
      </c>
      <c r="D800" s="1" t="s">
        <v>5349</v>
      </c>
      <c r="E800" s="13" t="s">
        <v>5350</v>
      </c>
      <c r="F800" s="13" t="s">
        <v>3159</v>
      </c>
      <c r="G800" s="13" t="s">
        <v>3159</v>
      </c>
      <c r="H800" s="13" t="s">
        <v>3166</v>
      </c>
      <c r="I800" s="13" t="s">
        <v>3222</v>
      </c>
      <c r="J800" s="13" t="s">
        <v>3182</v>
      </c>
      <c r="K800" s="13" t="s">
        <v>3153</v>
      </c>
      <c r="L800" s="13" t="s">
        <v>3179</v>
      </c>
      <c r="M800" s="13" t="s">
        <v>3494</v>
      </c>
      <c r="N800" s="13" t="s">
        <v>3162</v>
      </c>
      <c r="O800" s="13" t="s">
        <v>33</v>
      </c>
      <c r="P800" s="13">
        <v>1.0</v>
      </c>
      <c r="Q800" s="13" t="s">
        <v>3160</v>
      </c>
      <c r="R800" s="13" t="s">
        <v>3163</v>
      </c>
      <c r="S800" s="13" t="s">
        <v>33</v>
      </c>
      <c r="T800" s="13" t="s">
        <v>3168</v>
      </c>
      <c r="U800" s="13" t="s">
        <v>3228</v>
      </c>
      <c r="V800" s="13" t="s">
        <v>3228</v>
      </c>
      <c r="W800" s="13" t="s">
        <v>3167</v>
      </c>
      <c r="X800" s="13" t="s">
        <v>3170</v>
      </c>
      <c r="Y800" s="13" t="s">
        <v>3156</v>
      </c>
      <c r="Z800" s="13" t="s">
        <v>33</v>
      </c>
      <c r="AA800" s="13" t="b">
        <v>0</v>
      </c>
      <c r="AB800" s="48"/>
      <c r="AC800" s="49"/>
    </row>
    <row r="801" ht="14.25" customHeight="1">
      <c r="A801" s="13">
        <v>24163.0</v>
      </c>
      <c r="B801" s="13" t="str">
        <f t="shared" si="8"/>
        <v>Observational</v>
      </c>
      <c r="C801" s="13" t="s">
        <v>4856</v>
      </c>
      <c r="D801" s="1" t="s">
        <v>5349</v>
      </c>
      <c r="E801" s="13" t="s">
        <v>5350</v>
      </c>
      <c r="F801" s="13" t="s">
        <v>3195</v>
      </c>
      <c r="G801" s="13" t="s">
        <v>3335</v>
      </c>
      <c r="H801" s="13" t="s">
        <v>3195</v>
      </c>
      <c r="I801" s="13" t="s">
        <v>3167</v>
      </c>
      <c r="J801" s="13" t="s">
        <v>3167</v>
      </c>
      <c r="K801" s="13" t="s">
        <v>3153</v>
      </c>
      <c r="L801" s="13" t="s">
        <v>3169</v>
      </c>
      <c r="M801" s="13" t="s">
        <v>3494</v>
      </c>
      <c r="N801" s="13" t="s">
        <v>3162</v>
      </c>
      <c r="O801" s="13" t="s">
        <v>3779</v>
      </c>
      <c r="P801" s="13">
        <v>1.0</v>
      </c>
      <c r="Q801" s="13" t="s">
        <v>3177</v>
      </c>
      <c r="R801" s="13" t="s">
        <v>3163</v>
      </c>
      <c r="S801" s="13" t="s">
        <v>3780</v>
      </c>
      <c r="T801" s="13" t="s">
        <v>3167</v>
      </c>
      <c r="U801" s="13" t="s">
        <v>3195</v>
      </c>
      <c r="V801" s="13" t="s">
        <v>3195</v>
      </c>
      <c r="W801" s="13" t="s">
        <v>3167</v>
      </c>
      <c r="X801" s="13" t="s">
        <v>3217</v>
      </c>
      <c r="Y801" s="13" t="s">
        <v>3187</v>
      </c>
      <c r="Z801" s="13">
        <v>1.0</v>
      </c>
      <c r="AA801" s="13" t="b">
        <v>0</v>
      </c>
      <c r="AB801" s="48"/>
      <c r="AC801" s="49"/>
    </row>
    <row r="802" ht="14.25" customHeight="1">
      <c r="A802" s="13">
        <v>24184.0</v>
      </c>
      <c r="B802" s="13" t="str">
        <f t="shared" si="8"/>
        <v>Observational</v>
      </c>
      <c r="C802" s="13" t="s">
        <v>4864</v>
      </c>
      <c r="D802" s="1" t="s">
        <v>5349</v>
      </c>
      <c r="E802" s="13" t="s">
        <v>5350</v>
      </c>
      <c r="F802" s="13" t="s">
        <v>3173</v>
      </c>
      <c r="G802" s="13" t="s">
        <v>3159</v>
      </c>
      <c r="H802" s="13" t="s">
        <v>3166</v>
      </c>
      <c r="I802" s="13" t="s">
        <v>3193</v>
      </c>
      <c r="J802" s="13" t="s">
        <v>3402</v>
      </c>
      <c r="K802" s="13" t="s">
        <v>3153</v>
      </c>
      <c r="L802" s="13" t="s">
        <v>3179</v>
      </c>
      <c r="M802" s="13" t="s">
        <v>3494</v>
      </c>
      <c r="N802" s="13" t="s">
        <v>3162</v>
      </c>
      <c r="O802" s="13" t="s">
        <v>33</v>
      </c>
      <c r="P802" s="13">
        <v>1.0</v>
      </c>
      <c r="Q802" s="13" t="s">
        <v>3160</v>
      </c>
      <c r="R802" s="13" t="s">
        <v>3163</v>
      </c>
      <c r="S802" s="13" t="s">
        <v>33</v>
      </c>
      <c r="T802" s="13" t="s">
        <v>3168</v>
      </c>
      <c r="U802" s="13" t="s">
        <v>3232</v>
      </c>
      <c r="V802" s="13" t="s">
        <v>3232</v>
      </c>
      <c r="W802" s="13" t="s">
        <v>3167</v>
      </c>
      <c r="X802" s="13" t="s">
        <v>3170</v>
      </c>
      <c r="Y802" s="13" t="s">
        <v>3156</v>
      </c>
      <c r="Z802" s="13" t="s">
        <v>33</v>
      </c>
      <c r="AA802" s="13" t="b">
        <v>0</v>
      </c>
      <c r="AB802" s="48"/>
      <c r="AC802" s="49"/>
    </row>
    <row r="803" ht="14.25" customHeight="1">
      <c r="A803" s="13">
        <v>24232.0</v>
      </c>
      <c r="B803" s="13" t="str">
        <f t="shared" si="8"/>
        <v>Observational</v>
      </c>
      <c r="C803" s="13" t="s">
        <v>4856</v>
      </c>
      <c r="D803" s="1" t="s">
        <v>5349</v>
      </c>
      <c r="E803" s="13" t="s">
        <v>5350</v>
      </c>
      <c r="F803" s="13" t="s">
        <v>3186</v>
      </c>
      <c r="G803" s="13" t="s">
        <v>3210</v>
      </c>
      <c r="H803" s="13" t="s">
        <v>3195</v>
      </c>
      <c r="I803" s="13" t="s">
        <v>3222</v>
      </c>
      <c r="J803" s="13" t="s">
        <v>3182</v>
      </c>
      <c r="K803" s="13" t="s">
        <v>3153</v>
      </c>
      <c r="L803" s="13" t="s">
        <v>3169</v>
      </c>
      <c r="M803" s="13" t="s">
        <v>3494</v>
      </c>
      <c r="N803" s="13" t="s">
        <v>3162</v>
      </c>
      <c r="O803" s="13" t="s">
        <v>33</v>
      </c>
      <c r="P803" s="13">
        <v>1.0</v>
      </c>
      <c r="Q803" s="13" t="s">
        <v>3177</v>
      </c>
      <c r="R803" s="13" t="s">
        <v>3163</v>
      </c>
      <c r="S803" s="13" t="s">
        <v>33</v>
      </c>
      <c r="T803" s="13" t="s">
        <v>3167</v>
      </c>
      <c r="U803" s="13" t="s">
        <v>3195</v>
      </c>
      <c r="V803" s="13" t="s">
        <v>3195</v>
      </c>
      <c r="W803" s="13" t="s">
        <v>3167</v>
      </c>
      <c r="X803" s="13" t="s">
        <v>3192</v>
      </c>
      <c r="Y803" s="13" t="s">
        <v>3202</v>
      </c>
      <c r="Z803" s="13">
        <v>1.0</v>
      </c>
      <c r="AA803" s="13" t="b">
        <v>0</v>
      </c>
      <c r="AB803" s="48"/>
      <c r="AC803" s="49"/>
    </row>
    <row r="804" ht="14.25" customHeight="1">
      <c r="A804" s="13">
        <v>24426.0</v>
      </c>
      <c r="B804" s="13" t="str">
        <f t="shared" si="8"/>
        <v>Observational</v>
      </c>
      <c r="C804" s="13" t="s">
        <v>4886</v>
      </c>
      <c r="D804" s="1" t="s">
        <v>5349</v>
      </c>
      <c r="E804" s="13" t="s">
        <v>5350</v>
      </c>
      <c r="F804" s="13" t="s">
        <v>3190</v>
      </c>
      <c r="G804" s="13" t="s">
        <v>3901</v>
      </c>
      <c r="H804" s="13" t="s">
        <v>3253</v>
      </c>
      <c r="I804" s="13" t="s">
        <v>3157</v>
      </c>
      <c r="J804" s="13" t="s">
        <v>3330</v>
      </c>
      <c r="K804" s="13" t="s">
        <v>3153</v>
      </c>
      <c r="L804" s="13" t="s">
        <v>3465</v>
      </c>
      <c r="M804" s="13" t="s">
        <v>3494</v>
      </c>
      <c r="N804" s="13" t="s">
        <v>3162</v>
      </c>
      <c r="O804" s="13" t="s">
        <v>33</v>
      </c>
      <c r="P804" s="13">
        <v>1.0</v>
      </c>
      <c r="Q804" s="13" t="s">
        <v>3177</v>
      </c>
      <c r="R804" s="13" t="s">
        <v>3177</v>
      </c>
      <c r="S804" s="13" t="s">
        <v>3902</v>
      </c>
      <c r="T804" s="13" t="s">
        <v>3903</v>
      </c>
      <c r="U804" s="13" t="s">
        <v>3252</v>
      </c>
      <c r="V804" s="13" t="s">
        <v>3252</v>
      </c>
      <c r="W804" s="13" t="s">
        <v>3294</v>
      </c>
      <c r="X804" s="13" t="s">
        <v>3170</v>
      </c>
      <c r="Y804" s="13" t="s">
        <v>3156</v>
      </c>
      <c r="Z804" s="13" t="s">
        <v>33</v>
      </c>
      <c r="AA804" s="13" t="b">
        <v>0</v>
      </c>
      <c r="AB804" s="48"/>
      <c r="AC804" s="49"/>
    </row>
    <row r="805" ht="14.25" customHeight="1">
      <c r="A805" s="13">
        <v>24633.0</v>
      </c>
      <c r="B805" s="13" t="str">
        <f t="shared" si="8"/>
        <v>Observational</v>
      </c>
      <c r="C805" s="13" t="s">
        <v>4856</v>
      </c>
      <c r="D805" s="1" t="s">
        <v>5349</v>
      </c>
      <c r="E805" s="13" t="s">
        <v>5350</v>
      </c>
      <c r="F805" s="13" t="s">
        <v>3159</v>
      </c>
      <c r="G805" s="13" t="s">
        <v>3183</v>
      </c>
      <c r="H805" s="13" t="s">
        <v>3242</v>
      </c>
      <c r="I805" s="13" t="s">
        <v>3157</v>
      </c>
      <c r="J805" s="13" t="s">
        <v>3330</v>
      </c>
      <c r="K805" s="13" t="s">
        <v>3153</v>
      </c>
      <c r="L805" s="13" t="s">
        <v>3169</v>
      </c>
      <c r="M805" s="13" t="s">
        <v>3494</v>
      </c>
      <c r="N805" s="13" t="s">
        <v>3162</v>
      </c>
      <c r="O805" s="13" t="s">
        <v>33</v>
      </c>
      <c r="P805" s="13">
        <v>1.0</v>
      </c>
      <c r="Q805" s="13" t="s">
        <v>3177</v>
      </c>
      <c r="R805" s="13" t="s">
        <v>3163</v>
      </c>
      <c r="S805" s="13" t="s">
        <v>3978</v>
      </c>
      <c r="T805" s="13" t="s">
        <v>3167</v>
      </c>
      <c r="U805" s="13" t="s">
        <v>3247</v>
      </c>
      <c r="V805" s="13" t="s">
        <v>3247</v>
      </c>
      <c r="W805" s="13" t="s">
        <v>3979</v>
      </c>
      <c r="X805" s="13" t="s">
        <v>3170</v>
      </c>
      <c r="Y805" s="13" t="s">
        <v>3202</v>
      </c>
      <c r="Z805" s="13">
        <v>100.0</v>
      </c>
      <c r="AA805" s="13" t="b">
        <v>0</v>
      </c>
      <c r="AB805" s="48"/>
      <c r="AC805" s="49"/>
    </row>
    <row r="806" ht="14.25" customHeight="1">
      <c r="A806" s="13">
        <v>24674.0</v>
      </c>
      <c r="B806" s="13" t="str">
        <f t="shared" si="8"/>
        <v>Observational</v>
      </c>
      <c r="C806" s="13" t="s">
        <v>4856</v>
      </c>
      <c r="D806" s="1" t="s">
        <v>5349</v>
      </c>
      <c r="E806" s="13" t="s">
        <v>5350</v>
      </c>
      <c r="F806" s="13" t="s">
        <v>3159</v>
      </c>
      <c r="G806" s="13" t="s">
        <v>3159</v>
      </c>
      <c r="H806" s="13" t="s">
        <v>3242</v>
      </c>
      <c r="I806" s="13" t="s">
        <v>3157</v>
      </c>
      <c r="J806" s="13" t="s">
        <v>3992</v>
      </c>
      <c r="K806" s="13" t="s">
        <v>3153</v>
      </c>
      <c r="L806" s="13" t="s">
        <v>3169</v>
      </c>
      <c r="M806" s="13" t="s">
        <v>3494</v>
      </c>
      <c r="N806" s="13" t="s">
        <v>3162</v>
      </c>
      <c r="O806" s="13" t="s">
        <v>33</v>
      </c>
      <c r="P806" s="13">
        <v>1.0</v>
      </c>
      <c r="Q806" s="13" t="s">
        <v>3177</v>
      </c>
      <c r="R806" s="13" t="s">
        <v>3177</v>
      </c>
      <c r="S806" s="13" t="s">
        <v>33</v>
      </c>
      <c r="T806" s="13" t="s">
        <v>3167</v>
      </c>
      <c r="U806" s="13" t="s">
        <v>3247</v>
      </c>
      <c r="V806" s="13" t="s">
        <v>3247</v>
      </c>
      <c r="W806" s="13" t="s">
        <v>3634</v>
      </c>
      <c r="X806" s="13" t="s">
        <v>3155</v>
      </c>
      <c r="Y806" s="13" t="s">
        <v>3202</v>
      </c>
      <c r="Z806" s="13">
        <v>50.0</v>
      </c>
      <c r="AA806" s="13" t="b">
        <v>0</v>
      </c>
      <c r="AB806" s="48"/>
      <c r="AC806" s="49"/>
    </row>
    <row r="807" ht="14.25" customHeight="1">
      <c r="A807" s="13">
        <v>25327.0</v>
      </c>
      <c r="B807" s="13" t="str">
        <f t="shared" si="8"/>
        <v>Observational</v>
      </c>
      <c r="C807" s="13" t="s">
        <v>4856</v>
      </c>
      <c r="D807" s="1" t="s">
        <v>5349</v>
      </c>
      <c r="E807" s="13" t="s">
        <v>5350</v>
      </c>
      <c r="F807" s="13" t="s">
        <v>3159</v>
      </c>
      <c r="G807" s="13" t="s">
        <v>3287</v>
      </c>
      <c r="H807" s="13" t="s">
        <v>3166</v>
      </c>
      <c r="I807" s="13" t="s">
        <v>3188</v>
      </c>
      <c r="J807" s="13" t="s">
        <v>3189</v>
      </c>
      <c r="K807" s="13" t="s">
        <v>3153</v>
      </c>
      <c r="L807" s="13" t="s">
        <v>3169</v>
      </c>
      <c r="M807" s="13" t="s">
        <v>3494</v>
      </c>
      <c r="N807" s="13" t="s">
        <v>3162</v>
      </c>
      <c r="O807" s="13" t="s">
        <v>33</v>
      </c>
      <c r="P807" s="13">
        <v>1.0</v>
      </c>
      <c r="Q807" s="13" t="s">
        <v>3177</v>
      </c>
      <c r="R807" s="13" t="s">
        <v>3177</v>
      </c>
      <c r="S807" s="13" t="s">
        <v>33</v>
      </c>
      <c r="T807" s="13" t="s">
        <v>3178</v>
      </c>
      <c r="U807" s="13" t="s">
        <v>3164</v>
      </c>
      <c r="V807" s="13" t="s">
        <v>3164</v>
      </c>
      <c r="W807" s="13" t="s">
        <v>3167</v>
      </c>
      <c r="X807" s="13" t="s">
        <v>3170</v>
      </c>
      <c r="Y807" s="13" t="s">
        <v>33</v>
      </c>
      <c r="Z807" s="13" t="s">
        <v>33</v>
      </c>
      <c r="AA807" s="13" t="b">
        <v>0</v>
      </c>
      <c r="AB807" s="48"/>
      <c r="AC807" s="49"/>
    </row>
    <row r="808" ht="14.25" customHeight="1">
      <c r="A808" s="13">
        <v>26141.0</v>
      </c>
      <c r="B808" s="13" t="str">
        <f t="shared" si="8"/>
        <v>Observational</v>
      </c>
      <c r="C808" s="13" t="s">
        <v>4852</v>
      </c>
      <c r="D808" s="1" t="s">
        <v>5349</v>
      </c>
      <c r="E808" s="13" t="s">
        <v>5350</v>
      </c>
      <c r="F808" s="13" t="s">
        <v>3159</v>
      </c>
      <c r="G808" s="13" t="s">
        <v>3186</v>
      </c>
      <c r="H808" s="13" t="s">
        <v>3166</v>
      </c>
      <c r="I808" s="13" t="s">
        <v>3157</v>
      </c>
      <c r="J808" s="13" t="s">
        <v>3400</v>
      </c>
      <c r="K808" s="13" t="s">
        <v>3153</v>
      </c>
      <c r="L808" s="13" t="s">
        <v>3154</v>
      </c>
      <c r="M808" s="13" t="s">
        <v>3494</v>
      </c>
      <c r="N808" s="13" t="s">
        <v>3162</v>
      </c>
      <c r="O808" s="13" t="s">
        <v>33</v>
      </c>
      <c r="P808" s="13">
        <v>1.0</v>
      </c>
      <c r="Q808" s="13" t="s">
        <v>3177</v>
      </c>
      <c r="R808" s="13" t="s">
        <v>3177</v>
      </c>
      <c r="S808" s="13" t="s">
        <v>33</v>
      </c>
      <c r="T808" s="13" t="s">
        <v>3225</v>
      </c>
      <c r="U808" s="13" t="s">
        <v>3164</v>
      </c>
      <c r="V808" s="13" t="s">
        <v>3164</v>
      </c>
      <c r="W808" s="13" t="s">
        <v>3167</v>
      </c>
      <c r="X808" s="13" t="s">
        <v>3170</v>
      </c>
      <c r="Y808" s="13" t="s">
        <v>33</v>
      </c>
      <c r="Z808" s="13" t="s">
        <v>33</v>
      </c>
      <c r="AA808" s="13" t="b">
        <v>0</v>
      </c>
      <c r="AB808" s="48"/>
      <c r="AC808" s="49"/>
    </row>
    <row r="809" ht="14.25" customHeight="1">
      <c r="A809" s="13">
        <v>23364.0</v>
      </c>
      <c r="B809" s="13" t="str">
        <f t="shared" si="8"/>
        <v>Observational</v>
      </c>
      <c r="C809" s="13" t="s">
        <v>4856</v>
      </c>
      <c r="D809" s="1" t="s">
        <v>5351</v>
      </c>
      <c r="E809" s="13" t="s">
        <v>5352</v>
      </c>
      <c r="F809" s="13" t="s">
        <v>3208</v>
      </c>
      <c r="G809" s="13" t="s">
        <v>3265</v>
      </c>
      <c r="H809" s="13" t="s">
        <v>3166</v>
      </c>
      <c r="I809" s="13" t="s">
        <v>3157</v>
      </c>
      <c r="J809" s="13" t="s">
        <v>3410</v>
      </c>
      <c r="K809" s="13" t="s">
        <v>3153</v>
      </c>
      <c r="L809" s="13" t="s">
        <v>3169</v>
      </c>
      <c r="M809" s="13" t="s">
        <v>3411</v>
      </c>
      <c r="N809" s="13" t="s">
        <v>3162</v>
      </c>
      <c r="O809" s="13" t="s">
        <v>33</v>
      </c>
      <c r="P809" s="13">
        <v>2.0</v>
      </c>
      <c r="Q809" s="13" t="s">
        <v>3160</v>
      </c>
      <c r="R809" s="13" t="s">
        <v>3177</v>
      </c>
      <c r="S809" s="13" t="s">
        <v>33</v>
      </c>
      <c r="T809" s="13" t="s">
        <v>3224</v>
      </c>
      <c r="U809" s="13" t="s">
        <v>3164</v>
      </c>
      <c r="V809" s="13" t="s">
        <v>3164</v>
      </c>
      <c r="W809" s="13" t="s">
        <v>3167</v>
      </c>
      <c r="X809" s="13" t="s">
        <v>3170</v>
      </c>
      <c r="Y809" s="13" t="s">
        <v>3202</v>
      </c>
      <c r="Z809" s="13">
        <v>25.0</v>
      </c>
      <c r="AA809" s="13" t="b">
        <v>0</v>
      </c>
      <c r="AB809" s="48"/>
      <c r="AC809" s="49"/>
    </row>
    <row r="810" ht="14.25" customHeight="1">
      <c r="A810" s="13">
        <v>24481.0</v>
      </c>
      <c r="B810" s="13" t="str">
        <f t="shared" si="8"/>
        <v>Observational</v>
      </c>
      <c r="C810" s="13" t="s">
        <v>4856</v>
      </c>
      <c r="D810" s="1" t="s">
        <v>5353</v>
      </c>
      <c r="E810" s="13" t="s">
        <v>5352</v>
      </c>
      <c r="F810" s="13" t="s">
        <v>3186</v>
      </c>
      <c r="G810" s="13" t="s">
        <v>3186</v>
      </c>
      <c r="H810" s="13" t="s">
        <v>3166</v>
      </c>
      <c r="I810" s="13" t="s">
        <v>3157</v>
      </c>
      <c r="J810" s="13" t="s">
        <v>3348</v>
      </c>
      <c r="K810" s="13" t="s">
        <v>3153</v>
      </c>
      <c r="L810" s="13" t="s">
        <v>3169</v>
      </c>
      <c r="M810" s="13" t="s">
        <v>3932</v>
      </c>
      <c r="N810" s="13" t="s">
        <v>3162</v>
      </c>
      <c r="O810" s="13" t="s">
        <v>33</v>
      </c>
      <c r="P810" s="13">
        <v>2.0</v>
      </c>
      <c r="Q810" s="13" t="s">
        <v>3177</v>
      </c>
      <c r="R810" s="13" t="s">
        <v>3177</v>
      </c>
      <c r="S810" s="13" t="s">
        <v>33</v>
      </c>
      <c r="T810" s="13" t="s">
        <v>3276</v>
      </c>
      <c r="U810" s="13" t="s">
        <v>3197</v>
      </c>
      <c r="V810" s="13" t="s">
        <v>3197</v>
      </c>
      <c r="W810" s="13" t="s">
        <v>3167</v>
      </c>
      <c r="X810" s="13" t="s">
        <v>3170</v>
      </c>
      <c r="Y810" s="13" t="s">
        <v>3202</v>
      </c>
      <c r="Z810" s="13">
        <v>10.0</v>
      </c>
      <c r="AA810" s="13" t="b">
        <v>0</v>
      </c>
      <c r="AB810" s="48"/>
      <c r="AC810" s="49"/>
    </row>
    <row r="811" ht="14.25" customHeight="1">
      <c r="A811" s="13">
        <v>25878.0</v>
      </c>
      <c r="B811" s="13" t="str">
        <f t="shared" si="8"/>
        <v>Observational</v>
      </c>
      <c r="C811" s="13" t="s">
        <v>4856</v>
      </c>
      <c r="D811" s="1" t="s">
        <v>5354</v>
      </c>
      <c r="E811" s="13" t="s">
        <v>4998</v>
      </c>
      <c r="F811" s="13" t="s">
        <v>3159</v>
      </c>
      <c r="G811" s="13" t="s">
        <v>3159</v>
      </c>
      <c r="H811" s="13" t="s">
        <v>3166</v>
      </c>
      <c r="I811" s="13" t="s">
        <v>3157</v>
      </c>
      <c r="J811" s="13" t="s">
        <v>3368</v>
      </c>
      <c r="K811" s="13" t="s">
        <v>3153</v>
      </c>
      <c r="L811" s="13" t="s">
        <v>3169</v>
      </c>
      <c r="M811" s="13" t="s">
        <v>4371</v>
      </c>
      <c r="N811" s="13" t="s">
        <v>3162</v>
      </c>
      <c r="O811" s="13" t="s">
        <v>33</v>
      </c>
      <c r="P811" s="13">
        <v>2.0</v>
      </c>
      <c r="Q811" s="13" t="s">
        <v>3177</v>
      </c>
      <c r="R811" s="13" t="s">
        <v>3163</v>
      </c>
      <c r="S811" s="13" t="s">
        <v>33</v>
      </c>
      <c r="T811" s="13" t="s">
        <v>4372</v>
      </c>
      <c r="U811" s="13" t="s">
        <v>3164</v>
      </c>
      <c r="V811" s="13" t="s">
        <v>3247</v>
      </c>
      <c r="W811" s="13" t="s">
        <v>3167</v>
      </c>
      <c r="X811" s="13" t="s">
        <v>3170</v>
      </c>
      <c r="Y811" s="13" t="s">
        <v>3156</v>
      </c>
      <c r="Z811" s="13" t="s">
        <v>33</v>
      </c>
      <c r="AA811" s="13" t="b">
        <v>0</v>
      </c>
      <c r="AB811" s="48"/>
      <c r="AC811" s="49"/>
    </row>
    <row r="812" ht="14.25" customHeight="1">
      <c r="A812" s="13">
        <v>25078.0</v>
      </c>
      <c r="B812" s="13" t="str">
        <f t="shared" si="8"/>
        <v>Observational</v>
      </c>
      <c r="C812" s="13" t="s">
        <v>4856</v>
      </c>
      <c r="D812" s="1" t="s">
        <v>5355</v>
      </c>
      <c r="E812" s="13" t="s">
        <v>5356</v>
      </c>
      <c r="F812" s="13" t="s">
        <v>3545</v>
      </c>
      <c r="G812" s="13" t="s">
        <v>3183</v>
      </c>
      <c r="H812" s="13" t="s">
        <v>3242</v>
      </c>
      <c r="I812" s="13" t="s">
        <v>3157</v>
      </c>
      <c r="J812" s="13" t="s">
        <v>3348</v>
      </c>
      <c r="K812" s="13" t="s">
        <v>3153</v>
      </c>
      <c r="L812" s="13" t="s">
        <v>3169</v>
      </c>
      <c r="M812" s="13" t="s">
        <v>4128</v>
      </c>
      <c r="N812" s="13" t="s">
        <v>3162</v>
      </c>
      <c r="O812" s="13" t="s">
        <v>4129</v>
      </c>
      <c r="P812" s="13">
        <v>2.0</v>
      </c>
      <c r="Q812" s="13" t="s">
        <v>3177</v>
      </c>
      <c r="R812" s="13" t="s">
        <v>3163</v>
      </c>
      <c r="S812" s="13" t="s">
        <v>33</v>
      </c>
      <c r="T812" s="13" t="s">
        <v>3167</v>
      </c>
      <c r="U812" s="13" t="s">
        <v>3164</v>
      </c>
      <c r="V812" s="13" t="s">
        <v>3164</v>
      </c>
      <c r="W812" s="13" t="s">
        <v>3433</v>
      </c>
      <c r="X812" s="13" t="s">
        <v>3170</v>
      </c>
      <c r="Y812" s="13" t="s">
        <v>3156</v>
      </c>
      <c r="Z812" s="13" t="s">
        <v>33</v>
      </c>
      <c r="AA812" s="13" t="b">
        <v>0</v>
      </c>
      <c r="AB812" s="48"/>
      <c r="AC812" s="49"/>
    </row>
    <row r="813" ht="14.25" customHeight="1">
      <c r="A813" s="13">
        <v>23623.0</v>
      </c>
      <c r="B813" s="13" t="str">
        <f t="shared" si="8"/>
        <v>Observational</v>
      </c>
      <c r="C813" s="13" t="s">
        <v>4864</v>
      </c>
      <c r="D813" s="13" t="s">
        <v>5357</v>
      </c>
      <c r="E813" s="13" t="s">
        <v>5358</v>
      </c>
      <c r="F813" s="13" t="s">
        <v>3159</v>
      </c>
      <c r="G813" s="13" t="s">
        <v>3159</v>
      </c>
      <c r="H813" s="13" t="s">
        <v>3166</v>
      </c>
      <c r="I813" s="13" t="s">
        <v>3261</v>
      </c>
      <c r="J813" s="13" t="s">
        <v>3463</v>
      </c>
      <c r="K813" s="13" t="s">
        <v>3153</v>
      </c>
      <c r="L813" s="13" t="s">
        <v>3179</v>
      </c>
      <c r="M813" s="13" t="s">
        <v>3542</v>
      </c>
      <c r="N813" s="13" t="s">
        <v>3162</v>
      </c>
      <c r="O813" s="13" t="s">
        <v>33</v>
      </c>
      <c r="P813" s="13">
        <v>3.0</v>
      </c>
      <c r="Q813" s="13" t="s">
        <v>3160</v>
      </c>
      <c r="R813" s="13" t="s">
        <v>3163</v>
      </c>
      <c r="S813" s="13" t="s">
        <v>33</v>
      </c>
      <c r="T813" s="13" t="s">
        <v>3168</v>
      </c>
      <c r="U813" s="13" t="s">
        <v>3164</v>
      </c>
      <c r="V813" s="13" t="s">
        <v>3164</v>
      </c>
      <c r="W813" s="13" t="s">
        <v>3167</v>
      </c>
      <c r="X813" s="13" t="s">
        <v>3170</v>
      </c>
      <c r="Y813" s="13" t="s">
        <v>3156</v>
      </c>
      <c r="Z813" s="13" t="s">
        <v>33</v>
      </c>
      <c r="AA813" s="13" t="b">
        <v>1</v>
      </c>
      <c r="AB813" s="48"/>
      <c r="AC813" s="49"/>
    </row>
    <row r="814" ht="14.25" customHeight="1">
      <c r="A814" s="13">
        <v>24600.0</v>
      </c>
      <c r="B814" s="13" t="str">
        <f t="shared" si="8"/>
        <v>Observational</v>
      </c>
      <c r="C814" s="13" t="s">
        <v>4864</v>
      </c>
      <c r="D814" s="13" t="s">
        <v>5359</v>
      </c>
      <c r="E814" s="13" t="s">
        <v>5360</v>
      </c>
      <c r="F814" s="13" t="s">
        <v>3190</v>
      </c>
      <c r="G814" s="13" t="s">
        <v>3190</v>
      </c>
      <c r="H814" s="13" t="s">
        <v>3166</v>
      </c>
      <c r="I814" s="13" t="s">
        <v>3261</v>
      </c>
      <c r="J814" s="13" t="s">
        <v>3971</v>
      </c>
      <c r="K814" s="13" t="s">
        <v>3153</v>
      </c>
      <c r="L814" s="13" t="s">
        <v>3179</v>
      </c>
      <c r="M814" s="13" t="s">
        <v>3972</v>
      </c>
      <c r="N814" s="13" t="s">
        <v>3175</v>
      </c>
      <c r="O814" s="13" t="s">
        <v>33</v>
      </c>
      <c r="P814" s="13">
        <v>7.0</v>
      </c>
      <c r="Q814" s="13" t="s">
        <v>3160</v>
      </c>
      <c r="R814" s="13" t="s">
        <v>3163</v>
      </c>
      <c r="S814" s="13" t="s">
        <v>33</v>
      </c>
      <c r="T814" s="13" t="s">
        <v>3168</v>
      </c>
      <c r="U814" s="13" t="s">
        <v>3228</v>
      </c>
      <c r="V814" s="13" t="s">
        <v>3228</v>
      </c>
      <c r="W814" s="13" t="s">
        <v>3167</v>
      </c>
      <c r="X814" s="13" t="s">
        <v>3170</v>
      </c>
      <c r="Y814" s="13" t="s">
        <v>3187</v>
      </c>
      <c r="Z814" s="13">
        <v>1.0</v>
      </c>
      <c r="AA814" s="13" t="b">
        <v>1</v>
      </c>
      <c r="AB814" s="48"/>
      <c r="AC814" s="49"/>
    </row>
    <row r="815" ht="14.25" customHeight="1">
      <c r="A815" s="13">
        <v>23080.0</v>
      </c>
      <c r="B815" s="13" t="str">
        <f t="shared" si="8"/>
        <v>Observational</v>
      </c>
      <c r="C815" s="13" t="s">
        <v>4856</v>
      </c>
      <c r="D815" s="1" t="s">
        <v>5361</v>
      </c>
      <c r="E815" s="13" t="s">
        <v>5350</v>
      </c>
      <c r="F815" s="13" t="s">
        <v>3173</v>
      </c>
      <c r="G815" s="13" t="s">
        <v>3173</v>
      </c>
      <c r="H815" s="13" t="s">
        <v>3242</v>
      </c>
      <c r="I815" s="13" t="s">
        <v>3244</v>
      </c>
      <c r="J815" s="13" t="s">
        <v>3245</v>
      </c>
      <c r="K815" s="13" t="s">
        <v>3153</v>
      </c>
      <c r="L815" s="13" t="s">
        <v>3169</v>
      </c>
      <c r="M815" s="13" t="s">
        <v>3246</v>
      </c>
      <c r="N815" s="13" t="s">
        <v>3162</v>
      </c>
      <c r="O815" s="13" t="s">
        <v>33</v>
      </c>
      <c r="P815" s="13">
        <v>1.0</v>
      </c>
      <c r="Q815" s="13" t="s">
        <v>3160</v>
      </c>
      <c r="R815" s="13" t="s">
        <v>3163</v>
      </c>
      <c r="S815" s="13" t="s">
        <v>33</v>
      </c>
      <c r="T815" s="13" t="s">
        <v>3167</v>
      </c>
      <c r="U815" s="13" t="s">
        <v>3247</v>
      </c>
      <c r="V815" s="13" t="s">
        <v>3247</v>
      </c>
      <c r="W815" s="13" t="s">
        <v>3248</v>
      </c>
      <c r="X815" s="13" t="s">
        <v>3155</v>
      </c>
      <c r="Y815" s="13" t="s">
        <v>3156</v>
      </c>
      <c r="Z815" s="13" t="s">
        <v>33</v>
      </c>
      <c r="AA815" s="13" t="b">
        <v>0</v>
      </c>
      <c r="AB815" s="48"/>
      <c r="AC815" s="49"/>
    </row>
    <row r="816" ht="14.25" customHeight="1">
      <c r="A816" s="13">
        <v>23429.0</v>
      </c>
      <c r="B816" s="13" t="str">
        <f t="shared" si="8"/>
        <v>Observational</v>
      </c>
      <c r="C816" s="13" t="s">
        <v>4856</v>
      </c>
      <c r="D816" s="1" t="s">
        <v>5361</v>
      </c>
      <c r="E816" s="13" t="s">
        <v>5350</v>
      </c>
      <c r="F816" s="13" t="s">
        <v>3183</v>
      </c>
      <c r="G816" s="13" t="s">
        <v>3183</v>
      </c>
      <c r="H816" s="13" t="s">
        <v>3166</v>
      </c>
      <c r="I816" s="13" t="s">
        <v>3244</v>
      </c>
      <c r="J816" s="13" t="s">
        <v>3245</v>
      </c>
      <c r="K816" s="13" t="s">
        <v>3153</v>
      </c>
      <c r="L816" s="13" t="s">
        <v>3169</v>
      </c>
      <c r="M816" s="13" t="s">
        <v>3246</v>
      </c>
      <c r="N816" s="13" t="s">
        <v>3162</v>
      </c>
      <c r="O816" s="13" t="s">
        <v>3445</v>
      </c>
      <c r="P816" s="13">
        <v>1.0</v>
      </c>
      <c r="Q816" s="13" t="s">
        <v>3160</v>
      </c>
      <c r="R816" s="13" t="s">
        <v>3163</v>
      </c>
      <c r="S816" s="13" t="s">
        <v>3397</v>
      </c>
      <c r="T816" s="13" t="s">
        <v>3178</v>
      </c>
      <c r="U816" s="13" t="s">
        <v>3232</v>
      </c>
      <c r="V816" s="13" t="s">
        <v>3232</v>
      </c>
      <c r="W816" s="13" t="s">
        <v>3167</v>
      </c>
      <c r="X816" s="13" t="s">
        <v>3155</v>
      </c>
      <c r="Y816" s="13" t="s">
        <v>3180</v>
      </c>
      <c r="Z816" s="13">
        <v>0.1</v>
      </c>
      <c r="AA816" s="13" t="b">
        <v>0</v>
      </c>
      <c r="AB816" s="48"/>
      <c r="AC816" s="49"/>
    </row>
    <row r="817" ht="14.25" customHeight="1">
      <c r="A817" s="13">
        <v>24160.0</v>
      </c>
      <c r="B817" s="13" t="str">
        <f t="shared" si="8"/>
        <v>Observational</v>
      </c>
      <c r="C817" s="13" t="s">
        <v>4856</v>
      </c>
      <c r="D817" s="1" t="s">
        <v>5361</v>
      </c>
      <c r="E817" s="13" t="s">
        <v>5350</v>
      </c>
      <c r="F817" s="13" t="s">
        <v>3208</v>
      </c>
      <c r="G817" s="13" t="s">
        <v>3208</v>
      </c>
      <c r="H817" s="13" t="s">
        <v>3242</v>
      </c>
      <c r="I817" s="13" t="s">
        <v>3188</v>
      </c>
      <c r="J817" s="13" t="s">
        <v>3777</v>
      </c>
      <c r="K817" s="13" t="s">
        <v>3153</v>
      </c>
      <c r="L817" s="13" t="s">
        <v>3169</v>
      </c>
      <c r="M817" s="13" t="s">
        <v>3246</v>
      </c>
      <c r="N817" s="13" t="s">
        <v>3162</v>
      </c>
      <c r="O817" s="13" t="s">
        <v>33</v>
      </c>
      <c r="P817" s="13">
        <v>1.0</v>
      </c>
      <c r="Q817" s="13" t="s">
        <v>3160</v>
      </c>
      <c r="R817" s="13" t="s">
        <v>3163</v>
      </c>
      <c r="S817" s="13" t="s">
        <v>33</v>
      </c>
      <c r="T817" s="13" t="s">
        <v>3167</v>
      </c>
      <c r="U817" s="13" t="s">
        <v>3247</v>
      </c>
      <c r="V817" s="13" t="s">
        <v>3247</v>
      </c>
      <c r="W817" s="13" t="s">
        <v>3248</v>
      </c>
      <c r="X817" s="13" t="s">
        <v>3170</v>
      </c>
      <c r="Y817" s="13" t="s">
        <v>3202</v>
      </c>
      <c r="Z817" s="13">
        <v>10.0</v>
      </c>
      <c r="AA817" s="13" t="b">
        <v>0</v>
      </c>
      <c r="AB817" s="48"/>
      <c r="AC817" s="49"/>
    </row>
    <row r="818" ht="14.25" customHeight="1">
      <c r="A818" s="13">
        <v>24728.0</v>
      </c>
      <c r="B818" s="13" t="str">
        <f t="shared" si="8"/>
        <v>Observational</v>
      </c>
      <c r="C818" s="13" t="s">
        <v>4864</v>
      </c>
      <c r="D818" s="1" t="s">
        <v>5361</v>
      </c>
      <c r="E818" s="13" t="s">
        <v>5350</v>
      </c>
      <c r="F818" s="13" t="s">
        <v>3381</v>
      </c>
      <c r="G818" s="13" t="s">
        <v>3183</v>
      </c>
      <c r="H818" s="13" t="s">
        <v>3166</v>
      </c>
      <c r="I818" s="13" t="s">
        <v>3167</v>
      </c>
      <c r="J818" s="13" t="s">
        <v>3167</v>
      </c>
      <c r="K818" s="13" t="s">
        <v>3153</v>
      </c>
      <c r="L818" s="13" t="s">
        <v>3179</v>
      </c>
      <c r="M818" s="13" t="s">
        <v>3246</v>
      </c>
      <c r="N818" s="13" t="s">
        <v>3162</v>
      </c>
      <c r="O818" s="13" t="s">
        <v>33</v>
      </c>
      <c r="P818" s="13">
        <v>1.0</v>
      </c>
      <c r="Q818" s="13" t="s">
        <v>3160</v>
      </c>
      <c r="R818" s="13" t="s">
        <v>3177</v>
      </c>
      <c r="S818" s="13" t="s">
        <v>33</v>
      </c>
      <c r="T818" s="13" t="s">
        <v>4014</v>
      </c>
      <c r="U818" s="13" t="s">
        <v>3232</v>
      </c>
      <c r="V818" s="13" t="s">
        <v>3247</v>
      </c>
      <c r="W818" s="13" t="s">
        <v>3167</v>
      </c>
      <c r="X818" s="13" t="s">
        <v>3217</v>
      </c>
      <c r="Y818" s="13" t="s">
        <v>33</v>
      </c>
      <c r="Z818" s="13" t="s">
        <v>33</v>
      </c>
      <c r="AA818" s="13" t="b">
        <v>0</v>
      </c>
      <c r="AB818" s="48"/>
      <c r="AC818" s="49"/>
    </row>
    <row r="819" ht="14.25" customHeight="1">
      <c r="A819" s="13">
        <v>25297.0</v>
      </c>
      <c r="B819" s="13" t="str">
        <f t="shared" si="8"/>
        <v>Observational</v>
      </c>
      <c r="C819" s="13" t="s">
        <v>4856</v>
      </c>
      <c r="D819" s="1" t="s">
        <v>5361</v>
      </c>
      <c r="E819" s="13" t="s">
        <v>5350</v>
      </c>
      <c r="F819" s="13" t="s">
        <v>3282</v>
      </c>
      <c r="G819" s="13" t="s">
        <v>3208</v>
      </c>
      <c r="H819" s="13" t="s">
        <v>3242</v>
      </c>
      <c r="I819" s="13" t="s">
        <v>3188</v>
      </c>
      <c r="J819" s="13" t="s">
        <v>3777</v>
      </c>
      <c r="K819" s="13" t="s">
        <v>3153</v>
      </c>
      <c r="L819" s="13" t="s">
        <v>3169</v>
      </c>
      <c r="M819" s="13" t="s">
        <v>3246</v>
      </c>
      <c r="N819" s="13" t="s">
        <v>3162</v>
      </c>
      <c r="O819" s="13" t="s">
        <v>4196</v>
      </c>
      <c r="P819" s="13">
        <v>1.0</v>
      </c>
      <c r="Q819" s="13" t="s">
        <v>3160</v>
      </c>
      <c r="R819" s="13" t="s">
        <v>3163</v>
      </c>
      <c r="S819" s="13" t="s">
        <v>33</v>
      </c>
      <c r="T819" s="13" t="s">
        <v>3167</v>
      </c>
      <c r="U819" s="13" t="s">
        <v>3247</v>
      </c>
      <c r="V819" s="13" t="s">
        <v>3247</v>
      </c>
      <c r="W819" s="13" t="s">
        <v>3496</v>
      </c>
      <c r="X819" s="13" t="s">
        <v>3170</v>
      </c>
      <c r="Y819" s="13" t="s">
        <v>3202</v>
      </c>
      <c r="Z819" s="13">
        <v>30.0</v>
      </c>
      <c r="AA819" s="13" t="b">
        <v>0</v>
      </c>
      <c r="AB819" s="48"/>
      <c r="AC819" s="49"/>
    </row>
    <row r="820" ht="14.25" customHeight="1">
      <c r="A820" s="13">
        <v>25891.0</v>
      </c>
      <c r="B820" s="13" t="str">
        <f t="shared" si="8"/>
        <v>Observational</v>
      </c>
      <c r="C820" s="13" t="s">
        <v>4856</v>
      </c>
      <c r="D820" s="1" t="s">
        <v>5361</v>
      </c>
      <c r="E820" s="13" t="s">
        <v>5350</v>
      </c>
      <c r="F820" s="13" t="s">
        <v>3208</v>
      </c>
      <c r="G820" s="13" t="s">
        <v>3183</v>
      </c>
      <c r="H820" s="13" t="s">
        <v>3166</v>
      </c>
      <c r="I820" s="13" t="s">
        <v>3157</v>
      </c>
      <c r="J820" s="13" t="s">
        <v>4375</v>
      </c>
      <c r="K820" s="13" t="s">
        <v>3153</v>
      </c>
      <c r="L820" s="13" t="s">
        <v>3169</v>
      </c>
      <c r="M820" s="13" t="s">
        <v>3246</v>
      </c>
      <c r="N820" s="13" t="s">
        <v>3162</v>
      </c>
      <c r="O820" s="13" t="s">
        <v>33</v>
      </c>
      <c r="P820" s="13">
        <v>1.0</v>
      </c>
      <c r="Q820" s="13" t="s">
        <v>3160</v>
      </c>
      <c r="R820" s="13" t="s">
        <v>3163</v>
      </c>
      <c r="S820" s="13" t="s">
        <v>4376</v>
      </c>
      <c r="T820" s="13" t="s">
        <v>3216</v>
      </c>
      <c r="U820" s="13" t="s">
        <v>3164</v>
      </c>
      <c r="V820" s="13" t="s">
        <v>3228</v>
      </c>
      <c r="W820" s="13" t="s">
        <v>3167</v>
      </c>
      <c r="X820" s="13" t="s">
        <v>3155</v>
      </c>
      <c r="Y820" s="13" t="s">
        <v>3156</v>
      </c>
      <c r="Z820" s="13" t="s">
        <v>33</v>
      </c>
      <c r="AA820" s="13" t="b">
        <v>0</v>
      </c>
      <c r="AB820" s="48"/>
      <c r="AC820" s="49"/>
    </row>
    <row r="821" ht="14.25" customHeight="1">
      <c r="A821" s="13">
        <v>24295.0</v>
      </c>
      <c r="B821" s="13" t="str">
        <f t="shared" si="8"/>
        <v>Observational</v>
      </c>
      <c r="C821" s="13" t="s">
        <v>4856</v>
      </c>
      <c r="D821" s="1" t="s">
        <v>5362</v>
      </c>
      <c r="E821" s="13" t="s">
        <v>5356</v>
      </c>
      <c r="F821" s="13" t="s">
        <v>3183</v>
      </c>
      <c r="G821" s="13" t="s">
        <v>3183</v>
      </c>
      <c r="H821" s="13" t="s">
        <v>3242</v>
      </c>
      <c r="I821" s="13" t="s">
        <v>3167</v>
      </c>
      <c r="J821" s="13" t="s">
        <v>3167</v>
      </c>
      <c r="K821" s="13" t="s">
        <v>3153</v>
      </c>
      <c r="L821" s="13" t="s">
        <v>3169</v>
      </c>
      <c r="M821" s="13" t="s">
        <v>3834</v>
      </c>
      <c r="N821" s="13" t="s">
        <v>3162</v>
      </c>
      <c r="O821" s="13" t="s">
        <v>3835</v>
      </c>
      <c r="P821" s="13">
        <v>2.0</v>
      </c>
      <c r="Q821" s="13" t="s">
        <v>3160</v>
      </c>
      <c r="R821" s="13" t="s">
        <v>3163</v>
      </c>
      <c r="S821" s="13" t="s">
        <v>33</v>
      </c>
      <c r="T821" s="13" t="s">
        <v>3167</v>
      </c>
      <c r="U821" s="13" t="s">
        <v>3247</v>
      </c>
      <c r="V821" s="13" t="s">
        <v>3247</v>
      </c>
      <c r="W821" s="13" t="s">
        <v>3294</v>
      </c>
      <c r="X821" s="13" t="s">
        <v>3217</v>
      </c>
      <c r="Y821" s="13" t="s">
        <v>3187</v>
      </c>
      <c r="Z821" s="13">
        <v>1.0</v>
      </c>
      <c r="AA821" s="13" t="b">
        <v>0</v>
      </c>
      <c r="AB821" s="48"/>
      <c r="AC821" s="49"/>
    </row>
    <row r="822" ht="14.25" customHeight="1">
      <c r="A822" s="13">
        <v>23019.0</v>
      </c>
      <c r="B822" s="13" t="str">
        <f t="shared" si="8"/>
        <v>Observational</v>
      </c>
      <c r="C822" s="13" t="s">
        <v>4856</v>
      </c>
      <c r="D822" s="1" t="s">
        <v>5363</v>
      </c>
      <c r="E822" s="13" t="s">
        <v>5350</v>
      </c>
      <c r="F822" s="13" t="s">
        <v>3190</v>
      </c>
      <c r="G822" s="13" t="s">
        <v>3190</v>
      </c>
      <c r="H822" s="13" t="s">
        <v>3166</v>
      </c>
      <c r="I822" s="13" t="s">
        <v>3188</v>
      </c>
      <c r="J822" s="13" t="s">
        <v>3189</v>
      </c>
      <c r="K822" s="13" t="s">
        <v>3153</v>
      </c>
      <c r="L822" s="13" t="s">
        <v>3169</v>
      </c>
      <c r="M822" s="13" t="s">
        <v>3191</v>
      </c>
      <c r="N822" s="13" t="s">
        <v>3162</v>
      </c>
      <c r="O822" s="13" t="s">
        <v>3167</v>
      </c>
      <c r="P822" s="13">
        <v>1.0</v>
      </c>
      <c r="Q822" s="13" t="s">
        <v>3177</v>
      </c>
      <c r="R822" s="13" t="s">
        <v>3177</v>
      </c>
      <c r="S822" s="13" t="s">
        <v>33</v>
      </c>
      <c r="T822" s="13" t="s">
        <v>3178</v>
      </c>
      <c r="U822" s="13" t="s">
        <v>3164</v>
      </c>
      <c r="V822" s="13" t="s">
        <v>3164</v>
      </c>
      <c r="W822" s="13" t="s">
        <v>3167</v>
      </c>
      <c r="X822" s="13" t="s">
        <v>3170</v>
      </c>
      <c r="Y822" s="13" t="s">
        <v>3187</v>
      </c>
      <c r="Z822" s="13">
        <v>1.0</v>
      </c>
      <c r="AA822" s="13" t="b">
        <v>0</v>
      </c>
      <c r="AB822" s="48"/>
      <c r="AC822" s="49"/>
    </row>
    <row r="823" ht="14.25" customHeight="1">
      <c r="A823" s="13">
        <v>24471.0</v>
      </c>
      <c r="B823" s="13" t="str">
        <f t="shared" si="8"/>
        <v>Observational</v>
      </c>
      <c r="C823" s="13" t="s">
        <v>4856</v>
      </c>
      <c r="D823" s="1" t="s">
        <v>5363</v>
      </c>
      <c r="E823" s="13" t="s">
        <v>5350</v>
      </c>
      <c r="F823" s="13" t="s">
        <v>3183</v>
      </c>
      <c r="G823" s="13" t="s">
        <v>3183</v>
      </c>
      <c r="H823" s="13" t="s">
        <v>3166</v>
      </c>
      <c r="I823" s="13" t="s">
        <v>3222</v>
      </c>
      <c r="J823" s="13" t="s">
        <v>3775</v>
      </c>
      <c r="K823" s="13" t="s">
        <v>3153</v>
      </c>
      <c r="L823" s="13" t="s">
        <v>3169</v>
      </c>
      <c r="M823" s="13" t="s">
        <v>3191</v>
      </c>
      <c r="N823" s="13" t="s">
        <v>3162</v>
      </c>
      <c r="O823" s="13" t="s">
        <v>3920</v>
      </c>
      <c r="P823" s="13">
        <v>1.0</v>
      </c>
      <c r="Q823" s="13" t="s">
        <v>3160</v>
      </c>
      <c r="R823" s="13" t="s">
        <v>3177</v>
      </c>
      <c r="S823" s="13" t="s">
        <v>3921</v>
      </c>
      <c r="T823" s="13" t="s">
        <v>3922</v>
      </c>
      <c r="U823" s="13" t="s">
        <v>3232</v>
      </c>
      <c r="V823" s="13" t="s">
        <v>3197</v>
      </c>
      <c r="W823" s="13" t="s">
        <v>3167</v>
      </c>
      <c r="X823" s="13" t="s">
        <v>3211</v>
      </c>
      <c r="Y823" s="13" t="s">
        <v>3156</v>
      </c>
      <c r="Z823" s="13" t="s">
        <v>33</v>
      </c>
      <c r="AA823" s="13" t="b">
        <v>0</v>
      </c>
      <c r="AB823" s="48"/>
      <c r="AC823" s="49"/>
    </row>
    <row r="824" ht="14.25" customHeight="1">
      <c r="A824" s="13">
        <v>23343.0</v>
      </c>
      <c r="B824" s="13" t="str">
        <f t="shared" si="8"/>
        <v>Observational</v>
      </c>
      <c r="C824" s="13" t="s">
        <v>4856</v>
      </c>
      <c r="D824" s="1" t="s">
        <v>5207</v>
      </c>
      <c r="E824" s="13" t="s">
        <v>5364</v>
      </c>
      <c r="F824" s="13" t="s">
        <v>3208</v>
      </c>
      <c r="G824" s="13" t="s">
        <v>3210</v>
      </c>
      <c r="H824" s="13" t="s">
        <v>3195</v>
      </c>
      <c r="I824" s="13" t="s">
        <v>3244</v>
      </c>
      <c r="J824" s="13" t="s">
        <v>3245</v>
      </c>
      <c r="K824" s="13" t="s">
        <v>3153</v>
      </c>
      <c r="L824" s="13" t="s">
        <v>3169</v>
      </c>
      <c r="M824" s="13" t="s">
        <v>3399</v>
      </c>
      <c r="N824" s="13" t="s">
        <v>3162</v>
      </c>
      <c r="O824" s="13" t="s">
        <v>33</v>
      </c>
      <c r="P824" s="13">
        <v>1.0</v>
      </c>
      <c r="Q824" s="13" t="s">
        <v>3177</v>
      </c>
      <c r="R824" s="13" t="s">
        <v>3163</v>
      </c>
      <c r="S824" s="13" t="s">
        <v>33</v>
      </c>
      <c r="T824" s="13" t="s">
        <v>3167</v>
      </c>
      <c r="U824" s="13" t="s">
        <v>3195</v>
      </c>
      <c r="V824" s="13" t="s">
        <v>3195</v>
      </c>
      <c r="W824" s="13" t="s">
        <v>3167</v>
      </c>
      <c r="X824" s="13" t="s">
        <v>3170</v>
      </c>
      <c r="Y824" s="13" t="s">
        <v>3202</v>
      </c>
      <c r="Z824" s="13">
        <v>500.0</v>
      </c>
      <c r="AA824" s="13" t="b">
        <v>0</v>
      </c>
      <c r="AB824" s="48"/>
      <c r="AC824" s="49"/>
    </row>
    <row r="825" ht="14.25" customHeight="1">
      <c r="A825" s="13">
        <v>25714.0</v>
      </c>
      <c r="B825" s="13" t="str">
        <f t="shared" si="8"/>
        <v>Observational</v>
      </c>
      <c r="C825" s="13" t="s">
        <v>4856</v>
      </c>
      <c r="D825" s="1" t="s">
        <v>5207</v>
      </c>
      <c r="E825" s="13" t="s">
        <v>5364</v>
      </c>
      <c r="F825" s="13" t="s">
        <v>3208</v>
      </c>
      <c r="G825" s="13" t="s">
        <v>3208</v>
      </c>
      <c r="H825" s="13" t="s">
        <v>3242</v>
      </c>
      <c r="I825" s="13" t="s">
        <v>3249</v>
      </c>
      <c r="J825" s="13" t="s">
        <v>4312</v>
      </c>
      <c r="K825" s="13" t="s">
        <v>3153</v>
      </c>
      <c r="L825" s="13" t="s">
        <v>3169</v>
      </c>
      <c r="M825" s="13" t="s">
        <v>3399</v>
      </c>
      <c r="N825" s="13" t="s">
        <v>3162</v>
      </c>
      <c r="O825" s="13" t="s">
        <v>33</v>
      </c>
      <c r="P825" s="13">
        <v>1.0</v>
      </c>
      <c r="Q825" s="13" t="s">
        <v>3160</v>
      </c>
      <c r="R825" s="13" t="s">
        <v>3163</v>
      </c>
      <c r="S825" s="13" t="s">
        <v>33</v>
      </c>
      <c r="T825" s="13" t="s">
        <v>3167</v>
      </c>
      <c r="U825" s="13" t="s">
        <v>3247</v>
      </c>
      <c r="V825" s="13" t="s">
        <v>3247</v>
      </c>
      <c r="W825" s="13" t="s">
        <v>4313</v>
      </c>
      <c r="X825" s="13" t="s">
        <v>3211</v>
      </c>
      <c r="Y825" s="13" t="s">
        <v>3187</v>
      </c>
      <c r="Z825" s="13">
        <v>225.0</v>
      </c>
      <c r="AA825" s="13" t="b">
        <v>0</v>
      </c>
      <c r="AB825" s="48"/>
      <c r="AC825" s="49"/>
    </row>
    <row r="826" ht="14.25" customHeight="1">
      <c r="A826" s="13">
        <v>25850.0</v>
      </c>
      <c r="B826" s="13" t="str">
        <f t="shared" si="8"/>
        <v>Observational</v>
      </c>
      <c r="C826" s="13" t="s">
        <v>4856</v>
      </c>
      <c r="D826" s="1" t="s">
        <v>5207</v>
      </c>
      <c r="E826" s="13" t="s">
        <v>5364</v>
      </c>
      <c r="F826" s="13" t="s">
        <v>3183</v>
      </c>
      <c r="G826" s="13" t="s">
        <v>3183</v>
      </c>
      <c r="H826" s="13" t="s">
        <v>3242</v>
      </c>
      <c r="I826" s="13" t="s">
        <v>3157</v>
      </c>
      <c r="J826" s="13" t="s">
        <v>3307</v>
      </c>
      <c r="K826" s="13" t="s">
        <v>3153</v>
      </c>
      <c r="L826" s="13" t="s">
        <v>3169</v>
      </c>
      <c r="M826" s="13" t="s">
        <v>3399</v>
      </c>
      <c r="N826" s="13" t="s">
        <v>3162</v>
      </c>
      <c r="O826" s="13" t="s">
        <v>3724</v>
      </c>
      <c r="P826" s="13">
        <v>1.0</v>
      </c>
      <c r="Q826" s="13" t="s">
        <v>3160</v>
      </c>
      <c r="R826" s="13" t="s">
        <v>3163</v>
      </c>
      <c r="S826" s="13" t="s">
        <v>3724</v>
      </c>
      <c r="T826" s="13" t="s">
        <v>3167</v>
      </c>
      <c r="U826" s="13" t="s">
        <v>3247</v>
      </c>
      <c r="V826" s="13" t="s">
        <v>3247</v>
      </c>
      <c r="W826" s="13" t="s">
        <v>3248</v>
      </c>
      <c r="X826" s="13" t="s">
        <v>3170</v>
      </c>
      <c r="Y826" s="13" t="s">
        <v>3187</v>
      </c>
      <c r="Z826" s="13">
        <v>1.0</v>
      </c>
      <c r="AA826" s="13" t="b">
        <v>0</v>
      </c>
      <c r="AB826" s="48"/>
      <c r="AC826" s="49"/>
    </row>
    <row r="827" ht="14.25" customHeight="1">
      <c r="A827" s="13">
        <v>26001.0</v>
      </c>
      <c r="B827" s="13" t="str">
        <f t="shared" si="8"/>
        <v>Observational</v>
      </c>
      <c r="C827" s="13" t="s">
        <v>4856</v>
      </c>
      <c r="D827" s="1" t="s">
        <v>5207</v>
      </c>
      <c r="E827" s="13" t="s">
        <v>5364</v>
      </c>
      <c r="F827" s="13" t="s">
        <v>3173</v>
      </c>
      <c r="G827" s="13" t="s">
        <v>3335</v>
      </c>
      <c r="H827" s="13" t="s">
        <v>3195</v>
      </c>
      <c r="I827" s="13" t="s">
        <v>3244</v>
      </c>
      <c r="J827" s="13" t="s">
        <v>3289</v>
      </c>
      <c r="K827" s="13" t="s">
        <v>3153</v>
      </c>
      <c r="L827" s="13" t="s">
        <v>3169</v>
      </c>
      <c r="M827" s="13" t="s">
        <v>3399</v>
      </c>
      <c r="N827" s="13" t="s">
        <v>3162</v>
      </c>
      <c r="O827" s="13" t="s">
        <v>33</v>
      </c>
      <c r="P827" s="13">
        <v>1.0</v>
      </c>
      <c r="Q827" s="13" t="s">
        <v>3177</v>
      </c>
      <c r="R827" s="13" t="s">
        <v>3160</v>
      </c>
      <c r="S827" s="13" t="s">
        <v>33</v>
      </c>
      <c r="T827" s="13" t="s">
        <v>3167</v>
      </c>
      <c r="U827" s="13" t="s">
        <v>3195</v>
      </c>
      <c r="V827" s="13" t="s">
        <v>3195</v>
      </c>
      <c r="W827" s="13" t="s">
        <v>3167</v>
      </c>
      <c r="X827" s="13" t="s">
        <v>3192</v>
      </c>
      <c r="Y827" s="13" t="s">
        <v>3156</v>
      </c>
      <c r="Z827" s="13" t="s">
        <v>33</v>
      </c>
      <c r="AA827" s="13" t="b">
        <v>0</v>
      </c>
      <c r="AB827" s="48"/>
      <c r="AC827" s="49"/>
    </row>
    <row r="828" ht="14.25" customHeight="1">
      <c r="A828" s="13">
        <v>25713.0</v>
      </c>
      <c r="B828" s="13" t="str">
        <f t="shared" si="8"/>
        <v>Observational</v>
      </c>
      <c r="C828" s="13" t="s">
        <v>4856</v>
      </c>
      <c r="D828" s="1" t="s">
        <v>5365</v>
      </c>
      <c r="E828" s="13" t="s">
        <v>5364</v>
      </c>
      <c r="F828" s="13" t="s">
        <v>3282</v>
      </c>
      <c r="G828" s="13" t="s">
        <v>3208</v>
      </c>
      <c r="H828" s="13" t="s">
        <v>3242</v>
      </c>
      <c r="I828" s="13" t="s">
        <v>3222</v>
      </c>
      <c r="J828" s="13" t="s">
        <v>3182</v>
      </c>
      <c r="K828" s="13" t="s">
        <v>3153</v>
      </c>
      <c r="L828" s="13" t="s">
        <v>3169</v>
      </c>
      <c r="M828" s="13" t="s">
        <v>4310</v>
      </c>
      <c r="N828" s="13" t="s">
        <v>3162</v>
      </c>
      <c r="O828" s="13" t="s">
        <v>3724</v>
      </c>
      <c r="P828" s="13">
        <v>2.0</v>
      </c>
      <c r="Q828" s="13" t="s">
        <v>3160</v>
      </c>
      <c r="R828" s="13" t="s">
        <v>3163</v>
      </c>
      <c r="S828" s="13" t="s">
        <v>33</v>
      </c>
      <c r="T828" s="13" t="s">
        <v>3167</v>
      </c>
      <c r="U828" s="13" t="s">
        <v>3247</v>
      </c>
      <c r="V828" s="13" t="s">
        <v>3247</v>
      </c>
      <c r="W828" s="13" t="s">
        <v>4311</v>
      </c>
      <c r="X828" s="13" t="s">
        <v>3192</v>
      </c>
      <c r="Y828" s="13" t="s">
        <v>3187</v>
      </c>
      <c r="Z828" s="13">
        <v>1.0</v>
      </c>
      <c r="AA828" s="13" t="b">
        <v>0</v>
      </c>
      <c r="AB828" s="48"/>
      <c r="AC828" s="49"/>
    </row>
    <row r="829" ht="14.25" customHeight="1">
      <c r="A829" s="13" t="s">
        <v>3016</v>
      </c>
      <c r="B829" s="13" t="str">
        <f t="shared" si="8"/>
        <v>Observational</v>
      </c>
      <c r="C829" s="13" t="s">
        <v>4856</v>
      </c>
      <c r="D829" s="1" t="s">
        <v>5366</v>
      </c>
      <c r="E829" s="13" t="s">
        <v>5367</v>
      </c>
      <c r="F829" s="13" t="s">
        <v>3186</v>
      </c>
      <c r="G829" s="13" t="s">
        <v>3379</v>
      </c>
      <c r="H829" s="13" t="s">
        <v>3242</v>
      </c>
      <c r="I829" s="13" t="s">
        <v>3188</v>
      </c>
      <c r="J829" s="13" t="s">
        <v>3189</v>
      </c>
      <c r="K829" s="13" t="s">
        <v>3153</v>
      </c>
      <c r="L829" s="13" t="s">
        <v>3169</v>
      </c>
      <c r="M829" s="13" t="s">
        <v>4430</v>
      </c>
      <c r="N829" s="13" t="s">
        <v>3175</v>
      </c>
      <c r="O829" s="13" t="s">
        <v>33</v>
      </c>
      <c r="P829" s="13">
        <v>3.0</v>
      </c>
      <c r="Q829" s="13" t="s">
        <v>3177</v>
      </c>
      <c r="R829" s="13" t="s">
        <v>3163</v>
      </c>
      <c r="S829" s="13" t="s">
        <v>4431</v>
      </c>
      <c r="T829" s="13" t="s">
        <v>3167</v>
      </c>
      <c r="U829" s="13" t="s">
        <v>3197</v>
      </c>
      <c r="V829" s="13" t="s">
        <v>3197</v>
      </c>
      <c r="W829" s="13" t="s">
        <v>3248</v>
      </c>
      <c r="X829" s="13" t="s">
        <v>3192</v>
      </c>
      <c r="Y829" s="13" t="s">
        <v>3156</v>
      </c>
      <c r="Z829" s="13" t="s">
        <v>33</v>
      </c>
      <c r="AA829" s="13" t="b">
        <v>0</v>
      </c>
      <c r="AB829" s="48"/>
      <c r="AC829" s="49"/>
    </row>
    <row r="830" ht="14.25" customHeight="1">
      <c r="A830" s="13">
        <v>25393.0</v>
      </c>
      <c r="B830" s="13" t="str">
        <f t="shared" si="8"/>
        <v>Observational</v>
      </c>
      <c r="C830" s="13" t="s">
        <v>4856</v>
      </c>
      <c r="D830" s="50" t="s">
        <v>5368</v>
      </c>
      <c r="E830" s="2" t="s">
        <v>5209</v>
      </c>
      <c r="F830" s="13" t="s">
        <v>3381</v>
      </c>
      <c r="G830" s="13" t="s">
        <v>3210</v>
      </c>
      <c r="H830" s="13" t="s">
        <v>3195</v>
      </c>
      <c r="I830" s="13" t="s">
        <v>3157</v>
      </c>
      <c r="J830" s="13" t="s">
        <v>3199</v>
      </c>
      <c r="K830" s="13" t="s">
        <v>3153</v>
      </c>
      <c r="L830" s="13" t="s">
        <v>3169</v>
      </c>
      <c r="M830" s="13" t="s">
        <v>4222</v>
      </c>
      <c r="N830" s="13" t="s">
        <v>3162</v>
      </c>
      <c r="O830" s="13" t="s">
        <v>3689</v>
      </c>
      <c r="P830" s="13">
        <v>4.0</v>
      </c>
      <c r="Q830" s="13" t="s">
        <v>3160</v>
      </c>
      <c r="R830" s="13" t="s">
        <v>3163</v>
      </c>
      <c r="S830" s="13" t="s">
        <v>33</v>
      </c>
      <c r="T830" s="13" t="s">
        <v>3167</v>
      </c>
      <c r="U830" s="13" t="s">
        <v>3195</v>
      </c>
      <c r="V830" s="13" t="s">
        <v>3195</v>
      </c>
      <c r="W830" s="13" t="s">
        <v>3167</v>
      </c>
      <c r="X830" s="13" t="s">
        <v>3155</v>
      </c>
      <c r="Y830" s="13" t="s">
        <v>3187</v>
      </c>
      <c r="Z830" s="13">
        <v>1.0</v>
      </c>
      <c r="AA830" s="13" t="b">
        <v>1</v>
      </c>
      <c r="AB830" s="48"/>
      <c r="AC830" s="49"/>
    </row>
    <row r="831" ht="14.25" customHeight="1">
      <c r="A831" s="13">
        <v>23641.0</v>
      </c>
      <c r="B831" s="13" t="str">
        <f t="shared" si="8"/>
        <v>Observational</v>
      </c>
      <c r="C831" s="13" t="s">
        <v>4856</v>
      </c>
      <c r="D831" s="1" t="s">
        <v>5210</v>
      </c>
      <c r="E831" s="13" t="s">
        <v>5369</v>
      </c>
      <c r="F831" s="13" t="s">
        <v>3208</v>
      </c>
      <c r="G831" s="13" t="s">
        <v>3205</v>
      </c>
      <c r="H831" s="13" t="s">
        <v>3195</v>
      </c>
      <c r="I831" s="13" t="s">
        <v>3244</v>
      </c>
      <c r="J831" s="13" t="s">
        <v>3345</v>
      </c>
      <c r="K831" s="13" t="s">
        <v>3153</v>
      </c>
      <c r="L831" s="13" t="s">
        <v>3169</v>
      </c>
      <c r="M831" s="13" t="s">
        <v>3550</v>
      </c>
      <c r="N831" s="13" t="s">
        <v>3162</v>
      </c>
      <c r="O831" s="13" t="s">
        <v>33</v>
      </c>
      <c r="P831" s="13">
        <v>2.0</v>
      </c>
      <c r="Q831" s="13" t="s">
        <v>3160</v>
      </c>
      <c r="R831" s="13" t="s">
        <v>3163</v>
      </c>
      <c r="S831" s="13" t="s">
        <v>33</v>
      </c>
      <c r="T831" s="13" t="s">
        <v>3167</v>
      </c>
      <c r="U831" s="13" t="s">
        <v>3195</v>
      </c>
      <c r="V831" s="13" t="s">
        <v>3195</v>
      </c>
      <c r="W831" s="13" t="s">
        <v>3167</v>
      </c>
      <c r="X831" s="13" t="s">
        <v>3170</v>
      </c>
      <c r="Y831" s="13" t="s">
        <v>33</v>
      </c>
      <c r="Z831" s="13" t="s">
        <v>33</v>
      </c>
      <c r="AA831" s="13" t="b">
        <v>0</v>
      </c>
      <c r="AB831" s="48"/>
      <c r="AC831" s="49"/>
    </row>
    <row r="832" ht="14.25" customHeight="1">
      <c r="A832" s="13">
        <v>23913.0</v>
      </c>
      <c r="B832" s="13" t="str">
        <f t="shared" si="8"/>
        <v>Observational</v>
      </c>
      <c r="C832" s="13" t="s">
        <v>4856</v>
      </c>
      <c r="D832" s="1" t="s">
        <v>5210</v>
      </c>
      <c r="E832" s="13" t="s">
        <v>5369</v>
      </c>
      <c r="F832" s="13" t="s">
        <v>3201</v>
      </c>
      <c r="G832" s="13" t="s">
        <v>3210</v>
      </c>
      <c r="H832" s="13" t="s">
        <v>3242</v>
      </c>
      <c r="I832" s="13" t="s">
        <v>3222</v>
      </c>
      <c r="J832" s="13" t="s">
        <v>3182</v>
      </c>
      <c r="K832" s="13" t="s">
        <v>3153</v>
      </c>
      <c r="L832" s="13" t="s">
        <v>3169</v>
      </c>
      <c r="M832" s="13" t="s">
        <v>3550</v>
      </c>
      <c r="N832" s="13" t="s">
        <v>3162</v>
      </c>
      <c r="O832" s="13" t="s">
        <v>33</v>
      </c>
      <c r="P832" s="13">
        <v>2.0</v>
      </c>
      <c r="Q832" s="13" t="s">
        <v>3160</v>
      </c>
      <c r="R832" s="13" t="s">
        <v>3163</v>
      </c>
      <c r="S832" s="13" t="s">
        <v>33</v>
      </c>
      <c r="T832" s="13" t="s">
        <v>3167</v>
      </c>
      <c r="U832" s="13" t="s">
        <v>3247</v>
      </c>
      <c r="V832" s="13" t="s">
        <v>3247</v>
      </c>
      <c r="W832" s="13" t="s">
        <v>3496</v>
      </c>
      <c r="X832" s="13" t="s">
        <v>3170</v>
      </c>
      <c r="Y832" s="13" t="s">
        <v>3156</v>
      </c>
      <c r="Z832" s="13" t="s">
        <v>33</v>
      </c>
      <c r="AA832" s="13" t="b">
        <v>0</v>
      </c>
      <c r="AB832" s="48"/>
      <c r="AC832" s="49"/>
    </row>
    <row r="833" ht="14.25" customHeight="1">
      <c r="A833" s="13">
        <v>25313.0</v>
      </c>
      <c r="B833" s="13" t="str">
        <f t="shared" si="8"/>
        <v>Observational</v>
      </c>
      <c r="C833" s="13" t="s">
        <v>4856</v>
      </c>
      <c r="D833" s="1" t="s">
        <v>5210</v>
      </c>
      <c r="E833" s="13" t="s">
        <v>5369</v>
      </c>
      <c r="F833" s="13" t="s">
        <v>3208</v>
      </c>
      <c r="G833" s="13" t="s">
        <v>3208</v>
      </c>
      <c r="H833" s="13" t="s">
        <v>3242</v>
      </c>
      <c r="I833" s="13" t="s">
        <v>3188</v>
      </c>
      <c r="J833" s="13" t="s">
        <v>3207</v>
      </c>
      <c r="K833" s="13" t="s">
        <v>3153</v>
      </c>
      <c r="L833" s="13" t="s">
        <v>3169</v>
      </c>
      <c r="M833" s="13" t="s">
        <v>3550</v>
      </c>
      <c r="N833" s="13" t="s">
        <v>3162</v>
      </c>
      <c r="O833" s="13" t="s">
        <v>33</v>
      </c>
      <c r="P833" s="13">
        <v>2.0</v>
      </c>
      <c r="Q833" s="13" t="s">
        <v>3160</v>
      </c>
      <c r="R833" s="13" t="s">
        <v>3163</v>
      </c>
      <c r="S833" s="13" t="s">
        <v>33</v>
      </c>
      <c r="T833" s="13" t="s">
        <v>3167</v>
      </c>
      <c r="U833" s="13" t="s">
        <v>3247</v>
      </c>
      <c r="V833" s="13" t="s">
        <v>3247</v>
      </c>
      <c r="W833" s="13" t="s">
        <v>3248</v>
      </c>
      <c r="X833" s="13" t="s">
        <v>3192</v>
      </c>
      <c r="Y833" s="13" t="s">
        <v>3187</v>
      </c>
      <c r="Z833" s="13">
        <v>25.0</v>
      </c>
      <c r="AA833" s="13" t="b">
        <v>0</v>
      </c>
      <c r="AB833" s="48"/>
      <c r="AC833" s="49"/>
    </row>
    <row r="834" ht="14.25" customHeight="1">
      <c r="A834" s="13">
        <v>26057.0</v>
      </c>
      <c r="B834" s="13" t="str">
        <f t="shared" si="8"/>
        <v>Observational</v>
      </c>
      <c r="C834" s="13" t="s">
        <v>4856</v>
      </c>
      <c r="D834" s="1" t="s">
        <v>5370</v>
      </c>
      <c r="E834" s="13" t="s">
        <v>5371</v>
      </c>
      <c r="F834" s="13" t="s">
        <v>3173</v>
      </c>
      <c r="G834" s="13" t="s">
        <v>3173</v>
      </c>
      <c r="H834" s="13" t="s">
        <v>3242</v>
      </c>
      <c r="I834" s="13" t="s">
        <v>3203</v>
      </c>
      <c r="J834" s="13" t="s">
        <v>3204</v>
      </c>
      <c r="K834" s="13" t="s">
        <v>3153</v>
      </c>
      <c r="L834" s="13" t="s">
        <v>3169</v>
      </c>
      <c r="M834" s="13" t="s">
        <v>4427</v>
      </c>
      <c r="N834" s="13" t="s">
        <v>3162</v>
      </c>
      <c r="O834" s="13" t="s">
        <v>33</v>
      </c>
      <c r="P834" s="13">
        <v>6.0</v>
      </c>
      <c r="Q834" s="13" t="s">
        <v>3160</v>
      </c>
      <c r="R834" s="13" t="s">
        <v>3177</v>
      </c>
      <c r="S834" s="13" t="s">
        <v>33</v>
      </c>
      <c r="T834" s="13" t="s">
        <v>3167</v>
      </c>
      <c r="U834" s="13" t="s">
        <v>3228</v>
      </c>
      <c r="V834" s="13" t="s">
        <v>3228</v>
      </c>
      <c r="W834" s="13" t="s">
        <v>3254</v>
      </c>
      <c r="X834" s="13" t="s">
        <v>3155</v>
      </c>
      <c r="Y834" s="13" t="s">
        <v>3156</v>
      </c>
      <c r="Z834" s="13" t="s">
        <v>33</v>
      </c>
      <c r="AA834" s="13" t="b">
        <v>0</v>
      </c>
      <c r="AB834" s="48"/>
      <c r="AC834" s="49"/>
    </row>
    <row r="835" ht="14.25" customHeight="1">
      <c r="A835" s="13">
        <v>23128.0</v>
      </c>
      <c r="B835" s="13" t="str">
        <f t="shared" si="8"/>
        <v>Observational</v>
      </c>
      <c r="C835" s="13" t="s">
        <v>4852</v>
      </c>
      <c r="D835" s="1" t="s">
        <v>5372</v>
      </c>
      <c r="E835" s="2" t="s">
        <v>5373</v>
      </c>
      <c r="F835" s="13" t="s">
        <v>3290</v>
      </c>
      <c r="G835" s="13" t="s">
        <v>3173</v>
      </c>
      <c r="H835" s="13" t="s">
        <v>3166</v>
      </c>
      <c r="I835" s="13" t="s">
        <v>3244</v>
      </c>
      <c r="J835" s="13" t="s">
        <v>3289</v>
      </c>
      <c r="K835" s="13" t="s">
        <v>3153</v>
      </c>
      <c r="L835" s="13" t="s">
        <v>3154</v>
      </c>
      <c r="M835" s="13" t="s">
        <v>3291</v>
      </c>
      <c r="N835" s="13" t="s">
        <v>3162</v>
      </c>
      <c r="O835" s="13" t="s">
        <v>33</v>
      </c>
      <c r="P835" s="13">
        <v>1.0</v>
      </c>
      <c r="Q835" s="13" t="s">
        <v>3160</v>
      </c>
      <c r="R835" s="13" t="s">
        <v>3163</v>
      </c>
      <c r="S835" s="13" t="s">
        <v>33</v>
      </c>
      <c r="T835" s="13" t="s">
        <v>3178</v>
      </c>
      <c r="U835" s="13" t="s">
        <v>3164</v>
      </c>
      <c r="V835" s="13" t="s">
        <v>3228</v>
      </c>
      <c r="W835" s="13" t="s">
        <v>3167</v>
      </c>
      <c r="X835" s="13" t="s">
        <v>3192</v>
      </c>
      <c r="Y835" s="13" t="s">
        <v>3156</v>
      </c>
      <c r="Z835" s="13" t="s">
        <v>33</v>
      </c>
      <c r="AA835" s="13" t="b">
        <v>0</v>
      </c>
      <c r="AB835" s="48"/>
      <c r="AC835" s="49"/>
    </row>
    <row r="836" ht="14.25" customHeight="1">
      <c r="A836" s="13">
        <v>23211.0</v>
      </c>
      <c r="B836" s="13" t="str">
        <f t="shared" si="8"/>
        <v>Observational</v>
      </c>
      <c r="C836" s="13" t="s">
        <v>4852</v>
      </c>
      <c r="D836" s="1" t="s">
        <v>5372</v>
      </c>
      <c r="E836" s="2" t="s">
        <v>5374</v>
      </c>
      <c r="F836" s="13" t="s">
        <v>3183</v>
      </c>
      <c r="G836" s="13" t="s">
        <v>3338</v>
      </c>
      <c r="H836" s="13" t="s">
        <v>3166</v>
      </c>
      <c r="I836" s="13" t="s">
        <v>3167</v>
      </c>
      <c r="J836" s="13" t="s">
        <v>3167</v>
      </c>
      <c r="K836" s="13" t="s">
        <v>3153</v>
      </c>
      <c r="L836" s="13" t="s">
        <v>3154</v>
      </c>
      <c r="M836" s="13" t="s">
        <v>3291</v>
      </c>
      <c r="N836" s="13" t="s">
        <v>3162</v>
      </c>
      <c r="O836" s="13" t="s">
        <v>3337</v>
      </c>
      <c r="P836" s="13">
        <v>1.0</v>
      </c>
      <c r="Q836" s="13" t="s">
        <v>3177</v>
      </c>
      <c r="R836" s="13" t="s">
        <v>3231</v>
      </c>
      <c r="S836" s="13" t="s">
        <v>3221</v>
      </c>
      <c r="T836" s="13" t="s">
        <v>3255</v>
      </c>
      <c r="U836" s="13" t="s">
        <v>3197</v>
      </c>
      <c r="V836" s="13" t="s">
        <v>3197</v>
      </c>
      <c r="W836" s="13" t="s">
        <v>3167</v>
      </c>
      <c r="X836" s="13" t="s">
        <v>3217</v>
      </c>
      <c r="Y836" s="13" t="s">
        <v>3156</v>
      </c>
      <c r="Z836" s="13" t="s">
        <v>3167</v>
      </c>
      <c r="AA836" s="13" t="b">
        <v>0</v>
      </c>
      <c r="AB836" s="48"/>
      <c r="AC836" s="49"/>
    </row>
    <row r="837" ht="14.25" customHeight="1">
      <c r="A837" s="13">
        <v>23473.0</v>
      </c>
      <c r="B837" s="13" t="str">
        <f t="shared" si="8"/>
        <v>Observational</v>
      </c>
      <c r="C837" s="13" t="s">
        <v>4852</v>
      </c>
      <c r="D837" s="1" t="s">
        <v>5372</v>
      </c>
      <c r="E837" s="2" t="s">
        <v>5374</v>
      </c>
      <c r="F837" s="13" t="s">
        <v>3173</v>
      </c>
      <c r="G837" s="13" t="s">
        <v>3183</v>
      </c>
      <c r="H837" s="13" t="s">
        <v>3166</v>
      </c>
      <c r="I837" s="13" t="s">
        <v>3244</v>
      </c>
      <c r="J837" s="13" t="s">
        <v>3245</v>
      </c>
      <c r="K837" s="13" t="s">
        <v>3153</v>
      </c>
      <c r="L837" s="13" t="s">
        <v>3154</v>
      </c>
      <c r="M837" s="13" t="s">
        <v>3291</v>
      </c>
      <c r="N837" s="13" t="s">
        <v>3162</v>
      </c>
      <c r="O837" s="13" t="s">
        <v>33</v>
      </c>
      <c r="P837" s="13">
        <v>1.0</v>
      </c>
      <c r="Q837" s="13" t="s">
        <v>3160</v>
      </c>
      <c r="R837" s="13" t="s">
        <v>3177</v>
      </c>
      <c r="S837" s="13" t="s">
        <v>3397</v>
      </c>
      <c r="T837" s="13" t="s">
        <v>3255</v>
      </c>
      <c r="U837" s="13" t="s">
        <v>3197</v>
      </c>
      <c r="V837" s="13" t="s">
        <v>3197</v>
      </c>
      <c r="W837" s="13" t="s">
        <v>3167</v>
      </c>
      <c r="X837" s="13" t="s">
        <v>3170</v>
      </c>
      <c r="Y837" s="13" t="s">
        <v>3156</v>
      </c>
      <c r="Z837" s="13" t="s">
        <v>33</v>
      </c>
      <c r="AA837" s="13" t="b">
        <v>0</v>
      </c>
      <c r="AB837" s="48"/>
      <c r="AC837" s="49"/>
    </row>
    <row r="838" ht="14.25" customHeight="1">
      <c r="A838" s="13">
        <v>23997.0</v>
      </c>
      <c r="B838" s="13" t="str">
        <f t="shared" si="8"/>
        <v>Observational</v>
      </c>
      <c r="C838" s="13" t="s">
        <v>4852</v>
      </c>
      <c r="D838" s="1" t="s">
        <v>5372</v>
      </c>
      <c r="E838" s="2" t="s">
        <v>5374</v>
      </c>
      <c r="F838" s="13" t="s">
        <v>3159</v>
      </c>
      <c r="G838" s="13" t="s">
        <v>3159</v>
      </c>
      <c r="H838" s="13" t="s">
        <v>3166</v>
      </c>
      <c r="I838" s="13" t="s">
        <v>3157</v>
      </c>
      <c r="J838" s="13" t="s">
        <v>3720</v>
      </c>
      <c r="K838" s="13" t="s">
        <v>3153</v>
      </c>
      <c r="L838" s="13" t="s">
        <v>3154</v>
      </c>
      <c r="M838" s="13" t="s">
        <v>3291</v>
      </c>
      <c r="N838" s="13" t="s">
        <v>3162</v>
      </c>
      <c r="O838" s="13" t="s">
        <v>33</v>
      </c>
      <c r="P838" s="13">
        <v>1.0</v>
      </c>
      <c r="Q838" s="13" t="s">
        <v>3160</v>
      </c>
      <c r="R838" s="13" t="s">
        <v>3163</v>
      </c>
      <c r="S838" s="13" t="s">
        <v>33</v>
      </c>
      <c r="T838" s="13" t="s">
        <v>3225</v>
      </c>
      <c r="U838" s="13" t="s">
        <v>3164</v>
      </c>
      <c r="V838" s="13" t="s">
        <v>3164</v>
      </c>
      <c r="W838" s="13" t="s">
        <v>3167</v>
      </c>
      <c r="X838" s="13" t="s">
        <v>3170</v>
      </c>
      <c r="Y838" s="13" t="s">
        <v>3156</v>
      </c>
      <c r="Z838" s="13" t="s">
        <v>33</v>
      </c>
      <c r="AA838" s="13" t="b">
        <v>0</v>
      </c>
      <c r="AB838" s="48"/>
      <c r="AC838" s="49"/>
    </row>
    <row r="839" ht="14.25" customHeight="1">
      <c r="A839" s="13">
        <v>24313.0</v>
      </c>
      <c r="B839" s="13" t="str">
        <f t="shared" si="8"/>
        <v>Observational</v>
      </c>
      <c r="C839" s="13" t="s">
        <v>4886</v>
      </c>
      <c r="D839" s="1" t="s">
        <v>5372</v>
      </c>
      <c r="E839" s="2" t="s">
        <v>5374</v>
      </c>
      <c r="F839" s="13" t="s">
        <v>3186</v>
      </c>
      <c r="G839" s="13" t="s">
        <v>3183</v>
      </c>
      <c r="H839" s="13" t="s">
        <v>3166</v>
      </c>
      <c r="I839" s="13" t="s">
        <v>3244</v>
      </c>
      <c r="J839" s="13" t="s">
        <v>3848</v>
      </c>
      <c r="K839" s="13" t="s">
        <v>3153</v>
      </c>
      <c r="L839" s="13" t="s">
        <v>3465</v>
      </c>
      <c r="M839" s="13" t="s">
        <v>3291</v>
      </c>
      <c r="N839" s="13" t="s">
        <v>3162</v>
      </c>
      <c r="O839" s="13" t="s">
        <v>3849</v>
      </c>
      <c r="P839" s="13">
        <v>1.0</v>
      </c>
      <c r="Q839" s="13" t="s">
        <v>3177</v>
      </c>
      <c r="R839" s="13" t="s">
        <v>3177</v>
      </c>
      <c r="S839" s="13" t="s">
        <v>3850</v>
      </c>
      <c r="T839" s="13" t="s">
        <v>3255</v>
      </c>
      <c r="U839" s="13" t="s">
        <v>3197</v>
      </c>
      <c r="V839" s="13" t="s">
        <v>3197</v>
      </c>
      <c r="W839" s="13" t="s">
        <v>3167</v>
      </c>
      <c r="X839" s="13" t="s">
        <v>3211</v>
      </c>
      <c r="Y839" s="13" t="s">
        <v>3156</v>
      </c>
      <c r="Z839" s="13" t="s">
        <v>33</v>
      </c>
      <c r="AA839" s="13" t="b">
        <v>0</v>
      </c>
      <c r="AB839" s="48"/>
      <c r="AC839" s="49"/>
    </row>
    <row r="840" ht="14.25" customHeight="1">
      <c r="A840" s="13">
        <v>24352.0</v>
      </c>
      <c r="B840" s="13" t="str">
        <f t="shared" si="8"/>
        <v>Observational</v>
      </c>
      <c r="C840" s="13" t="s">
        <v>4852</v>
      </c>
      <c r="D840" s="1" t="s">
        <v>5372</v>
      </c>
      <c r="E840" s="2" t="s">
        <v>5374</v>
      </c>
      <c r="F840" s="13" t="s">
        <v>3173</v>
      </c>
      <c r="G840" s="13" t="s">
        <v>3183</v>
      </c>
      <c r="H840" s="13" t="s">
        <v>3166</v>
      </c>
      <c r="I840" s="13" t="s">
        <v>3188</v>
      </c>
      <c r="J840" s="13" t="s">
        <v>3867</v>
      </c>
      <c r="K840" s="13" t="s">
        <v>3153</v>
      </c>
      <c r="L840" s="13" t="s">
        <v>3154</v>
      </c>
      <c r="M840" s="13" t="s">
        <v>3291</v>
      </c>
      <c r="N840" s="13" t="s">
        <v>3162</v>
      </c>
      <c r="O840" s="13" t="s">
        <v>3167</v>
      </c>
      <c r="P840" s="13">
        <v>1.0</v>
      </c>
      <c r="Q840" s="13" t="s">
        <v>3160</v>
      </c>
      <c r="R840" s="13" t="s">
        <v>3260</v>
      </c>
      <c r="S840" s="13" t="s">
        <v>3868</v>
      </c>
      <c r="T840" s="13" t="s">
        <v>3255</v>
      </c>
      <c r="U840" s="13" t="s">
        <v>3197</v>
      </c>
      <c r="V840" s="13" t="s">
        <v>3197</v>
      </c>
      <c r="W840" s="13" t="s">
        <v>3167</v>
      </c>
      <c r="X840" s="13" t="s">
        <v>3211</v>
      </c>
      <c r="Y840" s="13" t="s">
        <v>3156</v>
      </c>
      <c r="Z840" s="13" t="s">
        <v>3187</v>
      </c>
      <c r="AA840" s="13" t="b">
        <v>0</v>
      </c>
      <c r="AB840" s="48"/>
      <c r="AC840" s="49"/>
    </row>
    <row r="841" ht="14.25" customHeight="1">
      <c r="A841" s="13">
        <v>24400.0</v>
      </c>
      <c r="B841" s="13" t="str">
        <f t="shared" si="8"/>
        <v>Observational</v>
      </c>
      <c r="C841" s="13" t="s">
        <v>4852</v>
      </c>
      <c r="D841" s="1" t="s">
        <v>5372</v>
      </c>
      <c r="E841" s="2" t="s">
        <v>5374</v>
      </c>
      <c r="F841" s="13" t="s">
        <v>3195</v>
      </c>
      <c r="G841" s="13" t="s">
        <v>3183</v>
      </c>
      <c r="H841" s="13" t="s">
        <v>3166</v>
      </c>
      <c r="I841" s="13" t="s">
        <v>3188</v>
      </c>
      <c r="J841" s="13" t="s">
        <v>3233</v>
      </c>
      <c r="K841" s="13" t="s">
        <v>3153</v>
      </c>
      <c r="L841" s="13" t="s">
        <v>3154</v>
      </c>
      <c r="M841" s="13" t="s">
        <v>3291</v>
      </c>
      <c r="N841" s="13" t="s">
        <v>3162</v>
      </c>
      <c r="O841" s="13" t="s">
        <v>33</v>
      </c>
      <c r="P841" s="13">
        <v>1.0</v>
      </c>
      <c r="Q841" s="13" t="s">
        <v>3160</v>
      </c>
      <c r="R841" s="13" t="s">
        <v>3177</v>
      </c>
      <c r="S841" s="13" t="s">
        <v>3887</v>
      </c>
      <c r="T841" s="13" t="s">
        <v>3518</v>
      </c>
      <c r="U841" s="13" t="s">
        <v>3232</v>
      </c>
      <c r="V841" s="13" t="s">
        <v>3197</v>
      </c>
      <c r="W841" s="13" t="s">
        <v>3167</v>
      </c>
      <c r="X841" s="13" t="s">
        <v>3192</v>
      </c>
      <c r="Y841" s="13" t="s">
        <v>3156</v>
      </c>
      <c r="Z841" s="13" t="s">
        <v>33</v>
      </c>
      <c r="AA841" s="13" t="b">
        <v>0</v>
      </c>
      <c r="AB841" s="48"/>
      <c r="AC841" s="49"/>
    </row>
    <row r="842" ht="14.25" customHeight="1">
      <c r="A842" s="13">
        <v>24420.0</v>
      </c>
      <c r="B842" s="13" t="str">
        <f t="shared" si="8"/>
        <v>Observational</v>
      </c>
      <c r="C842" s="13" t="s">
        <v>4852</v>
      </c>
      <c r="D842" s="1" t="s">
        <v>5372</v>
      </c>
      <c r="E842" s="2" t="s">
        <v>5374</v>
      </c>
      <c r="F842" s="13" t="s">
        <v>3381</v>
      </c>
      <c r="G842" s="13" t="s">
        <v>3359</v>
      </c>
      <c r="H842" s="13" t="s">
        <v>3166</v>
      </c>
      <c r="I842" s="13" t="s">
        <v>3222</v>
      </c>
      <c r="J842" s="13" t="s">
        <v>3182</v>
      </c>
      <c r="K842" s="13" t="s">
        <v>3153</v>
      </c>
      <c r="L842" s="13" t="s">
        <v>3154</v>
      </c>
      <c r="M842" s="13" t="s">
        <v>3291</v>
      </c>
      <c r="N842" s="13" t="s">
        <v>3162</v>
      </c>
      <c r="O842" s="13" t="s">
        <v>3894</v>
      </c>
      <c r="P842" s="13">
        <v>1.0</v>
      </c>
      <c r="Q842" s="13" t="s">
        <v>3177</v>
      </c>
      <c r="R842" s="13" t="s">
        <v>3177</v>
      </c>
      <c r="S842" s="13" t="s">
        <v>3895</v>
      </c>
      <c r="T842" s="13" t="s">
        <v>3255</v>
      </c>
      <c r="U842" s="13" t="s">
        <v>3197</v>
      </c>
      <c r="V842" s="13" t="s">
        <v>3197</v>
      </c>
      <c r="W842" s="13" t="s">
        <v>3167</v>
      </c>
      <c r="X842" s="13" t="s">
        <v>3192</v>
      </c>
      <c r="Y842" s="13" t="s">
        <v>3156</v>
      </c>
      <c r="Z842" s="13" t="s">
        <v>33</v>
      </c>
      <c r="AA842" s="13" t="b">
        <v>0</v>
      </c>
      <c r="AB842" s="48"/>
      <c r="AC842" s="49"/>
    </row>
    <row r="843" ht="14.25" customHeight="1">
      <c r="A843" s="13">
        <v>24455.0</v>
      </c>
      <c r="B843" s="13" t="str">
        <f t="shared" si="8"/>
        <v>Observational</v>
      </c>
      <c r="C843" s="13" t="s">
        <v>4852</v>
      </c>
      <c r="D843" s="1" t="s">
        <v>5372</v>
      </c>
      <c r="E843" s="2" t="s">
        <v>5374</v>
      </c>
      <c r="F843" s="13" t="s">
        <v>3159</v>
      </c>
      <c r="G843" s="13" t="s">
        <v>3159</v>
      </c>
      <c r="H843" s="13" t="s">
        <v>3166</v>
      </c>
      <c r="I843" s="13" t="s">
        <v>3222</v>
      </c>
      <c r="J843" s="13" t="s">
        <v>3182</v>
      </c>
      <c r="K843" s="13" t="s">
        <v>3153</v>
      </c>
      <c r="L843" s="13" t="s">
        <v>3154</v>
      </c>
      <c r="M843" s="13" t="s">
        <v>3291</v>
      </c>
      <c r="N843" s="13" t="s">
        <v>3162</v>
      </c>
      <c r="O843" s="13" t="s">
        <v>33</v>
      </c>
      <c r="P843" s="13">
        <v>1.0</v>
      </c>
      <c r="Q843" s="13" t="s">
        <v>3160</v>
      </c>
      <c r="R843" s="13" t="s">
        <v>3177</v>
      </c>
      <c r="S843" s="13" t="s">
        <v>33</v>
      </c>
      <c r="T843" s="13" t="s">
        <v>3225</v>
      </c>
      <c r="U843" s="13" t="s">
        <v>3164</v>
      </c>
      <c r="V843" s="13" t="s">
        <v>3164</v>
      </c>
      <c r="W843" s="13" t="s">
        <v>3167</v>
      </c>
      <c r="X843" s="13" t="s">
        <v>3170</v>
      </c>
      <c r="Y843" s="13" t="s">
        <v>3156</v>
      </c>
      <c r="Z843" s="13" t="s">
        <v>33</v>
      </c>
      <c r="AA843" s="13" t="b">
        <v>0</v>
      </c>
      <c r="AB843" s="48"/>
      <c r="AC843" s="49"/>
    </row>
    <row r="844" ht="14.25" customHeight="1">
      <c r="A844" s="13">
        <v>24474.0</v>
      </c>
      <c r="B844" s="13" t="str">
        <f t="shared" si="8"/>
        <v>Observational</v>
      </c>
      <c r="C844" s="13" t="s">
        <v>4852</v>
      </c>
      <c r="D844" s="1" t="s">
        <v>5372</v>
      </c>
      <c r="E844" s="2" t="s">
        <v>5374</v>
      </c>
      <c r="F844" s="13" t="s">
        <v>3186</v>
      </c>
      <c r="G844" s="13" t="s">
        <v>3338</v>
      </c>
      <c r="H844" s="13" t="s">
        <v>3253</v>
      </c>
      <c r="I844" s="13" t="s">
        <v>3244</v>
      </c>
      <c r="J844" s="13" t="s">
        <v>3927</v>
      </c>
      <c r="K844" s="13" t="s">
        <v>3153</v>
      </c>
      <c r="L844" s="13" t="s">
        <v>3154</v>
      </c>
      <c r="M844" s="13" t="s">
        <v>3291</v>
      </c>
      <c r="N844" s="13" t="s">
        <v>3162</v>
      </c>
      <c r="O844" s="13" t="s">
        <v>33</v>
      </c>
      <c r="P844" s="13">
        <v>1.0</v>
      </c>
      <c r="Q844" s="13" t="s">
        <v>3177</v>
      </c>
      <c r="R844" s="13" t="s">
        <v>3177</v>
      </c>
      <c r="S844" s="13" t="s">
        <v>3689</v>
      </c>
      <c r="T844" s="13" t="s">
        <v>3928</v>
      </c>
      <c r="U844" s="13" t="s">
        <v>3232</v>
      </c>
      <c r="V844" s="13" t="s">
        <v>3252</v>
      </c>
      <c r="W844" s="13" t="s">
        <v>3294</v>
      </c>
      <c r="X844" s="13" t="s">
        <v>3211</v>
      </c>
      <c r="Y844" s="13" t="s">
        <v>3156</v>
      </c>
      <c r="Z844" s="13" t="s">
        <v>33</v>
      </c>
      <c r="AA844" s="13" t="b">
        <v>0</v>
      </c>
      <c r="AB844" s="48"/>
      <c r="AC844" s="49"/>
    </row>
    <row r="845" ht="14.25" customHeight="1">
      <c r="A845" s="13">
        <v>24556.0</v>
      </c>
      <c r="B845" s="13" t="str">
        <f t="shared" si="8"/>
        <v>Observational</v>
      </c>
      <c r="C845" s="13" t="s">
        <v>4852</v>
      </c>
      <c r="D845" s="1" t="s">
        <v>5372</v>
      </c>
      <c r="E845" s="2" t="s">
        <v>5374</v>
      </c>
      <c r="F845" s="13" t="s">
        <v>3183</v>
      </c>
      <c r="G845" s="13" t="s">
        <v>3183</v>
      </c>
      <c r="H845" s="13" t="s">
        <v>3166</v>
      </c>
      <c r="I845" s="13" t="s">
        <v>3167</v>
      </c>
      <c r="J845" s="13" t="s">
        <v>3167</v>
      </c>
      <c r="K845" s="13" t="s">
        <v>3153</v>
      </c>
      <c r="L845" s="13" t="s">
        <v>3154</v>
      </c>
      <c r="M845" s="13" t="s">
        <v>3291</v>
      </c>
      <c r="N845" s="13" t="s">
        <v>3162</v>
      </c>
      <c r="O845" s="13" t="s">
        <v>3167</v>
      </c>
      <c r="P845" s="13">
        <v>1.0</v>
      </c>
      <c r="Q845" s="13" t="s">
        <v>3177</v>
      </c>
      <c r="R845" s="13" t="s">
        <v>3260</v>
      </c>
      <c r="S845" s="13" t="s">
        <v>33</v>
      </c>
      <c r="T845" s="13" t="s">
        <v>3255</v>
      </c>
      <c r="U845" s="13" t="s">
        <v>3197</v>
      </c>
      <c r="V845" s="13" t="s">
        <v>3197</v>
      </c>
      <c r="W845" s="13" t="s">
        <v>3167</v>
      </c>
      <c r="X845" s="13" t="s">
        <v>3217</v>
      </c>
      <c r="Y845" s="13" t="s">
        <v>3156</v>
      </c>
      <c r="Z845" s="13" t="s">
        <v>3167</v>
      </c>
      <c r="AA845" s="13" t="b">
        <v>0</v>
      </c>
      <c r="AB845" s="48"/>
      <c r="AC845" s="49"/>
    </row>
    <row r="846" ht="14.25" customHeight="1">
      <c r="A846" s="13">
        <v>24646.0</v>
      </c>
      <c r="B846" s="13" t="str">
        <f t="shared" si="8"/>
        <v>Observational</v>
      </c>
      <c r="C846" s="13" t="s">
        <v>4852</v>
      </c>
      <c r="D846" s="1" t="s">
        <v>5372</v>
      </c>
      <c r="E846" s="2" t="s">
        <v>5374</v>
      </c>
      <c r="F846" s="13" t="s">
        <v>3208</v>
      </c>
      <c r="G846" s="13" t="s">
        <v>3186</v>
      </c>
      <c r="H846" s="13" t="s">
        <v>3166</v>
      </c>
      <c r="I846" s="13" t="s">
        <v>3171</v>
      </c>
      <c r="J846" s="13" t="s">
        <v>3981</v>
      </c>
      <c r="K846" s="13" t="s">
        <v>3153</v>
      </c>
      <c r="L846" s="13" t="s">
        <v>3154</v>
      </c>
      <c r="M846" s="13" t="s">
        <v>3291</v>
      </c>
      <c r="N846" s="13" t="s">
        <v>3162</v>
      </c>
      <c r="O846" s="13" t="s">
        <v>33</v>
      </c>
      <c r="P846" s="13">
        <v>1.0</v>
      </c>
      <c r="Q846" s="13" t="s">
        <v>3160</v>
      </c>
      <c r="R846" s="13" t="s">
        <v>3163</v>
      </c>
      <c r="S846" s="13" t="s">
        <v>33</v>
      </c>
      <c r="T846" s="13" t="s">
        <v>3224</v>
      </c>
      <c r="U846" s="13" t="s">
        <v>3164</v>
      </c>
      <c r="V846" s="13" t="s">
        <v>3232</v>
      </c>
      <c r="W846" s="13" t="s">
        <v>3167</v>
      </c>
      <c r="X846" s="13" t="s">
        <v>3211</v>
      </c>
      <c r="Y846" s="13" t="s">
        <v>3187</v>
      </c>
      <c r="Z846" s="13">
        <v>4.0</v>
      </c>
      <c r="AA846" s="13" t="b">
        <v>0</v>
      </c>
      <c r="AB846" s="48"/>
      <c r="AC846" s="49"/>
    </row>
    <row r="847" ht="14.25" customHeight="1">
      <c r="A847" s="13">
        <v>24659.0</v>
      </c>
      <c r="B847" s="13" t="str">
        <f t="shared" si="8"/>
        <v>Observational</v>
      </c>
      <c r="C847" s="13" t="s">
        <v>5083</v>
      </c>
      <c r="D847" s="1" t="s">
        <v>5372</v>
      </c>
      <c r="E847" s="2" t="s">
        <v>5374</v>
      </c>
      <c r="F847" s="13" t="s">
        <v>3186</v>
      </c>
      <c r="G847" s="13" t="s">
        <v>3346</v>
      </c>
      <c r="H847" s="13" t="s">
        <v>3253</v>
      </c>
      <c r="I847" s="13" t="s">
        <v>3533</v>
      </c>
      <c r="J847" s="13" t="s">
        <v>3289</v>
      </c>
      <c r="K847" s="13" t="s">
        <v>3153</v>
      </c>
      <c r="L847" s="13" t="s">
        <v>3517</v>
      </c>
      <c r="M847" s="13" t="s">
        <v>3291</v>
      </c>
      <c r="N847" s="13" t="s">
        <v>3162</v>
      </c>
      <c r="O847" s="13" t="s">
        <v>33</v>
      </c>
      <c r="P847" s="13">
        <v>1.0</v>
      </c>
      <c r="Q847" s="13" t="s">
        <v>3177</v>
      </c>
      <c r="R847" s="13" t="s">
        <v>3163</v>
      </c>
      <c r="S847" s="13" t="s">
        <v>33</v>
      </c>
      <c r="T847" s="13" t="s">
        <v>3168</v>
      </c>
      <c r="U847" s="13" t="s">
        <v>3197</v>
      </c>
      <c r="V847" s="13" t="s">
        <v>3252</v>
      </c>
      <c r="W847" s="13" t="s">
        <v>3254</v>
      </c>
      <c r="X847" s="13" t="s">
        <v>3192</v>
      </c>
      <c r="Y847" s="13" t="s">
        <v>3156</v>
      </c>
      <c r="Z847" s="13" t="s">
        <v>33</v>
      </c>
      <c r="AA847" s="13" t="b">
        <v>0</v>
      </c>
      <c r="AB847" s="48"/>
      <c r="AC847" s="49"/>
    </row>
    <row r="848" ht="14.25" customHeight="1">
      <c r="A848" s="13">
        <v>24978.0</v>
      </c>
      <c r="B848" s="13" t="str">
        <f t="shared" si="8"/>
        <v>Observational</v>
      </c>
      <c r="C848" s="13" t="s">
        <v>4852</v>
      </c>
      <c r="D848" s="1" t="s">
        <v>5372</v>
      </c>
      <c r="E848" s="2" t="s">
        <v>5374</v>
      </c>
      <c r="F848" s="13" t="s">
        <v>3183</v>
      </c>
      <c r="G848" s="13" t="s">
        <v>3173</v>
      </c>
      <c r="H848" s="13" t="s">
        <v>3166</v>
      </c>
      <c r="I848" s="13" t="s">
        <v>3244</v>
      </c>
      <c r="J848" s="13" t="s">
        <v>3289</v>
      </c>
      <c r="K848" s="13" t="s">
        <v>3153</v>
      </c>
      <c r="L848" s="13" t="s">
        <v>3154</v>
      </c>
      <c r="M848" s="13" t="s">
        <v>3291</v>
      </c>
      <c r="N848" s="13" t="s">
        <v>3162</v>
      </c>
      <c r="O848" s="13" t="s">
        <v>33</v>
      </c>
      <c r="P848" s="13">
        <v>1.0</v>
      </c>
      <c r="Q848" s="13" t="s">
        <v>3160</v>
      </c>
      <c r="R848" s="13" t="s">
        <v>3163</v>
      </c>
      <c r="S848" s="13" t="s">
        <v>33</v>
      </c>
      <c r="T848" s="13" t="s">
        <v>3255</v>
      </c>
      <c r="U848" s="13" t="s">
        <v>3197</v>
      </c>
      <c r="V848" s="13" t="s">
        <v>3197</v>
      </c>
      <c r="W848" s="13" t="s">
        <v>3167</v>
      </c>
      <c r="X848" s="13" t="s">
        <v>3155</v>
      </c>
      <c r="Y848" s="13" t="s">
        <v>33</v>
      </c>
      <c r="Z848" s="13" t="s">
        <v>33</v>
      </c>
      <c r="AA848" s="13" t="b">
        <v>0</v>
      </c>
      <c r="AB848" s="48"/>
      <c r="AC848" s="49"/>
    </row>
    <row r="849" ht="14.25" customHeight="1">
      <c r="A849" s="13" t="s">
        <v>754</v>
      </c>
      <c r="B849" s="13" t="str">
        <f t="shared" si="8"/>
        <v>Observational</v>
      </c>
      <c r="C849" s="13" t="s">
        <v>4852</v>
      </c>
      <c r="D849" s="1" t="s">
        <v>5372</v>
      </c>
      <c r="E849" s="2" t="s">
        <v>5374</v>
      </c>
      <c r="F849" s="13" t="s">
        <v>3173</v>
      </c>
      <c r="G849" s="13" t="s">
        <v>3335</v>
      </c>
      <c r="H849" s="13" t="s">
        <v>3195</v>
      </c>
      <c r="I849" s="13" t="s">
        <v>3188</v>
      </c>
      <c r="J849" s="13" t="s">
        <v>3458</v>
      </c>
      <c r="K849" s="13" t="s">
        <v>3153</v>
      </c>
      <c r="L849" s="13" t="s">
        <v>3154</v>
      </c>
      <c r="M849" s="13" t="s">
        <v>3291</v>
      </c>
      <c r="N849" s="13" t="s">
        <v>3162</v>
      </c>
      <c r="O849" s="13" t="s">
        <v>33</v>
      </c>
      <c r="P849" s="13">
        <v>1.0</v>
      </c>
      <c r="Q849" s="13" t="s">
        <v>3160</v>
      </c>
      <c r="R849" s="13" t="s">
        <v>3163</v>
      </c>
      <c r="S849" s="13" t="s">
        <v>33</v>
      </c>
      <c r="T849" s="13" t="s">
        <v>3167</v>
      </c>
      <c r="U849" s="13" t="s">
        <v>3195</v>
      </c>
      <c r="V849" s="13" t="s">
        <v>3195</v>
      </c>
      <c r="W849" s="13" t="s">
        <v>3167</v>
      </c>
      <c r="X849" s="13" t="s">
        <v>3211</v>
      </c>
      <c r="Y849" s="13" t="s">
        <v>3156</v>
      </c>
      <c r="Z849" s="13" t="s">
        <v>33</v>
      </c>
      <c r="AA849" s="13" t="b">
        <v>0</v>
      </c>
      <c r="AB849" s="48"/>
      <c r="AC849" s="49"/>
    </row>
    <row r="850" ht="14.25" customHeight="1">
      <c r="A850" s="13">
        <v>25073.0</v>
      </c>
      <c r="B850" s="13" t="str">
        <f t="shared" si="8"/>
        <v>Observational</v>
      </c>
      <c r="C850" s="13" t="s">
        <v>4852</v>
      </c>
      <c r="D850" s="1" t="s">
        <v>5372</v>
      </c>
      <c r="E850" s="2" t="s">
        <v>5374</v>
      </c>
      <c r="F850" s="13" t="s">
        <v>3159</v>
      </c>
      <c r="G850" s="13" t="s">
        <v>3159</v>
      </c>
      <c r="H850" s="13" t="s">
        <v>3166</v>
      </c>
      <c r="I850" s="13" t="s">
        <v>3244</v>
      </c>
      <c r="J850" s="13" t="s">
        <v>3289</v>
      </c>
      <c r="K850" s="13" t="s">
        <v>3153</v>
      </c>
      <c r="L850" s="13" t="s">
        <v>3154</v>
      </c>
      <c r="M850" s="13" t="s">
        <v>3291</v>
      </c>
      <c r="N850" s="13" t="s">
        <v>3162</v>
      </c>
      <c r="O850" s="13" t="s">
        <v>33</v>
      </c>
      <c r="P850" s="13">
        <v>1.0</v>
      </c>
      <c r="Q850" s="13" t="s">
        <v>3160</v>
      </c>
      <c r="R850" s="13" t="s">
        <v>3163</v>
      </c>
      <c r="S850" s="13" t="s">
        <v>33</v>
      </c>
      <c r="T850" s="13" t="s">
        <v>3178</v>
      </c>
      <c r="U850" s="13" t="s">
        <v>3164</v>
      </c>
      <c r="V850" s="13" t="s">
        <v>3164</v>
      </c>
      <c r="W850" s="13" t="s">
        <v>3167</v>
      </c>
      <c r="X850" s="13" t="s">
        <v>3170</v>
      </c>
      <c r="Y850" s="13" t="s">
        <v>3156</v>
      </c>
      <c r="Z850" s="13" t="s">
        <v>33</v>
      </c>
      <c r="AA850" s="13" t="b">
        <v>0</v>
      </c>
      <c r="AB850" s="48"/>
      <c r="AC850" s="49"/>
    </row>
    <row r="851" ht="14.25" customHeight="1">
      <c r="A851" s="13">
        <v>25242.0</v>
      </c>
      <c r="B851" s="13" t="str">
        <f t="shared" si="8"/>
        <v>Observational</v>
      </c>
      <c r="C851" s="13" t="s">
        <v>4852</v>
      </c>
      <c r="D851" s="1" t="s">
        <v>5372</v>
      </c>
      <c r="E851" s="2" t="s">
        <v>5374</v>
      </c>
      <c r="F851" s="13" t="s">
        <v>3159</v>
      </c>
      <c r="G851" s="13" t="s">
        <v>3159</v>
      </c>
      <c r="H851" s="13" t="s">
        <v>3166</v>
      </c>
      <c r="I851" s="13" t="s">
        <v>3157</v>
      </c>
      <c r="J851" s="13" t="s">
        <v>3307</v>
      </c>
      <c r="K851" s="13" t="s">
        <v>3153</v>
      </c>
      <c r="L851" s="13" t="s">
        <v>3154</v>
      </c>
      <c r="M851" s="13" t="s">
        <v>3291</v>
      </c>
      <c r="N851" s="13" t="s">
        <v>3162</v>
      </c>
      <c r="O851" s="13" t="s">
        <v>33</v>
      </c>
      <c r="P851" s="13">
        <v>1.0</v>
      </c>
      <c r="Q851" s="13" t="s">
        <v>3160</v>
      </c>
      <c r="R851" s="13" t="s">
        <v>3163</v>
      </c>
      <c r="S851" s="13" t="s">
        <v>33</v>
      </c>
      <c r="T851" s="13" t="s">
        <v>3168</v>
      </c>
      <c r="U851" s="13" t="s">
        <v>3247</v>
      </c>
      <c r="V851" s="13" t="s">
        <v>3247</v>
      </c>
      <c r="W851" s="13" t="s">
        <v>3167</v>
      </c>
      <c r="X851" s="13" t="s">
        <v>3170</v>
      </c>
      <c r="Y851" s="13" t="s">
        <v>3156</v>
      </c>
      <c r="Z851" s="13" t="s">
        <v>33</v>
      </c>
      <c r="AA851" s="13" t="b">
        <v>0</v>
      </c>
      <c r="AB851" s="48"/>
      <c r="AC851" s="49"/>
    </row>
    <row r="852" ht="14.25" customHeight="1">
      <c r="A852" s="13">
        <v>25726.0</v>
      </c>
      <c r="B852" s="13" t="str">
        <f t="shared" si="8"/>
        <v>Observational</v>
      </c>
      <c r="C852" s="13" t="s">
        <v>4852</v>
      </c>
      <c r="D852" s="1" t="s">
        <v>5372</v>
      </c>
      <c r="E852" s="2" t="s">
        <v>5374</v>
      </c>
      <c r="F852" s="13" t="s">
        <v>3183</v>
      </c>
      <c r="G852" s="13" t="s">
        <v>3183</v>
      </c>
      <c r="H852" s="13" t="s">
        <v>3166</v>
      </c>
      <c r="I852" s="13" t="s">
        <v>3157</v>
      </c>
      <c r="J852" s="13" t="s">
        <v>3791</v>
      </c>
      <c r="K852" s="13" t="s">
        <v>3153</v>
      </c>
      <c r="L852" s="13" t="s">
        <v>3154</v>
      </c>
      <c r="M852" s="13" t="s">
        <v>3291</v>
      </c>
      <c r="N852" s="13" t="s">
        <v>3162</v>
      </c>
      <c r="O852" s="13" t="s">
        <v>4316</v>
      </c>
      <c r="P852" s="13">
        <v>1.0</v>
      </c>
      <c r="Q852" s="13" t="s">
        <v>3160</v>
      </c>
      <c r="R852" s="13" t="s">
        <v>3163</v>
      </c>
      <c r="S852" s="13" t="s">
        <v>4317</v>
      </c>
      <c r="T852" s="13" t="s">
        <v>3225</v>
      </c>
      <c r="U852" s="13" t="s">
        <v>3164</v>
      </c>
      <c r="V852" s="13" t="s">
        <v>3164</v>
      </c>
      <c r="W852" s="13" t="s">
        <v>3167</v>
      </c>
      <c r="X852" s="13" t="s">
        <v>3192</v>
      </c>
      <c r="Y852" s="13" t="s">
        <v>3156</v>
      </c>
      <c r="Z852" s="13" t="s">
        <v>33</v>
      </c>
      <c r="AA852" s="13" t="b">
        <v>0</v>
      </c>
      <c r="AB852" s="48"/>
      <c r="AC852" s="49"/>
    </row>
    <row r="853" ht="14.25" customHeight="1">
      <c r="A853" s="13">
        <v>25740.0</v>
      </c>
      <c r="B853" s="13" t="str">
        <f t="shared" si="8"/>
        <v>Observational</v>
      </c>
      <c r="C853" s="13" t="s">
        <v>4852</v>
      </c>
      <c r="D853" s="1" t="s">
        <v>5372</v>
      </c>
      <c r="E853" s="2" t="s">
        <v>5374</v>
      </c>
      <c r="F853" s="13" t="s">
        <v>3183</v>
      </c>
      <c r="G853" s="13" t="s">
        <v>3270</v>
      </c>
      <c r="H853" s="13" t="s">
        <v>3166</v>
      </c>
      <c r="I853" s="13" t="s">
        <v>3222</v>
      </c>
      <c r="J853" s="13" t="s">
        <v>3182</v>
      </c>
      <c r="K853" s="13" t="s">
        <v>3153</v>
      </c>
      <c r="L853" s="13" t="s">
        <v>3154</v>
      </c>
      <c r="M853" s="13" t="s">
        <v>3291</v>
      </c>
      <c r="N853" s="13" t="s">
        <v>3162</v>
      </c>
      <c r="O853" s="13" t="s">
        <v>3724</v>
      </c>
      <c r="P853" s="13">
        <v>1.0</v>
      </c>
      <c r="Q853" s="13" t="s">
        <v>3160</v>
      </c>
      <c r="R853" s="13" t="s">
        <v>3163</v>
      </c>
      <c r="S853" s="13" t="s">
        <v>4318</v>
      </c>
      <c r="T853" s="13" t="s">
        <v>3225</v>
      </c>
      <c r="U853" s="13" t="s">
        <v>3164</v>
      </c>
      <c r="V853" s="13" t="s">
        <v>3164</v>
      </c>
      <c r="W853" s="13" t="s">
        <v>3167</v>
      </c>
      <c r="X853" s="13" t="s">
        <v>3192</v>
      </c>
      <c r="Y853" s="13" t="s">
        <v>3156</v>
      </c>
      <c r="Z853" s="13" t="s">
        <v>33</v>
      </c>
      <c r="AA853" s="13" t="b">
        <v>0</v>
      </c>
      <c r="AB853" s="48"/>
      <c r="AC853" s="49"/>
    </row>
    <row r="854" ht="14.25" customHeight="1">
      <c r="A854" s="13">
        <v>26036.0</v>
      </c>
      <c r="B854" s="13" t="str">
        <f t="shared" si="8"/>
        <v>Observational</v>
      </c>
      <c r="C854" s="13" t="s">
        <v>4852</v>
      </c>
      <c r="D854" s="1" t="s">
        <v>5372</v>
      </c>
      <c r="E854" s="2" t="s">
        <v>5374</v>
      </c>
      <c r="F854" s="13" t="s">
        <v>3183</v>
      </c>
      <c r="G854" s="13" t="s">
        <v>3183</v>
      </c>
      <c r="H854" s="13" t="s">
        <v>3166</v>
      </c>
      <c r="I854" s="13" t="s">
        <v>4418</v>
      </c>
      <c r="J854" s="13" t="s">
        <v>4419</v>
      </c>
      <c r="K854" s="13" t="s">
        <v>3153</v>
      </c>
      <c r="L854" s="13" t="s">
        <v>3154</v>
      </c>
      <c r="M854" s="13" t="s">
        <v>3291</v>
      </c>
      <c r="N854" s="13" t="s">
        <v>3162</v>
      </c>
      <c r="O854" s="13" t="s">
        <v>3689</v>
      </c>
      <c r="P854" s="13">
        <v>1.0</v>
      </c>
      <c r="Q854" s="13" t="s">
        <v>3160</v>
      </c>
      <c r="R854" s="13" t="s">
        <v>3177</v>
      </c>
      <c r="S854" s="13" t="s">
        <v>3397</v>
      </c>
      <c r="T854" s="13" t="s">
        <v>3255</v>
      </c>
      <c r="U854" s="13" t="s">
        <v>3197</v>
      </c>
      <c r="V854" s="13" t="s">
        <v>3197</v>
      </c>
      <c r="W854" s="13" t="s">
        <v>3167</v>
      </c>
      <c r="X854" s="13" t="s">
        <v>3211</v>
      </c>
      <c r="Y854" s="13" t="s">
        <v>3156</v>
      </c>
      <c r="Z854" s="13" t="s">
        <v>33</v>
      </c>
      <c r="AA854" s="13" t="b">
        <v>0</v>
      </c>
      <c r="AB854" s="48"/>
      <c r="AC854" s="49"/>
    </row>
    <row r="855" ht="14.25" customHeight="1">
      <c r="A855" s="13">
        <v>26084.0</v>
      </c>
      <c r="B855" s="13" t="str">
        <f t="shared" si="8"/>
        <v>Observational</v>
      </c>
      <c r="C855" s="13" t="s">
        <v>4852</v>
      </c>
      <c r="D855" s="1" t="s">
        <v>5372</v>
      </c>
      <c r="E855" s="2" t="s">
        <v>5374</v>
      </c>
      <c r="F855" s="13" t="s">
        <v>3159</v>
      </c>
      <c r="G855" s="13" t="s">
        <v>3159</v>
      </c>
      <c r="H855" s="13" t="s">
        <v>3166</v>
      </c>
      <c r="I855" s="13" t="s">
        <v>3188</v>
      </c>
      <c r="J855" s="13" t="s">
        <v>3432</v>
      </c>
      <c r="K855" s="13" t="s">
        <v>3153</v>
      </c>
      <c r="L855" s="13" t="s">
        <v>3154</v>
      </c>
      <c r="M855" s="13" t="s">
        <v>3291</v>
      </c>
      <c r="N855" s="13" t="s">
        <v>3162</v>
      </c>
      <c r="O855" s="13" t="s">
        <v>33</v>
      </c>
      <c r="P855" s="13">
        <v>1.0</v>
      </c>
      <c r="Q855" s="13" t="s">
        <v>3160</v>
      </c>
      <c r="R855" s="13" t="s">
        <v>3163</v>
      </c>
      <c r="S855" s="13" t="s">
        <v>33</v>
      </c>
      <c r="T855" s="13" t="s">
        <v>4442</v>
      </c>
      <c r="U855" s="13" t="s">
        <v>3247</v>
      </c>
      <c r="V855" s="13" t="s">
        <v>3247</v>
      </c>
      <c r="W855" s="13" t="s">
        <v>3167</v>
      </c>
      <c r="X855" s="13" t="s">
        <v>3170</v>
      </c>
      <c r="Y855" s="13" t="s">
        <v>3156</v>
      </c>
      <c r="Z855" s="13" t="s">
        <v>33</v>
      </c>
      <c r="AA855" s="13" t="b">
        <v>0</v>
      </c>
      <c r="AB855" s="48"/>
      <c r="AC855" s="49"/>
    </row>
    <row r="856" ht="14.25" customHeight="1">
      <c r="A856" s="13">
        <v>23100.0</v>
      </c>
      <c r="B856" s="13" t="str">
        <f t="shared" si="8"/>
        <v>Observational</v>
      </c>
      <c r="C856" s="13" t="s">
        <v>4864</v>
      </c>
      <c r="D856" s="50" t="s">
        <v>5375</v>
      </c>
      <c r="E856" s="13" t="s">
        <v>5376</v>
      </c>
      <c r="F856" s="13" t="s">
        <v>3186</v>
      </c>
      <c r="G856" s="13" t="s">
        <v>3186</v>
      </c>
      <c r="H856" s="13" t="s">
        <v>3253</v>
      </c>
      <c r="I856" s="13" t="s">
        <v>3261</v>
      </c>
      <c r="J856" s="13" t="s">
        <v>3274</v>
      </c>
      <c r="K856" s="13" t="s">
        <v>3153</v>
      </c>
      <c r="L856" s="13" t="s">
        <v>3179</v>
      </c>
      <c r="M856" s="13" t="s">
        <v>3275</v>
      </c>
      <c r="N856" s="13" t="s">
        <v>3175</v>
      </c>
      <c r="O856" s="13" t="s">
        <v>33</v>
      </c>
      <c r="P856" s="13">
        <v>16.0</v>
      </c>
      <c r="Q856" s="13" t="s">
        <v>3177</v>
      </c>
      <c r="R856" s="13" t="s">
        <v>3177</v>
      </c>
      <c r="S856" s="13" t="s">
        <v>33</v>
      </c>
      <c r="T856" s="13" t="s">
        <v>3276</v>
      </c>
      <c r="U856" s="13" t="s">
        <v>3252</v>
      </c>
      <c r="V856" s="13" t="s">
        <v>3252</v>
      </c>
      <c r="W856" s="13" t="s">
        <v>3254</v>
      </c>
      <c r="X856" s="13" t="s">
        <v>3155</v>
      </c>
      <c r="Y856" s="13" t="s">
        <v>3187</v>
      </c>
      <c r="Z856" s="13">
        <v>2.0</v>
      </c>
      <c r="AA856" s="13" t="b">
        <v>1</v>
      </c>
      <c r="AB856" s="48"/>
      <c r="AC856" s="49"/>
    </row>
    <row r="857" ht="14.25" customHeight="1">
      <c r="A857" s="13" t="s">
        <v>1801</v>
      </c>
      <c r="B857" s="13" t="str">
        <f t="shared" si="8"/>
        <v>Observational</v>
      </c>
      <c r="C857" s="13" t="s">
        <v>4886</v>
      </c>
      <c r="D857" s="1" t="s">
        <v>5377</v>
      </c>
      <c r="E857" s="13" t="s">
        <v>5378</v>
      </c>
      <c r="F857" s="13" t="s">
        <v>3290</v>
      </c>
      <c r="G857" s="13" t="s">
        <v>3468</v>
      </c>
      <c r="H857" s="13" t="s">
        <v>3253</v>
      </c>
      <c r="I857" s="13" t="s">
        <v>3244</v>
      </c>
      <c r="J857" s="13" t="s">
        <v>3466</v>
      </c>
      <c r="K857" s="13" t="s">
        <v>3153</v>
      </c>
      <c r="L857" s="13" t="s">
        <v>3465</v>
      </c>
      <c r="M857" s="13" t="s">
        <v>3467</v>
      </c>
      <c r="N857" s="13" t="s">
        <v>3162</v>
      </c>
      <c r="O857" s="13" t="s">
        <v>33</v>
      </c>
      <c r="P857" s="13">
        <v>4.0</v>
      </c>
      <c r="Q857" s="13" t="s">
        <v>3160</v>
      </c>
      <c r="R857" s="13" t="s">
        <v>3163</v>
      </c>
      <c r="S857" s="13" t="s">
        <v>3469</v>
      </c>
      <c r="T857" s="13" t="s">
        <v>3471</v>
      </c>
      <c r="U857" s="13" t="s">
        <v>3232</v>
      </c>
      <c r="V857" s="13" t="s">
        <v>3252</v>
      </c>
      <c r="W857" s="13" t="s">
        <v>3470</v>
      </c>
      <c r="X857" s="13" t="s">
        <v>3211</v>
      </c>
      <c r="Y857" s="13" t="s">
        <v>33</v>
      </c>
      <c r="Z857" s="13" t="s">
        <v>33</v>
      </c>
      <c r="AA857" s="13" t="b">
        <v>0</v>
      </c>
      <c r="AB857" s="48"/>
      <c r="AC857" s="49"/>
    </row>
    <row r="858" ht="14.25" customHeight="1">
      <c r="A858" s="13">
        <v>23660.0</v>
      </c>
      <c r="B858" s="13" t="str">
        <f t="shared" si="8"/>
        <v>Observational</v>
      </c>
      <c r="C858" s="13" t="s">
        <v>4852</v>
      </c>
      <c r="D858" s="50" t="s">
        <v>5379</v>
      </c>
      <c r="E858" s="2" t="s">
        <v>5380</v>
      </c>
      <c r="F858" s="13" t="s">
        <v>3183</v>
      </c>
      <c r="G858" s="13" t="s">
        <v>3338</v>
      </c>
      <c r="H858" s="13" t="s">
        <v>3166</v>
      </c>
      <c r="I858" s="13" t="s">
        <v>3171</v>
      </c>
      <c r="J858" s="13" t="s">
        <v>3167</v>
      </c>
      <c r="K858" s="13" t="s">
        <v>3153</v>
      </c>
      <c r="L858" s="13" t="s">
        <v>3154</v>
      </c>
      <c r="M858" s="13" t="s">
        <v>3561</v>
      </c>
      <c r="N858" s="13" t="s">
        <v>3162</v>
      </c>
      <c r="O858" s="13" t="s">
        <v>3475</v>
      </c>
      <c r="P858" s="13">
        <v>5.0</v>
      </c>
      <c r="Q858" s="13" t="s">
        <v>3160</v>
      </c>
      <c r="R858" s="13" t="s">
        <v>3177</v>
      </c>
      <c r="S858" s="13" t="s">
        <v>3221</v>
      </c>
      <c r="T858" s="13" t="s">
        <v>3255</v>
      </c>
      <c r="U858" s="13" t="s">
        <v>3164</v>
      </c>
      <c r="V858" s="13" t="s">
        <v>3247</v>
      </c>
      <c r="W858" s="13" t="s">
        <v>3167</v>
      </c>
      <c r="X858" s="13" t="s">
        <v>3284</v>
      </c>
      <c r="Y858" s="13" t="s">
        <v>33</v>
      </c>
      <c r="Z858" s="13" t="s">
        <v>33</v>
      </c>
      <c r="AA858" s="13" t="b">
        <v>1</v>
      </c>
      <c r="AB858" s="48"/>
      <c r="AC858" s="49"/>
    </row>
    <row r="859" ht="14.25" customHeight="1">
      <c r="A859" s="13">
        <v>25493.0</v>
      </c>
      <c r="B859" s="13" t="str">
        <f t="shared" si="8"/>
        <v>Observational</v>
      </c>
      <c r="C859" s="13" t="s">
        <v>4852</v>
      </c>
      <c r="D859" s="50" t="s">
        <v>5372</v>
      </c>
      <c r="E859" s="13" t="s">
        <v>5364</v>
      </c>
      <c r="F859" s="13" t="s">
        <v>3381</v>
      </c>
      <c r="G859" s="13" t="s">
        <v>3183</v>
      </c>
      <c r="H859" s="13" t="s">
        <v>3166</v>
      </c>
      <c r="I859" s="13" t="s">
        <v>3157</v>
      </c>
      <c r="J859" s="13" t="s">
        <v>3167</v>
      </c>
      <c r="K859" s="13" t="s">
        <v>3153</v>
      </c>
      <c r="L859" s="13" t="s">
        <v>3154</v>
      </c>
      <c r="M859" s="13" t="s">
        <v>4249</v>
      </c>
      <c r="N859" s="13" t="s">
        <v>3175</v>
      </c>
      <c r="O859" s="13" t="s">
        <v>4250</v>
      </c>
      <c r="P859" s="13">
        <v>2.0</v>
      </c>
      <c r="Q859" s="13" t="s">
        <v>3177</v>
      </c>
      <c r="R859" s="13" t="s">
        <v>3177</v>
      </c>
      <c r="S859" s="13" t="s">
        <v>4250</v>
      </c>
      <c r="T859" s="13" t="s">
        <v>3255</v>
      </c>
      <c r="U859" s="13" t="s">
        <v>3197</v>
      </c>
      <c r="V859" s="13" t="s">
        <v>3197</v>
      </c>
      <c r="W859" s="13" t="s">
        <v>3167</v>
      </c>
      <c r="X859" s="13" t="s">
        <v>3284</v>
      </c>
      <c r="Y859" s="13" t="s">
        <v>3156</v>
      </c>
      <c r="Z859" s="13" t="s">
        <v>33</v>
      </c>
      <c r="AA859" s="13" t="b">
        <v>1</v>
      </c>
      <c r="AB859" s="48"/>
      <c r="AC859" s="49"/>
    </row>
    <row r="860" ht="14.25" customHeight="1">
      <c r="A860" s="13">
        <v>26096.0</v>
      </c>
      <c r="B860" s="13" t="str">
        <f t="shared" si="8"/>
        <v>Observational</v>
      </c>
      <c r="C860" s="13" t="s">
        <v>4886</v>
      </c>
      <c r="D860" s="50" t="s">
        <v>5381</v>
      </c>
      <c r="E860" s="2" t="s">
        <v>5382</v>
      </c>
      <c r="F860" s="13" t="s">
        <v>3159</v>
      </c>
      <c r="G860" s="13" t="s">
        <v>3159</v>
      </c>
      <c r="H860" s="13" t="s">
        <v>3242</v>
      </c>
      <c r="I860" s="13" t="s">
        <v>3188</v>
      </c>
      <c r="J860" s="13" t="s">
        <v>3432</v>
      </c>
      <c r="K860" s="13" t="s">
        <v>3153</v>
      </c>
      <c r="L860" s="13" t="s">
        <v>3465</v>
      </c>
      <c r="M860" s="13" t="s">
        <v>4447</v>
      </c>
      <c r="N860" s="13" t="s">
        <v>3162</v>
      </c>
      <c r="O860" s="13" t="s">
        <v>33</v>
      </c>
      <c r="P860" s="13">
        <v>3.0</v>
      </c>
      <c r="Q860" s="13" t="s">
        <v>3160</v>
      </c>
      <c r="R860" s="13" t="s">
        <v>3163</v>
      </c>
      <c r="S860" s="13" t="s">
        <v>33</v>
      </c>
      <c r="T860" s="13" t="s">
        <v>3167</v>
      </c>
      <c r="U860" s="13" t="s">
        <v>3164</v>
      </c>
      <c r="V860" s="13" t="s">
        <v>3197</v>
      </c>
      <c r="W860" s="13" t="s">
        <v>4448</v>
      </c>
      <c r="X860" s="13" t="s">
        <v>3192</v>
      </c>
      <c r="Y860" s="13" t="s">
        <v>3156</v>
      </c>
      <c r="Z860" s="13" t="s">
        <v>33</v>
      </c>
      <c r="AA860" s="13" t="b">
        <v>1</v>
      </c>
      <c r="AB860" s="48"/>
      <c r="AC860" s="49"/>
    </row>
    <row r="861" ht="14.25" customHeight="1">
      <c r="A861" s="13">
        <v>25370.0</v>
      </c>
      <c r="B861" s="13" t="str">
        <f t="shared" si="8"/>
        <v>Observational</v>
      </c>
      <c r="C861" s="13" t="s">
        <v>4852</v>
      </c>
      <c r="D861" s="1" t="s">
        <v>5383</v>
      </c>
      <c r="E861" s="2" t="s">
        <v>5384</v>
      </c>
      <c r="F861" s="13" t="s">
        <v>3159</v>
      </c>
      <c r="G861" s="13" t="s">
        <v>3159</v>
      </c>
      <c r="H861" s="13" t="s">
        <v>3166</v>
      </c>
      <c r="I861" s="13" t="s">
        <v>3157</v>
      </c>
      <c r="J861" s="13" t="s">
        <v>3158</v>
      </c>
      <c r="K861" s="13" t="s">
        <v>3153</v>
      </c>
      <c r="L861" s="13" t="s">
        <v>3154</v>
      </c>
      <c r="M861" s="13" t="s">
        <v>3161</v>
      </c>
      <c r="N861" s="13" t="s">
        <v>3162</v>
      </c>
      <c r="O861" s="13" t="s">
        <v>33</v>
      </c>
      <c r="P861" s="13">
        <v>1.0</v>
      </c>
      <c r="Q861" s="13" t="s">
        <v>3160</v>
      </c>
      <c r="R861" s="13" t="s">
        <v>3163</v>
      </c>
      <c r="S861" s="13" t="s">
        <v>33</v>
      </c>
      <c r="T861" s="13" t="s">
        <v>3168</v>
      </c>
      <c r="U861" s="13" t="s">
        <v>3164</v>
      </c>
      <c r="V861" s="13" t="s">
        <v>3165</v>
      </c>
      <c r="W861" s="13" t="s">
        <v>3167</v>
      </c>
      <c r="X861" s="13" t="s">
        <v>3155</v>
      </c>
      <c r="Y861" s="13" t="s">
        <v>3156</v>
      </c>
      <c r="Z861" s="13" t="s">
        <v>33</v>
      </c>
      <c r="AA861" s="13" t="b">
        <v>0</v>
      </c>
      <c r="AB861" s="48"/>
      <c r="AC861" s="49"/>
    </row>
    <row r="862" ht="14.25" customHeight="1">
      <c r="A862" s="13">
        <v>23030.0</v>
      </c>
      <c r="B862" s="13" t="str">
        <f t="shared" si="8"/>
        <v>Observational</v>
      </c>
      <c r="C862" s="13" t="s">
        <v>4856</v>
      </c>
      <c r="D862" s="1" t="s">
        <v>5383</v>
      </c>
      <c r="E862" s="2" t="s">
        <v>5384</v>
      </c>
      <c r="F862" s="13" t="s">
        <v>3173</v>
      </c>
      <c r="G862" s="13" t="s">
        <v>3205</v>
      </c>
      <c r="H862" s="13" t="s">
        <v>3195</v>
      </c>
      <c r="I862" s="13" t="s">
        <v>3203</v>
      </c>
      <c r="J862" s="13" t="s">
        <v>3204</v>
      </c>
      <c r="K862" s="13" t="s">
        <v>3153</v>
      </c>
      <c r="L862" s="13" t="s">
        <v>3169</v>
      </c>
      <c r="M862" s="13" t="s">
        <v>3161</v>
      </c>
      <c r="N862" s="13" t="s">
        <v>3162</v>
      </c>
      <c r="O862" s="13" t="s">
        <v>3167</v>
      </c>
      <c r="P862" s="13">
        <v>1.0</v>
      </c>
      <c r="Q862" s="13" t="s">
        <v>3160</v>
      </c>
      <c r="R862" s="13" t="s">
        <v>3163</v>
      </c>
      <c r="S862" s="13" t="s">
        <v>3206</v>
      </c>
      <c r="T862" s="13" t="s">
        <v>3167</v>
      </c>
      <c r="U862" s="13" t="s">
        <v>3195</v>
      </c>
      <c r="V862" s="13" t="s">
        <v>3195</v>
      </c>
      <c r="W862" s="13" t="s">
        <v>3167</v>
      </c>
      <c r="X862" s="13" t="s">
        <v>3192</v>
      </c>
      <c r="Y862" s="13" t="s">
        <v>3202</v>
      </c>
      <c r="Z862" s="13">
        <v>250.0</v>
      </c>
      <c r="AA862" s="13" t="b">
        <v>0</v>
      </c>
      <c r="AB862" s="48"/>
      <c r="AC862" s="49"/>
    </row>
    <row r="863" ht="14.25" customHeight="1">
      <c r="A863" s="13">
        <v>23063.0</v>
      </c>
      <c r="B863" s="13" t="str">
        <f t="shared" si="8"/>
        <v>Observational</v>
      </c>
      <c r="C863" s="13" t="s">
        <v>4852</v>
      </c>
      <c r="D863" s="1" t="s">
        <v>5383</v>
      </c>
      <c r="E863" s="2" t="s">
        <v>5384</v>
      </c>
      <c r="F863" s="13" t="s">
        <v>3159</v>
      </c>
      <c r="G863" s="13" t="s">
        <v>3159</v>
      </c>
      <c r="H863" s="13" t="s">
        <v>3166</v>
      </c>
      <c r="I863" s="13" t="s">
        <v>3157</v>
      </c>
      <c r="J863" s="13" t="s">
        <v>3199</v>
      </c>
      <c r="K863" s="13" t="s">
        <v>3153</v>
      </c>
      <c r="L863" s="13" t="s">
        <v>3154</v>
      </c>
      <c r="M863" s="13" t="s">
        <v>3161</v>
      </c>
      <c r="N863" s="13" t="s">
        <v>3162</v>
      </c>
      <c r="O863" s="13" t="s">
        <v>33</v>
      </c>
      <c r="P863" s="13">
        <v>1.0</v>
      </c>
      <c r="Q863" s="13" t="s">
        <v>3160</v>
      </c>
      <c r="R863" s="13" t="s">
        <v>3163</v>
      </c>
      <c r="S863" s="13" t="s">
        <v>33</v>
      </c>
      <c r="T863" s="13" t="s">
        <v>3225</v>
      </c>
      <c r="U863" s="13" t="s">
        <v>3164</v>
      </c>
      <c r="V863" s="13" t="s">
        <v>3164</v>
      </c>
      <c r="W863" s="13" t="s">
        <v>3167</v>
      </c>
      <c r="X863" s="13" t="s">
        <v>3192</v>
      </c>
      <c r="Y863" s="13" t="s">
        <v>3187</v>
      </c>
      <c r="Z863" s="13">
        <v>10.0</v>
      </c>
      <c r="AA863" s="13" t="b">
        <v>0</v>
      </c>
      <c r="AB863" s="48"/>
      <c r="AC863" s="49"/>
    </row>
    <row r="864" ht="14.25" customHeight="1">
      <c r="A864" s="13">
        <v>23073.0</v>
      </c>
      <c r="B864" s="13" t="str">
        <f t="shared" si="8"/>
        <v>Observational</v>
      </c>
      <c r="C864" s="13" t="s">
        <v>4852</v>
      </c>
      <c r="D864" s="1" t="s">
        <v>5383</v>
      </c>
      <c r="E864" s="2" t="s">
        <v>5384</v>
      </c>
      <c r="F864" s="13" t="s">
        <v>3159</v>
      </c>
      <c r="G864" s="13" t="s">
        <v>3159</v>
      </c>
      <c r="H864" s="13" t="s">
        <v>3166</v>
      </c>
      <c r="I864" s="13" t="s">
        <v>3157</v>
      </c>
      <c r="J864" s="13" t="s">
        <v>3240</v>
      </c>
      <c r="K864" s="13" t="s">
        <v>3153</v>
      </c>
      <c r="L864" s="13" t="s">
        <v>3154</v>
      </c>
      <c r="M864" s="13" t="s">
        <v>3161</v>
      </c>
      <c r="N864" s="13" t="s">
        <v>3162</v>
      </c>
      <c r="O864" s="13" t="s">
        <v>33</v>
      </c>
      <c r="P864" s="13">
        <v>1.0</v>
      </c>
      <c r="Q864" s="13" t="s">
        <v>3160</v>
      </c>
      <c r="R864" s="13" t="s">
        <v>3163</v>
      </c>
      <c r="S864" s="13" t="s">
        <v>33</v>
      </c>
      <c r="T864" s="13" t="s">
        <v>3168</v>
      </c>
      <c r="U864" s="13" t="s">
        <v>3164</v>
      </c>
      <c r="V864" s="13" t="s">
        <v>3164</v>
      </c>
      <c r="W864" s="13" t="s">
        <v>3167</v>
      </c>
      <c r="X864" s="13" t="s">
        <v>3192</v>
      </c>
      <c r="Y864" s="13" t="s">
        <v>3187</v>
      </c>
      <c r="Z864" s="13">
        <v>10.0</v>
      </c>
      <c r="AA864" s="13" t="b">
        <v>0</v>
      </c>
      <c r="AB864" s="48"/>
      <c r="AC864" s="49"/>
    </row>
    <row r="865" ht="14.25" customHeight="1">
      <c r="A865" s="13">
        <v>23087.0</v>
      </c>
      <c r="B865" s="13" t="str">
        <f t="shared" si="8"/>
        <v>Observational</v>
      </c>
      <c r="C865" s="13" t="s">
        <v>4856</v>
      </c>
      <c r="D865" s="1" t="s">
        <v>5383</v>
      </c>
      <c r="E865" s="2" t="s">
        <v>5384</v>
      </c>
      <c r="F865" s="13" t="s">
        <v>3173</v>
      </c>
      <c r="G865" s="13" t="s">
        <v>3173</v>
      </c>
      <c r="H865" s="13" t="s">
        <v>3166</v>
      </c>
      <c r="I865" s="13" t="s">
        <v>3222</v>
      </c>
      <c r="J865" s="13" t="s">
        <v>3226</v>
      </c>
      <c r="K865" s="13" t="s">
        <v>3153</v>
      </c>
      <c r="L865" s="13" t="s">
        <v>3169</v>
      </c>
      <c r="M865" s="13" t="s">
        <v>3161</v>
      </c>
      <c r="N865" s="13" t="s">
        <v>3162</v>
      </c>
      <c r="O865" s="13" t="s">
        <v>33</v>
      </c>
      <c r="P865" s="13">
        <v>1.0</v>
      </c>
      <c r="Q865" s="13" t="s">
        <v>3160</v>
      </c>
      <c r="R865" s="13" t="s">
        <v>3163</v>
      </c>
      <c r="S865" s="13" t="s">
        <v>33</v>
      </c>
      <c r="T865" s="13" t="s">
        <v>3178</v>
      </c>
      <c r="U865" s="13" t="s">
        <v>3228</v>
      </c>
      <c r="V865" s="13" t="s">
        <v>3228</v>
      </c>
      <c r="W865" s="13" t="s">
        <v>3167</v>
      </c>
      <c r="X865" s="13" t="s">
        <v>3211</v>
      </c>
      <c r="Y865" s="13" t="s">
        <v>3180</v>
      </c>
      <c r="Z865" s="13">
        <v>0.16</v>
      </c>
      <c r="AA865" s="13" t="b">
        <v>0</v>
      </c>
      <c r="AB865" s="48"/>
      <c r="AC865" s="49"/>
    </row>
    <row r="866" ht="14.25" customHeight="1">
      <c r="A866" s="13" t="s">
        <v>2851</v>
      </c>
      <c r="B866" s="13" t="str">
        <f t="shared" si="8"/>
        <v>Observational</v>
      </c>
      <c r="C866" s="13" t="s">
        <v>4864</v>
      </c>
      <c r="D866" s="1" t="s">
        <v>5383</v>
      </c>
      <c r="E866" s="2" t="s">
        <v>5384</v>
      </c>
      <c r="F866" s="13" t="s">
        <v>3159</v>
      </c>
      <c r="G866" s="13" t="s">
        <v>3210</v>
      </c>
      <c r="H866" s="13" t="s">
        <v>3195</v>
      </c>
      <c r="I866" s="13" t="s">
        <v>3261</v>
      </c>
      <c r="J866" s="13" t="s">
        <v>3277</v>
      </c>
      <c r="K866" s="13" t="s">
        <v>3153</v>
      </c>
      <c r="L866" s="13" t="s">
        <v>3179</v>
      </c>
      <c r="M866" s="13" t="s">
        <v>3161</v>
      </c>
      <c r="N866" s="13" t="s">
        <v>3162</v>
      </c>
      <c r="O866" s="13" t="s">
        <v>33</v>
      </c>
      <c r="P866" s="13">
        <v>1.0</v>
      </c>
      <c r="Q866" s="13" t="s">
        <v>3177</v>
      </c>
      <c r="R866" s="13" t="s">
        <v>3163</v>
      </c>
      <c r="S866" s="13" t="s">
        <v>33</v>
      </c>
      <c r="T866" s="13" t="s">
        <v>3167</v>
      </c>
      <c r="U866" s="13" t="s">
        <v>3195</v>
      </c>
      <c r="V866" s="13" t="s">
        <v>3195</v>
      </c>
      <c r="W866" s="13" t="s">
        <v>3167</v>
      </c>
      <c r="X866" s="13" t="s">
        <v>3170</v>
      </c>
      <c r="Y866" s="13" t="s">
        <v>3156</v>
      </c>
      <c r="Z866" s="13" t="s">
        <v>33</v>
      </c>
      <c r="AA866" s="13" t="b">
        <v>0</v>
      </c>
      <c r="AB866" s="48"/>
      <c r="AC866" s="49"/>
    </row>
    <row r="867" ht="14.25" customHeight="1">
      <c r="A867" s="13">
        <v>23150.0</v>
      </c>
      <c r="B867" s="13" t="str">
        <f t="shared" si="8"/>
        <v>Observational</v>
      </c>
      <c r="C867" s="13" t="s">
        <v>4856</v>
      </c>
      <c r="D867" s="1" t="s">
        <v>5383</v>
      </c>
      <c r="E867" s="2" t="s">
        <v>5384</v>
      </c>
      <c r="F867" s="13" t="s">
        <v>3208</v>
      </c>
      <c r="G867" s="13" t="s">
        <v>3208</v>
      </c>
      <c r="H867" s="13" t="s">
        <v>3242</v>
      </c>
      <c r="I867" s="13" t="s">
        <v>3222</v>
      </c>
      <c r="J867" s="13" t="s">
        <v>3182</v>
      </c>
      <c r="K867" s="13" t="s">
        <v>3153</v>
      </c>
      <c r="L867" s="13" t="s">
        <v>3169</v>
      </c>
      <c r="M867" s="13" t="s">
        <v>3161</v>
      </c>
      <c r="N867" s="13" t="s">
        <v>3162</v>
      </c>
      <c r="O867" s="13" t="s">
        <v>33</v>
      </c>
      <c r="P867" s="13">
        <v>1.0</v>
      </c>
      <c r="Q867" s="13" t="s">
        <v>3160</v>
      </c>
      <c r="R867" s="13" t="s">
        <v>3163</v>
      </c>
      <c r="S867" s="13" t="s">
        <v>33</v>
      </c>
      <c r="T867" s="13" t="s">
        <v>3167</v>
      </c>
      <c r="U867" s="13" t="s">
        <v>3247</v>
      </c>
      <c r="V867" s="13" t="s">
        <v>3247</v>
      </c>
      <c r="W867" s="13" t="s">
        <v>3248</v>
      </c>
      <c r="X867" s="13" t="s">
        <v>3170</v>
      </c>
      <c r="Y867" s="13" t="s">
        <v>3202</v>
      </c>
      <c r="Z867" s="13">
        <v>3.0</v>
      </c>
      <c r="AA867" s="13" t="b">
        <v>0</v>
      </c>
      <c r="AB867" s="48"/>
      <c r="AC867" s="49"/>
    </row>
    <row r="868" ht="14.25" customHeight="1">
      <c r="A868" s="13">
        <v>23154.0</v>
      </c>
      <c r="B868" s="13" t="str">
        <f t="shared" si="8"/>
        <v>Observational</v>
      </c>
      <c r="C868" s="13" t="s">
        <v>4856</v>
      </c>
      <c r="D868" s="1" t="s">
        <v>5383</v>
      </c>
      <c r="E868" s="2" t="s">
        <v>5384</v>
      </c>
      <c r="F868" s="13" t="s">
        <v>3218</v>
      </c>
      <c r="G868" s="13" t="s">
        <v>3210</v>
      </c>
      <c r="H868" s="13" t="s">
        <v>3195</v>
      </c>
      <c r="I868" s="13" t="s">
        <v>3244</v>
      </c>
      <c r="J868" s="13" t="s">
        <v>3289</v>
      </c>
      <c r="K868" s="13" t="s">
        <v>3153</v>
      </c>
      <c r="L868" s="13" t="s">
        <v>3169</v>
      </c>
      <c r="M868" s="13" t="s">
        <v>3161</v>
      </c>
      <c r="N868" s="13" t="s">
        <v>3162</v>
      </c>
      <c r="O868" s="13" t="s">
        <v>3306</v>
      </c>
      <c r="P868" s="13">
        <v>1.0</v>
      </c>
      <c r="Q868" s="13" t="s">
        <v>3177</v>
      </c>
      <c r="R868" s="13" t="s">
        <v>3177</v>
      </c>
      <c r="S868" s="13" t="s">
        <v>33</v>
      </c>
      <c r="T868" s="13" t="s">
        <v>3167</v>
      </c>
      <c r="U868" s="13" t="s">
        <v>3195</v>
      </c>
      <c r="V868" s="13" t="s">
        <v>3195</v>
      </c>
      <c r="W868" s="13" t="s">
        <v>3167</v>
      </c>
      <c r="X868" s="13" t="s">
        <v>3192</v>
      </c>
      <c r="Y868" s="13" t="s">
        <v>3180</v>
      </c>
      <c r="Z868" s="13">
        <v>0.5</v>
      </c>
      <c r="AA868" s="13" t="b">
        <v>0</v>
      </c>
      <c r="AB868" s="48"/>
      <c r="AC868" s="49"/>
    </row>
    <row r="869" ht="14.25" customHeight="1">
      <c r="A869" s="13">
        <v>23177.0</v>
      </c>
      <c r="B869" s="13" t="str">
        <f t="shared" si="8"/>
        <v>Observational</v>
      </c>
      <c r="C869" s="13" t="s">
        <v>4856</v>
      </c>
      <c r="D869" s="1" t="s">
        <v>5383</v>
      </c>
      <c r="E869" s="2" t="s">
        <v>5384</v>
      </c>
      <c r="F869" s="13" t="s">
        <v>3214</v>
      </c>
      <c r="G869" s="13" t="s">
        <v>3322</v>
      </c>
      <c r="H869" s="13" t="s">
        <v>3166</v>
      </c>
      <c r="I869" s="13" t="s">
        <v>3244</v>
      </c>
      <c r="J869" s="13" t="s">
        <v>3321</v>
      </c>
      <c r="K869" s="13" t="s">
        <v>3153</v>
      </c>
      <c r="L869" s="13" t="s">
        <v>3169</v>
      </c>
      <c r="M869" s="13" t="s">
        <v>3161</v>
      </c>
      <c r="N869" s="13" t="s">
        <v>3162</v>
      </c>
      <c r="O869" s="13" t="s">
        <v>33</v>
      </c>
      <c r="P869" s="13">
        <v>1.0</v>
      </c>
      <c r="Q869" s="13" t="s">
        <v>3160</v>
      </c>
      <c r="R869" s="13" t="s">
        <v>3177</v>
      </c>
      <c r="S869" s="13" t="s">
        <v>3323</v>
      </c>
      <c r="T869" s="13" t="s">
        <v>3324</v>
      </c>
      <c r="U869" s="13" t="s">
        <v>3232</v>
      </c>
      <c r="V869" s="13" t="s">
        <v>3232</v>
      </c>
      <c r="W869" s="13" t="s">
        <v>3167</v>
      </c>
      <c r="X869" s="13" t="s">
        <v>3155</v>
      </c>
      <c r="Y869" s="13" t="s">
        <v>3187</v>
      </c>
      <c r="Z869" s="13">
        <v>1.0</v>
      </c>
      <c r="AA869" s="13" t="b">
        <v>0</v>
      </c>
      <c r="AB869" s="48"/>
      <c r="AC869" s="49"/>
    </row>
    <row r="870" ht="14.25" customHeight="1">
      <c r="A870" s="13">
        <v>23196.0</v>
      </c>
      <c r="B870" s="13" t="str">
        <f t="shared" si="8"/>
        <v>Observational</v>
      </c>
      <c r="C870" s="13" t="s">
        <v>4852</v>
      </c>
      <c r="D870" s="1" t="s">
        <v>5383</v>
      </c>
      <c r="E870" s="2" t="s">
        <v>5384</v>
      </c>
      <c r="F870" s="13" t="s">
        <v>3159</v>
      </c>
      <c r="G870" s="13" t="s">
        <v>3159</v>
      </c>
      <c r="H870" s="13" t="s">
        <v>3166</v>
      </c>
      <c r="I870" s="13" t="s">
        <v>3222</v>
      </c>
      <c r="J870" s="13" t="s">
        <v>3229</v>
      </c>
      <c r="K870" s="13" t="s">
        <v>3153</v>
      </c>
      <c r="L870" s="13" t="s">
        <v>3154</v>
      </c>
      <c r="M870" s="13" t="s">
        <v>3161</v>
      </c>
      <c r="N870" s="13" t="s">
        <v>3162</v>
      </c>
      <c r="O870" s="13" t="s">
        <v>3167</v>
      </c>
      <c r="P870" s="13">
        <v>1.0</v>
      </c>
      <c r="Q870" s="13" t="s">
        <v>3160</v>
      </c>
      <c r="R870" s="13" t="s">
        <v>3231</v>
      </c>
      <c r="S870" s="13" t="s">
        <v>33</v>
      </c>
      <c r="T870" s="13" t="s">
        <v>3225</v>
      </c>
      <c r="U870" s="13" t="s">
        <v>3164</v>
      </c>
      <c r="V870" s="13" t="s">
        <v>3232</v>
      </c>
      <c r="W870" s="13" t="s">
        <v>3167</v>
      </c>
      <c r="X870" s="13" t="s">
        <v>3170</v>
      </c>
      <c r="Y870" s="13" t="s">
        <v>3156</v>
      </c>
      <c r="Z870" s="13" t="s">
        <v>3167</v>
      </c>
      <c r="AA870" s="13" t="b">
        <v>0</v>
      </c>
      <c r="AB870" s="48"/>
      <c r="AC870" s="49"/>
    </row>
    <row r="871" ht="14.25" customHeight="1">
      <c r="A871" s="13">
        <v>23197.0</v>
      </c>
      <c r="B871" s="13" t="str">
        <f t="shared" si="8"/>
        <v>Observational</v>
      </c>
      <c r="C871" s="13" t="s">
        <v>4852</v>
      </c>
      <c r="D871" s="1" t="s">
        <v>5383</v>
      </c>
      <c r="E871" s="2" t="s">
        <v>5384</v>
      </c>
      <c r="F871" s="13" t="s">
        <v>3159</v>
      </c>
      <c r="G871" s="13" t="s">
        <v>3159</v>
      </c>
      <c r="H871" s="13" t="s">
        <v>3166</v>
      </c>
      <c r="I871" s="13" t="s">
        <v>3157</v>
      </c>
      <c r="J871" s="13" t="s">
        <v>3167</v>
      </c>
      <c r="K871" s="13" t="s">
        <v>3153</v>
      </c>
      <c r="L871" s="13" t="s">
        <v>3154</v>
      </c>
      <c r="M871" s="13" t="s">
        <v>3161</v>
      </c>
      <c r="N871" s="13" t="s">
        <v>3162</v>
      </c>
      <c r="O871" s="13" t="s">
        <v>33</v>
      </c>
      <c r="P871" s="13">
        <v>1.0</v>
      </c>
      <c r="Q871" s="13" t="s">
        <v>3160</v>
      </c>
      <c r="R871" s="13" t="s">
        <v>3163</v>
      </c>
      <c r="S871" s="13" t="s">
        <v>33</v>
      </c>
      <c r="T871" s="13" t="s">
        <v>3324</v>
      </c>
      <c r="U871" s="13" t="s">
        <v>3232</v>
      </c>
      <c r="V871" s="13" t="s">
        <v>3232</v>
      </c>
      <c r="W871" s="13" t="s">
        <v>3167</v>
      </c>
      <c r="X871" s="13" t="s">
        <v>3284</v>
      </c>
      <c r="Y871" s="13" t="s">
        <v>3156</v>
      </c>
      <c r="Z871" s="13" t="s">
        <v>3167</v>
      </c>
      <c r="AA871" s="13" t="b">
        <v>0</v>
      </c>
      <c r="AB871" s="48"/>
      <c r="AC871" s="49"/>
    </row>
    <row r="872" ht="14.25" customHeight="1">
      <c r="A872" s="13">
        <v>23207.0</v>
      </c>
      <c r="B872" s="13" t="str">
        <f t="shared" si="8"/>
        <v>Observational</v>
      </c>
      <c r="C872" s="13" t="s">
        <v>4852</v>
      </c>
      <c r="D872" s="1" t="s">
        <v>5383</v>
      </c>
      <c r="E872" s="2" t="s">
        <v>5384</v>
      </c>
      <c r="F872" s="13" t="s">
        <v>3159</v>
      </c>
      <c r="G872" s="13" t="s">
        <v>3159</v>
      </c>
      <c r="H872" s="13" t="s">
        <v>3166</v>
      </c>
      <c r="I872" s="13" t="s">
        <v>3222</v>
      </c>
      <c r="J872" s="13" t="s">
        <v>3182</v>
      </c>
      <c r="K872" s="13" t="s">
        <v>3153</v>
      </c>
      <c r="L872" s="13" t="s">
        <v>3154</v>
      </c>
      <c r="M872" s="13" t="s">
        <v>3161</v>
      </c>
      <c r="N872" s="13" t="s">
        <v>3162</v>
      </c>
      <c r="O872" s="13" t="s">
        <v>3167</v>
      </c>
      <c r="P872" s="13">
        <v>1.0</v>
      </c>
      <c r="Q872" s="13" t="s">
        <v>3160</v>
      </c>
      <c r="R872" s="13" t="s">
        <v>3231</v>
      </c>
      <c r="S872" s="13" t="s">
        <v>33</v>
      </c>
      <c r="T872" s="13" t="s">
        <v>3225</v>
      </c>
      <c r="U872" s="13" t="s">
        <v>3164</v>
      </c>
      <c r="V872" s="13" t="s">
        <v>3215</v>
      </c>
      <c r="W872" s="13" t="s">
        <v>3167</v>
      </c>
      <c r="X872" s="13" t="s">
        <v>3170</v>
      </c>
      <c r="Y872" s="13" t="s">
        <v>3156</v>
      </c>
      <c r="Z872" s="13" t="s">
        <v>3167</v>
      </c>
      <c r="AA872" s="13" t="b">
        <v>0</v>
      </c>
      <c r="AB872" s="48"/>
      <c r="AC872" s="49"/>
    </row>
    <row r="873" ht="14.25" customHeight="1">
      <c r="A873" s="13">
        <v>23222.0</v>
      </c>
      <c r="B873" s="13" t="str">
        <f t="shared" si="8"/>
        <v>Observational</v>
      </c>
      <c r="C873" s="13" t="s">
        <v>4856</v>
      </c>
      <c r="D873" s="1" t="s">
        <v>5383</v>
      </c>
      <c r="E873" s="2" t="s">
        <v>5384</v>
      </c>
      <c r="F873" s="13" t="s">
        <v>3159</v>
      </c>
      <c r="G873" s="13" t="s">
        <v>3335</v>
      </c>
      <c r="H873" s="13" t="s">
        <v>3195</v>
      </c>
      <c r="I873" s="13" t="s">
        <v>3171</v>
      </c>
      <c r="J873" s="13" t="s">
        <v>3339</v>
      </c>
      <c r="K873" s="13" t="s">
        <v>3153</v>
      </c>
      <c r="L873" s="13" t="s">
        <v>3169</v>
      </c>
      <c r="M873" s="13" t="s">
        <v>3161</v>
      </c>
      <c r="N873" s="13" t="s">
        <v>3162</v>
      </c>
      <c r="O873" s="13" t="s">
        <v>33</v>
      </c>
      <c r="P873" s="13">
        <v>1.0</v>
      </c>
      <c r="Q873" s="13" t="s">
        <v>3177</v>
      </c>
      <c r="R873" s="13" t="s">
        <v>3163</v>
      </c>
      <c r="S873" s="13" t="s">
        <v>3323</v>
      </c>
      <c r="T873" s="13" t="s">
        <v>3167</v>
      </c>
      <c r="U873" s="13" t="s">
        <v>3195</v>
      </c>
      <c r="V873" s="13" t="s">
        <v>3195</v>
      </c>
      <c r="W873" s="13" t="s">
        <v>3167</v>
      </c>
      <c r="X873" s="13" t="s">
        <v>3170</v>
      </c>
      <c r="Y873" s="13" t="s">
        <v>3202</v>
      </c>
      <c r="Z873" s="13">
        <v>500.0</v>
      </c>
      <c r="AA873" s="13" t="b">
        <v>0</v>
      </c>
      <c r="AB873" s="48"/>
      <c r="AC873" s="49"/>
    </row>
    <row r="874" ht="14.25" customHeight="1">
      <c r="A874" s="13">
        <v>23223.0</v>
      </c>
      <c r="B874" s="13" t="str">
        <f t="shared" si="8"/>
        <v>Observational</v>
      </c>
      <c r="C874" s="13" t="s">
        <v>4856</v>
      </c>
      <c r="D874" s="1" t="s">
        <v>5383</v>
      </c>
      <c r="E874" s="2" t="s">
        <v>5384</v>
      </c>
      <c r="F874" s="13" t="s">
        <v>3159</v>
      </c>
      <c r="G874" s="13" t="s">
        <v>3159</v>
      </c>
      <c r="H874" s="13" t="s">
        <v>3166</v>
      </c>
      <c r="I874" s="13" t="s">
        <v>3157</v>
      </c>
      <c r="J874" s="13" t="s">
        <v>3340</v>
      </c>
      <c r="K874" s="13" t="s">
        <v>3153</v>
      </c>
      <c r="L874" s="13" t="s">
        <v>3169</v>
      </c>
      <c r="M874" s="13" t="s">
        <v>3161</v>
      </c>
      <c r="N874" s="13" t="s">
        <v>3162</v>
      </c>
      <c r="O874" s="13" t="s">
        <v>33</v>
      </c>
      <c r="P874" s="13">
        <v>1.0</v>
      </c>
      <c r="Q874" s="13" t="s">
        <v>3160</v>
      </c>
      <c r="R874" s="13" t="s">
        <v>3163</v>
      </c>
      <c r="S874" s="13" t="s">
        <v>33</v>
      </c>
      <c r="T874" s="13" t="s">
        <v>3224</v>
      </c>
      <c r="U874" s="13" t="s">
        <v>3164</v>
      </c>
      <c r="V874" s="13" t="s">
        <v>3215</v>
      </c>
      <c r="W874" s="13" t="s">
        <v>3167</v>
      </c>
      <c r="X874" s="13" t="s">
        <v>3211</v>
      </c>
      <c r="Y874" s="13" t="s">
        <v>33</v>
      </c>
      <c r="Z874" s="13" t="s">
        <v>33</v>
      </c>
      <c r="AA874" s="13" t="b">
        <v>0</v>
      </c>
      <c r="AB874" s="48"/>
      <c r="AC874" s="49"/>
    </row>
    <row r="875" ht="14.25" customHeight="1">
      <c r="A875" s="13">
        <v>23261.0</v>
      </c>
      <c r="B875" s="13" t="str">
        <f t="shared" si="8"/>
        <v>Observational</v>
      </c>
      <c r="C875" s="13" t="s">
        <v>4856</v>
      </c>
      <c r="D875" s="1" t="s">
        <v>5383</v>
      </c>
      <c r="E875" s="2" t="s">
        <v>5384</v>
      </c>
      <c r="F875" s="13" t="s">
        <v>3183</v>
      </c>
      <c r="G875" s="13" t="s">
        <v>3183</v>
      </c>
      <c r="H875" s="13" t="s">
        <v>3166</v>
      </c>
      <c r="I875" s="13" t="s">
        <v>3222</v>
      </c>
      <c r="J875" s="13" t="s">
        <v>3362</v>
      </c>
      <c r="K875" s="13" t="s">
        <v>3153</v>
      </c>
      <c r="L875" s="13" t="s">
        <v>3169</v>
      </c>
      <c r="M875" s="13" t="s">
        <v>3161</v>
      </c>
      <c r="N875" s="13" t="s">
        <v>3162</v>
      </c>
      <c r="O875" s="13" t="s">
        <v>33</v>
      </c>
      <c r="P875" s="13">
        <v>1.0</v>
      </c>
      <c r="Q875" s="13" t="s">
        <v>3160</v>
      </c>
      <c r="R875" s="13" t="s">
        <v>3163</v>
      </c>
      <c r="S875" s="13" t="s">
        <v>33</v>
      </c>
      <c r="T875" s="13" t="s">
        <v>3324</v>
      </c>
      <c r="U875" s="13" t="s">
        <v>3165</v>
      </c>
      <c r="V875" s="13" t="s">
        <v>3165</v>
      </c>
      <c r="W875" s="13" t="s">
        <v>3167</v>
      </c>
      <c r="X875" s="13" t="s">
        <v>3155</v>
      </c>
      <c r="Y875" s="13" t="s">
        <v>3187</v>
      </c>
      <c r="Z875" s="13">
        <v>1.0</v>
      </c>
      <c r="AA875" s="13" t="b">
        <v>0</v>
      </c>
      <c r="AB875" s="48"/>
      <c r="AC875" s="49"/>
    </row>
    <row r="876" ht="14.25" customHeight="1">
      <c r="A876" s="13">
        <v>23276.0</v>
      </c>
      <c r="B876" s="13" t="str">
        <f t="shared" si="8"/>
        <v>Observational</v>
      </c>
      <c r="C876" s="13" t="s">
        <v>4856</v>
      </c>
      <c r="D876" s="1" t="s">
        <v>5383</v>
      </c>
      <c r="E876" s="2" t="s">
        <v>5384</v>
      </c>
      <c r="F876" s="13" t="s">
        <v>3183</v>
      </c>
      <c r="G876" s="13" t="s">
        <v>3183</v>
      </c>
      <c r="H876" s="13" t="s">
        <v>3166</v>
      </c>
      <c r="I876" s="13" t="s">
        <v>3167</v>
      </c>
      <c r="J876" s="13" t="s">
        <v>3167</v>
      </c>
      <c r="K876" s="13" t="s">
        <v>3153</v>
      </c>
      <c r="L876" s="13" t="s">
        <v>3169</v>
      </c>
      <c r="M876" s="13" t="s">
        <v>3161</v>
      </c>
      <c r="N876" s="13" t="s">
        <v>3162</v>
      </c>
      <c r="O876" s="13" t="s">
        <v>3221</v>
      </c>
      <c r="P876" s="13">
        <v>1.0</v>
      </c>
      <c r="Q876" s="13" t="s">
        <v>3177</v>
      </c>
      <c r="R876" s="13" t="s">
        <v>3177</v>
      </c>
      <c r="S876" s="13" t="s">
        <v>3221</v>
      </c>
      <c r="T876" s="13" t="s">
        <v>3367</v>
      </c>
      <c r="U876" s="13" t="s">
        <v>3232</v>
      </c>
      <c r="V876" s="13" t="s">
        <v>3197</v>
      </c>
      <c r="W876" s="13" t="s">
        <v>3167</v>
      </c>
      <c r="X876" s="13" t="s">
        <v>3217</v>
      </c>
      <c r="Y876" s="13" t="s">
        <v>3366</v>
      </c>
      <c r="Z876" s="13">
        <v>10.0</v>
      </c>
      <c r="AA876" s="13" t="b">
        <v>0</v>
      </c>
      <c r="AB876" s="48"/>
      <c r="AC876" s="49"/>
    </row>
    <row r="877" ht="14.25" customHeight="1">
      <c r="A877" s="13">
        <v>23285.0</v>
      </c>
      <c r="B877" s="13" t="str">
        <f t="shared" si="8"/>
        <v>Observational</v>
      </c>
      <c r="C877" s="13" t="s">
        <v>4852</v>
      </c>
      <c r="D877" s="1" t="s">
        <v>5383</v>
      </c>
      <c r="E877" s="2" t="s">
        <v>5384</v>
      </c>
      <c r="F877" s="13" t="s">
        <v>3159</v>
      </c>
      <c r="G877" s="13" t="s">
        <v>3159</v>
      </c>
      <c r="H877" s="13" t="s">
        <v>3166</v>
      </c>
      <c r="I877" s="13" t="s">
        <v>3222</v>
      </c>
      <c r="J877" s="13" t="s">
        <v>3229</v>
      </c>
      <c r="K877" s="13" t="s">
        <v>3153</v>
      </c>
      <c r="L877" s="13" t="s">
        <v>3154</v>
      </c>
      <c r="M877" s="13" t="s">
        <v>3161</v>
      </c>
      <c r="N877" s="13" t="s">
        <v>3162</v>
      </c>
      <c r="O877" s="13" t="s">
        <v>33</v>
      </c>
      <c r="P877" s="13">
        <v>1.0</v>
      </c>
      <c r="Q877" s="13" t="s">
        <v>3160</v>
      </c>
      <c r="R877" s="13" t="s">
        <v>3163</v>
      </c>
      <c r="S877" s="13" t="s">
        <v>33</v>
      </c>
      <c r="T877" s="13" t="s">
        <v>3225</v>
      </c>
      <c r="U877" s="13" t="s">
        <v>3164</v>
      </c>
      <c r="V877" s="13" t="s">
        <v>3164</v>
      </c>
      <c r="W877" s="13" t="s">
        <v>3167</v>
      </c>
      <c r="X877" s="13" t="s">
        <v>3192</v>
      </c>
      <c r="Y877" s="13" t="s">
        <v>3156</v>
      </c>
      <c r="Z877" s="13" t="s">
        <v>33</v>
      </c>
      <c r="AA877" s="13" t="b">
        <v>0</v>
      </c>
      <c r="AB877" s="48"/>
      <c r="AC877" s="49"/>
    </row>
    <row r="878" ht="14.25" customHeight="1">
      <c r="A878" s="13">
        <v>23293.0</v>
      </c>
      <c r="B878" s="13" t="str">
        <f t="shared" si="8"/>
        <v>Observational</v>
      </c>
      <c r="C878" s="13" t="s">
        <v>4856</v>
      </c>
      <c r="D878" s="1" t="s">
        <v>5383</v>
      </c>
      <c r="E878" s="2" t="s">
        <v>5384</v>
      </c>
      <c r="F878" s="13" t="s">
        <v>3338</v>
      </c>
      <c r="G878" s="13" t="s">
        <v>3338</v>
      </c>
      <c r="H878" s="13" t="s">
        <v>3242</v>
      </c>
      <c r="I878" s="13" t="s">
        <v>3203</v>
      </c>
      <c r="J878" s="13" t="s">
        <v>3204</v>
      </c>
      <c r="K878" s="13" t="s">
        <v>3153</v>
      </c>
      <c r="L878" s="13" t="s">
        <v>3169</v>
      </c>
      <c r="M878" s="13" t="s">
        <v>3161</v>
      </c>
      <c r="N878" s="13" t="s">
        <v>3162</v>
      </c>
      <c r="O878" s="13" t="s">
        <v>3376</v>
      </c>
      <c r="P878" s="13">
        <v>1.0</v>
      </c>
      <c r="Q878" s="13" t="s">
        <v>3160</v>
      </c>
      <c r="R878" s="13" t="s">
        <v>3163</v>
      </c>
      <c r="S878" s="13" t="s">
        <v>3376</v>
      </c>
      <c r="T878" s="13" t="s">
        <v>3167</v>
      </c>
      <c r="U878" s="13" t="s">
        <v>3228</v>
      </c>
      <c r="V878" s="13" t="s">
        <v>3228</v>
      </c>
      <c r="W878" s="13" t="s">
        <v>3377</v>
      </c>
      <c r="X878" s="13" t="s">
        <v>3155</v>
      </c>
      <c r="Y878" s="13" t="s">
        <v>3187</v>
      </c>
      <c r="Z878" s="13">
        <v>1.0</v>
      </c>
      <c r="AA878" s="13" t="b">
        <v>0</v>
      </c>
      <c r="AB878" s="48"/>
      <c r="AC878" s="49"/>
    </row>
    <row r="879" ht="14.25" customHeight="1">
      <c r="A879" s="13">
        <v>23301.0</v>
      </c>
      <c r="B879" s="13" t="str">
        <f t="shared" si="8"/>
        <v>Observational</v>
      </c>
      <c r="C879" s="13" t="s">
        <v>4856</v>
      </c>
      <c r="D879" s="1" t="s">
        <v>5383</v>
      </c>
      <c r="E879" s="2" t="s">
        <v>5384</v>
      </c>
      <c r="F879" s="13" t="s">
        <v>3173</v>
      </c>
      <c r="G879" s="13" t="s">
        <v>3379</v>
      </c>
      <c r="H879" s="13" t="s">
        <v>3195</v>
      </c>
      <c r="I879" s="13" t="s">
        <v>3171</v>
      </c>
      <c r="J879" s="13" t="s">
        <v>3378</v>
      </c>
      <c r="K879" s="13" t="s">
        <v>3153</v>
      </c>
      <c r="L879" s="13" t="s">
        <v>3169</v>
      </c>
      <c r="M879" s="13" t="s">
        <v>3161</v>
      </c>
      <c r="N879" s="13" t="s">
        <v>3162</v>
      </c>
      <c r="O879" s="13" t="s">
        <v>33</v>
      </c>
      <c r="P879" s="13">
        <v>1.0</v>
      </c>
      <c r="Q879" s="13" t="s">
        <v>3177</v>
      </c>
      <c r="R879" s="13" t="s">
        <v>3163</v>
      </c>
      <c r="S879" s="13" t="s">
        <v>3380</v>
      </c>
      <c r="T879" s="13" t="s">
        <v>3167</v>
      </c>
      <c r="U879" s="13" t="s">
        <v>3195</v>
      </c>
      <c r="V879" s="13" t="s">
        <v>3195</v>
      </c>
      <c r="W879" s="13" t="s">
        <v>3167</v>
      </c>
      <c r="X879" s="13" t="s">
        <v>3155</v>
      </c>
      <c r="Y879" s="13" t="s">
        <v>3187</v>
      </c>
      <c r="Z879" s="13">
        <v>1.0</v>
      </c>
      <c r="AA879" s="13" t="b">
        <v>0</v>
      </c>
      <c r="AB879" s="48"/>
      <c r="AC879" s="49"/>
    </row>
    <row r="880" ht="14.25" customHeight="1">
      <c r="A880" s="13">
        <v>23337.0</v>
      </c>
      <c r="B880" s="13" t="str">
        <f t="shared" si="8"/>
        <v>Observational</v>
      </c>
      <c r="C880" s="13" t="s">
        <v>4852</v>
      </c>
      <c r="D880" s="1" t="s">
        <v>5383</v>
      </c>
      <c r="E880" s="2" t="s">
        <v>5384</v>
      </c>
      <c r="F880" s="13" t="s">
        <v>3173</v>
      </c>
      <c r="G880" s="13" t="s">
        <v>3173</v>
      </c>
      <c r="H880" s="13" t="s">
        <v>3166</v>
      </c>
      <c r="I880" s="13" t="s">
        <v>3157</v>
      </c>
      <c r="J880" s="13" t="s">
        <v>3240</v>
      </c>
      <c r="K880" s="13" t="s">
        <v>3153</v>
      </c>
      <c r="L880" s="13" t="s">
        <v>3154</v>
      </c>
      <c r="M880" s="13" t="s">
        <v>3161</v>
      </c>
      <c r="N880" s="13" t="s">
        <v>3162</v>
      </c>
      <c r="O880" s="13" t="s">
        <v>33</v>
      </c>
      <c r="P880" s="13">
        <v>1.0</v>
      </c>
      <c r="Q880" s="13" t="s">
        <v>3160</v>
      </c>
      <c r="R880" s="13" t="s">
        <v>3163</v>
      </c>
      <c r="S880" s="13" t="s">
        <v>33</v>
      </c>
      <c r="T880" s="13" t="s">
        <v>3178</v>
      </c>
      <c r="U880" s="13" t="s">
        <v>3164</v>
      </c>
      <c r="V880" s="13" t="s">
        <v>3164</v>
      </c>
      <c r="W880" s="13" t="s">
        <v>3167</v>
      </c>
      <c r="X880" s="13" t="s">
        <v>3170</v>
      </c>
      <c r="Y880" s="13" t="s">
        <v>3187</v>
      </c>
      <c r="Z880" s="13">
        <v>25.0</v>
      </c>
      <c r="AA880" s="13" t="b">
        <v>0</v>
      </c>
      <c r="AB880" s="48"/>
      <c r="AC880" s="49"/>
    </row>
    <row r="881" ht="14.25" customHeight="1">
      <c r="A881" s="13">
        <v>23391.0</v>
      </c>
      <c r="B881" s="13" t="str">
        <f t="shared" si="8"/>
        <v>Observational</v>
      </c>
      <c r="C881" s="13" t="s">
        <v>4856</v>
      </c>
      <c r="D881" s="1" t="s">
        <v>5383</v>
      </c>
      <c r="E881" s="2" t="s">
        <v>5384</v>
      </c>
      <c r="F881" s="13" t="s">
        <v>3208</v>
      </c>
      <c r="G881" s="13" t="s">
        <v>3208</v>
      </c>
      <c r="H881" s="13" t="s">
        <v>3166</v>
      </c>
      <c r="I881" s="13" t="s">
        <v>3157</v>
      </c>
      <c r="J881" s="13" t="s">
        <v>3240</v>
      </c>
      <c r="K881" s="13" t="s">
        <v>3153</v>
      </c>
      <c r="L881" s="13" t="s">
        <v>3169</v>
      </c>
      <c r="M881" s="13" t="s">
        <v>3161</v>
      </c>
      <c r="N881" s="13" t="s">
        <v>3162</v>
      </c>
      <c r="O881" s="13" t="s">
        <v>33</v>
      </c>
      <c r="P881" s="13">
        <v>1.0</v>
      </c>
      <c r="Q881" s="13" t="s">
        <v>3160</v>
      </c>
      <c r="R881" s="13" t="s">
        <v>3163</v>
      </c>
      <c r="S881" s="13" t="s">
        <v>33</v>
      </c>
      <c r="T881" s="13" t="s">
        <v>3178</v>
      </c>
      <c r="U881" s="13" t="s">
        <v>3164</v>
      </c>
      <c r="V881" s="13" t="s">
        <v>3164</v>
      </c>
      <c r="W881" s="13" t="s">
        <v>3167</v>
      </c>
      <c r="X881" s="13" t="s">
        <v>3170</v>
      </c>
      <c r="Y881" s="13" t="s">
        <v>3156</v>
      </c>
      <c r="Z881" s="13" t="s">
        <v>33</v>
      </c>
      <c r="AA881" s="13" t="b">
        <v>0</v>
      </c>
      <c r="AB881" s="48"/>
      <c r="AC881" s="49"/>
    </row>
    <row r="882" ht="14.25" customHeight="1">
      <c r="A882" s="13">
        <v>23398.0</v>
      </c>
      <c r="B882" s="13" t="str">
        <f t="shared" si="8"/>
        <v>Observational</v>
      </c>
      <c r="C882" s="13" t="s">
        <v>4856</v>
      </c>
      <c r="D882" s="1" t="s">
        <v>5383</v>
      </c>
      <c r="E882" s="2" t="s">
        <v>5384</v>
      </c>
      <c r="F882" s="13" t="s">
        <v>3186</v>
      </c>
      <c r="G882" s="13" t="s">
        <v>3186</v>
      </c>
      <c r="H882" s="13" t="s">
        <v>3166</v>
      </c>
      <c r="I882" s="13" t="s">
        <v>3171</v>
      </c>
      <c r="J882" s="13" t="s">
        <v>3339</v>
      </c>
      <c r="K882" s="13" t="s">
        <v>3153</v>
      </c>
      <c r="L882" s="13" t="s">
        <v>3169</v>
      </c>
      <c r="M882" s="13" t="s">
        <v>3161</v>
      </c>
      <c r="N882" s="13" t="s">
        <v>3162</v>
      </c>
      <c r="O882" s="13" t="s">
        <v>33</v>
      </c>
      <c r="P882" s="13">
        <v>1.0</v>
      </c>
      <c r="Q882" s="13" t="s">
        <v>3160</v>
      </c>
      <c r="R882" s="13" t="s">
        <v>3163</v>
      </c>
      <c r="S882" s="13" t="s">
        <v>33</v>
      </c>
      <c r="T882" s="13" t="s">
        <v>3216</v>
      </c>
      <c r="U882" s="13" t="s">
        <v>3215</v>
      </c>
      <c r="V882" s="13" t="s">
        <v>3215</v>
      </c>
      <c r="W882" s="13" t="s">
        <v>3167</v>
      </c>
      <c r="X882" s="13" t="s">
        <v>3155</v>
      </c>
      <c r="Y882" s="13" t="s">
        <v>3202</v>
      </c>
      <c r="Z882" s="13">
        <v>30.0</v>
      </c>
      <c r="AA882" s="13" t="b">
        <v>0</v>
      </c>
      <c r="AB882" s="48"/>
      <c r="AC882" s="49"/>
    </row>
    <row r="883" ht="14.25" customHeight="1">
      <c r="A883" s="13">
        <v>23407.0</v>
      </c>
      <c r="B883" s="13" t="str">
        <f t="shared" si="8"/>
        <v>Observational</v>
      </c>
      <c r="C883" s="13" t="s">
        <v>4864</v>
      </c>
      <c r="D883" s="1" t="s">
        <v>5383</v>
      </c>
      <c r="E883" s="2" t="s">
        <v>5384</v>
      </c>
      <c r="F883" s="13" t="s">
        <v>3186</v>
      </c>
      <c r="G883" s="13" t="s">
        <v>3159</v>
      </c>
      <c r="H883" s="13" t="s">
        <v>3166</v>
      </c>
      <c r="I883" s="13" t="s">
        <v>3181</v>
      </c>
      <c r="J883" s="13" t="s">
        <v>3182</v>
      </c>
      <c r="K883" s="13" t="s">
        <v>3153</v>
      </c>
      <c r="L883" s="13" t="s">
        <v>3179</v>
      </c>
      <c r="M883" s="13" t="s">
        <v>3161</v>
      </c>
      <c r="N883" s="13" t="s">
        <v>3162</v>
      </c>
      <c r="O883" s="13" t="s">
        <v>3167</v>
      </c>
      <c r="P883" s="13">
        <v>1.0</v>
      </c>
      <c r="Q883" s="13" t="s">
        <v>3160</v>
      </c>
      <c r="R883" s="13" t="s">
        <v>3231</v>
      </c>
      <c r="S883" s="13" t="s">
        <v>33</v>
      </c>
      <c r="T883" s="13" t="s">
        <v>3178</v>
      </c>
      <c r="U883" s="13" t="s">
        <v>3164</v>
      </c>
      <c r="V883" s="13" t="s">
        <v>3164</v>
      </c>
      <c r="W883" s="13" t="s">
        <v>3167</v>
      </c>
      <c r="X883" s="13" t="s">
        <v>3192</v>
      </c>
      <c r="Y883" s="13" t="s">
        <v>3202</v>
      </c>
      <c r="Z883" s="13">
        <v>90.0</v>
      </c>
      <c r="AA883" s="13" t="b">
        <v>0</v>
      </c>
      <c r="AB883" s="48"/>
      <c r="AC883" s="49"/>
    </row>
    <row r="884" ht="14.25" customHeight="1">
      <c r="A884" s="13">
        <v>23428.0</v>
      </c>
      <c r="B884" s="13" t="str">
        <f t="shared" si="8"/>
        <v>Observational</v>
      </c>
      <c r="C884" s="13" t="s">
        <v>4856</v>
      </c>
      <c r="D884" s="1" t="s">
        <v>5383</v>
      </c>
      <c r="E884" s="2" t="s">
        <v>5384</v>
      </c>
      <c r="F884" s="13" t="s">
        <v>3287</v>
      </c>
      <c r="G884" s="13" t="s">
        <v>3183</v>
      </c>
      <c r="H884" s="13" t="s">
        <v>3166</v>
      </c>
      <c r="I884" s="13" t="s">
        <v>3188</v>
      </c>
      <c r="J884" s="13" t="s">
        <v>3432</v>
      </c>
      <c r="K884" s="13" t="s">
        <v>3153</v>
      </c>
      <c r="L884" s="13" t="s">
        <v>3169</v>
      </c>
      <c r="M884" s="13" t="s">
        <v>3161</v>
      </c>
      <c r="N884" s="13" t="s">
        <v>3162</v>
      </c>
      <c r="O884" s="13" t="s">
        <v>33</v>
      </c>
      <c r="P884" s="13">
        <v>1.0</v>
      </c>
      <c r="Q884" s="13" t="s">
        <v>3177</v>
      </c>
      <c r="R884" s="13" t="s">
        <v>3163</v>
      </c>
      <c r="S884" s="13" t="s">
        <v>3397</v>
      </c>
      <c r="T884" s="13" t="s">
        <v>3178</v>
      </c>
      <c r="U884" s="13" t="s">
        <v>3164</v>
      </c>
      <c r="V884" s="13" t="s">
        <v>3164</v>
      </c>
      <c r="W884" s="13" t="s">
        <v>3167</v>
      </c>
      <c r="X884" s="13" t="s">
        <v>3170</v>
      </c>
      <c r="Y884" s="13" t="s">
        <v>3202</v>
      </c>
      <c r="Z884" s="13">
        <v>2.5</v>
      </c>
      <c r="AA884" s="13" t="b">
        <v>0</v>
      </c>
      <c r="AB884" s="48"/>
      <c r="AC884" s="49"/>
    </row>
    <row r="885" ht="14.25" customHeight="1">
      <c r="A885" s="13">
        <v>23517.0</v>
      </c>
      <c r="B885" s="13" t="str">
        <f t="shared" si="8"/>
        <v>Observational</v>
      </c>
      <c r="C885" s="13" t="s">
        <v>4856</v>
      </c>
      <c r="D885" s="1" t="s">
        <v>5383</v>
      </c>
      <c r="E885" s="2" t="s">
        <v>5384</v>
      </c>
      <c r="F885" s="13" t="s">
        <v>3173</v>
      </c>
      <c r="G885" s="13" t="s">
        <v>3335</v>
      </c>
      <c r="H885" s="13" t="s">
        <v>3195</v>
      </c>
      <c r="I885" s="13" t="s">
        <v>3188</v>
      </c>
      <c r="J885" s="13" t="s">
        <v>3432</v>
      </c>
      <c r="K885" s="13" t="s">
        <v>3153</v>
      </c>
      <c r="L885" s="13" t="s">
        <v>3169</v>
      </c>
      <c r="M885" s="13" t="s">
        <v>3161</v>
      </c>
      <c r="N885" s="13" t="s">
        <v>3162</v>
      </c>
      <c r="O885" s="13" t="s">
        <v>33</v>
      </c>
      <c r="P885" s="13">
        <v>1.0</v>
      </c>
      <c r="Q885" s="13" t="s">
        <v>3177</v>
      </c>
      <c r="R885" s="13" t="s">
        <v>3163</v>
      </c>
      <c r="S885" s="13" t="s">
        <v>3323</v>
      </c>
      <c r="T885" s="13" t="s">
        <v>3167</v>
      </c>
      <c r="U885" s="13" t="s">
        <v>3195</v>
      </c>
      <c r="V885" s="13" t="s">
        <v>3195</v>
      </c>
      <c r="W885" s="13" t="s">
        <v>3167</v>
      </c>
      <c r="X885" s="13" t="s">
        <v>3170</v>
      </c>
      <c r="Y885" s="13" t="s">
        <v>3156</v>
      </c>
      <c r="Z885" s="13" t="s">
        <v>33</v>
      </c>
      <c r="AA885" s="13" t="b">
        <v>0</v>
      </c>
      <c r="AB885" s="48"/>
      <c r="AC885" s="49"/>
    </row>
    <row r="886" ht="14.25" customHeight="1">
      <c r="A886" s="13">
        <v>23523.0</v>
      </c>
      <c r="B886" s="13" t="str">
        <f t="shared" si="8"/>
        <v>Observational</v>
      </c>
      <c r="C886" s="13" t="s">
        <v>4856</v>
      </c>
      <c r="D886" s="1" t="s">
        <v>5383</v>
      </c>
      <c r="E886" s="2" t="s">
        <v>5384</v>
      </c>
      <c r="F886" s="13" t="s">
        <v>3159</v>
      </c>
      <c r="G886" s="13" t="s">
        <v>3159</v>
      </c>
      <c r="H886" s="13" t="s">
        <v>3166</v>
      </c>
      <c r="I886" s="13" t="s">
        <v>3222</v>
      </c>
      <c r="J886" s="13" t="s">
        <v>3182</v>
      </c>
      <c r="K886" s="13" t="s">
        <v>3153</v>
      </c>
      <c r="L886" s="13" t="s">
        <v>3169</v>
      </c>
      <c r="M886" s="13" t="s">
        <v>3161</v>
      </c>
      <c r="N886" s="13" t="s">
        <v>3162</v>
      </c>
      <c r="O886" s="13" t="s">
        <v>33</v>
      </c>
      <c r="P886" s="13">
        <v>1.0</v>
      </c>
      <c r="Q886" s="13" t="s">
        <v>3177</v>
      </c>
      <c r="R886" s="13" t="s">
        <v>3177</v>
      </c>
      <c r="S886" s="13" t="s">
        <v>33</v>
      </c>
      <c r="T886" s="13" t="s">
        <v>3178</v>
      </c>
      <c r="U886" s="13" t="s">
        <v>3165</v>
      </c>
      <c r="V886" s="13" t="s">
        <v>3165</v>
      </c>
      <c r="W886" s="13" t="s">
        <v>3167</v>
      </c>
      <c r="X886" s="13" t="s">
        <v>3192</v>
      </c>
      <c r="Y886" s="13" t="s">
        <v>3156</v>
      </c>
      <c r="Z886" s="13" t="s">
        <v>33</v>
      </c>
      <c r="AA886" s="13" t="b">
        <v>0</v>
      </c>
      <c r="AB886" s="48"/>
      <c r="AC886" s="49"/>
    </row>
    <row r="887" ht="14.25" customHeight="1">
      <c r="A887" s="13">
        <v>23552.0</v>
      </c>
      <c r="B887" s="13" t="str">
        <f t="shared" si="8"/>
        <v>Observational</v>
      </c>
      <c r="C887" s="13" t="s">
        <v>4856</v>
      </c>
      <c r="D887" s="1" t="s">
        <v>5383</v>
      </c>
      <c r="E887" s="2" t="s">
        <v>5384</v>
      </c>
      <c r="F887" s="13" t="s">
        <v>3173</v>
      </c>
      <c r="G887" s="13" t="s">
        <v>3173</v>
      </c>
      <c r="H887" s="13" t="s">
        <v>3242</v>
      </c>
      <c r="I887" s="13" t="s">
        <v>3157</v>
      </c>
      <c r="J887" s="13" t="s">
        <v>3167</v>
      </c>
      <c r="K887" s="13" t="s">
        <v>3153</v>
      </c>
      <c r="L887" s="13" t="s">
        <v>3169</v>
      </c>
      <c r="M887" s="13" t="s">
        <v>3161</v>
      </c>
      <c r="N887" s="13" t="s">
        <v>3162</v>
      </c>
      <c r="O887" s="13" t="s">
        <v>33</v>
      </c>
      <c r="P887" s="13">
        <v>1.0</v>
      </c>
      <c r="Q887" s="13" t="s">
        <v>3177</v>
      </c>
      <c r="R887" s="13" t="s">
        <v>3177</v>
      </c>
      <c r="S887" s="13" t="s">
        <v>33</v>
      </c>
      <c r="T887" s="13" t="s">
        <v>3167</v>
      </c>
      <c r="U887" s="13" t="s">
        <v>3247</v>
      </c>
      <c r="V887" s="13" t="s">
        <v>3247</v>
      </c>
      <c r="W887" s="13" t="s">
        <v>3496</v>
      </c>
      <c r="X887" s="13" t="s">
        <v>3284</v>
      </c>
      <c r="Y887" s="13" t="s">
        <v>3202</v>
      </c>
      <c r="Z887" s="13">
        <v>250.0</v>
      </c>
      <c r="AA887" s="13" t="b">
        <v>0</v>
      </c>
      <c r="AB887" s="48"/>
      <c r="AC887" s="49"/>
    </row>
    <row r="888" ht="14.25" customHeight="1">
      <c r="A888" s="13">
        <v>23571.0</v>
      </c>
      <c r="B888" s="13" t="str">
        <f t="shared" si="8"/>
        <v>Observational</v>
      </c>
      <c r="C888" s="13" t="s">
        <v>4852</v>
      </c>
      <c r="D888" s="1" t="s">
        <v>5383</v>
      </c>
      <c r="E888" s="2" t="s">
        <v>5384</v>
      </c>
      <c r="F888" s="13" t="s">
        <v>3173</v>
      </c>
      <c r="G888" s="13" t="s">
        <v>3173</v>
      </c>
      <c r="H888" s="13" t="s">
        <v>3166</v>
      </c>
      <c r="I888" s="13" t="s">
        <v>3157</v>
      </c>
      <c r="J888" s="13" t="s">
        <v>3500</v>
      </c>
      <c r="K888" s="13" t="s">
        <v>3153</v>
      </c>
      <c r="L888" s="13" t="s">
        <v>3154</v>
      </c>
      <c r="M888" s="13" t="s">
        <v>3161</v>
      </c>
      <c r="N888" s="13" t="s">
        <v>3162</v>
      </c>
      <c r="O888" s="13" t="s">
        <v>33</v>
      </c>
      <c r="P888" s="13">
        <v>1.0</v>
      </c>
      <c r="Q888" s="13" t="s">
        <v>3177</v>
      </c>
      <c r="R888" s="13" t="s">
        <v>3177</v>
      </c>
      <c r="S888" s="13" t="s">
        <v>33</v>
      </c>
      <c r="T888" s="13" t="s">
        <v>3255</v>
      </c>
      <c r="U888" s="13" t="s">
        <v>3197</v>
      </c>
      <c r="V888" s="13" t="s">
        <v>3197</v>
      </c>
      <c r="W888" s="13" t="s">
        <v>3167</v>
      </c>
      <c r="X888" s="13" t="s">
        <v>3211</v>
      </c>
      <c r="Y888" s="13" t="s">
        <v>3156</v>
      </c>
      <c r="Z888" s="13" t="s">
        <v>33</v>
      </c>
      <c r="AA888" s="13" t="b">
        <v>0</v>
      </c>
      <c r="AB888" s="48"/>
      <c r="AC888" s="49"/>
    </row>
    <row r="889" ht="14.25" customHeight="1">
      <c r="A889" s="13">
        <v>23609.0</v>
      </c>
      <c r="B889" s="13" t="str">
        <f t="shared" si="8"/>
        <v>Observational</v>
      </c>
      <c r="C889" s="13" t="s">
        <v>4856</v>
      </c>
      <c r="D889" s="1" t="s">
        <v>5383</v>
      </c>
      <c r="E889" s="2" t="s">
        <v>5384</v>
      </c>
      <c r="F889" s="13" t="s">
        <v>3159</v>
      </c>
      <c r="G889" s="13" t="s">
        <v>3159</v>
      </c>
      <c r="H889" s="13" t="s">
        <v>3166</v>
      </c>
      <c r="I889" s="13" t="s">
        <v>3244</v>
      </c>
      <c r="J889" s="13" t="s">
        <v>3531</v>
      </c>
      <c r="K889" s="13" t="s">
        <v>3153</v>
      </c>
      <c r="L889" s="13" t="s">
        <v>3169</v>
      </c>
      <c r="M889" s="13" t="s">
        <v>3161</v>
      </c>
      <c r="N889" s="13" t="s">
        <v>3162</v>
      </c>
      <c r="O889" s="13" t="s">
        <v>3532</v>
      </c>
      <c r="P889" s="13">
        <v>1.0</v>
      </c>
      <c r="Q889" s="13" t="s">
        <v>3177</v>
      </c>
      <c r="R889" s="13" t="s">
        <v>3231</v>
      </c>
      <c r="S889" s="13" t="s">
        <v>33</v>
      </c>
      <c r="T889" s="13" t="s">
        <v>3324</v>
      </c>
      <c r="U889" s="13" t="s">
        <v>3165</v>
      </c>
      <c r="V889" s="13" t="s">
        <v>3165</v>
      </c>
      <c r="W889" s="13" t="s">
        <v>3167</v>
      </c>
      <c r="X889" s="13" t="s">
        <v>3155</v>
      </c>
      <c r="Y889" s="13" t="s">
        <v>3156</v>
      </c>
      <c r="Z889" s="13" t="s">
        <v>3167</v>
      </c>
      <c r="AA889" s="13" t="b">
        <v>0</v>
      </c>
      <c r="AB889" s="48"/>
      <c r="AC889" s="49"/>
    </row>
    <row r="890" ht="14.25" customHeight="1">
      <c r="A890" s="13">
        <v>23669.0</v>
      </c>
      <c r="B890" s="13" t="str">
        <f t="shared" si="8"/>
        <v>Observational</v>
      </c>
      <c r="C890" s="13" t="s">
        <v>4856</v>
      </c>
      <c r="D890" s="1" t="s">
        <v>5383</v>
      </c>
      <c r="E890" s="2" t="s">
        <v>5384</v>
      </c>
      <c r="F890" s="13" t="s">
        <v>3159</v>
      </c>
      <c r="G890" s="13" t="s">
        <v>3159</v>
      </c>
      <c r="H890" s="13" t="s">
        <v>3242</v>
      </c>
      <c r="I890" s="13" t="s">
        <v>3244</v>
      </c>
      <c r="J890" s="13" t="s">
        <v>3289</v>
      </c>
      <c r="K890" s="13" t="s">
        <v>3153</v>
      </c>
      <c r="L890" s="13" t="s">
        <v>3169</v>
      </c>
      <c r="M890" s="13" t="s">
        <v>3161</v>
      </c>
      <c r="N890" s="13" t="s">
        <v>3162</v>
      </c>
      <c r="O890" s="13" t="s">
        <v>33</v>
      </c>
      <c r="P890" s="13">
        <v>1.0</v>
      </c>
      <c r="Q890" s="13" t="s">
        <v>3160</v>
      </c>
      <c r="R890" s="13" t="s">
        <v>3163</v>
      </c>
      <c r="S890" s="13" t="s">
        <v>33</v>
      </c>
      <c r="T890" s="13" t="s">
        <v>3167</v>
      </c>
      <c r="U890" s="13" t="s">
        <v>3247</v>
      </c>
      <c r="V890" s="13" t="s">
        <v>3247</v>
      </c>
      <c r="W890" s="13" t="s">
        <v>3496</v>
      </c>
      <c r="X890" s="13" t="s">
        <v>3170</v>
      </c>
      <c r="Y890" s="13" t="s">
        <v>3156</v>
      </c>
      <c r="Z890" s="13" t="s">
        <v>33</v>
      </c>
      <c r="AA890" s="13" t="b">
        <v>0</v>
      </c>
      <c r="AB890" s="48"/>
      <c r="AC890" s="49"/>
    </row>
    <row r="891" ht="14.25" customHeight="1">
      <c r="A891" s="13">
        <v>23691.0</v>
      </c>
      <c r="B891" s="13" t="str">
        <f t="shared" si="8"/>
        <v>Observational</v>
      </c>
      <c r="C891" s="13" t="s">
        <v>4852</v>
      </c>
      <c r="D891" s="1" t="s">
        <v>5383</v>
      </c>
      <c r="E891" s="2" t="s">
        <v>5384</v>
      </c>
      <c r="F891" s="13" t="s">
        <v>3159</v>
      </c>
      <c r="G891" s="13" t="s">
        <v>3210</v>
      </c>
      <c r="H891" s="13" t="s">
        <v>3195</v>
      </c>
      <c r="I891" s="13" t="s">
        <v>3244</v>
      </c>
      <c r="J891" s="13" t="s">
        <v>3289</v>
      </c>
      <c r="K891" s="13" t="s">
        <v>3153</v>
      </c>
      <c r="L891" s="13" t="s">
        <v>3154</v>
      </c>
      <c r="M891" s="13" t="s">
        <v>3161</v>
      </c>
      <c r="N891" s="13" t="s">
        <v>3162</v>
      </c>
      <c r="O891" s="13" t="s">
        <v>33</v>
      </c>
      <c r="P891" s="13">
        <v>1.0</v>
      </c>
      <c r="Q891" s="13" t="s">
        <v>3160</v>
      </c>
      <c r="R891" s="13" t="s">
        <v>3163</v>
      </c>
      <c r="S891" s="13" t="s">
        <v>33</v>
      </c>
      <c r="T891" s="13" t="s">
        <v>3167</v>
      </c>
      <c r="U891" s="13" t="s">
        <v>3195</v>
      </c>
      <c r="V891" s="13" t="s">
        <v>3195</v>
      </c>
      <c r="W891" s="13" t="s">
        <v>3167</v>
      </c>
      <c r="X891" s="13" t="s">
        <v>3170</v>
      </c>
      <c r="Y891" s="13" t="s">
        <v>3156</v>
      </c>
      <c r="Z891" s="13" t="s">
        <v>33</v>
      </c>
      <c r="AA891" s="13" t="b">
        <v>0</v>
      </c>
      <c r="AB891" s="48"/>
      <c r="AC891" s="49"/>
    </row>
    <row r="892" ht="14.25" customHeight="1">
      <c r="A892" s="13">
        <v>23739.0</v>
      </c>
      <c r="B892" s="13" t="str">
        <f t="shared" si="8"/>
        <v>Observational</v>
      </c>
      <c r="C892" s="13" t="s">
        <v>4856</v>
      </c>
      <c r="D892" s="1" t="s">
        <v>5383</v>
      </c>
      <c r="E892" s="2" t="s">
        <v>5384</v>
      </c>
      <c r="F892" s="13" t="s">
        <v>3201</v>
      </c>
      <c r="G892" s="13" t="s">
        <v>3210</v>
      </c>
      <c r="H892" s="13" t="s">
        <v>3195</v>
      </c>
      <c r="I892" s="13" t="s">
        <v>3157</v>
      </c>
      <c r="J892" s="13" t="s">
        <v>3600</v>
      </c>
      <c r="K892" s="13" t="s">
        <v>3153</v>
      </c>
      <c r="L892" s="13" t="s">
        <v>3169</v>
      </c>
      <c r="M892" s="13" t="s">
        <v>3161</v>
      </c>
      <c r="N892" s="13" t="s">
        <v>3162</v>
      </c>
      <c r="O892" s="13" t="s">
        <v>3167</v>
      </c>
      <c r="P892" s="13">
        <v>1.0</v>
      </c>
      <c r="Q892" s="13" t="s">
        <v>3177</v>
      </c>
      <c r="R892" s="13" t="s">
        <v>3260</v>
      </c>
      <c r="S892" s="13" t="s">
        <v>3601</v>
      </c>
      <c r="T892" s="13" t="s">
        <v>3167</v>
      </c>
      <c r="U892" s="13" t="s">
        <v>3195</v>
      </c>
      <c r="V892" s="13" t="s">
        <v>3195</v>
      </c>
      <c r="W892" s="13" t="s">
        <v>3167</v>
      </c>
      <c r="X892" s="13" t="s">
        <v>3155</v>
      </c>
      <c r="Y892" s="13" t="s">
        <v>3156</v>
      </c>
      <c r="Z892" s="13" t="s">
        <v>3167</v>
      </c>
      <c r="AA892" s="13" t="b">
        <v>0</v>
      </c>
      <c r="AB892" s="48"/>
      <c r="AC892" s="49"/>
    </row>
    <row r="893" ht="14.25" customHeight="1">
      <c r="A893" s="13">
        <v>23754.0</v>
      </c>
      <c r="B893" s="13" t="str">
        <f t="shared" si="8"/>
        <v>Observational</v>
      </c>
      <c r="C893" s="13" t="s">
        <v>4856</v>
      </c>
      <c r="D893" s="1" t="s">
        <v>5383</v>
      </c>
      <c r="E893" s="2" t="s">
        <v>5384</v>
      </c>
      <c r="F893" s="13" t="s">
        <v>3183</v>
      </c>
      <c r="G893" s="13" t="s">
        <v>3183</v>
      </c>
      <c r="H893" s="13" t="s">
        <v>3166</v>
      </c>
      <c r="I893" s="13" t="s">
        <v>3167</v>
      </c>
      <c r="J893" s="13" t="s">
        <v>3167</v>
      </c>
      <c r="K893" s="13" t="s">
        <v>3153</v>
      </c>
      <c r="L893" s="13" t="s">
        <v>3169</v>
      </c>
      <c r="M893" s="13" t="s">
        <v>3161</v>
      </c>
      <c r="N893" s="13" t="s">
        <v>3162</v>
      </c>
      <c r="O893" s="13" t="s">
        <v>3397</v>
      </c>
      <c r="P893" s="13">
        <v>1.0</v>
      </c>
      <c r="Q893" s="13" t="s">
        <v>3160</v>
      </c>
      <c r="R893" s="13" t="s">
        <v>3177</v>
      </c>
      <c r="S893" s="13" t="s">
        <v>3397</v>
      </c>
      <c r="T893" s="13" t="s">
        <v>3295</v>
      </c>
      <c r="U893" s="13" t="s">
        <v>3197</v>
      </c>
      <c r="V893" s="13" t="s">
        <v>3197</v>
      </c>
      <c r="W893" s="13" t="s">
        <v>3167</v>
      </c>
      <c r="X893" s="13" t="s">
        <v>3217</v>
      </c>
      <c r="Y893" s="13" t="s">
        <v>3156</v>
      </c>
      <c r="Z893" s="13" t="s">
        <v>33</v>
      </c>
      <c r="AA893" s="13" t="b">
        <v>0</v>
      </c>
      <c r="AB893" s="48"/>
      <c r="AC893" s="49"/>
    </row>
    <row r="894" ht="14.25" customHeight="1">
      <c r="A894" s="13">
        <v>23760.0</v>
      </c>
      <c r="B894" s="13" t="str">
        <f t="shared" si="8"/>
        <v>Observational</v>
      </c>
      <c r="C894" s="13" t="s">
        <v>4856</v>
      </c>
      <c r="D894" s="1" t="s">
        <v>5383</v>
      </c>
      <c r="E894" s="2" t="s">
        <v>5384</v>
      </c>
      <c r="F894" s="13" t="s">
        <v>3159</v>
      </c>
      <c r="G894" s="13" t="s">
        <v>3437</v>
      </c>
      <c r="H894" s="13" t="s">
        <v>3166</v>
      </c>
      <c r="I894" s="13" t="s">
        <v>3222</v>
      </c>
      <c r="J894" s="13" t="s">
        <v>3182</v>
      </c>
      <c r="K894" s="13" t="s">
        <v>3153</v>
      </c>
      <c r="L894" s="13" t="s">
        <v>3169</v>
      </c>
      <c r="M894" s="13" t="s">
        <v>3161</v>
      </c>
      <c r="N894" s="13" t="s">
        <v>3162</v>
      </c>
      <c r="O894" s="13" t="s">
        <v>33</v>
      </c>
      <c r="P894" s="13">
        <v>1.0</v>
      </c>
      <c r="Q894" s="13" t="s">
        <v>3160</v>
      </c>
      <c r="R894" s="13" t="s">
        <v>3163</v>
      </c>
      <c r="S894" s="13" t="s">
        <v>33</v>
      </c>
      <c r="T894" s="13" t="s">
        <v>3178</v>
      </c>
      <c r="U894" s="13" t="s">
        <v>3232</v>
      </c>
      <c r="V894" s="13" t="s">
        <v>3232</v>
      </c>
      <c r="W894" s="13" t="s">
        <v>3167</v>
      </c>
      <c r="X894" s="13" t="s">
        <v>3170</v>
      </c>
      <c r="Y894" s="13" t="s">
        <v>3156</v>
      </c>
      <c r="Z894" s="13" t="s">
        <v>33</v>
      </c>
      <c r="AA894" s="13" t="b">
        <v>0</v>
      </c>
      <c r="AB894" s="48"/>
      <c r="AC894" s="49"/>
    </row>
    <row r="895" ht="14.25" customHeight="1">
      <c r="A895" s="13">
        <v>23816.0</v>
      </c>
      <c r="B895" s="13" t="str">
        <f t="shared" si="8"/>
        <v>Observational</v>
      </c>
      <c r="C895" s="13" t="s">
        <v>4864</v>
      </c>
      <c r="D895" s="1" t="s">
        <v>5383</v>
      </c>
      <c r="E895" s="2" t="s">
        <v>5384</v>
      </c>
      <c r="F895" s="13" t="s">
        <v>3183</v>
      </c>
      <c r="G895" s="13" t="s">
        <v>3173</v>
      </c>
      <c r="H895" s="13" t="s">
        <v>3166</v>
      </c>
      <c r="I895" s="13" t="s">
        <v>3249</v>
      </c>
      <c r="J895" s="13" t="s">
        <v>3584</v>
      </c>
      <c r="K895" s="13" t="s">
        <v>3153</v>
      </c>
      <c r="L895" s="13" t="s">
        <v>3179</v>
      </c>
      <c r="M895" s="13" t="s">
        <v>3161</v>
      </c>
      <c r="N895" s="13" t="s">
        <v>3162</v>
      </c>
      <c r="O895" s="13" t="s">
        <v>3629</v>
      </c>
      <c r="P895" s="13">
        <v>1.0</v>
      </c>
      <c r="Q895" s="13" t="s">
        <v>3177</v>
      </c>
      <c r="R895" s="13" t="s">
        <v>3260</v>
      </c>
      <c r="S895" s="13" t="s">
        <v>33</v>
      </c>
      <c r="T895" s="13" t="s">
        <v>3255</v>
      </c>
      <c r="U895" s="13" t="s">
        <v>3197</v>
      </c>
      <c r="V895" s="13" t="s">
        <v>3197</v>
      </c>
      <c r="W895" s="13" t="s">
        <v>3167</v>
      </c>
      <c r="X895" s="13" t="s">
        <v>3211</v>
      </c>
      <c r="Y895" s="13" t="s">
        <v>3180</v>
      </c>
      <c r="Z895" s="13">
        <v>0.1</v>
      </c>
      <c r="AA895" s="13" t="b">
        <v>0</v>
      </c>
      <c r="AB895" s="48"/>
      <c r="AC895" s="49"/>
    </row>
    <row r="896" ht="14.25" customHeight="1">
      <c r="A896" s="13">
        <v>23847.0</v>
      </c>
      <c r="B896" s="13" t="str">
        <f t="shared" si="8"/>
        <v>Observational</v>
      </c>
      <c r="C896" s="13" t="s">
        <v>4856</v>
      </c>
      <c r="D896" s="1" t="s">
        <v>5383</v>
      </c>
      <c r="E896" s="2" t="s">
        <v>5384</v>
      </c>
      <c r="F896" s="13" t="s">
        <v>3333</v>
      </c>
      <c r="G896" s="13" t="s">
        <v>3183</v>
      </c>
      <c r="H896" s="13" t="s">
        <v>3253</v>
      </c>
      <c r="I896" s="13" t="s">
        <v>3203</v>
      </c>
      <c r="J896" s="13" t="s">
        <v>3204</v>
      </c>
      <c r="K896" s="13" t="s">
        <v>3153</v>
      </c>
      <c r="L896" s="13" t="s">
        <v>3169</v>
      </c>
      <c r="M896" s="13" t="s">
        <v>3161</v>
      </c>
      <c r="N896" s="13" t="s">
        <v>3162</v>
      </c>
      <c r="O896" s="13" t="s">
        <v>3644</v>
      </c>
      <c r="P896" s="13">
        <v>1.0</v>
      </c>
      <c r="Q896" s="13" t="s">
        <v>3160</v>
      </c>
      <c r="R896" s="13" t="s">
        <v>3231</v>
      </c>
      <c r="S896" s="13" t="s">
        <v>3644</v>
      </c>
      <c r="T896" s="13" t="s">
        <v>3645</v>
      </c>
      <c r="U896" s="13" t="s">
        <v>3252</v>
      </c>
      <c r="V896" s="13" t="s">
        <v>3252</v>
      </c>
      <c r="W896" s="13" t="s">
        <v>3294</v>
      </c>
      <c r="X896" s="13" t="s">
        <v>3155</v>
      </c>
      <c r="Y896" s="13" t="s">
        <v>3156</v>
      </c>
      <c r="Z896" s="13" t="s">
        <v>3167</v>
      </c>
      <c r="AA896" s="13" t="b">
        <v>0</v>
      </c>
      <c r="AB896" s="48"/>
      <c r="AC896" s="49"/>
    </row>
    <row r="897" ht="14.25" customHeight="1">
      <c r="A897" s="13" t="s">
        <v>1827</v>
      </c>
      <c r="B897" s="13" t="str">
        <f t="shared" si="8"/>
        <v>Observational</v>
      </c>
      <c r="C897" s="13" t="s">
        <v>4864</v>
      </c>
      <c r="D897" s="1" t="s">
        <v>5383</v>
      </c>
      <c r="E897" s="2" t="s">
        <v>5384</v>
      </c>
      <c r="F897" s="13" t="s">
        <v>3159</v>
      </c>
      <c r="G897" s="13" t="s">
        <v>3210</v>
      </c>
      <c r="H897" s="13" t="s">
        <v>3195</v>
      </c>
      <c r="I897" s="13" t="s">
        <v>3261</v>
      </c>
      <c r="J897" s="13" t="s">
        <v>3650</v>
      </c>
      <c r="K897" s="13" t="s">
        <v>3153</v>
      </c>
      <c r="L897" s="13" t="s">
        <v>3179</v>
      </c>
      <c r="M897" s="13" t="s">
        <v>3161</v>
      </c>
      <c r="N897" s="13" t="s">
        <v>3162</v>
      </c>
      <c r="O897" s="13" t="s">
        <v>33</v>
      </c>
      <c r="P897" s="13">
        <v>1.0</v>
      </c>
      <c r="Q897" s="13" t="s">
        <v>3160</v>
      </c>
      <c r="R897" s="13" t="s">
        <v>3163</v>
      </c>
      <c r="S897" s="13" t="s">
        <v>33</v>
      </c>
      <c r="T897" s="13" t="s">
        <v>3167</v>
      </c>
      <c r="U897" s="13" t="s">
        <v>3195</v>
      </c>
      <c r="V897" s="13" t="s">
        <v>3195</v>
      </c>
      <c r="W897" s="13" t="s">
        <v>3167</v>
      </c>
      <c r="X897" s="13" t="s">
        <v>3211</v>
      </c>
      <c r="Y897" s="13" t="s">
        <v>3156</v>
      </c>
      <c r="Z897" s="13" t="s">
        <v>33</v>
      </c>
      <c r="AA897" s="13" t="b">
        <v>0</v>
      </c>
      <c r="AB897" s="48"/>
      <c r="AC897" s="49"/>
    </row>
    <row r="898" ht="14.25" customHeight="1">
      <c r="A898" s="13">
        <v>23868.0</v>
      </c>
      <c r="B898" s="13" t="str">
        <f t="shared" si="8"/>
        <v>Observational</v>
      </c>
      <c r="C898" s="13" t="s">
        <v>4856</v>
      </c>
      <c r="D898" s="1" t="s">
        <v>5383</v>
      </c>
      <c r="E898" s="2" t="s">
        <v>5384</v>
      </c>
      <c r="F898" s="13" t="s">
        <v>3159</v>
      </c>
      <c r="G898" s="13" t="s">
        <v>3173</v>
      </c>
      <c r="H898" s="13" t="s">
        <v>3166</v>
      </c>
      <c r="I898" s="13" t="s">
        <v>3244</v>
      </c>
      <c r="J898" s="13" t="s">
        <v>3278</v>
      </c>
      <c r="K898" s="13" t="s">
        <v>3153</v>
      </c>
      <c r="L898" s="13" t="s">
        <v>3169</v>
      </c>
      <c r="M898" s="13" t="s">
        <v>3161</v>
      </c>
      <c r="N898" s="13" t="s">
        <v>3162</v>
      </c>
      <c r="O898" s="13" t="s">
        <v>3167</v>
      </c>
      <c r="P898" s="13">
        <v>1.0</v>
      </c>
      <c r="Q898" s="13" t="s">
        <v>3160</v>
      </c>
      <c r="R898" s="13" t="s">
        <v>3231</v>
      </c>
      <c r="S898" s="13" t="s">
        <v>33</v>
      </c>
      <c r="T898" s="13" t="s">
        <v>3224</v>
      </c>
      <c r="U898" s="13" t="s">
        <v>3164</v>
      </c>
      <c r="V898" s="13" t="s">
        <v>3232</v>
      </c>
      <c r="W898" s="13" t="s">
        <v>3167</v>
      </c>
      <c r="X898" s="13" t="s">
        <v>3192</v>
      </c>
      <c r="Y898" s="13" t="s">
        <v>3187</v>
      </c>
      <c r="Z898" s="13">
        <v>2500.0</v>
      </c>
      <c r="AA898" s="13" t="b">
        <v>0</v>
      </c>
      <c r="AB898" s="48"/>
      <c r="AC898" s="49"/>
    </row>
    <row r="899" ht="14.25" customHeight="1">
      <c r="A899" s="13">
        <v>23909.0</v>
      </c>
      <c r="B899" s="13" t="str">
        <f t="shared" si="8"/>
        <v>Observational</v>
      </c>
      <c r="C899" s="13" t="s">
        <v>4856</v>
      </c>
      <c r="D899" s="1" t="s">
        <v>5383</v>
      </c>
      <c r="E899" s="2" t="s">
        <v>5384</v>
      </c>
      <c r="F899" s="13" t="s">
        <v>3159</v>
      </c>
      <c r="G899" s="13" t="s">
        <v>3680</v>
      </c>
      <c r="H899" s="13" t="s">
        <v>3166</v>
      </c>
      <c r="I899" s="13" t="s">
        <v>3244</v>
      </c>
      <c r="J899" s="13" t="s">
        <v>3245</v>
      </c>
      <c r="K899" s="13" t="s">
        <v>3153</v>
      </c>
      <c r="L899" s="13" t="s">
        <v>3169</v>
      </c>
      <c r="M899" s="13" t="s">
        <v>3161</v>
      </c>
      <c r="N899" s="13" t="s">
        <v>3162</v>
      </c>
      <c r="O899" s="13" t="s">
        <v>33</v>
      </c>
      <c r="P899" s="13">
        <v>1.0</v>
      </c>
      <c r="Q899" s="13" t="s">
        <v>3160</v>
      </c>
      <c r="R899" s="13" t="s">
        <v>3163</v>
      </c>
      <c r="S899" s="13" t="s">
        <v>3323</v>
      </c>
      <c r="T899" s="13" t="s">
        <v>3324</v>
      </c>
      <c r="U899" s="13" t="s">
        <v>3232</v>
      </c>
      <c r="V899" s="13" t="s">
        <v>3232</v>
      </c>
      <c r="W899" s="13" t="s">
        <v>3167</v>
      </c>
      <c r="X899" s="13" t="s">
        <v>3192</v>
      </c>
      <c r="Y899" s="13" t="s">
        <v>3156</v>
      </c>
      <c r="Z899" s="13" t="s">
        <v>33</v>
      </c>
      <c r="AA899" s="13" t="b">
        <v>0</v>
      </c>
      <c r="AB899" s="48"/>
      <c r="AC899" s="49"/>
    </row>
    <row r="900" ht="14.25" customHeight="1">
      <c r="A900" s="13">
        <v>23912.0</v>
      </c>
      <c r="B900" s="13" t="str">
        <f t="shared" si="8"/>
        <v>Observational</v>
      </c>
      <c r="C900" s="13" t="s">
        <v>4856</v>
      </c>
      <c r="D900" s="1" t="s">
        <v>5383</v>
      </c>
      <c r="E900" s="2" t="s">
        <v>5384</v>
      </c>
      <c r="F900" s="13" t="s">
        <v>3183</v>
      </c>
      <c r="G900" s="13" t="s">
        <v>3183</v>
      </c>
      <c r="H900" s="13" t="s">
        <v>3166</v>
      </c>
      <c r="I900" s="13" t="s">
        <v>3222</v>
      </c>
      <c r="J900" s="13" t="s">
        <v>3182</v>
      </c>
      <c r="K900" s="13" t="s">
        <v>3153</v>
      </c>
      <c r="L900" s="13" t="s">
        <v>3169</v>
      </c>
      <c r="M900" s="13" t="s">
        <v>3161</v>
      </c>
      <c r="N900" s="13" t="s">
        <v>3162</v>
      </c>
      <c r="O900" s="13" t="s">
        <v>3453</v>
      </c>
      <c r="P900" s="13">
        <v>1.0</v>
      </c>
      <c r="Q900" s="13" t="s">
        <v>3160</v>
      </c>
      <c r="R900" s="13" t="s">
        <v>3163</v>
      </c>
      <c r="S900" s="13" t="s">
        <v>3681</v>
      </c>
      <c r="T900" s="13" t="s">
        <v>3178</v>
      </c>
      <c r="U900" s="13" t="s">
        <v>3165</v>
      </c>
      <c r="V900" s="13" t="s">
        <v>3165</v>
      </c>
      <c r="W900" s="13" t="s">
        <v>3167</v>
      </c>
      <c r="X900" s="13" t="s">
        <v>3192</v>
      </c>
      <c r="Y900" s="13" t="s">
        <v>3156</v>
      </c>
      <c r="Z900" s="13" t="s">
        <v>33</v>
      </c>
      <c r="AA900" s="13" t="b">
        <v>0</v>
      </c>
      <c r="AB900" s="47"/>
      <c r="AC900" s="49"/>
    </row>
    <row r="901" ht="14.25" customHeight="1">
      <c r="A901" s="13">
        <v>23936.0</v>
      </c>
      <c r="B901" s="13" t="str">
        <f t="shared" si="8"/>
        <v>Observational</v>
      </c>
      <c r="C901" s="13" t="s">
        <v>4852</v>
      </c>
      <c r="D901" s="1" t="s">
        <v>5383</v>
      </c>
      <c r="E901" s="2" t="s">
        <v>5384</v>
      </c>
      <c r="F901" s="13" t="s">
        <v>3201</v>
      </c>
      <c r="G901" s="13" t="s">
        <v>3210</v>
      </c>
      <c r="H901" s="13" t="s">
        <v>3195</v>
      </c>
      <c r="I901" s="13" t="s">
        <v>3171</v>
      </c>
      <c r="J901" s="13" t="s">
        <v>3378</v>
      </c>
      <c r="K901" s="13" t="s">
        <v>3153</v>
      </c>
      <c r="L901" s="13" t="s">
        <v>3154</v>
      </c>
      <c r="M901" s="13" t="s">
        <v>3161</v>
      </c>
      <c r="N901" s="13" t="s">
        <v>3162</v>
      </c>
      <c r="O901" s="13" t="s">
        <v>33</v>
      </c>
      <c r="P901" s="13">
        <v>1.0</v>
      </c>
      <c r="Q901" s="13" t="s">
        <v>3160</v>
      </c>
      <c r="R901" s="13" t="s">
        <v>3163</v>
      </c>
      <c r="S901" s="13" t="s">
        <v>33</v>
      </c>
      <c r="T901" s="13" t="s">
        <v>3167</v>
      </c>
      <c r="U901" s="13" t="s">
        <v>3195</v>
      </c>
      <c r="V901" s="13" t="s">
        <v>3195</v>
      </c>
      <c r="W901" s="13" t="s">
        <v>3167</v>
      </c>
      <c r="X901" s="13" t="s">
        <v>3192</v>
      </c>
      <c r="Y901" s="13" t="s">
        <v>3156</v>
      </c>
      <c r="Z901" s="13" t="s">
        <v>33</v>
      </c>
      <c r="AA901" s="13" t="b">
        <v>0</v>
      </c>
      <c r="AB901" s="48"/>
      <c r="AC901" s="49"/>
    </row>
    <row r="902" ht="14.25" customHeight="1">
      <c r="A902" s="13">
        <v>23937.0</v>
      </c>
      <c r="B902" s="13" t="str">
        <f t="shared" si="8"/>
        <v>Observational</v>
      </c>
      <c r="C902" s="13" t="s">
        <v>4852</v>
      </c>
      <c r="D902" s="1" t="s">
        <v>5383</v>
      </c>
      <c r="E902" s="2" t="s">
        <v>5384</v>
      </c>
      <c r="F902" s="13" t="s">
        <v>3159</v>
      </c>
      <c r="G902" s="13" t="s">
        <v>3210</v>
      </c>
      <c r="H902" s="13" t="s">
        <v>3195</v>
      </c>
      <c r="I902" s="13" t="s">
        <v>3171</v>
      </c>
      <c r="J902" s="13" t="s">
        <v>3378</v>
      </c>
      <c r="K902" s="13" t="s">
        <v>3153</v>
      </c>
      <c r="L902" s="13" t="s">
        <v>3154</v>
      </c>
      <c r="M902" s="13" t="s">
        <v>3161</v>
      </c>
      <c r="N902" s="13" t="s">
        <v>3162</v>
      </c>
      <c r="O902" s="13" t="s">
        <v>33</v>
      </c>
      <c r="P902" s="13">
        <v>1.0</v>
      </c>
      <c r="Q902" s="13" t="s">
        <v>3160</v>
      </c>
      <c r="R902" s="13" t="s">
        <v>3163</v>
      </c>
      <c r="S902" s="13" t="s">
        <v>33</v>
      </c>
      <c r="T902" s="13" t="s">
        <v>3167</v>
      </c>
      <c r="U902" s="13" t="s">
        <v>3195</v>
      </c>
      <c r="V902" s="13" t="s">
        <v>3195</v>
      </c>
      <c r="W902" s="13" t="s">
        <v>3167</v>
      </c>
      <c r="X902" s="13" t="s">
        <v>3192</v>
      </c>
      <c r="Y902" s="13" t="s">
        <v>3187</v>
      </c>
      <c r="Z902" s="13">
        <v>25.0</v>
      </c>
      <c r="AA902" s="13" t="b">
        <v>0</v>
      </c>
      <c r="AB902" s="48"/>
      <c r="AC902" s="49"/>
    </row>
    <row r="903" ht="14.25" customHeight="1">
      <c r="A903" s="13">
        <v>23967.0</v>
      </c>
      <c r="B903" s="13" t="str">
        <f t="shared" si="8"/>
        <v>Observational</v>
      </c>
      <c r="C903" s="13" t="s">
        <v>4856</v>
      </c>
      <c r="D903" s="1" t="s">
        <v>5383</v>
      </c>
      <c r="E903" s="2" t="s">
        <v>5384</v>
      </c>
      <c r="F903" s="13" t="s">
        <v>3208</v>
      </c>
      <c r="G903" s="13" t="s">
        <v>3208</v>
      </c>
      <c r="H903" s="13" t="s">
        <v>3242</v>
      </c>
      <c r="I903" s="13" t="s">
        <v>3171</v>
      </c>
      <c r="J903" s="13" t="s">
        <v>3378</v>
      </c>
      <c r="K903" s="13" t="s">
        <v>3153</v>
      </c>
      <c r="L903" s="13" t="s">
        <v>3169</v>
      </c>
      <c r="M903" s="13" t="s">
        <v>3161</v>
      </c>
      <c r="N903" s="13" t="s">
        <v>3162</v>
      </c>
      <c r="O903" s="13" t="s">
        <v>3167</v>
      </c>
      <c r="P903" s="13">
        <v>1.0</v>
      </c>
      <c r="Q903" s="13" t="s">
        <v>3160</v>
      </c>
      <c r="R903" s="13" t="s">
        <v>3231</v>
      </c>
      <c r="S903" s="13" t="s">
        <v>33</v>
      </c>
      <c r="T903" s="13" t="s">
        <v>3167</v>
      </c>
      <c r="U903" s="13" t="s">
        <v>3164</v>
      </c>
      <c r="V903" s="13" t="s">
        <v>3247</v>
      </c>
      <c r="W903" s="13" t="s">
        <v>3703</v>
      </c>
      <c r="X903" s="13" t="s">
        <v>3170</v>
      </c>
      <c r="Y903" s="13" t="s">
        <v>3202</v>
      </c>
      <c r="Z903" s="13">
        <v>0.5</v>
      </c>
      <c r="AA903" s="13" t="b">
        <v>0</v>
      </c>
      <c r="AB903" s="48"/>
      <c r="AC903" s="49"/>
    </row>
    <row r="904" ht="14.25" customHeight="1">
      <c r="A904" s="13">
        <v>23979.0</v>
      </c>
      <c r="B904" s="13" t="str">
        <f t="shared" si="8"/>
        <v>Observational</v>
      </c>
      <c r="C904" s="13" t="s">
        <v>4852</v>
      </c>
      <c r="D904" s="1" t="s">
        <v>5383</v>
      </c>
      <c r="E904" s="2" t="s">
        <v>5384</v>
      </c>
      <c r="F904" s="13" t="s">
        <v>3183</v>
      </c>
      <c r="G904" s="13" t="s">
        <v>3183</v>
      </c>
      <c r="H904" s="13" t="s">
        <v>3166</v>
      </c>
      <c r="I904" s="13" t="s">
        <v>3157</v>
      </c>
      <c r="J904" s="13" t="s">
        <v>3167</v>
      </c>
      <c r="K904" s="13" t="s">
        <v>3153</v>
      </c>
      <c r="L904" s="13" t="s">
        <v>3154</v>
      </c>
      <c r="M904" s="13" t="s">
        <v>3161</v>
      </c>
      <c r="N904" s="13" t="s">
        <v>3162</v>
      </c>
      <c r="O904" s="13" t="s">
        <v>3711</v>
      </c>
      <c r="P904" s="13">
        <v>1.0</v>
      </c>
      <c r="Q904" s="13" t="s">
        <v>3160</v>
      </c>
      <c r="R904" s="13" t="s">
        <v>3163</v>
      </c>
      <c r="S904" s="13" t="s">
        <v>3711</v>
      </c>
      <c r="T904" s="13" t="s">
        <v>3597</v>
      </c>
      <c r="U904" s="13" t="s">
        <v>3164</v>
      </c>
      <c r="V904" s="13" t="s">
        <v>3247</v>
      </c>
      <c r="W904" s="13" t="s">
        <v>3167</v>
      </c>
      <c r="X904" s="13" t="s">
        <v>3284</v>
      </c>
      <c r="Y904" s="13" t="s">
        <v>3187</v>
      </c>
      <c r="Z904" s="13">
        <v>16.0</v>
      </c>
      <c r="AA904" s="13" t="b">
        <v>0</v>
      </c>
      <c r="AB904" s="48"/>
      <c r="AC904" s="49"/>
    </row>
    <row r="905" ht="14.25" customHeight="1">
      <c r="A905" s="13">
        <v>23980.0</v>
      </c>
      <c r="B905" s="13" t="str">
        <f t="shared" si="8"/>
        <v>Observational</v>
      </c>
      <c r="C905" s="13" t="s">
        <v>4880</v>
      </c>
      <c r="D905" s="1" t="s">
        <v>5383</v>
      </c>
      <c r="E905" s="2" t="s">
        <v>5384</v>
      </c>
      <c r="F905" s="13" t="s">
        <v>3183</v>
      </c>
      <c r="G905" s="13" t="s">
        <v>3210</v>
      </c>
      <c r="H905" s="13" t="s">
        <v>3195</v>
      </c>
      <c r="I905" s="13" t="s">
        <v>3157</v>
      </c>
      <c r="J905" s="13" t="s">
        <v>3167</v>
      </c>
      <c r="K905" s="13" t="s">
        <v>3153</v>
      </c>
      <c r="L905" s="13" t="s">
        <v>3684</v>
      </c>
      <c r="M905" s="13" t="s">
        <v>3161</v>
      </c>
      <c r="N905" s="13" t="s">
        <v>3162</v>
      </c>
      <c r="O905" s="13" t="s">
        <v>3689</v>
      </c>
      <c r="P905" s="13">
        <v>1.0</v>
      </c>
      <c r="Q905" s="13" t="s">
        <v>3177</v>
      </c>
      <c r="R905" s="13" t="s">
        <v>3260</v>
      </c>
      <c r="S905" s="13" t="s">
        <v>33</v>
      </c>
      <c r="T905" s="13" t="s">
        <v>3167</v>
      </c>
      <c r="U905" s="13" t="s">
        <v>3195</v>
      </c>
      <c r="V905" s="13" t="s">
        <v>3195</v>
      </c>
      <c r="W905" s="13" t="s">
        <v>3167</v>
      </c>
      <c r="X905" s="13" t="s">
        <v>3284</v>
      </c>
      <c r="Y905" s="13" t="s">
        <v>3588</v>
      </c>
      <c r="Z905" s="13">
        <v>30.0</v>
      </c>
      <c r="AA905" s="13" t="b">
        <v>0</v>
      </c>
      <c r="AB905" s="48"/>
      <c r="AC905" s="49"/>
    </row>
    <row r="906" ht="14.25" customHeight="1">
      <c r="A906" s="13">
        <v>24016.0</v>
      </c>
      <c r="B906" s="13" t="str">
        <f t="shared" si="8"/>
        <v>Observational</v>
      </c>
      <c r="C906" s="13" t="s">
        <v>4856</v>
      </c>
      <c r="D906" s="1" t="s">
        <v>5383</v>
      </c>
      <c r="E906" s="2" t="s">
        <v>5384</v>
      </c>
      <c r="F906" s="13" t="s">
        <v>3159</v>
      </c>
      <c r="G906" s="13" t="s">
        <v>3210</v>
      </c>
      <c r="H906" s="13" t="s">
        <v>3195</v>
      </c>
      <c r="I906" s="13" t="s">
        <v>3222</v>
      </c>
      <c r="J906" s="13" t="s">
        <v>3182</v>
      </c>
      <c r="K906" s="13" t="s">
        <v>3153</v>
      </c>
      <c r="L906" s="13" t="s">
        <v>3169</v>
      </c>
      <c r="M906" s="13" t="s">
        <v>3161</v>
      </c>
      <c r="N906" s="13" t="s">
        <v>3162</v>
      </c>
      <c r="O906" s="13" t="s">
        <v>33</v>
      </c>
      <c r="P906" s="13">
        <v>1.0</v>
      </c>
      <c r="Q906" s="13" t="s">
        <v>3160</v>
      </c>
      <c r="R906" s="13" t="s">
        <v>3163</v>
      </c>
      <c r="S906" s="13" t="s">
        <v>33</v>
      </c>
      <c r="T906" s="13" t="s">
        <v>3167</v>
      </c>
      <c r="U906" s="13" t="s">
        <v>3195</v>
      </c>
      <c r="V906" s="13" t="s">
        <v>3195</v>
      </c>
      <c r="W906" s="13" t="s">
        <v>3167</v>
      </c>
      <c r="X906" s="13" t="s">
        <v>3170</v>
      </c>
      <c r="Y906" s="13" t="s">
        <v>3156</v>
      </c>
      <c r="Z906" s="13" t="s">
        <v>33</v>
      </c>
      <c r="AA906" s="13" t="b">
        <v>0</v>
      </c>
      <c r="AB906" s="48"/>
      <c r="AC906" s="49"/>
    </row>
    <row r="907" ht="14.25" customHeight="1">
      <c r="A907" s="13">
        <v>24112.0</v>
      </c>
      <c r="B907" s="13" t="str">
        <f t="shared" si="8"/>
        <v>Observational</v>
      </c>
      <c r="C907" s="13" t="s">
        <v>4856</v>
      </c>
      <c r="D907" s="1" t="s">
        <v>5383</v>
      </c>
      <c r="E907" s="2" t="s">
        <v>5384</v>
      </c>
      <c r="F907" s="13" t="s">
        <v>3201</v>
      </c>
      <c r="G907" s="13" t="s">
        <v>3159</v>
      </c>
      <c r="H907" s="13" t="s">
        <v>3242</v>
      </c>
      <c r="I907" s="13" t="s">
        <v>3222</v>
      </c>
      <c r="J907" s="13" t="s">
        <v>3182</v>
      </c>
      <c r="K907" s="13" t="s">
        <v>3153</v>
      </c>
      <c r="L907" s="13" t="s">
        <v>3169</v>
      </c>
      <c r="M907" s="13" t="s">
        <v>3161</v>
      </c>
      <c r="N907" s="13" t="s">
        <v>3162</v>
      </c>
      <c r="O907" s="13" t="s">
        <v>33</v>
      </c>
      <c r="P907" s="13">
        <v>1.0</v>
      </c>
      <c r="Q907" s="13" t="s">
        <v>3177</v>
      </c>
      <c r="R907" s="13" t="s">
        <v>3163</v>
      </c>
      <c r="S907" s="13" t="s">
        <v>33</v>
      </c>
      <c r="T907" s="13" t="s">
        <v>3167</v>
      </c>
      <c r="U907" s="13" t="s">
        <v>3197</v>
      </c>
      <c r="V907" s="13" t="s">
        <v>3197</v>
      </c>
      <c r="W907" s="13" t="s">
        <v>3377</v>
      </c>
      <c r="X907" s="13" t="s">
        <v>3192</v>
      </c>
      <c r="Y907" s="13" t="s">
        <v>3187</v>
      </c>
      <c r="Z907" s="13">
        <v>1.0</v>
      </c>
      <c r="AA907" s="13" t="b">
        <v>0</v>
      </c>
      <c r="AB907" s="48"/>
      <c r="AC907" s="49"/>
    </row>
    <row r="908" ht="14.25" customHeight="1">
      <c r="A908" s="13">
        <v>24175.0</v>
      </c>
      <c r="B908" s="13" t="str">
        <f t="shared" si="8"/>
        <v>Observational</v>
      </c>
      <c r="C908" s="13" t="s">
        <v>4852</v>
      </c>
      <c r="D908" s="1" t="s">
        <v>5383</v>
      </c>
      <c r="E908" s="2" t="s">
        <v>5384</v>
      </c>
      <c r="F908" s="13" t="s">
        <v>3201</v>
      </c>
      <c r="G908" s="13" t="s">
        <v>3159</v>
      </c>
      <c r="H908" s="13" t="s">
        <v>3166</v>
      </c>
      <c r="I908" s="13" t="s">
        <v>3203</v>
      </c>
      <c r="J908" s="13" t="s">
        <v>3204</v>
      </c>
      <c r="K908" s="13" t="s">
        <v>3153</v>
      </c>
      <c r="L908" s="13" t="s">
        <v>3154</v>
      </c>
      <c r="M908" s="13" t="s">
        <v>3161</v>
      </c>
      <c r="N908" s="13" t="s">
        <v>3162</v>
      </c>
      <c r="O908" s="13" t="s">
        <v>33</v>
      </c>
      <c r="P908" s="13">
        <v>1.0</v>
      </c>
      <c r="Q908" s="13" t="s">
        <v>3177</v>
      </c>
      <c r="R908" s="13" t="s">
        <v>3177</v>
      </c>
      <c r="S908" s="13" t="s">
        <v>33</v>
      </c>
      <c r="T908" s="13" t="s">
        <v>3324</v>
      </c>
      <c r="U908" s="13" t="s">
        <v>3164</v>
      </c>
      <c r="V908" s="13" t="s">
        <v>3164</v>
      </c>
      <c r="W908" s="13" t="s">
        <v>3167</v>
      </c>
      <c r="X908" s="13" t="s">
        <v>3170</v>
      </c>
      <c r="Y908" s="13" t="s">
        <v>3156</v>
      </c>
      <c r="Z908" s="13" t="s">
        <v>33</v>
      </c>
      <c r="AA908" s="13" t="b">
        <v>0</v>
      </c>
      <c r="AB908" s="48"/>
      <c r="AC908" s="49"/>
    </row>
    <row r="909" ht="14.25" customHeight="1">
      <c r="A909" s="13">
        <v>24197.0</v>
      </c>
      <c r="B909" s="13" t="str">
        <f t="shared" si="8"/>
        <v>Observational</v>
      </c>
      <c r="C909" s="13" t="s">
        <v>4852</v>
      </c>
      <c r="D909" s="1" t="s">
        <v>5383</v>
      </c>
      <c r="E909" s="2" t="s">
        <v>5384</v>
      </c>
      <c r="F909" s="13" t="s">
        <v>3159</v>
      </c>
      <c r="G909" s="13" t="s">
        <v>3335</v>
      </c>
      <c r="H909" s="13" t="s">
        <v>3195</v>
      </c>
      <c r="I909" s="13" t="s">
        <v>3188</v>
      </c>
      <c r="J909" s="13" t="s">
        <v>3189</v>
      </c>
      <c r="K909" s="13" t="s">
        <v>3153</v>
      </c>
      <c r="L909" s="13" t="s">
        <v>3154</v>
      </c>
      <c r="M909" s="13" t="s">
        <v>3161</v>
      </c>
      <c r="N909" s="13" t="s">
        <v>3162</v>
      </c>
      <c r="O909" s="13" t="s">
        <v>33</v>
      </c>
      <c r="P909" s="13">
        <v>1.0</v>
      </c>
      <c r="Q909" s="13" t="s">
        <v>3160</v>
      </c>
      <c r="R909" s="13" t="s">
        <v>3163</v>
      </c>
      <c r="S909" s="13" t="s">
        <v>33</v>
      </c>
      <c r="T909" s="13" t="s">
        <v>3167</v>
      </c>
      <c r="U909" s="13" t="s">
        <v>3195</v>
      </c>
      <c r="V909" s="13" t="s">
        <v>3195</v>
      </c>
      <c r="W909" s="13" t="s">
        <v>3167</v>
      </c>
      <c r="X909" s="13" t="s">
        <v>3170</v>
      </c>
      <c r="Y909" s="13" t="s">
        <v>33</v>
      </c>
      <c r="Z909" s="13" t="s">
        <v>33</v>
      </c>
      <c r="AA909" s="13" t="b">
        <v>0</v>
      </c>
      <c r="AB909" s="48"/>
      <c r="AC909" s="49"/>
    </row>
    <row r="910" ht="14.25" customHeight="1">
      <c r="A910" s="13">
        <v>24267.0</v>
      </c>
      <c r="B910" s="13" t="str">
        <f t="shared" si="8"/>
        <v>Observational</v>
      </c>
      <c r="C910" s="13" t="s">
        <v>4856</v>
      </c>
      <c r="D910" s="1" t="s">
        <v>5383</v>
      </c>
      <c r="E910" s="2" t="s">
        <v>5384</v>
      </c>
      <c r="F910" s="13" t="s">
        <v>3183</v>
      </c>
      <c r="G910" s="13" t="s">
        <v>3210</v>
      </c>
      <c r="H910" s="13" t="s">
        <v>3195</v>
      </c>
      <c r="I910" s="13" t="s">
        <v>3222</v>
      </c>
      <c r="J910" s="13" t="s">
        <v>3182</v>
      </c>
      <c r="K910" s="13" t="s">
        <v>3153</v>
      </c>
      <c r="L910" s="13" t="s">
        <v>3169</v>
      </c>
      <c r="M910" s="13" t="s">
        <v>3161</v>
      </c>
      <c r="N910" s="13" t="s">
        <v>3162</v>
      </c>
      <c r="O910" s="13" t="s">
        <v>3822</v>
      </c>
      <c r="P910" s="13">
        <v>1.0</v>
      </c>
      <c r="Q910" s="13" t="s">
        <v>3160</v>
      </c>
      <c r="R910" s="13" t="s">
        <v>3163</v>
      </c>
      <c r="S910" s="13" t="s">
        <v>33</v>
      </c>
      <c r="T910" s="13" t="s">
        <v>3167</v>
      </c>
      <c r="U910" s="13" t="s">
        <v>3195</v>
      </c>
      <c r="V910" s="13" t="s">
        <v>3195</v>
      </c>
      <c r="W910" s="13" t="s">
        <v>3167</v>
      </c>
      <c r="X910" s="13" t="s">
        <v>3192</v>
      </c>
      <c r="Y910" s="13" t="s">
        <v>3156</v>
      </c>
      <c r="Z910" s="13" t="s">
        <v>33</v>
      </c>
      <c r="AA910" s="13" t="b">
        <v>0</v>
      </c>
      <c r="AB910" s="48"/>
      <c r="AC910" s="49"/>
    </row>
    <row r="911" ht="14.25" customHeight="1">
      <c r="A911" s="13">
        <v>24321.0</v>
      </c>
      <c r="B911" s="13" t="str">
        <f t="shared" si="8"/>
        <v>Observational</v>
      </c>
      <c r="C911" s="13" t="s">
        <v>4852</v>
      </c>
      <c r="D911" s="1" t="s">
        <v>5383</v>
      </c>
      <c r="E911" s="2" t="s">
        <v>5384</v>
      </c>
      <c r="F911" s="13" t="s">
        <v>3159</v>
      </c>
      <c r="G911" s="13" t="s">
        <v>3335</v>
      </c>
      <c r="H911" s="13" t="s">
        <v>3195</v>
      </c>
      <c r="I911" s="13" t="s">
        <v>3171</v>
      </c>
      <c r="J911" s="13" t="s">
        <v>3454</v>
      </c>
      <c r="K911" s="13" t="s">
        <v>3153</v>
      </c>
      <c r="L911" s="13" t="s">
        <v>3154</v>
      </c>
      <c r="M911" s="13" t="s">
        <v>3161</v>
      </c>
      <c r="N911" s="13" t="s">
        <v>3162</v>
      </c>
      <c r="O911" s="13" t="s">
        <v>33</v>
      </c>
      <c r="P911" s="13">
        <v>1.0</v>
      </c>
      <c r="Q911" s="13" t="s">
        <v>3160</v>
      </c>
      <c r="R911" s="13" t="s">
        <v>3163</v>
      </c>
      <c r="S911" s="13" t="s">
        <v>33</v>
      </c>
      <c r="T911" s="13" t="s">
        <v>3167</v>
      </c>
      <c r="U911" s="13" t="s">
        <v>3195</v>
      </c>
      <c r="V911" s="13" t="s">
        <v>3195</v>
      </c>
      <c r="W911" s="13" t="s">
        <v>3167</v>
      </c>
      <c r="X911" s="13" t="s">
        <v>3155</v>
      </c>
      <c r="Y911" s="13" t="s">
        <v>3156</v>
      </c>
      <c r="Z911" s="13" t="s">
        <v>33</v>
      </c>
      <c r="AA911" s="13" t="b">
        <v>0</v>
      </c>
      <c r="AB911" s="48"/>
      <c r="AC911" s="49"/>
    </row>
    <row r="912" ht="14.25" customHeight="1">
      <c r="A912" s="13">
        <v>24372.0</v>
      </c>
      <c r="B912" s="13" t="str">
        <f t="shared" si="8"/>
        <v>Observational</v>
      </c>
      <c r="C912" s="13" t="s">
        <v>4856</v>
      </c>
      <c r="D912" s="1" t="s">
        <v>5383</v>
      </c>
      <c r="E912" s="2" t="s">
        <v>5384</v>
      </c>
      <c r="F912" s="13" t="s">
        <v>3201</v>
      </c>
      <c r="G912" s="13" t="s">
        <v>3159</v>
      </c>
      <c r="H912" s="13" t="s">
        <v>3242</v>
      </c>
      <c r="I912" s="13" t="s">
        <v>3203</v>
      </c>
      <c r="J912" s="13" t="s">
        <v>3204</v>
      </c>
      <c r="K912" s="13" t="s">
        <v>3153</v>
      </c>
      <c r="L912" s="13" t="s">
        <v>3169</v>
      </c>
      <c r="M912" s="13" t="s">
        <v>3161</v>
      </c>
      <c r="N912" s="13" t="s">
        <v>3162</v>
      </c>
      <c r="O912" s="13" t="s">
        <v>33</v>
      </c>
      <c r="P912" s="13">
        <v>1.0</v>
      </c>
      <c r="Q912" s="13" t="s">
        <v>3177</v>
      </c>
      <c r="R912" s="13" t="s">
        <v>3163</v>
      </c>
      <c r="S912" s="13" t="s">
        <v>33</v>
      </c>
      <c r="T912" s="13" t="s">
        <v>3167</v>
      </c>
      <c r="U912" s="13" t="s">
        <v>3247</v>
      </c>
      <c r="V912" s="13" t="s">
        <v>3247</v>
      </c>
      <c r="W912" s="13" t="s">
        <v>3294</v>
      </c>
      <c r="X912" s="13" t="s">
        <v>3170</v>
      </c>
      <c r="Y912" s="13" t="s">
        <v>3202</v>
      </c>
      <c r="Z912" s="13">
        <v>25.0</v>
      </c>
      <c r="AA912" s="13" t="b">
        <v>0</v>
      </c>
      <c r="AB912" s="48"/>
      <c r="AC912" s="49"/>
    </row>
    <row r="913" ht="14.25" customHeight="1">
      <c r="A913" s="13">
        <v>24375.0</v>
      </c>
      <c r="B913" s="13" t="str">
        <f t="shared" si="8"/>
        <v>Observational</v>
      </c>
      <c r="C913" s="13" t="s">
        <v>4856</v>
      </c>
      <c r="D913" s="1" t="s">
        <v>5383</v>
      </c>
      <c r="E913" s="2" t="s">
        <v>5384</v>
      </c>
      <c r="F913" s="13" t="s">
        <v>3208</v>
      </c>
      <c r="G913" s="13" t="s">
        <v>3208</v>
      </c>
      <c r="H913" s="13" t="s">
        <v>3242</v>
      </c>
      <c r="I913" s="13" t="s">
        <v>3222</v>
      </c>
      <c r="J913" s="13" t="s">
        <v>3182</v>
      </c>
      <c r="K913" s="13" t="s">
        <v>3153</v>
      </c>
      <c r="L913" s="13" t="s">
        <v>3169</v>
      </c>
      <c r="M913" s="13" t="s">
        <v>3161</v>
      </c>
      <c r="N913" s="13" t="s">
        <v>3162</v>
      </c>
      <c r="O913" s="13" t="s">
        <v>3167</v>
      </c>
      <c r="P913" s="13">
        <v>1.0</v>
      </c>
      <c r="Q913" s="13" t="s">
        <v>3160</v>
      </c>
      <c r="R913" s="13" t="s">
        <v>3231</v>
      </c>
      <c r="S913" s="13" t="s">
        <v>33</v>
      </c>
      <c r="T913" s="13" t="s">
        <v>3167</v>
      </c>
      <c r="U913" s="13" t="s">
        <v>3215</v>
      </c>
      <c r="V913" s="13" t="s">
        <v>3215</v>
      </c>
      <c r="W913" s="13" t="s">
        <v>3377</v>
      </c>
      <c r="X913" s="13" t="s">
        <v>3192</v>
      </c>
      <c r="Y913" s="13" t="s">
        <v>3202</v>
      </c>
      <c r="Z913" s="13">
        <v>5.0</v>
      </c>
      <c r="AA913" s="13" t="b">
        <v>0</v>
      </c>
      <c r="AB913" s="48"/>
      <c r="AC913" s="49"/>
    </row>
    <row r="914" ht="14.25" customHeight="1">
      <c r="A914" s="13">
        <v>24391.0</v>
      </c>
      <c r="B914" s="13" t="str">
        <f t="shared" si="8"/>
        <v>Observational</v>
      </c>
      <c r="C914" s="13" t="s">
        <v>4856</v>
      </c>
      <c r="D914" s="1" t="s">
        <v>5383</v>
      </c>
      <c r="E914" s="2" t="s">
        <v>5384</v>
      </c>
      <c r="F914" s="13" t="s">
        <v>3159</v>
      </c>
      <c r="G914" s="13" t="s">
        <v>3159</v>
      </c>
      <c r="H914" s="13" t="s">
        <v>3166</v>
      </c>
      <c r="I914" s="13" t="s">
        <v>3157</v>
      </c>
      <c r="J914" s="13" t="s">
        <v>3240</v>
      </c>
      <c r="K914" s="13" t="s">
        <v>3153</v>
      </c>
      <c r="L914" s="13" t="s">
        <v>3169</v>
      </c>
      <c r="M914" s="13" t="s">
        <v>3161</v>
      </c>
      <c r="N914" s="13" t="s">
        <v>3162</v>
      </c>
      <c r="O914" s="13" t="s">
        <v>33</v>
      </c>
      <c r="P914" s="13">
        <v>1.0</v>
      </c>
      <c r="Q914" s="13" t="s">
        <v>3177</v>
      </c>
      <c r="R914" s="13" t="s">
        <v>3177</v>
      </c>
      <c r="S914" s="13" t="s">
        <v>33</v>
      </c>
      <c r="T914" s="13" t="s">
        <v>3178</v>
      </c>
      <c r="U914" s="13" t="s">
        <v>3164</v>
      </c>
      <c r="V914" s="13" t="s">
        <v>3164</v>
      </c>
      <c r="W914" s="13" t="s">
        <v>3167</v>
      </c>
      <c r="X914" s="13" t="s">
        <v>3192</v>
      </c>
      <c r="Y914" s="13" t="s">
        <v>3202</v>
      </c>
      <c r="Z914" s="13">
        <v>500.0</v>
      </c>
      <c r="AA914" s="13" t="b">
        <v>0</v>
      </c>
      <c r="AB914" s="48"/>
      <c r="AC914" s="49"/>
    </row>
    <row r="915" ht="14.25" customHeight="1">
      <c r="A915" s="13">
        <v>24423.0</v>
      </c>
      <c r="B915" s="13" t="str">
        <f t="shared" si="8"/>
        <v>Observational</v>
      </c>
      <c r="C915" s="13" t="s">
        <v>4856</v>
      </c>
      <c r="D915" s="1" t="s">
        <v>5383</v>
      </c>
      <c r="E915" s="2" t="s">
        <v>5384</v>
      </c>
      <c r="F915" s="13" t="s">
        <v>3208</v>
      </c>
      <c r="G915" s="13" t="s">
        <v>3208</v>
      </c>
      <c r="H915" s="13" t="s">
        <v>3242</v>
      </c>
      <c r="I915" s="13" t="s">
        <v>3157</v>
      </c>
      <c r="J915" s="13" t="s">
        <v>3900</v>
      </c>
      <c r="K915" s="13" t="s">
        <v>3153</v>
      </c>
      <c r="L915" s="13" t="s">
        <v>3169</v>
      </c>
      <c r="M915" s="13" t="s">
        <v>3161</v>
      </c>
      <c r="N915" s="13" t="s">
        <v>3162</v>
      </c>
      <c r="O915" s="13" t="s">
        <v>33</v>
      </c>
      <c r="P915" s="13">
        <v>1.0</v>
      </c>
      <c r="Q915" s="13" t="s">
        <v>3160</v>
      </c>
      <c r="R915" s="13" t="s">
        <v>3163</v>
      </c>
      <c r="S915" s="13" t="s">
        <v>33</v>
      </c>
      <c r="T915" s="13" t="s">
        <v>3167</v>
      </c>
      <c r="U915" s="13" t="s">
        <v>3247</v>
      </c>
      <c r="V915" s="13" t="s">
        <v>3247</v>
      </c>
      <c r="W915" s="13" t="s">
        <v>3496</v>
      </c>
      <c r="X915" s="13" t="s">
        <v>3170</v>
      </c>
      <c r="Y915" s="13" t="s">
        <v>3202</v>
      </c>
      <c r="Z915" s="13">
        <v>1.0</v>
      </c>
      <c r="AA915" s="13" t="b">
        <v>0</v>
      </c>
      <c r="AB915" s="48"/>
      <c r="AC915" s="49"/>
    </row>
    <row r="916" ht="14.25" customHeight="1">
      <c r="A916" s="13">
        <v>24431.0</v>
      </c>
      <c r="B916" s="13" t="str">
        <f t="shared" si="8"/>
        <v>Observational</v>
      </c>
      <c r="C916" s="13" t="s">
        <v>4852</v>
      </c>
      <c r="D916" s="1" t="s">
        <v>5383</v>
      </c>
      <c r="E916" s="2" t="s">
        <v>5384</v>
      </c>
      <c r="F916" s="13" t="s">
        <v>3183</v>
      </c>
      <c r="G916" s="13" t="s">
        <v>3183</v>
      </c>
      <c r="H916" s="13" t="s">
        <v>3166</v>
      </c>
      <c r="I916" s="13" t="s">
        <v>3222</v>
      </c>
      <c r="J916" s="13" t="s">
        <v>3229</v>
      </c>
      <c r="K916" s="13" t="s">
        <v>3153</v>
      </c>
      <c r="L916" s="13" t="s">
        <v>3154</v>
      </c>
      <c r="M916" s="13" t="s">
        <v>3161</v>
      </c>
      <c r="N916" s="13" t="s">
        <v>3162</v>
      </c>
      <c r="O916" s="13" t="s">
        <v>3724</v>
      </c>
      <c r="P916" s="13">
        <v>1.0</v>
      </c>
      <c r="Q916" s="13" t="s">
        <v>3160</v>
      </c>
      <c r="R916" s="13" t="s">
        <v>3163</v>
      </c>
      <c r="S916" s="13" t="s">
        <v>3724</v>
      </c>
      <c r="T916" s="13" t="s">
        <v>3255</v>
      </c>
      <c r="U916" s="13" t="s">
        <v>3164</v>
      </c>
      <c r="V916" s="13" t="s">
        <v>3164</v>
      </c>
      <c r="W916" s="13" t="s">
        <v>3167</v>
      </c>
      <c r="X916" s="13" t="s">
        <v>3170</v>
      </c>
      <c r="Y916" s="13" t="s">
        <v>3156</v>
      </c>
      <c r="Z916" s="13" t="s">
        <v>33</v>
      </c>
      <c r="AA916" s="13" t="b">
        <v>0</v>
      </c>
      <c r="AB916" s="48"/>
      <c r="AC916" s="49"/>
    </row>
    <row r="917" ht="14.25" customHeight="1">
      <c r="A917" s="13">
        <v>24436.0</v>
      </c>
      <c r="B917" s="13" t="str">
        <f t="shared" si="8"/>
        <v>Observational</v>
      </c>
      <c r="C917" s="13" t="s">
        <v>4856</v>
      </c>
      <c r="D917" s="1" t="s">
        <v>5383</v>
      </c>
      <c r="E917" s="2" t="s">
        <v>5384</v>
      </c>
      <c r="F917" s="13" t="s">
        <v>3906</v>
      </c>
      <c r="G917" s="13" t="s">
        <v>3159</v>
      </c>
      <c r="H917" s="13" t="s">
        <v>3166</v>
      </c>
      <c r="I917" s="13" t="s">
        <v>3222</v>
      </c>
      <c r="J917" s="13" t="s">
        <v>3182</v>
      </c>
      <c r="K917" s="13" t="s">
        <v>3153</v>
      </c>
      <c r="L917" s="13" t="s">
        <v>3169</v>
      </c>
      <c r="M917" s="13" t="s">
        <v>3161</v>
      </c>
      <c r="N917" s="13" t="s">
        <v>3162</v>
      </c>
      <c r="O917" s="13" t="s">
        <v>3907</v>
      </c>
      <c r="P917" s="13">
        <v>1.0</v>
      </c>
      <c r="Q917" s="13" t="s">
        <v>3160</v>
      </c>
      <c r="R917" s="13" t="s">
        <v>3163</v>
      </c>
      <c r="S917" s="13" t="s">
        <v>33</v>
      </c>
      <c r="T917" s="13" t="s">
        <v>3168</v>
      </c>
      <c r="U917" s="13" t="s">
        <v>3197</v>
      </c>
      <c r="V917" s="13" t="s">
        <v>3197</v>
      </c>
      <c r="W917" s="13" t="s">
        <v>3167</v>
      </c>
      <c r="X917" s="13" t="s">
        <v>3192</v>
      </c>
      <c r="Y917" s="13" t="s">
        <v>3156</v>
      </c>
      <c r="Z917" s="13" t="s">
        <v>33</v>
      </c>
      <c r="AA917" s="13" t="b">
        <v>0</v>
      </c>
      <c r="AB917" s="48"/>
      <c r="AC917" s="49"/>
    </row>
    <row r="918" ht="14.25" customHeight="1">
      <c r="A918" s="13">
        <v>24516.0</v>
      </c>
      <c r="B918" s="13" t="str">
        <f t="shared" si="8"/>
        <v>Observational</v>
      </c>
      <c r="C918" s="13" t="s">
        <v>4852</v>
      </c>
      <c r="D918" s="1" t="s">
        <v>5383</v>
      </c>
      <c r="E918" s="2" t="s">
        <v>5384</v>
      </c>
      <c r="F918" s="13" t="s">
        <v>3173</v>
      </c>
      <c r="G918" s="13" t="s">
        <v>3173</v>
      </c>
      <c r="H918" s="13" t="s">
        <v>3166</v>
      </c>
      <c r="I918" s="13" t="s">
        <v>3167</v>
      </c>
      <c r="J918" s="13" t="s">
        <v>3167</v>
      </c>
      <c r="K918" s="13" t="s">
        <v>3153</v>
      </c>
      <c r="L918" s="13" t="s">
        <v>3154</v>
      </c>
      <c r="M918" s="13" t="s">
        <v>3161</v>
      </c>
      <c r="N918" s="13" t="s">
        <v>3162</v>
      </c>
      <c r="O918" s="13" t="s">
        <v>33</v>
      </c>
      <c r="P918" s="13">
        <v>1.0</v>
      </c>
      <c r="Q918" s="13" t="s">
        <v>3177</v>
      </c>
      <c r="R918" s="13" t="s">
        <v>3177</v>
      </c>
      <c r="S918" s="13" t="s">
        <v>33</v>
      </c>
      <c r="T918" s="13" t="s">
        <v>3255</v>
      </c>
      <c r="U918" s="13" t="s">
        <v>3197</v>
      </c>
      <c r="V918" s="13" t="s">
        <v>3197</v>
      </c>
      <c r="W918" s="13" t="s">
        <v>3167</v>
      </c>
      <c r="X918" s="13" t="s">
        <v>3217</v>
      </c>
      <c r="Y918" s="13" t="s">
        <v>3180</v>
      </c>
      <c r="Z918" s="13">
        <v>0.5</v>
      </c>
      <c r="AA918" s="13" t="b">
        <v>0</v>
      </c>
      <c r="AB918" s="48"/>
      <c r="AC918" s="49"/>
    </row>
    <row r="919" ht="14.25" customHeight="1">
      <c r="A919" s="13">
        <v>24536.0</v>
      </c>
      <c r="B919" s="13" t="str">
        <f t="shared" si="8"/>
        <v>Observational</v>
      </c>
      <c r="C919" s="13" t="s">
        <v>4856</v>
      </c>
      <c r="D919" s="1" t="s">
        <v>5383</v>
      </c>
      <c r="E919" s="2" t="s">
        <v>5384</v>
      </c>
      <c r="F919" s="13" t="s">
        <v>3183</v>
      </c>
      <c r="G919" s="13" t="s">
        <v>3335</v>
      </c>
      <c r="H919" s="13" t="s">
        <v>3195</v>
      </c>
      <c r="I919" s="13" t="s">
        <v>3167</v>
      </c>
      <c r="J919" s="13" t="s">
        <v>3167</v>
      </c>
      <c r="K919" s="13" t="s">
        <v>3153</v>
      </c>
      <c r="L919" s="13" t="s">
        <v>3169</v>
      </c>
      <c r="M919" s="13" t="s">
        <v>3161</v>
      </c>
      <c r="N919" s="13" t="s">
        <v>3162</v>
      </c>
      <c r="O919" s="13" t="s">
        <v>3949</v>
      </c>
      <c r="P919" s="13">
        <v>1.0</v>
      </c>
      <c r="Q919" s="13" t="s">
        <v>3177</v>
      </c>
      <c r="R919" s="13" t="s">
        <v>3231</v>
      </c>
      <c r="S919" s="13" t="s">
        <v>3323</v>
      </c>
      <c r="T919" s="13" t="s">
        <v>3167</v>
      </c>
      <c r="U919" s="13" t="s">
        <v>3195</v>
      </c>
      <c r="V919" s="13" t="s">
        <v>3195</v>
      </c>
      <c r="W919" s="13" t="s">
        <v>3167</v>
      </c>
      <c r="X919" s="13" t="s">
        <v>3217</v>
      </c>
      <c r="Y919" s="13" t="s">
        <v>3520</v>
      </c>
      <c r="Z919" s="13">
        <v>10.0</v>
      </c>
      <c r="AA919" s="13" t="b">
        <v>0</v>
      </c>
      <c r="AB919" s="48"/>
      <c r="AC919" s="49"/>
    </row>
    <row r="920" ht="14.25" customHeight="1">
      <c r="A920" s="13">
        <v>24540.0</v>
      </c>
      <c r="B920" s="13" t="str">
        <f t="shared" si="8"/>
        <v>Observational</v>
      </c>
      <c r="C920" s="13" t="s">
        <v>4856</v>
      </c>
      <c r="D920" s="1" t="s">
        <v>5383</v>
      </c>
      <c r="E920" s="2" t="s">
        <v>5384</v>
      </c>
      <c r="F920" s="13" t="s">
        <v>3159</v>
      </c>
      <c r="G920" s="13" t="s">
        <v>3159</v>
      </c>
      <c r="H920" s="13" t="s">
        <v>3166</v>
      </c>
      <c r="I920" s="13" t="s">
        <v>3222</v>
      </c>
      <c r="J920" s="13" t="s">
        <v>3182</v>
      </c>
      <c r="K920" s="13" t="s">
        <v>3153</v>
      </c>
      <c r="L920" s="13" t="s">
        <v>3169</v>
      </c>
      <c r="M920" s="13" t="s">
        <v>3161</v>
      </c>
      <c r="N920" s="13" t="s">
        <v>3162</v>
      </c>
      <c r="O920" s="13" t="s">
        <v>33</v>
      </c>
      <c r="P920" s="13">
        <v>1.0</v>
      </c>
      <c r="Q920" s="13" t="s">
        <v>3160</v>
      </c>
      <c r="R920" s="13" t="s">
        <v>3163</v>
      </c>
      <c r="S920" s="13" t="s">
        <v>33</v>
      </c>
      <c r="T920" s="13" t="s">
        <v>3168</v>
      </c>
      <c r="U920" s="13" t="s">
        <v>3164</v>
      </c>
      <c r="V920" s="13" t="s">
        <v>3164</v>
      </c>
      <c r="W920" s="13" t="s">
        <v>3167</v>
      </c>
      <c r="X920" s="13" t="s">
        <v>3170</v>
      </c>
      <c r="Y920" s="13" t="s">
        <v>3156</v>
      </c>
      <c r="Z920" s="13" t="s">
        <v>33</v>
      </c>
      <c r="AA920" s="13" t="b">
        <v>0</v>
      </c>
      <c r="AB920" s="48"/>
      <c r="AC920" s="49"/>
    </row>
    <row r="921" ht="14.25" customHeight="1">
      <c r="A921" s="13">
        <v>24553.0</v>
      </c>
      <c r="B921" s="13" t="str">
        <f t="shared" si="8"/>
        <v>Observational</v>
      </c>
      <c r="C921" s="13" t="s">
        <v>4856</v>
      </c>
      <c r="D921" s="1" t="s">
        <v>5383</v>
      </c>
      <c r="E921" s="2" t="s">
        <v>5384</v>
      </c>
      <c r="F921" s="13" t="s">
        <v>3159</v>
      </c>
      <c r="G921" s="13" t="s">
        <v>3335</v>
      </c>
      <c r="H921" s="13" t="s">
        <v>3195</v>
      </c>
      <c r="I921" s="13" t="s">
        <v>3171</v>
      </c>
      <c r="J921" s="13" t="s">
        <v>3454</v>
      </c>
      <c r="K921" s="13" t="s">
        <v>3153</v>
      </c>
      <c r="L921" s="13" t="s">
        <v>3169</v>
      </c>
      <c r="M921" s="13" t="s">
        <v>3161</v>
      </c>
      <c r="N921" s="13" t="s">
        <v>3162</v>
      </c>
      <c r="O921" s="13" t="s">
        <v>3167</v>
      </c>
      <c r="P921" s="13">
        <v>1.0</v>
      </c>
      <c r="Q921" s="13" t="s">
        <v>3160</v>
      </c>
      <c r="R921" s="13" t="s">
        <v>3231</v>
      </c>
      <c r="S921" s="13" t="s">
        <v>33</v>
      </c>
      <c r="T921" s="13" t="s">
        <v>3167</v>
      </c>
      <c r="U921" s="13" t="s">
        <v>3195</v>
      </c>
      <c r="V921" s="13" t="s">
        <v>3195</v>
      </c>
      <c r="W921" s="13" t="s">
        <v>3167</v>
      </c>
      <c r="X921" s="13" t="s">
        <v>3170</v>
      </c>
      <c r="Y921" s="13" t="s">
        <v>3156</v>
      </c>
      <c r="Z921" s="13" t="s">
        <v>3167</v>
      </c>
      <c r="AA921" s="13" t="b">
        <v>0</v>
      </c>
      <c r="AB921" s="47"/>
      <c r="AC921" s="49"/>
    </row>
    <row r="922" ht="14.25" customHeight="1">
      <c r="A922" s="13">
        <v>24597.0</v>
      </c>
      <c r="B922" s="13" t="str">
        <f t="shared" si="8"/>
        <v>Observational</v>
      </c>
      <c r="C922" s="13" t="s">
        <v>4856</v>
      </c>
      <c r="D922" s="1" t="s">
        <v>5383</v>
      </c>
      <c r="E922" s="2" t="s">
        <v>5384</v>
      </c>
      <c r="F922" s="13" t="s">
        <v>3183</v>
      </c>
      <c r="G922" s="13" t="s">
        <v>3159</v>
      </c>
      <c r="H922" s="13" t="s">
        <v>3242</v>
      </c>
      <c r="I922" s="13" t="s">
        <v>3222</v>
      </c>
      <c r="J922" s="13" t="s">
        <v>3182</v>
      </c>
      <c r="K922" s="13" t="s">
        <v>3153</v>
      </c>
      <c r="L922" s="13" t="s">
        <v>3169</v>
      </c>
      <c r="M922" s="13" t="s">
        <v>3161</v>
      </c>
      <c r="N922" s="13" t="s">
        <v>3162</v>
      </c>
      <c r="O922" s="13" t="s">
        <v>3970</v>
      </c>
      <c r="P922" s="13">
        <v>1.0</v>
      </c>
      <c r="Q922" s="13" t="s">
        <v>3160</v>
      </c>
      <c r="R922" s="13" t="s">
        <v>3163</v>
      </c>
      <c r="S922" s="13" t="s">
        <v>3970</v>
      </c>
      <c r="T922" s="13" t="s">
        <v>3167</v>
      </c>
      <c r="U922" s="13" t="s">
        <v>3164</v>
      </c>
      <c r="V922" s="13" t="s">
        <v>3164</v>
      </c>
      <c r="W922" s="13" t="s">
        <v>3377</v>
      </c>
      <c r="X922" s="13" t="s">
        <v>3192</v>
      </c>
      <c r="Y922" s="13" t="s">
        <v>3156</v>
      </c>
      <c r="Z922" s="13" t="s">
        <v>33</v>
      </c>
      <c r="AA922" s="13" t="b">
        <v>0</v>
      </c>
      <c r="AB922" s="48"/>
      <c r="AC922" s="49"/>
    </row>
    <row r="923" ht="14.25" customHeight="1">
      <c r="A923" s="13">
        <v>24622.0</v>
      </c>
      <c r="B923" s="13" t="str">
        <f t="shared" si="8"/>
        <v>Observational</v>
      </c>
      <c r="C923" s="13" t="s">
        <v>4852</v>
      </c>
      <c r="D923" s="1" t="s">
        <v>5383</v>
      </c>
      <c r="E923" s="2" t="s">
        <v>5384</v>
      </c>
      <c r="F923" s="13" t="s">
        <v>3338</v>
      </c>
      <c r="G923" s="13" t="s">
        <v>3361</v>
      </c>
      <c r="H923" s="13" t="s">
        <v>3242</v>
      </c>
      <c r="I923" s="13" t="s">
        <v>3244</v>
      </c>
      <c r="J923" s="13" t="s">
        <v>3167</v>
      </c>
      <c r="K923" s="13" t="s">
        <v>3153</v>
      </c>
      <c r="L923" s="13" t="s">
        <v>3154</v>
      </c>
      <c r="M923" s="13" t="s">
        <v>3161</v>
      </c>
      <c r="N923" s="13" t="s">
        <v>3162</v>
      </c>
      <c r="O923" s="13" t="s">
        <v>3976</v>
      </c>
      <c r="P923" s="13">
        <v>1.0</v>
      </c>
      <c r="Q923" s="13" t="s">
        <v>3177</v>
      </c>
      <c r="R923" s="13" t="s">
        <v>3260</v>
      </c>
      <c r="S923" s="13" t="s">
        <v>3976</v>
      </c>
      <c r="T923" s="13" t="s">
        <v>3167</v>
      </c>
      <c r="U923" s="13" t="s">
        <v>3197</v>
      </c>
      <c r="V923" s="13" t="s">
        <v>3197</v>
      </c>
      <c r="W923" s="13" t="s">
        <v>3294</v>
      </c>
      <c r="X923" s="13" t="s">
        <v>3284</v>
      </c>
      <c r="Y923" s="13" t="s">
        <v>3156</v>
      </c>
      <c r="Z923" s="13" t="s">
        <v>3167</v>
      </c>
      <c r="AA923" s="13" t="b">
        <v>0</v>
      </c>
      <c r="AB923" s="48"/>
      <c r="AC923" s="49"/>
    </row>
    <row r="924" ht="14.25" customHeight="1">
      <c r="A924" s="13">
        <v>24627.0</v>
      </c>
      <c r="B924" s="13" t="str">
        <f t="shared" si="8"/>
        <v>Observational</v>
      </c>
      <c r="C924" s="13" t="s">
        <v>5083</v>
      </c>
      <c r="D924" s="1" t="s">
        <v>5383</v>
      </c>
      <c r="E924" s="2" t="s">
        <v>5384</v>
      </c>
      <c r="F924" s="13" t="s">
        <v>3545</v>
      </c>
      <c r="G924" s="13" t="s">
        <v>3183</v>
      </c>
      <c r="H924" s="13" t="s">
        <v>3166</v>
      </c>
      <c r="I924" s="13" t="s">
        <v>3222</v>
      </c>
      <c r="J924" s="13" t="s">
        <v>3182</v>
      </c>
      <c r="K924" s="13" t="s">
        <v>3153</v>
      </c>
      <c r="L924" s="13" t="s">
        <v>3517</v>
      </c>
      <c r="M924" s="13" t="s">
        <v>3161</v>
      </c>
      <c r="N924" s="13" t="s">
        <v>3162</v>
      </c>
      <c r="O924" s="13" t="s">
        <v>3976</v>
      </c>
      <c r="P924" s="13">
        <v>1.0</v>
      </c>
      <c r="Q924" s="13" t="s">
        <v>3160</v>
      </c>
      <c r="R924" s="13" t="s">
        <v>3163</v>
      </c>
      <c r="S924" s="13" t="s">
        <v>3976</v>
      </c>
      <c r="T924" s="13" t="s">
        <v>3225</v>
      </c>
      <c r="U924" s="13" t="s">
        <v>3228</v>
      </c>
      <c r="V924" s="13" t="s">
        <v>3228</v>
      </c>
      <c r="W924" s="13" t="s">
        <v>3167</v>
      </c>
      <c r="X924" s="13" t="s">
        <v>3192</v>
      </c>
      <c r="Y924" s="13" t="s">
        <v>3156</v>
      </c>
      <c r="Z924" s="13" t="s">
        <v>33</v>
      </c>
      <c r="AA924" s="13" t="b">
        <v>0</v>
      </c>
      <c r="AB924" s="48"/>
      <c r="AC924" s="49"/>
    </row>
    <row r="925" ht="14.25" customHeight="1">
      <c r="A925" s="13">
        <v>24655.0</v>
      </c>
      <c r="B925" s="13" t="str">
        <f t="shared" si="8"/>
        <v>Observational</v>
      </c>
      <c r="C925" s="13" t="s">
        <v>4852</v>
      </c>
      <c r="D925" s="1" t="s">
        <v>5383</v>
      </c>
      <c r="E925" s="2" t="s">
        <v>5384</v>
      </c>
      <c r="F925" s="13" t="s">
        <v>3338</v>
      </c>
      <c r="G925" s="13" t="s">
        <v>3186</v>
      </c>
      <c r="H925" s="13" t="s">
        <v>3253</v>
      </c>
      <c r="I925" s="13" t="s">
        <v>3157</v>
      </c>
      <c r="J925" s="13" t="s">
        <v>3167</v>
      </c>
      <c r="K925" s="13" t="s">
        <v>3153</v>
      </c>
      <c r="L925" s="13" t="s">
        <v>3154</v>
      </c>
      <c r="M925" s="13" t="s">
        <v>3161</v>
      </c>
      <c r="N925" s="13" t="s">
        <v>3162</v>
      </c>
      <c r="O925" s="13" t="s">
        <v>3983</v>
      </c>
      <c r="P925" s="13">
        <v>1.0</v>
      </c>
      <c r="Q925" s="13" t="s">
        <v>3160</v>
      </c>
      <c r="R925" s="13" t="s">
        <v>3163</v>
      </c>
      <c r="S925" s="13" t="s">
        <v>33</v>
      </c>
      <c r="T925" s="13" t="s">
        <v>3632</v>
      </c>
      <c r="U925" s="13" t="s">
        <v>3252</v>
      </c>
      <c r="V925" s="13" t="s">
        <v>3252</v>
      </c>
      <c r="W925" s="13" t="s">
        <v>3634</v>
      </c>
      <c r="X925" s="13" t="s">
        <v>3284</v>
      </c>
      <c r="Y925" s="13" t="s">
        <v>3187</v>
      </c>
      <c r="Z925" s="13">
        <v>100.0</v>
      </c>
      <c r="AA925" s="13" t="b">
        <v>0</v>
      </c>
      <c r="AB925" s="48"/>
      <c r="AC925" s="49"/>
    </row>
    <row r="926" ht="14.25" customHeight="1">
      <c r="A926" s="13">
        <v>24682.0</v>
      </c>
      <c r="B926" s="13" t="str">
        <f t="shared" si="8"/>
        <v>Observational</v>
      </c>
      <c r="C926" s="13" t="s">
        <v>4852</v>
      </c>
      <c r="D926" s="1" t="s">
        <v>5383</v>
      </c>
      <c r="E926" s="2" t="s">
        <v>5384</v>
      </c>
      <c r="F926" s="13" t="s">
        <v>3159</v>
      </c>
      <c r="G926" s="13" t="s">
        <v>3159</v>
      </c>
      <c r="H926" s="13" t="s">
        <v>3166</v>
      </c>
      <c r="I926" s="13" t="s">
        <v>3157</v>
      </c>
      <c r="J926" s="13" t="s">
        <v>3307</v>
      </c>
      <c r="K926" s="13" t="s">
        <v>3153</v>
      </c>
      <c r="L926" s="13" t="s">
        <v>3154</v>
      </c>
      <c r="M926" s="13" t="s">
        <v>3161</v>
      </c>
      <c r="N926" s="13" t="s">
        <v>3162</v>
      </c>
      <c r="O926" s="13" t="s">
        <v>33</v>
      </c>
      <c r="P926" s="13">
        <v>1.0</v>
      </c>
      <c r="Q926" s="13" t="s">
        <v>3160</v>
      </c>
      <c r="R926" s="13" t="s">
        <v>3163</v>
      </c>
      <c r="S926" s="13" t="s">
        <v>33</v>
      </c>
      <c r="T926" s="13" t="s">
        <v>3168</v>
      </c>
      <c r="U926" s="13" t="s">
        <v>3164</v>
      </c>
      <c r="V926" s="13" t="s">
        <v>3164</v>
      </c>
      <c r="W926" s="13" t="s">
        <v>3167</v>
      </c>
      <c r="X926" s="13" t="s">
        <v>3170</v>
      </c>
      <c r="Y926" s="13" t="s">
        <v>3156</v>
      </c>
      <c r="Z926" s="13" t="s">
        <v>33</v>
      </c>
      <c r="AA926" s="13" t="b">
        <v>0</v>
      </c>
      <c r="AB926" s="47"/>
      <c r="AC926" s="49"/>
    </row>
    <row r="927" ht="14.25" customHeight="1">
      <c r="A927" s="13">
        <v>24716.0</v>
      </c>
      <c r="B927" s="13" t="str">
        <f t="shared" si="8"/>
        <v>Observational</v>
      </c>
      <c r="C927" s="13" t="s">
        <v>4852</v>
      </c>
      <c r="D927" s="1" t="s">
        <v>5383</v>
      </c>
      <c r="E927" s="2" t="s">
        <v>5384</v>
      </c>
      <c r="F927" s="13" t="s">
        <v>3159</v>
      </c>
      <c r="G927" s="13" t="s">
        <v>3159</v>
      </c>
      <c r="H927" s="13" t="s">
        <v>3166</v>
      </c>
      <c r="I927" s="13" t="s">
        <v>3222</v>
      </c>
      <c r="J927" s="13" t="s">
        <v>3182</v>
      </c>
      <c r="K927" s="13" t="s">
        <v>3153</v>
      </c>
      <c r="L927" s="13" t="s">
        <v>3154</v>
      </c>
      <c r="M927" s="13" t="s">
        <v>3161</v>
      </c>
      <c r="N927" s="13" t="s">
        <v>3162</v>
      </c>
      <c r="O927" s="13" t="s">
        <v>33</v>
      </c>
      <c r="P927" s="13">
        <v>1.0</v>
      </c>
      <c r="Q927" s="13" t="s">
        <v>3177</v>
      </c>
      <c r="R927" s="13" t="s">
        <v>3177</v>
      </c>
      <c r="S927" s="13" t="s">
        <v>33</v>
      </c>
      <c r="T927" s="13" t="s">
        <v>3168</v>
      </c>
      <c r="U927" s="13" t="s">
        <v>3164</v>
      </c>
      <c r="V927" s="13" t="s">
        <v>3164</v>
      </c>
      <c r="W927" s="13" t="s">
        <v>3167</v>
      </c>
      <c r="X927" s="13" t="s">
        <v>3170</v>
      </c>
      <c r="Y927" s="13" t="s">
        <v>3156</v>
      </c>
      <c r="Z927" s="13" t="s">
        <v>33</v>
      </c>
      <c r="AA927" s="13" t="b">
        <v>0</v>
      </c>
      <c r="AB927" s="48"/>
      <c r="AC927" s="49"/>
    </row>
    <row r="928" ht="14.25" customHeight="1">
      <c r="A928" s="13">
        <v>24718.0</v>
      </c>
      <c r="B928" s="13" t="str">
        <f t="shared" si="8"/>
        <v>Observational</v>
      </c>
      <c r="C928" s="13" t="s">
        <v>4856</v>
      </c>
      <c r="D928" s="1" t="s">
        <v>5383</v>
      </c>
      <c r="E928" s="2" t="s">
        <v>5384</v>
      </c>
      <c r="F928" s="13" t="s">
        <v>3183</v>
      </c>
      <c r="G928" s="13" t="s">
        <v>3335</v>
      </c>
      <c r="H928" s="13" t="s">
        <v>3195</v>
      </c>
      <c r="I928" s="13" t="s">
        <v>3167</v>
      </c>
      <c r="J928" s="13" t="s">
        <v>3167</v>
      </c>
      <c r="K928" s="13" t="s">
        <v>3153</v>
      </c>
      <c r="L928" s="13" t="s">
        <v>3169</v>
      </c>
      <c r="M928" s="13" t="s">
        <v>3161</v>
      </c>
      <c r="N928" s="13" t="s">
        <v>3162</v>
      </c>
      <c r="O928" s="13" t="s">
        <v>4009</v>
      </c>
      <c r="P928" s="13">
        <v>1.0</v>
      </c>
      <c r="Q928" s="13" t="s">
        <v>3160</v>
      </c>
      <c r="R928" s="13" t="s">
        <v>3163</v>
      </c>
      <c r="S928" s="13" t="s">
        <v>3323</v>
      </c>
      <c r="T928" s="13" t="s">
        <v>3167</v>
      </c>
      <c r="U928" s="13" t="s">
        <v>3195</v>
      </c>
      <c r="V928" s="13" t="s">
        <v>3195</v>
      </c>
      <c r="W928" s="13" t="s">
        <v>3167</v>
      </c>
      <c r="X928" s="13" t="s">
        <v>3217</v>
      </c>
      <c r="Y928" s="13" t="s">
        <v>3156</v>
      </c>
      <c r="Z928" s="13" t="s">
        <v>33</v>
      </c>
      <c r="AA928" s="13" t="b">
        <v>0</v>
      </c>
      <c r="AB928" s="48"/>
      <c r="AC928" s="49"/>
    </row>
    <row r="929" ht="14.25" customHeight="1">
      <c r="A929" s="13">
        <v>24843.0</v>
      </c>
      <c r="B929" s="13" t="str">
        <f t="shared" si="8"/>
        <v>Observational</v>
      </c>
      <c r="C929" s="13" t="s">
        <v>4852</v>
      </c>
      <c r="D929" s="1" t="s">
        <v>5383</v>
      </c>
      <c r="E929" s="2" t="s">
        <v>5384</v>
      </c>
      <c r="F929" s="13" t="s">
        <v>3159</v>
      </c>
      <c r="G929" s="13" t="s">
        <v>3159</v>
      </c>
      <c r="H929" s="13" t="s">
        <v>3166</v>
      </c>
      <c r="I929" s="13" t="s">
        <v>3222</v>
      </c>
      <c r="J929" s="13" t="s">
        <v>3182</v>
      </c>
      <c r="K929" s="13" t="s">
        <v>3153</v>
      </c>
      <c r="L929" s="13" t="s">
        <v>3154</v>
      </c>
      <c r="M929" s="13" t="s">
        <v>3161</v>
      </c>
      <c r="N929" s="13" t="s">
        <v>3162</v>
      </c>
      <c r="O929" s="13" t="s">
        <v>33</v>
      </c>
      <c r="P929" s="13">
        <v>1.0</v>
      </c>
      <c r="Q929" s="13" t="s">
        <v>3160</v>
      </c>
      <c r="R929" s="13" t="s">
        <v>3163</v>
      </c>
      <c r="S929" s="13" t="s">
        <v>33</v>
      </c>
      <c r="T929" s="13" t="s">
        <v>3168</v>
      </c>
      <c r="U929" s="13" t="s">
        <v>3164</v>
      </c>
      <c r="V929" s="13" t="s">
        <v>3164</v>
      </c>
      <c r="W929" s="13" t="s">
        <v>3167</v>
      </c>
      <c r="X929" s="13" t="s">
        <v>3170</v>
      </c>
      <c r="Y929" s="13" t="s">
        <v>3156</v>
      </c>
      <c r="Z929" s="13" t="s">
        <v>33</v>
      </c>
      <c r="AA929" s="13" t="b">
        <v>0</v>
      </c>
      <c r="AB929" s="48"/>
      <c r="AC929" s="49"/>
    </row>
    <row r="930" ht="14.25" customHeight="1">
      <c r="A930" s="13">
        <v>24853.0</v>
      </c>
      <c r="B930" s="13" t="str">
        <f t="shared" si="8"/>
        <v>Observational</v>
      </c>
      <c r="C930" s="13" t="s">
        <v>4852</v>
      </c>
      <c r="D930" s="1" t="s">
        <v>5383</v>
      </c>
      <c r="E930" s="2" t="s">
        <v>5384</v>
      </c>
      <c r="F930" s="13" t="s">
        <v>3173</v>
      </c>
      <c r="G930" s="13" t="s">
        <v>3183</v>
      </c>
      <c r="H930" s="13" t="s">
        <v>3166</v>
      </c>
      <c r="I930" s="13" t="s">
        <v>3222</v>
      </c>
      <c r="J930" s="13" t="s">
        <v>3182</v>
      </c>
      <c r="K930" s="13" t="s">
        <v>3153</v>
      </c>
      <c r="L930" s="13" t="s">
        <v>3154</v>
      </c>
      <c r="M930" s="13" t="s">
        <v>3161</v>
      </c>
      <c r="N930" s="13" t="s">
        <v>3162</v>
      </c>
      <c r="O930" s="13" t="s">
        <v>4054</v>
      </c>
      <c r="P930" s="13">
        <v>1.0</v>
      </c>
      <c r="Q930" s="13" t="s">
        <v>3177</v>
      </c>
      <c r="R930" s="13" t="s">
        <v>3177</v>
      </c>
      <c r="S930" s="13" t="s">
        <v>4054</v>
      </c>
      <c r="T930" s="13" t="s">
        <v>4055</v>
      </c>
      <c r="U930" s="13" t="s">
        <v>3232</v>
      </c>
      <c r="V930" s="13" t="s">
        <v>3247</v>
      </c>
      <c r="W930" s="13" t="s">
        <v>3167</v>
      </c>
      <c r="X930" s="13" t="s">
        <v>3192</v>
      </c>
      <c r="Y930" s="13" t="s">
        <v>3156</v>
      </c>
      <c r="Z930" s="13" t="s">
        <v>33</v>
      </c>
      <c r="AA930" s="13" t="b">
        <v>0</v>
      </c>
      <c r="AB930" s="48"/>
      <c r="AC930" s="49"/>
    </row>
    <row r="931" ht="14.25" customHeight="1">
      <c r="A931" s="13">
        <v>24858.0</v>
      </c>
      <c r="B931" s="13" t="str">
        <f t="shared" si="8"/>
        <v>Observational</v>
      </c>
      <c r="C931" s="13" t="s">
        <v>4856</v>
      </c>
      <c r="D931" s="1" t="s">
        <v>5383</v>
      </c>
      <c r="E931" s="2" t="s">
        <v>5384</v>
      </c>
      <c r="F931" s="13" t="s">
        <v>3186</v>
      </c>
      <c r="G931" s="13" t="s">
        <v>3183</v>
      </c>
      <c r="H931" s="13" t="s">
        <v>3166</v>
      </c>
      <c r="I931" s="13" t="s">
        <v>3244</v>
      </c>
      <c r="J931" s="13" t="s">
        <v>3289</v>
      </c>
      <c r="K931" s="13" t="s">
        <v>3153</v>
      </c>
      <c r="L931" s="13" t="s">
        <v>3169</v>
      </c>
      <c r="M931" s="13" t="s">
        <v>3161</v>
      </c>
      <c r="N931" s="13" t="s">
        <v>3162</v>
      </c>
      <c r="O931" s="13" t="s">
        <v>33</v>
      </c>
      <c r="P931" s="13">
        <v>1.0</v>
      </c>
      <c r="Q931" s="13" t="s">
        <v>3177</v>
      </c>
      <c r="R931" s="13" t="s">
        <v>3163</v>
      </c>
      <c r="S931" s="13" t="s">
        <v>3397</v>
      </c>
      <c r="T931" s="13" t="s">
        <v>3178</v>
      </c>
      <c r="U931" s="13" t="s">
        <v>3164</v>
      </c>
      <c r="V931" s="13" t="s">
        <v>3228</v>
      </c>
      <c r="W931" s="13" t="s">
        <v>3167</v>
      </c>
      <c r="X931" s="13" t="s">
        <v>3155</v>
      </c>
      <c r="Y931" s="13" t="s">
        <v>3187</v>
      </c>
      <c r="Z931" s="13">
        <v>1.0</v>
      </c>
      <c r="AA931" s="13" t="b">
        <v>0</v>
      </c>
      <c r="AB931" s="48"/>
      <c r="AC931" s="49"/>
    </row>
    <row r="932" ht="14.25" customHeight="1">
      <c r="A932" s="13">
        <v>24888.0</v>
      </c>
      <c r="B932" s="13" t="str">
        <f t="shared" si="8"/>
        <v>Observational</v>
      </c>
      <c r="C932" s="13" t="s">
        <v>4852</v>
      </c>
      <c r="D932" s="1" t="s">
        <v>5383</v>
      </c>
      <c r="E932" s="2" t="s">
        <v>5384</v>
      </c>
      <c r="F932" s="13" t="s">
        <v>3159</v>
      </c>
      <c r="G932" s="13" t="s">
        <v>3159</v>
      </c>
      <c r="H932" s="13" t="s">
        <v>3166</v>
      </c>
      <c r="I932" s="13" t="s">
        <v>3222</v>
      </c>
      <c r="J932" s="13" t="s">
        <v>3182</v>
      </c>
      <c r="K932" s="13" t="s">
        <v>3153</v>
      </c>
      <c r="L932" s="13" t="s">
        <v>3154</v>
      </c>
      <c r="M932" s="13" t="s">
        <v>3161</v>
      </c>
      <c r="N932" s="13" t="s">
        <v>3162</v>
      </c>
      <c r="O932" s="13" t="s">
        <v>3167</v>
      </c>
      <c r="P932" s="13">
        <v>1.0</v>
      </c>
      <c r="Q932" s="13" t="s">
        <v>3177</v>
      </c>
      <c r="R932" s="13" t="s">
        <v>3231</v>
      </c>
      <c r="S932" s="13" t="s">
        <v>33</v>
      </c>
      <c r="T932" s="13" t="s">
        <v>3225</v>
      </c>
      <c r="U932" s="13" t="s">
        <v>3164</v>
      </c>
      <c r="V932" s="13" t="s">
        <v>3164</v>
      </c>
      <c r="W932" s="13" t="s">
        <v>3167</v>
      </c>
      <c r="X932" s="13" t="s">
        <v>3170</v>
      </c>
      <c r="Y932" s="13" t="s">
        <v>3156</v>
      </c>
      <c r="Z932" s="13" t="s">
        <v>3167</v>
      </c>
      <c r="AA932" s="13" t="b">
        <v>0</v>
      </c>
      <c r="AB932" s="48"/>
      <c r="AC932" s="49"/>
    </row>
    <row r="933" ht="14.25" customHeight="1">
      <c r="A933" s="13">
        <v>24903.0</v>
      </c>
      <c r="B933" s="13" t="str">
        <f t="shared" si="8"/>
        <v>Observational</v>
      </c>
      <c r="C933" s="13" t="s">
        <v>4886</v>
      </c>
      <c r="D933" s="1" t="s">
        <v>5383</v>
      </c>
      <c r="E933" s="2" t="s">
        <v>5384</v>
      </c>
      <c r="F933" s="13" t="s">
        <v>3333</v>
      </c>
      <c r="G933" s="13" t="s">
        <v>3173</v>
      </c>
      <c r="H933" s="13" t="s">
        <v>3166</v>
      </c>
      <c r="I933" s="13" t="s">
        <v>3203</v>
      </c>
      <c r="J933" s="13" t="s">
        <v>3204</v>
      </c>
      <c r="K933" s="13" t="s">
        <v>3153</v>
      </c>
      <c r="L933" s="13" t="s">
        <v>3465</v>
      </c>
      <c r="M933" s="13" t="s">
        <v>3161</v>
      </c>
      <c r="N933" s="13" t="s">
        <v>3162</v>
      </c>
      <c r="O933" s="13" t="s">
        <v>3167</v>
      </c>
      <c r="P933" s="13">
        <v>1.0</v>
      </c>
      <c r="Q933" s="13" t="s">
        <v>3177</v>
      </c>
      <c r="R933" s="13" t="s">
        <v>3231</v>
      </c>
      <c r="S933" s="13" t="s">
        <v>33</v>
      </c>
      <c r="T933" s="13" t="s">
        <v>3324</v>
      </c>
      <c r="U933" s="13" t="s">
        <v>3165</v>
      </c>
      <c r="V933" s="13" t="s">
        <v>3165</v>
      </c>
      <c r="W933" s="13" t="s">
        <v>3167</v>
      </c>
      <c r="X933" s="13" t="s">
        <v>3155</v>
      </c>
      <c r="Y933" s="13" t="s">
        <v>3202</v>
      </c>
      <c r="Z933" s="13">
        <v>250.0</v>
      </c>
      <c r="AA933" s="13" t="b">
        <v>0</v>
      </c>
      <c r="AB933" s="48"/>
      <c r="AC933" s="49"/>
    </row>
    <row r="934" ht="14.25" customHeight="1">
      <c r="A934" s="13">
        <v>24912.0</v>
      </c>
      <c r="B934" s="13" t="str">
        <f t="shared" si="8"/>
        <v>Observational</v>
      </c>
      <c r="C934" s="13" t="s">
        <v>4886</v>
      </c>
      <c r="D934" s="1" t="s">
        <v>5383</v>
      </c>
      <c r="E934" s="2" t="s">
        <v>5384</v>
      </c>
      <c r="F934" s="13" t="s">
        <v>3159</v>
      </c>
      <c r="G934" s="13" t="s">
        <v>3159</v>
      </c>
      <c r="H934" s="13" t="s">
        <v>3166</v>
      </c>
      <c r="I934" s="13" t="s">
        <v>3188</v>
      </c>
      <c r="J934" s="13" t="s">
        <v>3207</v>
      </c>
      <c r="K934" s="13" t="s">
        <v>3153</v>
      </c>
      <c r="L934" s="13" t="s">
        <v>3465</v>
      </c>
      <c r="M934" s="13" t="s">
        <v>3161</v>
      </c>
      <c r="N934" s="13" t="s">
        <v>3162</v>
      </c>
      <c r="O934" s="13" t="s">
        <v>33</v>
      </c>
      <c r="P934" s="13">
        <v>1.0</v>
      </c>
      <c r="Q934" s="13" t="s">
        <v>3160</v>
      </c>
      <c r="R934" s="13" t="s">
        <v>3163</v>
      </c>
      <c r="S934" s="13" t="s">
        <v>33</v>
      </c>
      <c r="T934" s="13" t="s">
        <v>3324</v>
      </c>
      <c r="U934" s="13" t="s">
        <v>3165</v>
      </c>
      <c r="V934" s="13" t="s">
        <v>3165</v>
      </c>
      <c r="W934" s="13" t="s">
        <v>3167</v>
      </c>
      <c r="X934" s="13" t="s">
        <v>3211</v>
      </c>
      <c r="Y934" s="13" t="s">
        <v>3156</v>
      </c>
      <c r="Z934" s="13" t="s">
        <v>33</v>
      </c>
      <c r="AA934" s="13" t="b">
        <v>0</v>
      </c>
      <c r="AB934" s="48"/>
      <c r="AC934" s="49"/>
    </row>
    <row r="935" ht="14.25" customHeight="1">
      <c r="A935" s="13">
        <v>24913.0</v>
      </c>
      <c r="B935" s="13" t="str">
        <f t="shared" si="8"/>
        <v>Observational</v>
      </c>
      <c r="C935" s="13" t="s">
        <v>4856</v>
      </c>
      <c r="D935" s="1" t="s">
        <v>5383</v>
      </c>
      <c r="E935" s="2" t="s">
        <v>5384</v>
      </c>
      <c r="F935" s="13" t="s">
        <v>3159</v>
      </c>
      <c r="G935" s="13" t="s">
        <v>3210</v>
      </c>
      <c r="H935" s="13" t="s">
        <v>3195</v>
      </c>
      <c r="I935" s="13" t="s">
        <v>3171</v>
      </c>
      <c r="J935" s="13" t="s">
        <v>3172</v>
      </c>
      <c r="K935" s="13" t="s">
        <v>3153</v>
      </c>
      <c r="L935" s="13" t="s">
        <v>3169</v>
      </c>
      <c r="M935" s="13" t="s">
        <v>3161</v>
      </c>
      <c r="N935" s="13" t="s">
        <v>3162</v>
      </c>
      <c r="O935" s="13" t="s">
        <v>33</v>
      </c>
      <c r="P935" s="13">
        <v>1.0</v>
      </c>
      <c r="Q935" s="13" t="s">
        <v>3160</v>
      </c>
      <c r="R935" s="13" t="s">
        <v>3163</v>
      </c>
      <c r="S935" s="13" t="s">
        <v>33</v>
      </c>
      <c r="T935" s="13" t="s">
        <v>3167</v>
      </c>
      <c r="U935" s="13" t="s">
        <v>3195</v>
      </c>
      <c r="V935" s="13" t="s">
        <v>3195</v>
      </c>
      <c r="W935" s="13" t="s">
        <v>3167</v>
      </c>
      <c r="X935" s="13" t="s">
        <v>3170</v>
      </c>
      <c r="Y935" s="13" t="s">
        <v>3156</v>
      </c>
      <c r="Z935" s="13" t="s">
        <v>33</v>
      </c>
      <c r="AA935" s="13" t="b">
        <v>0</v>
      </c>
      <c r="AB935" s="48"/>
      <c r="AC935" s="49"/>
    </row>
    <row r="936" ht="14.25" customHeight="1">
      <c r="A936" s="13">
        <v>24920.0</v>
      </c>
      <c r="B936" s="13" t="str">
        <f t="shared" si="8"/>
        <v>Observational</v>
      </c>
      <c r="C936" s="13" t="s">
        <v>4856</v>
      </c>
      <c r="D936" s="1" t="s">
        <v>5383</v>
      </c>
      <c r="E936" s="2" t="s">
        <v>5384</v>
      </c>
      <c r="F936" s="13" t="s">
        <v>3159</v>
      </c>
      <c r="G936" s="13" t="s">
        <v>3159</v>
      </c>
      <c r="H936" s="13" t="s">
        <v>3166</v>
      </c>
      <c r="I936" s="13" t="s">
        <v>3188</v>
      </c>
      <c r="J936" s="13" t="s">
        <v>3207</v>
      </c>
      <c r="K936" s="13" t="s">
        <v>3153</v>
      </c>
      <c r="L936" s="13" t="s">
        <v>3169</v>
      </c>
      <c r="M936" s="13" t="s">
        <v>3161</v>
      </c>
      <c r="N936" s="13" t="s">
        <v>3162</v>
      </c>
      <c r="O936" s="13" t="s">
        <v>33</v>
      </c>
      <c r="P936" s="13">
        <v>1.0</v>
      </c>
      <c r="Q936" s="13" t="s">
        <v>3160</v>
      </c>
      <c r="R936" s="13" t="s">
        <v>3163</v>
      </c>
      <c r="S936" s="13" t="s">
        <v>33</v>
      </c>
      <c r="T936" s="13" t="s">
        <v>3178</v>
      </c>
      <c r="U936" s="13" t="s">
        <v>3164</v>
      </c>
      <c r="V936" s="13" t="s">
        <v>3164</v>
      </c>
      <c r="W936" s="13" t="s">
        <v>3167</v>
      </c>
      <c r="X936" s="13" t="s">
        <v>3170</v>
      </c>
      <c r="Y936" s="13" t="s">
        <v>3156</v>
      </c>
      <c r="Z936" s="13" t="s">
        <v>33</v>
      </c>
      <c r="AA936" s="13" t="b">
        <v>0</v>
      </c>
      <c r="AB936" s="48"/>
      <c r="AC936" s="49"/>
    </row>
    <row r="937" ht="14.25" customHeight="1">
      <c r="A937" s="13">
        <v>24929.0</v>
      </c>
      <c r="B937" s="13" t="str">
        <f t="shared" si="8"/>
        <v>Observational</v>
      </c>
      <c r="C937" s="13" t="s">
        <v>4856</v>
      </c>
      <c r="D937" s="1" t="s">
        <v>5383</v>
      </c>
      <c r="E937" s="2" t="s">
        <v>5384</v>
      </c>
      <c r="F937" s="13" t="s">
        <v>3201</v>
      </c>
      <c r="G937" s="13" t="s">
        <v>3210</v>
      </c>
      <c r="H937" s="13" t="s">
        <v>3195</v>
      </c>
      <c r="I937" s="13" t="s">
        <v>3188</v>
      </c>
      <c r="J937" s="13" t="s">
        <v>3207</v>
      </c>
      <c r="K937" s="13" t="s">
        <v>3153</v>
      </c>
      <c r="L937" s="13" t="s">
        <v>3169</v>
      </c>
      <c r="M937" s="13" t="s">
        <v>3161</v>
      </c>
      <c r="N937" s="13" t="s">
        <v>3162</v>
      </c>
      <c r="O937" s="13" t="s">
        <v>33</v>
      </c>
      <c r="P937" s="13">
        <v>1.0</v>
      </c>
      <c r="Q937" s="13" t="s">
        <v>3177</v>
      </c>
      <c r="R937" s="13" t="s">
        <v>3163</v>
      </c>
      <c r="S937" s="13" t="s">
        <v>33</v>
      </c>
      <c r="T937" s="13" t="s">
        <v>3167</v>
      </c>
      <c r="U937" s="13" t="s">
        <v>3195</v>
      </c>
      <c r="V937" s="13" t="s">
        <v>3195</v>
      </c>
      <c r="W937" s="13" t="s">
        <v>3167</v>
      </c>
      <c r="X937" s="13" t="s">
        <v>3170</v>
      </c>
      <c r="Y937" s="13" t="s">
        <v>3187</v>
      </c>
      <c r="Z937" s="13">
        <v>1.0</v>
      </c>
      <c r="AA937" s="13" t="b">
        <v>0</v>
      </c>
      <c r="AB937" s="48"/>
      <c r="AC937" s="49"/>
    </row>
    <row r="938" ht="14.25" customHeight="1">
      <c r="A938" s="13">
        <v>24956.0</v>
      </c>
      <c r="B938" s="13" t="str">
        <f t="shared" si="8"/>
        <v>Observational</v>
      </c>
      <c r="C938" s="13" t="s">
        <v>4856</v>
      </c>
      <c r="D938" s="1" t="s">
        <v>5383</v>
      </c>
      <c r="E938" s="2" t="s">
        <v>5384</v>
      </c>
      <c r="F938" s="13" t="s">
        <v>3159</v>
      </c>
      <c r="G938" s="13" t="s">
        <v>3210</v>
      </c>
      <c r="H938" s="13" t="s">
        <v>3195</v>
      </c>
      <c r="I938" s="13" t="s">
        <v>3203</v>
      </c>
      <c r="J938" s="13" t="s">
        <v>3204</v>
      </c>
      <c r="K938" s="13" t="s">
        <v>3153</v>
      </c>
      <c r="L938" s="13" t="s">
        <v>3169</v>
      </c>
      <c r="M938" s="13" t="s">
        <v>3161</v>
      </c>
      <c r="N938" s="13" t="s">
        <v>3162</v>
      </c>
      <c r="O938" s="13" t="s">
        <v>33</v>
      </c>
      <c r="P938" s="13">
        <v>1.0</v>
      </c>
      <c r="Q938" s="13" t="s">
        <v>3160</v>
      </c>
      <c r="R938" s="13" t="s">
        <v>3163</v>
      </c>
      <c r="S938" s="13" t="s">
        <v>33</v>
      </c>
      <c r="T938" s="13" t="s">
        <v>3167</v>
      </c>
      <c r="U938" s="13" t="s">
        <v>3195</v>
      </c>
      <c r="V938" s="13" t="s">
        <v>3195</v>
      </c>
      <c r="W938" s="13" t="s">
        <v>3167</v>
      </c>
      <c r="X938" s="13" t="s">
        <v>3170</v>
      </c>
      <c r="Y938" s="13" t="s">
        <v>3156</v>
      </c>
      <c r="Z938" s="13" t="s">
        <v>33</v>
      </c>
      <c r="AA938" s="13" t="b">
        <v>0</v>
      </c>
      <c r="AB938" s="48"/>
      <c r="AC938" s="49"/>
    </row>
    <row r="939" ht="14.25" customHeight="1">
      <c r="A939" s="13">
        <v>24971.0</v>
      </c>
      <c r="B939" s="13" t="str">
        <f t="shared" si="8"/>
        <v>Observational</v>
      </c>
      <c r="C939" s="13" t="s">
        <v>4856</v>
      </c>
      <c r="D939" s="1" t="s">
        <v>5383</v>
      </c>
      <c r="E939" s="2" t="s">
        <v>5384</v>
      </c>
      <c r="F939" s="13" t="s">
        <v>3208</v>
      </c>
      <c r="G939" s="13" t="s">
        <v>3210</v>
      </c>
      <c r="H939" s="13" t="s">
        <v>3195</v>
      </c>
      <c r="I939" s="13" t="s">
        <v>3188</v>
      </c>
      <c r="J939" s="13" t="s">
        <v>3207</v>
      </c>
      <c r="K939" s="13" t="s">
        <v>3153</v>
      </c>
      <c r="L939" s="13" t="s">
        <v>3169</v>
      </c>
      <c r="M939" s="13" t="s">
        <v>3161</v>
      </c>
      <c r="N939" s="13" t="s">
        <v>3162</v>
      </c>
      <c r="O939" s="13" t="s">
        <v>33</v>
      </c>
      <c r="P939" s="13">
        <v>1.0</v>
      </c>
      <c r="Q939" s="13" t="s">
        <v>3160</v>
      </c>
      <c r="R939" s="13" t="s">
        <v>3163</v>
      </c>
      <c r="S939" s="13" t="s">
        <v>33</v>
      </c>
      <c r="T939" s="13" t="s">
        <v>3167</v>
      </c>
      <c r="U939" s="13" t="s">
        <v>3195</v>
      </c>
      <c r="V939" s="13" t="s">
        <v>3195</v>
      </c>
      <c r="W939" s="13" t="s">
        <v>3167</v>
      </c>
      <c r="X939" s="13" t="s">
        <v>3170</v>
      </c>
      <c r="Y939" s="13" t="s">
        <v>3202</v>
      </c>
      <c r="Z939" s="13">
        <v>2.0</v>
      </c>
      <c r="AA939" s="13" t="b">
        <v>0</v>
      </c>
      <c r="AB939" s="48"/>
      <c r="AC939" s="49"/>
    </row>
    <row r="940" ht="14.25" customHeight="1">
      <c r="A940" s="13">
        <v>24974.0</v>
      </c>
      <c r="B940" s="13" t="str">
        <f t="shared" si="8"/>
        <v>Observational</v>
      </c>
      <c r="C940" s="13" t="s">
        <v>4856</v>
      </c>
      <c r="D940" s="1" t="s">
        <v>5383</v>
      </c>
      <c r="E940" s="2" t="s">
        <v>5384</v>
      </c>
      <c r="F940" s="13" t="s">
        <v>3159</v>
      </c>
      <c r="G940" s="13" t="s">
        <v>3159</v>
      </c>
      <c r="H940" s="13" t="s">
        <v>3166</v>
      </c>
      <c r="I940" s="13" t="s">
        <v>3222</v>
      </c>
      <c r="J940" s="13" t="s">
        <v>3229</v>
      </c>
      <c r="K940" s="13" t="s">
        <v>3153</v>
      </c>
      <c r="L940" s="13" t="s">
        <v>3169</v>
      </c>
      <c r="M940" s="13" t="s">
        <v>3161</v>
      </c>
      <c r="N940" s="13" t="s">
        <v>3162</v>
      </c>
      <c r="O940" s="13" t="s">
        <v>33</v>
      </c>
      <c r="P940" s="13">
        <v>1.0</v>
      </c>
      <c r="Q940" s="13" t="s">
        <v>3177</v>
      </c>
      <c r="R940" s="13" t="s">
        <v>3177</v>
      </c>
      <c r="S940" s="13" t="s">
        <v>33</v>
      </c>
      <c r="T940" s="13" t="s">
        <v>3178</v>
      </c>
      <c r="U940" s="13" t="s">
        <v>3164</v>
      </c>
      <c r="V940" s="13" t="s">
        <v>3164</v>
      </c>
      <c r="W940" s="13" t="s">
        <v>3167</v>
      </c>
      <c r="X940" s="13" t="s">
        <v>3192</v>
      </c>
      <c r="Y940" s="13" t="s">
        <v>3156</v>
      </c>
      <c r="Z940" s="13" t="s">
        <v>33</v>
      </c>
      <c r="AA940" s="13" t="b">
        <v>0</v>
      </c>
      <c r="AB940" s="48"/>
      <c r="AC940" s="49"/>
    </row>
    <row r="941" ht="14.25" customHeight="1">
      <c r="A941" s="13">
        <v>25049.0</v>
      </c>
      <c r="B941" s="13" t="str">
        <f t="shared" si="8"/>
        <v>Observational</v>
      </c>
      <c r="C941" s="13" t="s">
        <v>4856</v>
      </c>
      <c r="D941" s="1" t="s">
        <v>5383</v>
      </c>
      <c r="E941" s="2" t="s">
        <v>5384</v>
      </c>
      <c r="F941" s="13" t="s">
        <v>3201</v>
      </c>
      <c r="G941" s="13" t="s">
        <v>3201</v>
      </c>
      <c r="H941" s="13" t="s">
        <v>3242</v>
      </c>
      <c r="I941" s="13" t="s">
        <v>3188</v>
      </c>
      <c r="J941" s="13" t="s">
        <v>3207</v>
      </c>
      <c r="K941" s="13" t="s">
        <v>3153</v>
      </c>
      <c r="L941" s="13" t="s">
        <v>3169</v>
      </c>
      <c r="M941" s="13" t="s">
        <v>3161</v>
      </c>
      <c r="N941" s="13" t="s">
        <v>3162</v>
      </c>
      <c r="O941" s="13" t="s">
        <v>3167</v>
      </c>
      <c r="P941" s="13">
        <v>1.0</v>
      </c>
      <c r="Q941" s="13" t="s">
        <v>3160</v>
      </c>
      <c r="R941" s="13" t="s">
        <v>3231</v>
      </c>
      <c r="S941" s="13" t="s">
        <v>33</v>
      </c>
      <c r="T941" s="13" t="s">
        <v>3167</v>
      </c>
      <c r="U941" s="13" t="s">
        <v>3197</v>
      </c>
      <c r="V941" s="13" t="s">
        <v>3197</v>
      </c>
      <c r="W941" s="13" t="s">
        <v>4116</v>
      </c>
      <c r="X941" s="13" t="s">
        <v>3192</v>
      </c>
      <c r="Y941" s="13" t="s">
        <v>3187</v>
      </c>
      <c r="Z941" s="13" t="s">
        <v>3187</v>
      </c>
      <c r="AA941" s="13" t="b">
        <v>0</v>
      </c>
      <c r="AB941" s="48"/>
      <c r="AC941" s="49"/>
    </row>
    <row r="942" ht="14.25" customHeight="1">
      <c r="A942" s="13">
        <v>25059.0</v>
      </c>
      <c r="B942" s="13" t="str">
        <f t="shared" si="8"/>
        <v>Observational</v>
      </c>
      <c r="C942" s="13" t="s">
        <v>4852</v>
      </c>
      <c r="D942" s="1" t="s">
        <v>5383</v>
      </c>
      <c r="E942" s="2" t="s">
        <v>5384</v>
      </c>
      <c r="F942" s="13" t="s">
        <v>3183</v>
      </c>
      <c r="G942" s="13" t="s">
        <v>3183</v>
      </c>
      <c r="H942" s="13" t="s">
        <v>3166</v>
      </c>
      <c r="I942" s="13" t="s">
        <v>3222</v>
      </c>
      <c r="J942" s="13" t="s">
        <v>3182</v>
      </c>
      <c r="K942" s="13" t="s">
        <v>3153</v>
      </c>
      <c r="L942" s="13" t="s">
        <v>3154</v>
      </c>
      <c r="M942" s="13" t="s">
        <v>3161</v>
      </c>
      <c r="N942" s="13" t="s">
        <v>3162</v>
      </c>
      <c r="O942" s="13" t="s">
        <v>3689</v>
      </c>
      <c r="P942" s="13">
        <v>1.0</v>
      </c>
      <c r="Q942" s="13" t="s">
        <v>3177</v>
      </c>
      <c r="R942" s="13" t="s">
        <v>3260</v>
      </c>
      <c r="S942" s="13" t="s">
        <v>3397</v>
      </c>
      <c r="T942" s="13" t="s">
        <v>4122</v>
      </c>
      <c r="U942" s="13" t="s">
        <v>3197</v>
      </c>
      <c r="V942" s="13" t="s">
        <v>3197</v>
      </c>
      <c r="W942" s="13" t="s">
        <v>3167</v>
      </c>
      <c r="X942" s="13" t="s">
        <v>3155</v>
      </c>
      <c r="Y942" s="13" t="s">
        <v>3156</v>
      </c>
      <c r="Z942" s="13" t="s">
        <v>3167</v>
      </c>
      <c r="AA942" s="13" t="b">
        <v>0</v>
      </c>
      <c r="AB942" s="48"/>
      <c r="AC942" s="49"/>
    </row>
    <row r="943" ht="14.25" customHeight="1">
      <c r="A943" s="13">
        <v>25071.0</v>
      </c>
      <c r="B943" s="13" t="str">
        <f t="shared" si="8"/>
        <v>Observational</v>
      </c>
      <c r="C943" s="13" t="s">
        <v>4856</v>
      </c>
      <c r="D943" s="1" t="s">
        <v>5383</v>
      </c>
      <c r="E943" s="2" t="s">
        <v>5384</v>
      </c>
      <c r="F943" s="13" t="s">
        <v>3287</v>
      </c>
      <c r="G943" s="13" t="s">
        <v>3437</v>
      </c>
      <c r="H943" s="13" t="s">
        <v>3166</v>
      </c>
      <c r="I943" s="13" t="s">
        <v>3171</v>
      </c>
      <c r="J943" s="13" t="s">
        <v>3172</v>
      </c>
      <c r="K943" s="13" t="s">
        <v>3153</v>
      </c>
      <c r="L943" s="13" t="s">
        <v>3169</v>
      </c>
      <c r="M943" s="13" t="s">
        <v>3161</v>
      </c>
      <c r="N943" s="13" t="s">
        <v>3162</v>
      </c>
      <c r="O943" s="13" t="s">
        <v>33</v>
      </c>
      <c r="P943" s="13">
        <v>1.0</v>
      </c>
      <c r="Q943" s="13" t="s">
        <v>3160</v>
      </c>
      <c r="R943" s="13" t="s">
        <v>3163</v>
      </c>
      <c r="S943" s="13" t="s">
        <v>33</v>
      </c>
      <c r="T943" s="13" t="s">
        <v>3178</v>
      </c>
      <c r="U943" s="13" t="s">
        <v>3164</v>
      </c>
      <c r="V943" s="13" t="s">
        <v>3164</v>
      </c>
      <c r="W943" s="13" t="s">
        <v>3167</v>
      </c>
      <c r="X943" s="13" t="s">
        <v>3170</v>
      </c>
      <c r="Y943" s="13" t="s">
        <v>33</v>
      </c>
      <c r="Z943" s="13" t="s">
        <v>33</v>
      </c>
      <c r="AA943" s="13" t="b">
        <v>0</v>
      </c>
      <c r="AB943" s="48"/>
      <c r="AC943" s="49"/>
    </row>
    <row r="944" ht="14.25" customHeight="1">
      <c r="A944" s="13">
        <v>25075.0</v>
      </c>
      <c r="B944" s="13" t="str">
        <f t="shared" si="8"/>
        <v>Observational</v>
      </c>
      <c r="C944" s="13" t="s">
        <v>4856</v>
      </c>
      <c r="D944" s="1" t="s">
        <v>5383</v>
      </c>
      <c r="E944" s="2" t="s">
        <v>5384</v>
      </c>
      <c r="F944" s="13" t="s">
        <v>3159</v>
      </c>
      <c r="G944" s="13" t="s">
        <v>3159</v>
      </c>
      <c r="H944" s="13" t="s">
        <v>3166</v>
      </c>
      <c r="I944" s="13" t="s">
        <v>3157</v>
      </c>
      <c r="J944" s="13" t="s">
        <v>3199</v>
      </c>
      <c r="K944" s="13" t="s">
        <v>3153</v>
      </c>
      <c r="L944" s="13" t="s">
        <v>3169</v>
      </c>
      <c r="M944" s="13" t="s">
        <v>3161</v>
      </c>
      <c r="N944" s="13" t="s">
        <v>3162</v>
      </c>
      <c r="O944" s="13" t="s">
        <v>33</v>
      </c>
      <c r="P944" s="13">
        <v>1.0</v>
      </c>
      <c r="Q944" s="13" t="s">
        <v>3160</v>
      </c>
      <c r="R944" s="13" t="s">
        <v>3163</v>
      </c>
      <c r="S944" s="13" t="s">
        <v>33</v>
      </c>
      <c r="T944" s="13" t="s">
        <v>3178</v>
      </c>
      <c r="U944" s="13" t="s">
        <v>3164</v>
      </c>
      <c r="V944" s="13" t="s">
        <v>3164</v>
      </c>
      <c r="W944" s="13" t="s">
        <v>3167</v>
      </c>
      <c r="X944" s="13" t="s">
        <v>3170</v>
      </c>
      <c r="Y944" s="13" t="s">
        <v>3156</v>
      </c>
      <c r="Z944" s="13" t="s">
        <v>33</v>
      </c>
      <c r="AA944" s="13" t="b">
        <v>0</v>
      </c>
      <c r="AB944" s="48"/>
      <c r="AC944" s="49"/>
    </row>
    <row r="945" ht="14.25" customHeight="1">
      <c r="A945" s="13">
        <v>25088.0</v>
      </c>
      <c r="B945" s="13" t="str">
        <f t="shared" si="8"/>
        <v>Observational</v>
      </c>
      <c r="C945" s="13" t="s">
        <v>4856</v>
      </c>
      <c r="D945" s="1" t="s">
        <v>5383</v>
      </c>
      <c r="E945" s="2" t="s">
        <v>5384</v>
      </c>
      <c r="F945" s="13" t="s">
        <v>3159</v>
      </c>
      <c r="G945" s="13" t="s">
        <v>3210</v>
      </c>
      <c r="H945" s="13" t="s">
        <v>3195</v>
      </c>
      <c r="I945" s="13" t="s">
        <v>3222</v>
      </c>
      <c r="J945" s="13" t="s">
        <v>3182</v>
      </c>
      <c r="K945" s="13" t="s">
        <v>3153</v>
      </c>
      <c r="L945" s="13" t="s">
        <v>3169</v>
      </c>
      <c r="M945" s="13" t="s">
        <v>3161</v>
      </c>
      <c r="N945" s="13" t="s">
        <v>3162</v>
      </c>
      <c r="O945" s="13" t="s">
        <v>33</v>
      </c>
      <c r="P945" s="13">
        <v>1.0</v>
      </c>
      <c r="Q945" s="13" t="s">
        <v>3160</v>
      </c>
      <c r="R945" s="13" t="s">
        <v>3163</v>
      </c>
      <c r="S945" s="13" t="s">
        <v>33</v>
      </c>
      <c r="T945" s="13" t="s">
        <v>3167</v>
      </c>
      <c r="U945" s="13" t="s">
        <v>3195</v>
      </c>
      <c r="V945" s="13" t="s">
        <v>3195</v>
      </c>
      <c r="W945" s="13" t="s">
        <v>3167</v>
      </c>
      <c r="X945" s="13" t="s">
        <v>3170</v>
      </c>
      <c r="Y945" s="13" t="s">
        <v>33</v>
      </c>
      <c r="Z945" s="13" t="s">
        <v>33</v>
      </c>
      <c r="AA945" s="13" t="b">
        <v>0</v>
      </c>
      <c r="AB945" s="48"/>
      <c r="AC945" s="49"/>
    </row>
    <row r="946" ht="14.25" customHeight="1">
      <c r="A946" s="13">
        <v>25159.0</v>
      </c>
      <c r="B946" s="13" t="str">
        <f t="shared" si="8"/>
        <v>Observational</v>
      </c>
      <c r="C946" s="13" t="s">
        <v>4856</v>
      </c>
      <c r="D946" s="1" t="s">
        <v>5383</v>
      </c>
      <c r="E946" s="2" t="s">
        <v>5384</v>
      </c>
      <c r="F946" s="13" t="s">
        <v>3183</v>
      </c>
      <c r="G946" s="13" t="s">
        <v>3183</v>
      </c>
      <c r="H946" s="13" t="s">
        <v>3166</v>
      </c>
      <c r="I946" s="13" t="s">
        <v>4164</v>
      </c>
      <c r="J946" s="13" t="s">
        <v>3167</v>
      </c>
      <c r="K946" s="13" t="s">
        <v>3153</v>
      </c>
      <c r="L946" s="13" t="s">
        <v>3169</v>
      </c>
      <c r="M946" s="13" t="s">
        <v>3161</v>
      </c>
      <c r="N946" s="13" t="s">
        <v>3162</v>
      </c>
      <c r="O946" s="13" t="s">
        <v>4165</v>
      </c>
      <c r="P946" s="13">
        <v>1.0</v>
      </c>
      <c r="Q946" s="13" t="s">
        <v>3160</v>
      </c>
      <c r="R946" s="13" t="s">
        <v>3163</v>
      </c>
      <c r="S946" s="13" t="s">
        <v>4166</v>
      </c>
      <c r="T946" s="13" t="s">
        <v>3178</v>
      </c>
      <c r="U946" s="13" t="s">
        <v>3164</v>
      </c>
      <c r="V946" s="13" t="s">
        <v>3164</v>
      </c>
      <c r="W946" s="13" t="s">
        <v>3167</v>
      </c>
      <c r="X946" s="13" t="s">
        <v>3284</v>
      </c>
      <c r="Y946" s="13" t="s">
        <v>3156</v>
      </c>
      <c r="Z946" s="13" t="s">
        <v>33</v>
      </c>
      <c r="AA946" s="13" t="b">
        <v>0</v>
      </c>
      <c r="AB946" s="48"/>
      <c r="AC946" s="49"/>
    </row>
    <row r="947" ht="14.25" customHeight="1">
      <c r="A947" s="13">
        <v>25166.0</v>
      </c>
      <c r="B947" s="13" t="str">
        <f t="shared" si="8"/>
        <v>Observational</v>
      </c>
      <c r="C947" s="13" t="s">
        <v>4856</v>
      </c>
      <c r="D947" s="1" t="s">
        <v>5383</v>
      </c>
      <c r="E947" s="2" t="s">
        <v>5384</v>
      </c>
      <c r="F947" s="13" t="s">
        <v>3270</v>
      </c>
      <c r="G947" s="13" t="s">
        <v>3335</v>
      </c>
      <c r="H947" s="13" t="s">
        <v>3195</v>
      </c>
      <c r="I947" s="13" t="s">
        <v>3157</v>
      </c>
      <c r="J947" s="13" t="s">
        <v>3368</v>
      </c>
      <c r="K947" s="13" t="s">
        <v>3153</v>
      </c>
      <c r="L947" s="13" t="s">
        <v>3169</v>
      </c>
      <c r="M947" s="13" t="s">
        <v>3161</v>
      </c>
      <c r="N947" s="13" t="s">
        <v>3162</v>
      </c>
      <c r="O947" s="13" t="s">
        <v>4167</v>
      </c>
      <c r="P947" s="13">
        <v>1.0</v>
      </c>
      <c r="Q947" s="13" t="s">
        <v>3160</v>
      </c>
      <c r="R947" s="13" t="s">
        <v>3231</v>
      </c>
      <c r="S947" s="13" t="s">
        <v>3323</v>
      </c>
      <c r="T947" s="13" t="s">
        <v>3167</v>
      </c>
      <c r="U947" s="13" t="s">
        <v>3195</v>
      </c>
      <c r="V947" s="13" t="s">
        <v>3195</v>
      </c>
      <c r="W947" s="13" t="s">
        <v>3167</v>
      </c>
      <c r="X947" s="13" t="s">
        <v>3155</v>
      </c>
      <c r="Y947" s="13" t="s">
        <v>3156</v>
      </c>
      <c r="Z947" s="13" t="s">
        <v>3167</v>
      </c>
      <c r="AA947" s="13" t="b">
        <v>0</v>
      </c>
      <c r="AB947" s="48"/>
      <c r="AC947" s="49"/>
    </row>
    <row r="948" ht="14.25" customHeight="1">
      <c r="A948" s="13">
        <v>25189.0</v>
      </c>
      <c r="B948" s="13" t="str">
        <f t="shared" si="8"/>
        <v>Observational</v>
      </c>
      <c r="C948" s="13" t="s">
        <v>4856</v>
      </c>
      <c r="D948" s="1" t="s">
        <v>5383</v>
      </c>
      <c r="E948" s="2" t="s">
        <v>5384</v>
      </c>
      <c r="F948" s="13" t="s">
        <v>3287</v>
      </c>
      <c r="G948" s="13" t="s">
        <v>3287</v>
      </c>
      <c r="H948" s="13" t="s">
        <v>3242</v>
      </c>
      <c r="I948" s="13" t="s">
        <v>3222</v>
      </c>
      <c r="J948" s="13" t="s">
        <v>3182</v>
      </c>
      <c r="K948" s="13" t="s">
        <v>3153</v>
      </c>
      <c r="L948" s="13" t="s">
        <v>3169</v>
      </c>
      <c r="M948" s="13" t="s">
        <v>3161</v>
      </c>
      <c r="N948" s="13" t="s">
        <v>3162</v>
      </c>
      <c r="O948" s="13" t="s">
        <v>33</v>
      </c>
      <c r="P948" s="13">
        <v>1.0</v>
      </c>
      <c r="Q948" s="13" t="s">
        <v>3177</v>
      </c>
      <c r="R948" s="13" t="s">
        <v>3163</v>
      </c>
      <c r="S948" s="13" t="s">
        <v>33</v>
      </c>
      <c r="T948" s="13" t="s">
        <v>3167</v>
      </c>
      <c r="U948" s="13" t="s">
        <v>3215</v>
      </c>
      <c r="V948" s="13" t="s">
        <v>3215</v>
      </c>
      <c r="W948" s="13" t="s">
        <v>3377</v>
      </c>
      <c r="X948" s="13" t="s">
        <v>3192</v>
      </c>
      <c r="Y948" s="13" t="s">
        <v>3202</v>
      </c>
      <c r="Z948" s="13">
        <v>1.0</v>
      </c>
      <c r="AA948" s="13" t="b">
        <v>0</v>
      </c>
      <c r="AB948" s="48"/>
      <c r="AC948" s="49"/>
    </row>
    <row r="949" ht="14.25" customHeight="1">
      <c r="A949" s="13">
        <v>25191.0</v>
      </c>
      <c r="B949" s="13" t="str">
        <f t="shared" si="8"/>
        <v>Observational</v>
      </c>
      <c r="C949" s="13" t="s">
        <v>4852</v>
      </c>
      <c r="D949" s="1" t="s">
        <v>5383</v>
      </c>
      <c r="E949" s="2" t="s">
        <v>5384</v>
      </c>
      <c r="F949" s="13" t="s">
        <v>3159</v>
      </c>
      <c r="G949" s="13" t="s">
        <v>3173</v>
      </c>
      <c r="H949" s="13" t="s">
        <v>3166</v>
      </c>
      <c r="I949" s="13" t="s">
        <v>3222</v>
      </c>
      <c r="J949" s="13" t="s">
        <v>3229</v>
      </c>
      <c r="K949" s="13" t="s">
        <v>3153</v>
      </c>
      <c r="L949" s="13" t="s">
        <v>3154</v>
      </c>
      <c r="M949" s="13" t="s">
        <v>3161</v>
      </c>
      <c r="N949" s="13" t="s">
        <v>3162</v>
      </c>
      <c r="O949" s="13" t="s">
        <v>33</v>
      </c>
      <c r="P949" s="13">
        <v>1.0</v>
      </c>
      <c r="Q949" s="13" t="s">
        <v>3160</v>
      </c>
      <c r="R949" s="13" t="s">
        <v>3163</v>
      </c>
      <c r="S949" s="13" t="s">
        <v>33</v>
      </c>
      <c r="T949" s="13" t="s">
        <v>4003</v>
      </c>
      <c r="U949" s="13" t="s">
        <v>3247</v>
      </c>
      <c r="V949" s="13" t="s">
        <v>3247</v>
      </c>
      <c r="W949" s="13" t="s">
        <v>3167</v>
      </c>
      <c r="X949" s="13" t="s">
        <v>3192</v>
      </c>
      <c r="Y949" s="13" t="s">
        <v>3156</v>
      </c>
      <c r="Z949" s="13" t="s">
        <v>33</v>
      </c>
      <c r="AA949" s="13" t="b">
        <v>0</v>
      </c>
      <c r="AB949" s="48"/>
      <c r="AC949" s="49"/>
    </row>
    <row r="950" ht="14.25" customHeight="1">
      <c r="A950" s="13">
        <v>25225.0</v>
      </c>
      <c r="B950" s="13" t="str">
        <f t="shared" si="8"/>
        <v>Observational</v>
      </c>
      <c r="C950" s="13" t="s">
        <v>4856</v>
      </c>
      <c r="D950" s="1" t="s">
        <v>5383</v>
      </c>
      <c r="E950" s="2" t="s">
        <v>5384</v>
      </c>
      <c r="F950" s="13" t="s">
        <v>3186</v>
      </c>
      <c r="G950" s="13" t="s">
        <v>3186</v>
      </c>
      <c r="H950" s="13" t="s">
        <v>3166</v>
      </c>
      <c r="I950" s="13" t="s">
        <v>3188</v>
      </c>
      <c r="J950" s="13" t="s">
        <v>3432</v>
      </c>
      <c r="K950" s="13" t="s">
        <v>3153</v>
      </c>
      <c r="L950" s="13" t="s">
        <v>3169</v>
      </c>
      <c r="M950" s="13" t="s">
        <v>3161</v>
      </c>
      <c r="N950" s="13" t="s">
        <v>3162</v>
      </c>
      <c r="O950" s="13" t="s">
        <v>33</v>
      </c>
      <c r="P950" s="13">
        <v>1.0</v>
      </c>
      <c r="Q950" s="13" t="s">
        <v>3177</v>
      </c>
      <c r="R950" s="13" t="s">
        <v>3163</v>
      </c>
      <c r="S950" s="13" t="s">
        <v>33</v>
      </c>
      <c r="T950" s="13" t="s">
        <v>3224</v>
      </c>
      <c r="U950" s="13" t="s">
        <v>3164</v>
      </c>
      <c r="V950" s="13" t="s">
        <v>3232</v>
      </c>
      <c r="W950" s="13" t="s">
        <v>3167</v>
      </c>
      <c r="X950" s="13" t="s">
        <v>3155</v>
      </c>
      <c r="Y950" s="13" t="s">
        <v>3187</v>
      </c>
      <c r="Z950" s="13">
        <v>1.0</v>
      </c>
      <c r="AA950" s="13" t="b">
        <v>0</v>
      </c>
      <c r="AB950" s="48"/>
      <c r="AC950" s="49"/>
    </row>
    <row r="951" ht="14.25" customHeight="1">
      <c r="A951" s="13">
        <v>25232.0</v>
      </c>
      <c r="B951" s="13" t="str">
        <f t="shared" si="8"/>
        <v>Observational</v>
      </c>
      <c r="C951" s="13" t="s">
        <v>4852</v>
      </c>
      <c r="D951" s="1" t="s">
        <v>5383</v>
      </c>
      <c r="E951" s="2" t="s">
        <v>5384</v>
      </c>
      <c r="F951" s="13" t="s">
        <v>3173</v>
      </c>
      <c r="G951" s="13" t="s">
        <v>3173</v>
      </c>
      <c r="H951" s="13" t="s">
        <v>3166</v>
      </c>
      <c r="I951" s="13" t="s">
        <v>3157</v>
      </c>
      <c r="J951" s="13" t="s">
        <v>4184</v>
      </c>
      <c r="K951" s="13" t="s">
        <v>3153</v>
      </c>
      <c r="L951" s="13" t="s">
        <v>3154</v>
      </c>
      <c r="M951" s="13" t="s">
        <v>3161</v>
      </c>
      <c r="N951" s="13" t="s">
        <v>3162</v>
      </c>
      <c r="O951" s="13" t="s">
        <v>3167</v>
      </c>
      <c r="P951" s="13">
        <v>1.0</v>
      </c>
      <c r="Q951" s="13" t="s">
        <v>3160</v>
      </c>
      <c r="R951" s="13" t="s">
        <v>3231</v>
      </c>
      <c r="S951" s="13" t="s">
        <v>33</v>
      </c>
      <c r="T951" s="13" t="s">
        <v>3324</v>
      </c>
      <c r="U951" s="13" t="s">
        <v>3164</v>
      </c>
      <c r="V951" s="13" t="s">
        <v>3164</v>
      </c>
      <c r="W951" s="13" t="s">
        <v>3167</v>
      </c>
      <c r="X951" s="13" t="s">
        <v>3155</v>
      </c>
      <c r="Y951" s="13" t="s">
        <v>3156</v>
      </c>
      <c r="Z951" s="13" t="s">
        <v>4183</v>
      </c>
      <c r="AA951" s="13" t="b">
        <v>0</v>
      </c>
      <c r="AB951" s="48"/>
      <c r="AC951" s="49"/>
    </row>
    <row r="952" ht="14.25" customHeight="1">
      <c r="A952" s="13">
        <v>25270.0</v>
      </c>
      <c r="B952" s="13" t="str">
        <f t="shared" si="8"/>
        <v>Observational</v>
      </c>
      <c r="C952" s="13" t="s">
        <v>4856</v>
      </c>
      <c r="D952" s="1" t="s">
        <v>5383</v>
      </c>
      <c r="E952" s="2" t="s">
        <v>5384</v>
      </c>
      <c r="F952" s="13" t="s">
        <v>3208</v>
      </c>
      <c r="G952" s="13" t="s">
        <v>3208</v>
      </c>
      <c r="H952" s="13" t="s">
        <v>3242</v>
      </c>
      <c r="I952" s="13" t="s">
        <v>3171</v>
      </c>
      <c r="J952" s="13" t="s">
        <v>3378</v>
      </c>
      <c r="K952" s="13" t="s">
        <v>3153</v>
      </c>
      <c r="L952" s="13" t="s">
        <v>3169</v>
      </c>
      <c r="M952" s="13" t="s">
        <v>3161</v>
      </c>
      <c r="N952" s="13" t="s">
        <v>3162</v>
      </c>
      <c r="O952" s="13" t="s">
        <v>33</v>
      </c>
      <c r="P952" s="13">
        <v>1.0</v>
      </c>
      <c r="Q952" s="13" t="s">
        <v>3160</v>
      </c>
      <c r="R952" s="13" t="s">
        <v>3163</v>
      </c>
      <c r="S952" s="13" t="s">
        <v>33</v>
      </c>
      <c r="T952" s="13" t="s">
        <v>3167</v>
      </c>
      <c r="U952" s="13" t="s">
        <v>3247</v>
      </c>
      <c r="V952" s="13" t="s">
        <v>3247</v>
      </c>
      <c r="W952" s="13" t="s">
        <v>3496</v>
      </c>
      <c r="X952" s="13" t="s">
        <v>3170</v>
      </c>
      <c r="Y952" s="13" t="s">
        <v>3202</v>
      </c>
      <c r="Z952" s="13">
        <v>20.0</v>
      </c>
      <c r="AA952" s="13" t="b">
        <v>0</v>
      </c>
      <c r="AB952" s="48"/>
      <c r="AC952" s="49"/>
    </row>
    <row r="953" ht="14.25" customHeight="1">
      <c r="A953" s="13">
        <v>25286.0</v>
      </c>
      <c r="B953" s="13" t="str">
        <f t="shared" si="8"/>
        <v>Observational</v>
      </c>
      <c r="C953" s="13" t="s">
        <v>4852</v>
      </c>
      <c r="D953" s="1" t="s">
        <v>5383</v>
      </c>
      <c r="E953" s="2" t="s">
        <v>5384</v>
      </c>
      <c r="F953" s="13" t="s">
        <v>3159</v>
      </c>
      <c r="G953" s="13" t="s">
        <v>3159</v>
      </c>
      <c r="H953" s="13" t="s">
        <v>3166</v>
      </c>
      <c r="I953" s="13" t="s">
        <v>3157</v>
      </c>
      <c r="J953" s="13" t="s">
        <v>3199</v>
      </c>
      <c r="K953" s="13" t="s">
        <v>3153</v>
      </c>
      <c r="L953" s="13" t="s">
        <v>3154</v>
      </c>
      <c r="M953" s="13" t="s">
        <v>3161</v>
      </c>
      <c r="N953" s="13" t="s">
        <v>3162</v>
      </c>
      <c r="O953" s="13" t="s">
        <v>33</v>
      </c>
      <c r="P953" s="13">
        <v>1.0</v>
      </c>
      <c r="Q953" s="13" t="s">
        <v>3177</v>
      </c>
      <c r="R953" s="13" t="s">
        <v>3177</v>
      </c>
      <c r="S953" s="13" t="s">
        <v>33</v>
      </c>
      <c r="T953" s="13" t="s">
        <v>3255</v>
      </c>
      <c r="U953" s="13" t="s">
        <v>3232</v>
      </c>
      <c r="V953" s="13" t="s">
        <v>3232</v>
      </c>
      <c r="W953" s="13" t="s">
        <v>3167</v>
      </c>
      <c r="X953" s="13" t="s">
        <v>3192</v>
      </c>
      <c r="Y953" s="13" t="s">
        <v>3156</v>
      </c>
      <c r="Z953" s="13" t="s">
        <v>33</v>
      </c>
      <c r="AA953" s="13" t="b">
        <v>0</v>
      </c>
      <c r="AB953" s="48"/>
      <c r="AC953" s="49"/>
    </row>
    <row r="954" ht="14.25" customHeight="1">
      <c r="A954" s="13">
        <v>25350.0</v>
      </c>
      <c r="B954" s="13" t="str">
        <f t="shared" si="8"/>
        <v>Observational</v>
      </c>
      <c r="C954" s="13" t="s">
        <v>4856</v>
      </c>
      <c r="D954" s="1" t="s">
        <v>5383</v>
      </c>
      <c r="E954" s="2" t="s">
        <v>5384</v>
      </c>
      <c r="F954" s="13" t="s">
        <v>3159</v>
      </c>
      <c r="G954" s="13" t="s">
        <v>3159</v>
      </c>
      <c r="H954" s="13" t="s">
        <v>3166</v>
      </c>
      <c r="I954" s="13" t="s">
        <v>3157</v>
      </c>
      <c r="J954" s="13" t="s">
        <v>3570</v>
      </c>
      <c r="K954" s="13" t="s">
        <v>3153</v>
      </c>
      <c r="L954" s="13" t="s">
        <v>3169</v>
      </c>
      <c r="M954" s="13" t="s">
        <v>3161</v>
      </c>
      <c r="N954" s="13" t="s">
        <v>3162</v>
      </c>
      <c r="O954" s="13" t="s">
        <v>33</v>
      </c>
      <c r="P954" s="13">
        <v>1.0</v>
      </c>
      <c r="Q954" s="13" t="s">
        <v>3160</v>
      </c>
      <c r="R954" s="13" t="s">
        <v>3163</v>
      </c>
      <c r="S954" s="13" t="s">
        <v>33</v>
      </c>
      <c r="T954" s="13" t="s">
        <v>3216</v>
      </c>
      <c r="U954" s="13" t="s">
        <v>3164</v>
      </c>
      <c r="V954" s="13" t="s">
        <v>3164</v>
      </c>
      <c r="W954" s="13" t="s">
        <v>3167</v>
      </c>
      <c r="X954" s="13" t="s">
        <v>3170</v>
      </c>
      <c r="Y954" s="13" t="s">
        <v>3156</v>
      </c>
      <c r="Z954" s="13" t="s">
        <v>33</v>
      </c>
      <c r="AA954" s="13" t="b">
        <v>0</v>
      </c>
      <c r="AB954" s="48"/>
      <c r="AC954" s="49"/>
    </row>
    <row r="955" ht="14.25" customHeight="1">
      <c r="A955" s="13">
        <v>25352.0</v>
      </c>
      <c r="B955" s="13" t="str">
        <f t="shared" si="8"/>
        <v>Observational</v>
      </c>
      <c r="C955" s="13" t="s">
        <v>4856</v>
      </c>
      <c r="D955" s="1" t="s">
        <v>5383</v>
      </c>
      <c r="E955" s="2" t="s">
        <v>5384</v>
      </c>
      <c r="F955" s="13" t="s">
        <v>3201</v>
      </c>
      <c r="G955" s="13" t="s">
        <v>3335</v>
      </c>
      <c r="H955" s="13" t="s">
        <v>3195</v>
      </c>
      <c r="I955" s="13" t="s">
        <v>3244</v>
      </c>
      <c r="J955" s="13" t="s">
        <v>3289</v>
      </c>
      <c r="K955" s="13" t="s">
        <v>3153</v>
      </c>
      <c r="L955" s="13" t="s">
        <v>3169</v>
      </c>
      <c r="M955" s="13" t="s">
        <v>3161</v>
      </c>
      <c r="N955" s="13" t="s">
        <v>3162</v>
      </c>
      <c r="O955" s="13" t="s">
        <v>33</v>
      </c>
      <c r="P955" s="13">
        <v>1.0</v>
      </c>
      <c r="Q955" s="13" t="s">
        <v>3160</v>
      </c>
      <c r="R955" s="13" t="s">
        <v>3163</v>
      </c>
      <c r="S955" s="13" t="s">
        <v>3323</v>
      </c>
      <c r="T955" s="13" t="s">
        <v>3167</v>
      </c>
      <c r="U955" s="13" t="s">
        <v>3195</v>
      </c>
      <c r="V955" s="13" t="s">
        <v>3195</v>
      </c>
      <c r="W955" s="13" t="s">
        <v>3167</v>
      </c>
      <c r="X955" s="13" t="s">
        <v>3192</v>
      </c>
      <c r="Y955" s="13" t="s">
        <v>33</v>
      </c>
      <c r="Z955" s="13" t="s">
        <v>33</v>
      </c>
      <c r="AA955" s="13" t="b">
        <v>0</v>
      </c>
      <c r="AB955" s="48"/>
      <c r="AC955" s="49"/>
    </row>
    <row r="956" ht="14.25" customHeight="1">
      <c r="A956" s="13">
        <v>25381.0</v>
      </c>
      <c r="B956" s="13" t="str">
        <f t="shared" si="8"/>
        <v>Observational</v>
      </c>
      <c r="C956" s="13" t="s">
        <v>4856</v>
      </c>
      <c r="D956" s="1" t="s">
        <v>5383</v>
      </c>
      <c r="E956" s="2" t="s">
        <v>5384</v>
      </c>
      <c r="F956" s="13" t="s">
        <v>3186</v>
      </c>
      <c r="G956" s="13" t="s">
        <v>3186</v>
      </c>
      <c r="H956" s="13" t="s">
        <v>3166</v>
      </c>
      <c r="I956" s="13" t="s">
        <v>3171</v>
      </c>
      <c r="J956" s="13" t="s">
        <v>4218</v>
      </c>
      <c r="K956" s="13" t="s">
        <v>3153</v>
      </c>
      <c r="L956" s="13" t="s">
        <v>3169</v>
      </c>
      <c r="M956" s="13" t="s">
        <v>3161</v>
      </c>
      <c r="N956" s="13" t="s">
        <v>3162</v>
      </c>
      <c r="O956" s="13" t="s">
        <v>33</v>
      </c>
      <c r="P956" s="13">
        <v>1.0</v>
      </c>
      <c r="Q956" s="13" t="s">
        <v>3160</v>
      </c>
      <c r="R956" s="13" t="s">
        <v>3163</v>
      </c>
      <c r="S956" s="13" t="s">
        <v>33</v>
      </c>
      <c r="T956" s="13" t="s">
        <v>3168</v>
      </c>
      <c r="U956" s="13" t="s">
        <v>3164</v>
      </c>
      <c r="V956" s="13" t="s">
        <v>3228</v>
      </c>
      <c r="W956" s="13" t="s">
        <v>3167</v>
      </c>
      <c r="X956" s="13" t="s">
        <v>3211</v>
      </c>
      <c r="Y956" s="13" t="s">
        <v>3366</v>
      </c>
      <c r="Z956" s="13">
        <v>1.0</v>
      </c>
      <c r="AA956" s="13" t="b">
        <v>0</v>
      </c>
      <c r="AB956" s="48"/>
      <c r="AC956" s="49"/>
    </row>
    <row r="957" ht="14.25" customHeight="1">
      <c r="A957" s="13">
        <v>25400.0</v>
      </c>
      <c r="B957" s="13" t="str">
        <f t="shared" si="8"/>
        <v>Observational</v>
      </c>
      <c r="C957" s="13" t="s">
        <v>4852</v>
      </c>
      <c r="D957" s="1" t="s">
        <v>5383</v>
      </c>
      <c r="E957" s="2" t="s">
        <v>5384</v>
      </c>
      <c r="F957" s="13" t="s">
        <v>3186</v>
      </c>
      <c r="G957" s="13" t="s">
        <v>3335</v>
      </c>
      <c r="H957" s="13" t="s">
        <v>3242</v>
      </c>
      <c r="I957" s="13" t="s">
        <v>3157</v>
      </c>
      <c r="J957" s="13" t="s">
        <v>4223</v>
      </c>
      <c r="K957" s="13" t="s">
        <v>3153</v>
      </c>
      <c r="L957" s="13" t="s">
        <v>3154</v>
      </c>
      <c r="M957" s="13" t="s">
        <v>3161</v>
      </c>
      <c r="N957" s="13" t="s">
        <v>3162</v>
      </c>
      <c r="O957" s="13" t="s">
        <v>33</v>
      </c>
      <c r="P957" s="13">
        <v>1.0</v>
      </c>
      <c r="Q957" s="13" t="s">
        <v>3177</v>
      </c>
      <c r="R957" s="13" t="s">
        <v>3163</v>
      </c>
      <c r="S957" s="13" t="s">
        <v>4224</v>
      </c>
      <c r="T957" s="13" t="s">
        <v>3167</v>
      </c>
      <c r="U957" s="13" t="s">
        <v>3247</v>
      </c>
      <c r="V957" s="13" t="s">
        <v>3247</v>
      </c>
      <c r="W957" s="13" t="s">
        <v>3634</v>
      </c>
      <c r="X957" s="13" t="s">
        <v>3211</v>
      </c>
      <c r="Y957" s="13" t="s">
        <v>3520</v>
      </c>
      <c r="Z957" s="13">
        <v>5.0</v>
      </c>
      <c r="AA957" s="13" t="b">
        <v>0</v>
      </c>
      <c r="AB957" s="48"/>
      <c r="AC957" s="49"/>
    </row>
    <row r="958" ht="14.25" customHeight="1">
      <c r="A958" s="13">
        <v>25419.0</v>
      </c>
      <c r="B958" s="13" t="str">
        <f t="shared" si="8"/>
        <v>Observational</v>
      </c>
      <c r="C958" s="13" t="s">
        <v>4856</v>
      </c>
      <c r="D958" s="1" t="s">
        <v>5383</v>
      </c>
      <c r="E958" s="2" t="s">
        <v>5384</v>
      </c>
      <c r="F958" s="13" t="s">
        <v>3214</v>
      </c>
      <c r="G958" s="13" t="s">
        <v>3173</v>
      </c>
      <c r="H958" s="13" t="s">
        <v>3166</v>
      </c>
      <c r="I958" s="13" t="s">
        <v>3222</v>
      </c>
      <c r="J958" s="13" t="s">
        <v>3262</v>
      </c>
      <c r="K958" s="13" t="s">
        <v>3153</v>
      </c>
      <c r="L958" s="13" t="s">
        <v>3169</v>
      </c>
      <c r="M958" s="13" t="s">
        <v>3161</v>
      </c>
      <c r="N958" s="13" t="s">
        <v>3162</v>
      </c>
      <c r="O958" s="13" t="s">
        <v>33</v>
      </c>
      <c r="P958" s="13">
        <v>1.0</v>
      </c>
      <c r="Q958" s="13" t="s">
        <v>3160</v>
      </c>
      <c r="R958" s="13" t="s">
        <v>3163</v>
      </c>
      <c r="S958" s="13" t="s">
        <v>33</v>
      </c>
      <c r="T958" s="13" t="s">
        <v>3276</v>
      </c>
      <c r="U958" s="13" t="s">
        <v>3197</v>
      </c>
      <c r="V958" s="13" t="s">
        <v>3197</v>
      </c>
      <c r="W958" s="13" t="s">
        <v>3167</v>
      </c>
      <c r="X958" s="13" t="s">
        <v>3170</v>
      </c>
      <c r="Y958" s="13" t="s">
        <v>3156</v>
      </c>
      <c r="Z958" s="13" t="s">
        <v>33</v>
      </c>
      <c r="AA958" s="13" t="b">
        <v>0</v>
      </c>
      <c r="AB958" s="48"/>
      <c r="AC958" s="49"/>
    </row>
    <row r="959" ht="14.25" customHeight="1">
      <c r="A959" s="13">
        <v>25420.0</v>
      </c>
      <c r="B959" s="13" t="str">
        <f t="shared" si="8"/>
        <v>Observational</v>
      </c>
      <c r="C959" s="13" t="s">
        <v>4886</v>
      </c>
      <c r="D959" s="1" t="s">
        <v>5383</v>
      </c>
      <c r="E959" s="2" t="s">
        <v>5384</v>
      </c>
      <c r="F959" s="13" t="s">
        <v>3159</v>
      </c>
      <c r="G959" s="13" t="s">
        <v>3159</v>
      </c>
      <c r="H959" s="13" t="s">
        <v>3166</v>
      </c>
      <c r="I959" s="13" t="s">
        <v>3222</v>
      </c>
      <c r="J959" s="13" t="s">
        <v>3262</v>
      </c>
      <c r="K959" s="13" t="s">
        <v>3153</v>
      </c>
      <c r="L959" s="13" t="s">
        <v>3465</v>
      </c>
      <c r="M959" s="13" t="s">
        <v>3161</v>
      </c>
      <c r="N959" s="13" t="s">
        <v>3162</v>
      </c>
      <c r="O959" s="13" t="s">
        <v>33</v>
      </c>
      <c r="P959" s="13">
        <v>1.0</v>
      </c>
      <c r="Q959" s="13" t="s">
        <v>3160</v>
      </c>
      <c r="R959" s="13" t="s">
        <v>3163</v>
      </c>
      <c r="S959" s="13" t="s">
        <v>33</v>
      </c>
      <c r="T959" s="13" t="s">
        <v>3324</v>
      </c>
      <c r="U959" s="13" t="s">
        <v>3164</v>
      </c>
      <c r="V959" s="13" t="s">
        <v>3164</v>
      </c>
      <c r="W959" s="13" t="s">
        <v>3167</v>
      </c>
      <c r="X959" s="13" t="s">
        <v>3192</v>
      </c>
      <c r="Y959" s="13" t="s">
        <v>3156</v>
      </c>
      <c r="Z959" s="13" t="s">
        <v>33</v>
      </c>
      <c r="AA959" s="13" t="b">
        <v>0</v>
      </c>
      <c r="AB959" s="48"/>
      <c r="AC959" s="49"/>
    </row>
    <row r="960" ht="14.25" customHeight="1">
      <c r="A960" s="13">
        <v>25437.0</v>
      </c>
      <c r="B960" s="13" t="str">
        <f t="shared" si="8"/>
        <v>Observational</v>
      </c>
      <c r="C960" s="13" t="s">
        <v>4856</v>
      </c>
      <c r="D960" s="1" t="s">
        <v>5383</v>
      </c>
      <c r="E960" s="2" t="s">
        <v>5384</v>
      </c>
      <c r="F960" s="13" t="s">
        <v>3183</v>
      </c>
      <c r="G960" s="13" t="s">
        <v>3183</v>
      </c>
      <c r="H960" s="13" t="s">
        <v>3166</v>
      </c>
      <c r="I960" s="13" t="s">
        <v>3157</v>
      </c>
      <c r="J960" s="13" t="s">
        <v>3240</v>
      </c>
      <c r="K960" s="13" t="s">
        <v>3153</v>
      </c>
      <c r="L960" s="13" t="s">
        <v>3169</v>
      </c>
      <c r="M960" s="13" t="s">
        <v>3161</v>
      </c>
      <c r="N960" s="13" t="s">
        <v>3162</v>
      </c>
      <c r="O960" s="13" t="s">
        <v>4239</v>
      </c>
      <c r="P960" s="13">
        <v>1.0</v>
      </c>
      <c r="Q960" s="13" t="s">
        <v>3160</v>
      </c>
      <c r="R960" s="13" t="s">
        <v>3231</v>
      </c>
      <c r="S960" s="13" t="s">
        <v>4239</v>
      </c>
      <c r="T960" s="13" t="s">
        <v>3178</v>
      </c>
      <c r="U960" s="13" t="s">
        <v>3164</v>
      </c>
      <c r="V960" s="13" t="s">
        <v>3164</v>
      </c>
      <c r="W960" s="13" t="s">
        <v>3167</v>
      </c>
      <c r="X960" s="13" t="s">
        <v>3170</v>
      </c>
      <c r="Y960" s="13" t="s">
        <v>3202</v>
      </c>
      <c r="Z960" s="13">
        <v>100.0</v>
      </c>
      <c r="AA960" s="13" t="b">
        <v>0</v>
      </c>
      <c r="AB960" s="48"/>
      <c r="AC960" s="49"/>
    </row>
    <row r="961" ht="14.25" customHeight="1">
      <c r="A961" s="13">
        <v>25442.0</v>
      </c>
      <c r="B961" s="13" t="str">
        <f t="shared" si="8"/>
        <v>Observational</v>
      </c>
      <c r="C961" s="13" t="s">
        <v>4856</v>
      </c>
      <c r="D961" s="1" t="s">
        <v>5383</v>
      </c>
      <c r="E961" s="2" t="s">
        <v>5384</v>
      </c>
      <c r="F961" s="13" t="s">
        <v>3159</v>
      </c>
      <c r="G961" s="13" t="s">
        <v>3159</v>
      </c>
      <c r="H961" s="13" t="s">
        <v>3166</v>
      </c>
      <c r="I961" s="13" t="s">
        <v>3157</v>
      </c>
      <c r="J961" s="13" t="s">
        <v>3240</v>
      </c>
      <c r="K961" s="13" t="s">
        <v>3153</v>
      </c>
      <c r="L961" s="13" t="s">
        <v>3169</v>
      </c>
      <c r="M961" s="13" t="s">
        <v>3161</v>
      </c>
      <c r="N961" s="13" t="s">
        <v>3162</v>
      </c>
      <c r="O961" s="13" t="s">
        <v>33</v>
      </c>
      <c r="P961" s="13">
        <v>1.0</v>
      </c>
      <c r="Q961" s="13" t="s">
        <v>3177</v>
      </c>
      <c r="R961" s="13" t="s">
        <v>3163</v>
      </c>
      <c r="S961" s="13" t="s">
        <v>33</v>
      </c>
      <c r="T961" s="13" t="s">
        <v>3178</v>
      </c>
      <c r="U961" s="13" t="s">
        <v>3164</v>
      </c>
      <c r="V961" s="13" t="s">
        <v>3164</v>
      </c>
      <c r="W961" s="13" t="s">
        <v>3167</v>
      </c>
      <c r="X961" s="13" t="s">
        <v>3155</v>
      </c>
      <c r="Y961" s="13" t="s">
        <v>3156</v>
      </c>
      <c r="Z961" s="13" t="s">
        <v>33</v>
      </c>
      <c r="AA961" s="13" t="b">
        <v>0</v>
      </c>
      <c r="AB961" s="48"/>
      <c r="AC961" s="49"/>
    </row>
    <row r="962" ht="14.25" customHeight="1">
      <c r="A962" s="13">
        <v>25447.0</v>
      </c>
      <c r="B962" s="13" t="str">
        <f t="shared" si="8"/>
        <v>Observational</v>
      </c>
      <c r="C962" s="13" t="s">
        <v>4852</v>
      </c>
      <c r="D962" s="1" t="s">
        <v>5383</v>
      </c>
      <c r="E962" s="2" t="s">
        <v>5384</v>
      </c>
      <c r="F962" s="13" t="s">
        <v>3159</v>
      </c>
      <c r="G962" s="13" t="s">
        <v>3159</v>
      </c>
      <c r="H962" s="13" t="s">
        <v>3166</v>
      </c>
      <c r="I962" s="13" t="s">
        <v>3244</v>
      </c>
      <c r="J962" s="13" t="s">
        <v>3289</v>
      </c>
      <c r="K962" s="13" t="s">
        <v>3153</v>
      </c>
      <c r="L962" s="13" t="s">
        <v>3154</v>
      </c>
      <c r="M962" s="13" t="s">
        <v>3161</v>
      </c>
      <c r="N962" s="13" t="s">
        <v>3162</v>
      </c>
      <c r="O962" s="13" t="s">
        <v>33</v>
      </c>
      <c r="P962" s="13">
        <v>1.0</v>
      </c>
      <c r="Q962" s="13" t="s">
        <v>3160</v>
      </c>
      <c r="R962" s="13" t="s">
        <v>3163</v>
      </c>
      <c r="S962" s="13" t="s">
        <v>33</v>
      </c>
      <c r="T962" s="13" t="s">
        <v>3225</v>
      </c>
      <c r="U962" s="13" t="s">
        <v>3164</v>
      </c>
      <c r="V962" s="13" t="s">
        <v>3164</v>
      </c>
      <c r="W962" s="13" t="s">
        <v>3167</v>
      </c>
      <c r="X962" s="13" t="s">
        <v>3192</v>
      </c>
      <c r="Y962" s="13" t="s">
        <v>3156</v>
      </c>
      <c r="Z962" s="13" t="s">
        <v>33</v>
      </c>
      <c r="AA962" s="13" t="b">
        <v>0</v>
      </c>
      <c r="AB962" s="48"/>
      <c r="AC962" s="49"/>
    </row>
    <row r="963" ht="14.25" customHeight="1">
      <c r="A963" s="13">
        <v>25487.0</v>
      </c>
      <c r="B963" s="13" t="str">
        <f t="shared" si="8"/>
        <v>Observational</v>
      </c>
      <c r="C963" s="13" t="s">
        <v>4852</v>
      </c>
      <c r="D963" s="1" t="s">
        <v>5383</v>
      </c>
      <c r="E963" s="2" t="s">
        <v>5384</v>
      </c>
      <c r="F963" s="13" t="s">
        <v>3159</v>
      </c>
      <c r="G963" s="13" t="s">
        <v>3159</v>
      </c>
      <c r="H963" s="13" t="s">
        <v>3166</v>
      </c>
      <c r="I963" s="13" t="s">
        <v>3157</v>
      </c>
      <c r="J963" s="13" t="s">
        <v>3924</v>
      </c>
      <c r="K963" s="13" t="s">
        <v>3153</v>
      </c>
      <c r="L963" s="13" t="s">
        <v>3154</v>
      </c>
      <c r="M963" s="13" t="s">
        <v>3161</v>
      </c>
      <c r="N963" s="13" t="s">
        <v>3162</v>
      </c>
      <c r="O963" s="13" t="s">
        <v>33</v>
      </c>
      <c r="P963" s="13">
        <v>1.0</v>
      </c>
      <c r="Q963" s="13" t="s">
        <v>3160</v>
      </c>
      <c r="R963" s="13" t="s">
        <v>3163</v>
      </c>
      <c r="S963" s="13" t="s">
        <v>33</v>
      </c>
      <c r="T963" s="13" t="s">
        <v>3324</v>
      </c>
      <c r="U963" s="13" t="s">
        <v>3165</v>
      </c>
      <c r="V963" s="13" t="s">
        <v>3165</v>
      </c>
      <c r="W963" s="13" t="s">
        <v>3167</v>
      </c>
      <c r="X963" s="13" t="s">
        <v>3170</v>
      </c>
      <c r="Y963" s="13" t="s">
        <v>3156</v>
      </c>
      <c r="Z963" s="13" t="s">
        <v>33</v>
      </c>
      <c r="AA963" s="13" t="b">
        <v>0</v>
      </c>
      <c r="AB963" s="48"/>
      <c r="AC963" s="49"/>
    </row>
    <row r="964" ht="14.25" customHeight="1">
      <c r="A964" s="13">
        <v>25488.0</v>
      </c>
      <c r="B964" s="13" t="str">
        <f t="shared" si="8"/>
        <v>Observational</v>
      </c>
      <c r="C964" s="13" t="s">
        <v>4886</v>
      </c>
      <c r="D964" s="1" t="s">
        <v>5383</v>
      </c>
      <c r="E964" s="2" t="s">
        <v>5384</v>
      </c>
      <c r="F964" s="13" t="s">
        <v>3370</v>
      </c>
      <c r="G964" s="13" t="s">
        <v>3370</v>
      </c>
      <c r="H964" s="13" t="s">
        <v>3166</v>
      </c>
      <c r="I964" s="13" t="s">
        <v>3167</v>
      </c>
      <c r="J964" s="13" t="s">
        <v>3167</v>
      </c>
      <c r="K964" s="13" t="s">
        <v>3153</v>
      </c>
      <c r="L964" s="13" t="s">
        <v>3465</v>
      </c>
      <c r="M964" s="13" t="s">
        <v>3161</v>
      </c>
      <c r="N964" s="13" t="s">
        <v>3162</v>
      </c>
      <c r="O964" s="13" t="s">
        <v>33</v>
      </c>
      <c r="P964" s="13">
        <v>1.0</v>
      </c>
      <c r="Q964" s="13" t="s">
        <v>3160</v>
      </c>
      <c r="R964" s="13" t="s">
        <v>3163</v>
      </c>
      <c r="S964" s="13" t="s">
        <v>33</v>
      </c>
      <c r="T964" s="13" t="s">
        <v>3324</v>
      </c>
      <c r="U964" s="13" t="s">
        <v>3232</v>
      </c>
      <c r="V964" s="13" t="s">
        <v>3232</v>
      </c>
      <c r="W964" s="13" t="s">
        <v>3167</v>
      </c>
      <c r="X964" s="13" t="s">
        <v>3217</v>
      </c>
      <c r="Y964" s="13" t="s">
        <v>3156</v>
      </c>
      <c r="Z964" s="13" t="s">
        <v>33</v>
      </c>
      <c r="AA964" s="13" t="b">
        <v>0</v>
      </c>
      <c r="AB964" s="48"/>
      <c r="AC964" s="49"/>
    </row>
    <row r="965" ht="14.25" customHeight="1">
      <c r="A965" s="13">
        <v>25499.0</v>
      </c>
      <c r="B965" s="13" t="str">
        <f t="shared" si="8"/>
        <v>Observational</v>
      </c>
      <c r="C965" s="13" t="s">
        <v>4852</v>
      </c>
      <c r="D965" s="1" t="s">
        <v>5383</v>
      </c>
      <c r="E965" s="2" t="s">
        <v>5384</v>
      </c>
      <c r="F965" s="13" t="s">
        <v>3159</v>
      </c>
      <c r="G965" s="13" t="s">
        <v>3159</v>
      </c>
      <c r="H965" s="13" t="s">
        <v>3166</v>
      </c>
      <c r="I965" s="13" t="s">
        <v>3157</v>
      </c>
      <c r="J965" s="13" t="s">
        <v>3500</v>
      </c>
      <c r="K965" s="13" t="s">
        <v>3153</v>
      </c>
      <c r="L965" s="13" t="s">
        <v>3154</v>
      </c>
      <c r="M965" s="13" t="s">
        <v>3161</v>
      </c>
      <c r="N965" s="13" t="s">
        <v>3162</v>
      </c>
      <c r="O965" s="13" t="s">
        <v>3167</v>
      </c>
      <c r="P965" s="13">
        <v>1.0</v>
      </c>
      <c r="Q965" s="13" t="s">
        <v>3177</v>
      </c>
      <c r="R965" s="13" t="s">
        <v>3260</v>
      </c>
      <c r="S965" s="13" t="s">
        <v>33</v>
      </c>
      <c r="T965" s="13" t="s">
        <v>3324</v>
      </c>
      <c r="U965" s="13" t="s">
        <v>3164</v>
      </c>
      <c r="V965" s="13" t="s">
        <v>3164</v>
      </c>
      <c r="W965" s="13" t="s">
        <v>3167</v>
      </c>
      <c r="X965" s="13" t="s">
        <v>3211</v>
      </c>
      <c r="Y965" s="13" t="s">
        <v>3156</v>
      </c>
      <c r="Z965" s="13" t="s">
        <v>3167</v>
      </c>
      <c r="AA965" s="13" t="b">
        <v>0</v>
      </c>
      <c r="AB965" s="48"/>
      <c r="AC965" s="49"/>
    </row>
    <row r="966" ht="14.25" customHeight="1">
      <c r="A966" s="13">
        <v>25515.0</v>
      </c>
      <c r="B966" s="13" t="str">
        <f t="shared" si="8"/>
        <v>Observational</v>
      </c>
      <c r="C966" s="13" t="s">
        <v>4856</v>
      </c>
      <c r="D966" s="1" t="s">
        <v>5383</v>
      </c>
      <c r="E966" s="2" t="s">
        <v>5384</v>
      </c>
      <c r="F966" s="13" t="s">
        <v>3159</v>
      </c>
      <c r="G966" s="13" t="s">
        <v>3437</v>
      </c>
      <c r="H966" s="13" t="s">
        <v>3242</v>
      </c>
      <c r="I966" s="13" t="s">
        <v>3157</v>
      </c>
      <c r="J966" s="13" t="s">
        <v>3307</v>
      </c>
      <c r="K966" s="13" t="s">
        <v>3153</v>
      </c>
      <c r="L966" s="13" t="s">
        <v>3169</v>
      </c>
      <c r="M966" s="13" t="s">
        <v>3161</v>
      </c>
      <c r="N966" s="13" t="s">
        <v>3162</v>
      </c>
      <c r="O966" s="13" t="s">
        <v>33</v>
      </c>
      <c r="P966" s="13">
        <v>1.0</v>
      </c>
      <c r="Q966" s="13" t="s">
        <v>3177</v>
      </c>
      <c r="R966" s="13" t="s">
        <v>3163</v>
      </c>
      <c r="S966" s="13" t="s">
        <v>33</v>
      </c>
      <c r="T966" s="13" t="s">
        <v>3167</v>
      </c>
      <c r="U966" s="13" t="s">
        <v>3164</v>
      </c>
      <c r="V966" s="13" t="s">
        <v>3164</v>
      </c>
      <c r="W966" s="13" t="s">
        <v>3433</v>
      </c>
      <c r="X966" s="13" t="s">
        <v>3192</v>
      </c>
      <c r="Y966" s="13" t="s">
        <v>33</v>
      </c>
      <c r="Z966" s="13" t="s">
        <v>33</v>
      </c>
      <c r="AA966" s="13" t="b">
        <v>0</v>
      </c>
      <c r="AB966" s="48"/>
      <c r="AC966" s="49"/>
    </row>
    <row r="967" ht="14.25" customHeight="1">
      <c r="A967" s="13">
        <v>25526.0</v>
      </c>
      <c r="B967" s="13" t="str">
        <f t="shared" si="8"/>
        <v>Observational</v>
      </c>
      <c r="C967" s="13" t="s">
        <v>4886</v>
      </c>
      <c r="D967" s="1" t="s">
        <v>5383</v>
      </c>
      <c r="E967" s="2" t="s">
        <v>5384</v>
      </c>
      <c r="F967" s="13" t="s">
        <v>3159</v>
      </c>
      <c r="G967" s="13" t="s">
        <v>3680</v>
      </c>
      <c r="H967" s="13" t="s">
        <v>3166</v>
      </c>
      <c r="I967" s="13" t="s">
        <v>3171</v>
      </c>
      <c r="J967" s="13" t="s">
        <v>4260</v>
      </c>
      <c r="K967" s="13" t="s">
        <v>3153</v>
      </c>
      <c r="L967" s="13" t="s">
        <v>3465</v>
      </c>
      <c r="M967" s="13" t="s">
        <v>3161</v>
      </c>
      <c r="N967" s="13" t="s">
        <v>3162</v>
      </c>
      <c r="O967" s="13" t="s">
        <v>33</v>
      </c>
      <c r="P967" s="13">
        <v>1.0</v>
      </c>
      <c r="Q967" s="13" t="s">
        <v>3160</v>
      </c>
      <c r="R967" s="13" t="s">
        <v>3163</v>
      </c>
      <c r="S967" s="13" t="s">
        <v>3323</v>
      </c>
      <c r="T967" s="13" t="s">
        <v>3324</v>
      </c>
      <c r="U967" s="13" t="s">
        <v>3232</v>
      </c>
      <c r="V967" s="13" t="s">
        <v>3232</v>
      </c>
      <c r="W967" s="13" t="s">
        <v>3167</v>
      </c>
      <c r="X967" s="13" t="s">
        <v>3211</v>
      </c>
      <c r="Y967" s="13" t="s">
        <v>3156</v>
      </c>
      <c r="Z967" s="13" t="s">
        <v>33</v>
      </c>
      <c r="AA967" s="13" t="b">
        <v>0</v>
      </c>
      <c r="AB967" s="48"/>
      <c r="AC967" s="49"/>
    </row>
    <row r="968" ht="14.25" customHeight="1">
      <c r="A968" s="13">
        <v>25543.0</v>
      </c>
      <c r="B968" s="13" t="str">
        <f t="shared" si="8"/>
        <v>Observational</v>
      </c>
      <c r="C968" s="13" t="s">
        <v>4856</v>
      </c>
      <c r="D968" s="1" t="s">
        <v>5383</v>
      </c>
      <c r="E968" s="2" t="s">
        <v>5384</v>
      </c>
      <c r="F968" s="13" t="s">
        <v>3183</v>
      </c>
      <c r="G968" s="13" t="s">
        <v>3381</v>
      </c>
      <c r="H968" s="13" t="s">
        <v>3242</v>
      </c>
      <c r="I968" s="13" t="s">
        <v>3157</v>
      </c>
      <c r="J968" s="13" t="s">
        <v>3199</v>
      </c>
      <c r="K968" s="13" t="s">
        <v>3153</v>
      </c>
      <c r="L968" s="13" t="s">
        <v>3169</v>
      </c>
      <c r="M968" s="13" t="s">
        <v>3161</v>
      </c>
      <c r="N968" s="13" t="s">
        <v>3162</v>
      </c>
      <c r="O968" s="13" t="s">
        <v>4263</v>
      </c>
      <c r="P968" s="13">
        <v>1.0</v>
      </c>
      <c r="Q968" s="13" t="s">
        <v>3177</v>
      </c>
      <c r="R968" s="13" t="s">
        <v>3231</v>
      </c>
      <c r="S968" s="13" t="s">
        <v>4264</v>
      </c>
      <c r="T968" s="13" t="s">
        <v>3167</v>
      </c>
      <c r="U968" s="13" t="s">
        <v>3164</v>
      </c>
      <c r="V968" s="13" t="s">
        <v>3164</v>
      </c>
      <c r="W968" s="13" t="s">
        <v>3433</v>
      </c>
      <c r="X968" s="13" t="s">
        <v>3155</v>
      </c>
      <c r="Y968" s="13" t="s">
        <v>3187</v>
      </c>
      <c r="Z968" s="13">
        <v>1.0</v>
      </c>
      <c r="AA968" s="13" t="b">
        <v>0</v>
      </c>
      <c r="AB968" s="48"/>
      <c r="AC968" s="49"/>
    </row>
    <row r="969" ht="14.25" customHeight="1">
      <c r="A969" s="13">
        <v>25582.0</v>
      </c>
      <c r="B969" s="13" t="str">
        <f t="shared" si="8"/>
        <v>Observational</v>
      </c>
      <c r="C969" s="13" t="s">
        <v>4856</v>
      </c>
      <c r="D969" s="1" t="s">
        <v>5383</v>
      </c>
      <c r="E969" s="2" t="s">
        <v>5384</v>
      </c>
      <c r="F969" s="13" t="s">
        <v>3159</v>
      </c>
      <c r="G969" s="13" t="s">
        <v>3210</v>
      </c>
      <c r="H969" s="13" t="s">
        <v>3195</v>
      </c>
      <c r="I969" s="13" t="s">
        <v>3222</v>
      </c>
      <c r="J969" s="13" t="s">
        <v>3229</v>
      </c>
      <c r="K969" s="13" t="s">
        <v>3153</v>
      </c>
      <c r="L969" s="13" t="s">
        <v>3169</v>
      </c>
      <c r="M969" s="13" t="s">
        <v>3161</v>
      </c>
      <c r="N969" s="13" t="s">
        <v>3162</v>
      </c>
      <c r="O969" s="13" t="s">
        <v>33</v>
      </c>
      <c r="P969" s="13">
        <v>1.0</v>
      </c>
      <c r="Q969" s="13" t="s">
        <v>3160</v>
      </c>
      <c r="R969" s="13" t="s">
        <v>3163</v>
      </c>
      <c r="S969" s="13" t="s">
        <v>33</v>
      </c>
      <c r="T969" s="13" t="s">
        <v>3167</v>
      </c>
      <c r="U969" s="13" t="s">
        <v>3195</v>
      </c>
      <c r="V969" s="13" t="s">
        <v>3195</v>
      </c>
      <c r="W969" s="13" t="s">
        <v>3167</v>
      </c>
      <c r="X969" s="13" t="s">
        <v>3170</v>
      </c>
      <c r="Y969" s="13" t="s">
        <v>3156</v>
      </c>
      <c r="Z969" s="13" t="s">
        <v>33</v>
      </c>
      <c r="AA969" s="13" t="b">
        <v>0</v>
      </c>
      <c r="AB969" s="48"/>
      <c r="AC969" s="49"/>
    </row>
    <row r="970" ht="14.25" customHeight="1">
      <c r="A970" s="13">
        <v>25589.0</v>
      </c>
      <c r="B970" s="13" t="str">
        <f t="shared" si="8"/>
        <v>Observational</v>
      </c>
      <c r="C970" s="13" t="s">
        <v>4856</v>
      </c>
      <c r="D970" s="1" t="s">
        <v>5383</v>
      </c>
      <c r="E970" s="2" t="s">
        <v>5384</v>
      </c>
      <c r="F970" s="13" t="s">
        <v>3159</v>
      </c>
      <c r="G970" s="13" t="s">
        <v>3437</v>
      </c>
      <c r="H970" s="13" t="s">
        <v>3166</v>
      </c>
      <c r="I970" s="13" t="s">
        <v>3244</v>
      </c>
      <c r="J970" s="13" t="s">
        <v>3289</v>
      </c>
      <c r="K970" s="13" t="s">
        <v>3153</v>
      </c>
      <c r="L970" s="13" t="s">
        <v>3169</v>
      </c>
      <c r="M970" s="13" t="s">
        <v>3161</v>
      </c>
      <c r="N970" s="13" t="s">
        <v>3162</v>
      </c>
      <c r="O970" s="13" t="s">
        <v>33</v>
      </c>
      <c r="P970" s="13">
        <v>1.0</v>
      </c>
      <c r="Q970" s="13" t="s">
        <v>3160</v>
      </c>
      <c r="R970" s="13" t="s">
        <v>3163</v>
      </c>
      <c r="S970" s="13" t="s">
        <v>33</v>
      </c>
      <c r="T970" s="13" t="s">
        <v>3178</v>
      </c>
      <c r="U970" s="13" t="s">
        <v>3232</v>
      </c>
      <c r="V970" s="13" t="s">
        <v>3232</v>
      </c>
      <c r="W970" s="13" t="s">
        <v>3167</v>
      </c>
      <c r="X970" s="13" t="s">
        <v>3170</v>
      </c>
      <c r="Y970" s="13" t="s">
        <v>3187</v>
      </c>
      <c r="Z970" s="13">
        <v>0.5</v>
      </c>
      <c r="AA970" s="13" t="b">
        <v>0</v>
      </c>
      <c r="AB970" s="48"/>
      <c r="AC970" s="49"/>
    </row>
    <row r="971" ht="14.25" customHeight="1">
      <c r="A971" s="13">
        <v>25593.0</v>
      </c>
      <c r="B971" s="13" t="str">
        <f t="shared" si="8"/>
        <v>Observational</v>
      </c>
      <c r="C971" s="13" t="s">
        <v>4856</v>
      </c>
      <c r="D971" s="1" t="s">
        <v>5383</v>
      </c>
      <c r="E971" s="2" t="s">
        <v>5384</v>
      </c>
      <c r="F971" s="13" t="s">
        <v>3580</v>
      </c>
      <c r="G971" s="13" t="s">
        <v>3159</v>
      </c>
      <c r="H971" s="13" t="s">
        <v>3166</v>
      </c>
      <c r="I971" s="13" t="s">
        <v>3244</v>
      </c>
      <c r="J971" s="13" t="s">
        <v>4272</v>
      </c>
      <c r="K971" s="13" t="s">
        <v>3153</v>
      </c>
      <c r="L971" s="13" t="s">
        <v>3169</v>
      </c>
      <c r="M971" s="13" t="s">
        <v>3161</v>
      </c>
      <c r="N971" s="13" t="s">
        <v>3162</v>
      </c>
      <c r="O971" s="13" t="s">
        <v>33</v>
      </c>
      <c r="P971" s="13">
        <v>1.0</v>
      </c>
      <c r="Q971" s="13" t="s">
        <v>3160</v>
      </c>
      <c r="R971" s="13" t="s">
        <v>3163</v>
      </c>
      <c r="S971" s="13" t="s">
        <v>33</v>
      </c>
      <c r="T971" s="13" t="s">
        <v>3178</v>
      </c>
      <c r="U971" s="13" t="s">
        <v>3164</v>
      </c>
      <c r="V971" s="13" t="s">
        <v>3164</v>
      </c>
      <c r="W971" s="13" t="s">
        <v>3167</v>
      </c>
      <c r="X971" s="13" t="s">
        <v>3211</v>
      </c>
      <c r="Y971" s="13" t="s">
        <v>3156</v>
      </c>
      <c r="Z971" s="13" t="s">
        <v>33</v>
      </c>
      <c r="AA971" s="13" t="b">
        <v>0</v>
      </c>
      <c r="AB971" s="48"/>
      <c r="AC971" s="49"/>
    </row>
    <row r="972" ht="14.25" customHeight="1">
      <c r="A972" s="13">
        <v>25614.0</v>
      </c>
      <c r="B972" s="13" t="str">
        <f t="shared" si="8"/>
        <v>Observational</v>
      </c>
      <c r="C972" s="13" t="s">
        <v>4856</v>
      </c>
      <c r="D972" s="1" t="s">
        <v>5383</v>
      </c>
      <c r="E972" s="2" t="s">
        <v>5384</v>
      </c>
      <c r="F972" s="13" t="s">
        <v>3159</v>
      </c>
      <c r="G972" s="13" t="s">
        <v>3335</v>
      </c>
      <c r="H972" s="13" t="s">
        <v>3195</v>
      </c>
      <c r="I972" s="13" t="s">
        <v>3222</v>
      </c>
      <c r="J972" s="13" t="s">
        <v>3182</v>
      </c>
      <c r="K972" s="13" t="s">
        <v>3153</v>
      </c>
      <c r="L972" s="13" t="s">
        <v>3169</v>
      </c>
      <c r="M972" s="13" t="s">
        <v>3161</v>
      </c>
      <c r="N972" s="13" t="s">
        <v>3162</v>
      </c>
      <c r="O972" s="13" t="s">
        <v>33</v>
      </c>
      <c r="P972" s="13">
        <v>1.0</v>
      </c>
      <c r="Q972" s="13" t="s">
        <v>3160</v>
      </c>
      <c r="R972" s="13" t="s">
        <v>3163</v>
      </c>
      <c r="S972" s="13" t="s">
        <v>4275</v>
      </c>
      <c r="T972" s="13" t="s">
        <v>3167</v>
      </c>
      <c r="U972" s="13" t="s">
        <v>3195</v>
      </c>
      <c r="V972" s="13" t="s">
        <v>3195</v>
      </c>
      <c r="W972" s="13" t="s">
        <v>3167</v>
      </c>
      <c r="X972" s="13" t="s">
        <v>3192</v>
      </c>
      <c r="Y972" s="13" t="s">
        <v>3156</v>
      </c>
      <c r="Z972" s="13" t="s">
        <v>33</v>
      </c>
      <c r="AA972" s="13" t="b">
        <v>0</v>
      </c>
      <c r="AB972" s="48"/>
      <c r="AC972" s="49"/>
    </row>
    <row r="973" ht="14.25" customHeight="1">
      <c r="A973" s="13">
        <v>25630.0</v>
      </c>
      <c r="B973" s="13" t="str">
        <f t="shared" si="8"/>
        <v>Observational</v>
      </c>
      <c r="C973" s="13" t="s">
        <v>4856</v>
      </c>
      <c r="D973" s="1" t="s">
        <v>5383</v>
      </c>
      <c r="E973" s="2" t="s">
        <v>5384</v>
      </c>
      <c r="F973" s="13" t="s">
        <v>3159</v>
      </c>
      <c r="G973" s="13" t="s">
        <v>3210</v>
      </c>
      <c r="H973" s="13" t="s">
        <v>3195</v>
      </c>
      <c r="I973" s="13" t="s">
        <v>3222</v>
      </c>
      <c r="J973" s="13" t="s">
        <v>3182</v>
      </c>
      <c r="K973" s="13" t="s">
        <v>3153</v>
      </c>
      <c r="L973" s="13" t="s">
        <v>3169</v>
      </c>
      <c r="M973" s="13" t="s">
        <v>3161</v>
      </c>
      <c r="N973" s="13" t="s">
        <v>3162</v>
      </c>
      <c r="O973" s="13" t="s">
        <v>33</v>
      </c>
      <c r="P973" s="13">
        <v>1.0</v>
      </c>
      <c r="Q973" s="13" t="s">
        <v>3160</v>
      </c>
      <c r="R973" s="13" t="s">
        <v>3163</v>
      </c>
      <c r="S973" s="13" t="s">
        <v>33</v>
      </c>
      <c r="T973" s="13" t="s">
        <v>3167</v>
      </c>
      <c r="U973" s="13" t="s">
        <v>3195</v>
      </c>
      <c r="V973" s="13" t="s">
        <v>3195</v>
      </c>
      <c r="W973" s="13" t="s">
        <v>3167</v>
      </c>
      <c r="X973" s="13" t="s">
        <v>3170</v>
      </c>
      <c r="Y973" s="13" t="s">
        <v>3156</v>
      </c>
      <c r="Z973" s="13" t="s">
        <v>33</v>
      </c>
      <c r="AA973" s="13" t="b">
        <v>0</v>
      </c>
      <c r="AB973" s="48"/>
      <c r="AC973" s="49"/>
    </row>
    <row r="974" ht="14.25" customHeight="1">
      <c r="A974" s="13">
        <v>25656.0</v>
      </c>
      <c r="B974" s="13" t="str">
        <f t="shared" si="8"/>
        <v>Observational</v>
      </c>
      <c r="C974" s="13" t="s">
        <v>4856</v>
      </c>
      <c r="D974" s="1" t="s">
        <v>5383</v>
      </c>
      <c r="E974" s="2" t="s">
        <v>5384</v>
      </c>
      <c r="F974" s="13" t="s">
        <v>3159</v>
      </c>
      <c r="G974" s="13" t="s">
        <v>3159</v>
      </c>
      <c r="H974" s="13" t="s">
        <v>3166</v>
      </c>
      <c r="I974" s="13" t="s">
        <v>3157</v>
      </c>
      <c r="J974" s="13" t="s">
        <v>4295</v>
      </c>
      <c r="K974" s="13" t="s">
        <v>3153</v>
      </c>
      <c r="L974" s="13" t="s">
        <v>3169</v>
      </c>
      <c r="M974" s="13" t="s">
        <v>3161</v>
      </c>
      <c r="N974" s="13" t="s">
        <v>3162</v>
      </c>
      <c r="O974" s="13" t="s">
        <v>33</v>
      </c>
      <c r="P974" s="13">
        <v>1.0</v>
      </c>
      <c r="Q974" s="13" t="s">
        <v>3160</v>
      </c>
      <c r="R974" s="13" t="s">
        <v>3163</v>
      </c>
      <c r="S974" s="13" t="s">
        <v>33</v>
      </c>
      <c r="T974" s="13" t="s">
        <v>3324</v>
      </c>
      <c r="U974" s="13" t="s">
        <v>3232</v>
      </c>
      <c r="V974" s="13" t="s">
        <v>3232</v>
      </c>
      <c r="W974" s="13" t="s">
        <v>3167</v>
      </c>
      <c r="X974" s="13" t="s">
        <v>3211</v>
      </c>
      <c r="Y974" s="13" t="s">
        <v>3156</v>
      </c>
      <c r="Z974" s="13" t="s">
        <v>33</v>
      </c>
      <c r="AA974" s="13" t="b">
        <v>0</v>
      </c>
      <c r="AB974" s="48"/>
      <c r="AC974" s="49"/>
    </row>
    <row r="975" ht="14.25" customHeight="1">
      <c r="A975" s="13">
        <v>25695.0</v>
      </c>
      <c r="B975" s="13" t="str">
        <f t="shared" si="8"/>
        <v>Observational</v>
      </c>
      <c r="C975" s="13" t="s">
        <v>4856</v>
      </c>
      <c r="D975" s="1" t="s">
        <v>5383</v>
      </c>
      <c r="E975" s="2" t="s">
        <v>5384</v>
      </c>
      <c r="F975" s="13" t="s">
        <v>3159</v>
      </c>
      <c r="G975" s="13" t="s">
        <v>3159</v>
      </c>
      <c r="H975" s="13" t="s">
        <v>3166</v>
      </c>
      <c r="I975" s="13" t="s">
        <v>3222</v>
      </c>
      <c r="J975" s="13" t="s">
        <v>4306</v>
      </c>
      <c r="K975" s="13" t="s">
        <v>3153</v>
      </c>
      <c r="L975" s="13" t="s">
        <v>3169</v>
      </c>
      <c r="M975" s="13" t="s">
        <v>3161</v>
      </c>
      <c r="N975" s="13" t="s">
        <v>3162</v>
      </c>
      <c r="O975" s="13" t="s">
        <v>33</v>
      </c>
      <c r="P975" s="13">
        <v>1.0</v>
      </c>
      <c r="Q975" s="13" t="s">
        <v>3160</v>
      </c>
      <c r="R975" s="13" t="s">
        <v>3163</v>
      </c>
      <c r="S975" s="13" t="s">
        <v>33</v>
      </c>
      <c r="T975" s="13" t="s">
        <v>3216</v>
      </c>
      <c r="U975" s="13" t="s">
        <v>3164</v>
      </c>
      <c r="V975" s="13" t="s">
        <v>3164</v>
      </c>
      <c r="W975" s="13" t="s">
        <v>3167</v>
      </c>
      <c r="X975" s="13" t="s">
        <v>3170</v>
      </c>
      <c r="Y975" s="13" t="s">
        <v>33</v>
      </c>
      <c r="Z975" s="13" t="s">
        <v>33</v>
      </c>
      <c r="AA975" s="13" t="b">
        <v>0</v>
      </c>
      <c r="AB975" s="48"/>
      <c r="AC975" s="49"/>
    </row>
    <row r="976" ht="14.25" customHeight="1">
      <c r="A976" s="13">
        <v>25696.0</v>
      </c>
      <c r="B976" s="13" t="str">
        <f t="shared" si="8"/>
        <v>Observational</v>
      </c>
      <c r="C976" s="13" t="s">
        <v>4856</v>
      </c>
      <c r="D976" s="1" t="s">
        <v>5383</v>
      </c>
      <c r="E976" s="2" t="s">
        <v>5384</v>
      </c>
      <c r="F976" s="13" t="s">
        <v>3183</v>
      </c>
      <c r="G976" s="13" t="s">
        <v>3183</v>
      </c>
      <c r="H976" s="13" t="s">
        <v>3166</v>
      </c>
      <c r="I976" s="13" t="s">
        <v>3157</v>
      </c>
      <c r="J976" s="13" t="s">
        <v>3368</v>
      </c>
      <c r="K976" s="13" t="s">
        <v>3153</v>
      </c>
      <c r="L976" s="13" t="s">
        <v>3169</v>
      </c>
      <c r="M976" s="13" t="s">
        <v>3161</v>
      </c>
      <c r="N976" s="13" t="s">
        <v>3162</v>
      </c>
      <c r="O976" s="13" t="s">
        <v>3689</v>
      </c>
      <c r="P976" s="13">
        <v>1.0</v>
      </c>
      <c r="Q976" s="13" t="s">
        <v>3177</v>
      </c>
      <c r="R976" s="13" t="s">
        <v>3177</v>
      </c>
      <c r="S976" s="13" t="s">
        <v>3689</v>
      </c>
      <c r="T976" s="13" t="s">
        <v>3224</v>
      </c>
      <c r="U976" s="13" t="s">
        <v>3164</v>
      </c>
      <c r="V976" s="13" t="s">
        <v>3164</v>
      </c>
      <c r="W976" s="13" t="s">
        <v>3167</v>
      </c>
      <c r="X976" s="13" t="s">
        <v>3155</v>
      </c>
      <c r="Y976" s="13" t="s">
        <v>3187</v>
      </c>
      <c r="Z976" s="13">
        <v>5.0</v>
      </c>
      <c r="AA976" s="13" t="b">
        <v>0</v>
      </c>
      <c r="AB976" s="48"/>
      <c r="AC976" s="49"/>
    </row>
    <row r="977" ht="14.25" customHeight="1">
      <c r="A977" s="13">
        <v>25737.0</v>
      </c>
      <c r="B977" s="13" t="str">
        <f t="shared" si="8"/>
        <v>Observational</v>
      </c>
      <c r="C977" s="13" t="s">
        <v>4886</v>
      </c>
      <c r="D977" s="1" t="s">
        <v>5383</v>
      </c>
      <c r="E977" s="2" t="s">
        <v>5384</v>
      </c>
      <c r="F977" s="13" t="s">
        <v>3159</v>
      </c>
      <c r="G977" s="13" t="s">
        <v>3159</v>
      </c>
      <c r="H977" s="13" t="s">
        <v>3166</v>
      </c>
      <c r="I977" s="13" t="s">
        <v>3171</v>
      </c>
      <c r="J977" s="13" t="s">
        <v>3378</v>
      </c>
      <c r="K977" s="13" t="s">
        <v>3153</v>
      </c>
      <c r="L977" s="13" t="s">
        <v>3465</v>
      </c>
      <c r="M977" s="13" t="s">
        <v>3161</v>
      </c>
      <c r="N977" s="13" t="s">
        <v>3162</v>
      </c>
      <c r="O977" s="13" t="s">
        <v>33</v>
      </c>
      <c r="P977" s="13">
        <v>1.0</v>
      </c>
      <c r="Q977" s="13" t="s">
        <v>3177</v>
      </c>
      <c r="R977" s="13" t="s">
        <v>3163</v>
      </c>
      <c r="S977" s="13" t="s">
        <v>33</v>
      </c>
      <c r="T977" s="13" t="s">
        <v>3324</v>
      </c>
      <c r="U977" s="13" t="s">
        <v>3165</v>
      </c>
      <c r="V977" s="13" t="s">
        <v>3165</v>
      </c>
      <c r="W977" s="13" t="s">
        <v>3167</v>
      </c>
      <c r="X977" s="13" t="s">
        <v>3155</v>
      </c>
      <c r="Y977" s="13" t="s">
        <v>3156</v>
      </c>
      <c r="Z977" s="13" t="s">
        <v>33</v>
      </c>
      <c r="AA977" s="13" t="b">
        <v>0</v>
      </c>
      <c r="AB977" s="48"/>
      <c r="AC977" s="49"/>
    </row>
    <row r="978" ht="14.25" customHeight="1">
      <c r="A978" s="13">
        <v>25820.0</v>
      </c>
      <c r="B978" s="13" t="str">
        <f t="shared" si="8"/>
        <v>Observational</v>
      </c>
      <c r="C978" s="13" t="s">
        <v>4852</v>
      </c>
      <c r="D978" s="1" t="s">
        <v>5383</v>
      </c>
      <c r="E978" s="2" t="s">
        <v>5384</v>
      </c>
      <c r="F978" s="13" t="s">
        <v>3183</v>
      </c>
      <c r="G978" s="13" t="s">
        <v>3183</v>
      </c>
      <c r="H978" s="13" t="s">
        <v>3166</v>
      </c>
      <c r="I978" s="13" t="s">
        <v>3157</v>
      </c>
      <c r="J978" s="13" t="s">
        <v>3167</v>
      </c>
      <c r="K978" s="13" t="s">
        <v>3153</v>
      </c>
      <c r="L978" s="13" t="s">
        <v>3154</v>
      </c>
      <c r="M978" s="13" t="s">
        <v>3161</v>
      </c>
      <c r="N978" s="13" t="s">
        <v>3162</v>
      </c>
      <c r="O978" s="13" t="s">
        <v>4336</v>
      </c>
      <c r="P978" s="13">
        <v>1.0</v>
      </c>
      <c r="Q978" s="13" t="s">
        <v>3177</v>
      </c>
      <c r="R978" s="13" t="s">
        <v>3260</v>
      </c>
      <c r="S978" s="13" t="s">
        <v>33</v>
      </c>
      <c r="T978" s="13" t="s">
        <v>3255</v>
      </c>
      <c r="U978" s="13" t="s">
        <v>3197</v>
      </c>
      <c r="V978" s="13" t="s">
        <v>3197</v>
      </c>
      <c r="W978" s="13" t="s">
        <v>3167</v>
      </c>
      <c r="X978" s="13" t="s">
        <v>3284</v>
      </c>
      <c r="Y978" s="13" t="s">
        <v>3156</v>
      </c>
      <c r="Z978" s="13" t="s">
        <v>3167</v>
      </c>
      <c r="AA978" s="13" t="b">
        <v>0</v>
      </c>
      <c r="AB978" s="48"/>
      <c r="AC978" s="49"/>
    </row>
    <row r="979" ht="14.25" customHeight="1">
      <c r="A979" s="13">
        <v>25880.0</v>
      </c>
      <c r="B979" s="13" t="str">
        <f t="shared" si="8"/>
        <v>Observational</v>
      </c>
      <c r="C979" s="13" t="s">
        <v>4856</v>
      </c>
      <c r="D979" s="1" t="s">
        <v>5383</v>
      </c>
      <c r="E979" s="2" t="s">
        <v>5384</v>
      </c>
      <c r="F979" s="13" t="s">
        <v>3159</v>
      </c>
      <c r="G979" s="13" t="s">
        <v>3335</v>
      </c>
      <c r="H979" s="13" t="s">
        <v>3195</v>
      </c>
      <c r="I979" s="13" t="s">
        <v>3157</v>
      </c>
      <c r="J979" s="13" t="s">
        <v>3158</v>
      </c>
      <c r="K979" s="13" t="s">
        <v>3153</v>
      </c>
      <c r="L979" s="13" t="s">
        <v>3169</v>
      </c>
      <c r="M979" s="13" t="s">
        <v>3161</v>
      </c>
      <c r="N979" s="13" t="s">
        <v>3162</v>
      </c>
      <c r="O979" s="13" t="s">
        <v>33</v>
      </c>
      <c r="P979" s="13">
        <v>1.0</v>
      </c>
      <c r="Q979" s="13" t="s">
        <v>3160</v>
      </c>
      <c r="R979" s="13" t="s">
        <v>3163</v>
      </c>
      <c r="S979" s="13" t="s">
        <v>3601</v>
      </c>
      <c r="T979" s="13" t="s">
        <v>3167</v>
      </c>
      <c r="U979" s="13" t="s">
        <v>3195</v>
      </c>
      <c r="V979" s="13" t="s">
        <v>3195</v>
      </c>
      <c r="W979" s="13" t="s">
        <v>3167</v>
      </c>
      <c r="X979" s="13" t="s">
        <v>3170</v>
      </c>
      <c r="Y979" s="13" t="s">
        <v>3156</v>
      </c>
      <c r="Z979" s="13" t="s">
        <v>33</v>
      </c>
      <c r="AA979" s="13" t="b">
        <v>0</v>
      </c>
      <c r="AB979" s="48"/>
      <c r="AC979" s="49"/>
    </row>
    <row r="980" ht="14.25" customHeight="1">
      <c r="A980" s="13">
        <v>25934.0</v>
      </c>
      <c r="B980" s="13" t="str">
        <f t="shared" si="8"/>
        <v>Observational</v>
      </c>
      <c r="C980" s="13" t="s">
        <v>4886</v>
      </c>
      <c r="D980" s="1" t="s">
        <v>5383</v>
      </c>
      <c r="E980" s="2" t="s">
        <v>5384</v>
      </c>
      <c r="F980" s="13" t="s">
        <v>3173</v>
      </c>
      <c r="G980" s="13" t="s">
        <v>3173</v>
      </c>
      <c r="H980" s="13" t="s">
        <v>3166</v>
      </c>
      <c r="I980" s="13" t="s">
        <v>3157</v>
      </c>
      <c r="J980" s="13" t="s">
        <v>4397</v>
      </c>
      <c r="K980" s="13" t="s">
        <v>3153</v>
      </c>
      <c r="L980" s="13" t="s">
        <v>3465</v>
      </c>
      <c r="M980" s="13" t="s">
        <v>3161</v>
      </c>
      <c r="N980" s="13" t="s">
        <v>3162</v>
      </c>
      <c r="O980" s="13" t="s">
        <v>33</v>
      </c>
      <c r="P980" s="13">
        <v>1.0</v>
      </c>
      <c r="Q980" s="13" t="s">
        <v>3160</v>
      </c>
      <c r="R980" s="13" t="s">
        <v>3163</v>
      </c>
      <c r="S980" s="13" t="s">
        <v>33</v>
      </c>
      <c r="T980" s="13" t="s">
        <v>3324</v>
      </c>
      <c r="U980" s="13" t="s">
        <v>3232</v>
      </c>
      <c r="V980" s="13" t="s">
        <v>3232</v>
      </c>
      <c r="W980" s="13" t="s">
        <v>3167</v>
      </c>
      <c r="X980" s="13" t="s">
        <v>3211</v>
      </c>
      <c r="Y980" s="13" t="s">
        <v>3156</v>
      </c>
      <c r="Z980" s="13" t="s">
        <v>33</v>
      </c>
      <c r="AA980" s="13" t="b">
        <v>0</v>
      </c>
      <c r="AB980" s="48"/>
      <c r="AC980" s="49"/>
    </row>
    <row r="981" ht="14.25" customHeight="1">
      <c r="A981" s="13">
        <v>25944.0</v>
      </c>
      <c r="B981" s="13" t="str">
        <f t="shared" si="8"/>
        <v>Observational</v>
      </c>
      <c r="C981" s="13" t="s">
        <v>4856</v>
      </c>
      <c r="D981" s="1" t="s">
        <v>5383</v>
      </c>
      <c r="E981" s="2" t="s">
        <v>5384</v>
      </c>
      <c r="F981" s="13" t="s">
        <v>3270</v>
      </c>
      <c r="G981" s="13" t="s">
        <v>3335</v>
      </c>
      <c r="H981" s="13" t="s">
        <v>3195</v>
      </c>
      <c r="I981" s="13" t="s">
        <v>3157</v>
      </c>
      <c r="J981" s="13" t="s">
        <v>4399</v>
      </c>
      <c r="K981" s="13" t="s">
        <v>3153</v>
      </c>
      <c r="L981" s="13" t="s">
        <v>3169</v>
      </c>
      <c r="M981" s="13" t="s">
        <v>3161</v>
      </c>
      <c r="N981" s="13" t="s">
        <v>3162</v>
      </c>
      <c r="O981" s="13" t="s">
        <v>4400</v>
      </c>
      <c r="P981" s="13">
        <v>1.0</v>
      </c>
      <c r="Q981" s="13" t="s">
        <v>3177</v>
      </c>
      <c r="R981" s="13" t="s">
        <v>3231</v>
      </c>
      <c r="S981" s="13" t="s">
        <v>4401</v>
      </c>
      <c r="T981" s="13" t="s">
        <v>3167</v>
      </c>
      <c r="U981" s="13" t="s">
        <v>3195</v>
      </c>
      <c r="V981" s="13" t="s">
        <v>3195</v>
      </c>
      <c r="W981" s="13" t="s">
        <v>3167</v>
      </c>
      <c r="X981" s="13" t="s">
        <v>3170</v>
      </c>
      <c r="Y981" s="13" t="s">
        <v>3202</v>
      </c>
      <c r="Z981" s="13">
        <v>500.0</v>
      </c>
      <c r="AA981" s="13" t="b">
        <v>0</v>
      </c>
      <c r="AB981" s="48"/>
      <c r="AC981" s="49"/>
    </row>
    <row r="982" ht="14.25" customHeight="1">
      <c r="A982" s="13">
        <v>26049.0</v>
      </c>
      <c r="B982" s="13" t="str">
        <f t="shared" si="8"/>
        <v>Observational</v>
      </c>
      <c r="C982" s="13" t="s">
        <v>4856</v>
      </c>
      <c r="D982" s="1" t="s">
        <v>5383</v>
      </c>
      <c r="E982" s="2" t="s">
        <v>5384</v>
      </c>
      <c r="F982" s="13" t="s">
        <v>3333</v>
      </c>
      <c r="G982" s="13" t="s">
        <v>3173</v>
      </c>
      <c r="H982" s="13" t="s">
        <v>3166</v>
      </c>
      <c r="I982" s="13" t="s">
        <v>3203</v>
      </c>
      <c r="J982" s="13" t="s">
        <v>3204</v>
      </c>
      <c r="K982" s="13" t="s">
        <v>3153</v>
      </c>
      <c r="L982" s="13" t="s">
        <v>3169</v>
      </c>
      <c r="M982" s="13" t="s">
        <v>3161</v>
      </c>
      <c r="N982" s="13" t="s">
        <v>3162</v>
      </c>
      <c r="O982" s="13" t="s">
        <v>3167</v>
      </c>
      <c r="P982" s="13">
        <v>1.0</v>
      </c>
      <c r="Q982" s="13" t="s">
        <v>3177</v>
      </c>
      <c r="R982" s="13" t="s">
        <v>3260</v>
      </c>
      <c r="S982" s="13" t="s">
        <v>33</v>
      </c>
      <c r="T982" s="13" t="s">
        <v>3216</v>
      </c>
      <c r="U982" s="13" t="s">
        <v>3232</v>
      </c>
      <c r="V982" s="13" t="s">
        <v>3232</v>
      </c>
      <c r="W982" s="13" t="s">
        <v>3167</v>
      </c>
      <c r="X982" s="13" t="s">
        <v>3155</v>
      </c>
      <c r="Y982" s="13" t="s">
        <v>3156</v>
      </c>
      <c r="Z982" s="13" t="s">
        <v>3167</v>
      </c>
      <c r="AA982" s="13" t="b">
        <v>0</v>
      </c>
      <c r="AB982" s="48"/>
      <c r="AC982" s="49"/>
    </row>
    <row r="983" ht="14.25" customHeight="1">
      <c r="A983" s="13">
        <v>26111.0</v>
      </c>
      <c r="B983" s="13" t="str">
        <f t="shared" si="8"/>
        <v>Observational</v>
      </c>
      <c r="C983" s="13" t="s">
        <v>4852</v>
      </c>
      <c r="D983" s="1" t="s">
        <v>5383</v>
      </c>
      <c r="E983" s="2" t="s">
        <v>5384</v>
      </c>
      <c r="F983" s="13" t="s">
        <v>3159</v>
      </c>
      <c r="G983" s="13" t="s">
        <v>3159</v>
      </c>
      <c r="H983" s="13" t="s">
        <v>3166</v>
      </c>
      <c r="I983" s="13" t="s">
        <v>3157</v>
      </c>
      <c r="J983" s="13" t="s">
        <v>3307</v>
      </c>
      <c r="K983" s="13" t="s">
        <v>3153</v>
      </c>
      <c r="L983" s="13" t="s">
        <v>3154</v>
      </c>
      <c r="M983" s="13" t="s">
        <v>3161</v>
      </c>
      <c r="N983" s="13" t="s">
        <v>3162</v>
      </c>
      <c r="O983" s="13" t="s">
        <v>33</v>
      </c>
      <c r="P983" s="13">
        <v>1.0</v>
      </c>
      <c r="Q983" s="13" t="s">
        <v>3160</v>
      </c>
      <c r="R983" s="13" t="s">
        <v>3163</v>
      </c>
      <c r="S983" s="13" t="s">
        <v>33</v>
      </c>
      <c r="T983" s="13" t="s">
        <v>3324</v>
      </c>
      <c r="U983" s="13" t="s">
        <v>3164</v>
      </c>
      <c r="V983" s="13" t="s">
        <v>3232</v>
      </c>
      <c r="W983" s="13" t="s">
        <v>3167</v>
      </c>
      <c r="X983" s="13" t="s">
        <v>3155</v>
      </c>
      <c r="Y983" s="13" t="s">
        <v>3156</v>
      </c>
      <c r="Z983" s="13" t="s">
        <v>33</v>
      </c>
      <c r="AA983" s="13" t="b">
        <v>0</v>
      </c>
      <c r="AB983" s="48"/>
      <c r="AC983" s="49"/>
    </row>
    <row r="984" ht="14.25" customHeight="1">
      <c r="A984" s="13">
        <v>25266.0</v>
      </c>
      <c r="B984" s="2" t="s">
        <v>4904</v>
      </c>
      <c r="C984" s="13" t="s">
        <v>4886</v>
      </c>
      <c r="D984" s="1" t="s">
        <v>5383</v>
      </c>
      <c r="E984" s="2" t="s">
        <v>5384</v>
      </c>
      <c r="F984" s="13" t="s">
        <v>3173</v>
      </c>
      <c r="G984" s="13" t="s">
        <v>3173</v>
      </c>
      <c r="H984" s="13" t="s">
        <v>3166</v>
      </c>
      <c r="I984" s="13" t="s">
        <v>3188</v>
      </c>
      <c r="J984" s="13" t="s">
        <v>3167</v>
      </c>
      <c r="K984" s="13" t="s">
        <v>3315</v>
      </c>
      <c r="L984" s="13" t="s">
        <v>3465</v>
      </c>
      <c r="M984" s="13" t="s">
        <v>3161</v>
      </c>
      <c r="N984" s="13" t="s">
        <v>3162</v>
      </c>
      <c r="O984" s="13" t="s">
        <v>33</v>
      </c>
      <c r="P984" s="13">
        <v>1.0</v>
      </c>
      <c r="Q984" s="13" t="s">
        <v>3177</v>
      </c>
      <c r="R984" s="13" t="s">
        <v>3163</v>
      </c>
      <c r="S984" s="13" t="s">
        <v>33</v>
      </c>
      <c r="T984" s="13" t="s">
        <v>3324</v>
      </c>
      <c r="U984" s="13" t="s">
        <v>3232</v>
      </c>
      <c r="V984" s="13" t="s">
        <v>3232</v>
      </c>
      <c r="W984" s="13" t="s">
        <v>3167</v>
      </c>
      <c r="X984" s="13" t="s">
        <v>3284</v>
      </c>
      <c r="Y984" s="13" t="s">
        <v>3156</v>
      </c>
      <c r="Z984" s="13" t="s">
        <v>33</v>
      </c>
      <c r="AA984" s="13" t="b">
        <v>0</v>
      </c>
      <c r="AB984" s="48"/>
      <c r="AC984" s="49"/>
    </row>
    <row r="985" ht="14.25" customHeight="1">
      <c r="A985" s="13">
        <v>26140.0</v>
      </c>
      <c r="B985" s="2" t="s">
        <v>4904</v>
      </c>
      <c r="C985" s="13" t="s">
        <v>4886</v>
      </c>
      <c r="D985" s="1" t="s">
        <v>5383</v>
      </c>
      <c r="E985" s="2" t="s">
        <v>5384</v>
      </c>
      <c r="F985" s="13" t="s">
        <v>3173</v>
      </c>
      <c r="G985" s="13" t="s">
        <v>3173</v>
      </c>
      <c r="H985" s="13" t="s">
        <v>3166</v>
      </c>
      <c r="I985" s="13" t="s">
        <v>3171</v>
      </c>
      <c r="J985" s="13" t="s">
        <v>3167</v>
      </c>
      <c r="K985" s="13" t="s">
        <v>3315</v>
      </c>
      <c r="L985" s="13" t="s">
        <v>3465</v>
      </c>
      <c r="M985" s="13" t="s">
        <v>3161</v>
      </c>
      <c r="N985" s="13" t="s">
        <v>3162</v>
      </c>
      <c r="O985" s="13" t="s">
        <v>3167</v>
      </c>
      <c r="P985" s="13">
        <v>1.0</v>
      </c>
      <c r="Q985" s="13" t="s">
        <v>3160</v>
      </c>
      <c r="R985" s="13" t="s">
        <v>3231</v>
      </c>
      <c r="S985" s="13" t="s">
        <v>33</v>
      </c>
      <c r="T985" s="13" t="s">
        <v>3324</v>
      </c>
      <c r="U985" s="13" t="s">
        <v>3232</v>
      </c>
      <c r="V985" s="13" t="s">
        <v>3232</v>
      </c>
      <c r="W985" s="13" t="s">
        <v>3167</v>
      </c>
      <c r="X985" s="13" t="s">
        <v>3284</v>
      </c>
      <c r="Y985" s="13" t="s">
        <v>3187</v>
      </c>
      <c r="Z985" s="13">
        <v>1.0</v>
      </c>
      <c r="AA985" s="13" t="b">
        <v>0</v>
      </c>
      <c r="AB985" s="48"/>
      <c r="AC985" s="49"/>
    </row>
    <row r="986" ht="14.25" customHeight="1">
      <c r="A986" s="13">
        <v>25026.0</v>
      </c>
      <c r="B986" s="13" t="str">
        <f t="shared" ref="B986:B1003" si="9">K986</f>
        <v>Observational</v>
      </c>
      <c r="C986" s="13" t="s">
        <v>4856</v>
      </c>
      <c r="D986" s="1" t="s">
        <v>5385</v>
      </c>
      <c r="E986" s="13" t="s">
        <v>5386</v>
      </c>
      <c r="F986" s="13" t="s">
        <v>3183</v>
      </c>
      <c r="G986" s="13" t="s">
        <v>3183</v>
      </c>
      <c r="H986" s="13" t="s">
        <v>3253</v>
      </c>
      <c r="I986" s="13" t="s">
        <v>3203</v>
      </c>
      <c r="J986" s="13" t="s">
        <v>3204</v>
      </c>
      <c r="K986" s="13" t="s">
        <v>3153</v>
      </c>
      <c r="L986" s="13" t="s">
        <v>3169</v>
      </c>
      <c r="M986" s="13" t="s">
        <v>4104</v>
      </c>
      <c r="N986" s="13" t="s">
        <v>3175</v>
      </c>
      <c r="O986" s="13" t="s">
        <v>4105</v>
      </c>
      <c r="P986" s="13">
        <v>7.0</v>
      </c>
      <c r="Q986" s="13" t="s">
        <v>3177</v>
      </c>
      <c r="R986" s="13" t="s">
        <v>3177</v>
      </c>
      <c r="S986" s="13" t="s">
        <v>4106</v>
      </c>
      <c r="T986" s="13" t="s">
        <v>3476</v>
      </c>
      <c r="U986" s="13" t="s">
        <v>3232</v>
      </c>
      <c r="V986" s="13" t="s">
        <v>3252</v>
      </c>
      <c r="W986" s="13" t="s">
        <v>3634</v>
      </c>
      <c r="X986" s="13" t="s">
        <v>3155</v>
      </c>
      <c r="Y986" s="13" t="s">
        <v>3156</v>
      </c>
      <c r="Z986" s="13" t="s">
        <v>33</v>
      </c>
      <c r="AA986" s="13" t="b">
        <v>0</v>
      </c>
      <c r="AB986" s="48"/>
      <c r="AC986" s="49"/>
    </row>
    <row r="987" ht="14.25" customHeight="1">
      <c r="A987" s="13">
        <v>25933.0</v>
      </c>
      <c r="B987" s="13" t="str">
        <f t="shared" si="9"/>
        <v>Experimental</v>
      </c>
      <c r="C987" s="13" t="s">
        <v>4852</v>
      </c>
      <c r="D987" s="50" t="s">
        <v>5383</v>
      </c>
      <c r="E987" s="2" t="s">
        <v>5387</v>
      </c>
      <c r="F987" s="13" t="s">
        <v>3287</v>
      </c>
      <c r="G987" s="13" t="s">
        <v>3270</v>
      </c>
      <c r="H987" s="13" t="s">
        <v>3166</v>
      </c>
      <c r="I987" s="13" t="s">
        <v>3222</v>
      </c>
      <c r="J987" s="13" t="s">
        <v>3182</v>
      </c>
      <c r="K987" s="13" t="s">
        <v>3457</v>
      </c>
      <c r="L987" s="13" t="s">
        <v>3154</v>
      </c>
      <c r="M987" s="13" t="s">
        <v>4396</v>
      </c>
      <c r="N987" s="13" t="s">
        <v>3162</v>
      </c>
      <c r="O987" s="13" t="s">
        <v>33</v>
      </c>
      <c r="P987" s="13">
        <v>3.0</v>
      </c>
      <c r="Q987" s="13" t="s">
        <v>3160</v>
      </c>
      <c r="R987" s="13" t="s">
        <v>3163</v>
      </c>
      <c r="S987" s="13" t="s">
        <v>33</v>
      </c>
      <c r="T987" s="13" t="s">
        <v>3324</v>
      </c>
      <c r="U987" s="13" t="s">
        <v>3164</v>
      </c>
      <c r="V987" s="13" t="s">
        <v>3164</v>
      </c>
      <c r="W987" s="13" t="s">
        <v>3167</v>
      </c>
      <c r="X987" s="13" t="s">
        <v>3192</v>
      </c>
      <c r="Y987" s="13" t="s">
        <v>3156</v>
      </c>
      <c r="Z987" s="13" t="s">
        <v>33</v>
      </c>
      <c r="AA987" s="13" t="b">
        <v>1</v>
      </c>
      <c r="AB987" s="48"/>
      <c r="AC987" s="49"/>
    </row>
    <row r="988" ht="14.25" customHeight="1">
      <c r="A988" s="13">
        <v>25033.0</v>
      </c>
      <c r="B988" s="13" t="str">
        <f t="shared" si="9"/>
        <v>Observational</v>
      </c>
      <c r="C988" s="13" t="s">
        <v>4856</v>
      </c>
      <c r="D988" s="50" t="s">
        <v>5388</v>
      </c>
      <c r="E988" s="2" t="s">
        <v>5389</v>
      </c>
      <c r="F988" s="13" t="s">
        <v>3190</v>
      </c>
      <c r="G988" s="13" t="s">
        <v>3190</v>
      </c>
      <c r="H988" s="13" t="s">
        <v>3166</v>
      </c>
      <c r="I988" s="13" t="s">
        <v>3157</v>
      </c>
      <c r="J988" s="13" t="s">
        <v>3167</v>
      </c>
      <c r="K988" s="13" t="s">
        <v>3153</v>
      </c>
      <c r="L988" s="13" t="s">
        <v>3169</v>
      </c>
      <c r="M988" s="13" t="s">
        <v>4109</v>
      </c>
      <c r="N988" s="13" t="s">
        <v>3175</v>
      </c>
      <c r="O988" s="13" t="s">
        <v>33</v>
      </c>
      <c r="P988" s="13">
        <v>7.0</v>
      </c>
      <c r="Q988" s="13" t="s">
        <v>3160</v>
      </c>
      <c r="R988" s="13" t="s">
        <v>3163</v>
      </c>
      <c r="S988" s="13" t="s">
        <v>33</v>
      </c>
      <c r="T988" s="13" t="s">
        <v>3632</v>
      </c>
      <c r="U988" s="13" t="s">
        <v>3247</v>
      </c>
      <c r="V988" s="13" t="s">
        <v>3247</v>
      </c>
      <c r="W988" s="13" t="s">
        <v>3167</v>
      </c>
      <c r="X988" s="13" t="s">
        <v>3284</v>
      </c>
      <c r="Y988" s="13" t="s">
        <v>3202</v>
      </c>
      <c r="Z988" s="13">
        <v>500.0</v>
      </c>
      <c r="AA988" s="13" t="b">
        <v>1</v>
      </c>
      <c r="AB988" s="48"/>
      <c r="AC988" s="49"/>
    </row>
    <row r="989" ht="14.25" customHeight="1">
      <c r="A989" s="13">
        <v>23164.0</v>
      </c>
      <c r="B989" s="13" t="str">
        <f t="shared" si="9"/>
        <v>Observational</v>
      </c>
      <c r="C989" s="13" t="s">
        <v>4856</v>
      </c>
      <c r="D989" s="1" t="s">
        <v>5390</v>
      </c>
      <c r="E989" s="13" t="s">
        <v>5391</v>
      </c>
      <c r="F989" s="13" t="s">
        <v>3186</v>
      </c>
      <c r="G989" s="13" t="s">
        <v>3173</v>
      </c>
      <c r="H989" s="13" t="s">
        <v>3253</v>
      </c>
      <c r="I989" s="13" t="s">
        <v>3203</v>
      </c>
      <c r="J989" s="13" t="s">
        <v>3204</v>
      </c>
      <c r="K989" s="13" t="s">
        <v>3153</v>
      </c>
      <c r="L989" s="13" t="s">
        <v>3169</v>
      </c>
      <c r="M989" s="13" t="s">
        <v>3314</v>
      </c>
      <c r="N989" s="13" t="s">
        <v>3162</v>
      </c>
      <c r="O989" s="13" t="s">
        <v>33</v>
      </c>
      <c r="P989" s="13">
        <v>2.0</v>
      </c>
      <c r="Q989" s="13" t="s">
        <v>3177</v>
      </c>
      <c r="R989" s="13" t="s">
        <v>3163</v>
      </c>
      <c r="S989" s="13" t="s">
        <v>33</v>
      </c>
      <c r="T989" s="13" t="s">
        <v>3276</v>
      </c>
      <c r="U989" s="13" t="s">
        <v>3252</v>
      </c>
      <c r="V989" s="13" t="s">
        <v>3252</v>
      </c>
      <c r="W989" s="13" t="s">
        <v>3294</v>
      </c>
      <c r="X989" s="13" t="s">
        <v>3192</v>
      </c>
      <c r="Y989" s="13" t="s">
        <v>3304</v>
      </c>
      <c r="Z989" s="13">
        <v>25.0</v>
      </c>
      <c r="AA989" s="13" t="b">
        <v>0</v>
      </c>
      <c r="AB989" s="48"/>
      <c r="AC989" s="49"/>
    </row>
    <row r="990" ht="14.25" customHeight="1">
      <c r="A990" s="13">
        <v>25529.0</v>
      </c>
      <c r="B990" s="13" t="str">
        <f t="shared" si="9"/>
        <v>Observational</v>
      </c>
      <c r="C990" s="13" t="s">
        <v>4864</v>
      </c>
      <c r="D990" s="1" t="s">
        <v>5392</v>
      </c>
      <c r="E990" s="13" t="s">
        <v>5393</v>
      </c>
      <c r="F990" s="13" t="s">
        <v>3183</v>
      </c>
      <c r="G990" s="13" t="s">
        <v>3183</v>
      </c>
      <c r="H990" s="13" t="s">
        <v>3166</v>
      </c>
      <c r="I990" s="13" t="s">
        <v>3181</v>
      </c>
      <c r="J990" s="13" t="s">
        <v>3730</v>
      </c>
      <c r="K990" s="13" t="s">
        <v>3153</v>
      </c>
      <c r="L990" s="13" t="s">
        <v>3179</v>
      </c>
      <c r="M990" s="13" t="s">
        <v>4261</v>
      </c>
      <c r="N990" s="13" t="s">
        <v>3175</v>
      </c>
      <c r="O990" s="13" t="s">
        <v>3689</v>
      </c>
      <c r="P990" s="13">
        <v>10.0</v>
      </c>
      <c r="Q990" s="13" t="s">
        <v>3177</v>
      </c>
      <c r="R990" s="13" t="s">
        <v>3163</v>
      </c>
      <c r="S990" s="13" t="s">
        <v>3774</v>
      </c>
      <c r="T990" s="13" t="s">
        <v>3168</v>
      </c>
      <c r="U990" s="13" t="s">
        <v>3232</v>
      </c>
      <c r="V990" s="13" t="s">
        <v>3232</v>
      </c>
      <c r="W990" s="13" t="s">
        <v>3167</v>
      </c>
      <c r="X990" s="13" t="s">
        <v>3192</v>
      </c>
      <c r="Y990" s="13" t="s">
        <v>3187</v>
      </c>
      <c r="Z990" s="13">
        <v>0.01</v>
      </c>
      <c r="AA990" s="13" t="b">
        <v>0</v>
      </c>
      <c r="AB990" s="48"/>
      <c r="AC990" s="49"/>
    </row>
    <row r="991" ht="14.25" customHeight="1">
      <c r="A991" s="13">
        <v>23350.0</v>
      </c>
      <c r="B991" s="13" t="str">
        <f t="shared" si="9"/>
        <v>Observational</v>
      </c>
      <c r="C991" s="13" t="s">
        <v>4856</v>
      </c>
      <c r="D991" s="1" t="s">
        <v>5394</v>
      </c>
      <c r="E991" s="13" t="s">
        <v>5395</v>
      </c>
      <c r="F991" s="13" t="s">
        <v>3159</v>
      </c>
      <c r="G991" s="13" t="s">
        <v>3210</v>
      </c>
      <c r="H991" s="13" t="s">
        <v>3195</v>
      </c>
      <c r="I991" s="13" t="s">
        <v>3171</v>
      </c>
      <c r="J991" s="13" t="s">
        <v>3378</v>
      </c>
      <c r="K991" s="13" t="s">
        <v>3153</v>
      </c>
      <c r="L991" s="13" t="s">
        <v>3169</v>
      </c>
      <c r="M991" s="13" t="s">
        <v>3401</v>
      </c>
      <c r="N991" s="13" t="s">
        <v>3162</v>
      </c>
      <c r="O991" s="13" t="s">
        <v>33</v>
      </c>
      <c r="P991" s="13">
        <v>2.0</v>
      </c>
      <c r="Q991" s="13" t="s">
        <v>3160</v>
      </c>
      <c r="R991" s="13" t="s">
        <v>3163</v>
      </c>
      <c r="S991" s="13" t="s">
        <v>33</v>
      </c>
      <c r="T991" s="13" t="s">
        <v>3167</v>
      </c>
      <c r="U991" s="13" t="s">
        <v>3195</v>
      </c>
      <c r="V991" s="13" t="s">
        <v>3195</v>
      </c>
      <c r="W991" s="13" t="s">
        <v>3167</v>
      </c>
      <c r="X991" s="13" t="s">
        <v>3170</v>
      </c>
      <c r="Y991" s="13" t="s">
        <v>3156</v>
      </c>
      <c r="Z991" s="13" t="s">
        <v>33</v>
      </c>
      <c r="AA991" s="13" t="b">
        <v>0</v>
      </c>
      <c r="AB991" s="48"/>
      <c r="AC991" s="49"/>
    </row>
    <row r="992" ht="14.25" customHeight="1">
      <c r="A992" s="13">
        <v>23848.0</v>
      </c>
      <c r="B992" s="13" t="str">
        <f t="shared" si="9"/>
        <v>Observational</v>
      </c>
      <c r="C992" s="13" t="s">
        <v>4886</v>
      </c>
      <c r="D992" s="50" t="s">
        <v>5396</v>
      </c>
      <c r="E992" s="2" t="s">
        <v>5397</v>
      </c>
      <c r="F992" s="13" t="s">
        <v>3183</v>
      </c>
      <c r="G992" s="13" t="s">
        <v>3338</v>
      </c>
      <c r="H992" s="13" t="s">
        <v>3253</v>
      </c>
      <c r="I992" s="13" t="s">
        <v>3203</v>
      </c>
      <c r="J992" s="13" t="s">
        <v>3204</v>
      </c>
      <c r="K992" s="13" t="s">
        <v>3153</v>
      </c>
      <c r="L992" s="13" t="s">
        <v>3465</v>
      </c>
      <c r="M992" s="13" t="s">
        <v>3646</v>
      </c>
      <c r="N992" s="13" t="s">
        <v>3162</v>
      </c>
      <c r="O992" s="13" t="s">
        <v>3647</v>
      </c>
      <c r="P992" s="13">
        <v>6.0</v>
      </c>
      <c r="Q992" s="13" t="s">
        <v>3177</v>
      </c>
      <c r="R992" s="13" t="s">
        <v>3177</v>
      </c>
      <c r="S992" s="13" t="s">
        <v>3647</v>
      </c>
      <c r="T992" s="13" t="s">
        <v>3648</v>
      </c>
      <c r="U992" s="13" t="s">
        <v>3252</v>
      </c>
      <c r="V992" s="13" t="s">
        <v>3252</v>
      </c>
      <c r="W992" s="13" t="s">
        <v>3294</v>
      </c>
      <c r="X992" s="13" t="s">
        <v>3155</v>
      </c>
      <c r="Y992" s="13" t="s">
        <v>33</v>
      </c>
      <c r="Z992" s="13" t="s">
        <v>33</v>
      </c>
      <c r="AA992" s="13" t="b">
        <v>1</v>
      </c>
      <c r="AB992" s="48"/>
      <c r="AC992" s="49"/>
    </row>
    <row r="993" ht="14.25" customHeight="1">
      <c r="A993" s="13">
        <v>25200.0</v>
      </c>
      <c r="B993" s="13" t="str">
        <f t="shared" si="9"/>
        <v>Observational</v>
      </c>
      <c r="C993" s="13" t="s">
        <v>4856</v>
      </c>
      <c r="D993" s="1" t="s">
        <v>5398</v>
      </c>
      <c r="E993" s="13" t="s">
        <v>5399</v>
      </c>
      <c r="F993" s="13" t="s">
        <v>3173</v>
      </c>
      <c r="G993" s="13" t="s">
        <v>3173</v>
      </c>
      <c r="H993" s="13" t="s">
        <v>3242</v>
      </c>
      <c r="I993" s="13" t="s">
        <v>3222</v>
      </c>
      <c r="J993" s="13" t="s">
        <v>3182</v>
      </c>
      <c r="K993" s="13" t="s">
        <v>3153</v>
      </c>
      <c r="L993" s="13" t="s">
        <v>3169</v>
      </c>
      <c r="M993" s="13" t="s">
        <v>4175</v>
      </c>
      <c r="N993" s="13" t="s">
        <v>3267</v>
      </c>
      <c r="O993" s="13" t="s">
        <v>33</v>
      </c>
      <c r="P993" s="13">
        <v>1.0</v>
      </c>
      <c r="Q993" s="13" t="s">
        <v>3177</v>
      </c>
      <c r="R993" s="13" t="s">
        <v>3177</v>
      </c>
      <c r="S993" s="13" t="s">
        <v>33</v>
      </c>
      <c r="T993" s="13" t="s">
        <v>3167</v>
      </c>
      <c r="U993" s="13" t="s">
        <v>3247</v>
      </c>
      <c r="V993" s="13" t="s">
        <v>3247</v>
      </c>
      <c r="W993" s="13" t="s">
        <v>3294</v>
      </c>
      <c r="X993" s="13" t="s">
        <v>3155</v>
      </c>
      <c r="Y993" s="13" t="s">
        <v>3156</v>
      </c>
      <c r="Z993" s="13" t="s">
        <v>33</v>
      </c>
      <c r="AA993" s="13" t="b">
        <v>0</v>
      </c>
      <c r="AB993" s="48"/>
      <c r="AC993" s="49"/>
    </row>
    <row r="994" ht="14.25" customHeight="1">
      <c r="A994" s="13">
        <v>25539.0</v>
      </c>
      <c r="B994" s="13" t="str">
        <f t="shared" si="9"/>
        <v>Observational</v>
      </c>
      <c r="C994" s="13" t="s">
        <v>4856</v>
      </c>
      <c r="D994" s="1" t="s">
        <v>5400</v>
      </c>
      <c r="E994" s="13" t="s">
        <v>5399</v>
      </c>
      <c r="F994" s="13" t="s">
        <v>3183</v>
      </c>
      <c r="G994" s="13" t="s">
        <v>3183</v>
      </c>
      <c r="H994" s="13" t="s">
        <v>3166</v>
      </c>
      <c r="I994" s="13" t="s">
        <v>3157</v>
      </c>
      <c r="J994" s="13" t="s">
        <v>3240</v>
      </c>
      <c r="K994" s="13" t="s">
        <v>3153</v>
      </c>
      <c r="L994" s="13" t="s">
        <v>3169</v>
      </c>
      <c r="M994" s="13" t="s">
        <v>4262</v>
      </c>
      <c r="N994" s="13" t="s">
        <v>3162</v>
      </c>
      <c r="O994" s="13" t="s">
        <v>3689</v>
      </c>
      <c r="P994" s="13">
        <v>1.0</v>
      </c>
      <c r="Q994" s="13" t="s">
        <v>3160</v>
      </c>
      <c r="R994" s="13" t="s">
        <v>3231</v>
      </c>
      <c r="S994" s="13" t="s">
        <v>3689</v>
      </c>
      <c r="T994" s="13" t="s">
        <v>3178</v>
      </c>
      <c r="U994" s="13" t="s">
        <v>3164</v>
      </c>
      <c r="V994" s="13" t="s">
        <v>3164</v>
      </c>
      <c r="W994" s="13" t="s">
        <v>3167</v>
      </c>
      <c r="X994" s="13" t="s">
        <v>3192</v>
      </c>
      <c r="Y994" s="13" t="s">
        <v>3156</v>
      </c>
      <c r="Z994" s="13" t="s">
        <v>3167</v>
      </c>
      <c r="AA994" s="13" t="b">
        <v>0</v>
      </c>
      <c r="AB994" s="48"/>
      <c r="AC994" s="49"/>
    </row>
    <row r="995" ht="14.25" customHeight="1">
      <c r="A995" s="13">
        <v>24875.0</v>
      </c>
      <c r="B995" s="13" t="str">
        <f t="shared" si="9"/>
        <v>Experimental</v>
      </c>
      <c r="C995" s="13" t="s">
        <v>4856</v>
      </c>
      <c r="D995" s="1" t="s">
        <v>5401</v>
      </c>
      <c r="E995" s="13" t="s">
        <v>5399</v>
      </c>
      <c r="F995" s="13" t="s">
        <v>3173</v>
      </c>
      <c r="G995" s="13" t="s">
        <v>3208</v>
      </c>
      <c r="H995" s="13" t="s">
        <v>3242</v>
      </c>
      <c r="I995" s="13" t="s">
        <v>3171</v>
      </c>
      <c r="J995" s="13" t="s">
        <v>3385</v>
      </c>
      <c r="K995" s="13" t="s">
        <v>3457</v>
      </c>
      <c r="L995" s="13" t="s">
        <v>3169</v>
      </c>
      <c r="M995" s="13" t="s">
        <v>3227</v>
      </c>
      <c r="N995" s="13" t="s">
        <v>3162</v>
      </c>
      <c r="O995" s="13" t="s">
        <v>33</v>
      </c>
      <c r="P995" s="13">
        <v>1.0</v>
      </c>
      <c r="Q995" s="13" t="s">
        <v>3160</v>
      </c>
      <c r="R995" s="13" t="s">
        <v>3177</v>
      </c>
      <c r="S995" s="13" t="s">
        <v>33</v>
      </c>
      <c r="T995" s="13" t="s">
        <v>3167</v>
      </c>
      <c r="U995" s="13" t="s">
        <v>3247</v>
      </c>
      <c r="V995" s="13" t="s">
        <v>3247</v>
      </c>
      <c r="W995" s="13" t="s">
        <v>3496</v>
      </c>
      <c r="X995" s="13" t="s">
        <v>3170</v>
      </c>
      <c r="Y995" s="13" t="s">
        <v>3202</v>
      </c>
      <c r="Z995" s="13">
        <v>30.0</v>
      </c>
      <c r="AA995" s="13" t="b">
        <v>0</v>
      </c>
      <c r="AB995" s="48"/>
      <c r="AC995" s="49"/>
    </row>
    <row r="996" ht="14.25" customHeight="1">
      <c r="A996" s="13">
        <v>23051.0</v>
      </c>
      <c r="B996" s="13" t="str">
        <f t="shared" si="9"/>
        <v>Observational</v>
      </c>
      <c r="C996" s="13" t="s">
        <v>4852</v>
      </c>
      <c r="D996" s="1" t="s">
        <v>5401</v>
      </c>
      <c r="E996" s="13" t="s">
        <v>5399</v>
      </c>
      <c r="F996" s="13" t="s">
        <v>3159</v>
      </c>
      <c r="G996" s="13" t="s">
        <v>3159</v>
      </c>
      <c r="H996" s="13" t="s">
        <v>3166</v>
      </c>
      <c r="I996" s="13" t="s">
        <v>3222</v>
      </c>
      <c r="J996" s="13" t="s">
        <v>3226</v>
      </c>
      <c r="K996" s="13" t="s">
        <v>3153</v>
      </c>
      <c r="L996" s="13" t="s">
        <v>3154</v>
      </c>
      <c r="M996" s="13" t="s">
        <v>3227</v>
      </c>
      <c r="N996" s="13" t="s">
        <v>3162</v>
      </c>
      <c r="O996" s="13" t="s">
        <v>33</v>
      </c>
      <c r="P996" s="13">
        <v>1.0</v>
      </c>
      <c r="Q996" s="13" t="s">
        <v>3177</v>
      </c>
      <c r="R996" s="13" t="s">
        <v>3163</v>
      </c>
      <c r="S996" s="13" t="s">
        <v>33</v>
      </c>
      <c r="T996" s="13" t="s">
        <v>3225</v>
      </c>
      <c r="U996" s="13" t="s">
        <v>3164</v>
      </c>
      <c r="V996" s="13" t="s">
        <v>3228</v>
      </c>
      <c r="W996" s="13" t="s">
        <v>3167</v>
      </c>
      <c r="X996" s="13" t="s">
        <v>3170</v>
      </c>
      <c r="Y996" s="13" t="s">
        <v>3156</v>
      </c>
      <c r="Z996" s="13" t="s">
        <v>33</v>
      </c>
      <c r="AA996" s="13" t="b">
        <v>0</v>
      </c>
      <c r="AB996" s="48"/>
      <c r="AC996" s="49"/>
    </row>
    <row r="997" ht="14.25" customHeight="1">
      <c r="A997" s="13">
        <v>24062.0</v>
      </c>
      <c r="B997" s="13" t="str">
        <f t="shared" si="9"/>
        <v>Observational</v>
      </c>
      <c r="C997" s="13" t="s">
        <v>4856</v>
      </c>
      <c r="D997" s="1" t="s">
        <v>5401</v>
      </c>
      <c r="E997" s="13" t="s">
        <v>5399</v>
      </c>
      <c r="F997" s="13" t="s">
        <v>3159</v>
      </c>
      <c r="G997" s="13" t="s">
        <v>3159</v>
      </c>
      <c r="H997" s="13" t="s">
        <v>3166</v>
      </c>
      <c r="I997" s="13" t="s">
        <v>3157</v>
      </c>
      <c r="J997" s="13" t="s">
        <v>3199</v>
      </c>
      <c r="K997" s="13" t="s">
        <v>3153</v>
      </c>
      <c r="L997" s="13" t="s">
        <v>3169</v>
      </c>
      <c r="M997" s="13" t="s">
        <v>3227</v>
      </c>
      <c r="N997" s="13" t="s">
        <v>3162</v>
      </c>
      <c r="O997" s="13" t="s">
        <v>33</v>
      </c>
      <c r="P997" s="13">
        <v>1.0</v>
      </c>
      <c r="Q997" s="13" t="s">
        <v>3160</v>
      </c>
      <c r="R997" s="13" t="s">
        <v>3163</v>
      </c>
      <c r="S997" s="13" t="s">
        <v>33</v>
      </c>
      <c r="T997" s="13" t="s">
        <v>3224</v>
      </c>
      <c r="U997" s="13" t="s">
        <v>3164</v>
      </c>
      <c r="V997" s="13" t="s">
        <v>3164</v>
      </c>
      <c r="W997" s="13" t="s">
        <v>3167</v>
      </c>
      <c r="X997" s="13" t="s">
        <v>3192</v>
      </c>
      <c r="Y997" s="13" t="s">
        <v>3156</v>
      </c>
      <c r="Z997" s="13" t="s">
        <v>33</v>
      </c>
      <c r="AA997" s="13" t="b">
        <v>0</v>
      </c>
      <c r="AB997" s="48"/>
      <c r="AC997" s="49"/>
    </row>
    <row r="998" ht="14.25" customHeight="1">
      <c r="A998" s="13">
        <v>25525.0</v>
      </c>
      <c r="B998" s="13" t="str">
        <f t="shared" si="9"/>
        <v>Observational</v>
      </c>
      <c r="C998" s="13" t="s">
        <v>4856</v>
      </c>
      <c r="D998" s="1" t="s">
        <v>5401</v>
      </c>
      <c r="E998" s="13" t="s">
        <v>5399</v>
      </c>
      <c r="F998" s="13" t="s">
        <v>3159</v>
      </c>
      <c r="G998" s="13" t="s">
        <v>3159</v>
      </c>
      <c r="H998" s="13" t="s">
        <v>3166</v>
      </c>
      <c r="I998" s="13" t="s">
        <v>3188</v>
      </c>
      <c r="J998" s="13" t="s">
        <v>3432</v>
      </c>
      <c r="K998" s="13" t="s">
        <v>3153</v>
      </c>
      <c r="L998" s="13" t="s">
        <v>3169</v>
      </c>
      <c r="M998" s="13" t="s">
        <v>3227</v>
      </c>
      <c r="N998" s="13" t="s">
        <v>3162</v>
      </c>
      <c r="O998" s="13" t="s">
        <v>33</v>
      </c>
      <c r="P998" s="13">
        <v>1.0</v>
      </c>
      <c r="Q998" s="13" t="s">
        <v>3160</v>
      </c>
      <c r="R998" s="13" t="s">
        <v>3163</v>
      </c>
      <c r="S998" s="13" t="s">
        <v>33</v>
      </c>
      <c r="T998" s="13" t="s">
        <v>3178</v>
      </c>
      <c r="U998" s="13" t="s">
        <v>3164</v>
      </c>
      <c r="V998" s="13" t="s">
        <v>3164</v>
      </c>
      <c r="W998" s="13" t="s">
        <v>3167</v>
      </c>
      <c r="X998" s="13" t="s">
        <v>3192</v>
      </c>
      <c r="Y998" s="13" t="s">
        <v>3156</v>
      </c>
      <c r="Z998" s="13" t="s">
        <v>33</v>
      </c>
      <c r="AA998" s="13" t="b">
        <v>0</v>
      </c>
      <c r="AB998" s="48"/>
      <c r="AC998" s="49"/>
    </row>
    <row r="999" ht="14.25" customHeight="1">
      <c r="A999" s="13">
        <v>24315.0</v>
      </c>
      <c r="B999" s="13" t="str">
        <f t="shared" si="9"/>
        <v>Observational</v>
      </c>
      <c r="C999" s="13" t="s">
        <v>4856</v>
      </c>
      <c r="D999" s="1" t="s">
        <v>5402</v>
      </c>
      <c r="E999" s="13" t="s">
        <v>5403</v>
      </c>
      <c r="F999" s="13" t="s">
        <v>3417</v>
      </c>
      <c r="G999" s="13" t="s">
        <v>3183</v>
      </c>
      <c r="H999" s="13" t="s">
        <v>3166</v>
      </c>
      <c r="I999" s="13" t="s">
        <v>3854</v>
      </c>
      <c r="J999" s="13" t="s">
        <v>3167</v>
      </c>
      <c r="K999" s="13" t="s">
        <v>3153</v>
      </c>
      <c r="L999" s="13" t="s">
        <v>3169</v>
      </c>
      <c r="M999" s="13" t="s">
        <v>3855</v>
      </c>
      <c r="N999" s="13" t="s">
        <v>3175</v>
      </c>
      <c r="O999" s="13" t="s">
        <v>3856</v>
      </c>
      <c r="P999" s="13">
        <v>2.0</v>
      </c>
      <c r="Q999" s="13" t="s">
        <v>3177</v>
      </c>
      <c r="R999" s="13" t="s">
        <v>3163</v>
      </c>
      <c r="S999" s="13" t="s">
        <v>3397</v>
      </c>
      <c r="T999" s="13" t="s">
        <v>3178</v>
      </c>
      <c r="U999" s="13" t="s">
        <v>3164</v>
      </c>
      <c r="V999" s="13" t="s">
        <v>3228</v>
      </c>
      <c r="W999" s="13" t="s">
        <v>3167</v>
      </c>
      <c r="X999" s="13" t="s">
        <v>3284</v>
      </c>
      <c r="Y999" s="13" t="s">
        <v>3588</v>
      </c>
      <c r="Z999" s="13">
        <v>30.0</v>
      </c>
      <c r="AA999" s="13" t="b">
        <v>0</v>
      </c>
      <c r="AB999" s="48"/>
      <c r="AC999" s="49"/>
    </row>
    <row r="1000" ht="14.25" customHeight="1">
      <c r="A1000" s="13">
        <v>25130.0</v>
      </c>
      <c r="B1000" s="13" t="str">
        <f t="shared" si="9"/>
        <v>Observational</v>
      </c>
      <c r="C1000" s="13" t="s">
        <v>4856</v>
      </c>
      <c r="D1000" s="1" t="s">
        <v>5404</v>
      </c>
      <c r="E1000" s="2" t="s">
        <v>5384</v>
      </c>
      <c r="F1000" s="13" t="s">
        <v>3381</v>
      </c>
      <c r="G1000" s="13" t="s">
        <v>3183</v>
      </c>
      <c r="H1000" s="13" t="s">
        <v>3166</v>
      </c>
      <c r="I1000" s="13" t="s">
        <v>3222</v>
      </c>
      <c r="J1000" s="13" t="s">
        <v>3182</v>
      </c>
      <c r="K1000" s="13" t="s">
        <v>3153</v>
      </c>
      <c r="L1000" s="13" t="s">
        <v>3169</v>
      </c>
      <c r="M1000" s="13" t="s">
        <v>4148</v>
      </c>
      <c r="N1000" s="13" t="s">
        <v>3162</v>
      </c>
      <c r="O1000" s="13" t="s">
        <v>4149</v>
      </c>
      <c r="P1000" s="13">
        <v>1.0</v>
      </c>
      <c r="Q1000" s="13" t="s">
        <v>3160</v>
      </c>
      <c r="R1000" s="13" t="s">
        <v>3163</v>
      </c>
      <c r="S1000" s="13" t="s">
        <v>4150</v>
      </c>
      <c r="T1000" s="13" t="s">
        <v>3168</v>
      </c>
      <c r="U1000" s="13" t="s">
        <v>3164</v>
      </c>
      <c r="V1000" s="13" t="s">
        <v>3164</v>
      </c>
      <c r="W1000" s="13" t="s">
        <v>3167</v>
      </c>
      <c r="X1000" s="13" t="s">
        <v>3192</v>
      </c>
      <c r="Y1000" s="13" t="s">
        <v>3156</v>
      </c>
      <c r="Z1000" s="13" t="s">
        <v>33</v>
      </c>
      <c r="AA1000" s="13" t="b">
        <v>0</v>
      </c>
      <c r="AB1000" s="48"/>
      <c r="AC1000" s="49"/>
    </row>
    <row r="1001" ht="14.25" customHeight="1">
      <c r="A1001" s="13">
        <v>23929.0</v>
      </c>
      <c r="B1001" s="13" t="str">
        <f t="shared" si="9"/>
        <v>Observational</v>
      </c>
      <c r="C1001" s="13" t="s">
        <v>4856</v>
      </c>
      <c r="D1001" s="1" t="s">
        <v>5405</v>
      </c>
      <c r="E1001" s="13" t="s">
        <v>5399</v>
      </c>
      <c r="F1001" s="13" t="s">
        <v>3159</v>
      </c>
      <c r="G1001" s="13" t="s">
        <v>3159</v>
      </c>
      <c r="H1001" s="13" t="s">
        <v>3242</v>
      </c>
      <c r="I1001" s="13" t="s">
        <v>3222</v>
      </c>
      <c r="J1001" s="13" t="s">
        <v>3182</v>
      </c>
      <c r="K1001" s="13" t="s">
        <v>3153</v>
      </c>
      <c r="L1001" s="13" t="s">
        <v>3169</v>
      </c>
      <c r="M1001" s="13" t="s">
        <v>3690</v>
      </c>
      <c r="N1001" s="13" t="s">
        <v>3162</v>
      </c>
      <c r="O1001" s="13" t="s">
        <v>33</v>
      </c>
      <c r="P1001" s="13">
        <v>1.0</v>
      </c>
      <c r="Q1001" s="13" t="s">
        <v>3177</v>
      </c>
      <c r="R1001" s="13" t="s">
        <v>3163</v>
      </c>
      <c r="S1001" s="13" t="s">
        <v>33</v>
      </c>
      <c r="T1001" s="13" t="s">
        <v>3167</v>
      </c>
      <c r="U1001" s="13" t="s">
        <v>3164</v>
      </c>
      <c r="V1001" s="13" t="s">
        <v>3164</v>
      </c>
      <c r="W1001" s="13" t="s">
        <v>3377</v>
      </c>
      <c r="X1001" s="13" t="s">
        <v>3192</v>
      </c>
      <c r="Y1001" s="13" t="s">
        <v>3202</v>
      </c>
      <c r="Z1001" s="13">
        <v>500.0</v>
      </c>
      <c r="AA1001" s="13" t="b">
        <v>0</v>
      </c>
      <c r="AB1001" s="48"/>
      <c r="AC1001" s="49"/>
    </row>
    <row r="1002" ht="14.25" customHeight="1">
      <c r="A1002" s="13">
        <v>24765.0</v>
      </c>
      <c r="B1002" s="13" t="str">
        <f t="shared" si="9"/>
        <v>Observational</v>
      </c>
      <c r="C1002" s="13" t="s">
        <v>4856</v>
      </c>
      <c r="D1002" s="1" t="s">
        <v>5405</v>
      </c>
      <c r="E1002" s="13" t="s">
        <v>5399</v>
      </c>
      <c r="F1002" s="13" t="s">
        <v>3183</v>
      </c>
      <c r="G1002" s="13" t="s">
        <v>3173</v>
      </c>
      <c r="H1002" s="13" t="s">
        <v>3242</v>
      </c>
      <c r="I1002" s="13" t="s">
        <v>3222</v>
      </c>
      <c r="J1002" s="13" t="s">
        <v>3182</v>
      </c>
      <c r="K1002" s="13" t="s">
        <v>3153</v>
      </c>
      <c r="L1002" s="13" t="s">
        <v>3169</v>
      </c>
      <c r="M1002" s="13" t="s">
        <v>3690</v>
      </c>
      <c r="N1002" s="13" t="s">
        <v>3162</v>
      </c>
      <c r="O1002" s="13" t="s">
        <v>4026</v>
      </c>
      <c r="P1002" s="13">
        <v>1.0</v>
      </c>
      <c r="Q1002" s="13" t="s">
        <v>3160</v>
      </c>
      <c r="R1002" s="13" t="s">
        <v>3163</v>
      </c>
      <c r="S1002" s="13" t="s">
        <v>33</v>
      </c>
      <c r="T1002" s="13" t="s">
        <v>3167</v>
      </c>
      <c r="U1002" s="13" t="s">
        <v>3164</v>
      </c>
      <c r="V1002" s="13" t="s">
        <v>3164</v>
      </c>
      <c r="W1002" s="13" t="s">
        <v>3377</v>
      </c>
      <c r="X1002" s="13" t="s">
        <v>3170</v>
      </c>
      <c r="Y1002" s="13" t="s">
        <v>3202</v>
      </c>
      <c r="Z1002" s="13">
        <v>250.0</v>
      </c>
      <c r="AA1002" s="13" t="b">
        <v>0</v>
      </c>
      <c r="AB1002" s="48"/>
      <c r="AC1002" s="49"/>
    </row>
    <row r="1003" ht="14.25" customHeight="1">
      <c r="A1003" s="13">
        <v>25337.0</v>
      </c>
      <c r="B1003" s="13" t="str">
        <f t="shared" si="9"/>
        <v>Observational</v>
      </c>
      <c r="C1003" s="13" t="s">
        <v>4852</v>
      </c>
      <c r="D1003" s="1" t="s">
        <v>5405</v>
      </c>
      <c r="E1003" s="13" t="s">
        <v>5399</v>
      </c>
      <c r="F1003" s="13" t="s">
        <v>3159</v>
      </c>
      <c r="G1003" s="13" t="s">
        <v>3159</v>
      </c>
      <c r="H1003" s="13" t="s">
        <v>3166</v>
      </c>
      <c r="I1003" s="13" t="s">
        <v>3157</v>
      </c>
      <c r="J1003" s="13" t="s">
        <v>3348</v>
      </c>
      <c r="K1003" s="13" t="s">
        <v>3153</v>
      </c>
      <c r="L1003" s="13" t="s">
        <v>3154</v>
      </c>
      <c r="M1003" s="13" t="s">
        <v>3690</v>
      </c>
      <c r="N1003" s="13" t="s">
        <v>3162</v>
      </c>
      <c r="O1003" s="13" t="s">
        <v>33</v>
      </c>
      <c r="P1003" s="13">
        <v>1.0</v>
      </c>
      <c r="Q1003" s="13" t="s">
        <v>3160</v>
      </c>
      <c r="R1003" s="13" t="s">
        <v>3163</v>
      </c>
      <c r="S1003" s="13" t="s">
        <v>33</v>
      </c>
      <c r="T1003" s="13" t="s">
        <v>3225</v>
      </c>
      <c r="U1003" s="13" t="s">
        <v>3215</v>
      </c>
      <c r="V1003" s="13" t="s">
        <v>3215</v>
      </c>
      <c r="W1003" s="13" t="s">
        <v>3167</v>
      </c>
      <c r="X1003" s="13" t="s">
        <v>3155</v>
      </c>
      <c r="Y1003" s="13" t="s">
        <v>3156</v>
      </c>
      <c r="Z1003" s="13" t="s">
        <v>33</v>
      </c>
      <c r="AA1003" s="13" t="b">
        <v>0</v>
      </c>
      <c r="AB1003" s="48"/>
      <c r="AC1003" s="49"/>
    </row>
    <row r="1004" ht="14.25" customHeight="1">
      <c r="A1004" s="13">
        <v>24706.0</v>
      </c>
      <c r="B1004" s="2" t="s">
        <v>4904</v>
      </c>
      <c r="C1004" s="13" t="s">
        <v>4856</v>
      </c>
      <c r="D1004" s="1" t="s">
        <v>5405</v>
      </c>
      <c r="E1004" s="13" t="s">
        <v>5399</v>
      </c>
      <c r="F1004" s="13" t="s">
        <v>3173</v>
      </c>
      <c r="G1004" s="13" t="s">
        <v>3173</v>
      </c>
      <c r="H1004" s="13" t="s">
        <v>3166</v>
      </c>
      <c r="I1004" s="13" t="s">
        <v>3167</v>
      </c>
      <c r="J1004" s="13" t="s">
        <v>3167</v>
      </c>
      <c r="K1004" s="13" t="s">
        <v>3315</v>
      </c>
      <c r="L1004" s="13" t="s">
        <v>3169</v>
      </c>
      <c r="M1004" s="13" t="s">
        <v>3690</v>
      </c>
      <c r="N1004" s="13" t="s">
        <v>3162</v>
      </c>
      <c r="O1004" s="13" t="s">
        <v>33</v>
      </c>
      <c r="P1004" s="13">
        <v>1.0</v>
      </c>
      <c r="Q1004" s="13" t="s">
        <v>3160</v>
      </c>
      <c r="R1004" s="13" t="s">
        <v>3163</v>
      </c>
      <c r="S1004" s="13" t="s">
        <v>33</v>
      </c>
      <c r="T1004" s="13" t="s">
        <v>3178</v>
      </c>
      <c r="U1004" s="13" t="s">
        <v>3232</v>
      </c>
      <c r="V1004" s="13" t="s">
        <v>3232</v>
      </c>
      <c r="W1004" s="13" t="s">
        <v>3167</v>
      </c>
      <c r="X1004" s="13" t="s">
        <v>3217</v>
      </c>
      <c r="Y1004" s="13" t="s">
        <v>3156</v>
      </c>
      <c r="Z1004" s="13" t="s">
        <v>33</v>
      </c>
      <c r="AA1004" s="13" t="b">
        <v>0</v>
      </c>
      <c r="AB1004" s="48"/>
      <c r="AC1004" s="49"/>
    </row>
    <row r="1005" ht="14.25" customHeight="1">
      <c r="A1005" s="13">
        <v>25808.0</v>
      </c>
      <c r="B1005" s="13" t="str">
        <f t="shared" ref="B1005:B1045" si="10">K1005</f>
        <v>Observational</v>
      </c>
      <c r="C1005" s="13" t="s">
        <v>4856</v>
      </c>
      <c r="D1005" s="1" t="s">
        <v>5406</v>
      </c>
      <c r="E1005" s="13" t="s">
        <v>5407</v>
      </c>
      <c r="F1005" s="13" t="s">
        <v>3190</v>
      </c>
      <c r="G1005" s="13" t="s">
        <v>3190</v>
      </c>
      <c r="H1005" s="13" t="s">
        <v>3166</v>
      </c>
      <c r="I1005" s="13" t="s">
        <v>3171</v>
      </c>
      <c r="J1005" s="13" t="s">
        <v>4331</v>
      </c>
      <c r="K1005" s="13" t="s">
        <v>3153</v>
      </c>
      <c r="L1005" s="13" t="s">
        <v>3169</v>
      </c>
      <c r="M1005" s="13" t="s">
        <v>4332</v>
      </c>
      <c r="N1005" s="13" t="s">
        <v>3162</v>
      </c>
      <c r="O1005" s="13" t="s">
        <v>33</v>
      </c>
      <c r="P1005" s="13">
        <v>4.0</v>
      </c>
      <c r="Q1005" s="13" t="s">
        <v>3160</v>
      </c>
      <c r="R1005" s="13" t="s">
        <v>3163</v>
      </c>
      <c r="S1005" s="13" t="s">
        <v>33</v>
      </c>
      <c r="T1005" s="13" t="s">
        <v>3178</v>
      </c>
      <c r="U1005" s="13" t="s">
        <v>3164</v>
      </c>
      <c r="V1005" s="13" t="s">
        <v>3232</v>
      </c>
      <c r="W1005" s="13" t="s">
        <v>3167</v>
      </c>
      <c r="X1005" s="13" t="s">
        <v>3211</v>
      </c>
      <c r="Y1005" s="13" t="s">
        <v>3156</v>
      </c>
      <c r="Z1005" s="13" t="s">
        <v>33</v>
      </c>
      <c r="AA1005" s="13" t="b">
        <v>0</v>
      </c>
      <c r="AB1005" s="48"/>
      <c r="AC1005" s="49"/>
    </row>
    <row r="1006" ht="14.25" customHeight="1">
      <c r="A1006" s="13">
        <v>25901.0</v>
      </c>
      <c r="B1006" s="13" t="str">
        <f t="shared" si="10"/>
        <v>Observational</v>
      </c>
      <c r="C1006" s="13" t="s">
        <v>4864</v>
      </c>
      <c r="D1006" s="1" t="s">
        <v>5408</v>
      </c>
      <c r="E1006" s="13" t="s">
        <v>5391</v>
      </c>
      <c r="F1006" s="13" t="s">
        <v>3159</v>
      </c>
      <c r="G1006" s="13" t="s">
        <v>3159</v>
      </c>
      <c r="H1006" s="13" t="s">
        <v>3166</v>
      </c>
      <c r="I1006" s="13" t="s">
        <v>3249</v>
      </c>
      <c r="J1006" s="13" t="s">
        <v>3307</v>
      </c>
      <c r="K1006" s="13" t="s">
        <v>3153</v>
      </c>
      <c r="L1006" s="13" t="s">
        <v>3179</v>
      </c>
      <c r="M1006" s="13" t="s">
        <v>4381</v>
      </c>
      <c r="N1006" s="13" t="s">
        <v>3162</v>
      </c>
      <c r="O1006" s="13" t="s">
        <v>33</v>
      </c>
      <c r="P1006" s="13">
        <v>2.0</v>
      </c>
      <c r="Q1006" s="13" t="s">
        <v>3160</v>
      </c>
      <c r="R1006" s="13" t="s">
        <v>3163</v>
      </c>
      <c r="S1006" s="13" t="s">
        <v>33</v>
      </c>
      <c r="T1006" s="13" t="s">
        <v>3225</v>
      </c>
      <c r="U1006" s="13" t="s">
        <v>3228</v>
      </c>
      <c r="V1006" s="13" t="s">
        <v>3165</v>
      </c>
      <c r="W1006" s="13" t="s">
        <v>3167</v>
      </c>
      <c r="X1006" s="13" t="s">
        <v>3192</v>
      </c>
      <c r="Y1006" s="13" t="s">
        <v>3156</v>
      </c>
      <c r="Z1006" s="13" t="s">
        <v>33</v>
      </c>
      <c r="AA1006" s="13" t="b">
        <v>0</v>
      </c>
      <c r="AB1006" s="48"/>
      <c r="AC1006" s="49"/>
    </row>
    <row r="1007" ht="14.25" customHeight="1">
      <c r="A1007" s="13">
        <v>23085.0</v>
      </c>
      <c r="B1007" s="13" t="str">
        <f t="shared" si="10"/>
        <v>Observational</v>
      </c>
      <c r="C1007" s="13" t="s">
        <v>4864</v>
      </c>
      <c r="D1007" s="1" t="s">
        <v>5409</v>
      </c>
      <c r="E1007" s="2" t="s">
        <v>5384</v>
      </c>
      <c r="F1007" s="13" t="s">
        <v>3159</v>
      </c>
      <c r="G1007" s="13" t="s">
        <v>3159</v>
      </c>
      <c r="H1007" s="13" t="s">
        <v>3166</v>
      </c>
      <c r="I1007" s="13" t="s">
        <v>3261</v>
      </c>
      <c r="J1007" s="13" t="s">
        <v>3262</v>
      </c>
      <c r="K1007" s="13" t="s">
        <v>3153</v>
      </c>
      <c r="L1007" s="13" t="s">
        <v>3179</v>
      </c>
      <c r="M1007" s="13" t="s">
        <v>3263</v>
      </c>
      <c r="N1007" s="13" t="s">
        <v>3162</v>
      </c>
      <c r="O1007" s="13" t="s">
        <v>3167</v>
      </c>
      <c r="P1007" s="13">
        <v>1.0</v>
      </c>
      <c r="Q1007" s="13" t="s">
        <v>3177</v>
      </c>
      <c r="R1007" s="13" t="s">
        <v>3231</v>
      </c>
      <c r="S1007" s="13" t="s">
        <v>33</v>
      </c>
      <c r="T1007" s="13" t="s">
        <v>3168</v>
      </c>
      <c r="U1007" s="13" t="s">
        <v>3232</v>
      </c>
      <c r="V1007" s="13" t="s">
        <v>3232</v>
      </c>
      <c r="W1007" s="13" t="s">
        <v>3167</v>
      </c>
      <c r="X1007" s="13" t="s">
        <v>3192</v>
      </c>
      <c r="Y1007" s="13" t="s">
        <v>3156</v>
      </c>
      <c r="Z1007" s="13" t="s">
        <v>3167</v>
      </c>
      <c r="AA1007" s="13" t="b">
        <v>0</v>
      </c>
      <c r="AB1007" s="48"/>
      <c r="AC1007" s="49"/>
    </row>
    <row r="1008" ht="14.25" customHeight="1">
      <c r="A1008" s="13">
        <v>23513.0</v>
      </c>
      <c r="B1008" s="13" t="str">
        <f t="shared" si="10"/>
        <v>Observational</v>
      </c>
      <c r="C1008" s="13" t="s">
        <v>4852</v>
      </c>
      <c r="D1008" s="1" t="s">
        <v>5410</v>
      </c>
      <c r="E1008" s="13" t="s">
        <v>5000</v>
      </c>
      <c r="F1008" s="13" t="s">
        <v>3159</v>
      </c>
      <c r="G1008" s="13" t="s">
        <v>3210</v>
      </c>
      <c r="H1008" s="13" t="s">
        <v>3195</v>
      </c>
      <c r="I1008" s="13" t="s">
        <v>3244</v>
      </c>
      <c r="J1008" s="13" t="s">
        <v>3289</v>
      </c>
      <c r="K1008" s="13" t="s">
        <v>3153</v>
      </c>
      <c r="L1008" s="13" t="s">
        <v>3154</v>
      </c>
      <c r="M1008" s="13" t="s">
        <v>3479</v>
      </c>
      <c r="N1008" s="13" t="s">
        <v>3162</v>
      </c>
      <c r="O1008" s="13" t="s">
        <v>33</v>
      </c>
      <c r="P1008" s="13">
        <v>1.0</v>
      </c>
      <c r="Q1008" s="13" t="s">
        <v>3177</v>
      </c>
      <c r="R1008" s="13" t="s">
        <v>3163</v>
      </c>
      <c r="S1008" s="13" t="s">
        <v>3329</v>
      </c>
      <c r="T1008" s="13" t="s">
        <v>3167</v>
      </c>
      <c r="U1008" s="13" t="s">
        <v>3195</v>
      </c>
      <c r="V1008" s="13" t="s">
        <v>3195</v>
      </c>
      <c r="W1008" s="13" t="s">
        <v>3167</v>
      </c>
      <c r="X1008" s="13" t="s">
        <v>3170</v>
      </c>
      <c r="Y1008" s="13" t="s">
        <v>3156</v>
      </c>
      <c r="Z1008" s="13" t="s">
        <v>33</v>
      </c>
      <c r="AA1008" s="13" t="b">
        <v>0</v>
      </c>
      <c r="AB1008" s="48"/>
      <c r="AC1008" s="49"/>
    </row>
    <row r="1009" ht="14.25" customHeight="1">
      <c r="A1009" s="13">
        <v>24881.0</v>
      </c>
      <c r="B1009" s="13" t="str">
        <f t="shared" si="10"/>
        <v>Observational</v>
      </c>
      <c r="C1009" s="13" t="s">
        <v>4852</v>
      </c>
      <c r="D1009" s="1" t="s">
        <v>5411</v>
      </c>
      <c r="E1009" s="13" t="s">
        <v>5412</v>
      </c>
      <c r="F1009" s="13" t="s">
        <v>3208</v>
      </c>
      <c r="G1009" s="13" t="s">
        <v>3335</v>
      </c>
      <c r="H1009" s="13" t="s">
        <v>3195</v>
      </c>
      <c r="I1009" s="13" t="s">
        <v>3188</v>
      </c>
      <c r="J1009" s="13" t="s">
        <v>3207</v>
      </c>
      <c r="K1009" s="13" t="s">
        <v>3153</v>
      </c>
      <c r="L1009" s="13" t="s">
        <v>3154</v>
      </c>
      <c r="M1009" s="13" t="s">
        <v>4069</v>
      </c>
      <c r="N1009" s="13" t="s">
        <v>3162</v>
      </c>
      <c r="O1009" s="13" t="s">
        <v>33</v>
      </c>
      <c r="P1009" s="13">
        <v>2.0</v>
      </c>
      <c r="Q1009" s="13" t="s">
        <v>3160</v>
      </c>
      <c r="R1009" s="13" t="s">
        <v>3163</v>
      </c>
      <c r="S1009" s="13" t="s">
        <v>33</v>
      </c>
      <c r="T1009" s="13" t="s">
        <v>3167</v>
      </c>
      <c r="U1009" s="13" t="s">
        <v>3195</v>
      </c>
      <c r="V1009" s="13" t="s">
        <v>3195</v>
      </c>
      <c r="W1009" s="13" t="s">
        <v>3167</v>
      </c>
      <c r="X1009" s="13" t="s">
        <v>3170</v>
      </c>
      <c r="Y1009" s="13" t="s">
        <v>3156</v>
      </c>
      <c r="Z1009" s="13" t="s">
        <v>33</v>
      </c>
      <c r="AA1009" s="13" t="b">
        <v>0</v>
      </c>
      <c r="AB1009" s="48"/>
      <c r="AC1009" s="49"/>
    </row>
    <row r="1010" ht="14.25" customHeight="1">
      <c r="A1010" s="13">
        <v>23582.0</v>
      </c>
      <c r="B1010" s="13" t="str">
        <f t="shared" si="10"/>
        <v>Observational</v>
      </c>
      <c r="C1010" s="13" t="s">
        <v>4864</v>
      </c>
      <c r="D1010" s="1" t="s">
        <v>5413</v>
      </c>
      <c r="E1010" s="13" t="s">
        <v>5414</v>
      </c>
      <c r="F1010" s="13" t="s">
        <v>3173</v>
      </c>
      <c r="G1010" s="13" t="s">
        <v>3346</v>
      </c>
      <c r="H1010" s="13" t="s">
        <v>3166</v>
      </c>
      <c r="I1010" s="13" t="s">
        <v>3249</v>
      </c>
      <c r="J1010" s="13" t="s">
        <v>3508</v>
      </c>
      <c r="K1010" s="13" t="s">
        <v>3153</v>
      </c>
      <c r="L1010" s="13" t="s">
        <v>3179</v>
      </c>
      <c r="M1010" s="13" t="s">
        <v>3509</v>
      </c>
      <c r="N1010" s="13" t="s">
        <v>3175</v>
      </c>
      <c r="O1010" s="13" t="s">
        <v>33</v>
      </c>
      <c r="P1010" s="13">
        <v>10.0</v>
      </c>
      <c r="Q1010" s="13" t="s">
        <v>3177</v>
      </c>
      <c r="R1010" s="13" t="s">
        <v>3177</v>
      </c>
      <c r="S1010" s="13" t="s">
        <v>33</v>
      </c>
      <c r="T1010" s="13" t="s">
        <v>3510</v>
      </c>
      <c r="U1010" s="13" t="s">
        <v>3232</v>
      </c>
      <c r="V1010" s="13" t="s">
        <v>3247</v>
      </c>
      <c r="W1010" s="13" t="s">
        <v>3167</v>
      </c>
      <c r="X1010" s="13" t="s">
        <v>3211</v>
      </c>
      <c r="Y1010" s="13" t="s">
        <v>3180</v>
      </c>
      <c r="Z1010" s="13">
        <v>0.1</v>
      </c>
      <c r="AA1010" s="13" t="b">
        <v>1</v>
      </c>
      <c r="AB1010" s="47"/>
      <c r="AC1010" s="49"/>
    </row>
    <row r="1011" ht="14.25" customHeight="1">
      <c r="A1011" s="13">
        <v>24747.0</v>
      </c>
      <c r="B1011" s="13" t="str">
        <f t="shared" si="10"/>
        <v>Observational</v>
      </c>
      <c r="C1011" s="13" t="s">
        <v>4886</v>
      </c>
      <c r="D1011" s="1" t="s">
        <v>5415</v>
      </c>
      <c r="E1011" s="13" t="s">
        <v>5000</v>
      </c>
      <c r="F1011" s="13" t="s">
        <v>3183</v>
      </c>
      <c r="G1011" s="13" t="s">
        <v>3183</v>
      </c>
      <c r="H1011" s="13" t="s">
        <v>3253</v>
      </c>
      <c r="I1011" s="13" t="s">
        <v>3222</v>
      </c>
      <c r="J1011" s="13" t="s">
        <v>3229</v>
      </c>
      <c r="K1011" s="13" t="s">
        <v>3153</v>
      </c>
      <c r="L1011" s="13" t="s">
        <v>3465</v>
      </c>
      <c r="M1011" s="13" t="s">
        <v>4021</v>
      </c>
      <c r="N1011" s="13" t="s">
        <v>3175</v>
      </c>
      <c r="O1011" s="13" t="s">
        <v>3689</v>
      </c>
      <c r="P1011" s="13">
        <v>6.0</v>
      </c>
      <c r="Q1011" s="13" t="s">
        <v>3177</v>
      </c>
      <c r="R1011" s="13" t="s">
        <v>3177</v>
      </c>
      <c r="S1011" s="13" t="s">
        <v>4022</v>
      </c>
      <c r="T1011" s="13" t="s">
        <v>4023</v>
      </c>
      <c r="U1011" s="13" t="s">
        <v>3252</v>
      </c>
      <c r="V1011" s="13" t="s">
        <v>3252</v>
      </c>
      <c r="W1011" s="13" t="s">
        <v>3979</v>
      </c>
      <c r="X1011" s="13" t="s">
        <v>3155</v>
      </c>
      <c r="Y1011" s="13" t="s">
        <v>3187</v>
      </c>
      <c r="Z1011" s="13">
        <v>100.0</v>
      </c>
      <c r="AA1011" s="13" t="b">
        <v>0</v>
      </c>
      <c r="AB1011" s="48"/>
      <c r="AC1011" s="49"/>
    </row>
    <row r="1012" ht="14.25" customHeight="1">
      <c r="A1012" s="13">
        <v>23362.0</v>
      </c>
      <c r="B1012" s="13" t="str">
        <f t="shared" si="10"/>
        <v>Observational</v>
      </c>
      <c r="C1012" s="13" t="s">
        <v>4852</v>
      </c>
      <c r="D1012" s="1" t="s">
        <v>5416</v>
      </c>
      <c r="E1012" s="13" t="s">
        <v>5000</v>
      </c>
      <c r="F1012" s="13" t="s">
        <v>3159</v>
      </c>
      <c r="G1012" s="13" t="s">
        <v>3210</v>
      </c>
      <c r="H1012" s="13" t="s">
        <v>3195</v>
      </c>
      <c r="I1012" s="13" t="s">
        <v>3222</v>
      </c>
      <c r="J1012" s="13" t="s">
        <v>3182</v>
      </c>
      <c r="K1012" s="13" t="s">
        <v>3153</v>
      </c>
      <c r="L1012" s="13" t="s">
        <v>3154</v>
      </c>
      <c r="M1012" s="13" t="s">
        <v>3409</v>
      </c>
      <c r="N1012" s="13" t="s">
        <v>3267</v>
      </c>
      <c r="O1012" s="13" t="s">
        <v>33</v>
      </c>
      <c r="P1012" s="13">
        <v>2.0</v>
      </c>
      <c r="Q1012" s="13" t="s">
        <v>3177</v>
      </c>
      <c r="R1012" s="13" t="s">
        <v>3163</v>
      </c>
      <c r="S1012" s="13" t="s">
        <v>33</v>
      </c>
      <c r="T1012" s="13" t="s">
        <v>3167</v>
      </c>
      <c r="U1012" s="13" t="s">
        <v>3195</v>
      </c>
      <c r="V1012" s="13" t="s">
        <v>3195</v>
      </c>
      <c r="W1012" s="13" t="s">
        <v>3167</v>
      </c>
      <c r="X1012" s="13" t="s">
        <v>3192</v>
      </c>
      <c r="Y1012" s="13" t="s">
        <v>3156</v>
      </c>
      <c r="Z1012" s="13" t="s">
        <v>33</v>
      </c>
      <c r="AA1012" s="13" t="b">
        <v>0</v>
      </c>
      <c r="AB1012" s="48"/>
      <c r="AC1012" s="49"/>
    </row>
    <row r="1013" ht="14.25" customHeight="1">
      <c r="A1013" s="13">
        <v>25061.0</v>
      </c>
      <c r="B1013" s="13" t="str">
        <f t="shared" si="10"/>
        <v>Observational</v>
      </c>
      <c r="C1013" s="13" t="s">
        <v>4852</v>
      </c>
      <c r="D1013" s="1" t="s">
        <v>5416</v>
      </c>
      <c r="E1013" s="13" t="s">
        <v>5000</v>
      </c>
      <c r="F1013" s="13" t="s">
        <v>3159</v>
      </c>
      <c r="G1013" s="13" t="s">
        <v>3437</v>
      </c>
      <c r="H1013" s="13" t="s">
        <v>3242</v>
      </c>
      <c r="I1013" s="13" t="s">
        <v>3157</v>
      </c>
      <c r="J1013" s="13" t="s">
        <v>3199</v>
      </c>
      <c r="K1013" s="13" t="s">
        <v>3153</v>
      </c>
      <c r="L1013" s="13" t="s">
        <v>3154</v>
      </c>
      <c r="M1013" s="13" t="s">
        <v>3409</v>
      </c>
      <c r="N1013" s="13" t="s">
        <v>3162</v>
      </c>
      <c r="O1013" s="13" t="s">
        <v>33</v>
      </c>
      <c r="P1013" s="13">
        <v>2.0</v>
      </c>
      <c r="Q1013" s="13" t="s">
        <v>3177</v>
      </c>
      <c r="R1013" s="13" t="s">
        <v>3163</v>
      </c>
      <c r="S1013" s="13" t="s">
        <v>33</v>
      </c>
      <c r="T1013" s="13" t="s">
        <v>3167</v>
      </c>
      <c r="U1013" s="13" t="s">
        <v>3164</v>
      </c>
      <c r="V1013" s="13" t="s">
        <v>3165</v>
      </c>
      <c r="W1013" s="13" t="s">
        <v>3254</v>
      </c>
      <c r="X1013" s="13" t="s">
        <v>3170</v>
      </c>
      <c r="Y1013" s="13" t="s">
        <v>3156</v>
      </c>
      <c r="Z1013" s="13" t="s">
        <v>33</v>
      </c>
      <c r="AA1013" s="13" t="b">
        <v>0</v>
      </c>
      <c r="AB1013" s="48"/>
      <c r="AC1013" s="49"/>
    </row>
    <row r="1014" ht="14.25" customHeight="1">
      <c r="A1014" s="13">
        <v>23790.0</v>
      </c>
      <c r="B1014" s="13" t="str">
        <f t="shared" si="10"/>
        <v>Experimental</v>
      </c>
      <c r="C1014" s="13" t="s">
        <v>4886</v>
      </c>
      <c r="D1014" s="1" t="s">
        <v>5064</v>
      </c>
      <c r="E1014" s="2" t="s">
        <v>5000</v>
      </c>
      <c r="F1014" s="13" t="s">
        <v>3159</v>
      </c>
      <c r="G1014" s="13" t="s">
        <v>3159</v>
      </c>
      <c r="H1014" s="13" t="s">
        <v>3166</v>
      </c>
      <c r="I1014" s="13" t="s">
        <v>3222</v>
      </c>
      <c r="J1014" s="13" t="s">
        <v>3182</v>
      </c>
      <c r="K1014" s="13" t="s">
        <v>3457</v>
      </c>
      <c r="L1014" s="13" t="s">
        <v>3465</v>
      </c>
      <c r="M1014" s="13" t="s">
        <v>3369</v>
      </c>
      <c r="N1014" s="13" t="s">
        <v>3162</v>
      </c>
      <c r="O1014" s="13" t="s">
        <v>33</v>
      </c>
      <c r="P1014" s="13">
        <v>1.0</v>
      </c>
      <c r="Q1014" s="13" t="s">
        <v>3177</v>
      </c>
      <c r="R1014" s="13" t="s">
        <v>3163</v>
      </c>
      <c r="S1014" s="13" t="s">
        <v>33</v>
      </c>
      <c r="T1014" s="13" t="s">
        <v>3620</v>
      </c>
      <c r="U1014" s="13" t="s">
        <v>3197</v>
      </c>
      <c r="V1014" s="13" t="s">
        <v>3247</v>
      </c>
      <c r="W1014" s="13" t="s">
        <v>3167</v>
      </c>
      <c r="X1014" s="13" t="s">
        <v>3170</v>
      </c>
      <c r="Y1014" s="13" t="s">
        <v>3156</v>
      </c>
      <c r="Z1014" s="13" t="s">
        <v>33</v>
      </c>
      <c r="AA1014" s="13" t="b">
        <v>0</v>
      </c>
      <c r="AB1014" s="48"/>
      <c r="AC1014" s="49"/>
    </row>
    <row r="1015" ht="14.25" customHeight="1">
      <c r="A1015" s="13">
        <v>25030.0</v>
      </c>
      <c r="B1015" s="13" t="str">
        <f t="shared" si="10"/>
        <v>Experimental</v>
      </c>
      <c r="C1015" s="13" t="s">
        <v>4856</v>
      </c>
      <c r="D1015" s="1" t="s">
        <v>5064</v>
      </c>
      <c r="E1015" s="2" t="s">
        <v>5000</v>
      </c>
      <c r="F1015" s="13" t="s">
        <v>3159</v>
      </c>
      <c r="G1015" s="13" t="s">
        <v>3287</v>
      </c>
      <c r="H1015" s="13" t="s">
        <v>3242</v>
      </c>
      <c r="I1015" s="13" t="s">
        <v>3171</v>
      </c>
      <c r="J1015" s="13" t="s">
        <v>4108</v>
      </c>
      <c r="K1015" s="13" t="s">
        <v>3457</v>
      </c>
      <c r="L1015" s="13" t="s">
        <v>3169</v>
      </c>
      <c r="M1015" s="13" t="s">
        <v>3369</v>
      </c>
      <c r="N1015" s="13" t="s">
        <v>3162</v>
      </c>
      <c r="O1015" s="13" t="s">
        <v>33</v>
      </c>
      <c r="P1015" s="13">
        <v>1.0</v>
      </c>
      <c r="Q1015" s="13" t="s">
        <v>3160</v>
      </c>
      <c r="R1015" s="13" t="s">
        <v>3177</v>
      </c>
      <c r="S1015" s="13" t="s">
        <v>33</v>
      </c>
      <c r="T1015" s="13" t="s">
        <v>3167</v>
      </c>
      <c r="U1015" s="13" t="s">
        <v>3247</v>
      </c>
      <c r="V1015" s="13" t="s">
        <v>3247</v>
      </c>
      <c r="W1015" s="13" t="s">
        <v>3294</v>
      </c>
      <c r="X1015" s="13" t="s">
        <v>3170</v>
      </c>
      <c r="Y1015" s="13" t="s">
        <v>33</v>
      </c>
      <c r="Z1015" s="13" t="s">
        <v>33</v>
      </c>
      <c r="AA1015" s="13" t="b">
        <v>0</v>
      </c>
      <c r="AB1015" s="48"/>
      <c r="AC1015" s="49"/>
    </row>
    <row r="1016" ht="14.25" customHeight="1">
      <c r="A1016" s="13">
        <v>23278.0</v>
      </c>
      <c r="B1016" s="13" t="str">
        <f t="shared" si="10"/>
        <v>Observational</v>
      </c>
      <c r="C1016" s="13" t="s">
        <v>4852</v>
      </c>
      <c r="D1016" s="1" t="s">
        <v>5064</v>
      </c>
      <c r="E1016" s="2" t="s">
        <v>5000</v>
      </c>
      <c r="F1016" s="13" t="s">
        <v>3159</v>
      </c>
      <c r="G1016" s="13" t="s">
        <v>3159</v>
      </c>
      <c r="H1016" s="13" t="s">
        <v>3166</v>
      </c>
      <c r="I1016" s="13" t="s">
        <v>3157</v>
      </c>
      <c r="J1016" s="13" t="s">
        <v>3368</v>
      </c>
      <c r="K1016" s="13" t="s">
        <v>3153</v>
      </c>
      <c r="L1016" s="13" t="s">
        <v>3154</v>
      </c>
      <c r="M1016" s="13" t="s">
        <v>3369</v>
      </c>
      <c r="N1016" s="13" t="s">
        <v>3162</v>
      </c>
      <c r="O1016" s="13" t="s">
        <v>3167</v>
      </c>
      <c r="P1016" s="13">
        <v>1.0</v>
      </c>
      <c r="Q1016" s="13" t="s">
        <v>3177</v>
      </c>
      <c r="R1016" s="13" t="s">
        <v>3231</v>
      </c>
      <c r="S1016" s="13" t="s">
        <v>33</v>
      </c>
      <c r="T1016" s="13" t="s">
        <v>3225</v>
      </c>
      <c r="U1016" s="13" t="s">
        <v>3164</v>
      </c>
      <c r="V1016" s="13" t="s">
        <v>3164</v>
      </c>
      <c r="W1016" s="13" t="s">
        <v>3167</v>
      </c>
      <c r="X1016" s="13" t="s">
        <v>3192</v>
      </c>
      <c r="Y1016" s="13" t="s">
        <v>3156</v>
      </c>
      <c r="Z1016" s="13" t="s">
        <v>3167</v>
      </c>
      <c r="AA1016" s="13" t="b">
        <v>0</v>
      </c>
      <c r="AB1016" s="48"/>
      <c r="AC1016" s="49"/>
    </row>
    <row r="1017" ht="14.25" customHeight="1">
      <c r="A1017" s="13">
        <v>23698.0</v>
      </c>
      <c r="B1017" s="13" t="str">
        <f t="shared" si="10"/>
        <v>Observational</v>
      </c>
      <c r="C1017" s="13" t="s">
        <v>4856</v>
      </c>
      <c r="D1017" s="1" t="s">
        <v>5064</v>
      </c>
      <c r="E1017" s="2" t="s">
        <v>5000</v>
      </c>
      <c r="F1017" s="13" t="s">
        <v>3159</v>
      </c>
      <c r="G1017" s="13" t="s">
        <v>3287</v>
      </c>
      <c r="H1017" s="13" t="s">
        <v>3166</v>
      </c>
      <c r="I1017" s="13" t="s">
        <v>3203</v>
      </c>
      <c r="J1017" s="13" t="s">
        <v>3204</v>
      </c>
      <c r="K1017" s="13" t="s">
        <v>3153</v>
      </c>
      <c r="L1017" s="13" t="s">
        <v>3169</v>
      </c>
      <c r="M1017" s="13" t="s">
        <v>3369</v>
      </c>
      <c r="N1017" s="13" t="s">
        <v>3162</v>
      </c>
      <c r="O1017" s="13" t="s">
        <v>33</v>
      </c>
      <c r="P1017" s="13">
        <v>1.0</v>
      </c>
      <c r="Q1017" s="13" t="s">
        <v>3177</v>
      </c>
      <c r="R1017" s="13" t="s">
        <v>3163</v>
      </c>
      <c r="S1017" s="13" t="s">
        <v>33</v>
      </c>
      <c r="T1017" s="13" t="s">
        <v>3178</v>
      </c>
      <c r="U1017" s="13" t="s">
        <v>3164</v>
      </c>
      <c r="V1017" s="13" t="s">
        <v>3164</v>
      </c>
      <c r="W1017" s="13" t="s">
        <v>3167</v>
      </c>
      <c r="X1017" s="13" t="s">
        <v>3170</v>
      </c>
      <c r="Y1017" s="13" t="s">
        <v>3156</v>
      </c>
      <c r="Z1017" s="13" t="s">
        <v>33</v>
      </c>
      <c r="AA1017" s="13" t="b">
        <v>0</v>
      </c>
      <c r="AB1017" s="48"/>
      <c r="AC1017" s="49"/>
    </row>
    <row r="1018" ht="14.25" customHeight="1">
      <c r="A1018" s="13">
        <v>23964.0</v>
      </c>
      <c r="B1018" s="13" t="str">
        <f t="shared" si="10"/>
        <v>Observational</v>
      </c>
      <c r="C1018" s="13" t="s">
        <v>4886</v>
      </c>
      <c r="D1018" s="1" t="s">
        <v>5064</v>
      </c>
      <c r="E1018" s="2" t="s">
        <v>5000</v>
      </c>
      <c r="F1018" s="13" t="s">
        <v>3201</v>
      </c>
      <c r="G1018" s="13" t="s">
        <v>3702</v>
      </c>
      <c r="H1018" s="13" t="s">
        <v>3166</v>
      </c>
      <c r="I1018" s="13" t="s">
        <v>3222</v>
      </c>
      <c r="J1018" s="13" t="s">
        <v>3182</v>
      </c>
      <c r="K1018" s="13" t="s">
        <v>3153</v>
      </c>
      <c r="L1018" s="13" t="s">
        <v>3465</v>
      </c>
      <c r="M1018" s="13" t="s">
        <v>3369</v>
      </c>
      <c r="N1018" s="13" t="s">
        <v>3162</v>
      </c>
      <c r="O1018" s="13" t="s">
        <v>3167</v>
      </c>
      <c r="P1018" s="13">
        <v>1.0</v>
      </c>
      <c r="Q1018" s="13" t="s">
        <v>3177</v>
      </c>
      <c r="R1018" s="13" t="s">
        <v>3260</v>
      </c>
      <c r="S1018" s="13" t="s">
        <v>33</v>
      </c>
      <c r="T1018" s="13" t="s">
        <v>3178</v>
      </c>
      <c r="U1018" s="13" t="s">
        <v>3164</v>
      </c>
      <c r="V1018" s="13" t="s">
        <v>3164</v>
      </c>
      <c r="W1018" s="13" t="s">
        <v>3167</v>
      </c>
      <c r="X1018" s="13" t="s">
        <v>3170</v>
      </c>
      <c r="Y1018" s="13" t="s">
        <v>3304</v>
      </c>
      <c r="Z1018" s="13">
        <v>10.0</v>
      </c>
      <c r="AA1018" s="13" t="b">
        <v>0</v>
      </c>
      <c r="AB1018" s="48"/>
      <c r="AC1018" s="49"/>
    </row>
    <row r="1019" ht="14.25" customHeight="1">
      <c r="A1019" s="13">
        <v>23975.0</v>
      </c>
      <c r="B1019" s="13" t="str">
        <f t="shared" si="10"/>
        <v>Observational</v>
      </c>
      <c r="C1019" s="13" t="s">
        <v>4856</v>
      </c>
      <c r="D1019" s="1" t="s">
        <v>5064</v>
      </c>
      <c r="E1019" s="2" t="s">
        <v>5000</v>
      </c>
      <c r="F1019" s="13" t="s">
        <v>3159</v>
      </c>
      <c r="G1019" s="13" t="s">
        <v>3159</v>
      </c>
      <c r="H1019" s="13" t="s">
        <v>3242</v>
      </c>
      <c r="I1019" s="13" t="s">
        <v>3222</v>
      </c>
      <c r="J1019" s="13" t="s">
        <v>3182</v>
      </c>
      <c r="K1019" s="13" t="s">
        <v>3153</v>
      </c>
      <c r="L1019" s="13" t="s">
        <v>3169</v>
      </c>
      <c r="M1019" s="13" t="s">
        <v>3369</v>
      </c>
      <c r="N1019" s="13" t="s">
        <v>3162</v>
      </c>
      <c r="O1019" s="13" t="s">
        <v>3167</v>
      </c>
      <c r="P1019" s="13">
        <v>1.0</v>
      </c>
      <c r="Q1019" s="13" t="s">
        <v>3177</v>
      </c>
      <c r="R1019" s="13" t="s">
        <v>3231</v>
      </c>
      <c r="S1019" s="13" t="s">
        <v>33</v>
      </c>
      <c r="T1019" s="13" t="s">
        <v>3167</v>
      </c>
      <c r="U1019" s="13" t="s">
        <v>3247</v>
      </c>
      <c r="V1019" s="13" t="s">
        <v>3247</v>
      </c>
      <c r="W1019" s="13" t="s">
        <v>3496</v>
      </c>
      <c r="X1019" s="13" t="s">
        <v>3170</v>
      </c>
      <c r="Y1019" s="13" t="s">
        <v>3202</v>
      </c>
      <c r="Z1019" s="13">
        <v>10.0</v>
      </c>
      <c r="AA1019" s="13" t="b">
        <v>0</v>
      </c>
      <c r="AB1019" s="48"/>
      <c r="AC1019" s="49"/>
    </row>
    <row r="1020" ht="14.25" customHeight="1">
      <c r="A1020" s="13">
        <v>24170.0</v>
      </c>
      <c r="B1020" s="13" t="str">
        <f t="shared" si="10"/>
        <v>Observational</v>
      </c>
      <c r="C1020" s="13" t="s">
        <v>4864</v>
      </c>
      <c r="D1020" s="1" t="s">
        <v>5064</v>
      </c>
      <c r="E1020" s="2" t="s">
        <v>5000</v>
      </c>
      <c r="F1020" s="13" t="s">
        <v>3159</v>
      </c>
      <c r="G1020" s="13" t="s">
        <v>3159</v>
      </c>
      <c r="H1020" s="13" t="s">
        <v>3166</v>
      </c>
      <c r="I1020" s="13" t="s">
        <v>3264</v>
      </c>
      <c r="J1020" s="13" t="s">
        <v>3784</v>
      </c>
      <c r="K1020" s="13" t="s">
        <v>3153</v>
      </c>
      <c r="L1020" s="13" t="s">
        <v>3179</v>
      </c>
      <c r="M1020" s="13" t="s">
        <v>3369</v>
      </c>
      <c r="N1020" s="13" t="s">
        <v>3162</v>
      </c>
      <c r="O1020" s="13" t="s">
        <v>33</v>
      </c>
      <c r="P1020" s="13">
        <v>1.0</v>
      </c>
      <c r="Q1020" s="13" t="s">
        <v>3160</v>
      </c>
      <c r="R1020" s="13" t="s">
        <v>3163</v>
      </c>
      <c r="S1020" s="13" t="s">
        <v>33</v>
      </c>
      <c r="T1020" s="13" t="s">
        <v>3168</v>
      </c>
      <c r="U1020" s="13" t="s">
        <v>3232</v>
      </c>
      <c r="V1020" s="13" t="s">
        <v>3232</v>
      </c>
      <c r="W1020" s="13" t="s">
        <v>3167</v>
      </c>
      <c r="X1020" s="13" t="s">
        <v>3170</v>
      </c>
      <c r="Y1020" s="13" t="s">
        <v>3156</v>
      </c>
      <c r="Z1020" s="13" t="s">
        <v>33</v>
      </c>
      <c r="AA1020" s="13" t="b">
        <v>0</v>
      </c>
      <c r="AB1020" s="48"/>
      <c r="AC1020" s="49"/>
    </row>
    <row r="1021" ht="14.25" customHeight="1">
      <c r="A1021" s="13">
        <v>24205.0</v>
      </c>
      <c r="B1021" s="13" t="str">
        <f t="shared" si="10"/>
        <v>Observational</v>
      </c>
      <c r="C1021" s="13" t="s">
        <v>4856</v>
      </c>
      <c r="D1021" s="1" t="s">
        <v>5064</v>
      </c>
      <c r="E1021" s="2" t="s">
        <v>5000</v>
      </c>
      <c r="F1021" s="13" t="s">
        <v>3186</v>
      </c>
      <c r="G1021" s="13" t="s">
        <v>3186</v>
      </c>
      <c r="H1021" s="13" t="s">
        <v>3166</v>
      </c>
      <c r="I1021" s="13" t="s">
        <v>3157</v>
      </c>
      <c r="J1021" s="13" t="s">
        <v>3240</v>
      </c>
      <c r="K1021" s="13" t="s">
        <v>3153</v>
      </c>
      <c r="L1021" s="13" t="s">
        <v>3169</v>
      </c>
      <c r="M1021" s="13" t="s">
        <v>3369</v>
      </c>
      <c r="N1021" s="13" t="s">
        <v>3162</v>
      </c>
      <c r="O1021" s="13" t="s">
        <v>33</v>
      </c>
      <c r="P1021" s="13">
        <v>1.0</v>
      </c>
      <c r="Q1021" s="13" t="s">
        <v>3160</v>
      </c>
      <c r="R1021" s="13" t="s">
        <v>3163</v>
      </c>
      <c r="S1021" s="13" t="s">
        <v>33</v>
      </c>
      <c r="T1021" s="13" t="s">
        <v>3224</v>
      </c>
      <c r="U1021" s="13" t="s">
        <v>3164</v>
      </c>
      <c r="V1021" s="13" t="s">
        <v>3232</v>
      </c>
      <c r="W1021" s="13" t="s">
        <v>3167</v>
      </c>
      <c r="X1021" s="13" t="s">
        <v>3155</v>
      </c>
      <c r="Y1021" s="13" t="s">
        <v>3187</v>
      </c>
      <c r="Z1021" s="13">
        <v>100.0</v>
      </c>
      <c r="AA1021" s="13" t="b">
        <v>0</v>
      </c>
      <c r="AB1021" s="48"/>
      <c r="AC1021" s="49"/>
    </row>
    <row r="1022" ht="14.25" customHeight="1">
      <c r="A1022" s="13">
        <v>24345.0</v>
      </c>
      <c r="B1022" s="13" t="str">
        <f t="shared" si="10"/>
        <v>Observational</v>
      </c>
      <c r="C1022" s="13" t="s">
        <v>4852</v>
      </c>
      <c r="D1022" s="1" t="s">
        <v>5064</v>
      </c>
      <c r="E1022" s="2" t="s">
        <v>5000</v>
      </c>
      <c r="F1022" s="13" t="s">
        <v>3183</v>
      </c>
      <c r="G1022" s="13" t="s">
        <v>3205</v>
      </c>
      <c r="H1022" s="13" t="s">
        <v>3195</v>
      </c>
      <c r="I1022" s="13" t="s">
        <v>3244</v>
      </c>
      <c r="J1022" s="13" t="s">
        <v>3289</v>
      </c>
      <c r="K1022" s="13" t="s">
        <v>3153</v>
      </c>
      <c r="L1022" s="13" t="s">
        <v>3154</v>
      </c>
      <c r="M1022" s="13" t="s">
        <v>3369</v>
      </c>
      <c r="N1022" s="13" t="s">
        <v>3162</v>
      </c>
      <c r="O1022" s="13" t="s">
        <v>3863</v>
      </c>
      <c r="P1022" s="13">
        <v>1.0</v>
      </c>
      <c r="Q1022" s="13" t="s">
        <v>3160</v>
      </c>
      <c r="R1022" s="13" t="s">
        <v>3163</v>
      </c>
      <c r="S1022" s="13" t="s">
        <v>33</v>
      </c>
      <c r="T1022" s="13" t="s">
        <v>3167</v>
      </c>
      <c r="U1022" s="13" t="s">
        <v>3195</v>
      </c>
      <c r="V1022" s="13" t="s">
        <v>3195</v>
      </c>
      <c r="W1022" s="13" t="s">
        <v>3167</v>
      </c>
      <c r="X1022" s="13" t="s">
        <v>3192</v>
      </c>
      <c r="Y1022" s="13" t="s">
        <v>3156</v>
      </c>
      <c r="Z1022" s="13" t="s">
        <v>33</v>
      </c>
      <c r="AA1022" s="13" t="b">
        <v>0</v>
      </c>
      <c r="AB1022" s="48"/>
      <c r="AC1022" s="49"/>
    </row>
    <row r="1023" ht="14.25" customHeight="1">
      <c r="A1023" s="13">
        <v>24417.0</v>
      </c>
      <c r="B1023" s="13" t="str">
        <f t="shared" si="10"/>
        <v>Observational</v>
      </c>
      <c r="C1023" s="13" t="s">
        <v>4864</v>
      </c>
      <c r="D1023" s="1" t="s">
        <v>5064</v>
      </c>
      <c r="E1023" s="2" t="s">
        <v>5000</v>
      </c>
      <c r="F1023" s="13" t="s">
        <v>3186</v>
      </c>
      <c r="G1023" s="13" t="s">
        <v>3183</v>
      </c>
      <c r="H1023" s="13" t="s">
        <v>3166</v>
      </c>
      <c r="I1023" s="13" t="s">
        <v>3527</v>
      </c>
      <c r="J1023" s="13" t="s">
        <v>3892</v>
      </c>
      <c r="K1023" s="13" t="s">
        <v>3153</v>
      </c>
      <c r="L1023" s="13" t="s">
        <v>3179</v>
      </c>
      <c r="M1023" s="13" t="s">
        <v>3369</v>
      </c>
      <c r="N1023" s="13" t="s">
        <v>3162</v>
      </c>
      <c r="O1023" s="13" t="s">
        <v>33</v>
      </c>
      <c r="P1023" s="13">
        <v>1.0</v>
      </c>
      <c r="Q1023" s="13" t="s">
        <v>3160</v>
      </c>
      <c r="R1023" s="13" t="s">
        <v>3177</v>
      </c>
      <c r="S1023" s="13" t="s">
        <v>3397</v>
      </c>
      <c r="T1023" s="13" t="s">
        <v>3893</v>
      </c>
      <c r="U1023" s="13" t="s">
        <v>3197</v>
      </c>
      <c r="V1023" s="13" t="s">
        <v>3197</v>
      </c>
      <c r="W1023" s="13" t="s">
        <v>3167</v>
      </c>
      <c r="X1023" s="13" t="s">
        <v>3170</v>
      </c>
      <c r="Y1023" s="13" t="s">
        <v>3187</v>
      </c>
      <c r="Z1023" s="13">
        <v>1.0</v>
      </c>
      <c r="AA1023" s="13" t="b">
        <v>0</v>
      </c>
      <c r="AB1023" s="48"/>
      <c r="AC1023" s="49"/>
    </row>
    <row r="1024" ht="14.25" customHeight="1">
      <c r="A1024" s="13">
        <v>24677.0</v>
      </c>
      <c r="B1024" s="13" t="str">
        <f t="shared" si="10"/>
        <v>Observational</v>
      </c>
      <c r="C1024" s="13" t="s">
        <v>4864</v>
      </c>
      <c r="D1024" s="1" t="s">
        <v>5064</v>
      </c>
      <c r="E1024" s="2" t="s">
        <v>5000</v>
      </c>
      <c r="F1024" s="13" t="s">
        <v>3159</v>
      </c>
      <c r="G1024" s="13" t="s">
        <v>3159</v>
      </c>
      <c r="H1024" s="13" t="s">
        <v>3166</v>
      </c>
      <c r="I1024" s="13" t="s">
        <v>3261</v>
      </c>
      <c r="J1024" s="13" t="s">
        <v>3182</v>
      </c>
      <c r="K1024" s="13" t="s">
        <v>3153</v>
      </c>
      <c r="L1024" s="13" t="s">
        <v>3179</v>
      </c>
      <c r="M1024" s="13" t="s">
        <v>3369</v>
      </c>
      <c r="N1024" s="13" t="s">
        <v>3162</v>
      </c>
      <c r="O1024" s="13" t="s">
        <v>3167</v>
      </c>
      <c r="P1024" s="13">
        <v>1.0</v>
      </c>
      <c r="Q1024" s="13" t="s">
        <v>3177</v>
      </c>
      <c r="R1024" s="13" t="s">
        <v>3231</v>
      </c>
      <c r="S1024" s="13" t="s">
        <v>33</v>
      </c>
      <c r="T1024" s="13" t="s">
        <v>3225</v>
      </c>
      <c r="U1024" s="13" t="s">
        <v>3164</v>
      </c>
      <c r="V1024" s="13" t="s">
        <v>3164</v>
      </c>
      <c r="W1024" s="13" t="s">
        <v>3167</v>
      </c>
      <c r="X1024" s="13" t="s">
        <v>3192</v>
      </c>
      <c r="Y1024" s="13" t="s">
        <v>3156</v>
      </c>
      <c r="Z1024" s="13" t="s">
        <v>3167</v>
      </c>
      <c r="AA1024" s="13" t="b">
        <v>0</v>
      </c>
      <c r="AB1024" s="48"/>
      <c r="AC1024" s="49"/>
    </row>
    <row r="1025" ht="14.25" customHeight="1">
      <c r="A1025" s="13">
        <v>24695.0</v>
      </c>
      <c r="B1025" s="13" t="str">
        <f t="shared" si="10"/>
        <v>Observational</v>
      </c>
      <c r="C1025" s="13" t="s">
        <v>4852</v>
      </c>
      <c r="D1025" s="1" t="s">
        <v>5064</v>
      </c>
      <c r="E1025" s="2" t="s">
        <v>5000</v>
      </c>
      <c r="F1025" s="13" t="s">
        <v>3186</v>
      </c>
      <c r="G1025" s="13" t="s">
        <v>3186</v>
      </c>
      <c r="H1025" s="13" t="s">
        <v>3166</v>
      </c>
      <c r="I1025" s="13" t="s">
        <v>3244</v>
      </c>
      <c r="J1025" s="13" t="s">
        <v>3350</v>
      </c>
      <c r="K1025" s="13" t="s">
        <v>3153</v>
      </c>
      <c r="L1025" s="13" t="s">
        <v>3154</v>
      </c>
      <c r="M1025" s="13" t="s">
        <v>3369</v>
      </c>
      <c r="N1025" s="13" t="s">
        <v>3162</v>
      </c>
      <c r="O1025" s="13" t="s">
        <v>33</v>
      </c>
      <c r="P1025" s="13">
        <v>1.0</v>
      </c>
      <c r="Q1025" s="13" t="s">
        <v>3177</v>
      </c>
      <c r="R1025" s="13" t="s">
        <v>3177</v>
      </c>
      <c r="S1025" s="13" t="s">
        <v>33</v>
      </c>
      <c r="T1025" s="13" t="s">
        <v>4000</v>
      </c>
      <c r="U1025" s="13" t="s">
        <v>3232</v>
      </c>
      <c r="V1025" s="13" t="s">
        <v>3247</v>
      </c>
      <c r="W1025" s="13" t="s">
        <v>3167</v>
      </c>
      <c r="X1025" s="13" t="s">
        <v>3170</v>
      </c>
      <c r="Y1025" s="13" t="s">
        <v>33</v>
      </c>
      <c r="Z1025" s="13" t="s">
        <v>33</v>
      </c>
      <c r="AA1025" s="13" t="b">
        <v>0</v>
      </c>
      <c r="AB1025" s="48"/>
      <c r="AC1025" s="49"/>
    </row>
    <row r="1026" ht="14.25" customHeight="1">
      <c r="A1026" s="13">
        <v>24849.0</v>
      </c>
      <c r="B1026" s="13" t="str">
        <f t="shared" si="10"/>
        <v>Observational</v>
      </c>
      <c r="C1026" s="13" t="s">
        <v>4864</v>
      </c>
      <c r="D1026" s="1" t="s">
        <v>5064</v>
      </c>
      <c r="E1026" s="2" t="s">
        <v>5000</v>
      </c>
      <c r="F1026" s="13" t="s">
        <v>3195</v>
      </c>
      <c r="G1026" s="13" t="s">
        <v>3287</v>
      </c>
      <c r="H1026" s="13" t="s">
        <v>3166</v>
      </c>
      <c r="I1026" s="13" t="s">
        <v>3261</v>
      </c>
      <c r="J1026" s="13" t="s">
        <v>3229</v>
      </c>
      <c r="K1026" s="13" t="s">
        <v>3153</v>
      </c>
      <c r="L1026" s="13" t="s">
        <v>3179</v>
      </c>
      <c r="M1026" s="13" t="s">
        <v>3369</v>
      </c>
      <c r="N1026" s="13" t="s">
        <v>3162</v>
      </c>
      <c r="O1026" s="13" t="s">
        <v>33</v>
      </c>
      <c r="P1026" s="13">
        <v>1.0</v>
      </c>
      <c r="Q1026" s="13" t="s">
        <v>3160</v>
      </c>
      <c r="R1026" s="13" t="s">
        <v>3163</v>
      </c>
      <c r="S1026" s="13" t="s">
        <v>33</v>
      </c>
      <c r="T1026" s="13" t="s">
        <v>3224</v>
      </c>
      <c r="U1026" s="13" t="s">
        <v>3164</v>
      </c>
      <c r="V1026" s="13" t="s">
        <v>3232</v>
      </c>
      <c r="W1026" s="13" t="s">
        <v>3167</v>
      </c>
      <c r="X1026" s="13" t="s">
        <v>3192</v>
      </c>
      <c r="Y1026" s="13" t="s">
        <v>3156</v>
      </c>
      <c r="Z1026" s="13" t="s">
        <v>33</v>
      </c>
      <c r="AA1026" s="13" t="b">
        <v>0</v>
      </c>
      <c r="AB1026" s="48"/>
      <c r="AC1026" s="49"/>
    </row>
    <row r="1027" ht="14.25" customHeight="1">
      <c r="A1027" s="13">
        <v>26131.0</v>
      </c>
      <c r="B1027" s="13" t="str">
        <f t="shared" si="10"/>
        <v>Observational</v>
      </c>
      <c r="C1027" s="13" t="s">
        <v>4856</v>
      </c>
      <c r="D1027" s="1" t="s">
        <v>5064</v>
      </c>
      <c r="E1027" s="2" t="s">
        <v>5000</v>
      </c>
      <c r="F1027" s="13" t="s">
        <v>3159</v>
      </c>
      <c r="G1027" s="13" t="s">
        <v>3159</v>
      </c>
      <c r="H1027" s="13" t="s">
        <v>3166</v>
      </c>
      <c r="I1027" s="13" t="s">
        <v>3188</v>
      </c>
      <c r="J1027" s="13" t="s">
        <v>3432</v>
      </c>
      <c r="K1027" s="13" t="s">
        <v>3153</v>
      </c>
      <c r="L1027" s="13" t="s">
        <v>3169</v>
      </c>
      <c r="M1027" s="13" t="s">
        <v>3369</v>
      </c>
      <c r="N1027" s="13" t="s">
        <v>3162</v>
      </c>
      <c r="O1027" s="13" t="s">
        <v>3167</v>
      </c>
      <c r="P1027" s="13">
        <v>1.0</v>
      </c>
      <c r="Q1027" s="13" t="s">
        <v>3177</v>
      </c>
      <c r="R1027" s="13" t="s">
        <v>3260</v>
      </c>
      <c r="S1027" s="13" t="s">
        <v>33</v>
      </c>
      <c r="T1027" s="13" t="s">
        <v>3178</v>
      </c>
      <c r="U1027" s="13" t="s">
        <v>3164</v>
      </c>
      <c r="V1027" s="13" t="s">
        <v>3164</v>
      </c>
      <c r="W1027" s="13" t="s">
        <v>3167</v>
      </c>
      <c r="X1027" s="13" t="s">
        <v>3192</v>
      </c>
      <c r="Y1027" s="13" t="s">
        <v>3156</v>
      </c>
      <c r="Z1027" s="13" t="s">
        <v>3167</v>
      </c>
      <c r="AA1027" s="13" t="b">
        <v>0</v>
      </c>
      <c r="AB1027" s="48"/>
      <c r="AC1027" s="49"/>
    </row>
    <row r="1028" ht="14.25" customHeight="1">
      <c r="A1028" s="13">
        <v>25755.0</v>
      </c>
      <c r="B1028" s="13" t="str">
        <f t="shared" si="10"/>
        <v>Observational</v>
      </c>
      <c r="C1028" s="13" t="s">
        <v>4856</v>
      </c>
      <c r="D1028" s="1" t="s">
        <v>5417</v>
      </c>
      <c r="E1028" s="13" t="s">
        <v>5418</v>
      </c>
      <c r="F1028" s="13" t="s">
        <v>3159</v>
      </c>
      <c r="G1028" s="13" t="s">
        <v>3159</v>
      </c>
      <c r="H1028" s="13" t="s">
        <v>3166</v>
      </c>
      <c r="I1028" s="13" t="s">
        <v>3222</v>
      </c>
      <c r="J1028" s="13" t="s">
        <v>3182</v>
      </c>
      <c r="K1028" s="13" t="s">
        <v>3153</v>
      </c>
      <c r="L1028" s="13" t="s">
        <v>3169</v>
      </c>
      <c r="M1028" s="13" t="s">
        <v>4321</v>
      </c>
      <c r="N1028" s="13" t="s">
        <v>3162</v>
      </c>
      <c r="O1028" s="13" t="s">
        <v>33</v>
      </c>
      <c r="P1028" s="13">
        <v>2.0</v>
      </c>
      <c r="Q1028" s="13" t="s">
        <v>3160</v>
      </c>
      <c r="R1028" s="13" t="s">
        <v>3163</v>
      </c>
      <c r="S1028" s="13" t="s">
        <v>33</v>
      </c>
      <c r="T1028" s="13" t="s">
        <v>3216</v>
      </c>
      <c r="U1028" s="13" t="s">
        <v>3164</v>
      </c>
      <c r="V1028" s="13" t="s">
        <v>3164</v>
      </c>
      <c r="W1028" s="13" t="s">
        <v>3167</v>
      </c>
      <c r="X1028" s="13" t="s">
        <v>3170</v>
      </c>
      <c r="Y1028" s="13" t="s">
        <v>3156</v>
      </c>
      <c r="Z1028" s="13" t="s">
        <v>33</v>
      </c>
      <c r="AA1028" s="13" t="b">
        <v>0</v>
      </c>
      <c r="AB1028" s="48"/>
      <c r="AC1028" s="49"/>
    </row>
    <row r="1029" ht="14.25" customHeight="1">
      <c r="A1029" s="13">
        <v>24422.0</v>
      </c>
      <c r="B1029" s="13" t="str">
        <f t="shared" si="10"/>
        <v>Observational</v>
      </c>
      <c r="C1029" s="13" t="s">
        <v>4856</v>
      </c>
      <c r="D1029" s="1" t="s">
        <v>5419</v>
      </c>
      <c r="E1029" s="13" t="s">
        <v>5000</v>
      </c>
      <c r="F1029" s="13" t="s">
        <v>3201</v>
      </c>
      <c r="G1029" s="13" t="s">
        <v>3186</v>
      </c>
      <c r="H1029" s="13" t="s">
        <v>3166</v>
      </c>
      <c r="I1029" s="13" t="s">
        <v>3157</v>
      </c>
      <c r="J1029" s="13" t="s">
        <v>3898</v>
      </c>
      <c r="K1029" s="13" t="s">
        <v>3153</v>
      </c>
      <c r="L1029" s="13" t="s">
        <v>3169</v>
      </c>
      <c r="M1029" s="13" t="s">
        <v>3899</v>
      </c>
      <c r="N1029" s="13" t="s">
        <v>3162</v>
      </c>
      <c r="O1029" s="13" t="s">
        <v>33</v>
      </c>
      <c r="P1029" s="13">
        <v>2.0</v>
      </c>
      <c r="Q1029" s="13" t="s">
        <v>3177</v>
      </c>
      <c r="R1029" s="13" t="s">
        <v>3163</v>
      </c>
      <c r="S1029" s="13" t="s">
        <v>33</v>
      </c>
      <c r="T1029" s="13" t="s">
        <v>3224</v>
      </c>
      <c r="U1029" s="13" t="s">
        <v>3164</v>
      </c>
      <c r="V1029" s="13" t="s">
        <v>3164</v>
      </c>
      <c r="W1029" s="13" t="s">
        <v>3167</v>
      </c>
      <c r="X1029" s="13" t="s">
        <v>3170</v>
      </c>
      <c r="Y1029" s="13" t="s">
        <v>3156</v>
      </c>
      <c r="Z1029" s="13" t="s">
        <v>33</v>
      </c>
      <c r="AA1029" s="13" t="b">
        <v>0</v>
      </c>
      <c r="AB1029" s="48"/>
      <c r="AC1029" s="49"/>
    </row>
    <row r="1030" ht="14.25" customHeight="1">
      <c r="A1030" s="13">
        <v>23613.0</v>
      </c>
      <c r="B1030" s="13" t="str">
        <f t="shared" si="10"/>
        <v>Observational</v>
      </c>
      <c r="C1030" s="13" t="s">
        <v>4852</v>
      </c>
      <c r="D1030" s="1" t="s">
        <v>5211</v>
      </c>
      <c r="E1030" s="13" t="s">
        <v>5000</v>
      </c>
      <c r="F1030" s="13" t="s">
        <v>3159</v>
      </c>
      <c r="G1030" s="13" t="s">
        <v>3173</v>
      </c>
      <c r="H1030" s="13" t="s">
        <v>3166</v>
      </c>
      <c r="I1030" s="13" t="s">
        <v>3222</v>
      </c>
      <c r="J1030" s="13" t="s">
        <v>3182</v>
      </c>
      <c r="K1030" s="13" t="s">
        <v>3153</v>
      </c>
      <c r="L1030" s="13" t="s">
        <v>3154</v>
      </c>
      <c r="M1030" s="13" t="s">
        <v>3536</v>
      </c>
      <c r="N1030" s="13" t="s">
        <v>3162</v>
      </c>
      <c r="O1030" s="13" t="s">
        <v>33</v>
      </c>
      <c r="P1030" s="13">
        <v>1.0</v>
      </c>
      <c r="Q1030" s="13" t="s">
        <v>3177</v>
      </c>
      <c r="R1030" s="13" t="s">
        <v>3163</v>
      </c>
      <c r="S1030" s="13" t="s">
        <v>33</v>
      </c>
      <c r="T1030" s="13" t="s">
        <v>3225</v>
      </c>
      <c r="U1030" s="13" t="s">
        <v>3228</v>
      </c>
      <c r="V1030" s="13" t="s">
        <v>3228</v>
      </c>
      <c r="W1030" s="13" t="s">
        <v>3167</v>
      </c>
      <c r="X1030" s="13" t="s">
        <v>3192</v>
      </c>
      <c r="Y1030" s="13" t="s">
        <v>33</v>
      </c>
      <c r="Z1030" s="13" t="s">
        <v>33</v>
      </c>
      <c r="AA1030" s="13" t="b">
        <v>0</v>
      </c>
      <c r="AB1030" s="48"/>
      <c r="AC1030" s="49"/>
    </row>
    <row r="1031" ht="14.25" customHeight="1">
      <c r="A1031" s="13">
        <v>24585.0</v>
      </c>
      <c r="B1031" s="13" t="str">
        <f t="shared" si="10"/>
        <v>Observational</v>
      </c>
      <c r="C1031" s="13" t="s">
        <v>4856</v>
      </c>
      <c r="D1031" s="1" t="s">
        <v>5211</v>
      </c>
      <c r="E1031" s="13" t="s">
        <v>5000</v>
      </c>
      <c r="F1031" s="13" t="s">
        <v>3381</v>
      </c>
      <c r="G1031" s="13" t="s">
        <v>3381</v>
      </c>
      <c r="H1031" s="13" t="s">
        <v>3166</v>
      </c>
      <c r="I1031" s="13" t="s">
        <v>3222</v>
      </c>
      <c r="J1031" s="13" t="s">
        <v>3182</v>
      </c>
      <c r="K1031" s="13" t="s">
        <v>3153</v>
      </c>
      <c r="L1031" s="13" t="s">
        <v>3169</v>
      </c>
      <c r="M1031" s="13" t="s">
        <v>3536</v>
      </c>
      <c r="N1031" s="13" t="s">
        <v>3162</v>
      </c>
      <c r="O1031" s="13" t="s">
        <v>3966</v>
      </c>
      <c r="P1031" s="13">
        <v>1.0</v>
      </c>
      <c r="Q1031" s="13" t="s">
        <v>3177</v>
      </c>
      <c r="R1031" s="13" t="s">
        <v>3177</v>
      </c>
      <c r="S1031" s="13" t="s">
        <v>3967</v>
      </c>
      <c r="T1031" s="13" t="s">
        <v>3632</v>
      </c>
      <c r="U1031" s="13" t="s">
        <v>3247</v>
      </c>
      <c r="V1031" s="13" t="s">
        <v>3247</v>
      </c>
      <c r="W1031" s="13" t="s">
        <v>3167</v>
      </c>
      <c r="X1031" s="13" t="s">
        <v>3170</v>
      </c>
      <c r="Y1031" s="13" t="s">
        <v>33</v>
      </c>
      <c r="Z1031" s="13" t="s">
        <v>33</v>
      </c>
      <c r="AA1031" s="13" t="b">
        <v>0</v>
      </c>
      <c r="AB1031" s="48"/>
      <c r="AC1031" s="49"/>
    </row>
    <row r="1032" ht="14.25" customHeight="1">
      <c r="A1032" s="13">
        <v>24930.0</v>
      </c>
      <c r="B1032" s="13" t="str">
        <f t="shared" si="10"/>
        <v>Observational</v>
      </c>
      <c r="C1032" s="13" t="s">
        <v>4852</v>
      </c>
      <c r="D1032" s="1" t="s">
        <v>5211</v>
      </c>
      <c r="E1032" s="13" t="s">
        <v>5000</v>
      </c>
      <c r="F1032" s="13" t="s">
        <v>3333</v>
      </c>
      <c r="G1032" s="13" t="s">
        <v>3159</v>
      </c>
      <c r="H1032" s="13" t="s">
        <v>3166</v>
      </c>
      <c r="I1032" s="13" t="s">
        <v>3157</v>
      </c>
      <c r="J1032" s="13" t="s">
        <v>3240</v>
      </c>
      <c r="K1032" s="13" t="s">
        <v>3153</v>
      </c>
      <c r="L1032" s="13" t="s">
        <v>3154</v>
      </c>
      <c r="M1032" s="13" t="s">
        <v>3536</v>
      </c>
      <c r="N1032" s="13" t="s">
        <v>3162</v>
      </c>
      <c r="O1032" s="13" t="s">
        <v>3167</v>
      </c>
      <c r="P1032" s="13">
        <v>1.0</v>
      </c>
      <c r="Q1032" s="13" t="s">
        <v>3177</v>
      </c>
      <c r="R1032" s="13" t="s">
        <v>3231</v>
      </c>
      <c r="S1032" s="13" t="s">
        <v>33</v>
      </c>
      <c r="T1032" s="13" t="s">
        <v>3255</v>
      </c>
      <c r="U1032" s="13" t="s">
        <v>3197</v>
      </c>
      <c r="V1032" s="13" t="s">
        <v>3197</v>
      </c>
      <c r="W1032" s="13" t="s">
        <v>3167</v>
      </c>
      <c r="X1032" s="13" t="s">
        <v>3155</v>
      </c>
      <c r="Y1032" s="13" t="s">
        <v>3187</v>
      </c>
      <c r="Z1032" s="13">
        <v>1.0</v>
      </c>
      <c r="AA1032" s="13" t="b">
        <v>0</v>
      </c>
      <c r="AB1032" s="48"/>
      <c r="AC1032" s="49"/>
    </row>
    <row r="1033" ht="14.25" customHeight="1">
      <c r="A1033" s="13">
        <v>25175.0</v>
      </c>
      <c r="B1033" s="13" t="str">
        <f t="shared" si="10"/>
        <v>Observational</v>
      </c>
      <c r="C1033" s="13" t="s">
        <v>4856</v>
      </c>
      <c r="D1033" s="1" t="s">
        <v>5420</v>
      </c>
      <c r="E1033" s="13" t="s">
        <v>5421</v>
      </c>
      <c r="F1033" s="13" t="s">
        <v>3173</v>
      </c>
      <c r="G1033" s="13" t="s">
        <v>3183</v>
      </c>
      <c r="H1033" s="13" t="s">
        <v>3166</v>
      </c>
      <c r="I1033" s="13" t="s">
        <v>3167</v>
      </c>
      <c r="J1033" s="13" t="s">
        <v>3167</v>
      </c>
      <c r="K1033" s="13" t="s">
        <v>3153</v>
      </c>
      <c r="L1033" s="13" t="s">
        <v>3169</v>
      </c>
      <c r="M1033" s="13" t="s">
        <v>4170</v>
      </c>
      <c r="N1033" s="13" t="s">
        <v>3162</v>
      </c>
      <c r="O1033" s="13" t="s">
        <v>33</v>
      </c>
      <c r="P1033" s="13">
        <v>2.0</v>
      </c>
      <c r="Q1033" s="13" t="s">
        <v>3160</v>
      </c>
      <c r="R1033" s="13" t="s">
        <v>3163</v>
      </c>
      <c r="S1033" s="13" t="s">
        <v>4171</v>
      </c>
      <c r="T1033" s="13" t="s">
        <v>3224</v>
      </c>
      <c r="U1033" s="13" t="s">
        <v>3165</v>
      </c>
      <c r="V1033" s="13" t="s">
        <v>3165</v>
      </c>
      <c r="W1033" s="13" t="s">
        <v>3167</v>
      </c>
      <c r="X1033" s="13" t="s">
        <v>3217</v>
      </c>
      <c r="Y1033" s="13" t="s">
        <v>3156</v>
      </c>
      <c r="Z1033" s="13" t="s">
        <v>33</v>
      </c>
      <c r="AA1033" s="13" t="b">
        <v>0</v>
      </c>
      <c r="AB1033" s="48"/>
      <c r="AC1033" s="49"/>
    </row>
    <row r="1034" ht="14.25" customHeight="1">
      <c r="A1034" s="13">
        <v>24126.0</v>
      </c>
      <c r="B1034" s="13" t="str">
        <f t="shared" si="10"/>
        <v>Observational</v>
      </c>
      <c r="C1034" s="13" t="s">
        <v>4855</v>
      </c>
      <c r="D1034" s="1" t="s">
        <v>5422</v>
      </c>
      <c r="E1034" s="13" t="s">
        <v>5423</v>
      </c>
      <c r="F1034" s="13" t="s">
        <v>3186</v>
      </c>
      <c r="G1034" s="13" t="s">
        <v>3186</v>
      </c>
      <c r="H1034" s="13" t="s">
        <v>3253</v>
      </c>
      <c r="I1034" s="13" t="s">
        <v>3167</v>
      </c>
      <c r="J1034" s="13" t="s">
        <v>3167</v>
      </c>
      <c r="K1034" s="13" t="s">
        <v>3153</v>
      </c>
      <c r="L1034" s="13" t="s">
        <v>3395</v>
      </c>
      <c r="M1034" s="13" t="s">
        <v>3756</v>
      </c>
      <c r="N1034" s="13" t="s">
        <v>3175</v>
      </c>
      <c r="O1034" s="13" t="s">
        <v>33</v>
      </c>
      <c r="P1034" s="13">
        <v>4.0</v>
      </c>
      <c r="Q1034" s="13" t="s">
        <v>3160</v>
      </c>
      <c r="R1034" s="13" t="s">
        <v>3163</v>
      </c>
      <c r="S1034" s="13" t="s">
        <v>33</v>
      </c>
      <c r="T1034" s="13" t="s">
        <v>3755</v>
      </c>
      <c r="U1034" s="13" t="s">
        <v>3252</v>
      </c>
      <c r="V1034" s="13" t="s">
        <v>3252</v>
      </c>
      <c r="W1034" s="13" t="s">
        <v>3755</v>
      </c>
      <c r="X1034" s="13" t="s">
        <v>3217</v>
      </c>
      <c r="Y1034" s="13" t="s">
        <v>3156</v>
      </c>
      <c r="Z1034" s="13" t="s">
        <v>33</v>
      </c>
      <c r="AA1034" s="13" t="b">
        <v>0</v>
      </c>
      <c r="AB1034" s="48"/>
      <c r="AC1034" s="49"/>
    </row>
    <row r="1035" ht="14.25" customHeight="1">
      <c r="A1035" s="13">
        <v>24127.0</v>
      </c>
      <c r="B1035" s="13" t="str">
        <f t="shared" si="10"/>
        <v>Observational</v>
      </c>
      <c r="C1035" s="13" t="s">
        <v>4864</v>
      </c>
      <c r="D1035" s="13" t="s">
        <v>5424</v>
      </c>
      <c r="E1035" s="13" t="s">
        <v>5425</v>
      </c>
      <c r="F1035" s="13" t="s">
        <v>3183</v>
      </c>
      <c r="G1035" s="13" t="s">
        <v>3173</v>
      </c>
      <c r="H1035" s="13" t="s">
        <v>3253</v>
      </c>
      <c r="I1035" s="13" t="s">
        <v>3181</v>
      </c>
      <c r="J1035" s="13" t="s">
        <v>3182</v>
      </c>
      <c r="K1035" s="13" t="s">
        <v>3153</v>
      </c>
      <c r="L1035" s="13" t="s">
        <v>3179</v>
      </c>
      <c r="M1035" s="13" t="s">
        <v>3757</v>
      </c>
      <c r="N1035" s="13" t="s">
        <v>3175</v>
      </c>
      <c r="O1035" s="13" t="s">
        <v>3689</v>
      </c>
      <c r="P1035" s="13">
        <v>16.0</v>
      </c>
      <c r="Q1035" s="13" t="s">
        <v>3177</v>
      </c>
      <c r="R1035" s="13" t="s">
        <v>3163</v>
      </c>
      <c r="S1035" s="13" t="s">
        <v>33</v>
      </c>
      <c r="T1035" s="13" t="s">
        <v>3755</v>
      </c>
      <c r="U1035" s="13" t="s">
        <v>3252</v>
      </c>
      <c r="V1035" s="13" t="s">
        <v>3252</v>
      </c>
      <c r="W1035" s="13" t="s">
        <v>3755</v>
      </c>
      <c r="X1035" s="13" t="s">
        <v>3192</v>
      </c>
      <c r="Y1035" s="13" t="s">
        <v>3187</v>
      </c>
      <c r="Z1035" s="13">
        <v>1.0</v>
      </c>
      <c r="AA1035" s="13" t="b">
        <v>1</v>
      </c>
      <c r="AB1035" s="48"/>
      <c r="AC1035" s="49"/>
    </row>
    <row r="1036" ht="14.25" customHeight="1">
      <c r="A1036" s="13">
        <v>24125.0</v>
      </c>
      <c r="B1036" s="13" t="str">
        <f t="shared" si="10"/>
        <v>Observational</v>
      </c>
      <c r="C1036" s="13" t="s">
        <v>4864</v>
      </c>
      <c r="D1036" s="13" t="s">
        <v>5426</v>
      </c>
      <c r="E1036" s="13" t="s">
        <v>5427</v>
      </c>
      <c r="F1036" s="13" t="s">
        <v>3186</v>
      </c>
      <c r="G1036" s="13" t="s">
        <v>3333</v>
      </c>
      <c r="H1036" s="13" t="s">
        <v>3253</v>
      </c>
      <c r="I1036" s="13" t="s">
        <v>3167</v>
      </c>
      <c r="J1036" s="13" t="s">
        <v>3167</v>
      </c>
      <c r="K1036" s="13" t="s">
        <v>3153</v>
      </c>
      <c r="L1036" s="13" t="s">
        <v>3179</v>
      </c>
      <c r="M1036" s="13" t="s">
        <v>3754</v>
      </c>
      <c r="N1036" s="13" t="s">
        <v>3175</v>
      </c>
      <c r="O1036" s="13" t="s">
        <v>33</v>
      </c>
      <c r="P1036" s="13">
        <v>4.0</v>
      </c>
      <c r="Q1036" s="13" t="s">
        <v>3160</v>
      </c>
      <c r="R1036" s="13" t="s">
        <v>3163</v>
      </c>
      <c r="S1036" s="13" t="s">
        <v>33</v>
      </c>
      <c r="T1036" s="13" t="s">
        <v>3755</v>
      </c>
      <c r="U1036" s="13" t="s">
        <v>3252</v>
      </c>
      <c r="V1036" s="13" t="s">
        <v>3252</v>
      </c>
      <c r="W1036" s="13" t="s">
        <v>3755</v>
      </c>
      <c r="X1036" s="13" t="s">
        <v>3217</v>
      </c>
      <c r="Y1036" s="13" t="s">
        <v>33</v>
      </c>
      <c r="Z1036" s="13" t="s">
        <v>33</v>
      </c>
      <c r="AA1036" s="13" t="b">
        <v>1</v>
      </c>
      <c r="AB1036" s="48"/>
      <c r="AC1036" s="49"/>
    </row>
    <row r="1037" ht="14.25" customHeight="1">
      <c r="A1037" s="13">
        <v>23020.0</v>
      </c>
      <c r="B1037" s="13" t="str">
        <f t="shared" si="10"/>
        <v>Observational</v>
      </c>
      <c r="C1037" s="13" t="s">
        <v>4864</v>
      </c>
      <c r="D1037" s="1" t="s">
        <v>5428</v>
      </c>
      <c r="E1037" s="2" t="s">
        <v>5000</v>
      </c>
      <c r="F1037" s="13" t="s">
        <v>3195</v>
      </c>
      <c r="G1037" s="13" t="s">
        <v>3195</v>
      </c>
      <c r="H1037" s="13" t="s">
        <v>3166</v>
      </c>
      <c r="I1037" s="13" t="s">
        <v>3193</v>
      </c>
      <c r="J1037" s="13" t="s">
        <v>3194</v>
      </c>
      <c r="K1037" s="13" t="s">
        <v>3153</v>
      </c>
      <c r="L1037" s="13" t="s">
        <v>3179</v>
      </c>
      <c r="M1037" s="13" t="s">
        <v>3196</v>
      </c>
      <c r="N1037" s="13" t="s">
        <v>3162</v>
      </c>
      <c r="O1037" s="13" t="s">
        <v>3167</v>
      </c>
      <c r="P1037" s="13">
        <v>1.0</v>
      </c>
      <c r="Q1037" s="13" t="s">
        <v>3177</v>
      </c>
      <c r="R1037" s="13" t="s">
        <v>3163</v>
      </c>
      <c r="S1037" s="13" t="s">
        <v>33</v>
      </c>
      <c r="T1037" s="13" t="s">
        <v>3198</v>
      </c>
      <c r="U1037" s="13" t="s">
        <v>3164</v>
      </c>
      <c r="V1037" s="13" t="s">
        <v>3197</v>
      </c>
      <c r="W1037" s="13" t="s">
        <v>3167</v>
      </c>
      <c r="X1037" s="13" t="s">
        <v>3192</v>
      </c>
      <c r="Y1037" s="13" t="s">
        <v>3156</v>
      </c>
      <c r="Z1037" s="13" t="s">
        <v>3167</v>
      </c>
      <c r="AA1037" s="13" t="b">
        <v>0</v>
      </c>
      <c r="AB1037" s="48"/>
      <c r="AC1037" s="49"/>
    </row>
    <row r="1038" ht="14.25" customHeight="1">
      <c r="A1038" s="13">
        <v>23438.0</v>
      </c>
      <c r="B1038" s="13" t="str">
        <f t="shared" si="10"/>
        <v>Observational</v>
      </c>
      <c r="C1038" s="13" t="s">
        <v>4864</v>
      </c>
      <c r="D1038" s="1" t="s">
        <v>5428</v>
      </c>
      <c r="E1038" s="2" t="s">
        <v>5000</v>
      </c>
      <c r="F1038" s="13" t="s">
        <v>3159</v>
      </c>
      <c r="G1038" s="13" t="s">
        <v>3159</v>
      </c>
      <c r="H1038" s="13" t="s">
        <v>3166</v>
      </c>
      <c r="I1038" s="13" t="s">
        <v>3249</v>
      </c>
      <c r="J1038" s="13" t="s">
        <v>3447</v>
      </c>
      <c r="K1038" s="13" t="s">
        <v>3153</v>
      </c>
      <c r="L1038" s="13" t="s">
        <v>3179</v>
      </c>
      <c r="M1038" s="13" t="s">
        <v>3196</v>
      </c>
      <c r="N1038" s="13" t="s">
        <v>3162</v>
      </c>
      <c r="O1038" s="13" t="s">
        <v>33</v>
      </c>
      <c r="P1038" s="13">
        <v>1.0</v>
      </c>
      <c r="Q1038" s="13" t="s">
        <v>3177</v>
      </c>
      <c r="R1038" s="13" t="s">
        <v>3163</v>
      </c>
      <c r="S1038" s="13" t="s">
        <v>33</v>
      </c>
      <c r="T1038" s="13" t="s">
        <v>3178</v>
      </c>
      <c r="U1038" s="13" t="s">
        <v>3165</v>
      </c>
      <c r="V1038" s="13" t="s">
        <v>3165</v>
      </c>
      <c r="W1038" s="13" t="s">
        <v>3167</v>
      </c>
      <c r="X1038" s="13" t="s">
        <v>3211</v>
      </c>
      <c r="Y1038" s="13" t="s">
        <v>3187</v>
      </c>
      <c r="Z1038" s="13">
        <v>25.0</v>
      </c>
      <c r="AA1038" s="13" t="b">
        <v>0</v>
      </c>
      <c r="AB1038" s="48"/>
      <c r="AC1038" s="49"/>
    </row>
    <row r="1039" ht="14.25" customHeight="1">
      <c r="A1039" s="13">
        <v>23588.0</v>
      </c>
      <c r="B1039" s="13" t="str">
        <f t="shared" si="10"/>
        <v>Observational</v>
      </c>
      <c r="C1039" s="13" t="s">
        <v>4864</v>
      </c>
      <c r="D1039" s="1" t="s">
        <v>5428</v>
      </c>
      <c r="E1039" s="2" t="s">
        <v>5000</v>
      </c>
      <c r="F1039" s="13" t="s">
        <v>3173</v>
      </c>
      <c r="G1039" s="13" t="s">
        <v>3338</v>
      </c>
      <c r="H1039" s="13" t="s">
        <v>3166</v>
      </c>
      <c r="I1039" s="13" t="s">
        <v>3249</v>
      </c>
      <c r="J1039" s="13" t="s">
        <v>3514</v>
      </c>
      <c r="K1039" s="13" t="s">
        <v>3153</v>
      </c>
      <c r="L1039" s="13" t="s">
        <v>3179</v>
      </c>
      <c r="M1039" s="13" t="s">
        <v>3196</v>
      </c>
      <c r="N1039" s="13" t="s">
        <v>3162</v>
      </c>
      <c r="O1039" s="13" t="s">
        <v>33</v>
      </c>
      <c r="P1039" s="13">
        <v>1.0</v>
      </c>
      <c r="Q1039" s="13" t="s">
        <v>3177</v>
      </c>
      <c r="R1039" s="13" t="s">
        <v>3177</v>
      </c>
      <c r="S1039" s="13" t="s">
        <v>3515</v>
      </c>
      <c r="T1039" s="13" t="s">
        <v>3516</v>
      </c>
      <c r="U1039" s="13" t="s">
        <v>3232</v>
      </c>
      <c r="V1039" s="13" t="s">
        <v>3247</v>
      </c>
      <c r="W1039" s="13" t="s">
        <v>3167</v>
      </c>
      <c r="X1039" s="13" t="s">
        <v>3211</v>
      </c>
      <c r="Y1039" s="13" t="s">
        <v>3180</v>
      </c>
      <c r="Z1039" s="13">
        <v>0.2</v>
      </c>
      <c r="AA1039" s="13" t="b">
        <v>0</v>
      </c>
      <c r="AB1039" s="48"/>
      <c r="AC1039" s="49"/>
    </row>
    <row r="1040" ht="14.25" customHeight="1">
      <c r="A1040" s="13">
        <v>23620.0</v>
      </c>
      <c r="B1040" s="13" t="str">
        <f t="shared" si="10"/>
        <v>Observational</v>
      </c>
      <c r="C1040" s="13" t="s">
        <v>4864</v>
      </c>
      <c r="D1040" s="1" t="s">
        <v>5428</v>
      </c>
      <c r="E1040" s="2" t="s">
        <v>5000</v>
      </c>
      <c r="F1040" s="13" t="s">
        <v>3333</v>
      </c>
      <c r="G1040" s="13" t="s">
        <v>3183</v>
      </c>
      <c r="H1040" s="13" t="s">
        <v>3253</v>
      </c>
      <c r="I1040" s="13" t="s">
        <v>3264</v>
      </c>
      <c r="J1040" s="13" t="s">
        <v>3204</v>
      </c>
      <c r="K1040" s="13" t="s">
        <v>3153</v>
      </c>
      <c r="L1040" s="13" t="s">
        <v>3179</v>
      </c>
      <c r="M1040" s="13" t="s">
        <v>3196</v>
      </c>
      <c r="N1040" s="13" t="s">
        <v>3162</v>
      </c>
      <c r="O1040" s="13" t="s">
        <v>33</v>
      </c>
      <c r="P1040" s="13">
        <v>1.0</v>
      </c>
      <c r="Q1040" s="13" t="s">
        <v>3160</v>
      </c>
      <c r="R1040" s="13" t="s">
        <v>3163</v>
      </c>
      <c r="S1040" s="13" t="s">
        <v>3540</v>
      </c>
      <c r="T1040" s="13" t="s">
        <v>3541</v>
      </c>
      <c r="U1040" s="13" t="s">
        <v>3228</v>
      </c>
      <c r="V1040" s="13" t="s">
        <v>3252</v>
      </c>
      <c r="W1040" s="13" t="s">
        <v>3481</v>
      </c>
      <c r="X1040" s="13" t="s">
        <v>3170</v>
      </c>
      <c r="Y1040" s="13" t="s">
        <v>33</v>
      </c>
      <c r="Z1040" s="13" t="s">
        <v>33</v>
      </c>
      <c r="AA1040" s="13" t="b">
        <v>0</v>
      </c>
      <c r="AB1040" s="48"/>
      <c r="AC1040" s="49"/>
    </row>
    <row r="1041" ht="14.25" customHeight="1">
      <c r="A1041" s="13">
        <v>24067.0</v>
      </c>
      <c r="B1041" s="13" t="str">
        <f t="shared" si="10"/>
        <v>Observational</v>
      </c>
      <c r="C1041" s="13" t="s">
        <v>4864</v>
      </c>
      <c r="D1041" s="1" t="s">
        <v>5428</v>
      </c>
      <c r="E1041" s="2" t="s">
        <v>5000</v>
      </c>
      <c r="F1041" s="13" t="s">
        <v>3186</v>
      </c>
      <c r="G1041" s="13" t="s">
        <v>3159</v>
      </c>
      <c r="H1041" s="13" t="s">
        <v>3166</v>
      </c>
      <c r="I1041" s="13" t="s">
        <v>3181</v>
      </c>
      <c r="J1041" s="13" t="s">
        <v>3182</v>
      </c>
      <c r="K1041" s="13" t="s">
        <v>3153</v>
      </c>
      <c r="L1041" s="13" t="s">
        <v>3179</v>
      </c>
      <c r="M1041" s="13" t="s">
        <v>3196</v>
      </c>
      <c r="N1041" s="13" t="s">
        <v>3162</v>
      </c>
      <c r="O1041" s="13" t="s">
        <v>33</v>
      </c>
      <c r="P1041" s="13">
        <v>1.0</v>
      </c>
      <c r="Q1041" s="13" t="s">
        <v>3177</v>
      </c>
      <c r="R1041" s="13" t="s">
        <v>3177</v>
      </c>
      <c r="S1041" s="13" t="s">
        <v>33</v>
      </c>
      <c r="T1041" s="13" t="s">
        <v>3224</v>
      </c>
      <c r="U1041" s="13" t="s">
        <v>3164</v>
      </c>
      <c r="V1041" s="13" t="s">
        <v>3232</v>
      </c>
      <c r="W1041" s="13" t="s">
        <v>3167</v>
      </c>
      <c r="X1041" s="13" t="s">
        <v>3192</v>
      </c>
      <c r="Y1041" s="13" t="s">
        <v>3520</v>
      </c>
      <c r="Z1041" s="13">
        <v>4.8</v>
      </c>
      <c r="AA1041" s="13" t="b">
        <v>0</v>
      </c>
      <c r="AB1041" s="48"/>
      <c r="AC1041" s="49"/>
    </row>
    <row r="1042" ht="14.25" customHeight="1">
      <c r="A1042" s="13">
        <v>24104.0</v>
      </c>
      <c r="B1042" s="13" t="str">
        <f t="shared" si="10"/>
        <v>Observational</v>
      </c>
      <c r="C1042" s="13" t="s">
        <v>4864</v>
      </c>
      <c r="D1042" s="1" t="s">
        <v>5428</v>
      </c>
      <c r="E1042" s="2" t="s">
        <v>5000</v>
      </c>
      <c r="F1042" s="13" t="s">
        <v>3186</v>
      </c>
      <c r="G1042" s="13" t="s">
        <v>3186</v>
      </c>
      <c r="H1042" s="13" t="s">
        <v>3166</v>
      </c>
      <c r="I1042" s="13" t="s">
        <v>3157</v>
      </c>
      <c r="J1042" s="13" t="s">
        <v>3630</v>
      </c>
      <c r="K1042" s="13" t="s">
        <v>3153</v>
      </c>
      <c r="L1042" s="13" t="s">
        <v>3179</v>
      </c>
      <c r="M1042" s="13" t="s">
        <v>3196</v>
      </c>
      <c r="N1042" s="13" t="s">
        <v>3162</v>
      </c>
      <c r="O1042" s="13" t="s">
        <v>33</v>
      </c>
      <c r="P1042" s="13">
        <v>1.0</v>
      </c>
      <c r="Q1042" s="13" t="s">
        <v>3177</v>
      </c>
      <c r="R1042" s="13" t="s">
        <v>3163</v>
      </c>
      <c r="S1042" s="13" t="s">
        <v>33</v>
      </c>
      <c r="T1042" s="13" t="s">
        <v>3178</v>
      </c>
      <c r="U1042" s="13" t="s">
        <v>3164</v>
      </c>
      <c r="V1042" s="13" t="s">
        <v>3164</v>
      </c>
      <c r="W1042" s="13" t="s">
        <v>3167</v>
      </c>
      <c r="X1042" s="13" t="s">
        <v>3192</v>
      </c>
      <c r="Y1042" s="13" t="s">
        <v>33</v>
      </c>
      <c r="Z1042" s="13" t="s">
        <v>33</v>
      </c>
      <c r="AA1042" s="13" t="b">
        <v>0</v>
      </c>
      <c r="AB1042" s="48"/>
      <c r="AC1042" s="49"/>
    </row>
    <row r="1043" ht="14.25" customHeight="1">
      <c r="A1043" s="13">
        <v>25435.0</v>
      </c>
      <c r="B1043" s="13" t="str">
        <f t="shared" si="10"/>
        <v>Observational</v>
      </c>
      <c r="C1043" s="13" t="s">
        <v>4864</v>
      </c>
      <c r="D1043" s="1" t="s">
        <v>5428</v>
      </c>
      <c r="E1043" s="2" t="s">
        <v>5000</v>
      </c>
      <c r="F1043" s="13" t="s">
        <v>3159</v>
      </c>
      <c r="G1043" s="13" t="s">
        <v>3210</v>
      </c>
      <c r="H1043" s="13" t="s">
        <v>3195</v>
      </c>
      <c r="I1043" s="13" t="s">
        <v>3249</v>
      </c>
      <c r="J1043" s="13" t="s">
        <v>3199</v>
      </c>
      <c r="K1043" s="13" t="s">
        <v>3153</v>
      </c>
      <c r="L1043" s="13" t="s">
        <v>3179</v>
      </c>
      <c r="M1043" s="13" t="s">
        <v>3196</v>
      </c>
      <c r="N1043" s="13" t="s">
        <v>3162</v>
      </c>
      <c r="O1043" s="13" t="s">
        <v>33</v>
      </c>
      <c r="P1043" s="13">
        <v>1.0</v>
      </c>
      <c r="Q1043" s="13" t="s">
        <v>3160</v>
      </c>
      <c r="R1043" s="13" t="s">
        <v>3163</v>
      </c>
      <c r="S1043" s="13" t="s">
        <v>4238</v>
      </c>
      <c r="T1043" s="13" t="s">
        <v>3167</v>
      </c>
      <c r="U1043" s="13" t="s">
        <v>3195</v>
      </c>
      <c r="V1043" s="13" t="s">
        <v>3195</v>
      </c>
      <c r="W1043" s="13" t="s">
        <v>3167</v>
      </c>
      <c r="X1043" s="13" t="s">
        <v>3192</v>
      </c>
      <c r="Y1043" s="13" t="s">
        <v>3156</v>
      </c>
      <c r="Z1043" s="13" t="s">
        <v>33</v>
      </c>
      <c r="AA1043" s="13" t="b">
        <v>0</v>
      </c>
      <c r="AB1043" s="48"/>
      <c r="AC1043" s="49"/>
    </row>
    <row r="1044" ht="14.25" customHeight="1">
      <c r="A1044" s="13">
        <v>25837.0</v>
      </c>
      <c r="B1044" s="13" t="str">
        <f t="shared" si="10"/>
        <v>Observational</v>
      </c>
      <c r="C1044" s="13" t="s">
        <v>4864</v>
      </c>
      <c r="D1044" s="1" t="s">
        <v>5428</v>
      </c>
      <c r="E1044" s="2" t="s">
        <v>5000</v>
      </c>
      <c r="F1044" s="13" t="s">
        <v>3159</v>
      </c>
      <c r="G1044" s="13" t="s">
        <v>3214</v>
      </c>
      <c r="H1044" s="13" t="s">
        <v>3166</v>
      </c>
      <c r="I1044" s="13" t="s">
        <v>3249</v>
      </c>
      <c r="J1044" s="13" t="s">
        <v>3307</v>
      </c>
      <c r="K1044" s="13" t="s">
        <v>3153</v>
      </c>
      <c r="L1044" s="13" t="s">
        <v>3179</v>
      </c>
      <c r="M1044" s="13" t="s">
        <v>3196</v>
      </c>
      <c r="N1044" s="13" t="s">
        <v>3162</v>
      </c>
      <c r="O1044" s="13" t="s">
        <v>3167</v>
      </c>
      <c r="P1044" s="13">
        <v>1.0</v>
      </c>
      <c r="Q1044" s="13" t="s">
        <v>3160</v>
      </c>
      <c r="R1044" s="13" t="s">
        <v>3231</v>
      </c>
      <c r="S1044" s="13" t="s">
        <v>33</v>
      </c>
      <c r="T1044" s="13" t="s">
        <v>3168</v>
      </c>
      <c r="U1044" s="13" t="s">
        <v>3247</v>
      </c>
      <c r="V1044" s="13" t="s">
        <v>3247</v>
      </c>
      <c r="W1044" s="13" t="s">
        <v>3167</v>
      </c>
      <c r="X1044" s="13" t="s">
        <v>3170</v>
      </c>
      <c r="Y1044" s="13" t="s">
        <v>3156</v>
      </c>
      <c r="Z1044" s="13" t="s">
        <v>3167</v>
      </c>
      <c r="AA1044" s="13" t="b">
        <v>0</v>
      </c>
      <c r="AB1044" s="48"/>
      <c r="AC1044" s="49"/>
    </row>
    <row r="1045" ht="14.25" customHeight="1">
      <c r="A1045" s="13">
        <v>26016.0</v>
      </c>
      <c r="B1045" s="13" t="str">
        <f t="shared" si="10"/>
        <v>Observational</v>
      </c>
      <c r="C1045" s="13" t="s">
        <v>4864</v>
      </c>
      <c r="D1045" s="1" t="s">
        <v>5428</v>
      </c>
      <c r="E1045" s="2" t="s">
        <v>5000</v>
      </c>
      <c r="F1045" s="13" t="s">
        <v>3201</v>
      </c>
      <c r="G1045" s="13" t="s">
        <v>3159</v>
      </c>
      <c r="H1045" s="13" t="s">
        <v>3166</v>
      </c>
      <c r="I1045" s="13" t="s">
        <v>3181</v>
      </c>
      <c r="J1045" s="13" t="s">
        <v>3229</v>
      </c>
      <c r="K1045" s="13" t="s">
        <v>3153</v>
      </c>
      <c r="L1045" s="13" t="s">
        <v>3179</v>
      </c>
      <c r="M1045" s="13" t="s">
        <v>3196</v>
      </c>
      <c r="N1045" s="13" t="s">
        <v>3162</v>
      </c>
      <c r="O1045" s="13" t="s">
        <v>33</v>
      </c>
      <c r="P1045" s="13">
        <v>1.0</v>
      </c>
      <c r="Q1045" s="13" t="s">
        <v>3177</v>
      </c>
      <c r="R1045" s="13" t="s">
        <v>3177</v>
      </c>
      <c r="S1045" s="13" t="s">
        <v>33</v>
      </c>
      <c r="T1045" s="13" t="s">
        <v>3178</v>
      </c>
      <c r="U1045" s="13" t="s">
        <v>3164</v>
      </c>
      <c r="V1045" s="13" t="s">
        <v>3232</v>
      </c>
      <c r="W1045" s="13" t="s">
        <v>3167</v>
      </c>
      <c r="X1045" s="13" t="s">
        <v>3192</v>
      </c>
      <c r="Y1045" s="13" t="s">
        <v>3187</v>
      </c>
      <c r="Z1045" s="13">
        <v>25.0</v>
      </c>
      <c r="AA1045" s="13" t="b">
        <v>0</v>
      </c>
      <c r="AB1045" s="48"/>
      <c r="AC1045" s="49"/>
    </row>
    <row r="1046" ht="14.25" customHeight="1">
      <c r="A1046" s="13">
        <v>23718.0</v>
      </c>
      <c r="B1046" s="2" t="s">
        <v>4904</v>
      </c>
      <c r="C1046" s="13" t="s">
        <v>4864</v>
      </c>
      <c r="D1046" s="1" t="s">
        <v>5428</v>
      </c>
      <c r="E1046" s="2" t="s">
        <v>5000</v>
      </c>
      <c r="F1046" s="13" t="s">
        <v>3173</v>
      </c>
      <c r="G1046" s="13" t="s">
        <v>3173</v>
      </c>
      <c r="H1046" s="13" t="s">
        <v>3253</v>
      </c>
      <c r="I1046" s="13" t="s">
        <v>3249</v>
      </c>
      <c r="J1046" s="13" t="s">
        <v>3584</v>
      </c>
      <c r="K1046" s="13" t="s">
        <v>3315</v>
      </c>
      <c r="L1046" s="13" t="s">
        <v>3179</v>
      </c>
      <c r="M1046" s="13" t="s">
        <v>3196</v>
      </c>
      <c r="N1046" s="13" t="s">
        <v>3162</v>
      </c>
      <c r="O1046" s="13" t="s">
        <v>33</v>
      </c>
      <c r="P1046" s="13">
        <v>1.0</v>
      </c>
      <c r="Q1046" s="13" t="s">
        <v>3160</v>
      </c>
      <c r="R1046" s="13" t="s">
        <v>3163</v>
      </c>
      <c r="S1046" s="13" t="s">
        <v>33</v>
      </c>
      <c r="T1046" s="13" t="s">
        <v>3585</v>
      </c>
      <c r="U1046" s="13" t="s">
        <v>3252</v>
      </c>
      <c r="V1046" s="13" t="s">
        <v>3252</v>
      </c>
      <c r="W1046" s="13" t="s">
        <v>3254</v>
      </c>
      <c r="X1046" s="13" t="s">
        <v>3211</v>
      </c>
      <c r="Y1046" s="13" t="s">
        <v>3156</v>
      </c>
      <c r="Z1046" s="13" t="s">
        <v>33</v>
      </c>
      <c r="AA1046" s="13" t="b">
        <v>0</v>
      </c>
      <c r="AB1046" s="48"/>
      <c r="AC1046" s="49"/>
    </row>
    <row r="1047" ht="14.25" customHeight="1">
      <c r="A1047" s="13">
        <v>25512.0</v>
      </c>
      <c r="B1047" s="2" t="s">
        <v>4904</v>
      </c>
      <c r="C1047" s="13" t="s">
        <v>4864</v>
      </c>
      <c r="D1047" s="1" t="s">
        <v>5428</v>
      </c>
      <c r="E1047" s="2" t="s">
        <v>5000</v>
      </c>
      <c r="F1047" s="13" t="s">
        <v>3173</v>
      </c>
      <c r="G1047" s="13" t="s">
        <v>3173</v>
      </c>
      <c r="H1047" s="13" t="s">
        <v>3166</v>
      </c>
      <c r="I1047" s="13" t="s">
        <v>3167</v>
      </c>
      <c r="J1047" s="13" t="s">
        <v>3167</v>
      </c>
      <c r="K1047" s="13" t="s">
        <v>3315</v>
      </c>
      <c r="L1047" s="13" t="s">
        <v>3179</v>
      </c>
      <c r="M1047" s="13" t="s">
        <v>3196</v>
      </c>
      <c r="N1047" s="13" t="s">
        <v>3162</v>
      </c>
      <c r="O1047" s="13" t="s">
        <v>33</v>
      </c>
      <c r="P1047" s="13">
        <v>1.0</v>
      </c>
      <c r="Q1047" s="13" t="s">
        <v>3177</v>
      </c>
      <c r="R1047" s="13" t="s">
        <v>3163</v>
      </c>
      <c r="S1047" s="13" t="s">
        <v>33</v>
      </c>
      <c r="T1047" s="13" t="s">
        <v>3216</v>
      </c>
      <c r="U1047" s="13" t="s">
        <v>3165</v>
      </c>
      <c r="V1047" s="13" t="s">
        <v>3165</v>
      </c>
      <c r="W1047" s="13" t="s">
        <v>3167</v>
      </c>
      <c r="X1047" s="13" t="s">
        <v>3217</v>
      </c>
      <c r="Y1047" s="13" t="s">
        <v>33</v>
      </c>
      <c r="Z1047" s="13" t="s">
        <v>33</v>
      </c>
      <c r="AA1047" s="13" t="b">
        <v>0</v>
      </c>
      <c r="AB1047" s="48"/>
      <c r="AC1047" s="49"/>
    </row>
    <row r="1048" ht="14.25" customHeight="1">
      <c r="A1048" s="13">
        <v>23448.0</v>
      </c>
      <c r="B1048" s="13" t="str">
        <f t="shared" ref="B1048:B1067" si="11">K1048</f>
        <v>Observational</v>
      </c>
      <c r="C1048" s="13" t="s">
        <v>4856</v>
      </c>
      <c r="D1048" s="1" t="s">
        <v>5429</v>
      </c>
      <c r="E1048" s="13" t="s">
        <v>5000</v>
      </c>
      <c r="F1048" s="13" t="s">
        <v>3159</v>
      </c>
      <c r="G1048" s="13" t="s">
        <v>3335</v>
      </c>
      <c r="H1048" s="13" t="s">
        <v>3195</v>
      </c>
      <c r="I1048" s="13" t="s">
        <v>3188</v>
      </c>
      <c r="J1048" s="13" t="s">
        <v>3432</v>
      </c>
      <c r="K1048" s="13" t="s">
        <v>3153</v>
      </c>
      <c r="L1048" s="13" t="s">
        <v>3169</v>
      </c>
      <c r="M1048" s="13" t="s">
        <v>3448</v>
      </c>
      <c r="N1048" s="13" t="s">
        <v>3162</v>
      </c>
      <c r="O1048" s="13" t="s">
        <v>33</v>
      </c>
      <c r="P1048" s="13">
        <v>1.0</v>
      </c>
      <c r="Q1048" s="13" t="s">
        <v>3177</v>
      </c>
      <c r="R1048" s="13" t="s">
        <v>3163</v>
      </c>
      <c r="S1048" s="13" t="s">
        <v>3449</v>
      </c>
      <c r="T1048" s="13" t="s">
        <v>3167</v>
      </c>
      <c r="U1048" s="13" t="s">
        <v>3195</v>
      </c>
      <c r="V1048" s="13" t="s">
        <v>3195</v>
      </c>
      <c r="W1048" s="13" t="s">
        <v>3167</v>
      </c>
      <c r="X1048" s="13" t="s">
        <v>3192</v>
      </c>
      <c r="Y1048" s="13" t="s">
        <v>3180</v>
      </c>
      <c r="Z1048" s="13">
        <v>0.25</v>
      </c>
      <c r="AA1048" s="13" t="b">
        <v>0</v>
      </c>
      <c r="AB1048" s="48"/>
      <c r="AC1048" s="49"/>
    </row>
    <row r="1049" ht="14.25" customHeight="1">
      <c r="A1049" s="13">
        <v>24322.0</v>
      </c>
      <c r="B1049" s="13" t="str">
        <f t="shared" si="11"/>
        <v>Observational</v>
      </c>
      <c r="C1049" s="13" t="s">
        <v>4856</v>
      </c>
      <c r="D1049" s="1" t="s">
        <v>5429</v>
      </c>
      <c r="E1049" s="13" t="s">
        <v>5000</v>
      </c>
      <c r="F1049" s="13" t="s">
        <v>3159</v>
      </c>
      <c r="G1049" s="13" t="s">
        <v>3159</v>
      </c>
      <c r="H1049" s="13" t="s">
        <v>3242</v>
      </c>
      <c r="I1049" s="13" t="s">
        <v>3157</v>
      </c>
      <c r="J1049" s="13" t="s">
        <v>3240</v>
      </c>
      <c r="K1049" s="13" t="s">
        <v>3153</v>
      </c>
      <c r="L1049" s="13" t="s">
        <v>3169</v>
      </c>
      <c r="M1049" s="13" t="s">
        <v>3448</v>
      </c>
      <c r="N1049" s="13" t="s">
        <v>3162</v>
      </c>
      <c r="O1049" s="13" t="s">
        <v>33</v>
      </c>
      <c r="P1049" s="13">
        <v>1.0</v>
      </c>
      <c r="Q1049" s="13" t="s">
        <v>3177</v>
      </c>
      <c r="R1049" s="13" t="s">
        <v>3163</v>
      </c>
      <c r="S1049" s="13" t="s">
        <v>33</v>
      </c>
      <c r="T1049" s="13" t="s">
        <v>3167</v>
      </c>
      <c r="U1049" s="13" t="s">
        <v>3164</v>
      </c>
      <c r="V1049" s="13" t="s">
        <v>3164</v>
      </c>
      <c r="W1049" s="13" t="s">
        <v>3377</v>
      </c>
      <c r="X1049" s="13" t="s">
        <v>3192</v>
      </c>
      <c r="Y1049" s="13" t="s">
        <v>3187</v>
      </c>
      <c r="Z1049" s="13">
        <v>5.0</v>
      </c>
      <c r="AA1049" s="13" t="b">
        <v>0</v>
      </c>
      <c r="AB1049" s="48"/>
      <c r="AC1049" s="49"/>
    </row>
    <row r="1050" ht="14.25" customHeight="1">
      <c r="A1050" s="13">
        <v>25146.0</v>
      </c>
      <c r="B1050" s="13" t="str">
        <f t="shared" si="11"/>
        <v>Observational</v>
      </c>
      <c r="C1050" s="13" t="s">
        <v>4856</v>
      </c>
      <c r="D1050" s="1" t="s">
        <v>5429</v>
      </c>
      <c r="E1050" s="2" t="s">
        <v>5000</v>
      </c>
      <c r="F1050" s="13" t="s">
        <v>3186</v>
      </c>
      <c r="G1050" s="13" t="s">
        <v>3335</v>
      </c>
      <c r="H1050" s="13" t="s">
        <v>3195</v>
      </c>
      <c r="I1050" s="13" t="s">
        <v>3167</v>
      </c>
      <c r="J1050" s="13" t="s">
        <v>3167</v>
      </c>
      <c r="K1050" s="13" t="s">
        <v>3153</v>
      </c>
      <c r="L1050" s="13" t="s">
        <v>3169</v>
      </c>
      <c r="M1050" s="13" t="s">
        <v>3448</v>
      </c>
      <c r="N1050" s="13" t="s">
        <v>3162</v>
      </c>
      <c r="O1050" s="13" t="s">
        <v>33</v>
      </c>
      <c r="P1050" s="13">
        <v>1.0</v>
      </c>
      <c r="Q1050" s="13" t="s">
        <v>3177</v>
      </c>
      <c r="R1050" s="13" t="s">
        <v>3163</v>
      </c>
      <c r="S1050" s="13" t="s">
        <v>3323</v>
      </c>
      <c r="T1050" s="13" t="s">
        <v>3167</v>
      </c>
      <c r="U1050" s="13" t="s">
        <v>3195</v>
      </c>
      <c r="V1050" s="13" t="s">
        <v>3195</v>
      </c>
      <c r="W1050" s="13" t="s">
        <v>3167</v>
      </c>
      <c r="X1050" s="13" t="s">
        <v>3217</v>
      </c>
      <c r="Y1050" s="13" t="s">
        <v>3180</v>
      </c>
      <c r="Z1050" s="13">
        <v>5.0</v>
      </c>
      <c r="AA1050" s="13" t="b">
        <v>0</v>
      </c>
      <c r="AB1050" s="48"/>
      <c r="AC1050" s="49"/>
    </row>
    <row r="1051" ht="14.25" customHeight="1">
      <c r="A1051" s="13">
        <v>25162.0</v>
      </c>
      <c r="B1051" s="13" t="str">
        <f t="shared" si="11"/>
        <v>Observational</v>
      </c>
      <c r="C1051" s="13" t="s">
        <v>4856</v>
      </c>
      <c r="D1051" s="1" t="s">
        <v>5429</v>
      </c>
      <c r="E1051" s="2" t="s">
        <v>5000</v>
      </c>
      <c r="F1051" s="13" t="s">
        <v>3190</v>
      </c>
      <c r="G1051" s="13" t="s">
        <v>3335</v>
      </c>
      <c r="H1051" s="13" t="s">
        <v>3195</v>
      </c>
      <c r="I1051" s="13" t="s">
        <v>3157</v>
      </c>
      <c r="J1051" s="13" t="s">
        <v>3570</v>
      </c>
      <c r="K1051" s="13" t="s">
        <v>3153</v>
      </c>
      <c r="L1051" s="13" t="s">
        <v>3169</v>
      </c>
      <c r="M1051" s="13" t="s">
        <v>3448</v>
      </c>
      <c r="N1051" s="13" t="s">
        <v>3162</v>
      </c>
      <c r="O1051" s="13" t="s">
        <v>33</v>
      </c>
      <c r="P1051" s="13">
        <v>1.0</v>
      </c>
      <c r="Q1051" s="13" t="s">
        <v>3160</v>
      </c>
      <c r="R1051" s="13" t="s">
        <v>3163</v>
      </c>
      <c r="S1051" s="13" t="s">
        <v>3601</v>
      </c>
      <c r="T1051" s="13" t="s">
        <v>3167</v>
      </c>
      <c r="U1051" s="13" t="s">
        <v>3195</v>
      </c>
      <c r="V1051" s="13" t="s">
        <v>3195</v>
      </c>
      <c r="W1051" s="13" t="s">
        <v>3167</v>
      </c>
      <c r="X1051" s="13" t="s">
        <v>3155</v>
      </c>
      <c r="Y1051" s="13" t="s">
        <v>3156</v>
      </c>
      <c r="Z1051" s="13" t="s">
        <v>33</v>
      </c>
      <c r="AA1051" s="13" t="b">
        <v>0</v>
      </c>
      <c r="AB1051" s="48"/>
      <c r="AC1051" s="49"/>
    </row>
    <row r="1052" ht="14.25" customHeight="1">
      <c r="A1052" s="13">
        <v>25856.0</v>
      </c>
      <c r="B1052" s="13" t="str">
        <f t="shared" si="11"/>
        <v>Observational</v>
      </c>
      <c r="C1052" s="13" t="s">
        <v>4856</v>
      </c>
      <c r="D1052" s="1" t="s">
        <v>5429</v>
      </c>
      <c r="E1052" s="2" t="s">
        <v>5000</v>
      </c>
      <c r="F1052" s="13" t="s">
        <v>3159</v>
      </c>
      <c r="G1052" s="13" t="s">
        <v>3210</v>
      </c>
      <c r="H1052" s="13" t="s">
        <v>3195</v>
      </c>
      <c r="I1052" s="13" t="s">
        <v>3222</v>
      </c>
      <c r="J1052" s="13" t="s">
        <v>3182</v>
      </c>
      <c r="K1052" s="13" t="s">
        <v>3153</v>
      </c>
      <c r="L1052" s="13" t="s">
        <v>3169</v>
      </c>
      <c r="M1052" s="13" t="s">
        <v>3448</v>
      </c>
      <c r="N1052" s="13" t="s">
        <v>3162</v>
      </c>
      <c r="O1052" s="13" t="s">
        <v>33</v>
      </c>
      <c r="P1052" s="13">
        <v>1.0</v>
      </c>
      <c r="Q1052" s="13" t="s">
        <v>3177</v>
      </c>
      <c r="R1052" s="13" t="s">
        <v>3163</v>
      </c>
      <c r="S1052" s="13" t="s">
        <v>33</v>
      </c>
      <c r="T1052" s="13" t="s">
        <v>3167</v>
      </c>
      <c r="U1052" s="13" t="s">
        <v>3195</v>
      </c>
      <c r="V1052" s="13" t="s">
        <v>3195</v>
      </c>
      <c r="W1052" s="13" t="s">
        <v>3167</v>
      </c>
      <c r="X1052" s="13" t="s">
        <v>3170</v>
      </c>
      <c r="Y1052" s="13" t="s">
        <v>3187</v>
      </c>
      <c r="Z1052" s="13">
        <v>1.0</v>
      </c>
      <c r="AA1052" s="13" t="b">
        <v>0</v>
      </c>
      <c r="AB1052" s="48"/>
      <c r="AC1052" s="49"/>
    </row>
    <row r="1053" ht="14.25" customHeight="1">
      <c r="A1053" s="13">
        <v>25857.0</v>
      </c>
      <c r="B1053" s="13" t="str">
        <f t="shared" si="11"/>
        <v>Observational</v>
      </c>
      <c r="C1053" s="13" t="s">
        <v>4856</v>
      </c>
      <c r="D1053" s="1" t="s">
        <v>5429</v>
      </c>
      <c r="E1053" s="13" t="s">
        <v>5000</v>
      </c>
      <c r="F1053" s="13" t="s">
        <v>4355</v>
      </c>
      <c r="G1053" s="13" t="s">
        <v>3210</v>
      </c>
      <c r="H1053" s="13" t="s">
        <v>3195</v>
      </c>
      <c r="I1053" s="13" t="s">
        <v>3222</v>
      </c>
      <c r="J1053" s="13" t="s">
        <v>3182</v>
      </c>
      <c r="K1053" s="13" t="s">
        <v>3153</v>
      </c>
      <c r="L1053" s="13" t="s">
        <v>3169</v>
      </c>
      <c r="M1053" s="13" t="s">
        <v>3448</v>
      </c>
      <c r="N1053" s="13" t="s">
        <v>3162</v>
      </c>
      <c r="O1053" s="13" t="s">
        <v>4356</v>
      </c>
      <c r="P1053" s="13">
        <v>1.0</v>
      </c>
      <c r="Q1053" s="13" t="s">
        <v>3177</v>
      </c>
      <c r="R1053" s="13" t="s">
        <v>3231</v>
      </c>
      <c r="S1053" s="13" t="s">
        <v>33</v>
      </c>
      <c r="T1053" s="13" t="s">
        <v>3167</v>
      </c>
      <c r="U1053" s="13" t="s">
        <v>3195</v>
      </c>
      <c r="V1053" s="13" t="s">
        <v>3195</v>
      </c>
      <c r="W1053" s="13" t="s">
        <v>3167</v>
      </c>
      <c r="X1053" s="13" t="s">
        <v>3170</v>
      </c>
      <c r="Y1053" s="13" t="s">
        <v>3156</v>
      </c>
      <c r="Z1053" s="13" t="s">
        <v>3187</v>
      </c>
      <c r="AA1053" s="13" t="b">
        <v>0</v>
      </c>
      <c r="AB1053" s="48"/>
      <c r="AC1053" s="49"/>
    </row>
    <row r="1054" ht="14.25" customHeight="1">
      <c r="A1054" s="13">
        <v>24642.0</v>
      </c>
      <c r="B1054" s="13" t="str">
        <f t="shared" si="11"/>
        <v>Observational</v>
      </c>
      <c r="C1054" s="13" t="s">
        <v>4864</v>
      </c>
      <c r="D1054" s="1" t="s">
        <v>5430</v>
      </c>
      <c r="E1054" s="13" t="s">
        <v>5431</v>
      </c>
      <c r="F1054" s="13" t="s">
        <v>3186</v>
      </c>
      <c r="G1054" s="13" t="s">
        <v>3210</v>
      </c>
      <c r="H1054" s="13" t="s">
        <v>3195</v>
      </c>
      <c r="I1054" s="13" t="s">
        <v>3181</v>
      </c>
      <c r="J1054" s="13" t="s">
        <v>3182</v>
      </c>
      <c r="K1054" s="13" t="s">
        <v>3153</v>
      </c>
      <c r="L1054" s="13" t="s">
        <v>3179</v>
      </c>
      <c r="M1054" s="13" t="s">
        <v>3980</v>
      </c>
      <c r="N1054" s="13" t="s">
        <v>3175</v>
      </c>
      <c r="O1054" s="13" t="s">
        <v>33</v>
      </c>
      <c r="P1054" s="13">
        <v>11.0</v>
      </c>
      <c r="Q1054" s="13" t="s">
        <v>3177</v>
      </c>
      <c r="R1054" s="13" t="s">
        <v>3163</v>
      </c>
      <c r="S1054" s="13" t="s">
        <v>33</v>
      </c>
      <c r="T1054" s="13" t="s">
        <v>3167</v>
      </c>
      <c r="U1054" s="13" t="s">
        <v>3195</v>
      </c>
      <c r="V1054" s="13" t="s">
        <v>3195</v>
      </c>
      <c r="W1054" s="13" t="s">
        <v>3167</v>
      </c>
      <c r="X1054" s="13" t="s">
        <v>3192</v>
      </c>
      <c r="Y1054" s="13" t="s">
        <v>33</v>
      </c>
      <c r="Z1054" s="13" t="s">
        <v>33</v>
      </c>
      <c r="AA1054" s="13" t="b">
        <v>0</v>
      </c>
      <c r="AB1054" s="48"/>
      <c r="AC1054" s="49"/>
    </row>
    <row r="1055" ht="14.25" customHeight="1">
      <c r="A1055" s="13">
        <v>24001.0</v>
      </c>
      <c r="B1055" s="13" t="str">
        <f t="shared" si="11"/>
        <v>Observational</v>
      </c>
      <c r="C1055" s="13" t="s">
        <v>4855</v>
      </c>
      <c r="D1055" s="1" t="s">
        <v>5432</v>
      </c>
      <c r="E1055" s="2" t="s">
        <v>5000</v>
      </c>
      <c r="F1055" s="13" t="s">
        <v>3159</v>
      </c>
      <c r="G1055" s="13" t="s">
        <v>3159</v>
      </c>
      <c r="H1055" s="13" t="s">
        <v>3166</v>
      </c>
      <c r="I1055" s="13" t="s">
        <v>3261</v>
      </c>
      <c r="J1055" s="13" t="s">
        <v>3240</v>
      </c>
      <c r="K1055" s="13" t="s">
        <v>3153</v>
      </c>
      <c r="L1055" s="13" t="s">
        <v>3395</v>
      </c>
      <c r="M1055" s="13" t="s">
        <v>3722</v>
      </c>
      <c r="N1055" s="13" t="s">
        <v>3162</v>
      </c>
      <c r="O1055" s="13" t="s">
        <v>33</v>
      </c>
      <c r="P1055" s="13">
        <v>1.0</v>
      </c>
      <c r="Q1055" s="13" t="s">
        <v>3177</v>
      </c>
      <c r="R1055" s="13" t="s">
        <v>3177</v>
      </c>
      <c r="S1055" s="13" t="s">
        <v>33</v>
      </c>
      <c r="T1055" s="13" t="s">
        <v>3168</v>
      </c>
      <c r="U1055" s="13" t="s">
        <v>3197</v>
      </c>
      <c r="V1055" s="13" t="s">
        <v>3197</v>
      </c>
      <c r="W1055" s="13" t="s">
        <v>3167</v>
      </c>
      <c r="X1055" s="13" t="s">
        <v>3170</v>
      </c>
      <c r="Y1055" s="13" t="s">
        <v>3202</v>
      </c>
      <c r="Z1055" s="13">
        <v>6.0</v>
      </c>
      <c r="AA1055" s="13" t="b">
        <v>0</v>
      </c>
      <c r="AB1055" s="48"/>
      <c r="AC1055" s="49"/>
    </row>
    <row r="1056" ht="14.25" customHeight="1">
      <c r="A1056" s="13">
        <v>24247.0</v>
      </c>
      <c r="B1056" s="13" t="str">
        <f t="shared" si="11"/>
        <v>Observational</v>
      </c>
      <c r="C1056" s="13" t="s">
        <v>4864</v>
      </c>
      <c r="D1056" s="1" t="s">
        <v>5432</v>
      </c>
      <c r="E1056" s="2" t="s">
        <v>5000</v>
      </c>
      <c r="F1056" s="13" t="s">
        <v>3208</v>
      </c>
      <c r="G1056" s="13" t="s">
        <v>3159</v>
      </c>
      <c r="H1056" s="13" t="s">
        <v>3166</v>
      </c>
      <c r="I1056" s="13" t="s">
        <v>3261</v>
      </c>
      <c r="J1056" s="13" t="s">
        <v>3182</v>
      </c>
      <c r="K1056" s="13" t="s">
        <v>3153</v>
      </c>
      <c r="L1056" s="13" t="s">
        <v>3179</v>
      </c>
      <c r="M1056" s="13" t="s">
        <v>3722</v>
      </c>
      <c r="N1056" s="13" t="s">
        <v>3162</v>
      </c>
      <c r="O1056" s="13" t="s">
        <v>33</v>
      </c>
      <c r="P1056" s="13">
        <v>1.0</v>
      </c>
      <c r="Q1056" s="13" t="s">
        <v>3177</v>
      </c>
      <c r="R1056" s="13" t="s">
        <v>3163</v>
      </c>
      <c r="S1056" s="13" t="s">
        <v>33</v>
      </c>
      <c r="T1056" s="13" t="s">
        <v>3216</v>
      </c>
      <c r="U1056" s="13" t="s">
        <v>3164</v>
      </c>
      <c r="V1056" s="13" t="s">
        <v>3228</v>
      </c>
      <c r="W1056" s="13" t="s">
        <v>3167</v>
      </c>
      <c r="X1056" s="13" t="s">
        <v>3192</v>
      </c>
      <c r="Y1056" s="13" t="s">
        <v>3202</v>
      </c>
      <c r="Z1056" s="13">
        <v>30.0</v>
      </c>
      <c r="AA1056" s="13" t="b">
        <v>0</v>
      </c>
      <c r="AB1056" s="48"/>
      <c r="AC1056" s="49"/>
    </row>
    <row r="1057" ht="14.25" customHeight="1">
      <c r="A1057" s="13">
        <v>24347.0</v>
      </c>
      <c r="B1057" s="13" t="str">
        <f t="shared" si="11"/>
        <v>Observational</v>
      </c>
      <c r="C1057" s="13" t="s">
        <v>4864</v>
      </c>
      <c r="D1057" s="1" t="s">
        <v>5432</v>
      </c>
      <c r="E1057" s="2" t="s">
        <v>5000</v>
      </c>
      <c r="F1057" s="13" t="s">
        <v>3208</v>
      </c>
      <c r="G1057" s="13" t="s">
        <v>3183</v>
      </c>
      <c r="H1057" s="13" t="s">
        <v>3166</v>
      </c>
      <c r="I1057" s="13" t="s">
        <v>3865</v>
      </c>
      <c r="J1057" s="13" t="s">
        <v>3204</v>
      </c>
      <c r="K1057" s="13" t="s">
        <v>3153</v>
      </c>
      <c r="L1057" s="13" t="s">
        <v>3179</v>
      </c>
      <c r="M1057" s="13" t="s">
        <v>3722</v>
      </c>
      <c r="N1057" s="13" t="s">
        <v>3162</v>
      </c>
      <c r="O1057" s="13" t="s">
        <v>33</v>
      </c>
      <c r="P1057" s="13">
        <v>1.0</v>
      </c>
      <c r="Q1057" s="13" t="s">
        <v>3160</v>
      </c>
      <c r="R1057" s="13" t="s">
        <v>3163</v>
      </c>
      <c r="S1057" s="13" t="s">
        <v>3866</v>
      </c>
      <c r="T1057" s="13" t="s">
        <v>3216</v>
      </c>
      <c r="U1057" s="13" t="s">
        <v>3164</v>
      </c>
      <c r="V1057" s="13" t="s">
        <v>3228</v>
      </c>
      <c r="W1057" s="13" t="s">
        <v>3167</v>
      </c>
      <c r="X1057" s="13" t="s">
        <v>3155</v>
      </c>
      <c r="Y1057" s="13" t="s">
        <v>3156</v>
      </c>
      <c r="Z1057" s="13" t="s">
        <v>33</v>
      </c>
      <c r="AA1057" s="13" t="b">
        <v>0</v>
      </c>
      <c r="AB1057" s="48"/>
      <c r="AC1057" s="49"/>
    </row>
    <row r="1058" ht="14.25" customHeight="1">
      <c r="A1058" s="13">
        <v>24415.0</v>
      </c>
      <c r="B1058" s="13" t="str">
        <f t="shared" si="11"/>
        <v>Observational</v>
      </c>
      <c r="C1058" s="13" t="s">
        <v>4886</v>
      </c>
      <c r="D1058" s="1" t="s">
        <v>5432</v>
      </c>
      <c r="E1058" s="2" t="s">
        <v>5000</v>
      </c>
      <c r="F1058" s="13" t="s">
        <v>3208</v>
      </c>
      <c r="G1058" s="13" t="s">
        <v>3183</v>
      </c>
      <c r="H1058" s="13" t="s">
        <v>3166</v>
      </c>
      <c r="I1058" s="13" t="s">
        <v>3167</v>
      </c>
      <c r="J1058" s="13" t="s">
        <v>3167</v>
      </c>
      <c r="K1058" s="13" t="s">
        <v>3153</v>
      </c>
      <c r="L1058" s="13" t="s">
        <v>3465</v>
      </c>
      <c r="M1058" s="13" t="s">
        <v>3722</v>
      </c>
      <c r="N1058" s="13" t="s">
        <v>3162</v>
      </c>
      <c r="O1058" s="13" t="s">
        <v>33</v>
      </c>
      <c r="P1058" s="13">
        <v>1.0</v>
      </c>
      <c r="Q1058" s="13" t="s">
        <v>3177</v>
      </c>
      <c r="R1058" s="13" t="s">
        <v>3177</v>
      </c>
      <c r="S1058" s="13" t="s">
        <v>3397</v>
      </c>
      <c r="T1058" s="13" t="s">
        <v>3476</v>
      </c>
      <c r="U1058" s="13" t="s">
        <v>3232</v>
      </c>
      <c r="V1058" s="13" t="s">
        <v>3197</v>
      </c>
      <c r="W1058" s="13" t="s">
        <v>3167</v>
      </c>
      <c r="X1058" s="13" t="s">
        <v>3217</v>
      </c>
      <c r="Y1058" s="13" t="s">
        <v>3187</v>
      </c>
      <c r="Z1058" s="13">
        <v>400.0</v>
      </c>
      <c r="AA1058" s="13" t="b">
        <v>0</v>
      </c>
      <c r="AB1058" s="48"/>
      <c r="AC1058" s="49"/>
    </row>
    <row r="1059" ht="14.25" customHeight="1">
      <c r="A1059" s="13">
        <v>24892.0</v>
      </c>
      <c r="B1059" s="13" t="str">
        <f t="shared" si="11"/>
        <v>Observational</v>
      </c>
      <c r="C1059" s="13" t="s">
        <v>4856</v>
      </c>
      <c r="D1059" s="1" t="s">
        <v>5432</v>
      </c>
      <c r="E1059" s="2" t="s">
        <v>5000</v>
      </c>
      <c r="F1059" s="13" t="s">
        <v>3159</v>
      </c>
      <c r="G1059" s="13" t="s">
        <v>3210</v>
      </c>
      <c r="H1059" s="13" t="s">
        <v>3195</v>
      </c>
      <c r="I1059" s="13" t="s">
        <v>3222</v>
      </c>
      <c r="J1059" s="13" t="s">
        <v>3182</v>
      </c>
      <c r="K1059" s="13" t="s">
        <v>3153</v>
      </c>
      <c r="L1059" s="13" t="s">
        <v>3169</v>
      </c>
      <c r="M1059" s="13" t="s">
        <v>3722</v>
      </c>
      <c r="N1059" s="13" t="s">
        <v>3162</v>
      </c>
      <c r="O1059" s="13" t="s">
        <v>3167</v>
      </c>
      <c r="P1059" s="13">
        <v>1.0</v>
      </c>
      <c r="Q1059" s="13" t="s">
        <v>3160</v>
      </c>
      <c r="R1059" s="13" t="s">
        <v>3231</v>
      </c>
      <c r="S1059" s="13" t="s">
        <v>33</v>
      </c>
      <c r="T1059" s="13" t="s">
        <v>3167</v>
      </c>
      <c r="U1059" s="13" t="s">
        <v>3195</v>
      </c>
      <c r="V1059" s="13" t="s">
        <v>3195</v>
      </c>
      <c r="W1059" s="13" t="s">
        <v>3167</v>
      </c>
      <c r="X1059" s="13" t="s">
        <v>3170</v>
      </c>
      <c r="Y1059" s="13" t="s">
        <v>3156</v>
      </c>
      <c r="Z1059" s="13" t="s">
        <v>3167</v>
      </c>
      <c r="AA1059" s="13" t="b">
        <v>0</v>
      </c>
      <c r="AB1059" s="48"/>
      <c r="AC1059" s="49"/>
    </row>
    <row r="1060" ht="14.25" customHeight="1">
      <c r="A1060" s="13">
        <v>25118.0</v>
      </c>
      <c r="B1060" s="13" t="str">
        <f t="shared" si="11"/>
        <v>Observational</v>
      </c>
      <c r="C1060" s="13" t="s">
        <v>4864</v>
      </c>
      <c r="D1060" s="1" t="s">
        <v>5432</v>
      </c>
      <c r="E1060" s="2" t="s">
        <v>5000</v>
      </c>
      <c r="F1060" s="13" t="s">
        <v>3183</v>
      </c>
      <c r="G1060" s="13" t="s">
        <v>3335</v>
      </c>
      <c r="H1060" s="13" t="s">
        <v>3195</v>
      </c>
      <c r="I1060" s="13" t="s">
        <v>3249</v>
      </c>
      <c r="J1060" s="13" t="s">
        <v>4140</v>
      </c>
      <c r="K1060" s="13" t="s">
        <v>3153</v>
      </c>
      <c r="L1060" s="13" t="s">
        <v>3179</v>
      </c>
      <c r="M1060" s="13" t="s">
        <v>3722</v>
      </c>
      <c r="N1060" s="13" t="s">
        <v>3162</v>
      </c>
      <c r="O1060" s="13" t="s">
        <v>4141</v>
      </c>
      <c r="P1060" s="13">
        <v>1.0</v>
      </c>
      <c r="Q1060" s="13" t="s">
        <v>3160</v>
      </c>
      <c r="R1060" s="13" t="s">
        <v>3163</v>
      </c>
      <c r="S1060" s="13" t="s">
        <v>3323</v>
      </c>
      <c r="T1060" s="13" t="s">
        <v>3167</v>
      </c>
      <c r="U1060" s="13" t="s">
        <v>3195</v>
      </c>
      <c r="V1060" s="13" t="s">
        <v>3195</v>
      </c>
      <c r="W1060" s="13" t="s">
        <v>3167</v>
      </c>
      <c r="X1060" s="13" t="s">
        <v>3211</v>
      </c>
      <c r="Y1060" s="13" t="s">
        <v>3156</v>
      </c>
      <c r="Z1060" s="13" t="s">
        <v>33</v>
      </c>
      <c r="AA1060" s="13" t="b">
        <v>0</v>
      </c>
      <c r="AB1060" s="48"/>
      <c r="AC1060" s="49"/>
    </row>
    <row r="1061" ht="14.25" customHeight="1">
      <c r="A1061" s="13">
        <v>25391.0</v>
      </c>
      <c r="B1061" s="13" t="str">
        <f t="shared" si="11"/>
        <v>Observational</v>
      </c>
      <c r="C1061" s="13" t="s">
        <v>4856</v>
      </c>
      <c r="D1061" s="1" t="s">
        <v>5432</v>
      </c>
      <c r="E1061" s="2" t="s">
        <v>5000</v>
      </c>
      <c r="F1061" s="13" t="s">
        <v>3208</v>
      </c>
      <c r="G1061" s="13" t="s">
        <v>3159</v>
      </c>
      <c r="H1061" s="13" t="s">
        <v>3166</v>
      </c>
      <c r="I1061" s="13" t="s">
        <v>3157</v>
      </c>
      <c r="J1061" s="13" t="s">
        <v>3199</v>
      </c>
      <c r="K1061" s="13" t="s">
        <v>3153</v>
      </c>
      <c r="L1061" s="13" t="s">
        <v>3169</v>
      </c>
      <c r="M1061" s="13" t="s">
        <v>3722</v>
      </c>
      <c r="N1061" s="13" t="s">
        <v>3162</v>
      </c>
      <c r="O1061" s="13" t="s">
        <v>33</v>
      </c>
      <c r="P1061" s="13">
        <v>1.0</v>
      </c>
      <c r="Q1061" s="13" t="s">
        <v>3177</v>
      </c>
      <c r="R1061" s="13" t="s">
        <v>3163</v>
      </c>
      <c r="S1061" s="13" t="s">
        <v>33</v>
      </c>
      <c r="T1061" s="13" t="s">
        <v>3224</v>
      </c>
      <c r="U1061" s="13" t="s">
        <v>3164</v>
      </c>
      <c r="V1061" s="13" t="s">
        <v>3164</v>
      </c>
      <c r="W1061" s="13" t="s">
        <v>3167</v>
      </c>
      <c r="X1061" s="13" t="s">
        <v>3192</v>
      </c>
      <c r="Y1061" s="13" t="s">
        <v>3156</v>
      </c>
      <c r="Z1061" s="13" t="s">
        <v>33</v>
      </c>
      <c r="AA1061" s="13" t="b">
        <v>0</v>
      </c>
      <c r="AB1061" s="48"/>
      <c r="AC1061" s="49"/>
    </row>
    <row r="1062" ht="14.25" customHeight="1">
      <c r="A1062" s="13">
        <v>25824.0</v>
      </c>
      <c r="B1062" s="13" t="str">
        <f t="shared" si="11"/>
        <v>Observational</v>
      </c>
      <c r="C1062" s="13" t="s">
        <v>4856</v>
      </c>
      <c r="D1062" s="1" t="s">
        <v>5432</v>
      </c>
      <c r="E1062" s="2" t="s">
        <v>5000</v>
      </c>
      <c r="F1062" s="13" t="s">
        <v>3186</v>
      </c>
      <c r="G1062" s="13" t="s">
        <v>3201</v>
      </c>
      <c r="H1062" s="13" t="s">
        <v>3166</v>
      </c>
      <c r="I1062" s="13" t="s">
        <v>3222</v>
      </c>
      <c r="J1062" s="13" t="s">
        <v>3182</v>
      </c>
      <c r="K1062" s="13" t="s">
        <v>3153</v>
      </c>
      <c r="L1062" s="13" t="s">
        <v>3169</v>
      </c>
      <c r="M1062" s="13" t="s">
        <v>3722</v>
      </c>
      <c r="N1062" s="13" t="s">
        <v>3162</v>
      </c>
      <c r="O1062" s="13" t="s">
        <v>33</v>
      </c>
      <c r="P1062" s="13">
        <v>1.0</v>
      </c>
      <c r="Q1062" s="13" t="s">
        <v>3177</v>
      </c>
      <c r="R1062" s="13" t="s">
        <v>3177</v>
      </c>
      <c r="S1062" s="13" t="s">
        <v>33</v>
      </c>
      <c r="T1062" s="13" t="s">
        <v>3224</v>
      </c>
      <c r="U1062" s="13" t="s">
        <v>3232</v>
      </c>
      <c r="V1062" s="13" t="s">
        <v>3232</v>
      </c>
      <c r="W1062" s="13" t="s">
        <v>3167</v>
      </c>
      <c r="X1062" s="13" t="s">
        <v>3170</v>
      </c>
      <c r="Y1062" s="13" t="s">
        <v>33</v>
      </c>
      <c r="Z1062" s="13" t="s">
        <v>33</v>
      </c>
      <c r="AA1062" s="13" t="b">
        <v>0</v>
      </c>
      <c r="AB1062" s="48"/>
      <c r="AC1062" s="49"/>
    </row>
    <row r="1063" ht="14.25" customHeight="1">
      <c r="A1063" s="13">
        <v>26135.0</v>
      </c>
      <c r="B1063" s="13" t="str">
        <f t="shared" si="11"/>
        <v>Observational</v>
      </c>
      <c r="C1063" s="13" t="s">
        <v>4856</v>
      </c>
      <c r="D1063" s="1" t="s">
        <v>5432</v>
      </c>
      <c r="E1063" s="2" t="s">
        <v>5000</v>
      </c>
      <c r="F1063" s="13" t="s">
        <v>4459</v>
      </c>
      <c r="G1063" s="13" t="s">
        <v>3210</v>
      </c>
      <c r="H1063" s="13" t="s">
        <v>3195</v>
      </c>
      <c r="I1063" s="13" t="s">
        <v>3188</v>
      </c>
      <c r="J1063" s="13" t="s">
        <v>3432</v>
      </c>
      <c r="K1063" s="13" t="s">
        <v>3153</v>
      </c>
      <c r="L1063" s="13" t="s">
        <v>3169</v>
      </c>
      <c r="M1063" s="13" t="s">
        <v>3722</v>
      </c>
      <c r="N1063" s="13" t="s">
        <v>3162</v>
      </c>
      <c r="O1063" s="13" t="s">
        <v>4460</v>
      </c>
      <c r="P1063" s="13">
        <v>1.0</v>
      </c>
      <c r="Q1063" s="13" t="s">
        <v>3160</v>
      </c>
      <c r="R1063" s="13" t="s">
        <v>3231</v>
      </c>
      <c r="S1063" s="13" t="s">
        <v>33</v>
      </c>
      <c r="T1063" s="13" t="s">
        <v>3167</v>
      </c>
      <c r="U1063" s="13" t="s">
        <v>3195</v>
      </c>
      <c r="V1063" s="13" t="s">
        <v>3195</v>
      </c>
      <c r="W1063" s="13" t="s">
        <v>3167</v>
      </c>
      <c r="X1063" s="13" t="s">
        <v>3155</v>
      </c>
      <c r="Y1063" s="13" t="s">
        <v>3187</v>
      </c>
      <c r="Z1063" s="13">
        <v>1.0</v>
      </c>
      <c r="AA1063" s="13" t="b">
        <v>0</v>
      </c>
      <c r="AB1063" s="48"/>
      <c r="AC1063" s="49"/>
    </row>
    <row r="1064" ht="14.25" customHeight="1">
      <c r="A1064" s="13">
        <v>24274.0</v>
      </c>
      <c r="B1064" s="13" t="str">
        <f t="shared" si="11"/>
        <v>Observational</v>
      </c>
      <c r="C1064" s="13" t="s">
        <v>4856</v>
      </c>
      <c r="D1064" s="1" t="s">
        <v>5433</v>
      </c>
      <c r="E1064" s="13" t="s">
        <v>5412</v>
      </c>
      <c r="F1064" s="13" t="s">
        <v>3186</v>
      </c>
      <c r="G1064" s="13" t="s">
        <v>3210</v>
      </c>
      <c r="H1064" s="13" t="s">
        <v>3195</v>
      </c>
      <c r="I1064" s="13" t="s">
        <v>3157</v>
      </c>
      <c r="J1064" s="13" t="s">
        <v>3199</v>
      </c>
      <c r="K1064" s="13" t="s">
        <v>3153</v>
      </c>
      <c r="L1064" s="13" t="s">
        <v>3169</v>
      </c>
      <c r="M1064" s="13" t="s">
        <v>3826</v>
      </c>
      <c r="N1064" s="13" t="s">
        <v>3162</v>
      </c>
      <c r="O1064" s="13" t="s">
        <v>33</v>
      </c>
      <c r="P1064" s="13">
        <v>2.0</v>
      </c>
      <c r="Q1064" s="13" t="s">
        <v>3177</v>
      </c>
      <c r="R1064" s="13" t="s">
        <v>3163</v>
      </c>
      <c r="S1064" s="13" t="s">
        <v>33</v>
      </c>
      <c r="T1064" s="13" t="s">
        <v>3167</v>
      </c>
      <c r="U1064" s="13" t="s">
        <v>3195</v>
      </c>
      <c r="V1064" s="13" t="s">
        <v>3195</v>
      </c>
      <c r="W1064" s="13" t="s">
        <v>3167</v>
      </c>
      <c r="X1064" s="13" t="s">
        <v>3170</v>
      </c>
      <c r="Y1064" s="13" t="s">
        <v>3202</v>
      </c>
      <c r="Z1064" s="13">
        <v>100.0</v>
      </c>
      <c r="AA1064" s="13" t="b">
        <v>0</v>
      </c>
      <c r="AB1064" s="48"/>
      <c r="AC1064" s="49"/>
    </row>
    <row r="1065" ht="14.25" customHeight="1">
      <c r="A1065" s="13">
        <v>23378.0</v>
      </c>
      <c r="B1065" s="13" t="str">
        <f t="shared" si="11"/>
        <v>Observational</v>
      </c>
      <c r="C1065" s="13" t="s">
        <v>4864</v>
      </c>
      <c r="D1065" s="1" t="s">
        <v>5434</v>
      </c>
      <c r="E1065" s="2" t="s">
        <v>5435</v>
      </c>
      <c r="F1065" s="13" t="s">
        <v>3159</v>
      </c>
      <c r="G1065" s="13" t="s">
        <v>3159</v>
      </c>
      <c r="H1065" s="13" t="s">
        <v>3166</v>
      </c>
      <c r="I1065" s="13" t="s">
        <v>3181</v>
      </c>
      <c r="J1065" s="13" t="s">
        <v>3423</v>
      </c>
      <c r="K1065" s="13" t="s">
        <v>3153</v>
      </c>
      <c r="L1065" s="13" t="s">
        <v>3179</v>
      </c>
      <c r="M1065" s="13" t="s">
        <v>3424</v>
      </c>
      <c r="N1065" s="13" t="s">
        <v>3162</v>
      </c>
      <c r="O1065" s="13" t="s">
        <v>33</v>
      </c>
      <c r="P1065" s="13">
        <v>2.0</v>
      </c>
      <c r="Q1065" s="13" t="s">
        <v>3160</v>
      </c>
      <c r="R1065" s="13" t="s">
        <v>3177</v>
      </c>
      <c r="S1065" s="13" t="s">
        <v>33</v>
      </c>
      <c r="T1065" s="13" t="s">
        <v>3178</v>
      </c>
      <c r="U1065" s="13" t="s">
        <v>3164</v>
      </c>
      <c r="V1065" s="13" t="s">
        <v>3164</v>
      </c>
      <c r="W1065" s="13" t="s">
        <v>3167</v>
      </c>
      <c r="X1065" s="13" t="s">
        <v>3192</v>
      </c>
      <c r="Y1065" s="13" t="s">
        <v>3187</v>
      </c>
      <c r="Z1065" s="13">
        <v>1.0</v>
      </c>
      <c r="AA1065" s="13" t="b">
        <v>0</v>
      </c>
      <c r="AB1065" s="48"/>
      <c r="AC1065" s="49"/>
    </row>
    <row r="1066" ht="14.25" customHeight="1">
      <c r="A1066" s="13">
        <v>24525.0</v>
      </c>
      <c r="B1066" s="13" t="str">
        <f t="shared" si="11"/>
        <v>Observational</v>
      </c>
      <c r="C1066" s="13" t="s">
        <v>4856</v>
      </c>
      <c r="D1066" s="13" t="s">
        <v>5436</v>
      </c>
      <c r="E1066" s="13" t="s">
        <v>5000</v>
      </c>
      <c r="F1066" s="13" t="s">
        <v>3190</v>
      </c>
      <c r="G1066" s="13" t="s">
        <v>3190</v>
      </c>
      <c r="H1066" s="13" t="s">
        <v>3166</v>
      </c>
      <c r="I1066" s="13" t="s">
        <v>3167</v>
      </c>
      <c r="J1066" s="13" t="s">
        <v>3167</v>
      </c>
      <c r="K1066" s="13" t="s">
        <v>3153</v>
      </c>
      <c r="L1066" s="13" t="s">
        <v>3169</v>
      </c>
      <c r="M1066" s="13" t="s">
        <v>3947</v>
      </c>
      <c r="N1066" s="13" t="s">
        <v>3162</v>
      </c>
      <c r="O1066" s="13" t="s">
        <v>33</v>
      </c>
      <c r="P1066" s="13">
        <v>3.0</v>
      </c>
      <c r="Q1066" s="13" t="s">
        <v>3160</v>
      </c>
      <c r="R1066" s="13" t="s">
        <v>3163</v>
      </c>
      <c r="S1066" s="13" t="s">
        <v>33</v>
      </c>
      <c r="T1066" s="13" t="s">
        <v>3168</v>
      </c>
      <c r="U1066" s="13" t="s">
        <v>3228</v>
      </c>
      <c r="V1066" s="13" t="s">
        <v>3228</v>
      </c>
      <c r="W1066" s="13" t="s">
        <v>3167</v>
      </c>
      <c r="X1066" s="13" t="s">
        <v>3217</v>
      </c>
      <c r="Y1066" s="13" t="s">
        <v>3156</v>
      </c>
      <c r="Z1066" s="13" t="s">
        <v>33</v>
      </c>
      <c r="AA1066" s="13" t="b">
        <v>1</v>
      </c>
      <c r="AB1066" s="48"/>
      <c r="AC1066" s="49"/>
    </row>
    <row r="1067" ht="14.25" customHeight="1">
      <c r="A1067" s="13">
        <v>23086.0</v>
      </c>
      <c r="B1067" s="13" t="str">
        <f t="shared" si="11"/>
        <v>Observational</v>
      </c>
      <c r="C1067" s="13" t="s">
        <v>4864</v>
      </c>
      <c r="D1067" s="1"/>
      <c r="E1067" s="2" t="s">
        <v>5000</v>
      </c>
      <c r="F1067" s="13" t="s">
        <v>3265</v>
      </c>
      <c r="G1067" s="13" t="s">
        <v>3208</v>
      </c>
      <c r="H1067" s="13" t="s">
        <v>3253</v>
      </c>
      <c r="I1067" s="13" t="s">
        <v>3264</v>
      </c>
      <c r="J1067" s="13" t="s">
        <v>3204</v>
      </c>
      <c r="K1067" s="13" t="s">
        <v>3153</v>
      </c>
      <c r="L1067" s="13" t="s">
        <v>3179</v>
      </c>
      <c r="M1067" s="13" t="s">
        <v>3266</v>
      </c>
      <c r="N1067" s="13" t="s">
        <v>3267</v>
      </c>
      <c r="O1067" s="13" t="s">
        <v>33</v>
      </c>
      <c r="P1067" s="13">
        <v>1.0</v>
      </c>
      <c r="Q1067" s="13" t="s">
        <v>3177</v>
      </c>
      <c r="R1067" s="13" t="s">
        <v>3163</v>
      </c>
      <c r="S1067" s="13" t="s">
        <v>33</v>
      </c>
      <c r="T1067" s="13" t="s">
        <v>3168</v>
      </c>
      <c r="U1067" s="13" t="s">
        <v>3228</v>
      </c>
      <c r="V1067" s="13" t="s">
        <v>3252</v>
      </c>
      <c r="W1067" s="13" t="s">
        <v>3254</v>
      </c>
      <c r="X1067" s="13" t="s">
        <v>3192</v>
      </c>
      <c r="Y1067" s="13" t="s">
        <v>3202</v>
      </c>
      <c r="Z1067" s="13">
        <v>500.0</v>
      </c>
      <c r="AA1067" s="13" t="b">
        <v>1</v>
      </c>
      <c r="AB1067" s="48"/>
      <c r="AC1067" s="49"/>
    </row>
    <row r="1068" ht="14.25" customHeight="1">
      <c r="A1068" s="13">
        <v>25304.0</v>
      </c>
      <c r="B1068" s="2" t="s">
        <v>4904</v>
      </c>
      <c r="C1068" s="13" t="s">
        <v>4855</v>
      </c>
      <c r="D1068" s="1"/>
      <c r="E1068" s="2" t="s">
        <v>5000</v>
      </c>
      <c r="F1068" s="13" t="s">
        <v>3338</v>
      </c>
      <c r="G1068" s="13" t="s">
        <v>3338</v>
      </c>
      <c r="H1068" s="13" t="s">
        <v>3166</v>
      </c>
      <c r="I1068" s="13" t="s">
        <v>3261</v>
      </c>
      <c r="J1068" s="13" t="s">
        <v>3182</v>
      </c>
      <c r="K1068" s="13" t="s">
        <v>3315</v>
      </c>
      <c r="L1068" s="13" t="s">
        <v>3395</v>
      </c>
      <c r="M1068" s="13" t="s">
        <v>3266</v>
      </c>
      <c r="N1068" s="13" t="s">
        <v>3162</v>
      </c>
      <c r="O1068" s="13" t="s">
        <v>4199</v>
      </c>
      <c r="P1068" s="13">
        <v>1.0</v>
      </c>
      <c r="Q1068" s="13" t="s">
        <v>3177</v>
      </c>
      <c r="R1068" s="13" t="s">
        <v>3231</v>
      </c>
      <c r="S1068" s="13" t="s">
        <v>33</v>
      </c>
      <c r="T1068" s="13" t="s">
        <v>3276</v>
      </c>
      <c r="U1068" s="13" t="s">
        <v>3232</v>
      </c>
      <c r="V1068" s="13" t="s">
        <v>3197</v>
      </c>
      <c r="W1068" s="13" t="s">
        <v>3167</v>
      </c>
      <c r="X1068" s="13" t="s">
        <v>3192</v>
      </c>
      <c r="Y1068" s="13" t="s">
        <v>3156</v>
      </c>
      <c r="Z1068" s="13" t="s">
        <v>3167</v>
      </c>
      <c r="AA1068" s="13" t="b">
        <v>1</v>
      </c>
      <c r="AB1068" s="48"/>
      <c r="AC1068" s="49"/>
    </row>
    <row r="1069" ht="14.25" customHeight="1">
      <c r="A1069" s="13">
        <v>25299.0</v>
      </c>
      <c r="B1069" s="13" t="str">
        <f t="shared" ref="B1069:B1070" si="12">K1069</f>
        <v>Observational</v>
      </c>
      <c r="C1069" s="13" t="s">
        <v>4852</v>
      </c>
      <c r="D1069" s="50" t="s">
        <v>4853</v>
      </c>
      <c r="E1069" s="2" t="s">
        <v>5004</v>
      </c>
      <c r="F1069" s="13" t="s">
        <v>3159</v>
      </c>
      <c r="G1069" s="13" t="s">
        <v>3159</v>
      </c>
      <c r="H1069" s="13" t="s">
        <v>3166</v>
      </c>
      <c r="I1069" s="13" t="s">
        <v>3157</v>
      </c>
      <c r="J1069" s="13" t="s">
        <v>3274</v>
      </c>
      <c r="K1069" s="13" t="s">
        <v>3153</v>
      </c>
      <c r="L1069" s="13" t="s">
        <v>3154</v>
      </c>
      <c r="M1069" s="13" t="s">
        <v>4198</v>
      </c>
      <c r="N1069" s="13" t="s">
        <v>3162</v>
      </c>
      <c r="O1069" s="13" t="s">
        <v>33</v>
      </c>
      <c r="P1069" s="13">
        <v>3.0</v>
      </c>
      <c r="Q1069" s="13" t="s">
        <v>3160</v>
      </c>
      <c r="R1069" s="13" t="s">
        <v>3163</v>
      </c>
      <c r="S1069" s="13" t="s">
        <v>33</v>
      </c>
      <c r="T1069" s="13" t="s">
        <v>3168</v>
      </c>
      <c r="U1069" s="13" t="s">
        <v>3247</v>
      </c>
      <c r="V1069" s="13" t="s">
        <v>3247</v>
      </c>
      <c r="W1069" s="13" t="s">
        <v>3167</v>
      </c>
      <c r="X1069" s="13" t="s">
        <v>3170</v>
      </c>
      <c r="Y1069" s="13" t="s">
        <v>3156</v>
      </c>
      <c r="Z1069" s="13" t="s">
        <v>33</v>
      </c>
      <c r="AA1069" s="13" t="b">
        <v>1</v>
      </c>
      <c r="AB1069" s="48"/>
      <c r="AC1069" s="49"/>
    </row>
    <row r="1070" ht="14.25" customHeight="1">
      <c r="A1070" s="13">
        <v>23572.0</v>
      </c>
      <c r="B1070" s="13" t="str">
        <f t="shared" si="12"/>
        <v>Observational</v>
      </c>
      <c r="C1070" s="13" t="s">
        <v>4852</v>
      </c>
      <c r="D1070" s="50" t="s">
        <v>5437</v>
      </c>
      <c r="E1070" s="2" t="s">
        <v>5438</v>
      </c>
      <c r="F1070" s="13" t="s">
        <v>3183</v>
      </c>
      <c r="G1070" s="13" t="s">
        <v>3183</v>
      </c>
      <c r="H1070" s="13" t="s">
        <v>3166</v>
      </c>
      <c r="I1070" s="13" t="s">
        <v>3157</v>
      </c>
      <c r="J1070" s="13" t="s">
        <v>3501</v>
      </c>
      <c r="K1070" s="13" t="s">
        <v>3153</v>
      </c>
      <c r="L1070" s="13" t="s">
        <v>3154</v>
      </c>
      <c r="M1070" s="13" t="s">
        <v>3502</v>
      </c>
      <c r="N1070" s="13" t="s">
        <v>3175</v>
      </c>
      <c r="O1070" s="13" t="s">
        <v>3397</v>
      </c>
      <c r="P1070" s="13">
        <v>6.0</v>
      </c>
      <c r="Q1070" s="13" t="s">
        <v>3160</v>
      </c>
      <c r="R1070" s="13" t="s">
        <v>3177</v>
      </c>
      <c r="S1070" s="13" t="s">
        <v>3397</v>
      </c>
      <c r="T1070" s="13" t="s">
        <v>3255</v>
      </c>
      <c r="U1070" s="13" t="s">
        <v>3197</v>
      </c>
      <c r="V1070" s="13" t="s">
        <v>3197</v>
      </c>
      <c r="W1070" s="13" t="s">
        <v>3167</v>
      </c>
      <c r="X1070" s="13" t="s">
        <v>3211</v>
      </c>
      <c r="Y1070" s="13" t="s">
        <v>3187</v>
      </c>
      <c r="Z1070" s="13">
        <v>100.0</v>
      </c>
      <c r="AA1070" s="13" t="b">
        <v>1</v>
      </c>
      <c r="AB1070" s="48"/>
      <c r="AC1070" s="49"/>
    </row>
  </sheetData>
  <autoFilter ref="$A$1:$AA$1070"/>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8" width="8.0"/>
    <col customWidth="1" min="9" max="9" width="56.25"/>
    <col customWidth="1" min="10" max="70" width="8.0"/>
    <col customWidth="1" min="71" max="71" width="19.5"/>
    <col customWidth="1" min="72" max="72" width="10.38"/>
    <col customWidth="1" min="73" max="74" width="14.13"/>
    <col customWidth="1" min="75" max="75" width="26.5"/>
    <col customWidth="1" min="76" max="76" width="49.5"/>
    <col customWidth="1" min="77" max="79" width="14.13"/>
  </cols>
  <sheetData>
    <row r="1" ht="12.75" customHeight="1">
      <c r="A1" s="13" t="s">
        <v>5439</v>
      </c>
      <c r="B1" s="13" t="s">
        <v>15</v>
      </c>
      <c r="C1" s="13" t="s">
        <v>5440</v>
      </c>
      <c r="D1" s="13" t="s">
        <v>5441</v>
      </c>
      <c r="E1" s="13" t="s">
        <v>5442</v>
      </c>
      <c r="F1" s="13" t="s">
        <v>5443</v>
      </c>
      <c r="G1" s="13" t="s">
        <v>5444</v>
      </c>
      <c r="H1" s="13" t="s">
        <v>5445</v>
      </c>
      <c r="I1" s="13" t="s">
        <v>5446</v>
      </c>
      <c r="J1" s="13" t="s">
        <v>5447</v>
      </c>
      <c r="K1" s="13" t="s">
        <v>5448</v>
      </c>
      <c r="L1" s="13" t="s">
        <v>5449</v>
      </c>
      <c r="M1" s="13" t="s">
        <v>5450</v>
      </c>
      <c r="N1" s="13" t="s">
        <v>5451</v>
      </c>
      <c r="O1" s="13" t="s">
        <v>5452</v>
      </c>
      <c r="P1" s="13" t="s">
        <v>5453</v>
      </c>
      <c r="Q1" s="13" t="s">
        <v>5454</v>
      </c>
      <c r="R1" s="13" t="s">
        <v>5455</v>
      </c>
      <c r="S1" s="13" t="s">
        <v>5456</v>
      </c>
      <c r="T1" s="13" t="s">
        <v>5457</v>
      </c>
      <c r="U1" s="13" t="s">
        <v>5458</v>
      </c>
      <c r="V1" s="13" t="s">
        <v>5459</v>
      </c>
      <c r="W1" s="13" t="s">
        <v>5460</v>
      </c>
      <c r="X1" s="13" t="s">
        <v>5461</v>
      </c>
      <c r="Y1" s="13" t="s">
        <v>5462</v>
      </c>
      <c r="Z1" s="13" t="s">
        <v>5463</v>
      </c>
      <c r="AA1" s="13" t="s">
        <v>5464</v>
      </c>
      <c r="AB1" s="13" t="s">
        <v>5465</v>
      </c>
      <c r="AC1" s="13" t="s">
        <v>5466</v>
      </c>
      <c r="AD1" s="13" t="s">
        <v>5467</v>
      </c>
      <c r="AE1" s="13" t="s">
        <v>5468</v>
      </c>
      <c r="AF1" s="13" t="s">
        <v>5469</v>
      </c>
      <c r="AG1" s="13" t="s">
        <v>5470</v>
      </c>
      <c r="AH1" s="13" t="s">
        <v>5471</v>
      </c>
      <c r="AI1" s="13" t="s">
        <v>5472</v>
      </c>
      <c r="AJ1" s="13" t="s">
        <v>5473</v>
      </c>
      <c r="AK1" s="13" t="s">
        <v>5474</v>
      </c>
      <c r="AL1" s="13" t="s">
        <v>5475</v>
      </c>
      <c r="AM1" s="13" t="s">
        <v>5476</v>
      </c>
      <c r="AN1" s="13" t="s">
        <v>5477</v>
      </c>
      <c r="AO1" s="13" t="s">
        <v>5478</v>
      </c>
      <c r="AP1" s="13" t="s">
        <v>5479</v>
      </c>
      <c r="AQ1" s="13" t="s">
        <v>5480</v>
      </c>
      <c r="AR1" s="13" t="s">
        <v>5481</v>
      </c>
      <c r="AS1" s="13" t="s">
        <v>5482</v>
      </c>
      <c r="AT1" s="13" t="s">
        <v>5483</v>
      </c>
      <c r="AU1" s="13" t="s">
        <v>5484</v>
      </c>
      <c r="AV1" s="13" t="s">
        <v>19</v>
      </c>
      <c r="AW1" s="13" t="s">
        <v>20</v>
      </c>
      <c r="AX1" s="13" t="s">
        <v>5485</v>
      </c>
      <c r="AY1" s="13" t="s">
        <v>5486</v>
      </c>
      <c r="AZ1" s="13" t="s">
        <v>5487</v>
      </c>
      <c r="BA1" s="13" t="s">
        <v>5488</v>
      </c>
      <c r="BB1" s="13" t="s">
        <v>5489</v>
      </c>
      <c r="BC1" s="13" t="s">
        <v>5490</v>
      </c>
      <c r="BD1" s="13" t="s">
        <v>5491</v>
      </c>
      <c r="BE1" s="13" t="s">
        <v>5492</v>
      </c>
      <c r="BF1" s="13" t="s">
        <v>5493</v>
      </c>
      <c r="BG1" s="13" t="s">
        <v>5494</v>
      </c>
      <c r="BH1" s="13" t="s">
        <v>5495</v>
      </c>
      <c r="BI1" s="13" t="s">
        <v>5496</v>
      </c>
      <c r="BJ1" s="13" t="s">
        <v>5497</v>
      </c>
      <c r="BK1" s="13" t="s">
        <v>5498</v>
      </c>
      <c r="BL1" s="13" t="s">
        <v>5499</v>
      </c>
      <c r="BM1" s="13" t="s">
        <v>5500</v>
      </c>
      <c r="BN1" s="13" t="s">
        <v>5501</v>
      </c>
      <c r="BO1" s="13" t="s">
        <v>5502</v>
      </c>
      <c r="BP1" s="13" t="s">
        <v>5503</v>
      </c>
      <c r="BQ1" s="13" t="s">
        <v>5504</v>
      </c>
      <c r="BR1" s="13" t="s">
        <v>5505</v>
      </c>
      <c r="BS1" s="13" t="s">
        <v>5506</v>
      </c>
      <c r="BT1" s="51" t="s">
        <v>13</v>
      </c>
      <c r="BU1" s="51" t="s">
        <v>4845</v>
      </c>
      <c r="BV1" s="51" t="s">
        <v>4846</v>
      </c>
      <c r="BW1" s="51" t="s">
        <v>4848</v>
      </c>
      <c r="BX1" s="51" t="s">
        <v>4847</v>
      </c>
      <c r="BY1" s="2" t="s">
        <v>4851</v>
      </c>
      <c r="BZ1" s="2" t="s">
        <v>3143</v>
      </c>
      <c r="CA1" s="13" t="s">
        <v>5507</v>
      </c>
    </row>
    <row r="2" ht="12.75" customHeight="1">
      <c r="A2" s="13" t="s">
        <v>5508</v>
      </c>
      <c r="B2" s="13" t="s">
        <v>5509</v>
      </c>
      <c r="C2" s="13" t="s">
        <v>5510</v>
      </c>
      <c r="D2" s="13" t="s">
        <v>5510</v>
      </c>
      <c r="E2" s="13" t="s">
        <v>5510</v>
      </c>
      <c r="F2" s="13" t="s">
        <v>5511</v>
      </c>
      <c r="G2" s="13" t="s">
        <v>5510</v>
      </c>
      <c r="H2" s="13" t="s">
        <v>5510</v>
      </c>
      <c r="I2" s="13" t="s">
        <v>3130</v>
      </c>
      <c r="J2" s="13" t="s">
        <v>5512</v>
      </c>
      <c r="K2" s="13" t="s">
        <v>5510</v>
      </c>
      <c r="L2" s="13" t="s">
        <v>5510</v>
      </c>
      <c r="M2" s="13" t="s">
        <v>5513</v>
      </c>
      <c r="N2" s="13" t="s">
        <v>5514</v>
      </c>
      <c r="O2" s="13" t="s">
        <v>5510</v>
      </c>
      <c r="P2" s="13" t="s">
        <v>5510</v>
      </c>
      <c r="Q2" s="13" t="s">
        <v>5510</v>
      </c>
      <c r="R2" s="13" t="s">
        <v>5510</v>
      </c>
      <c r="S2" s="13" t="s">
        <v>5510</v>
      </c>
      <c r="T2" s="13" t="s">
        <v>5515</v>
      </c>
      <c r="U2" s="13" t="s">
        <v>5516</v>
      </c>
      <c r="V2" s="13" t="s">
        <v>5517</v>
      </c>
      <c r="W2" s="13" t="s">
        <v>5518</v>
      </c>
      <c r="X2" s="13" t="s">
        <v>5519</v>
      </c>
      <c r="Y2" s="13" t="s">
        <v>5520</v>
      </c>
      <c r="Z2" s="13" t="s">
        <v>5521</v>
      </c>
      <c r="AA2" s="13" t="s">
        <v>5522</v>
      </c>
      <c r="AB2" s="13" t="s">
        <v>5523</v>
      </c>
      <c r="AC2" s="13" t="s">
        <v>5524</v>
      </c>
      <c r="AD2" s="13" t="s">
        <v>5525</v>
      </c>
      <c r="AE2" s="13" t="s">
        <v>5526</v>
      </c>
      <c r="AF2" s="13" t="s">
        <v>5510</v>
      </c>
      <c r="AG2" s="13">
        <v>91.0</v>
      </c>
      <c r="AH2" s="13">
        <v>63.0</v>
      </c>
      <c r="AI2" s="13">
        <v>75.0</v>
      </c>
      <c r="AJ2" s="13">
        <v>2.0</v>
      </c>
      <c r="AK2" s="13">
        <v>135.0</v>
      </c>
      <c r="AL2" s="13" t="s">
        <v>5527</v>
      </c>
      <c r="AM2" s="13" t="s">
        <v>5528</v>
      </c>
      <c r="AN2" s="13" t="s">
        <v>5529</v>
      </c>
      <c r="AO2" s="13" t="s">
        <v>5530</v>
      </c>
      <c r="AP2" s="13" t="s">
        <v>5510</v>
      </c>
      <c r="AQ2" s="13" t="s">
        <v>5510</v>
      </c>
      <c r="AR2" s="13" t="s">
        <v>5512</v>
      </c>
      <c r="AS2" s="13" t="s">
        <v>53</v>
      </c>
      <c r="AT2" s="13" t="s">
        <v>2738</v>
      </c>
      <c r="AU2" s="13">
        <v>2019.0</v>
      </c>
      <c r="AV2" s="13">
        <v>10.0</v>
      </c>
      <c r="AW2" s="13">
        <v>2.0</v>
      </c>
      <c r="AX2" s="13" t="s">
        <v>5510</v>
      </c>
      <c r="AY2" s="13" t="s">
        <v>5510</v>
      </c>
      <c r="AZ2" s="13" t="s">
        <v>5510</v>
      </c>
      <c r="BA2" s="13" t="s">
        <v>5510</v>
      </c>
      <c r="BB2" s="13" t="s">
        <v>5510</v>
      </c>
      <c r="BC2" s="13" t="s">
        <v>5510</v>
      </c>
      <c r="BD2" s="13" t="s">
        <v>5531</v>
      </c>
      <c r="BE2" s="13" t="s">
        <v>5532</v>
      </c>
      <c r="BF2" s="52" t="str">
        <f>HYPERLINK("http://dx.doi.org/10.1002/ecs2.2611","http://dx.doi.org/10.1002/ecs2.2611")</f>
        <v>http://dx.doi.org/10.1002/ecs2.2611</v>
      </c>
      <c r="BG2" s="13" t="s">
        <v>5510</v>
      </c>
      <c r="BH2" s="13" t="s">
        <v>5510</v>
      </c>
      <c r="BI2" s="13">
        <v>23.0</v>
      </c>
      <c r="BJ2" s="13" t="s">
        <v>5533</v>
      </c>
      <c r="BK2" s="13" t="s">
        <v>5534</v>
      </c>
      <c r="BL2" s="13" t="s">
        <v>5535</v>
      </c>
      <c r="BM2" s="13" t="s">
        <v>5536</v>
      </c>
      <c r="BN2" s="13" t="s">
        <v>5510</v>
      </c>
      <c r="BO2" s="13" t="s">
        <v>5537</v>
      </c>
      <c r="BP2" s="13" t="s">
        <v>5510</v>
      </c>
      <c r="BQ2" s="13" t="s">
        <v>5510</v>
      </c>
      <c r="BR2" s="13" t="s">
        <v>5538</v>
      </c>
      <c r="BS2" s="13" t="s">
        <v>5539</v>
      </c>
      <c r="BT2" s="13">
        <v>24186.0</v>
      </c>
      <c r="BU2" s="13" t="s">
        <v>5540</v>
      </c>
      <c r="BV2" s="13" t="s">
        <v>4856</v>
      </c>
      <c r="BW2" s="53" t="str">
        <f>VLOOKUP($BT2,Enriched!$A$2:$E$1070,5,false)</f>
        <v>["Residential &amp; Commercial Development", "Human Intrusions &amp; Disturbance"]</v>
      </c>
      <c r="BX2" s="53" t="str">
        <f>VLOOKUP($BT2,Enriched!$A$2:$E$1070,4,false)</f>
        <v>["Tourism &amp; recreation areas", "Recreational activities"]</v>
      </c>
      <c r="BY2" s="13" t="b">
        <f>VLOOKUP(BT2,Enriched!$A$1:$AA$1070,27,falsE)</f>
        <v>0</v>
      </c>
      <c r="BZ2" s="2" t="str">
        <f>VLOOKUP(BT2,Enriched!$A$1:$AA$1070,14,falsE)</f>
        <v>level2</v>
      </c>
      <c r="CA2" s="13" t="str">
        <f>HYPERLINK("https%3A%2F%2Fwww.webofscience.com%2Fwos%2Fwoscc%2Ffull-record%2FWOS:000461577000030","View Full Record in Web of Science")</f>
        <v>View Full Record in Web of Science</v>
      </c>
    </row>
    <row r="3" ht="12.75" customHeight="1">
      <c r="A3" s="13" t="s">
        <v>5508</v>
      </c>
      <c r="B3" s="13" t="s">
        <v>5541</v>
      </c>
      <c r="C3" s="13" t="s">
        <v>5510</v>
      </c>
      <c r="D3" s="13" t="s">
        <v>5510</v>
      </c>
      <c r="E3" s="13" t="s">
        <v>5510</v>
      </c>
      <c r="F3" s="13" t="s">
        <v>5542</v>
      </c>
      <c r="G3" s="13" t="s">
        <v>5510</v>
      </c>
      <c r="H3" s="13" t="s">
        <v>5510</v>
      </c>
      <c r="I3" s="13" t="s">
        <v>3128</v>
      </c>
      <c r="J3" s="13" t="s">
        <v>5543</v>
      </c>
      <c r="K3" s="13" t="s">
        <v>5510</v>
      </c>
      <c r="L3" s="13" t="s">
        <v>5510</v>
      </c>
      <c r="M3" s="13" t="s">
        <v>5513</v>
      </c>
      <c r="N3" s="13" t="s">
        <v>5514</v>
      </c>
      <c r="O3" s="13" t="s">
        <v>5510</v>
      </c>
      <c r="P3" s="13" t="s">
        <v>5510</v>
      </c>
      <c r="Q3" s="13" t="s">
        <v>5510</v>
      </c>
      <c r="R3" s="13" t="s">
        <v>5510</v>
      </c>
      <c r="S3" s="13" t="s">
        <v>5510</v>
      </c>
      <c r="T3" s="13" t="s">
        <v>5510</v>
      </c>
      <c r="U3" s="13" t="s">
        <v>5544</v>
      </c>
      <c r="V3" s="13" t="s">
        <v>5545</v>
      </c>
      <c r="W3" s="13" t="s">
        <v>5546</v>
      </c>
      <c r="X3" s="13" t="s">
        <v>5547</v>
      </c>
      <c r="Y3" s="13" t="s">
        <v>5548</v>
      </c>
      <c r="Z3" s="13" t="s">
        <v>5549</v>
      </c>
      <c r="AA3" s="13" t="s">
        <v>5510</v>
      </c>
      <c r="AB3" s="13" t="s">
        <v>5510</v>
      </c>
      <c r="AC3" s="13" t="s">
        <v>5550</v>
      </c>
      <c r="AD3" s="13" t="s">
        <v>5550</v>
      </c>
      <c r="AE3" s="13" t="s">
        <v>5551</v>
      </c>
      <c r="AF3" s="13" t="s">
        <v>5510</v>
      </c>
      <c r="AG3" s="13">
        <v>58.0</v>
      </c>
      <c r="AH3" s="13">
        <v>71.0</v>
      </c>
      <c r="AI3" s="13">
        <v>90.0</v>
      </c>
      <c r="AJ3" s="13">
        <v>5.0</v>
      </c>
      <c r="AK3" s="13">
        <v>130.0</v>
      </c>
      <c r="AL3" s="13" t="s">
        <v>5552</v>
      </c>
      <c r="AM3" s="13" t="s">
        <v>5553</v>
      </c>
      <c r="AN3" s="13" t="s">
        <v>5554</v>
      </c>
      <c r="AO3" s="13" t="s">
        <v>5555</v>
      </c>
      <c r="AP3" s="13" t="s">
        <v>5510</v>
      </c>
      <c r="AQ3" s="13" t="s">
        <v>5510</v>
      </c>
      <c r="AR3" s="13" t="s">
        <v>5543</v>
      </c>
      <c r="AS3" s="13" t="s">
        <v>5556</v>
      </c>
      <c r="AT3" s="13" t="s">
        <v>5557</v>
      </c>
      <c r="AU3" s="13">
        <v>2013.0</v>
      </c>
      <c r="AV3" s="13">
        <v>8.0</v>
      </c>
      <c r="AW3" s="13">
        <v>1.0</v>
      </c>
      <c r="AX3" s="13" t="s">
        <v>5510</v>
      </c>
      <c r="AY3" s="13" t="s">
        <v>5510</v>
      </c>
      <c r="AZ3" s="13" t="s">
        <v>5510</v>
      </c>
      <c r="BA3" s="13" t="s">
        <v>5510</v>
      </c>
      <c r="BB3" s="13" t="s">
        <v>5510</v>
      </c>
      <c r="BC3" s="13" t="s">
        <v>5510</v>
      </c>
      <c r="BD3" s="13" t="s">
        <v>5558</v>
      </c>
      <c r="BE3" s="13" t="s">
        <v>5559</v>
      </c>
      <c r="BF3" s="52" t="str">
        <f>HYPERLINK("http://dx.doi.org/10.1371/journal.pone.0053371","http://dx.doi.org/10.1371/journal.pone.0053371")</f>
        <v>http://dx.doi.org/10.1371/journal.pone.0053371</v>
      </c>
      <c r="BG3" s="13" t="s">
        <v>5510</v>
      </c>
      <c r="BH3" s="13" t="s">
        <v>5510</v>
      </c>
      <c r="BI3" s="13">
        <v>10.0</v>
      </c>
      <c r="BJ3" s="13" t="s">
        <v>5560</v>
      </c>
      <c r="BK3" s="13" t="s">
        <v>5561</v>
      </c>
      <c r="BL3" s="13" t="s">
        <v>5562</v>
      </c>
      <c r="BM3" s="13" t="s">
        <v>5563</v>
      </c>
      <c r="BN3" s="13">
        <v>2.332642E7</v>
      </c>
      <c r="BO3" s="13" t="s">
        <v>5564</v>
      </c>
      <c r="BP3" s="13" t="s">
        <v>5510</v>
      </c>
      <c r="BQ3" s="13" t="s">
        <v>5510</v>
      </c>
      <c r="BR3" s="13" t="s">
        <v>5538</v>
      </c>
      <c r="BS3" s="13" t="s">
        <v>5565</v>
      </c>
      <c r="BT3" s="13">
        <v>24120.0</v>
      </c>
      <c r="BU3" s="13" t="s">
        <v>5540</v>
      </c>
      <c r="BV3" s="13" t="s">
        <v>4856</v>
      </c>
      <c r="BW3" s="13" t="str">
        <f>VLOOKUP($BT3,Enriched!$A$2:$E$1070,5,false)</f>
        <v>["Residential &amp; commercial development"]</v>
      </c>
      <c r="BX3" s="13" t="str">
        <f>VLOOKUP($BT3,Enriched!$A$2:$E$1070,4,false)</f>
        <v/>
      </c>
      <c r="BY3" s="13" t="b">
        <f>VLOOKUP(BT3,Enriched!$A$1:$AA$1070,27,falsE)</f>
        <v>1</v>
      </c>
      <c r="BZ3" s="2" t="str">
        <f>VLOOKUP(BT3,Enriched!$A$1:$AA$1070,14,falsE)</f>
        <v>level1</v>
      </c>
      <c r="CA3" s="13" t="str">
        <f>HYPERLINK("https%3A%2F%2Fwww.webofscience.com%2Fwos%2Fwoscc%2Ffull-record%2FWOS:000313551500067","View Full Record in Web of Science")</f>
        <v>View Full Record in Web of Science</v>
      </c>
    </row>
    <row r="4" ht="12.75" customHeight="1">
      <c r="A4" s="13" t="s">
        <v>5508</v>
      </c>
      <c r="B4" s="13" t="s">
        <v>5566</v>
      </c>
      <c r="C4" s="13" t="s">
        <v>5510</v>
      </c>
      <c r="D4" s="13" t="s">
        <v>5510</v>
      </c>
      <c r="E4" s="13" t="s">
        <v>5510</v>
      </c>
      <c r="F4" s="13" t="s">
        <v>5567</v>
      </c>
      <c r="G4" s="13" t="s">
        <v>5510</v>
      </c>
      <c r="H4" s="13" t="s">
        <v>5510</v>
      </c>
      <c r="I4" s="13" t="s">
        <v>3125</v>
      </c>
      <c r="J4" s="13" t="s">
        <v>5568</v>
      </c>
      <c r="K4" s="13" t="s">
        <v>5510</v>
      </c>
      <c r="L4" s="13" t="s">
        <v>5510</v>
      </c>
      <c r="M4" s="13" t="s">
        <v>5513</v>
      </c>
      <c r="N4" s="13" t="s">
        <v>5514</v>
      </c>
      <c r="O4" s="13" t="s">
        <v>5510</v>
      </c>
      <c r="P4" s="13" t="s">
        <v>5510</v>
      </c>
      <c r="Q4" s="13" t="s">
        <v>5510</v>
      </c>
      <c r="R4" s="13" t="s">
        <v>5510</v>
      </c>
      <c r="S4" s="13" t="s">
        <v>5510</v>
      </c>
      <c r="T4" s="13" t="s">
        <v>5569</v>
      </c>
      <c r="U4" s="13" t="s">
        <v>5570</v>
      </c>
      <c r="V4" s="13" t="s">
        <v>5571</v>
      </c>
      <c r="W4" s="13" t="s">
        <v>5572</v>
      </c>
      <c r="X4" s="13" t="s">
        <v>5573</v>
      </c>
      <c r="Y4" s="13" t="s">
        <v>5574</v>
      </c>
      <c r="Z4" s="13" t="s">
        <v>5575</v>
      </c>
      <c r="AA4" s="13" t="s">
        <v>5576</v>
      </c>
      <c r="AB4" s="13" t="s">
        <v>5577</v>
      </c>
      <c r="AC4" s="13" t="s">
        <v>5510</v>
      </c>
      <c r="AD4" s="13" t="s">
        <v>5510</v>
      </c>
      <c r="AE4" s="13" t="s">
        <v>5510</v>
      </c>
      <c r="AF4" s="13" t="s">
        <v>5510</v>
      </c>
      <c r="AG4" s="13">
        <v>70.0</v>
      </c>
      <c r="AH4" s="13">
        <v>103.0</v>
      </c>
      <c r="AI4" s="13">
        <v>126.0</v>
      </c>
      <c r="AJ4" s="13">
        <v>10.0</v>
      </c>
      <c r="AK4" s="13">
        <v>217.0</v>
      </c>
      <c r="AL4" s="13" t="s">
        <v>5527</v>
      </c>
      <c r="AM4" s="13" t="s">
        <v>5528</v>
      </c>
      <c r="AN4" s="13" t="s">
        <v>5529</v>
      </c>
      <c r="AO4" s="13" t="s">
        <v>5578</v>
      </c>
      <c r="AP4" s="13" t="s">
        <v>5579</v>
      </c>
      <c r="AQ4" s="13" t="s">
        <v>5510</v>
      </c>
      <c r="AR4" s="13" t="s">
        <v>5580</v>
      </c>
      <c r="AS4" s="13" t="s">
        <v>5581</v>
      </c>
      <c r="AT4" s="13" t="s">
        <v>5582</v>
      </c>
      <c r="AU4" s="13">
        <v>2020.0</v>
      </c>
      <c r="AV4" s="13">
        <v>89.0</v>
      </c>
      <c r="AW4" s="13">
        <v>1.0</v>
      </c>
      <c r="AX4" s="13" t="s">
        <v>5510</v>
      </c>
      <c r="AY4" s="13" t="s">
        <v>5510</v>
      </c>
      <c r="AZ4" s="13" t="s">
        <v>5510</v>
      </c>
      <c r="BA4" s="13" t="s">
        <v>5510</v>
      </c>
      <c r="BB4" s="13">
        <v>93.0</v>
      </c>
      <c r="BC4" s="13">
        <v>103.0</v>
      </c>
      <c r="BD4" s="13" t="s">
        <v>5510</v>
      </c>
      <c r="BE4" s="13" t="s">
        <v>5583</v>
      </c>
      <c r="BF4" s="52" t="str">
        <f>HYPERLINK("http://dx.doi.org/10.1111/1365-2656.12961","http://dx.doi.org/10.1111/1365-2656.12961")</f>
        <v>http://dx.doi.org/10.1111/1365-2656.12961</v>
      </c>
      <c r="BG4" s="13" t="s">
        <v>5510</v>
      </c>
      <c r="BH4" s="13" t="s">
        <v>5510</v>
      </c>
      <c r="BI4" s="13">
        <v>11.0</v>
      </c>
      <c r="BJ4" s="13" t="s">
        <v>5584</v>
      </c>
      <c r="BK4" s="13" t="s">
        <v>5561</v>
      </c>
      <c r="BL4" s="13" t="s">
        <v>5585</v>
      </c>
      <c r="BM4" s="13" t="s">
        <v>5586</v>
      </c>
      <c r="BN4" s="13">
        <v>3.0762229E7</v>
      </c>
      <c r="BO4" s="13" t="s">
        <v>5587</v>
      </c>
      <c r="BP4" s="13" t="s">
        <v>5510</v>
      </c>
      <c r="BQ4" s="13" t="s">
        <v>5510</v>
      </c>
      <c r="BR4" s="13" t="s">
        <v>5538</v>
      </c>
      <c r="BS4" s="13" t="s">
        <v>5588</v>
      </c>
      <c r="BT4" s="13">
        <v>24698.0</v>
      </c>
      <c r="BU4" s="13" t="s">
        <v>5540</v>
      </c>
      <c r="BV4" s="13" t="s">
        <v>4856</v>
      </c>
      <c r="BW4" s="13" t="str">
        <f>VLOOKUP($BT4,Enriched!$A$2:$E$1070,5,false)</f>
        <v>["Energy Production &amp; Mining"]</v>
      </c>
      <c r="BX4" s="13" t="str">
        <f>VLOOKUP($BT4,Enriched!$A$2:$E$1070,4,false)</f>
        <v>["Renewable energy"]</v>
      </c>
      <c r="BY4" s="13" t="b">
        <f>VLOOKUP(BT4,Enriched!$A$1:$AA$1070,27,falsE)</f>
        <v>0</v>
      </c>
      <c r="BZ4" s="2" t="str">
        <f>VLOOKUP(BT4,Enriched!$A$1:$AA$1070,14,falsE)</f>
        <v>level2</v>
      </c>
      <c r="CA4" s="13" t="str">
        <f>HYPERLINK("https%3A%2F%2Fwww.webofscience.com%2Fwos%2Fwoscc%2Ffull-record%2FWOS:000506707800010","View Full Record in Web of Science")</f>
        <v>View Full Record in Web of Science</v>
      </c>
    </row>
    <row r="5" ht="12.75" customHeight="1">
      <c r="A5" s="13" t="s">
        <v>5508</v>
      </c>
      <c r="B5" s="13" t="s">
        <v>5589</v>
      </c>
      <c r="C5" s="13" t="s">
        <v>5510</v>
      </c>
      <c r="D5" s="13" t="s">
        <v>5510</v>
      </c>
      <c r="E5" s="13" t="s">
        <v>5510</v>
      </c>
      <c r="F5" s="13" t="s">
        <v>5590</v>
      </c>
      <c r="G5" s="13" t="s">
        <v>5510</v>
      </c>
      <c r="H5" s="13" t="s">
        <v>5510</v>
      </c>
      <c r="I5" s="13" t="s">
        <v>5591</v>
      </c>
      <c r="J5" s="13" t="s">
        <v>5543</v>
      </c>
      <c r="K5" s="13" t="s">
        <v>5510</v>
      </c>
      <c r="L5" s="13" t="s">
        <v>5510</v>
      </c>
      <c r="M5" s="13" t="s">
        <v>5513</v>
      </c>
      <c r="N5" s="13" t="s">
        <v>5514</v>
      </c>
      <c r="O5" s="13" t="s">
        <v>5510</v>
      </c>
      <c r="P5" s="13" t="s">
        <v>5510</v>
      </c>
      <c r="Q5" s="13" t="s">
        <v>5510</v>
      </c>
      <c r="R5" s="13" t="s">
        <v>5510</v>
      </c>
      <c r="S5" s="13" t="s">
        <v>5510</v>
      </c>
      <c r="T5" s="13" t="s">
        <v>5510</v>
      </c>
      <c r="U5" s="13" t="s">
        <v>5592</v>
      </c>
      <c r="V5" s="13" t="s">
        <v>5593</v>
      </c>
      <c r="W5" s="13" t="s">
        <v>5594</v>
      </c>
      <c r="X5" s="13" t="s">
        <v>5595</v>
      </c>
      <c r="Y5" s="13" t="s">
        <v>5596</v>
      </c>
      <c r="Z5" s="13" t="s">
        <v>5597</v>
      </c>
      <c r="AA5" s="13" t="s">
        <v>5598</v>
      </c>
      <c r="AB5" s="13" t="s">
        <v>5599</v>
      </c>
      <c r="AC5" s="13" t="s">
        <v>5600</v>
      </c>
      <c r="AD5" s="13" t="s">
        <v>5600</v>
      </c>
      <c r="AE5" s="13" t="s">
        <v>5601</v>
      </c>
      <c r="AF5" s="13" t="s">
        <v>5510</v>
      </c>
      <c r="AG5" s="13">
        <v>42.0</v>
      </c>
      <c r="AH5" s="13">
        <v>86.0</v>
      </c>
      <c r="AI5" s="13">
        <v>97.0</v>
      </c>
      <c r="AJ5" s="13">
        <v>1.0</v>
      </c>
      <c r="AK5" s="13">
        <v>104.0</v>
      </c>
      <c r="AL5" s="13" t="s">
        <v>5552</v>
      </c>
      <c r="AM5" s="13" t="s">
        <v>5553</v>
      </c>
      <c r="AN5" s="13" t="s">
        <v>5554</v>
      </c>
      <c r="AO5" s="13" t="s">
        <v>5555</v>
      </c>
      <c r="AP5" s="13" t="s">
        <v>5510</v>
      </c>
      <c r="AQ5" s="13" t="s">
        <v>5510</v>
      </c>
      <c r="AR5" s="13" t="s">
        <v>5543</v>
      </c>
      <c r="AS5" s="13" t="s">
        <v>5556</v>
      </c>
      <c r="AT5" s="13" t="s">
        <v>5602</v>
      </c>
      <c r="AU5" s="13">
        <v>2014.0</v>
      </c>
      <c r="AV5" s="13">
        <v>9.0</v>
      </c>
      <c r="AW5" s="13">
        <v>8.0</v>
      </c>
      <c r="AX5" s="13" t="s">
        <v>5510</v>
      </c>
      <c r="AY5" s="13" t="s">
        <v>5510</v>
      </c>
      <c r="AZ5" s="13" t="s">
        <v>5510</v>
      </c>
      <c r="BA5" s="13" t="s">
        <v>5510</v>
      </c>
      <c r="BB5" s="13" t="s">
        <v>5510</v>
      </c>
      <c r="BC5" s="13" t="s">
        <v>5510</v>
      </c>
      <c r="BD5" s="13" t="s">
        <v>5603</v>
      </c>
      <c r="BE5" s="13" t="s">
        <v>5604</v>
      </c>
      <c r="BF5" s="52" t="str">
        <f>HYPERLINK("http://dx.doi.org/10.1371/journal.pone.0103106","http://dx.doi.org/10.1371/journal.pone.0103106")</f>
        <v>http://dx.doi.org/10.1371/journal.pone.0103106</v>
      </c>
      <c r="BG5" s="13" t="s">
        <v>5510</v>
      </c>
      <c r="BH5" s="13" t="s">
        <v>5510</v>
      </c>
      <c r="BI5" s="13">
        <v>8.0</v>
      </c>
      <c r="BJ5" s="13" t="s">
        <v>5560</v>
      </c>
      <c r="BK5" s="13" t="s">
        <v>5561</v>
      </c>
      <c r="BL5" s="13" t="s">
        <v>5562</v>
      </c>
      <c r="BM5" s="13" t="s">
        <v>5605</v>
      </c>
      <c r="BN5" s="13">
        <v>2.5118805E7</v>
      </c>
      <c r="BO5" s="13" t="s">
        <v>5564</v>
      </c>
      <c r="BP5" s="13" t="s">
        <v>5510</v>
      </c>
      <c r="BQ5" s="13" t="s">
        <v>5510</v>
      </c>
      <c r="BR5" s="13" t="s">
        <v>5538</v>
      </c>
      <c r="BS5" s="13" t="s">
        <v>5606</v>
      </c>
      <c r="BT5" s="13">
        <v>24511.0</v>
      </c>
      <c r="BU5" s="13" t="s">
        <v>5540</v>
      </c>
      <c r="BV5" s="13" t="s">
        <v>4856</v>
      </c>
      <c r="BW5" s="13" t="str">
        <f>VLOOKUP($BT5,Enriched!$A$2:$E$1070,5,false)</f>
        <v>["Energy Production &amp; Mining"]</v>
      </c>
      <c r="BX5" s="13" t="str">
        <f>VLOOKUP($BT5,Enriched!$A$2:$E$1070,4,false)</f>
        <v>["Renewable energy"]</v>
      </c>
      <c r="BY5" s="13" t="b">
        <f>VLOOKUP(BT5,Enriched!$A$1:$AA$1070,27,falsE)</f>
        <v>0</v>
      </c>
      <c r="BZ5" s="2" t="str">
        <f>VLOOKUP(BT5,Enriched!$A$1:$AA$1070,14,falsE)</f>
        <v>level2</v>
      </c>
      <c r="CA5" s="13" t="str">
        <f>HYPERLINK("https%3A%2F%2Fwww.webofscience.com%2Fwos%2Fwoscc%2Ffull-record%2FWOS:000340900600017","View Full Record in Web of Science")</f>
        <v>View Full Record in Web of Science</v>
      </c>
    </row>
    <row r="6" ht="12.75" customHeight="1">
      <c r="A6" s="13" t="s">
        <v>5508</v>
      </c>
      <c r="B6" s="13" t="s">
        <v>5607</v>
      </c>
      <c r="C6" s="13" t="s">
        <v>5510</v>
      </c>
      <c r="D6" s="13" t="s">
        <v>5510</v>
      </c>
      <c r="E6" s="13" t="s">
        <v>5510</v>
      </c>
      <c r="F6" s="13" t="s">
        <v>5608</v>
      </c>
      <c r="G6" s="13" t="s">
        <v>5510</v>
      </c>
      <c r="H6" s="13" t="s">
        <v>5510</v>
      </c>
      <c r="I6" s="13" t="s">
        <v>5609</v>
      </c>
      <c r="J6" s="13" t="s">
        <v>5543</v>
      </c>
      <c r="K6" s="13" t="s">
        <v>5510</v>
      </c>
      <c r="L6" s="13" t="s">
        <v>5510</v>
      </c>
      <c r="M6" s="13" t="s">
        <v>5513</v>
      </c>
      <c r="N6" s="13" t="s">
        <v>5514</v>
      </c>
      <c r="O6" s="13" t="s">
        <v>5510</v>
      </c>
      <c r="P6" s="13" t="s">
        <v>5510</v>
      </c>
      <c r="Q6" s="13" t="s">
        <v>5510</v>
      </c>
      <c r="R6" s="13" t="s">
        <v>5510</v>
      </c>
      <c r="S6" s="13" t="s">
        <v>5510</v>
      </c>
      <c r="T6" s="13" t="s">
        <v>5510</v>
      </c>
      <c r="U6" s="13" t="s">
        <v>5610</v>
      </c>
      <c r="V6" s="13" t="s">
        <v>5611</v>
      </c>
      <c r="W6" s="13" t="s">
        <v>5612</v>
      </c>
      <c r="X6" s="13" t="s">
        <v>5613</v>
      </c>
      <c r="Y6" s="13" t="s">
        <v>5614</v>
      </c>
      <c r="Z6" s="13" t="s">
        <v>5615</v>
      </c>
      <c r="AA6" s="13" t="s">
        <v>5616</v>
      </c>
      <c r="AB6" s="13" t="s">
        <v>5617</v>
      </c>
      <c r="AC6" s="13" t="s">
        <v>5510</v>
      </c>
      <c r="AD6" s="13" t="s">
        <v>5510</v>
      </c>
      <c r="AE6" s="13" t="s">
        <v>5510</v>
      </c>
      <c r="AF6" s="13" t="s">
        <v>5510</v>
      </c>
      <c r="AG6" s="13">
        <v>60.0</v>
      </c>
      <c r="AH6" s="13">
        <v>51.0</v>
      </c>
      <c r="AI6" s="13">
        <v>57.0</v>
      </c>
      <c r="AJ6" s="13">
        <v>0.0</v>
      </c>
      <c r="AK6" s="13">
        <v>79.0</v>
      </c>
      <c r="AL6" s="13" t="s">
        <v>5552</v>
      </c>
      <c r="AM6" s="13" t="s">
        <v>5553</v>
      </c>
      <c r="AN6" s="13" t="s">
        <v>5554</v>
      </c>
      <c r="AO6" s="13" t="s">
        <v>5555</v>
      </c>
      <c r="AP6" s="13" t="s">
        <v>5510</v>
      </c>
      <c r="AQ6" s="13" t="s">
        <v>5510</v>
      </c>
      <c r="AR6" s="13" t="s">
        <v>5543</v>
      </c>
      <c r="AS6" s="13" t="s">
        <v>5556</v>
      </c>
      <c r="AT6" s="13" t="s">
        <v>5618</v>
      </c>
      <c r="AU6" s="13">
        <v>2012.0</v>
      </c>
      <c r="AV6" s="13">
        <v>7.0</v>
      </c>
      <c r="AW6" s="13">
        <v>7.0</v>
      </c>
      <c r="AX6" s="13" t="s">
        <v>5510</v>
      </c>
      <c r="AY6" s="13" t="s">
        <v>5510</v>
      </c>
      <c r="AZ6" s="13" t="s">
        <v>5510</v>
      </c>
      <c r="BA6" s="13" t="s">
        <v>5510</v>
      </c>
      <c r="BB6" s="13" t="s">
        <v>5510</v>
      </c>
      <c r="BC6" s="13" t="s">
        <v>5510</v>
      </c>
      <c r="BD6" s="13" t="s">
        <v>5619</v>
      </c>
      <c r="BE6" s="13" t="s">
        <v>5620</v>
      </c>
      <c r="BF6" s="52" t="str">
        <f>HYPERLINK("http://dx.doi.org/10.1371/journal.pone.0041468","http://dx.doi.org/10.1371/journal.pone.0041468")</f>
        <v>http://dx.doi.org/10.1371/journal.pone.0041468</v>
      </c>
      <c r="BG6" s="13" t="s">
        <v>5510</v>
      </c>
      <c r="BH6" s="13" t="s">
        <v>5510</v>
      </c>
      <c r="BI6" s="13">
        <v>14.0</v>
      </c>
      <c r="BJ6" s="13" t="s">
        <v>5560</v>
      </c>
      <c r="BK6" s="13" t="s">
        <v>5561</v>
      </c>
      <c r="BL6" s="13" t="s">
        <v>5562</v>
      </c>
      <c r="BM6" s="13" t="s">
        <v>5621</v>
      </c>
      <c r="BN6" s="13">
        <v>2.2848505E7</v>
      </c>
      <c r="BO6" s="13" t="s">
        <v>5564</v>
      </c>
      <c r="BP6" s="13" t="s">
        <v>5510</v>
      </c>
      <c r="BQ6" s="13" t="s">
        <v>5510</v>
      </c>
      <c r="BR6" s="13" t="s">
        <v>5538</v>
      </c>
      <c r="BS6" s="13" t="s">
        <v>5622</v>
      </c>
      <c r="BT6" s="13">
        <v>23866.0</v>
      </c>
      <c r="BU6" s="13" t="s">
        <v>5540</v>
      </c>
      <c r="BV6" s="13" t="s">
        <v>4856</v>
      </c>
      <c r="BW6" s="13" t="str">
        <f>VLOOKUP($BT6,Enriched!$A$2:$E$1070,5,false)</f>
        <v>["Agriculture &amp; Aquaculture", "Energy Production &amp; Mining", "Residential &amp; Commercial Development"]</v>
      </c>
      <c r="BX6" s="13" t="str">
        <f>VLOOKUP($BT6,Enriched!$A$2:$E$1070,4,false)</f>
        <v>["Annual &amp; perennial non-timber crops", "Oil &amp; gas drilling", "Mining &amp; quarrying"]</v>
      </c>
      <c r="BY6" s="13" t="b">
        <f>VLOOKUP(BT6,Enriched!$A$1:$AA$1070,27,falsE)</f>
        <v>1</v>
      </c>
      <c r="BZ6" s="2" t="str">
        <f>VLOOKUP(BT6,Enriched!$A$1:$AA$1070,14,falsE)</f>
        <v>cumulative</v>
      </c>
      <c r="CA6" s="13" t="str">
        <f>HYPERLINK("https%3A%2F%2Fwww.webofscience.com%2Fwos%2Fwoscc%2Ffull-record%2FWOS:000306806600070","View Full Record in Web of Science")</f>
        <v>View Full Record in Web of Science</v>
      </c>
    </row>
    <row r="7" ht="12.75" customHeight="1">
      <c r="A7" s="13" t="s">
        <v>5508</v>
      </c>
      <c r="B7" s="13" t="s">
        <v>5623</v>
      </c>
      <c r="C7" s="13" t="s">
        <v>5510</v>
      </c>
      <c r="D7" s="13" t="s">
        <v>5510</v>
      </c>
      <c r="E7" s="13" t="s">
        <v>5510</v>
      </c>
      <c r="F7" s="13" t="s">
        <v>5624</v>
      </c>
      <c r="G7" s="13" t="s">
        <v>5510</v>
      </c>
      <c r="H7" s="13" t="s">
        <v>5510</v>
      </c>
      <c r="I7" s="13" t="s">
        <v>3113</v>
      </c>
      <c r="J7" s="13" t="s">
        <v>5625</v>
      </c>
      <c r="K7" s="13" t="s">
        <v>5510</v>
      </c>
      <c r="L7" s="13" t="s">
        <v>5510</v>
      </c>
      <c r="M7" s="13" t="s">
        <v>5513</v>
      </c>
      <c r="N7" s="13" t="s">
        <v>5626</v>
      </c>
      <c r="O7" s="13" t="s">
        <v>5627</v>
      </c>
      <c r="P7" s="13" t="s">
        <v>5628</v>
      </c>
      <c r="Q7" s="13" t="s">
        <v>5629</v>
      </c>
      <c r="R7" s="13" t="s">
        <v>5630</v>
      </c>
      <c r="S7" s="13" t="s">
        <v>5631</v>
      </c>
      <c r="T7" s="13" t="s">
        <v>5632</v>
      </c>
      <c r="U7" s="13" t="s">
        <v>5633</v>
      </c>
      <c r="V7" s="13" t="s">
        <v>5634</v>
      </c>
      <c r="W7" s="13" t="s">
        <v>5635</v>
      </c>
      <c r="X7" s="13" t="s">
        <v>5636</v>
      </c>
      <c r="Y7" s="13" t="s">
        <v>5637</v>
      </c>
      <c r="Z7" s="13" t="s">
        <v>5638</v>
      </c>
      <c r="AA7" s="13" t="s">
        <v>5510</v>
      </c>
      <c r="AB7" s="13" t="s">
        <v>5510</v>
      </c>
      <c r="AC7" s="13" t="s">
        <v>5510</v>
      </c>
      <c r="AD7" s="13" t="s">
        <v>5510</v>
      </c>
      <c r="AE7" s="13" t="s">
        <v>5510</v>
      </c>
      <c r="AF7" s="13" t="s">
        <v>5510</v>
      </c>
      <c r="AG7" s="13">
        <v>52.0</v>
      </c>
      <c r="AH7" s="13">
        <v>44.0</v>
      </c>
      <c r="AI7" s="13">
        <v>57.0</v>
      </c>
      <c r="AJ7" s="13">
        <v>2.0</v>
      </c>
      <c r="AK7" s="13">
        <v>38.0</v>
      </c>
      <c r="AL7" s="13" t="s">
        <v>5639</v>
      </c>
      <c r="AM7" s="13" t="s">
        <v>5640</v>
      </c>
      <c r="AN7" s="13" t="s">
        <v>5641</v>
      </c>
      <c r="AO7" s="13" t="s">
        <v>5642</v>
      </c>
      <c r="AP7" s="13" t="s">
        <v>5643</v>
      </c>
      <c r="AQ7" s="13" t="s">
        <v>5510</v>
      </c>
      <c r="AR7" s="13" t="s">
        <v>5644</v>
      </c>
      <c r="AS7" s="13" t="s">
        <v>5645</v>
      </c>
      <c r="AT7" s="13" t="s">
        <v>5510</v>
      </c>
      <c r="AU7" s="13">
        <v>2015.0</v>
      </c>
      <c r="AV7" s="13" t="s">
        <v>5510</v>
      </c>
      <c r="AW7" s="13">
        <v>11.0</v>
      </c>
      <c r="AX7" s="13" t="s">
        <v>5510</v>
      </c>
      <c r="AY7" s="13" t="s">
        <v>5510</v>
      </c>
      <c r="AZ7" s="13" t="s">
        <v>5646</v>
      </c>
      <c r="BA7" s="13" t="s">
        <v>5510</v>
      </c>
      <c r="BB7" s="13">
        <v>41.0</v>
      </c>
      <c r="BC7" s="13">
        <v>60.0</v>
      </c>
      <c r="BD7" s="13" t="s">
        <v>5510</v>
      </c>
      <c r="BE7" s="13" t="s">
        <v>5647</v>
      </c>
      <c r="BF7" s="52" t="str">
        <f>HYPERLINK("http://dx.doi.org/10.3897/natureconservation.11.4438","http://dx.doi.org/10.3897/natureconservation.11.4438")</f>
        <v>http://dx.doi.org/10.3897/natureconservation.11.4438</v>
      </c>
      <c r="BG7" s="13" t="s">
        <v>5510</v>
      </c>
      <c r="BH7" s="13" t="s">
        <v>5510</v>
      </c>
      <c r="BI7" s="13">
        <v>20.0</v>
      </c>
      <c r="BJ7" s="13" t="s">
        <v>5648</v>
      </c>
      <c r="BK7" s="13" t="s">
        <v>5649</v>
      </c>
      <c r="BL7" s="13" t="s">
        <v>5650</v>
      </c>
      <c r="BM7" s="13" t="s">
        <v>5651</v>
      </c>
      <c r="BN7" s="13" t="s">
        <v>5510</v>
      </c>
      <c r="BO7" s="13" t="s">
        <v>5564</v>
      </c>
      <c r="BP7" s="13" t="s">
        <v>5510</v>
      </c>
      <c r="BQ7" s="13" t="s">
        <v>5510</v>
      </c>
      <c r="BR7" s="13" t="s">
        <v>5538</v>
      </c>
      <c r="BS7" s="13" t="s">
        <v>5652</v>
      </c>
      <c r="BT7" s="13">
        <v>25567.0</v>
      </c>
      <c r="BU7" s="13" t="s">
        <v>5540</v>
      </c>
      <c r="BV7" s="13" t="s">
        <v>4856</v>
      </c>
      <c r="BW7" s="13" t="str">
        <f>VLOOKUP($BT7,Enriched!$A$2:$E$1070,5,false)</f>
        <v>["Transportation &amp; Service Corridors"]</v>
      </c>
      <c r="BX7" s="13" t="str">
        <f>VLOOKUP($BT7,Enriched!$A$2:$E$1070,4,false)</f>
        <v>["Roads &amp; railroads"]</v>
      </c>
      <c r="BY7" s="13" t="b">
        <f>VLOOKUP(BT7,Enriched!$A$1:$AA$1070,27,falsE)</f>
        <v>0</v>
      </c>
      <c r="BZ7" s="2" t="str">
        <f>VLOOKUP(BT7,Enriched!$A$1:$AA$1070,14,falsE)</f>
        <v>level2</v>
      </c>
      <c r="CA7" s="13" t="str">
        <f>HYPERLINK("https%3A%2F%2Fwww.webofscience.com%2Fwos%2Fwoscc%2Ffull-record%2FWOS:000359449200005","View Full Record in Web of Science")</f>
        <v>View Full Record in Web of Science</v>
      </c>
    </row>
    <row r="8" ht="12.75" customHeight="1">
      <c r="A8" s="13" t="s">
        <v>5508</v>
      </c>
      <c r="B8" s="13" t="s">
        <v>5653</v>
      </c>
      <c r="C8" s="13" t="s">
        <v>5510</v>
      </c>
      <c r="D8" s="13" t="s">
        <v>5510</v>
      </c>
      <c r="E8" s="13" t="s">
        <v>5510</v>
      </c>
      <c r="F8" s="13" t="s">
        <v>5654</v>
      </c>
      <c r="G8" s="13" t="s">
        <v>5510</v>
      </c>
      <c r="H8" s="13" t="s">
        <v>5510</v>
      </c>
      <c r="I8" s="13" t="s">
        <v>3110</v>
      </c>
      <c r="J8" s="13" t="s">
        <v>5655</v>
      </c>
      <c r="K8" s="13" t="s">
        <v>5510</v>
      </c>
      <c r="L8" s="13" t="s">
        <v>5510</v>
      </c>
      <c r="M8" s="13" t="s">
        <v>5513</v>
      </c>
      <c r="N8" s="13" t="s">
        <v>5514</v>
      </c>
      <c r="O8" s="13" t="s">
        <v>5510</v>
      </c>
      <c r="P8" s="13" t="s">
        <v>5510</v>
      </c>
      <c r="Q8" s="13" t="s">
        <v>5510</v>
      </c>
      <c r="R8" s="13" t="s">
        <v>5510</v>
      </c>
      <c r="S8" s="13" t="s">
        <v>5510</v>
      </c>
      <c r="T8" s="13" t="s">
        <v>5656</v>
      </c>
      <c r="U8" s="13" t="s">
        <v>5657</v>
      </c>
      <c r="V8" s="13" t="s">
        <v>5658</v>
      </c>
      <c r="W8" s="13" t="s">
        <v>5659</v>
      </c>
      <c r="X8" s="13" t="s">
        <v>5660</v>
      </c>
      <c r="Y8" s="13" t="s">
        <v>5661</v>
      </c>
      <c r="Z8" s="13" t="s">
        <v>5662</v>
      </c>
      <c r="AA8" s="13" t="s">
        <v>5510</v>
      </c>
      <c r="AB8" s="13" t="s">
        <v>5663</v>
      </c>
      <c r="AC8" s="13" t="s">
        <v>5510</v>
      </c>
      <c r="AD8" s="13" t="s">
        <v>5510</v>
      </c>
      <c r="AE8" s="13" t="s">
        <v>5510</v>
      </c>
      <c r="AF8" s="13" t="s">
        <v>5510</v>
      </c>
      <c r="AG8" s="13">
        <v>84.0</v>
      </c>
      <c r="AH8" s="13">
        <v>44.0</v>
      </c>
      <c r="AI8" s="13">
        <v>51.0</v>
      </c>
      <c r="AJ8" s="13">
        <v>3.0</v>
      </c>
      <c r="AK8" s="13">
        <v>46.0</v>
      </c>
      <c r="AL8" s="13" t="s">
        <v>5527</v>
      </c>
      <c r="AM8" s="13" t="s">
        <v>5528</v>
      </c>
      <c r="AN8" s="13" t="s">
        <v>5529</v>
      </c>
      <c r="AO8" s="13" t="s">
        <v>5664</v>
      </c>
      <c r="AP8" s="13" t="s">
        <v>5510</v>
      </c>
      <c r="AQ8" s="13" t="s">
        <v>5510</v>
      </c>
      <c r="AR8" s="13" t="s">
        <v>5665</v>
      </c>
      <c r="AS8" s="13" t="s">
        <v>5666</v>
      </c>
      <c r="AT8" s="13" t="s">
        <v>5667</v>
      </c>
      <c r="AU8" s="13">
        <v>2020.0</v>
      </c>
      <c r="AV8" s="13">
        <v>10.0</v>
      </c>
      <c r="AW8" s="13">
        <v>13.0</v>
      </c>
      <c r="AX8" s="13" t="s">
        <v>5510</v>
      </c>
      <c r="AY8" s="13" t="s">
        <v>5510</v>
      </c>
      <c r="AZ8" s="13" t="s">
        <v>5510</v>
      </c>
      <c r="BA8" s="13" t="s">
        <v>5510</v>
      </c>
      <c r="BB8" s="13">
        <v>6623.0</v>
      </c>
      <c r="BC8" s="13">
        <v>6635.0</v>
      </c>
      <c r="BD8" s="13" t="s">
        <v>5510</v>
      </c>
      <c r="BE8" s="13" t="s">
        <v>5668</v>
      </c>
      <c r="BF8" s="52" t="str">
        <f>HYPERLINK("http://dx.doi.org/10.1002/ece3.6394","http://dx.doi.org/10.1002/ece3.6394")</f>
        <v>http://dx.doi.org/10.1002/ece3.6394</v>
      </c>
      <c r="BG8" s="13" t="s">
        <v>5510</v>
      </c>
      <c r="BH8" s="13" t="s">
        <v>5669</v>
      </c>
      <c r="BI8" s="13">
        <v>13.0</v>
      </c>
      <c r="BJ8" s="13" t="s">
        <v>5670</v>
      </c>
      <c r="BK8" s="13" t="s">
        <v>5561</v>
      </c>
      <c r="BL8" s="13" t="s">
        <v>5671</v>
      </c>
      <c r="BM8" s="13" t="s">
        <v>5672</v>
      </c>
      <c r="BN8" s="13">
        <v>3.2724537E7</v>
      </c>
      <c r="BO8" s="13" t="s">
        <v>5564</v>
      </c>
      <c r="BP8" s="13" t="s">
        <v>5510</v>
      </c>
      <c r="BQ8" s="13" t="s">
        <v>5510</v>
      </c>
      <c r="BR8" s="13" t="s">
        <v>5538</v>
      </c>
      <c r="BS8" s="13" t="s">
        <v>5673</v>
      </c>
      <c r="BT8" s="13">
        <v>23903.0</v>
      </c>
      <c r="BU8" s="13" t="s">
        <v>5540</v>
      </c>
      <c r="BV8" s="13" t="s">
        <v>4856</v>
      </c>
      <c r="BW8" s="13" t="str">
        <f>VLOOKUP($BT8,Enriched!$A$2:$E$1070,5,false)</f>
        <v>["Transportation &amp; Service Corridors"]</v>
      </c>
      <c r="BX8" s="13" t="str">
        <f>VLOOKUP($BT8,Enriched!$A$2:$E$1070,4,false)</f>
        <v>["Roads &amp; railroads"]</v>
      </c>
      <c r="BY8" s="13" t="b">
        <f>VLOOKUP(BT8,Enriched!$A$1:$AA$1070,27,falsE)</f>
        <v>0</v>
      </c>
      <c r="BZ8" s="2" t="str">
        <f>VLOOKUP(BT8,Enriched!$A$1:$AA$1070,14,falsE)</f>
        <v>level2</v>
      </c>
      <c r="CA8" s="13" t="str">
        <f>HYPERLINK("https%3A%2F%2Fwww.webofscience.com%2Fwos%2Fwoscc%2Ffull-record%2FWOS:000541248700001","View Full Record in Web of Science")</f>
        <v>View Full Record in Web of Science</v>
      </c>
    </row>
    <row r="9" ht="12.75" customHeight="1">
      <c r="A9" s="13" t="s">
        <v>5508</v>
      </c>
      <c r="B9" s="13" t="s">
        <v>5674</v>
      </c>
      <c r="C9" s="13" t="s">
        <v>5510</v>
      </c>
      <c r="D9" s="13" t="s">
        <v>5510</v>
      </c>
      <c r="E9" s="13" t="s">
        <v>5510</v>
      </c>
      <c r="F9" s="13" t="s">
        <v>5675</v>
      </c>
      <c r="G9" s="13" t="s">
        <v>5510</v>
      </c>
      <c r="H9" s="13" t="s">
        <v>5510</v>
      </c>
      <c r="I9" s="13" t="s">
        <v>5676</v>
      </c>
      <c r="J9" s="13" t="s">
        <v>5677</v>
      </c>
      <c r="K9" s="13" t="s">
        <v>5510</v>
      </c>
      <c r="L9" s="13" t="s">
        <v>5510</v>
      </c>
      <c r="M9" s="13" t="s">
        <v>5513</v>
      </c>
      <c r="N9" s="13" t="s">
        <v>5514</v>
      </c>
      <c r="O9" s="13" t="s">
        <v>5510</v>
      </c>
      <c r="P9" s="13" t="s">
        <v>5510</v>
      </c>
      <c r="Q9" s="13" t="s">
        <v>5510</v>
      </c>
      <c r="R9" s="13" t="s">
        <v>5510</v>
      </c>
      <c r="S9" s="13" t="s">
        <v>5510</v>
      </c>
      <c r="T9" s="13" t="s">
        <v>5678</v>
      </c>
      <c r="U9" s="13" t="s">
        <v>5679</v>
      </c>
      <c r="V9" s="13" t="s">
        <v>5680</v>
      </c>
      <c r="W9" s="13" t="s">
        <v>5681</v>
      </c>
      <c r="X9" s="13" t="s">
        <v>5682</v>
      </c>
      <c r="Y9" s="13" t="s">
        <v>5683</v>
      </c>
      <c r="Z9" s="13" t="s">
        <v>5684</v>
      </c>
      <c r="AA9" s="13" t="s">
        <v>5685</v>
      </c>
      <c r="AB9" s="13" t="s">
        <v>5686</v>
      </c>
      <c r="AC9" s="13" t="s">
        <v>5687</v>
      </c>
      <c r="AD9" s="13" t="s">
        <v>5688</v>
      </c>
      <c r="AE9" s="13" t="s">
        <v>5689</v>
      </c>
      <c r="AF9" s="13" t="s">
        <v>5510</v>
      </c>
      <c r="AG9" s="13">
        <v>18.0</v>
      </c>
      <c r="AH9" s="13">
        <v>62.0</v>
      </c>
      <c r="AI9" s="13">
        <v>70.0</v>
      </c>
      <c r="AJ9" s="13">
        <v>0.0</v>
      </c>
      <c r="AK9" s="13">
        <v>64.0</v>
      </c>
      <c r="AL9" s="13" t="s">
        <v>5690</v>
      </c>
      <c r="AM9" s="13" t="s">
        <v>5691</v>
      </c>
      <c r="AN9" s="13" t="s">
        <v>5692</v>
      </c>
      <c r="AO9" s="13" t="s">
        <v>5693</v>
      </c>
      <c r="AP9" s="13" t="s">
        <v>5694</v>
      </c>
      <c r="AQ9" s="13" t="s">
        <v>5510</v>
      </c>
      <c r="AR9" s="13" t="s">
        <v>5695</v>
      </c>
      <c r="AS9" s="13" t="s">
        <v>5696</v>
      </c>
      <c r="AT9" s="13" t="s">
        <v>2514</v>
      </c>
      <c r="AU9" s="13">
        <v>2014.0</v>
      </c>
      <c r="AV9" s="13">
        <v>23.0</v>
      </c>
      <c r="AW9" s="13">
        <v>11.0</v>
      </c>
      <c r="AX9" s="13" t="s">
        <v>5510</v>
      </c>
      <c r="AY9" s="13" t="s">
        <v>5510</v>
      </c>
      <c r="AZ9" s="13" t="s">
        <v>5510</v>
      </c>
      <c r="BA9" s="13" t="s">
        <v>5510</v>
      </c>
      <c r="BB9" s="13">
        <v>2749.0</v>
      </c>
      <c r="BC9" s="13">
        <v>2760.0</v>
      </c>
      <c r="BD9" s="13" t="s">
        <v>5510</v>
      </c>
      <c r="BE9" s="13" t="s">
        <v>5697</v>
      </c>
      <c r="BF9" s="52" t="str">
        <f>HYPERLINK("http://dx.doi.org/10.1007/s10531-014-0746-y","http://dx.doi.org/10.1007/s10531-014-0746-y")</f>
        <v>http://dx.doi.org/10.1007/s10531-014-0746-y</v>
      </c>
      <c r="BG9" s="13" t="s">
        <v>5510</v>
      </c>
      <c r="BH9" s="13" t="s">
        <v>5510</v>
      </c>
      <c r="BI9" s="13">
        <v>12.0</v>
      </c>
      <c r="BJ9" s="13" t="s">
        <v>5698</v>
      </c>
      <c r="BK9" s="13" t="s">
        <v>5561</v>
      </c>
      <c r="BL9" s="13" t="s">
        <v>5699</v>
      </c>
      <c r="BM9" s="13" t="s">
        <v>5700</v>
      </c>
      <c r="BN9" s="13" t="s">
        <v>5510</v>
      </c>
      <c r="BO9" s="13" t="s">
        <v>5510</v>
      </c>
      <c r="BP9" s="13" t="s">
        <v>5510</v>
      </c>
      <c r="BQ9" s="13" t="s">
        <v>5510</v>
      </c>
      <c r="BR9" s="13" t="s">
        <v>5538</v>
      </c>
      <c r="BS9" s="13" t="s">
        <v>5701</v>
      </c>
      <c r="BT9" s="13">
        <v>24024.0</v>
      </c>
      <c r="BU9" s="13" t="s">
        <v>5540</v>
      </c>
      <c r="BV9" s="13" t="s">
        <v>4856</v>
      </c>
      <c r="BW9" s="13" t="str">
        <f>VLOOKUP($BT9,Enriched!$A$2:$E$1070,5,false)</f>
        <v>["Biological resource use"]</v>
      </c>
      <c r="BX9" s="13" t="str">
        <f>VLOOKUP($BT9,Enriched!$A$2:$E$1070,4,false)</f>
        <v>["Gathering terrestrial plants"]</v>
      </c>
      <c r="BY9" s="13" t="b">
        <f>VLOOKUP(BT9,Enriched!$A$1:$AA$1070,27,falsE)</f>
        <v>0</v>
      </c>
      <c r="BZ9" s="2" t="str">
        <f>VLOOKUP(BT9,Enriched!$A$1:$AA$1070,14,falsE)</f>
        <v>level2</v>
      </c>
      <c r="CA9" s="13" t="str">
        <f>HYPERLINK("https%3A%2F%2Fwww.webofscience.com%2Fwos%2Fwoscc%2Ffull-record%2FWOS:000341081400005","View Full Record in Web of Science")</f>
        <v>View Full Record in Web of Science</v>
      </c>
    </row>
    <row r="10" ht="12.75" customHeight="1">
      <c r="A10" s="13" t="s">
        <v>5508</v>
      </c>
      <c r="B10" s="13" t="s">
        <v>5702</v>
      </c>
      <c r="C10" s="13" t="s">
        <v>5510</v>
      </c>
      <c r="D10" s="13" t="s">
        <v>5510</v>
      </c>
      <c r="E10" s="13" t="s">
        <v>5510</v>
      </c>
      <c r="F10" s="13" t="s">
        <v>5703</v>
      </c>
      <c r="G10" s="13" t="s">
        <v>5510</v>
      </c>
      <c r="H10" s="13" t="s">
        <v>5510</v>
      </c>
      <c r="I10" s="13" t="s">
        <v>3103</v>
      </c>
      <c r="J10" s="13" t="s">
        <v>5704</v>
      </c>
      <c r="K10" s="13" t="s">
        <v>5510</v>
      </c>
      <c r="L10" s="13" t="s">
        <v>5510</v>
      </c>
      <c r="M10" s="13" t="s">
        <v>5513</v>
      </c>
      <c r="N10" s="13" t="s">
        <v>5514</v>
      </c>
      <c r="O10" s="13" t="s">
        <v>5510</v>
      </c>
      <c r="P10" s="13" t="s">
        <v>5510</v>
      </c>
      <c r="Q10" s="13" t="s">
        <v>5510</v>
      </c>
      <c r="R10" s="13" t="s">
        <v>5510</v>
      </c>
      <c r="S10" s="13" t="s">
        <v>5510</v>
      </c>
      <c r="T10" s="13" t="s">
        <v>5705</v>
      </c>
      <c r="U10" s="13" t="s">
        <v>5706</v>
      </c>
      <c r="V10" s="13" t="s">
        <v>5707</v>
      </c>
      <c r="W10" s="13" t="s">
        <v>5708</v>
      </c>
      <c r="X10" s="13" t="s">
        <v>5709</v>
      </c>
      <c r="Y10" s="13" t="s">
        <v>5710</v>
      </c>
      <c r="Z10" s="13" t="s">
        <v>5711</v>
      </c>
      <c r="AA10" s="13" t="s">
        <v>5712</v>
      </c>
      <c r="AB10" s="13" t="s">
        <v>5713</v>
      </c>
      <c r="AC10" s="13" t="s">
        <v>5714</v>
      </c>
      <c r="AD10" s="13" t="s">
        <v>5715</v>
      </c>
      <c r="AE10" s="13" t="s">
        <v>5716</v>
      </c>
      <c r="AF10" s="13" t="s">
        <v>5510</v>
      </c>
      <c r="AG10" s="13">
        <v>69.0</v>
      </c>
      <c r="AH10" s="13">
        <v>69.0</v>
      </c>
      <c r="AI10" s="13">
        <v>76.0</v>
      </c>
      <c r="AJ10" s="13">
        <v>2.0</v>
      </c>
      <c r="AK10" s="13">
        <v>48.0</v>
      </c>
      <c r="AL10" s="13" t="s">
        <v>5527</v>
      </c>
      <c r="AM10" s="13" t="s">
        <v>5528</v>
      </c>
      <c r="AN10" s="13" t="s">
        <v>5529</v>
      </c>
      <c r="AO10" s="13" t="s">
        <v>5717</v>
      </c>
      <c r="AP10" s="13" t="s">
        <v>5510</v>
      </c>
      <c r="AQ10" s="13" t="s">
        <v>5510</v>
      </c>
      <c r="AR10" s="13" t="s">
        <v>5718</v>
      </c>
      <c r="AS10" s="13" t="s">
        <v>5719</v>
      </c>
      <c r="AT10" s="13" t="s">
        <v>5720</v>
      </c>
      <c r="AU10" s="13">
        <v>2018.0</v>
      </c>
      <c r="AV10" s="13">
        <v>11.0</v>
      </c>
      <c r="AW10" s="13">
        <v>5.0</v>
      </c>
      <c r="AX10" s="13" t="s">
        <v>5510</v>
      </c>
      <c r="AY10" s="13" t="s">
        <v>5510</v>
      </c>
      <c r="AZ10" s="13" t="s">
        <v>5510</v>
      </c>
      <c r="BA10" s="13" t="s">
        <v>5510</v>
      </c>
      <c r="BB10" s="13">
        <v>662.0</v>
      </c>
      <c r="BC10" s="13">
        <v>680.0</v>
      </c>
      <c r="BD10" s="13" t="s">
        <v>5510</v>
      </c>
      <c r="BE10" s="13" t="s">
        <v>5721</v>
      </c>
      <c r="BF10" s="52" t="str">
        <f>HYPERLINK("http://dx.doi.org/10.1111/eva.12595","http://dx.doi.org/10.1111/eva.12595")</f>
        <v>http://dx.doi.org/10.1111/eva.12595</v>
      </c>
      <c r="BG10" s="13" t="s">
        <v>5510</v>
      </c>
      <c r="BH10" s="13" t="s">
        <v>5510</v>
      </c>
      <c r="BI10" s="13">
        <v>19.0</v>
      </c>
      <c r="BJ10" s="13" t="s">
        <v>5722</v>
      </c>
      <c r="BK10" s="13" t="s">
        <v>5561</v>
      </c>
      <c r="BL10" s="13" t="s">
        <v>5722</v>
      </c>
      <c r="BM10" s="13" t="s">
        <v>5723</v>
      </c>
      <c r="BN10" s="13">
        <v>2.9875809E7</v>
      </c>
      <c r="BO10" s="13" t="s">
        <v>5564</v>
      </c>
      <c r="BP10" s="13" t="s">
        <v>5510</v>
      </c>
      <c r="BQ10" s="13" t="s">
        <v>5510</v>
      </c>
      <c r="BR10" s="13" t="s">
        <v>5538</v>
      </c>
      <c r="BS10" s="13" t="s">
        <v>5724</v>
      </c>
      <c r="BT10" s="13">
        <v>25159.0</v>
      </c>
      <c r="BU10" s="13" t="s">
        <v>5540</v>
      </c>
      <c r="BV10" s="13" t="s">
        <v>4856</v>
      </c>
      <c r="BW10" s="13" t="str">
        <f>VLOOKUP($BT10,Enriched!$A$2:$E$1070,5,false)</f>
        <v>["Invasive &amp; other problematic species, genes &amp; diseases"]</v>
      </c>
      <c r="BX10" s="13" t="str">
        <f>VLOOKUP($BT10,Enriched!$A$2:$E$1070,4,false)</f>
        <v>["Invasive non-native/alien species/diseases"]</v>
      </c>
      <c r="BY10" s="13" t="b">
        <f>VLOOKUP(BT10,Enriched!$A$1:$AA$1070,27,falsE)</f>
        <v>0</v>
      </c>
      <c r="BZ10" s="2" t="str">
        <f>VLOOKUP(BT10,Enriched!$A$1:$AA$1070,14,falsE)</f>
        <v>level2</v>
      </c>
      <c r="CA10" s="13" t="str">
        <f>HYPERLINK("https%3A%2F%2Fwww.webofscience.com%2Fwos%2Fwoscc%2Ffull-record%2FWOS:000433572400007","View Full Record in Web of Science")</f>
        <v>View Full Record in Web of Science</v>
      </c>
    </row>
    <row r="11" ht="12.75" customHeight="1">
      <c r="A11" s="13" t="s">
        <v>5508</v>
      </c>
      <c r="B11" s="13" t="s">
        <v>5725</v>
      </c>
      <c r="C11" s="13" t="s">
        <v>5510</v>
      </c>
      <c r="D11" s="13" t="s">
        <v>5510</v>
      </c>
      <c r="E11" s="13" t="s">
        <v>5510</v>
      </c>
      <c r="F11" s="13" t="s">
        <v>5726</v>
      </c>
      <c r="G11" s="13" t="s">
        <v>5510</v>
      </c>
      <c r="H11" s="13" t="s">
        <v>5510</v>
      </c>
      <c r="I11" s="13" t="s">
        <v>5727</v>
      </c>
      <c r="J11" s="13" t="s">
        <v>5543</v>
      </c>
      <c r="K11" s="13" t="s">
        <v>5510</v>
      </c>
      <c r="L11" s="13" t="s">
        <v>5510</v>
      </c>
      <c r="M11" s="13" t="s">
        <v>5513</v>
      </c>
      <c r="N11" s="13" t="s">
        <v>5514</v>
      </c>
      <c r="O11" s="13" t="s">
        <v>5510</v>
      </c>
      <c r="P11" s="13" t="s">
        <v>5510</v>
      </c>
      <c r="Q11" s="13" t="s">
        <v>5510</v>
      </c>
      <c r="R11" s="13" t="s">
        <v>5510</v>
      </c>
      <c r="S11" s="13" t="s">
        <v>5510</v>
      </c>
      <c r="T11" s="13" t="s">
        <v>5510</v>
      </c>
      <c r="U11" s="13" t="s">
        <v>5728</v>
      </c>
      <c r="V11" s="13" t="s">
        <v>5729</v>
      </c>
      <c r="W11" s="13" t="s">
        <v>5730</v>
      </c>
      <c r="X11" s="13" t="s">
        <v>5731</v>
      </c>
      <c r="Y11" s="13" t="s">
        <v>5732</v>
      </c>
      <c r="Z11" s="13" t="s">
        <v>5733</v>
      </c>
      <c r="AA11" s="13" t="s">
        <v>5734</v>
      </c>
      <c r="AB11" s="13" t="s">
        <v>5735</v>
      </c>
      <c r="AC11" s="13" t="s">
        <v>5736</v>
      </c>
      <c r="AD11" s="13" t="s">
        <v>5737</v>
      </c>
      <c r="AE11" s="13" t="s">
        <v>5738</v>
      </c>
      <c r="AF11" s="13" t="s">
        <v>5510</v>
      </c>
      <c r="AG11" s="13">
        <v>56.0</v>
      </c>
      <c r="AH11" s="13">
        <v>18.0</v>
      </c>
      <c r="AI11" s="13">
        <v>20.0</v>
      </c>
      <c r="AJ11" s="13">
        <v>1.0</v>
      </c>
      <c r="AK11" s="13">
        <v>25.0</v>
      </c>
      <c r="AL11" s="13" t="s">
        <v>5552</v>
      </c>
      <c r="AM11" s="13" t="s">
        <v>5553</v>
      </c>
      <c r="AN11" s="13" t="s">
        <v>5554</v>
      </c>
      <c r="AO11" s="13" t="s">
        <v>5555</v>
      </c>
      <c r="AP11" s="13" t="s">
        <v>5510</v>
      </c>
      <c r="AQ11" s="13" t="s">
        <v>5510</v>
      </c>
      <c r="AR11" s="13" t="s">
        <v>5543</v>
      </c>
      <c r="AS11" s="13" t="s">
        <v>5556</v>
      </c>
      <c r="AT11" s="13" t="s">
        <v>5739</v>
      </c>
      <c r="AU11" s="13">
        <v>2015.0</v>
      </c>
      <c r="AV11" s="13">
        <v>10.0</v>
      </c>
      <c r="AW11" s="13">
        <v>4.0</v>
      </c>
      <c r="AX11" s="13" t="s">
        <v>5510</v>
      </c>
      <c r="AY11" s="13" t="s">
        <v>5510</v>
      </c>
      <c r="AZ11" s="13" t="s">
        <v>5510</v>
      </c>
      <c r="BA11" s="13" t="s">
        <v>5510</v>
      </c>
      <c r="BB11" s="13" t="s">
        <v>5510</v>
      </c>
      <c r="BC11" s="13" t="s">
        <v>5510</v>
      </c>
      <c r="BD11" s="13" t="s">
        <v>5740</v>
      </c>
      <c r="BE11" s="13" t="s">
        <v>5741</v>
      </c>
      <c r="BF11" s="52" t="str">
        <f>HYPERLINK("http://dx.doi.org/10.1371/journal.pone.0125128","http://dx.doi.org/10.1371/journal.pone.0125128")</f>
        <v>http://dx.doi.org/10.1371/journal.pone.0125128</v>
      </c>
      <c r="BG11" s="13" t="s">
        <v>5510</v>
      </c>
      <c r="BH11" s="13" t="s">
        <v>5510</v>
      </c>
      <c r="BI11" s="13">
        <v>14.0</v>
      </c>
      <c r="BJ11" s="13" t="s">
        <v>5560</v>
      </c>
      <c r="BK11" s="13" t="s">
        <v>5561</v>
      </c>
      <c r="BL11" s="13" t="s">
        <v>5562</v>
      </c>
      <c r="BM11" s="13" t="s">
        <v>5742</v>
      </c>
      <c r="BN11" s="13">
        <v>2.5902035E7</v>
      </c>
      <c r="BO11" s="13" t="s">
        <v>5564</v>
      </c>
      <c r="BP11" s="13" t="s">
        <v>5510</v>
      </c>
      <c r="BQ11" s="13" t="s">
        <v>5510</v>
      </c>
      <c r="BR11" s="13" t="s">
        <v>5538</v>
      </c>
      <c r="BS11" s="13" t="s">
        <v>5743</v>
      </c>
      <c r="BT11" s="13">
        <v>23609.0</v>
      </c>
      <c r="BU11" s="13" t="s">
        <v>5540</v>
      </c>
      <c r="BV11" s="13" t="s">
        <v>4856</v>
      </c>
      <c r="BW11" s="13" t="str">
        <f>VLOOKUP($BT11,Enriched!$A$2:$E$1070,5,false)</f>
        <v>["Invasive &amp; other problematic species, genes &amp; diseases"]</v>
      </c>
      <c r="BX11" s="13" t="str">
        <f>VLOOKUP($BT11,Enriched!$A$2:$E$1070,4,false)</f>
        <v>["Invasive non-native/alien species/diseases"]</v>
      </c>
      <c r="BY11" s="13" t="b">
        <f>VLOOKUP(BT11,Enriched!$A$1:$AA$1070,27,falsE)</f>
        <v>0</v>
      </c>
      <c r="BZ11" s="2" t="str">
        <f>VLOOKUP(BT11,Enriched!$A$1:$AA$1070,14,falsE)</f>
        <v>level2</v>
      </c>
      <c r="CA11" s="13" t="str">
        <f>HYPERLINK("https%3A%2F%2Fwww.webofscience.com%2Fwos%2Fwoscc%2Ffull-record%2FWOS:000353331500112","View Full Record in Web of Science")</f>
        <v>View Full Record in Web of Science</v>
      </c>
    </row>
    <row r="12" ht="12.75" customHeight="1">
      <c r="A12" s="13" t="s">
        <v>5508</v>
      </c>
      <c r="B12" s="13" t="s">
        <v>5744</v>
      </c>
      <c r="C12" s="13" t="s">
        <v>5510</v>
      </c>
      <c r="D12" s="13" t="s">
        <v>5510</v>
      </c>
      <c r="E12" s="13" t="s">
        <v>5510</v>
      </c>
      <c r="F12" s="13" t="s">
        <v>5745</v>
      </c>
      <c r="G12" s="13" t="s">
        <v>5510</v>
      </c>
      <c r="H12" s="13" t="s">
        <v>5510</v>
      </c>
      <c r="I12" s="13" t="s">
        <v>3098</v>
      </c>
      <c r="J12" s="13" t="s">
        <v>5746</v>
      </c>
      <c r="K12" s="13" t="s">
        <v>5510</v>
      </c>
      <c r="L12" s="13" t="s">
        <v>5510</v>
      </c>
      <c r="M12" s="13" t="s">
        <v>5513</v>
      </c>
      <c r="N12" s="13" t="s">
        <v>5514</v>
      </c>
      <c r="O12" s="13" t="s">
        <v>5510</v>
      </c>
      <c r="P12" s="13" t="s">
        <v>5510</v>
      </c>
      <c r="Q12" s="13" t="s">
        <v>5510</v>
      </c>
      <c r="R12" s="13" t="s">
        <v>5510</v>
      </c>
      <c r="S12" s="13" t="s">
        <v>5510</v>
      </c>
      <c r="T12" s="13" t="s">
        <v>5747</v>
      </c>
      <c r="U12" s="13" t="s">
        <v>5748</v>
      </c>
      <c r="V12" s="13" t="s">
        <v>5749</v>
      </c>
      <c r="W12" s="13" t="s">
        <v>5750</v>
      </c>
      <c r="X12" s="13" t="s">
        <v>5751</v>
      </c>
      <c r="Y12" s="13" t="s">
        <v>5752</v>
      </c>
      <c r="Z12" s="13" t="s">
        <v>5753</v>
      </c>
      <c r="AA12" s="13" t="s">
        <v>5754</v>
      </c>
      <c r="AB12" s="13" t="s">
        <v>5755</v>
      </c>
      <c r="AC12" s="13" t="s">
        <v>5756</v>
      </c>
      <c r="AD12" s="13" t="s">
        <v>5757</v>
      </c>
      <c r="AE12" s="13" t="s">
        <v>5758</v>
      </c>
      <c r="AF12" s="13" t="s">
        <v>5510</v>
      </c>
      <c r="AG12" s="13">
        <v>84.0</v>
      </c>
      <c r="AH12" s="13">
        <v>41.0</v>
      </c>
      <c r="AI12" s="13">
        <v>50.0</v>
      </c>
      <c r="AJ12" s="13">
        <v>0.0</v>
      </c>
      <c r="AK12" s="13">
        <v>36.0</v>
      </c>
      <c r="AL12" s="13" t="s">
        <v>5759</v>
      </c>
      <c r="AM12" s="13" t="s">
        <v>5760</v>
      </c>
      <c r="AN12" s="13" t="s">
        <v>5761</v>
      </c>
      <c r="AO12" s="13" t="s">
        <v>5762</v>
      </c>
      <c r="AP12" s="13" t="s">
        <v>5763</v>
      </c>
      <c r="AQ12" s="13" t="s">
        <v>5510</v>
      </c>
      <c r="AR12" s="13" t="s">
        <v>5764</v>
      </c>
      <c r="AS12" s="13" t="s">
        <v>5765</v>
      </c>
      <c r="AT12" s="13" t="s">
        <v>5766</v>
      </c>
      <c r="AU12" s="13">
        <v>2019.0</v>
      </c>
      <c r="AV12" s="13">
        <v>666.0</v>
      </c>
      <c r="AW12" s="13" t="s">
        <v>5510</v>
      </c>
      <c r="AX12" s="13" t="s">
        <v>5510</v>
      </c>
      <c r="AY12" s="13" t="s">
        <v>5510</v>
      </c>
      <c r="AZ12" s="13" t="s">
        <v>5510</v>
      </c>
      <c r="BA12" s="13" t="s">
        <v>5510</v>
      </c>
      <c r="BB12" s="13">
        <v>581.0</v>
      </c>
      <c r="BC12" s="13">
        <v>590.0</v>
      </c>
      <c r="BD12" s="13" t="s">
        <v>5510</v>
      </c>
      <c r="BE12" s="13" t="s">
        <v>5767</v>
      </c>
      <c r="BF12" s="52" t="str">
        <f>HYPERLINK("http://dx.doi.org/10.1016/j.scitotenv.2019.02.122","http://dx.doi.org/10.1016/j.scitotenv.2019.02.122")</f>
        <v>http://dx.doi.org/10.1016/j.scitotenv.2019.02.122</v>
      </c>
      <c r="BG12" s="13" t="s">
        <v>5510</v>
      </c>
      <c r="BH12" s="13" t="s">
        <v>5510</v>
      </c>
      <c r="BI12" s="13">
        <v>10.0</v>
      </c>
      <c r="BJ12" s="13" t="s">
        <v>5768</v>
      </c>
      <c r="BK12" s="13" t="s">
        <v>5561</v>
      </c>
      <c r="BL12" s="13" t="s">
        <v>5535</v>
      </c>
      <c r="BM12" s="13" t="s">
        <v>5769</v>
      </c>
      <c r="BN12" s="13">
        <v>3.0807948E7</v>
      </c>
      <c r="BO12" s="13" t="s">
        <v>5510</v>
      </c>
      <c r="BP12" s="13" t="s">
        <v>5510</v>
      </c>
      <c r="BQ12" s="13" t="s">
        <v>5510</v>
      </c>
      <c r="BR12" s="13" t="s">
        <v>5538</v>
      </c>
      <c r="BS12" s="13" t="s">
        <v>5770</v>
      </c>
      <c r="BT12" s="13">
        <v>25542.0</v>
      </c>
      <c r="BU12" s="13" t="s">
        <v>5540</v>
      </c>
      <c r="BV12" s="13" t="s">
        <v>4856</v>
      </c>
      <c r="BW12" s="13" t="str">
        <f>VLOOKUP($BT12,Enriched!$A$2:$E$1070,5,false)</f>
        <v>["Biological resource use"]</v>
      </c>
      <c r="BX12" s="13" t="str">
        <f>VLOOKUP($BT12,Enriched!$A$2:$E$1070,4,false)</f>
        <v>["Hunting &amp; collecting terrestrial animals"]</v>
      </c>
      <c r="BY12" s="13" t="b">
        <f>VLOOKUP(BT12,Enriched!$A$1:$AA$1070,27,falsE)</f>
        <v>0</v>
      </c>
      <c r="BZ12" s="2" t="str">
        <f>VLOOKUP(BT12,Enriched!$A$1:$AA$1070,14,falsE)</f>
        <v>level2</v>
      </c>
      <c r="CA12" s="13" t="str">
        <f>HYPERLINK("https%3A%2F%2Fwww.webofscience.com%2Fwos%2Fwoscc%2Ffull-record%2FWOS:000463180700055","View Full Record in Web of Science")</f>
        <v>View Full Record in Web of Science</v>
      </c>
    </row>
    <row r="13" ht="12.75" customHeight="1">
      <c r="A13" s="13" t="s">
        <v>5508</v>
      </c>
      <c r="B13" s="13" t="s">
        <v>5771</v>
      </c>
      <c r="C13" s="13" t="s">
        <v>5510</v>
      </c>
      <c r="D13" s="13" t="s">
        <v>5510</v>
      </c>
      <c r="E13" s="13" t="s">
        <v>5510</v>
      </c>
      <c r="F13" s="13" t="s">
        <v>5772</v>
      </c>
      <c r="G13" s="13" t="s">
        <v>5510</v>
      </c>
      <c r="H13" s="13" t="s">
        <v>5510</v>
      </c>
      <c r="I13" s="13" t="s">
        <v>3094</v>
      </c>
      <c r="J13" s="13" t="s">
        <v>5512</v>
      </c>
      <c r="K13" s="13" t="s">
        <v>5510</v>
      </c>
      <c r="L13" s="13" t="s">
        <v>5510</v>
      </c>
      <c r="M13" s="13" t="s">
        <v>5513</v>
      </c>
      <c r="N13" s="13" t="s">
        <v>5514</v>
      </c>
      <c r="O13" s="13" t="s">
        <v>5510</v>
      </c>
      <c r="P13" s="13" t="s">
        <v>5510</v>
      </c>
      <c r="Q13" s="13" t="s">
        <v>5510</v>
      </c>
      <c r="R13" s="13" t="s">
        <v>5510</v>
      </c>
      <c r="S13" s="13" t="s">
        <v>5510</v>
      </c>
      <c r="T13" s="13" t="s">
        <v>5773</v>
      </c>
      <c r="U13" s="13" t="s">
        <v>5774</v>
      </c>
      <c r="V13" s="13" t="s">
        <v>5775</v>
      </c>
      <c r="W13" s="13" t="s">
        <v>5776</v>
      </c>
      <c r="X13" s="13" t="s">
        <v>5777</v>
      </c>
      <c r="Y13" s="13" t="s">
        <v>5778</v>
      </c>
      <c r="Z13" s="13" t="s">
        <v>5779</v>
      </c>
      <c r="AA13" s="13" t="s">
        <v>5780</v>
      </c>
      <c r="AB13" s="13" t="s">
        <v>5781</v>
      </c>
      <c r="AC13" s="13" t="s">
        <v>5782</v>
      </c>
      <c r="AD13" s="13" t="s">
        <v>5783</v>
      </c>
      <c r="AE13" s="13" t="s">
        <v>5784</v>
      </c>
      <c r="AF13" s="13" t="s">
        <v>5510</v>
      </c>
      <c r="AG13" s="13">
        <v>43.0</v>
      </c>
      <c r="AH13" s="13">
        <v>107.0</v>
      </c>
      <c r="AI13" s="13">
        <v>120.0</v>
      </c>
      <c r="AJ13" s="13">
        <v>0.0</v>
      </c>
      <c r="AK13" s="13">
        <v>60.0</v>
      </c>
      <c r="AL13" s="13" t="s">
        <v>5527</v>
      </c>
      <c r="AM13" s="13" t="s">
        <v>5528</v>
      </c>
      <c r="AN13" s="13" t="s">
        <v>5529</v>
      </c>
      <c r="AO13" s="13" t="s">
        <v>5530</v>
      </c>
      <c r="AP13" s="13" t="s">
        <v>5510</v>
      </c>
      <c r="AQ13" s="13" t="s">
        <v>5510</v>
      </c>
      <c r="AR13" s="13" t="s">
        <v>5512</v>
      </c>
      <c r="AS13" s="13" t="s">
        <v>53</v>
      </c>
      <c r="AT13" s="13" t="s">
        <v>5720</v>
      </c>
      <c r="AU13" s="13">
        <v>2013.0</v>
      </c>
      <c r="AV13" s="13">
        <v>4.0</v>
      </c>
      <c r="AW13" s="13">
        <v>6.0</v>
      </c>
      <c r="AX13" s="13" t="s">
        <v>5510</v>
      </c>
      <c r="AY13" s="13" t="s">
        <v>5510</v>
      </c>
      <c r="AZ13" s="13" t="s">
        <v>5510</v>
      </c>
      <c r="BA13" s="13" t="s">
        <v>5510</v>
      </c>
      <c r="BB13" s="13" t="s">
        <v>5510</v>
      </c>
      <c r="BC13" s="13" t="s">
        <v>5510</v>
      </c>
      <c r="BD13" s="13">
        <v>76.0</v>
      </c>
      <c r="BE13" s="13" t="s">
        <v>5785</v>
      </c>
      <c r="BF13" s="52" t="str">
        <f>HYPERLINK("http://dx.doi.org/10.1890/ES12-00380.1","http://dx.doi.org/10.1890/ES12-00380.1")</f>
        <v>http://dx.doi.org/10.1890/ES12-00380.1</v>
      </c>
      <c r="BG13" s="13" t="s">
        <v>5510</v>
      </c>
      <c r="BH13" s="13" t="s">
        <v>5510</v>
      </c>
      <c r="BI13" s="13">
        <v>16.0</v>
      </c>
      <c r="BJ13" s="13" t="s">
        <v>5533</v>
      </c>
      <c r="BK13" s="13" t="s">
        <v>5561</v>
      </c>
      <c r="BL13" s="13" t="s">
        <v>5535</v>
      </c>
      <c r="BM13" s="13" t="s">
        <v>5786</v>
      </c>
      <c r="BN13" s="13" t="s">
        <v>5510</v>
      </c>
      <c r="BO13" s="13" t="s">
        <v>5787</v>
      </c>
      <c r="BP13" s="13" t="s">
        <v>5510</v>
      </c>
      <c r="BQ13" s="13" t="s">
        <v>5510</v>
      </c>
      <c r="BR13" s="13" t="s">
        <v>5538</v>
      </c>
      <c r="BS13" s="13" t="s">
        <v>5788</v>
      </c>
      <c r="BT13" s="13">
        <v>24064.0</v>
      </c>
      <c r="BU13" s="13" t="s">
        <v>5540</v>
      </c>
      <c r="BV13" s="13" t="s">
        <v>4855</v>
      </c>
      <c r="BW13" s="13" t="str">
        <f>VLOOKUP($BT13,Enriched!$A$2:$E$1070,5,false)</f>
        <v>["Residential &amp; Commercial Development", "Climate Change &amp; Severe Weather", "Agriculture &amp; Aquaculture", "Energy Production &amp; Mining", "Transportation &amp; Service Corridors", "Biological Resource Use", "Human Intrusions &amp; Disturbance", "Natural System Modifications", "Invasive &amp; Other Problematic Species, Genes &amp; Diseases", "Pollution"]</v>
      </c>
      <c r="BX13" s="13" t="str">
        <f>VLOOKUP($BT13,Enriched!$A$2:$E$1070,4,false)</f>
        <v>["Other impacts", "Hunting &amp; collecting terrestrial animals", "Gathering terrestrial plants", "Logging &amp; wood harvesting", "Fishing &amp; harvesting aquatic resources", "Work &amp; other activities", "Other ecosystem modifications", "Invasive non-native/alien species/diseases"]</v>
      </c>
      <c r="BY13" s="13" t="b">
        <f>VLOOKUP(BT13,Enriched!$A$1:$AA$1070,27,falsE)</f>
        <v>1</v>
      </c>
      <c r="BZ13" s="2" t="str">
        <f>VLOOKUP(BT13,Enriched!$A$1:$AA$1070,14,falsE)</f>
        <v>cumulative</v>
      </c>
      <c r="CA13" s="13" t="str">
        <f>HYPERLINK("https%3A%2F%2Fwww.webofscience.com%2Fwos%2Fwoscc%2Ffull-record%2FWOS:000327309300009","View Full Record in Web of Science")</f>
        <v>View Full Record in Web of Science</v>
      </c>
    </row>
    <row r="14" ht="12.75" customHeight="1">
      <c r="A14" s="13" t="s">
        <v>5508</v>
      </c>
      <c r="B14" s="13" t="s">
        <v>5789</v>
      </c>
      <c r="C14" s="13" t="s">
        <v>5510</v>
      </c>
      <c r="D14" s="13" t="s">
        <v>5510</v>
      </c>
      <c r="E14" s="13" t="s">
        <v>5510</v>
      </c>
      <c r="F14" s="13" t="s">
        <v>5790</v>
      </c>
      <c r="G14" s="13" t="s">
        <v>5510</v>
      </c>
      <c r="H14" s="13" t="s">
        <v>5510</v>
      </c>
      <c r="I14" s="13" t="s">
        <v>5791</v>
      </c>
      <c r="J14" s="13" t="s">
        <v>5792</v>
      </c>
      <c r="K14" s="13" t="s">
        <v>5510</v>
      </c>
      <c r="L14" s="13" t="s">
        <v>5510</v>
      </c>
      <c r="M14" s="13" t="s">
        <v>5513</v>
      </c>
      <c r="N14" s="13" t="s">
        <v>5514</v>
      </c>
      <c r="O14" s="13" t="s">
        <v>5510</v>
      </c>
      <c r="P14" s="13" t="s">
        <v>5510</v>
      </c>
      <c r="Q14" s="13" t="s">
        <v>5510</v>
      </c>
      <c r="R14" s="13" t="s">
        <v>5510</v>
      </c>
      <c r="S14" s="13" t="s">
        <v>5510</v>
      </c>
      <c r="T14" s="13" t="s">
        <v>5510</v>
      </c>
      <c r="U14" s="13" t="s">
        <v>5793</v>
      </c>
      <c r="V14" s="13" t="s">
        <v>5794</v>
      </c>
      <c r="W14" s="13" t="s">
        <v>5795</v>
      </c>
      <c r="X14" s="13" t="s">
        <v>5796</v>
      </c>
      <c r="Y14" s="13" t="s">
        <v>5797</v>
      </c>
      <c r="Z14" s="13" t="s">
        <v>5798</v>
      </c>
      <c r="AA14" s="13" t="s">
        <v>5510</v>
      </c>
      <c r="AB14" s="13" t="s">
        <v>5799</v>
      </c>
      <c r="AC14" s="13" t="s">
        <v>5510</v>
      </c>
      <c r="AD14" s="13" t="s">
        <v>5510</v>
      </c>
      <c r="AE14" s="13" t="s">
        <v>5510</v>
      </c>
      <c r="AF14" s="13" t="s">
        <v>5510</v>
      </c>
      <c r="AG14" s="13">
        <v>107.0</v>
      </c>
      <c r="AH14" s="13">
        <v>38.0</v>
      </c>
      <c r="AI14" s="13">
        <v>43.0</v>
      </c>
      <c r="AJ14" s="13">
        <v>0.0</v>
      </c>
      <c r="AK14" s="13">
        <v>43.0</v>
      </c>
      <c r="AL14" s="13" t="s">
        <v>5800</v>
      </c>
      <c r="AM14" s="13" t="s">
        <v>5801</v>
      </c>
      <c r="AN14" s="13" t="s">
        <v>5802</v>
      </c>
      <c r="AO14" s="13" t="s">
        <v>5803</v>
      </c>
      <c r="AP14" s="13" t="s">
        <v>5804</v>
      </c>
      <c r="AQ14" s="13" t="s">
        <v>5510</v>
      </c>
      <c r="AR14" s="13" t="s">
        <v>5805</v>
      </c>
      <c r="AS14" s="13" t="s">
        <v>5806</v>
      </c>
      <c r="AT14" s="13" t="s">
        <v>5510</v>
      </c>
      <c r="AU14" s="13">
        <v>2014.0</v>
      </c>
      <c r="AV14" s="13">
        <v>26.0</v>
      </c>
      <c r="AW14" s="13">
        <v>1.0</v>
      </c>
      <c r="AX14" s="13" t="s">
        <v>5510</v>
      </c>
      <c r="AY14" s="13" t="s">
        <v>5510</v>
      </c>
      <c r="AZ14" s="13" t="s">
        <v>5510</v>
      </c>
      <c r="BA14" s="13" t="s">
        <v>5510</v>
      </c>
      <c r="BB14" s="13">
        <v>39.0</v>
      </c>
      <c r="BC14" s="13">
        <v>57.0</v>
      </c>
      <c r="BD14" s="13" t="s">
        <v>5510</v>
      </c>
      <c r="BE14" s="13" t="s">
        <v>5807</v>
      </c>
      <c r="BF14" s="52" t="str">
        <f>HYPERLINK("http://dx.doi.org/10.3354/esr00627","http://dx.doi.org/10.3354/esr00627")</f>
        <v>http://dx.doi.org/10.3354/esr00627</v>
      </c>
      <c r="BG14" s="13" t="s">
        <v>5510</v>
      </c>
      <c r="BH14" s="13" t="s">
        <v>5510</v>
      </c>
      <c r="BI14" s="13">
        <v>19.0</v>
      </c>
      <c r="BJ14" s="13" t="s">
        <v>5648</v>
      </c>
      <c r="BK14" s="13" t="s">
        <v>5561</v>
      </c>
      <c r="BL14" s="13" t="s">
        <v>5650</v>
      </c>
      <c r="BM14" s="13" t="s">
        <v>5808</v>
      </c>
      <c r="BN14" s="13" t="s">
        <v>5510</v>
      </c>
      <c r="BO14" s="13" t="s">
        <v>5809</v>
      </c>
      <c r="BP14" s="13" t="s">
        <v>5510</v>
      </c>
      <c r="BQ14" s="13" t="s">
        <v>5510</v>
      </c>
      <c r="BR14" s="13" t="s">
        <v>5538</v>
      </c>
      <c r="BS14" s="13" t="s">
        <v>5810</v>
      </c>
      <c r="BT14" s="13">
        <v>23771.0</v>
      </c>
      <c r="BU14" s="13" t="s">
        <v>5540</v>
      </c>
      <c r="BV14" s="13" t="s">
        <v>4864</v>
      </c>
      <c r="BW14" s="13" t="str">
        <f>VLOOKUP($BT14,Enriched!$A$2:$E$1070,5,false)</f>
        <v>["Transportation &amp; Service Corridors"]</v>
      </c>
      <c r="BX14" s="13" t="str">
        <f>VLOOKUP($BT14,Enriched!$A$2:$E$1070,4,false)</f>
        <v>["Shipping lanes"]</v>
      </c>
      <c r="BY14" s="13" t="b">
        <f>VLOOKUP(BT14,Enriched!$A$1:$AA$1070,27,falsE)</f>
        <v>0</v>
      </c>
      <c r="BZ14" s="2" t="str">
        <f>VLOOKUP(BT14,Enriched!$A$1:$AA$1070,14,falsE)</f>
        <v>level2</v>
      </c>
      <c r="CA14" s="13" t="str">
        <f>HYPERLINK("https%3A%2F%2Fwww.webofscience.com%2Fwos%2Fwoscc%2Ffull-record%2FWOS:000346425100004","View Full Record in Web of Science")</f>
        <v>View Full Record in Web of Science</v>
      </c>
    </row>
    <row r="15" ht="12.75" customHeight="1">
      <c r="A15" s="13" t="s">
        <v>5508</v>
      </c>
      <c r="B15" s="13" t="s">
        <v>5811</v>
      </c>
      <c r="C15" s="13" t="s">
        <v>5510</v>
      </c>
      <c r="D15" s="13" t="s">
        <v>5510</v>
      </c>
      <c r="E15" s="13" t="s">
        <v>5510</v>
      </c>
      <c r="F15" s="13" t="s">
        <v>5812</v>
      </c>
      <c r="G15" s="13" t="s">
        <v>5510</v>
      </c>
      <c r="H15" s="13" t="s">
        <v>5510</v>
      </c>
      <c r="I15" s="13" t="s">
        <v>3074</v>
      </c>
      <c r="J15" s="13" t="s">
        <v>5746</v>
      </c>
      <c r="K15" s="13" t="s">
        <v>5510</v>
      </c>
      <c r="L15" s="13" t="s">
        <v>5510</v>
      </c>
      <c r="M15" s="13" t="s">
        <v>5513</v>
      </c>
      <c r="N15" s="13" t="s">
        <v>5514</v>
      </c>
      <c r="O15" s="13" t="s">
        <v>5510</v>
      </c>
      <c r="P15" s="13" t="s">
        <v>5510</v>
      </c>
      <c r="Q15" s="13" t="s">
        <v>5510</v>
      </c>
      <c r="R15" s="13" t="s">
        <v>5510</v>
      </c>
      <c r="S15" s="13" t="s">
        <v>5510</v>
      </c>
      <c r="T15" s="13" t="s">
        <v>5813</v>
      </c>
      <c r="U15" s="13" t="s">
        <v>5814</v>
      </c>
      <c r="V15" s="13" t="s">
        <v>5815</v>
      </c>
      <c r="W15" s="13" t="s">
        <v>5816</v>
      </c>
      <c r="X15" s="13" t="s">
        <v>5817</v>
      </c>
      <c r="Y15" s="13" t="s">
        <v>5818</v>
      </c>
      <c r="Z15" s="13" t="s">
        <v>5819</v>
      </c>
      <c r="AA15" s="13" t="s">
        <v>5820</v>
      </c>
      <c r="AB15" s="13" t="s">
        <v>5821</v>
      </c>
      <c r="AC15" s="13" t="s">
        <v>5822</v>
      </c>
      <c r="AD15" s="13" t="s">
        <v>5822</v>
      </c>
      <c r="AE15" s="13" t="s">
        <v>5823</v>
      </c>
      <c r="AF15" s="13" t="s">
        <v>5510</v>
      </c>
      <c r="AG15" s="13">
        <v>61.0</v>
      </c>
      <c r="AH15" s="13">
        <v>6.0</v>
      </c>
      <c r="AI15" s="13">
        <v>6.0</v>
      </c>
      <c r="AJ15" s="13">
        <v>1.0</v>
      </c>
      <c r="AK15" s="13">
        <v>13.0</v>
      </c>
      <c r="AL15" s="13" t="s">
        <v>5759</v>
      </c>
      <c r="AM15" s="13" t="s">
        <v>5760</v>
      </c>
      <c r="AN15" s="13" t="s">
        <v>5761</v>
      </c>
      <c r="AO15" s="13" t="s">
        <v>5762</v>
      </c>
      <c r="AP15" s="13" t="s">
        <v>5763</v>
      </c>
      <c r="AQ15" s="13" t="s">
        <v>5510</v>
      </c>
      <c r="AR15" s="13" t="s">
        <v>5764</v>
      </c>
      <c r="AS15" s="13" t="s">
        <v>5765</v>
      </c>
      <c r="AT15" s="13" t="s">
        <v>5824</v>
      </c>
      <c r="AU15" s="13">
        <v>2019.0</v>
      </c>
      <c r="AV15" s="13">
        <v>660.0</v>
      </c>
      <c r="AW15" s="13" t="s">
        <v>5510</v>
      </c>
      <c r="AX15" s="13" t="s">
        <v>5510</v>
      </c>
      <c r="AY15" s="13" t="s">
        <v>5510</v>
      </c>
      <c r="AZ15" s="13" t="s">
        <v>5510</v>
      </c>
      <c r="BA15" s="13" t="s">
        <v>5510</v>
      </c>
      <c r="BB15" s="13">
        <v>531.0</v>
      </c>
      <c r="BC15" s="13">
        <v>540.0</v>
      </c>
      <c r="BD15" s="13" t="s">
        <v>5510</v>
      </c>
      <c r="BE15" s="13" t="s">
        <v>5825</v>
      </c>
      <c r="BF15" s="52" t="str">
        <f>HYPERLINK("http://dx.doi.org/10.1016/j.scitotenv.2018.12.203","http://dx.doi.org/10.1016/j.scitotenv.2018.12.203")</f>
        <v>http://dx.doi.org/10.1016/j.scitotenv.2018.12.203</v>
      </c>
      <c r="BG15" s="13" t="s">
        <v>5510</v>
      </c>
      <c r="BH15" s="13" t="s">
        <v>5510</v>
      </c>
      <c r="BI15" s="13">
        <v>10.0</v>
      </c>
      <c r="BJ15" s="13" t="s">
        <v>5768</v>
      </c>
      <c r="BK15" s="13" t="s">
        <v>5561</v>
      </c>
      <c r="BL15" s="13" t="s">
        <v>5535</v>
      </c>
      <c r="BM15" s="13" t="s">
        <v>5826</v>
      </c>
      <c r="BN15" s="13">
        <v>3.064012E7</v>
      </c>
      <c r="BO15" s="13" t="s">
        <v>5510</v>
      </c>
      <c r="BP15" s="13" t="s">
        <v>5510</v>
      </c>
      <c r="BQ15" s="13" t="s">
        <v>5510</v>
      </c>
      <c r="BR15" s="13" t="s">
        <v>5538</v>
      </c>
      <c r="BS15" s="13" t="s">
        <v>5827</v>
      </c>
      <c r="BT15" s="13">
        <v>23698.0</v>
      </c>
      <c r="BU15" s="13" t="s">
        <v>5540</v>
      </c>
      <c r="BV15" s="13" t="s">
        <v>4856</v>
      </c>
      <c r="BW15" s="13" t="str">
        <f>VLOOKUP($BT15,Enriched!$A$2:$E$1070,5,false)</f>
        <v>["Pollution"]</v>
      </c>
      <c r="BX15" s="13" t="str">
        <f>VLOOKUP($BT15,Enriched!$A$2:$E$1070,4,false)</f>
        <v>["Industrial &amp; military effluents"]</v>
      </c>
      <c r="BY15" s="13" t="b">
        <f>VLOOKUP(BT15,Enriched!$A$1:$AA$1070,27,falsE)</f>
        <v>0</v>
      </c>
      <c r="BZ15" s="2" t="str">
        <f>VLOOKUP(BT15,Enriched!$A$1:$AA$1070,14,falsE)</f>
        <v>level2</v>
      </c>
      <c r="CA15" s="13" t="str">
        <f>HYPERLINK("https%3A%2F%2Fwww.webofscience.com%2Fwos%2Fwoscc%2Ffull-record%2FWOS:000457725700053","View Full Record in Web of Science")</f>
        <v>View Full Record in Web of Science</v>
      </c>
    </row>
    <row r="16" ht="12.75" customHeight="1">
      <c r="A16" s="13" t="s">
        <v>5508</v>
      </c>
      <c r="B16" s="13" t="s">
        <v>5828</v>
      </c>
      <c r="C16" s="13" t="s">
        <v>5510</v>
      </c>
      <c r="D16" s="13" t="s">
        <v>5510</v>
      </c>
      <c r="E16" s="13" t="s">
        <v>5510</v>
      </c>
      <c r="F16" s="13" t="s">
        <v>5829</v>
      </c>
      <c r="G16" s="13" t="s">
        <v>5510</v>
      </c>
      <c r="H16" s="13" t="s">
        <v>5510</v>
      </c>
      <c r="I16" s="13" t="s">
        <v>5830</v>
      </c>
      <c r="J16" s="13" t="s">
        <v>5543</v>
      </c>
      <c r="K16" s="13" t="s">
        <v>5510</v>
      </c>
      <c r="L16" s="13" t="s">
        <v>5510</v>
      </c>
      <c r="M16" s="13" t="s">
        <v>5513</v>
      </c>
      <c r="N16" s="13" t="s">
        <v>5514</v>
      </c>
      <c r="O16" s="13" t="s">
        <v>5510</v>
      </c>
      <c r="P16" s="13" t="s">
        <v>5510</v>
      </c>
      <c r="Q16" s="13" t="s">
        <v>5510</v>
      </c>
      <c r="R16" s="13" t="s">
        <v>5510</v>
      </c>
      <c r="S16" s="13" t="s">
        <v>5510</v>
      </c>
      <c r="T16" s="13" t="s">
        <v>5510</v>
      </c>
      <c r="U16" s="13" t="s">
        <v>5831</v>
      </c>
      <c r="V16" s="13" t="s">
        <v>5832</v>
      </c>
      <c r="W16" s="13" t="s">
        <v>5833</v>
      </c>
      <c r="X16" s="13" t="s">
        <v>5834</v>
      </c>
      <c r="Y16" s="13" t="s">
        <v>5835</v>
      </c>
      <c r="Z16" s="13" t="s">
        <v>5836</v>
      </c>
      <c r="AA16" s="13" t="s">
        <v>5837</v>
      </c>
      <c r="AB16" s="13" t="s">
        <v>5838</v>
      </c>
      <c r="AC16" s="13" t="s">
        <v>5839</v>
      </c>
      <c r="AD16" s="13" t="s">
        <v>5840</v>
      </c>
      <c r="AE16" s="13" t="s">
        <v>5841</v>
      </c>
      <c r="AF16" s="13" t="s">
        <v>5510</v>
      </c>
      <c r="AG16" s="13">
        <v>33.0</v>
      </c>
      <c r="AH16" s="13">
        <v>23.0</v>
      </c>
      <c r="AI16" s="13">
        <v>24.0</v>
      </c>
      <c r="AJ16" s="13">
        <v>1.0</v>
      </c>
      <c r="AK16" s="13">
        <v>50.0</v>
      </c>
      <c r="AL16" s="13" t="s">
        <v>5552</v>
      </c>
      <c r="AM16" s="13" t="s">
        <v>5553</v>
      </c>
      <c r="AN16" s="13" t="s">
        <v>5554</v>
      </c>
      <c r="AO16" s="13" t="s">
        <v>5555</v>
      </c>
      <c r="AP16" s="13" t="s">
        <v>5510</v>
      </c>
      <c r="AQ16" s="13" t="s">
        <v>5510</v>
      </c>
      <c r="AR16" s="13" t="s">
        <v>5543</v>
      </c>
      <c r="AS16" s="13" t="s">
        <v>5556</v>
      </c>
      <c r="AT16" s="13" t="s">
        <v>5842</v>
      </c>
      <c r="AU16" s="13">
        <v>2015.0</v>
      </c>
      <c r="AV16" s="13">
        <v>10.0</v>
      </c>
      <c r="AW16" s="13">
        <v>10.0</v>
      </c>
      <c r="AX16" s="13" t="s">
        <v>5510</v>
      </c>
      <c r="AY16" s="13" t="s">
        <v>5510</v>
      </c>
      <c r="AZ16" s="13" t="s">
        <v>5510</v>
      </c>
      <c r="BA16" s="13" t="s">
        <v>5510</v>
      </c>
      <c r="BB16" s="13" t="s">
        <v>5510</v>
      </c>
      <c r="BC16" s="13" t="s">
        <v>5510</v>
      </c>
      <c r="BD16" s="13" t="s">
        <v>5843</v>
      </c>
      <c r="BE16" s="13" t="s">
        <v>5844</v>
      </c>
      <c r="BF16" s="52" t="str">
        <f>HYPERLINK("http://dx.doi.org/10.1371/journal.pone.0141396","http://dx.doi.org/10.1371/journal.pone.0141396")</f>
        <v>http://dx.doi.org/10.1371/journal.pone.0141396</v>
      </c>
      <c r="BG16" s="13" t="s">
        <v>5510</v>
      </c>
      <c r="BH16" s="13" t="s">
        <v>5510</v>
      </c>
      <c r="BI16" s="13">
        <v>17.0</v>
      </c>
      <c r="BJ16" s="13" t="s">
        <v>5560</v>
      </c>
      <c r="BK16" s="13" t="s">
        <v>5561</v>
      </c>
      <c r="BL16" s="13" t="s">
        <v>5562</v>
      </c>
      <c r="BM16" s="13" t="s">
        <v>5845</v>
      </c>
      <c r="BN16" s="13">
        <v>2.6492091E7</v>
      </c>
      <c r="BO16" s="13" t="s">
        <v>5564</v>
      </c>
      <c r="BP16" s="13" t="s">
        <v>5510</v>
      </c>
      <c r="BQ16" s="13" t="s">
        <v>5510</v>
      </c>
      <c r="BR16" s="13" t="s">
        <v>5538</v>
      </c>
      <c r="BS16" s="13" t="s">
        <v>5846</v>
      </c>
      <c r="BT16" s="13">
        <v>25796.0</v>
      </c>
      <c r="BU16" s="13" t="s">
        <v>5540</v>
      </c>
      <c r="BV16" s="13" t="s">
        <v>4864</v>
      </c>
      <c r="BW16" s="13" t="str">
        <f>VLOOKUP($BT16,Enriched!$A$2:$E$1070,5,false)</f>
        <v>["Biological resource use"]</v>
      </c>
      <c r="BX16" s="13" t="str">
        <f>VLOOKUP($BT16,Enriched!$A$2:$E$1070,4,false)</f>
        <v>["Fishing &amp; harvesting aquatic resources"]</v>
      </c>
      <c r="BY16" s="13" t="b">
        <f>VLOOKUP(BT16,Enriched!$A$1:$AA$1070,27,falsE)</f>
        <v>0</v>
      </c>
      <c r="BZ16" s="2" t="str">
        <f>VLOOKUP(BT16,Enriched!$A$1:$AA$1070,14,falsE)</f>
        <v>level2</v>
      </c>
      <c r="CA16" s="13" t="str">
        <f>HYPERLINK("https%3A%2F%2Fwww.webofscience.com%2Fwos%2Fwoscc%2Ffull-record%2FWOS:000363249300049","View Full Record in Web of Science")</f>
        <v>View Full Record in Web of Science</v>
      </c>
    </row>
    <row r="17" ht="12.75" customHeight="1">
      <c r="A17" s="13" t="s">
        <v>5508</v>
      </c>
      <c r="B17" s="13" t="s">
        <v>5847</v>
      </c>
      <c r="C17" s="13" t="s">
        <v>5510</v>
      </c>
      <c r="D17" s="13" t="s">
        <v>5510</v>
      </c>
      <c r="E17" s="13" t="s">
        <v>5510</v>
      </c>
      <c r="F17" s="13" t="s">
        <v>5848</v>
      </c>
      <c r="G17" s="13" t="s">
        <v>5510</v>
      </c>
      <c r="H17" s="13" t="s">
        <v>5510</v>
      </c>
      <c r="I17" s="13" t="s">
        <v>3062</v>
      </c>
      <c r="J17" s="13" t="s">
        <v>5849</v>
      </c>
      <c r="K17" s="13" t="s">
        <v>5510</v>
      </c>
      <c r="L17" s="13" t="s">
        <v>5510</v>
      </c>
      <c r="M17" s="13" t="s">
        <v>5513</v>
      </c>
      <c r="N17" s="13" t="s">
        <v>5514</v>
      </c>
      <c r="O17" s="13" t="s">
        <v>5510</v>
      </c>
      <c r="P17" s="13" t="s">
        <v>5510</v>
      </c>
      <c r="Q17" s="13" t="s">
        <v>5510</v>
      </c>
      <c r="R17" s="13" t="s">
        <v>5510</v>
      </c>
      <c r="S17" s="13" t="s">
        <v>5510</v>
      </c>
      <c r="T17" s="13" t="s">
        <v>5850</v>
      </c>
      <c r="U17" s="13" t="s">
        <v>5851</v>
      </c>
      <c r="V17" s="13" t="s">
        <v>5852</v>
      </c>
      <c r="W17" s="13" t="s">
        <v>5853</v>
      </c>
      <c r="X17" s="13" t="s">
        <v>5854</v>
      </c>
      <c r="Y17" s="13" t="s">
        <v>5855</v>
      </c>
      <c r="Z17" s="13" t="s">
        <v>5856</v>
      </c>
      <c r="AA17" s="13" t="s">
        <v>5857</v>
      </c>
      <c r="AB17" s="13" t="s">
        <v>5858</v>
      </c>
      <c r="AC17" s="13" t="s">
        <v>5859</v>
      </c>
      <c r="AD17" s="13" t="s">
        <v>5860</v>
      </c>
      <c r="AE17" s="13" t="s">
        <v>5861</v>
      </c>
      <c r="AF17" s="13" t="s">
        <v>5510</v>
      </c>
      <c r="AG17" s="13">
        <v>105.0</v>
      </c>
      <c r="AH17" s="13">
        <v>46.0</v>
      </c>
      <c r="AI17" s="13">
        <v>49.0</v>
      </c>
      <c r="AJ17" s="13">
        <v>2.0</v>
      </c>
      <c r="AK17" s="13">
        <v>36.0</v>
      </c>
      <c r="AL17" s="13" t="s">
        <v>5527</v>
      </c>
      <c r="AM17" s="13" t="s">
        <v>5528</v>
      </c>
      <c r="AN17" s="13" t="s">
        <v>5529</v>
      </c>
      <c r="AO17" s="13" t="s">
        <v>5862</v>
      </c>
      <c r="AP17" s="13" t="s">
        <v>5863</v>
      </c>
      <c r="AQ17" s="13" t="s">
        <v>5510</v>
      </c>
      <c r="AR17" s="13" t="s">
        <v>5864</v>
      </c>
      <c r="AS17" s="13" t="s">
        <v>5865</v>
      </c>
      <c r="AT17" s="13" t="s">
        <v>5866</v>
      </c>
      <c r="AU17" s="13">
        <v>2021.0</v>
      </c>
      <c r="AV17" s="13">
        <v>31.0</v>
      </c>
      <c r="AW17" s="13">
        <v>5.0</v>
      </c>
      <c r="AX17" s="13" t="s">
        <v>5510</v>
      </c>
      <c r="AY17" s="13" t="s">
        <v>5510</v>
      </c>
      <c r="AZ17" s="13" t="s">
        <v>5646</v>
      </c>
      <c r="BA17" s="13" t="s">
        <v>5510</v>
      </c>
      <c r="BB17" s="13">
        <v>1136.0</v>
      </c>
      <c r="BC17" s="13">
        <v>1149.0</v>
      </c>
      <c r="BD17" s="13" t="s">
        <v>5510</v>
      </c>
      <c r="BE17" s="13" t="s">
        <v>5867</v>
      </c>
      <c r="BF17" s="52" t="str">
        <f>HYPERLINK("http://dx.doi.org/10.1002/aqc.3424","http://dx.doi.org/10.1002/aqc.3424")</f>
        <v>http://dx.doi.org/10.1002/aqc.3424</v>
      </c>
      <c r="BG17" s="13" t="s">
        <v>5510</v>
      </c>
      <c r="BH17" s="13" t="s">
        <v>5868</v>
      </c>
      <c r="BI17" s="13">
        <v>14.0</v>
      </c>
      <c r="BJ17" s="13" t="s">
        <v>5869</v>
      </c>
      <c r="BK17" s="13" t="s">
        <v>5561</v>
      </c>
      <c r="BL17" s="13" t="s">
        <v>5870</v>
      </c>
      <c r="BM17" s="13" t="s">
        <v>5871</v>
      </c>
      <c r="BN17" s="13" t="s">
        <v>5510</v>
      </c>
      <c r="BO17" s="13" t="s">
        <v>5872</v>
      </c>
      <c r="BP17" s="13" t="s">
        <v>5510</v>
      </c>
      <c r="BQ17" s="13" t="s">
        <v>5510</v>
      </c>
      <c r="BR17" s="13" t="s">
        <v>5538</v>
      </c>
      <c r="BS17" s="13" t="s">
        <v>5873</v>
      </c>
      <c r="BT17" s="13">
        <v>24474.0</v>
      </c>
      <c r="BU17" s="13" t="s">
        <v>5540</v>
      </c>
      <c r="BV17" s="13" t="s">
        <v>4852</v>
      </c>
      <c r="BW17" s="13" t="str">
        <f>VLOOKUP($BT17,Enriched!$A$2:$E$1070,5,false)</f>
        <v>["Natural system modifications"]</v>
      </c>
      <c r="BX17" s="13" t="str">
        <f>VLOOKUP($BT17,Enriched!$A$2:$E$1070,4,false)</f>
        <v>["Dams &amp; water management/use"]</v>
      </c>
      <c r="BY17" s="13" t="b">
        <f>VLOOKUP(BT17,Enriched!$A$1:$AA$1070,27,falsE)</f>
        <v>0</v>
      </c>
      <c r="BZ17" s="2" t="str">
        <f>VLOOKUP(BT17,Enriched!$A$1:$AA$1070,14,falsE)</f>
        <v>level2</v>
      </c>
      <c r="CA17" s="13" t="str">
        <f>HYPERLINK("https%3A%2F%2Fwww.webofscience.com%2Fwos%2Fwoscc%2Ffull-record%2FWOS:000559825100001","View Full Record in Web of Science")</f>
        <v>View Full Record in Web of Science</v>
      </c>
    </row>
    <row r="18" ht="12.75" customHeight="1">
      <c r="A18" s="13" t="s">
        <v>5508</v>
      </c>
      <c r="B18" s="13" t="s">
        <v>5874</v>
      </c>
      <c r="C18" s="13" t="s">
        <v>5510</v>
      </c>
      <c r="D18" s="13" t="s">
        <v>5510</v>
      </c>
      <c r="E18" s="13" t="s">
        <v>5510</v>
      </c>
      <c r="F18" s="13" t="s">
        <v>5875</v>
      </c>
      <c r="G18" s="13" t="s">
        <v>5510</v>
      </c>
      <c r="H18" s="13" t="s">
        <v>5510</v>
      </c>
      <c r="I18" s="13" t="s">
        <v>3060</v>
      </c>
      <c r="J18" s="13" t="s">
        <v>5625</v>
      </c>
      <c r="K18" s="13" t="s">
        <v>5510</v>
      </c>
      <c r="L18" s="13" t="s">
        <v>5510</v>
      </c>
      <c r="M18" s="13" t="s">
        <v>5513</v>
      </c>
      <c r="N18" s="13" t="s">
        <v>5514</v>
      </c>
      <c r="O18" s="13" t="s">
        <v>5510</v>
      </c>
      <c r="P18" s="13" t="s">
        <v>5510</v>
      </c>
      <c r="Q18" s="13" t="s">
        <v>5510</v>
      </c>
      <c r="R18" s="13" t="s">
        <v>5510</v>
      </c>
      <c r="S18" s="13" t="s">
        <v>5510</v>
      </c>
      <c r="T18" s="13" t="s">
        <v>5876</v>
      </c>
      <c r="U18" s="13" t="s">
        <v>5877</v>
      </c>
      <c r="V18" s="13" t="s">
        <v>5878</v>
      </c>
      <c r="W18" s="13" t="s">
        <v>5879</v>
      </c>
      <c r="X18" s="13" t="s">
        <v>5880</v>
      </c>
      <c r="Y18" s="13" t="s">
        <v>5881</v>
      </c>
      <c r="Z18" s="13" t="s">
        <v>5882</v>
      </c>
      <c r="AA18" s="13" t="s">
        <v>5883</v>
      </c>
      <c r="AB18" s="13" t="s">
        <v>5884</v>
      </c>
      <c r="AC18" s="13" t="s">
        <v>5885</v>
      </c>
      <c r="AD18" s="13" t="s">
        <v>5886</v>
      </c>
      <c r="AE18" s="13" t="s">
        <v>5887</v>
      </c>
      <c r="AF18" s="13" t="s">
        <v>5510</v>
      </c>
      <c r="AG18" s="13">
        <v>49.0</v>
      </c>
      <c r="AH18" s="13">
        <v>12.0</v>
      </c>
      <c r="AI18" s="13">
        <v>12.0</v>
      </c>
      <c r="AJ18" s="13">
        <v>0.0</v>
      </c>
      <c r="AK18" s="13">
        <v>18.0</v>
      </c>
      <c r="AL18" s="13" t="s">
        <v>5639</v>
      </c>
      <c r="AM18" s="13" t="s">
        <v>5640</v>
      </c>
      <c r="AN18" s="13" t="s">
        <v>5641</v>
      </c>
      <c r="AO18" s="13" t="s">
        <v>5642</v>
      </c>
      <c r="AP18" s="13" t="s">
        <v>5643</v>
      </c>
      <c r="AQ18" s="13" t="s">
        <v>5510</v>
      </c>
      <c r="AR18" s="13" t="s">
        <v>5644</v>
      </c>
      <c r="AS18" s="13" t="s">
        <v>5645</v>
      </c>
      <c r="AT18" s="13" t="s">
        <v>5888</v>
      </c>
      <c r="AU18" s="13">
        <v>2018.0</v>
      </c>
      <c r="AV18" s="13" t="s">
        <v>5510</v>
      </c>
      <c r="AW18" s="13">
        <v>29.0</v>
      </c>
      <c r="AX18" s="13" t="s">
        <v>5510</v>
      </c>
      <c r="AY18" s="13" t="s">
        <v>5510</v>
      </c>
      <c r="AZ18" s="13" t="s">
        <v>5510</v>
      </c>
      <c r="BA18" s="13" t="s">
        <v>5510</v>
      </c>
      <c r="BB18" s="13">
        <v>79.0</v>
      </c>
      <c r="BC18" s="13">
        <v>92.0</v>
      </c>
      <c r="BD18" s="13" t="s">
        <v>5510</v>
      </c>
      <c r="BE18" s="13" t="s">
        <v>5889</v>
      </c>
      <c r="BF18" s="52" t="str">
        <f>HYPERLINK("http://dx.doi.org/10.3897/natureconservation.29.28943","http://dx.doi.org/10.3897/natureconservation.29.28943")</f>
        <v>http://dx.doi.org/10.3897/natureconservation.29.28943</v>
      </c>
      <c r="BG18" s="13" t="s">
        <v>5510</v>
      </c>
      <c r="BH18" s="13" t="s">
        <v>5510</v>
      </c>
      <c r="BI18" s="13">
        <v>14.0</v>
      </c>
      <c r="BJ18" s="13" t="s">
        <v>5648</v>
      </c>
      <c r="BK18" s="13" t="s">
        <v>5561</v>
      </c>
      <c r="BL18" s="13" t="s">
        <v>5650</v>
      </c>
      <c r="BM18" s="13" t="s">
        <v>5890</v>
      </c>
      <c r="BN18" s="13" t="s">
        <v>5510</v>
      </c>
      <c r="BO18" s="13" t="s">
        <v>5564</v>
      </c>
      <c r="BP18" s="13" t="s">
        <v>5510</v>
      </c>
      <c r="BQ18" s="13" t="s">
        <v>5510</v>
      </c>
      <c r="BR18" s="13" t="s">
        <v>5538</v>
      </c>
      <c r="BS18" s="13" t="s">
        <v>5891</v>
      </c>
      <c r="BT18" s="13">
        <v>23429.0</v>
      </c>
      <c r="BU18" s="13" t="s">
        <v>5540</v>
      </c>
      <c r="BV18" s="13" t="s">
        <v>4856</v>
      </c>
      <c r="BW18" s="13" t="str">
        <f>VLOOKUP($BT18,Enriched!$A$2:$E$1070,5,false)</f>
        <v>["Human Intrusions &amp; Disturbance"]</v>
      </c>
      <c r="BX18" s="13" t="str">
        <f>VLOOKUP($BT18,Enriched!$A$2:$E$1070,4,false)</f>
        <v>["War, civil unrest &amp; military exercises"]</v>
      </c>
      <c r="BY18" s="13" t="b">
        <f>VLOOKUP(BT18,Enriched!$A$1:$AA$1070,27,falsE)</f>
        <v>0</v>
      </c>
      <c r="BZ18" s="2" t="str">
        <f>VLOOKUP(BT18,Enriched!$A$1:$AA$1070,14,falsE)</f>
        <v>level2</v>
      </c>
      <c r="CA18" s="13" t="str">
        <f>HYPERLINK("https%3A%2F%2Fwww.webofscience.com%2Fwos%2Fwoscc%2Ffull-record%2FWOS:000448239600001","View Full Record in Web of Science")</f>
        <v>View Full Record in Web of Science</v>
      </c>
    </row>
    <row r="19" ht="12.75" customHeight="1">
      <c r="A19" s="13" t="s">
        <v>5508</v>
      </c>
      <c r="B19" s="13" t="s">
        <v>5892</v>
      </c>
      <c r="C19" s="13" t="s">
        <v>5510</v>
      </c>
      <c r="D19" s="13" t="s">
        <v>5510</v>
      </c>
      <c r="E19" s="13" t="s">
        <v>5510</v>
      </c>
      <c r="F19" s="13" t="s">
        <v>5893</v>
      </c>
      <c r="G19" s="13" t="s">
        <v>5510</v>
      </c>
      <c r="H19" s="13" t="s">
        <v>5510</v>
      </c>
      <c r="I19" s="13" t="s">
        <v>5894</v>
      </c>
      <c r="J19" s="13" t="s">
        <v>5895</v>
      </c>
      <c r="K19" s="13" t="s">
        <v>5510</v>
      </c>
      <c r="L19" s="13" t="s">
        <v>5510</v>
      </c>
      <c r="M19" s="13" t="s">
        <v>5513</v>
      </c>
      <c r="N19" s="13" t="s">
        <v>5514</v>
      </c>
      <c r="O19" s="13" t="s">
        <v>5510</v>
      </c>
      <c r="P19" s="13" t="s">
        <v>5510</v>
      </c>
      <c r="Q19" s="13" t="s">
        <v>5510</v>
      </c>
      <c r="R19" s="13" t="s">
        <v>5510</v>
      </c>
      <c r="S19" s="13" t="s">
        <v>5510</v>
      </c>
      <c r="T19" s="13" t="s">
        <v>5896</v>
      </c>
      <c r="U19" s="13" t="s">
        <v>5897</v>
      </c>
      <c r="V19" s="13" t="s">
        <v>5898</v>
      </c>
      <c r="W19" s="13" t="s">
        <v>5899</v>
      </c>
      <c r="X19" s="13" t="s">
        <v>5900</v>
      </c>
      <c r="Y19" s="13" t="s">
        <v>5901</v>
      </c>
      <c r="Z19" s="13" t="s">
        <v>5902</v>
      </c>
      <c r="AA19" s="13" t="s">
        <v>5510</v>
      </c>
      <c r="AB19" s="13" t="s">
        <v>5903</v>
      </c>
      <c r="AC19" s="13" t="s">
        <v>5904</v>
      </c>
      <c r="AD19" s="13" t="s">
        <v>5905</v>
      </c>
      <c r="AE19" s="13" t="s">
        <v>5906</v>
      </c>
      <c r="AF19" s="13" t="s">
        <v>5510</v>
      </c>
      <c r="AG19" s="13">
        <v>49.0</v>
      </c>
      <c r="AH19" s="13">
        <v>101.0</v>
      </c>
      <c r="AI19" s="13">
        <v>114.0</v>
      </c>
      <c r="AJ19" s="13">
        <v>5.0</v>
      </c>
      <c r="AK19" s="13">
        <v>142.0</v>
      </c>
      <c r="AL19" s="13" t="s">
        <v>5907</v>
      </c>
      <c r="AM19" s="13" t="s">
        <v>5908</v>
      </c>
      <c r="AN19" s="13" t="s">
        <v>5909</v>
      </c>
      <c r="AO19" s="13" t="s">
        <v>5910</v>
      </c>
      <c r="AP19" s="13" t="s">
        <v>5510</v>
      </c>
      <c r="AQ19" s="13" t="s">
        <v>5510</v>
      </c>
      <c r="AR19" s="13" t="s">
        <v>5911</v>
      </c>
      <c r="AS19" s="13" t="s">
        <v>5912</v>
      </c>
      <c r="AT19" s="13" t="s">
        <v>5913</v>
      </c>
      <c r="AU19" s="13">
        <v>2018.0</v>
      </c>
      <c r="AV19" s="13">
        <v>115.0</v>
      </c>
      <c r="AW19" s="13">
        <v>29.0</v>
      </c>
      <c r="AX19" s="13" t="s">
        <v>5510</v>
      </c>
      <c r="AY19" s="13" t="s">
        <v>5510</v>
      </c>
      <c r="AZ19" s="13" t="s">
        <v>5510</v>
      </c>
      <c r="BA19" s="13" t="s">
        <v>5510</v>
      </c>
      <c r="BB19" s="13">
        <v>7617.0</v>
      </c>
      <c r="BC19" s="13">
        <v>7622.0</v>
      </c>
      <c r="BD19" s="13" t="s">
        <v>5510</v>
      </c>
      <c r="BE19" s="13" t="s">
        <v>5914</v>
      </c>
      <c r="BF19" s="52" t="str">
        <f>HYPERLINK("http://dx.doi.org/10.1073/pnas.1803543115","http://dx.doi.org/10.1073/pnas.1803543115")</f>
        <v>http://dx.doi.org/10.1073/pnas.1803543115</v>
      </c>
      <c r="BG19" s="13" t="s">
        <v>5510</v>
      </c>
      <c r="BH19" s="13" t="s">
        <v>5510</v>
      </c>
      <c r="BI19" s="13">
        <v>6.0</v>
      </c>
      <c r="BJ19" s="13" t="s">
        <v>5560</v>
      </c>
      <c r="BK19" s="13" t="s">
        <v>5534</v>
      </c>
      <c r="BL19" s="13" t="s">
        <v>5562</v>
      </c>
      <c r="BM19" s="13" t="s">
        <v>5915</v>
      </c>
      <c r="BN19" s="13">
        <v>2.9967138E7</v>
      </c>
      <c r="BO19" s="13" t="s">
        <v>5587</v>
      </c>
      <c r="BP19" s="13" t="s">
        <v>5510</v>
      </c>
      <c r="BQ19" s="13" t="s">
        <v>5510</v>
      </c>
      <c r="BR19" s="13" t="s">
        <v>5538</v>
      </c>
      <c r="BS19" s="13" t="s">
        <v>5916</v>
      </c>
      <c r="BT19" s="13">
        <v>24162.0</v>
      </c>
      <c r="BU19" s="13" t="s">
        <v>5540</v>
      </c>
      <c r="BV19" s="13" t="s">
        <v>4864</v>
      </c>
      <c r="BW19" s="13" t="str">
        <f>VLOOKUP($BT19,Enriched!$A$2:$E$1070,5,false)</f>
        <v>["Transportation &amp; Service Corridors"]</v>
      </c>
      <c r="BX19" s="13" t="str">
        <f>VLOOKUP($BT19,Enriched!$A$2:$E$1070,4,false)</f>
        <v>["Shipping lanes"]</v>
      </c>
      <c r="BY19" s="13" t="b">
        <f>VLOOKUP(BT19,Enriched!$A$1:$AA$1070,27,falsE)</f>
        <v>0</v>
      </c>
      <c r="BZ19" s="2" t="str">
        <f>VLOOKUP(BT19,Enriched!$A$1:$AA$1070,14,falsE)</f>
        <v>level2</v>
      </c>
      <c r="CA19" s="13" t="str">
        <f>HYPERLINK("https%3A%2F%2Fwww.webofscience.com%2Fwos%2Fwoscc%2Ffull-record%2FWOS:000438892600069","View Full Record in Web of Science")</f>
        <v>View Full Record in Web of Science</v>
      </c>
    </row>
    <row r="20" ht="12.75" customHeight="1">
      <c r="A20" s="13" t="s">
        <v>5508</v>
      </c>
      <c r="B20" s="13" t="s">
        <v>5917</v>
      </c>
      <c r="C20" s="13" t="s">
        <v>5510</v>
      </c>
      <c r="D20" s="13" t="s">
        <v>5510</v>
      </c>
      <c r="E20" s="13" t="s">
        <v>5510</v>
      </c>
      <c r="F20" s="13" t="s">
        <v>5918</v>
      </c>
      <c r="G20" s="13" t="s">
        <v>5510</v>
      </c>
      <c r="H20" s="13" t="s">
        <v>5510</v>
      </c>
      <c r="I20" s="13" t="s">
        <v>3051</v>
      </c>
      <c r="J20" s="13" t="s">
        <v>5919</v>
      </c>
      <c r="K20" s="13" t="s">
        <v>5510</v>
      </c>
      <c r="L20" s="13" t="s">
        <v>5510</v>
      </c>
      <c r="M20" s="13" t="s">
        <v>5513</v>
      </c>
      <c r="N20" s="13" t="s">
        <v>5514</v>
      </c>
      <c r="O20" s="13" t="s">
        <v>5510</v>
      </c>
      <c r="P20" s="13" t="s">
        <v>5510</v>
      </c>
      <c r="Q20" s="13" t="s">
        <v>5510</v>
      </c>
      <c r="R20" s="13" t="s">
        <v>5510</v>
      </c>
      <c r="S20" s="13" t="s">
        <v>5510</v>
      </c>
      <c r="T20" s="13" t="s">
        <v>5920</v>
      </c>
      <c r="U20" s="13" t="s">
        <v>5921</v>
      </c>
      <c r="V20" s="13" t="s">
        <v>5922</v>
      </c>
      <c r="W20" s="13" t="s">
        <v>5923</v>
      </c>
      <c r="X20" s="13" t="s">
        <v>5777</v>
      </c>
      <c r="Y20" s="13" t="s">
        <v>5924</v>
      </c>
      <c r="Z20" s="13" t="s">
        <v>5925</v>
      </c>
      <c r="AA20" s="13" t="s">
        <v>5926</v>
      </c>
      <c r="AB20" s="13" t="s">
        <v>5927</v>
      </c>
      <c r="AC20" s="13" t="s">
        <v>5928</v>
      </c>
      <c r="AD20" s="13" t="s">
        <v>5929</v>
      </c>
      <c r="AE20" s="13" t="s">
        <v>5930</v>
      </c>
      <c r="AF20" s="13" t="s">
        <v>5510</v>
      </c>
      <c r="AG20" s="13">
        <v>73.0</v>
      </c>
      <c r="AH20" s="13">
        <v>150.0</v>
      </c>
      <c r="AI20" s="13">
        <v>176.0</v>
      </c>
      <c r="AJ20" s="13">
        <v>3.0</v>
      </c>
      <c r="AK20" s="13">
        <v>119.0</v>
      </c>
      <c r="AL20" s="13" t="s">
        <v>5931</v>
      </c>
      <c r="AM20" s="13" t="s">
        <v>5932</v>
      </c>
      <c r="AN20" s="13" t="s">
        <v>5933</v>
      </c>
      <c r="AO20" s="13" t="s">
        <v>5934</v>
      </c>
      <c r="AP20" s="13" t="s">
        <v>5935</v>
      </c>
      <c r="AQ20" s="13" t="s">
        <v>5510</v>
      </c>
      <c r="AR20" s="13" t="s">
        <v>5936</v>
      </c>
      <c r="AS20" s="13" t="s">
        <v>5937</v>
      </c>
      <c r="AT20" s="13" t="s">
        <v>1453</v>
      </c>
      <c r="AU20" s="13">
        <v>2015.0</v>
      </c>
      <c r="AV20" s="13">
        <v>191.0</v>
      </c>
      <c r="AW20" s="13" t="s">
        <v>5510</v>
      </c>
      <c r="AX20" s="13" t="s">
        <v>5510</v>
      </c>
      <c r="AY20" s="13" t="s">
        <v>5510</v>
      </c>
      <c r="AZ20" s="13" t="s">
        <v>5510</v>
      </c>
      <c r="BA20" s="13" t="s">
        <v>5510</v>
      </c>
      <c r="BB20" s="13">
        <v>234.0</v>
      </c>
      <c r="BC20" s="13">
        <v>242.0</v>
      </c>
      <c r="BD20" s="13" t="s">
        <v>5510</v>
      </c>
      <c r="BE20" s="13" t="s">
        <v>5938</v>
      </c>
      <c r="BF20" s="52" t="str">
        <f>HYPERLINK("http://dx.doi.org/10.1016/j.biocon.2015.06.010","http://dx.doi.org/10.1016/j.biocon.2015.06.010")</f>
        <v>http://dx.doi.org/10.1016/j.biocon.2015.06.010</v>
      </c>
      <c r="BG20" s="13" t="s">
        <v>5510</v>
      </c>
      <c r="BH20" s="13" t="s">
        <v>5510</v>
      </c>
      <c r="BI20" s="13">
        <v>9.0</v>
      </c>
      <c r="BJ20" s="13" t="s">
        <v>5698</v>
      </c>
      <c r="BK20" s="13" t="s">
        <v>5561</v>
      </c>
      <c r="BL20" s="13" t="s">
        <v>5699</v>
      </c>
      <c r="BM20" s="13" t="s">
        <v>5939</v>
      </c>
      <c r="BN20" s="13" t="s">
        <v>5510</v>
      </c>
      <c r="BO20" s="13" t="s">
        <v>5510</v>
      </c>
      <c r="BP20" s="13" t="s">
        <v>5510</v>
      </c>
      <c r="BQ20" s="13" t="s">
        <v>5510</v>
      </c>
      <c r="BR20" s="13" t="s">
        <v>5538</v>
      </c>
      <c r="BS20" s="13" t="s">
        <v>5940</v>
      </c>
      <c r="BT20" s="13">
        <v>23647.0</v>
      </c>
      <c r="BU20" s="13" t="s">
        <v>5540</v>
      </c>
      <c r="BV20" s="13" t="s">
        <v>4856</v>
      </c>
      <c r="BW20" s="13" t="str">
        <f>VLOOKUP($BT20,Enriched!$A$2:$E$1070,5,false)</f>
        <v>["Transportation &amp; Service Corridors"]</v>
      </c>
      <c r="BX20" s="13" t="str">
        <f>VLOOKUP($BT20,Enriched!$A$2:$E$1070,4,false)</f>
        <v>["Roads &amp; railroads"]</v>
      </c>
      <c r="BY20" s="13" t="b">
        <f>VLOOKUP(BT20,Enriched!$A$1:$AA$1070,27,falsE)</f>
        <v>0</v>
      </c>
      <c r="BZ20" s="2" t="str">
        <f>VLOOKUP(BT20,Enriched!$A$1:$AA$1070,14,falsE)</f>
        <v>level2</v>
      </c>
      <c r="CA20" s="13" t="str">
        <f>HYPERLINK("https%3A%2F%2Fwww.webofscience.com%2Fwos%2Fwoscc%2Ffull-record%2FWOS:000364257100026","View Full Record in Web of Science")</f>
        <v>View Full Record in Web of Science</v>
      </c>
    </row>
    <row r="21" ht="12.75" customHeight="1">
      <c r="A21" s="13" t="s">
        <v>5508</v>
      </c>
      <c r="B21" s="13" t="s">
        <v>5941</v>
      </c>
      <c r="C21" s="13" t="s">
        <v>5510</v>
      </c>
      <c r="D21" s="13" t="s">
        <v>5510</v>
      </c>
      <c r="E21" s="13" t="s">
        <v>5510</v>
      </c>
      <c r="F21" s="13" t="s">
        <v>5942</v>
      </c>
      <c r="G21" s="13" t="s">
        <v>5510</v>
      </c>
      <c r="H21" s="13" t="s">
        <v>5510</v>
      </c>
      <c r="I21" s="13" t="s">
        <v>3048</v>
      </c>
      <c r="J21" s="13" t="s">
        <v>5943</v>
      </c>
      <c r="K21" s="13" t="s">
        <v>5510</v>
      </c>
      <c r="L21" s="13" t="s">
        <v>5510</v>
      </c>
      <c r="M21" s="13" t="s">
        <v>5513</v>
      </c>
      <c r="N21" s="13" t="s">
        <v>5514</v>
      </c>
      <c r="O21" s="13" t="s">
        <v>5510</v>
      </c>
      <c r="P21" s="13" t="s">
        <v>5510</v>
      </c>
      <c r="Q21" s="13" t="s">
        <v>5510</v>
      </c>
      <c r="R21" s="13" t="s">
        <v>5510</v>
      </c>
      <c r="S21" s="13" t="s">
        <v>5510</v>
      </c>
      <c r="T21" s="13" t="s">
        <v>5944</v>
      </c>
      <c r="U21" s="13" t="s">
        <v>5945</v>
      </c>
      <c r="V21" s="13" t="s">
        <v>5946</v>
      </c>
      <c r="W21" s="13" t="s">
        <v>5947</v>
      </c>
      <c r="X21" s="13" t="s">
        <v>5948</v>
      </c>
      <c r="Y21" s="13" t="s">
        <v>5949</v>
      </c>
      <c r="Z21" s="13" t="s">
        <v>5950</v>
      </c>
      <c r="AA21" s="13" t="s">
        <v>5951</v>
      </c>
      <c r="AB21" s="13" t="s">
        <v>5952</v>
      </c>
      <c r="AC21" s="13" t="s">
        <v>5510</v>
      </c>
      <c r="AD21" s="13" t="s">
        <v>5510</v>
      </c>
      <c r="AE21" s="13" t="s">
        <v>5510</v>
      </c>
      <c r="AF21" s="13" t="s">
        <v>5510</v>
      </c>
      <c r="AG21" s="13">
        <v>50.0</v>
      </c>
      <c r="AH21" s="13">
        <v>64.0</v>
      </c>
      <c r="AI21" s="13">
        <v>75.0</v>
      </c>
      <c r="AJ21" s="13">
        <v>2.0</v>
      </c>
      <c r="AK21" s="13">
        <v>99.0</v>
      </c>
      <c r="AL21" s="13" t="s">
        <v>5527</v>
      </c>
      <c r="AM21" s="13" t="s">
        <v>5528</v>
      </c>
      <c r="AN21" s="13" t="s">
        <v>5529</v>
      </c>
      <c r="AO21" s="13" t="s">
        <v>5953</v>
      </c>
      <c r="AP21" s="13" t="s">
        <v>5954</v>
      </c>
      <c r="AQ21" s="13" t="s">
        <v>5510</v>
      </c>
      <c r="AR21" s="13" t="s">
        <v>5955</v>
      </c>
      <c r="AS21" s="13" t="s">
        <v>5956</v>
      </c>
      <c r="AT21" s="13" t="s">
        <v>5720</v>
      </c>
      <c r="AU21" s="13">
        <v>2017.0</v>
      </c>
      <c r="AV21" s="13">
        <v>54.0</v>
      </c>
      <c r="AW21" s="13">
        <v>3.0</v>
      </c>
      <c r="AX21" s="13" t="s">
        <v>5510</v>
      </c>
      <c r="AY21" s="13" t="s">
        <v>5510</v>
      </c>
      <c r="AZ21" s="13" t="s">
        <v>5510</v>
      </c>
      <c r="BA21" s="13" t="s">
        <v>5510</v>
      </c>
      <c r="BB21" s="13">
        <v>805.0</v>
      </c>
      <c r="BC21" s="13">
        <v>814.0</v>
      </c>
      <c r="BD21" s="13" t="s">
        <v>5510</v>
      </c>
      <c r="BE21" s="13" t="s">
        <v>5957</v>
      </c>
      <c r="BF21" s="52" t="str">
        <f>HYPERLINK("http://dx.doi.org/10.1111/1365-2664.12798","http://dx.doi.org/10.1111/1365-2664.12798")</f>
        <v>http://dx.doi.org/10.1111/1365-2664.12798</v>
      </c>
      <c r="BG21" s="13" t="s">
        <v>5510</v>
      </c>
      <c r="BH21" s="13" t="s">
        <v>5510</v>
      </c>
      <c r="BI21" s="13">
        <v>10.0</v>
      </c>
      <c r="BJ21" s="13" t="s">
        <v>5958</v>
      </c>
      <c r="BK21" s="13" t="s">
        <v>5561</v>
      </c>
      <c r="BL21" s="13" t="s">
        <v>5699</v>
      </c>
      <c r="BM21" s="13" t="s">
        <v>5959</v>
      </c>
      <c r="BN21" s="13" t="s">
        <v>5510</v>
      </c>
      <c r="BO21" s="13" t="s">
        <v>5587</v>
      </c>
      <c r="BP21" s="13" t="s">
        <v>5510</v>
      </c>
      <c r="BQ21" s="13" t="s">
        <v>5510</v>
      </c>
      <c r="BR21" s="13" t="s">
        <v>5538</v>
      </c>
      <c r="BS21" s="13" t="s">
        <v>5960</v>
      </c>
      <c r="BT21" s="13">
        <v>24416.0</v>
      </c>
      <c r="BU21" s="13" t="s">
        <v>5540</v>
      </c>
      <c r="BV21" s="13" t="s">
        <v>4856</v>
      </c>
      <c r="BW21" s="13" t="str">
        <f>VLOOKUP($BT21,Enriched!$A$2:$E$1070,5,false)</f>
        <v>["Biological resource use"]</v>
      </c>
      <c r="BX21" s="13" t="str">
        <f>VLOOKUP($BT21,Enriched!$A$2:$E$1070,4,false)</f>
        <v>["Hunting &amp; collecting terrestrial animals"]</v>
      </c>
      <c r="BY21" s="13" t="b">
        <f>VLOOKUP(BT21,Enriched!$A$1:$AA$1070,27,falsE)</f>
        <v>0</v>
      </c>
      <c r="BZ21" s="2" t="str">
        <f>VLOOKUP(BT21,Enriched!$A$1:$AA$1070,14,falsE)</f>
        <v>level2</v>
      </c>
      <c r="CA21" s="13" t="str">
        <f>HYPERLINK("https%3A%2F%2Fwww.webofscience.com%2Fwos%2Fwoscc%2Ffull-record%2FWOS:000401239100014","View Full Record in Web of Science")</f>
        <v>View Full Record in Web of Science</v>
      </c>
    </row>
    <row r="22" ht="12.75" customHeight="1">
      <c r="A22" s="13" t="s">
        <v>5508</v>
      </c>
      <c r="B22" s="13" t="s">
        <v>5961</v>
      </c>
      <c r="C22" s="13" t="s">
        <v>5510</v>
      </c>
      <c r="D22" s="13" t="s">
        <v>5510</v>
      </c>
      <c r="E22" s="13" t="s">
        <v>5510</v>
      </c>
      <c r="F22" s="13" t="s">
        <v>5962</v>
      </c>
      <c r="G22" s="13" t="s">
        <v>5510</v>
      </c>
      <c r="H22" s="13" t="s">
        <v>5510</v>
      </c>
      <c r="I22" s="13" t="s">
        <v>3045</v>
      </c>
      <c r="J22" s="13" t="s">
        <v>5963</v>
      </c>
      <c r="K22" s="13" t="s">
        <v>5510</v>
      </c>
      <c r="L22" s="13" t="s">
        <v>5510</v>
      </c>
      <c r="M22" s="13" t="s">
        <v>5513</v>
      </c>
      <c r="N22" s="13" t="s">
        <v>5514</v>
      </c>
      <c r="O22" s="13" t="s">
        <v>5510</v>
      </c>
      <c r="P22" s="13" t="s">
        <v>5510</v>
      </c>
      <c r="Q22" s="13" t="s">
        <v>5510</v>
      </c>
      <c r="R22" s="13" t="s">
        <v>5510</v>
      </c>
      <c r="S22" s="13" t="s">
        <v>5510</v>
      </c>
      <c r="T22" s="13" t="s">
        <v>5964</v>
      </c>
      <c r="U22" s="13" t="s">
        <v>5965</v>
      </c>
      <c r="V22" s="13" t="s">
        <v>5966</v>
      </c>
      <c r="W22" s="13" t="s">
        <v>5967</v>
      </c>
      <c r="X22" s="13" t="s">
        <v>5968</v>
      </c>
      <c r="Y22" s="13" t="s">
        <v>5969</v>
      </c>
      <c r="Z22" s="13" t="s">
        <v>5970</v>
      </c>
      <c r="AA22" s="13" t="s">
        <v>5971</v>
      </c>
      <c r="AB22" s="13" t="s">
        <v>5972</v>
      </c>
      <c r="AC22" s="13" t="s">
        <v>5973</v>
      </c>
      <c r="AD22" s="13" t="s">
        <v>5973</v>
      </c>
      <c r="AE22" s="13" t="s">
        <v>5974</v>
      </c>
      <c r="AF22" s="13" t="s">
        <v>5510</v>
      </c>
      <c r="AG22" s="13">
        <v>69.0</v>
      </c>
      <c r="AH22" s="13">
        <v>113.0</v>
      </c>
      <c r="AI22" s="13">
        <v>135.0</v>
      </c>
      <c r="AJ22" s="13">
        <v>1.0</v>
      </c>
      <c r="AK22" s="13">
        <v>180.0</v>
      </c>
      <c r="AL22" s="13" t="s">
        <v>5690</v>
      </c>
      <c r="AM22" s="13" t="s">
        <v>5691</v>
      </c>
      <c r="AN22" s="13" t="s">
        <v>5692</v>
      </c>
      <c r="AO22" s="13" t="s">
        <v>5975</v>
      </c>
      <c r="AP22" s="13" t="s">
        <v>5510</v>
      </c>
      <c r="AQ22" s="13" t="s">
        <v>5510</v>
      </c>
      <c r="AR22" s="13" t="s">
        <v>5976</v>
      </c>
      <c r="AS22" s="13" t="s">
        <v>5977</v>
      </c>
      <c r="AT22" s="13" t="s">
        <v>5978</v>
      </c>
      <c r="AU22" s="13">
        <v>2012.0</v>
      </c>
      <c r="AV22" s="13">
        <v>184.0</v>
      </c>
      <c r="AW22" s="13">
        <v>12.0</v>
      </c>
      <c r="AX22" s="13" t="s">
        <v>5510</v>
      </c>
      <c r="AY22" s="13" t="s">
        <v>5510</v>
      </c>
      <c r="AZ22" s="13" t="s">
        <v>5510</v>
      </c>
      <c r="BA22" s="13" t="s">
        <v>5510</v>
      </c>
      <c r="BB22" s="13">
        <v>7473.0</v>
      </c>
      <c r="BC22" s="13">
        <v>7489.0</v>
      </c>
      <c r="BD22" s="13" t="s">
        <v>5510</v>
      </c>
      <c r="BE22" s="13" t="s">
        <v>5979</v>
      </c>
      <c r="BF22" s="52" t="str">
        <f>HYPERLINK("http://dx.doi.org/10.1007/s10661-011-2514-8","http://dx.doi.org/10.1007/s10661-011-2514-8")</f>
        <v>http://dx.doi.org/10.1007/s10661-011-2514-8</v>
      </c>
      <c r="BG22" s="13" t="s">
        <v>5510</v>
      </c>
      <c r="BH22" s="13" t="s">
        <v>5510</v>
      </c>
      <c r="BI22" s="13">
        <v>17.0</v>
      </c>
      <c r="BJ22" s="13" t="s">
        <v>5768</v>
      </c>
      <c r="BK22" s="13" t="s">
        <v>5561</v>
      </c>
      <c r="BL22" s="13" t="s">
        <v>5535</v>
      </c>
      <c r="BM22" s="13" t="s">
        <v>5980</v>
      </c>
      <c r="BN22" s="13">
        <v>2.2278677E7</v>
      </c>
      <c r="BO22" s="13" t="s">
        <v>5510</v>
      </c>
      <c r="BP22" s="13" t="s">
        <v>5510</v>
      </c>
      <c r="BQ22" s="13" t="s">
        <v>5510</v>
      </c>
      <c r="BR22" s="13" t="s">
        <v>5538</v>
      </c>
      <c r="BS22" s="13" t="s">
        <v>5981</v>
      </c>
      <c r="BT22" s="13">
        <v>24389.0</v>
      </c>
      <c r="BU22" s="13" t="s">
        <v>5540</v>
      </c>
      <c r="BV22" s="13" t="s">
        <v>4856</v>
      </c>
      <c r="BW22" s="13" t="str">
        <f>VLOOKUP($BT22,Enriched!$A$2:$E$1070,5,false)</f>
        <v>["Agriculture &amp; Aquaculture", "Natural System Modifications"]</v>
      </c>
      <c r="BX22" s="13" t="str">
        <f>VLOOKUP($BT22,Enriched!$A$2:$E$1070,4,false)</f>
        <v>["Fire &amp; fire suppression"]</v>
      </c>
      <c r="BY22" s="13" t="b">
        <f>VLOOKUP(BT22,Enriched!$A$1:$AA$1070,27,falsE)</f>
        <v>1</v>
      </c>
      <c r="BZ22" s="2" t="str">
        <f>VLOOKUP(BT22,Enriched!$A$1:$AA$1070,14,falsE)</f>
        <v>level2</v>
      </c>
      <c r="CA22" s="13" t="str">
        <f>HYPERLINK("https%3A%2F%2Fwww.webofscience.com%2Fwos%2Fwoscc%2Ffull-record%2FWOS:000310742200033","View Full Record in Web of Science")</f>
        <v>View Full Record in Web of Science</v>
      </c>
    </row>
    <row r="23" ht="12.75" customHeight="1">
      <c r="A23" s="13" t="s">
        <v>5508</v>
      </c>
      <c r="B23" s="13" t="s">
        <v>5982</v>
      </c>
      <c r="C23" s="13" t="s">
        <v>5510</v>
      </c>
      <c r="D23" s="13" t="s">
        <v>5510</v>
      </c>
      <c r="E23" s="13" t="s">
        <v>5510</v>
      </c>
      <c r="F23" s="13" t="s">
        <v>5983</v>
      </c>
      <c r="G23" s="13" t="s">
        <v>5510</v>
      </c>
      <c r="H23" s="13" t="s">
        <v>5510</v>
      </c>
      <c r="I23" s="13" t="s">
        <v>5984</v>
      </c>
      <c r="J23" s="13" t="s">
        <v>5985</v>
      </c>
      <c r="K23" s="13" t="s">
        <v>5510</v>
      </c>
      <c r="L23" s="13" t="s">
        <v>5510</v>
      </c>
      <c r="M23" s="13" t="s">
        <v>5513</v>
      </c>
      <c r="N23" s="13" t="s">
        <v>5514</v>
      </c>
      <c r="O23" s="13" t="s">
        <v>5510</v>
      </c>
      <c r="P23" s="13" t="s">
        <v>5510</v>
      </c>
      <c r="Q23" s="13" t="s">
        <v>5510</v>
      </c>
      <c r="R23" s="13" t="s">
        <v>5510</v>
      </c>
      <c r="S23" s="13" t="s">
        <v>5510</v>
      </c>
      <c r="T23" s="13" t="s">
        <v>5986</v>
      </c>
      <c r="U23" s="13" t="s">
        <v>5987</v>
      </c>
      <c r="V23" s="13" t="s">
        <v>5988</v>
      </c>
      <c r="W23" s="13" t="s">
        <v>5989</v>
      </c>
      <c r="X23" s="13" t="s">
        <v>5990</v>
      </c>
      <c r="Y23" s="13" t="s">
        <v>5991</v>
      </c>
      <c r="Z23" s="13" t="s">
        <v>5992</v>
      </c>
      <c r="AA23" s="13" t="s">
        <v>5510</v>
      </c>
      <c r="AB23" s="13" t="s">
        <v>5510</v>
      </c>
      <c r="AC23" s="13" t="s">
        <v>5993</v>
      </c>
      <c r="AD23" s="13" t="s">
        <v>5994</v>
      </c>
      <c r="AE23" s="13" t="s">
        <v>5995</v>
      </c>
      <c r="AF23" s="13" t="s">
        <v>5510</v>
      </c>
      <c r="AG23" s="13">
        <v>18.0</v>
      </c>
      <c r="AH23" s="13">
        <v>4.0</v>
      </c>
      <c r="AI23" s="13">
        <v>4.0</v>
      </c>
      <c r="AJ23" s="13">
        <v>5.0</v>
      </c>
      <c r="AK23" s="13">
        <v>42.0</v>
      </c>
      <c r="AL23" s="13" t="s">
        <v>5996</v>
      </c>
      <c r="AM23" s="13" t="s">
        <v>5997</v>
      </c>
      <c r="AN23" s="13" t="s">
        <v>5998</v>
      </c>
      <c r="AO23" s="13" t="s">
        <v>5999</v>
      </c>
      <c r="AP23" s="13" t="s">
        <v>6000</v>
      </c>
      <c r="AQ23" s="13" t="s">
        <v>5510</v>
      </c>
      <c r="AR23" s="13" t="s">
        <v>6001</v>
      </c>
      <c r="AS23" s="13" t="s">
        <v>6002</v>
      </c>
      <c r="AT23" s="13" t="s">
        <v>5582</v>
      </c>
      <c r="AU23" s="13">
        <v>2020.0</v>
      </c>
      <c r="AV23" s="13">
        <v>12.0</v>
      </c>
      <c r="AW23" s="13">
        <v>1.0</v>
      </c>
      <c r="AX23" s="13" t="s">
        <v>5510</v>
      </c>
      <c r="AY23" s="13" t="s">
        <v>5510</v>
      </c>
      <c r="AZ23" s="13" t="s">
        <v>5510</v>
      </c>
      <c r="BA23" s="13" t="s">
        <v>5510</v>
      </c>
      <c r="BB23" s="13">
        <v>60.0</v>
      </c>
      <c r="BC23" s="13">
        <v>63.0</v>
      </c>
      <c r="BD23" s="13" t="s">
        <v>5510</v>
      </c>
      <c r="BE23" s="13" t="s">
        <v>6003</v>
      </c>
      <c r="BF23" s="52" t="str">
        <f>HYPERLINK("http://dx.doi.org/10.1553/eco.mont-12-1s60","http://dx.doi.org/10.1553/eco.mont-12-1s60")</f>
        <v>http://dx.doi.org/10.1553/eco.mont-12-1s60</v>
      </c>
      <c r="BG23" s="13" t="s">
        <v>5510</v>
      </c>
      <c r="BH23" s="13" t="s">
        <v>5510</v>
      </c>
      <c r="BI23" s="13">
        <v>4.0</v>
      </c>
      <c r="BJ23" s="13" t="s">
        <v>5958</v>
      </c>
      <c r="BK23" s="13" t="s">
        <v>5561</v>
      </c>
      <c r="BL23" s="13" t="s">
        <v>5699</v>
      </c>
      <c r="BM23" s="13" t="s">
        <v>6004</v>
      </c>
      <c r="BN23" s="13" t="s">
        <v>5510</v>
      </c>
      <c r="BO23" s="13" t="s">
        <v>5564</v>
      </c>
      <c r="BP23" s="13" t="s">
        <v>5510</v>
      </c>
      <c r="BQ23" s="13" t="s">
        <v>5510</v>
      </c>
      <c r="BR23" s="13" t="s">
        <v>5538</v>
      </c>
      <c r="BS23" s="13" t="s">
        <v>6005</v>
      </c>
      <c r="BT23" s="13">
        <v>24256.0</v>
      </c>
      <c r="BU23" s="13" t="s">
        <v>5540</v>
      </c>
      <c r="BV23" s="13" t="s">
        <v>4856</v>
      </c>
      <c r="BW23" s="13" t="str">
        <f>VLOOKUP($BT23,Enriched!$A$2:$E$1070,5,false)</f>
        <v>["Transportation &amp; Service Corridors", "Human Intrusions &amp; Disturbance"]</v>
      </c>
      <c r="BX23" s="13" t="str">
        <f>VLOOKUP($BT23,Enriched!$A$2:$E$1070,4,false)</f>
        <v>["Roads &amp; railroads", "Recreational activities"]</v>
      </c>
      <c r="BY23" s="13" t="b">
        <f>VLOOKUP(BT23,Enriched!$A$1:$AA$1070,27,falsE)</f>
        <v>0</v>
      </c>
      <c r="BZ23" s="2" t="str">
        <f>VLOOKUP(BT23,Enriched!$A$1:$AA$1070,14,falsE)</f>
        <v>level2</v>
      </c>
      <c r="CA23" s="13" t="str">
        <f>HYPERLINK("https%3A%2F%2Fwww.webofscience.com%2Fwos%2Fwoscc%2Ffull-record%2FWOS:000506638100008","View Full Record in Web of Science")</f>
        <v>View Full Record in Web of Science</v>
      </c>
    </row>
    <row r="24" ht="12.75" customHeight="1">
      <c r="A24" s="13" t="s">
        <v>5508</v>
      </c>
      <c r="B24" s="13" t="s">
        <v>6006</v>
      </c>
      <c r="C24" s="13" t="s">
        <v>5510</v>
      </c>
      <c r="D24" s="13" t="s">
        <v>5510</v>
      </c>
      <c r="E24" s="13" t="s">
        <v>5510</v>
      </c>
      <c r="F24" s="13" t="s">
        <v>6007</v>
      </c>
      <c r="G24" s="13" t="s">
        <v>5510</v>
      </c>
      <c r="H24" s="13" t="s">
        <v>5510</v>
      </c>
      <c r="I24" s="13" t="s">
        <v>3038</v>
      </c>
      <c r="J24" s="13" t="s">
        <v>6008</v>
      </c>
      <c r="K24" s="13" t="s">
        <v>5510</v>
      </c>
      <c r="L24" s="13" t="s">
        <v>5510</v>
      </c>
      <c r="M24" s="13" t="s">
        <v>5513</v>
      </c>
      <c r="N24" s="13" t="s">
        <v>5514</v>
      </c>
      <c r="O24" s="13" t="s">
        <v>5510</v>
      </c>
      <c r="P24" s="13" t="s">
        <v>5510</v>
      </c>
      <c r="Q24" s="13" t="s">
        <v>5510</v>
      </c>
      <c r="R24" s="13" t="s">
        <v>5510</v>
      </c>
      <c r="S24" s="13" t="s">
        <v>5510</v>
      </c>
      <c r="T24" s="13" t="s">
        <v>6009</v>
      </c>
      <c r="U24" s="13" t="s">
        <v>6010</v>
      </c>
      <c r="V24" s="13" t="s">
        <v>6011</v>
      </c>
      <c r="W24" s="13" t="s">
        <v>6012</v>
      </c>
      <c r="X24" s="13" t="s">
        <v>6013</v>
      </c>
      <c r="Y24" s="13" t="s">
        <v>6014</v>
      </c>
      <c r="Z24" s="13" t="s">
        <v>6015</v>
      </c>
      <c r="AA24" s="13" t="s">
        <v>6016</v>
      </c>
      <c r="AB24" s="13" t="s">
        <v>6017</v>
      </c>
      <c r="AC24" s="13" t="s">
        <v>6018</v>
      </c>
      <c r="AD24" s="13" t="s">
        <v>6018</v>
      </c>
      <c r="AE24" s="13" t="s">
        <v>6019</v>
      </c>
      <c r="AF24" s="13" t="s">
        <v>5510</v>
      </c>
      <c r="AG24" s="13">
        <v>69.0</v>
      </c>
      <c r="AH24" s="13">
        <v>31.0</v>
      </c>
      <c r="AI24" s="13">
        <v>36.0</v>
      </c>
      <c r="AJ24" s="13">
        <v>0.0</v>
      </c>
      <c r="AK24" s="13">
        <v>39.0</v>
      </c>
      <c r="AL24" s="13" t="s">
        <v>5527</v>
      </c>
      <c r="AM24" s="13" t="s">
        <v>5528</v>
      </c>
      <c r="AN24" s="13" t="s">
        <v>5529</v>
      </c>
      <c r="AO24" s="13" t="s">
        <v>6020</v>
      </c>
      <c r="AP24" s="13" t="s">
        <v>6021</v>
      </c>
      <c r="AQ24" s="13" t="s">
        <v>5510</v>
      </c>
      <c r="AR24" s="13" t="s">
        <v>6022</v>
      </c>
      <c r="AS24" s="13" t="s">
        <v>6023</v>
      </c>
      <c r="AT24" s="13" t="s">
        <v>5582</v>
      </c>
      <c r="AU24" s="13">
        <v>2021.0</v>
      </c>
      <c r="AV24" s="13">
        <v>31.0</v>
      </c>
      <c r="AW24" s="13">
        <v>1.0</v>
      </c>
      <c r="AX24" s="13" t="s">
        <v>5510</v>
      </c>
      <c r="AY24" s="13" t="s">
        <v>5510</v>
      </c>
      <c r="AZ24" s="13" t="s">
        <v>5510</v>
      </c>
      <c r="BA24" s="13" t="s">
        <v>5510</v>
      </c>
      <c r="BB24" s="13" t="s">
        <v>5510</v>
      </c>
      <c r="BC24" s="13" t="s">
        <v>5510</v>
      </c>
      <c r="BD24" s="13" t="s">
        <v>5510</v>
      </c>
      <c r="BE24" s="13" t="s">
        <v>6024</v>
      </c>
      <c r="BF24" s="52" t="str">
        <f>HYPERLINK("http://dx.doi.org/10.1002/eap.2214","http://dx.doi.org/10.1002/eap.2214")</f>
        <v>http://dx.doi.org/10.1002/eap.2214</v>
      </c>
      <c r="BG24" s="13" t="s">
        <v>5510</v>
      </c>
      <c r="BH24" s="13" t="s">
        <v>6025</v>
      </c>
      <c r="BI24" s="13">
        <v>14.0</v>
      </c>
      <c r="BJ24" s="13" t="s">
        <v>6026</v>
      </c>
      <c r="BK24" s="13" t="s">
        <v>5561</v>
      </c>
      <c r="BL24" s="13" t="s">
        <v>5535</v>
      </c>
      <c r="BM24" s="13" t="s">
        <v>6027</v>
      </c>
      <c r="BN24" s="13">
        <v>3.2761934E7</v>
      </c>
      <c r="BO24" s="13" t="s">
        <v>6028</v>
      </c>
      <c r="BP24" s="13" t="s">
        <v>5510</v>
      </c>
      <c r="BQ24" s="13" t="s">
        <v>5510</v>
      </c>
      <c r="BR24" s="13" t="s">
        <v>5538</v>
      </c>
      <c r="BS24" s="13" t="s">
        <v>6029</v>
      </c>
      <c r="BT24" s="13">
        <v>25628.0</v>
      </c>
      <c r="BU24" s="13" t="s">
        <v>5540</v>
      </c>
      <c r="BV24" s="13" t="s">
        <v>4864</v>
      </c>
      <c r="BW24" s="13" t="str">
        <f>VLOOKUP($BT24,Enriched!$A$2:$E$1070,5,false)</f>
        <v>["Transportation &amp; Service Corridors"]</v>
      </c>
      <c r="BX24" s="13" t="str">
        <f>VLOOKUP($BT24,Enriched!$A$2:$E$1070,4,false)</f>
        <v>["Shipping lanes"]</v>
      </c>
      <c r="BY24" s="13" t="b">
        <f>VLOOKUP(BT24,Enriched!$A$1:$AA$1070,27,falsE)</f>
        <v>0</v>
      </c>
      <c r="BZ24" s="2" t="str">
        <f>VLOOKUP(BT24,Enriched!$A$1:$AA$1070,14,falsE)</f>
        <v>level2</v>
      </c>
      <c r="CA24" s="13" t="str">
        <f>HYPERLINK("https%3A%2F%2Fwww.webofscience.com%2Fwos%2Fwoscc%2Ffull-record%2FWOS:000569460700001","View Full Record in Web of Science")</f>
        <v>View Full Record in Web of Science</v>
      </c>
    </row>
    <row r="25" ht="12.75" customHeight="1">
      <c r="A25" s="13" t="s">
        <v>5508</v>
      </c>
      <c r="B25" s="13" t="s">
        <v>6030</v>
      </c>
      <c r="C25" s="13" t="s">
        <v>5510</v>
      </c>
      <c r="D25" s="13" t="s">
        <v>5510</v>
      </c>
      <c r="E25" s="13" t="s">
        <v>5510</v>
      </c>
      <c r="F25" s="13" t="s">
        <v>6031</v>
      </c>
      <c r="G25" s="13" t="s">
        <v>5510</v>
      </c>
      <c r="H25" s="13" t="s">
        <v>5510</v>
      </c>
      <c r="I25" s="13" t="s">
        <v>3036</v>
      </c>
      <c r="J25" s="13" t="s">
        <v>6032</v>
      </c>
      <c r="K25" s="13" t="s">
        <v>5510</v>
      </c>
      <c r="L25" s="13" t="s">
        <v>5510</v>
      </c>
      <c r="M25" s="13" t="s">
        <v>5513</v>
      </c>
      <c r="N25" s="13" t="s">
        <v>5514</v>
      </c>
      <c r="O25" s="13" t="s">
        <v>5510</v>
      </c>
      <c r="P25" s="13" t="s">
        <v>5510</v>
      </c>
      <c r="Q25" s="13" t="s">
        <v>5510</v>
      </c>
      <c r="R25" s="13" t="s">
        <v>5510</v>
      </c>
      <c r="S25" s="13" t="s">
        <v>5510</v>
      </c>
      <c r="T25" s="13" t="s">
        <v>6033</v>
      </c>
      <c r="U25" s="13" t="s">
        <v>6034</v>
      </c>
      <c r="V25" s="13" t="s">
        <v>6035</v>
      </c>
      <c r="W25" s="13" t="s">
        <v>6036</v>
      </c>
      <c r="X25" s="13" t="s">
        <v>6037</v>
      </c>
      <c r="Y25" s="13" t="s">
        <v>6038</v>
      </c>
      <c r="Z25" s="13" t="s">
        <v>6039</v>
      </c>
      <c r="AA25" s="13" t="s">
        <v>6040</v>
      </c>
      <c r="AB25" s="13" t="s">
        <v>6041</v>
      </c>
      <c r="AC25" s="13" t="s">
        <v>6042</v>
      </c>
      <c r="AD25" s="13" t="s">
        <v>6043</v>
      </c>
      <c r="AE25" s="13" t="s">
        <v>6044</v>
      </c>
      <c r="AF25" s="13" t="s">
        <v>5510</v>
      </c>
      <c r="AG25" s="13">
        <v>72.0</v>
      </c>
      <c r="AH25" s="13">
        <v>20.0</v>
      </c>
      <c r="AI25" s="13">
        <v>21.0</v>
      </c>
      <c r="AJ25" s="13">
        <v>1.0</v>
      </c>
      <c r="AK25" s="13">
        <v>29.0</v>
      </c>
      <c r="AL25" s="13" t="s">
        <v>6045</v>
      </c>
      <c r="AM25" s="13" t="s">
        <v>6046</v>
      </c>
      <c r="AN25" s="13" t="s">
        <v>6047</v>
      </c>
      <c r="AO25" s="13" t="s">
        <v>6048</v>
      </c>
      <c r="AP25" s="13" t="s">
        <v>5510</v>
      </c>
      <c r="AQ25" s="13" t="s">
        <v>5510</v>
      </c>
      <c r="AR25" s="13" t="s">
        <v>6032</v>
      </c>
      <c r="AS25" s="13" t="s">
        <v>174</v>
      </c>
      <c r="AT25" s="13" t="s">
        <v>6049</v>
      </c>
      <c r="AU25" s="13">
        <v>2019.0</v>
      </c>
      <c r="AV25" s="13">
        <v>7.0</v>
      </c>
      <c r="AW25" s="13" t="s">
        <v>5510</v>
      </c>
      <c r="AX25" s="13" t="s">
        <v>5510</v>
      </c>
      <c r="AY25" s="13" t="s">
        <v>5510</v>
      </c>
      <c r="AZ25" s="13" t="s">
        <v>5510</v>
      </c>
      <c r="BA25" s="13" t="s">
        <v>5510</v>
      </c>
      <c r="BB25" s="13" t="s">
        <v>5510</v>
      </c>
      <c r="BC25" s="13" t="s">
        <v>5510</v>
      </c>
      <c r="BD25" s="13" t="s">
        <v>6050</v>
      </c>
      <c r="BE25" s="13" t="s">
        <v>6051</v>
      </c>
      <c r="BF25" s="52" t="str">
        <f>HYPERLINK("http://dx.doi.org/10.7717/peerj.8060","http://dx.doi.org/10.7717/peerj.8060")</f>
        <v>http://dx.doi.org/10.7717/peerj.8060</v>
      </c>
      <c r="BG25" s="13" t="s">
        <v>5510</v>
      </c>
      <c r="BH25" s="13" t="s">
        <v>5510</v>
      </c>
      <c r="BI25" s="13">
        <v>23.0</v>
      </c>
      <c r="BJ25" s="13" t="s">
        <v>5560</v>
      </c>
      <c r="BK25" s="13" t="s">
        <v>5561</v>
      </c>
      <c r="BL25" s="13" t="s">
        <v>5562</v>
      </c>
      <c r="BM25" s="13" t="s">
        <v>6052</v>
      </c>
      <c r="BN25" s="13">
        <v>3.1769445E7</v>
      </c>
      <c r="BO25" s="13" t="s">
        <v>5564</v>
      </c>
      <c r="BP25" s="13" t="s">
        <v>5510</v>
      </c>
      <c r="BQ25" s="13" t="s">
        <v>5510</v>
      </c>
      <c r="BR25" s="13" t="s">
        <v>5538</v>
      </c>
      <c r="BS25" s="13" t="s">
        <v>6053</v>
      </c>
      <c r="BT25" s="13">
        <v>24518.0</v>
      </c>
      <c r="BU25" s="13" t="s">
        <v>5540</v>
      </c>
      <c r="BV25" s="13" t="s">
        <v>4852</v>
      </c>
      <c r="BW25" s="13" t="str">
        <f>VLOOKUP($BT25,Enriched!$A$2:$E$1070,5,false)</f>
        <v>["Energy Production &amp; Mining", "Agriculture &amp; Aquaculture", "Natural System Modifications", "Transportation &amp; Service Corridors"]</v>
      </c>
      <c r="BX25" s="13" t="str">
        <f>VLOOKUP($BT25,Enriched!$A$2:$E$1070,4,false)</f>
        <v>["Housing &amp; urban area", "Mining &amp; quarrying", "Dams &amp; water management/use", "Renewable energy", "Oil &amp; gas drilling", "Marine &amp; freshwater aquaculture", "Roads &amp; railroads"]</v>
      </c>
      <c r="BY25" s="13" t="b">
        <f>VLOOKUP(BT25,Enriched!$A$1:$AA$1070,27,falsE)</f>
        <v>1</v>
      </c>
      <c r="BZ25" s="2" t="str">
        <f>VLOOKUP(BT25,Enriched!$A$1:$AA$1070,14,falsE)</f>
        <v>cumulative</v>
      </c>
      <c r="CA25" s="13" t="str">
        <f>HYPERLINK("https%3A%2F%2Fwww.webofscience.com%2Fwos%2Fwoscc%2Ffull-record%2FWOS:000498814300004","View Full Record in Web of Science")</f>
        <v>View Full Record in Web of Science</v>
      </c>
    </row>
    <row r="26" ht="12.75" customHeight="1">
      <c r="A26" s="13" t="s">
        <v>5508</v>
      </c>
      <c r="B26" s="13" t="s">
        <v>6054</v>
      </c>
      <c r="C26" s="13" t="s">
        <v>5510</v>
      </c>
      <c r="D26" s="13" t="s">
        <v>5510</v>
      </c>
      <c r="E26" s="13" t="s">
        <v>5510</v>
      </c>
      <c r="F26" s="13" t="s">
        <v>6055</v>
      </c>
      <c r="G26" s="13" t="s">
        <v>5510</v>
      </c>
      <c r="H26" s="13" t="s">
        <v>5510</v>
      </c>
      <c r="I26" s="13" t="s">
        <v>6056</v>
      </c>
      <c r="J26" s="13" t="s">
        <v>5543</v>
      </c>
      <c r="K26" s="13" t="s">
        <v>5510</v>
      </c>
      <c r="L26" s="13" t="s">
        <v>5510</v>
      </c>
      <c r="M26" s="13" t="s">
        <v>5513</v>
      </c>
      <c r="N26" s="13" t="s">
        <v>5514</v>
      </c>
      <c r="O26" s="13" t="s">
        <v>5510</v>
      </c>
      <c r="P26" s="13" t="s">
        <v>5510</v>
      </c>
      <c r="Q26" s="13" t="s">
        <v>5510</v>
      </c>
      <c r="R26" s="13" t="s">
        <v>5510</v>
      </c>
      <c r="S26" s="13" t="s">
        <v>5510</v>
      </c>
      <c r="T26" s="13" t="s">
        <v>5510</v>
      </c>
      <c r="U26" s="13" t="s">
        <v>6057</v>
      </c>
      <c r="V26" s="13" t="s">
        <v>6058</v>
      </c>
      <c r="W26" s="13" t="s">
        <v>6059</v>
      </c>
      <c r="X26" s="13" t="s">
        <v>6060</v>
      </c>
      <c r="Y26" s="13" t="s">
        <v>6061</v>
      </c>
      <c r="Z26" s="13" t="s">
        <v>6062</v>
      </c>
      <c r="AA26" s="13" t="s">
        <v>6063</v>
      </c>
      <c r="AB26" s="13" t="s">
        <v>6064</v>
      </c>
      <c r="AC26" s="13" t="s">
        <v>6065</v>
      </c>
      <c r="AD26" s="13" t="s">
        <v>6066</v>
      </c>
      <c r="AE26" s="13" t="s">
        <v>6067</v>
      </c>
      <c r="AF26" s="13" t="s">
        <v>5510</v>
      </c>
      <c r="AG26" s="13">
        <v>59.0</v>
      </c>
      <c r="AH26" s="13">
        <v>16.0</v>
      </c>
      <c r="AI26" s="13">
        <v>17.0</v>
      </c>
      <c r="AJ26" s="13">
        <v>2.0</v>
      </c>
      <c r="AK26" s="13">
        <v>74.0</v>
      </c>
      <c r="AL26" s="13" t="s">
        <v>5552</v>
      </c>
      <c r="AM26" s="13" t="s">
        <v>5553</v>
      </c>
      <c r="AN26" s="13" t="s">
        <v>5554</v>
      </c>
      <c r="AO26" s="13" t="s">
        <v>5555</v>
      </c>
      <c r="AP26" s="13" t="s">
        <v>5510</v>
      </c>
      <c r="AQ26" s="13" t="s">
        <v>5510</v>
      </c>
      <c r="AR26" s="13" t="s">
        <v>5543</v>
      </c>
      <c r="AS26" s="13" t="s">
        <v>5556</v>
      </c>
      <c r="AT26" s="13" t="s">
        <v>6068</v>
      </c>
      <c r="AU26" s="13">
        <v>2016.0</v>
      </c>
      <c r="AV26" s="13">
        <v>11.0</v>
      </c>
      <c r="AW26" s="13">
        <v>6.0</v>
      </c>
      <c r="AX26" s="13" t="s">
        <v>5510</v>
      </c>
      <c r="AY26" s="13" t="s">
        <v>5510</v>
      </c>
      <c r="AZ26" s="13" t="s">
        <v>5510</v>
      </c>
      <c r="BA26" s="13" t="s">
        <v>5510</v>
      </c>
      <c r="BB26" s="13" t="s">
        <v>5510</v>
      </c>
      <c r="BC26" s="13" t="s">
        <v>5510</v>
      </c>
      <c r="BD26" s="13" t="s">
        <v>6069</v>
      </c>
      <c r="BE26" s="13" t="s">
        <v>6070</v>
      </c>
      <c r="BF26" s="52" t="str">
        <f>HYPERLINK("http://dx.doi.org/10.1371/journal.pone.0157807","http://dx.doi.org/10.1371/journal.pone.0157807")</f>
        <v>http://dx.doi.org/10.1371/journal.pone.0157807</v>
      </c>
      <c r="BG26" s="13" t="s">
        <v>5510</v>
      </c>
      <c r="BH26" s="13" t="s">
        <v>5510</v>
      </c>
      <c r="BI26" s="13">
        <v>11.0</v>
      </c>
      <c r="BJ26" s="13" t="s">
        <v>5560</v>
      </c>
      <c r="BK26" s="13" t="s">
        <v>5561</v>
      </c>
      <c r="BL26" s="13" t="s">
        <v>5562</v>
      </c>
      <c r="BM26" s="13" t="s">
        <v>6071</v>
      </c>
      <c r="BN26" s="13">
        <v>2.7336482E7</v>
      </c>
      <c r="BO26" s="13" t="s">
        <v>5564</v>
      </c>
      <c r="BP26" s="13" t="s">
        <v>5510</v>
      </c>
      <c r="BQ26" s="13" t="s">
        <v>5510</v>
      </c>
      <c r="BR26" s="13" t="s">
        <v>5538</v>
      </c>
      <c r="BS26" s="13" t="s">
        <v>6072</v>
      </c>
      <c r="BT26" s="13">
        <v>24829.0</v>
      </c>
      <c r="BU26" s="13" t="s">
        <v>5540</v>
      </c>
      <c r="BV26" s="13" t="s">
        <v>4856</v>
      </c>
      <c r="BW26" s="13" t="str">
        <f>VLOOKUP($BT26,Enriched!$A$2:$E$1070,5,false)</f>
        <v>["Energy Production &amp; Mining"]</v>
      </c>
      <c r="BX26" s="13" t="str">
        <f>VLOOKUP($BT26,Enriched!$A$2:$E$1070,4,false)</f>
        <v>["Renewable energy"]</v>
      </c>
      <c r="BY26" s="13" t="b">
        <f>VLOOKUP(BT26,Enriched!$A$1:$AA$1070,27,falsE)</f>
        <v>0</v>
      </c>
      <c r="BZ26" s="2" t="str">
        <f>VLOOKUP(BT26,Enriched!$A$1:$AA$1070,14,falsE)</f>
        <v>level2</v>
      </c>
      <c r="CA26" s="13" t="str">
        <f>HYPERLINK("https%3A%2F%2Fwww.webofscience.com%2Fwos%2Fwoscc%2Ffull-record%2FWOS:000378389200050","View Full Record in Web of Science")</f>
        <v>View Full Record in Web of Science</v>
      </c>
    </row>
    <row r="27" ht="12.75" customHeight="1">
      <c r="A27" s="13" t="s">
        <v>5508</v>
      </c>
      <c r="B27" s="13" t="s">
        <v>6073</v>
      </c>
      <c r="C27" s="13" t="s">
        <v>5510</v>
      </c>
      <c r="D27" s="13" t="s">
        <v>5510</v>
      </c>
      <c r="E27" s="13" t="s">
        <v>5510</v>
      </c>
      <c r="F27" s="13" t="s">
        <v>6074</v>
      </c>
      <c r="G27" s="13" t="s">
        <v>5510</v>
      </c>
      <c r="H27" s="13" t="s">
        <v>5510</v>
      </c>
      <c r="I27" s="13" t="s">
        <v>3031</v>
      </c>
      <c r="J27" s="13" t="s">
        <v>6075</v>
      </c>
      <c r="K27" s="13" t="s">
        <v>5510</v>
      </c>
      <c r="L27" s="13" t="s">
        <v>5510</v>
      </c>
      <c r="M27" s="13" t="s">
        <v>5513</v>
      </c>
      <c r="N27" s="13" t="s">
        <v>5514</v>
      </c>
      <c r="O27" s="13" t="s">
        <v>5510</v>
      </c>
      <c r="P27" s="13" t="s">
        <v>5510</v>
      </c>
      <c r="Q27" s="13" t="s">
        <v>5510</v>
      </c>
      <c r="R27" s="13" t="s">
        <v>5510</v>
      </c>
      <c r="S27" s="13" t="s">
        <v>5510</v>
      </c>
      <c r="T27" s="13" t="s">
        <v>6076</v>
      </c>
      <c r="U27" s="13" t="s">
        <v>6077</v>
      </c>
      <c r="V27" s="13" t="s">
        <v>6078</v>
      </c>
      <c r="W27" s="13" t="s">
        <v>6079</v>
      </c>
      <c r="X27" s="13" t="s">
        <v>6080</v>
      </c>
      <c r="Y27" s="13" t="s">
        <v>6081</v>
      </c>
      <c r="Z27" s="13" t="s">
        <v>6082</v>
      </c>
      <c r="AA27" s="13" t="s">
        <v>5510</v>
      </c>
      <c r="AB27" s="13" t="s">
        <v>6083</v>
      </c>
      <c r="AC27" s="13" t="s">
        <v>6084</v>
      </c>
      <c r="AD27" s="13" t="s">
        <v>6085</v>
      </c>
      <c r="AE27" s="13" t="s">
        <v>6086</v>
      </c>
      <c r="AF27" s="13" t="s">
        <v>5510</v>
      </c>
      <c r="AG27" s="13">
        <v>44.0</v>
      </c>
      <c r="AH27" s="13">
        <v>18.0</v>
      </c>
      <c r="AI27" s="13">
        <v>23.0</v>
      </c>
      <c r="AJ27" s="13">
        <v>1.0</v>
      </c>
      <c r="AK27" s="13">
        <v>84.0</v>
      </c>
      <c r="AL27" s="13" t="s">
        <v>5527</v>
      </c>
      <c r="AM27" s="13" t="s">
        <v>5528</v>
      </c>
      <c r="AN27" s="13" t="s">
        <v>5529</v>
      </c>
      <c r="AO27" s="13" t="s">
        <v>6087</v>
      </c>
      <c r="AP27" s="13" t="s">
        <v>6088</v>
      </c>
      <c r="AQ27" s="13" t="s">
        <v>5510</v>
      </c>
      <c r="AR27" s="13" t="s">
        <v>6075</v>
      </c>
      <c r="AS27" s="13" t="s">
        <v>3032</v>
      </c>
      <c r="AT27" s="13" t="s">
        <v>6089</v>
      </c>
      <c r="AU27" s="13">
        <v>2015.0</v>
      </c>
      <c r="AV27" s="13">
        <v>8.0</v>
      </c>
      <c r="AW27" s="13">
        <v>2.0</v>
      </c>
      <c r="AX27" s="13" t="s">
        <v>5510</v>
      </c>
      <c r="AY27" s="13" t="s">
        <v>5510</v>
      </c>
      <c r="AZ27" s="13" t="s">
        <v>5510</v>
      </c>
      <c r="BA27" s="13" t="s">
        <v>5510</v>
      </c>
      <c r="BB27" s="13">
        <v>273.0</v>
      </c>
      <c r="BC27" s="13">
        <v>285.0</v>
      </c>
      <c r="BD27" s="13" t="s">
        <v>5510</v>
      </c>
      <c r="BE27" s="13" t="s">
        <v>6090</v>
      </c>
      <c r="BF27" s="52" t="str">
        <f>HYPERLINK("http://dx.doi.org/10.1002/eco.1506","http://dx.doi.org/10.1002/eco.1506")</f>
        <v>http://dx.doi.org/10.1002/eco.1506</v>
      </c>
      <c r="BG27" s="13" t="s">
        <v>5510</v>
      </c>
      <c r="BH27" s="13" t="s">
        <v>5510</v>
      </c>
      <c r="BI27" s="13">
        <v>13.0</v>
      </c>
      <c r="BJ27" s="13" t="s">
        <v>6091</v>
      </c>
      <c r="BK27" s="13" t="s">
        <v>5561</v>
      </c>
      <c r="BL27" s="13" t="s">
        <v>6092</v>
      </c>
      <c r="BM27" s="13" t="s">
        <v>6093</v>
      </c>
      <c r="BN27" s="13" t="s">
        <v>5510</v>
      </c>
      <c r="BO27" s="13" t="s">
        <v>5510</v>
      </c>
      <c r="BP27" s="13" t="s">
        <v>5510</v>
      </c>
      <c r="BQ27" s="13" t="s">
        <v>5510</v>
      </c>
      <c r="BR27" s="13" t="s">
        <v>5538</v>
      </c>
      <c r="BS27" s="13" t="s">
        <v>6094</v>
      </c>
      <c r="BT27" s="13">
        <v>24411.0</v>
      </c>
      <c r="BU27" s="13" t="s">
        <v>5540</v>
      </c>
      <c r="BV27" s="13" t="s">
        <v>4852</v>
      </c>
      <c r="BW27" s="13" t="str">
        <f>VLOOKUP($BT27,Enriched!$A$2:$E$1070,5,false)</f>
        <v>["Residential &amp; commercial development"]</v>
      </c>
      <c r="BX27" s="13" t="str">
        <f>VLOOKUP($BT27,Enriched!$A$2:$E$1070,4,false)</f>
        <v>["Housing &amp; urban area"]</v>
      </c>
      <c r="BY27" s="13" t="b">
        <f>VLOOKUP(BT27,Enriched!$A$1:$AA$1070,27,falsE)</f>
        <v>1</v>
      </c>
      <c r="BZ27" s="2" t="str">
        <f>VLOOKUP(BT27,Enriched!$A$1:$AA$1070,14,falsE)</f>
        <v>level2</v>
      </c>
      <c r="CA27" s="13" t="str">
        <f>HYPERLINK("https%3A%2F%2Fwww.webofscience.com%2Fwos%2Fwoscc%2Ffull-record%2FWOS:000351140700008","View Full Record in Web of Science")</f>
        <v>View Full Record in Web of Science</v>
      </c>
    </row>
    <row r="28" ht="12.75" customHeight="1">
      <c r="A28" s="13" t="s">
        <v>5508</v>
      </c>
      <c r="B28" s="13" t="s">
        <v>6095</v>
      </c>
      <c r="C28" s="13" t="s">
        <v>5510</v>
      </c>
      <c r="D28" s="13" t="s">
        <v>5510</v>
      </c>
      <c r="E28" s="13" t="s">
        <v>5510</v>
      </c>
      <c r="F28" s="13" t="s">
        <v>6096</v>
      </c>
      <c r="G28" s="13" t="s">
        <v>5510</v>
      </c>
      <c r="H28" s="13" t="s">
        <v>5510</v>
      </c>
      <c r="I28" s="13" t="s">
        <v>3028</v>
      </c>
      <c r="J28" s="13" t="s">
        <v>6008</v>
      </c>
      <c r="K28" s="13" t="s">
        <v>5510</v>
      </c>
      <c r="L28" s="13" t="s">
        <v>5510</v>
      </c>
      <c r="M28" s="13" t="s">
        <v>5513</v>
      </c>
      <c r="N28" s="13" t="s">
        <v>5514</v>
      </c>
      <c r="O28" s="13" t="s">
        <v>5510</v>
      </c>
      <c r="P28" s="13" t="s">
        <v>5510</v>
      </c>
      <c r="Q28" s="13" t="s">
        <v>5510</v>
      </c>
      <c r="R28" s="13" t="s">
        <v>5510</v>
      </c>
      <c r="S28" s="13" t="s">
        <v>5510</v>
      </c>
      <c r="T28" s="13" t="s">
        <v>6097</v>
      </c>
      <c r="U28" s="13" t="s">
        <v>6098</v>
      </c>
      <c r="V28" s="13" t="s">
        <v>6099</v>
      </c>
      <c r="W28" s="13" t="s">
        <v>6100</v>
      </c>
      <c r="X28" s="13" t="s">
        <v>5948</v>
      </c>
      <c r="Y28" s="13" t="s">
        <v>6101</v>
      </c>
      <c r="Z28" s="13" t="s">
        <v>6102</v>
      </c>
      <c r="AA28" s="13" t="s">
        <v>6103</v>
      </c>
      <c r="AB28" s="13" t="s">
        <v>5510</v>
      </c>
      <c r="AC28" s="13" t="s">
        <v>6104</v>
      </c>
      <c r="AD28" s="13" t="s">
        <v>6105</v>
      </c>
      <c r="AE28" s="13" t="s">
        <v>6106</v>
      </c>
      <c r="AF28" s="13" t="s">
        <v>5510</v>
      </c>
      <c r="AG28" s="13">
        <v>49.0</v>
      </c>
      <c r="AH28" s="13">
        <v>29.0</v>
      </c>
      <c r="AI28" s="13">
        <v>35.0</v>
      </c>
      <c r="AJ28" s="13">
        <v>0.0</v>
      </c>
      <c r="AK28" s="13">
        <v>34.0</v>
      </c>
      <c r="AL28" s="13" t="s">
        <v>6107</v>
      </c>
      <c r="AM28" s="13" t="s">
        <v>5908</v>
      </c>
      <c r="AN28" s="13" t="s">
        <v>6108</v>
      </c>
      <c r="AO28" s="13" t="s">
        <v>6020</v>
      </c>
      <c r="AP28" s="13" t="s">
        <v>5510</v>
      </c>
      <c r="AQ28" s="13" t="s">
        <v>5510</v>
      </c>
      <c r="AR28" s="13" t="s">
        <v>6022</v>
      </c>
      <c r="AS28" s="13" t="s">
        <v>6023</v>
      </c>
      <c r="AT28" s="13" t="s">
        <v>1925</v>
      </c>
      <c r="AU28" s="13">
        <v>2009.0</v>
      </c>
      <c r="AV28" s="13">
        <v>19.0</v>
      </c>
      <c r="AW28" s="13">
        <v>6.0</v>
      </c>
      <c r="AX28" s="13" t="s">
        <v>5510</v>
      </c>
      <c r="AY28" s="13" t="s">
        <v>5510</v>
      </c>
      <c r="AZ28" s="13" t="s">
        <v>5510</v>
      </c>
      <c r="BA28" s="13" t="s">
        <v>5510</v>
      </c>
      <c r="BB28" s="13">
        <v>1660.0</v>
      </c>
      <c r="BC28" s="13">
        <v>1671.0</v>
      </c>
      <c r="BD28" s="13" t="s">
        <v>5510</v>
      </c>
      <c r="BE28" s="13" t="s">
        <v>6109</v>
      </c>
      <c r="BF28" s="52" t="str">
        <f>HYPERLINK("http://dx.doi.org/10.1890/08-1091.1","http://dx.doi.org/10.1890/08-1091.1")</f>
        <v>http://dx.doi.org/10.1890/08-1091.1</v>
      </c>
      <c r="BG28" s="13" t="s">
        <v>5510</v>
      </c>
      <c r="BH28" s="13" t="s">
        <v>5510</v>
      </c>
      <c r="BI28" s="13">
        <v>12.0</v>
      </c>
      <c r="BJ28" s="13" t="s">
        <v>6026</v>
      </c>
      <c r="BK28" s="13" t="s">
        <v>5561</v>
      </c>
      <c r="BL28" s="13" t="s">
        <v>5535</v>
      </c>
      <c r="BM28" s="13" t="s">
        <v>6110</v>
      </c>
      <c r="BN28" s="13">
        <v>1.976911E7</v>
      </c>
      <c r="BO28" s="13" t="s">
        <v>5510</v>
      </c>
      <c r="BP28" s="13" t="s">
        <v>5510</v>
      </c>
      <c r="BQ28" s="13" t="s">
        <v>5510</v>
      </c>
      <c r="BR28" s="13" t="s">
        <v>5538</v>
      </c>
      <c r="BS28" s="13" t="s">
        <v>6111</v>
      </c>
      <c r="BT28" s="13">
        <v>24741.0</v>
      </c>
      <c r="BU28" s="13" t="s">
        <v>5540</v>
      </c>
      <c r="BV28" s="13" t="s">
        <v>4864</v>
      </c>
      <c r="BW28" s="13" t="str">
        <f>VLOOKUP($BT28,Enriched!$A$2:$E$1070,5,false)</f>
        <v>["Biological resource use"]</v>
      </c>
      <c r="BX28" s="13" t="str">
        <f>VLOOKUP($BT28,Enriched!$A$2:$E$1070,4,false)</f>
        <v>["Fishing &amp; harvesting aquatic resources"]</v>
      </c>
      <c r="BY28" s="13" t="b">
        <f>VLOOKUP(BT28,Enriched!$A$1:$AA$1070,27,falsE)</f>
        <v>0</v>
      </c>
      <c r="BZ28" s="2" t="str">
        <f>VLOOKUP(BT28,Enriched!$A$1:$AA$1070,14,falsE)</f>
        <v>level2</v>
      </c>
      <c r="CA28" s="13" t="str">
        <f>HYPERLINK("https%3A%2F%2Fwww.webofscience.com%2Fwos%2Fwoscc%2Ffull-record%2FWOS:000269075200024","View Full Record in Web of Science")</f>
        <v>View Full Record in Web of Science</v>
      </c>
    </row>
    <row r="29" ht="12.75" customHeight="1">
      <c r="A29" s="13" t="s">
        <v>5508</v>
      </c>
      <c r="B29" s="13" t="s">
        <v>6112</v>
      </c>
      <c r="C29" s="13" t="s">
        <v>5510</v>
      </c>
      <c r="D29" s="13" t="s">
        <v>5510</v>
      </c>
      <c r="E29" s="13" t="s">
        <v>5510</v>
      </c>
      <c r="F29" s="13" t="s">
        <v>6113</v>
      </c>
      <c r="G29" s="13" t="s">
        <v>5510</v>
      </c>
      <c r="H29" s="13" t="s">
        <v>5510</v>
      </c>
      <c r="I29" s="13" t="s">
        <v>3026</v>
      </c>
      <c r="J29" s="13" t="s">
        <v>6114</v>
      </c>
      <c r="K29" s="13" t="s">
        <v>5510</v>
      </c>
      <c r="L29" s="13" t="s">
        <v>5510</v>
      </c>
      <c r="M29" s="13" t="s">
        <v>5513</v>
      </c>
      <c r="N29" s="13" t="s">
        <v>5514</v>
      </c>
      <c r="O29" s="13" t="s">
        <v>5510</v>
      </c>
      <c r="P29" s="13" t="s">
        <v>5510</v>
      </c>
      <c r="Q29" s="13" t="s">
        <v>5510</v>
      </c>
      <c r="R29" s="13" t="s">
        <v>5510</v>
      </c>
      <c r="S29" s="13" t="s">
        <v>5510</v>
      </c>
      <c r="T29" s="13" t="s">
        <v>6115</v>
      </c>
      <c r="U29" s="13" t="s">
        <v>6116</v>
      </c>
      <c r="V29" s="13" t="s">
        <v>6117</v>
      </c>
      <c r="W29" s="13" t="s">
        <v>6118</v>
      </c>
      <c r="X29" s="13" t="s">
        <v>6119</v>
      </c>
      <c r="Y29" s="13" t="s">
        <v>6120</v>
      </c>
      <c r="Z29" s="13" t="s">
        <v>6121</v>
      </c>
      <c r="AA29" s="13" t="s">
        <v>6122</v>
      </c>
      <c r="AB29" s="13" t="s">
        <v>6123</v>
      </c>
      <c r="AC29" s="13" t="s">
        <v>6124</v>
      </c>
      <c r="AD29" s="13" t="s">
        <v>6125</v>
      </c>
      <c r="AE29" s="13" t="s">
        <v>6126</v>
      </c>
      <c r="AF29" s="13" t="s">
        <v>5510</v>
      </c>
      <c r="AG29" s="13">
        <v>79.0</v>
      </c>
      <c r="AH29" s="13">
        <v>39.0</v>
      </c>
      <c r="AI29" s="13">
        <v>43.0</v>
      </c>
      <c r="AJ29" s="13">
        <v>3.0</v>
      </c>
      <c r="AK29" s="13">
        <v>67.0</v>
      </c>
      <c r="AL29" s="13" t="s">
        <v>5931</v>
      </c>
      <c r="AM29" s="13" t="s">
        <v>5932</v>
      </c>
      <c r="AN29" s="13" t="s">
        <v>5933</v>
      </c>
      <c r="AO29" s="13" t="s">
        <v>6127</v>
      </c>
      <c r="AP29" s="13" t="s">
        <v>6128</v>
      </c>
      <c r="AQ29" s="13" t="s">
        <v>5510</v>
      </c>
      <c r="AR29" s="13" t="s">
        <v>6129</v>
      </c>
      <c r="AS29" s="13" t="s">
        <v>6130</v>
      </c>
      <c r="AT29" s="13" t="s">
        <v>6131</v>
      </c>
      <c r="AU29" s="13">
        <v>2019.0</v>
      </c>
      <c r="AV29" s="13">
        <v>168.0</v>
      </c>
      <c r="AW29" s="13" t="s">
        <v>5510</v>
      </c>
      <c r="AX29" s="13" t="s">
        <v>5510</v>
      </c>
      <c r="AY29" s="13" t="s">
        <v>5510</v>
      </c>
      <c r="AZ29" s="13" t="s">
        <v>5510</v>
      </c>
      <c r="BA29" s="13" t="s">
        <v>5510</v>
      </c>
      <c r="BB29" s="13">
        <v>117.0</v>
      </c>
      <c r="BC29" s="13">
        <v>129.0</v>
      </c>
      <c r="BD29" s="13" t="s">
        <v>5510</v>
      </c>
      <c r="BE29" s="13" t="s">
        <v>6132</v>
      </c>
      <c r="BF29" s="52" t="str">
        <f>HYPERLINK("http://dx.doi.org/10.1016/j.ocecoaman.2018.10.038","http://dx.doi.org/10.1016/j.ocecoaman.2018.10.038")</f>
        <v>http://dx.doi.org/10.1016/j.ocecoaman.2018.10.038</v>
      </c>
      <c r="BG29" s="13" t="s">
        <v>5510</v>
      </c>
      <c r="BH29" s="13" t="s">
        <v>5510</v>
      </c>
      <c r="BI29" s="13">
        <v>13.0</v>
      </c>
      <c r="BJ29" s="13" t="s">
        <v>6133</v>
      </c>
      <c r="BK29" s="13" t="s">
        <v>5534</v>
      </c>
      <c r="BL29" s="13" t="s">
        <v>6133</v>
      </c>
      <c r="BM29" s="13" t="s">
        <v>6134</v>
      </c>
      <c r="BN29" s="13" t="s">
        <v>5510</v>
      </c>
      <c r="BO29" s="13" t="s">
        <v>5510</v>
      </c>
      <c r="BP29" s="13" t="s">
        <v>5510</v>
      </c>
      <c r="BQ29" s="13" t="s">
        <v>5510</v>
      </c>
      <c r="BR29" s="13" t="s">
        <v>5538</v>
      </c>
      <c r="BS29" s="13" t="s">
        <v>6135</v>
      </c>
      <c r="BT29" s="13">
        <v>24396.0</v>
      </c>
      <c r="BU29" s="13" t="s">
        <v>5540</v>
      </c>
      <c r="BV29" s="13" t="s">
        <v>4864</v>
      </c>
      <c r="BW29" s="13" t="str">
        <f>VLOOKUP($BT29,Enriched!$A$2:$E$1070,5,false)</f>
        <v>["Energy Production &amp; Mining", "Transportation &amp; Service Corridors", "Biological Resource Use"]</v>
      </c>
      <c r="BX29" s="13" t="str">
        <f>VLOOKUP($BT29,Enriched!$A$2:$E$1070,4,false)</f>
        <v>["Oil &amp; gas drilling", "Shipping lanes", "Fishing &amp; harvesting aquatic resources"]</v>
      </c>
      <c r="BY29" s="13" t="b">
        <f>VLOOKUP(BT29,Enriched!$A$1:$AA$1070,27,falsE)</f>
        <v>0</v>
      </c>
      <c r="BZ29" s="2" t="str">
        <f>VLOOKUP(BT29,Enriched!$A$1:$AA$1070,14,falsE)</f>
        <v>level2</v>
      </c>
      <c r="CA29" s="13" t="str">
        <f>HYPERLINK("https%3A%2F%2Fwww.webofscience.com%2Fwos%2Fwoscc%2Ffull-record%2FWOS:000457667400011","View Full Record in Web of Science")</f>
        <v>View Full Record in Web of Science</v>
      </c>
    </row>
    <row r="30" ht="12.75" customHeight="1">
      <c r="A30" s="13" t="s">
        <v>5508</v>
      </c>
      <c r="B30" s="13" t="s">
        <v>6136</v>
      </c>
      <c r="C30" s="13" t="s">
        <v>5510</v>
      </c>
      <c r="D30" s="13" t="s">
        <v>5510</v>
      </c>
      <c r="E30" s="13" t="s">
        <v>5510</v>
      </c>
      <c r="F30" s="13" t="s">
        <v>6137</v>
      </c>
      <c r="G30" s="13" t="s">
        <v>5510</v>
      </c>
      <c r="H30" s="13" t="s">
        <v>5510</v>
      </c>
      <c r="I30" s="13" t="s">
        <v>3023</v>
      </c>
      <c r="J30" s="13" t="s">
        <v>5919</v>
      </c>
      <c r="K30" s="13" t="s">
        <v>5510</v>
      </c>
      <c r="L30" s="13" t="s">
        <v>5510</v>
      </c>
      <c r="M30" s="13" t="s">
        <v>5513</v>
      </c>
      <c r="N30" s="13" t="s">
        <v>5514</v>
      </c>
      <c r="O30" s="13" t="s">
        <v>5510</v>
      </c>
      <c r="P30" s="13" t="s">
        <v>5510</v>
      </c>
      <c r="Q30" s="13" t="s">
        <v>5510</v>
      </c>
      <c r="R30" s="13" t="s">
        <v>5510</v>
      </c>
      <c r="S30" s="13" t="s">
        <v>5510</v>
      </c>
      <c r="T30" s="13" t="s">
        <v>6138</v>
      </c>
      <c r="U30" s="13" t="s">
        <v>6139</v>
      </c>
      <c r="V30" s="13" t="s">
        <v>6140</v>
      </c>
      <c r="W30" s="13" t="s">
        <v>6141</v>
      </c>
      <c r="X30" s="13" t="s">
        <v>6142</v>
      </c>
      <c r="Y30" s="13" t="s">
        <v>6143</v>
      </c>
      <c r="Z30" s="13" t="s">
        <v>6144</v>
      </c>
      <c r="AA30" s="13" t="s">
        <v>6145</v>
      </c>
      <c r="AB30" s="13" t="s">
        <v>6146</v>
      </c>
      <c r="AC30" s="13" t="s">
        <v>6147</v>
      </c>
      <c r="AD30" s="13" t="s">
        <v>6148</v>
      </c>
      <c r="AE30" s="13" t="s">
        <v>6149</v>
      </c>
      <c r="AF30" s="13" t="s">
        <v>5510</v>
      </c>
      <c r="AG30" s="13">
        <v>39.0</v>
      </c>
      <c r="AH30" s="13">
        <v>59.0</v>
      </c>
      <c r="AI30" s="13">
        <v>68.0</v>
      </c>
      <c r="AJ30" s="13">
        <v>0.0</v>
      </c>
      <c r="AK30" s="13">
        <v>88.0</v>
      </c>
      <c r="AL30" s="13" t="s">
        <v>5931</v>
      </c>
      <c r="AM30" s="13" t="s">
        <v>5932</v>
      </c>
      <c r="AN30" s="13" t="s">
        <v>5933</v>
      </c>
      <c r="AO30" s="13" t="s">
        <v>5934</v>
      </c>
      <c r="AP30" s="13" t="s">
        <v>5935</v>
      </c>
      <c r="AQ30" s="13" t="s">
        <v>5510</v>
      </c>
      <c r="AR30" s="13" t="s">
        <v>5936</v>
      </c>
      <c r="AS30" s="13" t="s">
        <v>5937</v>
      </c>
      <c r="AT30" s="13" t="s">
        <v>5582</v>
      </c>
      <c r="AU30" s="13">
        <v>2013.0</v>
      </c>
      <c r="AV30" s="13">
        <v>157.0</v>
      </c>
      <c r="AW30" s="13" t="s">
        <v>5510</v>
      </c>
      <c r="AX30" s="13" t="s">
        <v>5510</v>
      </c>
      <c r="AY30" s="13" t="s">
        <v>5510</v>
      </c>
      <c r="AZ30" s="13" t="s">
        <v>5510</v>
      </c>
      <c r="BA30" s="13" t="s">
        <v>5510</v>
      </c>
      <c r="BB30" s="13">
        <v>178.0</v>
      </c>
      <c r="BC30" s="13">
        <v>186.0</v>
      </c>
      <c r="BD30" s="13" t="s">
        <v>5510</v>
      </c>
      <c r="BE30" s="13" t="s">
        <v>6150</v>
      </c>
      <c r="BF30" s="52" t="str">
        <f>HYPERLINK("http://dx.doi.org/10.1016/j.biocon.2012.06.017","http://dx.doi.org/10.1016/j.biocon.2012.06.017")</f>
        <v>http://dx.doi.org/10.1016/j.biocon.2012.06.017</v>
      </c>
      <c r="BG30" s="13" t="s">
        <v>5510</v>
      </c>
      <c r="BH30" s="13" t="s">
        <v>5510</v>
      </c>
      <c r="BI30" s="13">
        <v>9.0</v>
      </c>
      <c r="BJ30" s="13" t="s">
        <v>5698</v>
      </c>
      <c r="BK30" s="13" t="s">
        <v>5561</v>
      </c>
      <c r="BL30" s="13" t="s">
        <v>5699</v>
      </c>
      <c r="BM30" s="13" t="s">
        <v>6151</v>
      </c>
      <c r="BN30" s="13" t="s">
        <v>5510</v>
      </c>
      <c r="BO30" s="13" t="s">
        <v>5510</v>
      </c>
      <c r="BP30" s="13" t="s">
        <v>5510</v>
      </c>
      <c r="BQ30" s="13" t="s">
        <v>5510</v>
      </c>
      <c r="BR30" s="13" t="s">
        <v>5538</v>
      </c>
      <c r="BS30" s="13" t="s">
        <v>6152</v>
      </c>
      <c r="BT30" s="13">
        <v>25474.0</v>
      </c>
      <c r="BU30" s="13" t="s">
        <v>5540</v>
      </c>
      <c r="BV30" s="13" t="s">
        <v>4856</v>
      </c>
      <c r="BW30" s="13" t="str">
        <f>VLOOKUP($BT30,Enriched!$A$2:$E$1070,5,false)</f>
        <v>["Energy Production &amp; Mining"]</v>
      </c>
      <c r="BX30" s="13" t="str">
        <f>VLOOKUP($BT30,Enriched!$A$2:$E$1070,4,false)</f>
        <v>["Renewable energy"]</v>
      </c>
      <c r="BY30" s="13" t="b">
        <f>VLOOKUP(BT30,Enriched!$A$1:$AA$1070,27,falsE)</f>
        <v>0</v>
      </c>
      <c r="BZ30" s="2" t="str">
        <f>VLOOKUP(BT30,Enriched!$A$1:$AA$1070,14,falsE)</f>
        <v>level2</v>
      </c>
      <c r="CA30" s="13" t="str">
        <f>HYPERLINK("https%3A%2F%2Fwww.webofscience.com%2Fwos%2Fwoscc%2Ffull-record%2FWOS:000316651200021","View Full Record in Web of Science")</f>
        <v>View Full Record in Web of Science</v>
      </c>
    </row>
    <row r="31" ht="12.75" customHeight="1">
      <c r="A31" s="13" t="s">
        <v>5508</v>
      </c>
      <c r="B31" s="13" t="s">
        <v>6153</v>
      </c>
      <c r="C31" s="13" t="s">
        <v>5510</v>
      </c>
      <c r="D31" s="13" t="s">
        <v>5510</v>
      </c>
      <c r="E31" s="13" t="s">
        <v>5510</v>
      </c>
      <c r="F31" s="13" t="s">
        <v>6154</v>
      </c>
      <c r="G31" s="13" t="s">
        <v>5510</v>
      </c>
      <c r="H31" s="13" t="s">
        <v>5510</v>
      </c>
      <c r="I31" s="13" t="s">
        <v>3022</v>
      </c>
      <c r="J31" s="13" t="s">
        <v>5543</v>
      </c>
      <c r="K31" s="13" t="s">
        <v>5510</v>
      </c>
      <c r="L31" s="13" t="s">
        <v>5510</v>
      </c>
      <c r="M31" s="13" t="s">
        <v>5513</v>
      </c>
      <c r="N31" s="13" t="s">
        <v>5514</v>
      </c>
      <c r="O31" s="13" t="s">
        <v>5510</v>
      </c>
      <c r="P31" s="13" t="s">
        <v>5510</v>
      </c>
      <c r="Q31" s="13" t="s">
        <v>5510</v>
      </c>
      <c r="R31" s="13" t="s">
        <v>5510</v>
      </c>
      <c r="S31" s="13" t="s">
        <v>5510</v>
      </c>
      <c r="T31" s="13" t="s">
        <v>5510</v>
      </c>
      <c r="U31" s="13" t="s">
        <v>6155</v>
      </c>
      <c r="V31" s="13" t="s">
        <v>6156</v>
      </c>
      <c r="W31" s="13" t="s">
        <v>6157</v>
      </c>
      <c r="X31" s="13" t="s">
        <v>5796</v>
      </c>
      <c r="Y31" s="13" t="s">
        <v>6158</v>
      </c>
      <c r="Z31" s="13" t="s">
        <v>5798</v>
      </c>
      <c r="AA31" s="13" t="s">
        <v>6159</v>
      </c>
      <c r="AB31" s="13" t="s">
        <v>5799</v>
      </c>
      <c r="AC31" s="13" t="s">
        <v>6160</v>
      </c>
      <c r="AD31" s="13" t="s">
        <v>6160</v>
      </c>
      <c r="AE31" s="13" t="s">
        <v>6161</v>
      </c>
      <c r="AF31" s="13" t="s">
        <v>5510</v>
      </c>
      <c r="AG31" s="13">
        <v>78.0</v>
      </c>
      <c r="AH31" s="13">
        <v>45.0</v>
      </c>
      <c r="AI31" s="13">
        <v>50.0</v>
      </c>
      <c r="AJ31" s="13">
        <v>1.0</v>
      </c>
      <c r="AK31" s="13">
        <v>85.0</v>
      </c>
      <c r="AL31" s="13" t="s">
        <v>5552</v>
      </c>
      <c r="AM31" s="13" t="s">
        <v>5553</v>
      </c>
      <c r="AN31" s="13" t="s">
        <v>5554</v>
      </c>
      <c r="AO31" s="13" t="s">
        <v>5555</v>
      </c>
      <c r="AP31" s="13" t="s">
        <v>5510</v>
      </c>
      <c r="AQ31" s="13" t="s">
        <v>5510</v>
      </c>
      <c r="AR31" s="13" t="s">
        <v>5543</v>
      </c>
      <c r="AS31" s="13" t="s">
        <v>5556</v>
      </c>
      <c r="AT31" s="13" t="s">
        <v>5602</v>
      </c>
      <c r="AU31" s="13">
        <v>2013.0</v>
      </c>
      <c r="AV31" s="13">
        <v>8.0</v>
      </c>
      <c r="AW31" s="13">
        <v>8.0</v>
      </c>
      <c r="AX31" s="13" t="s">
        <v>5510</v>
      </c>
      <c r="AY31" s="13" t="s">
        <v>5510</v>
      </c>
      <c r="AZ31" s="13" t="s">
        <v>5510</v>
      </c>
      <c r="BA31" s="13" t="s">
        <v>5510</v>
      </c>
      <c r="BB31" s="13" t="s">
        <v>5510</v>
      </c>
      <c r="BC31" s="13" t="s">
        <v>5510</v>
      </c>
      <c r="BD31" s="13" t="s">
        <v>6162</v>
      </c>
      <c r="BE31" s="13" t="s">
        <v>6163</v>
      </c>
      <c r="BF31" s="52" t="str">
        <f>HYPERLINK("http://dx.doi.org/10.1371/journal.pone.0071406","http://dx.doi.org/10.1371/journal.pone.0071406")</f>
        <v>http://dx.doi.org/10.1371/journal.pone.0071406</v>
      </c>
      <c r="BG31" s="13" t="s">
        <v>5510</v>
      </c>
      <c r="BH31" s="13" t="s">
        <v>5510</v>
      </c>
      <c r="BI31" s="13">
        <v>15.0</v>
      </c>
      <c r="BJ31" s="13" t="s">
        <v>5560</v>
      </c>
      <c r="BK31" s="13" t="s">
        <v>5534</v>
      </c>
      <c r="BL31" s="13" t="s">
        <v>5562</v>
      </c>
      <c r="BM31" s="13" t="s">
        <v>6164</v>
      </c>
      <c r="BN31" s="13">
        <v>2.3967206E7</v>
      </c>
      <c r="BO31" s="13" t="s">
        <v>5564</v>
      </c>
      <c r="BP31" s="13" t="s">
        <v>5510</v>
      </c>
      <c r="BQ31" s="13" t="s">
        <v>5510</v>
      </c>
      <c r="BR31" s="13" t="s">
        <v>5538</v>
      </c>
      <c r="BS31" s="13" t="s">
        <v>6165</v>
      </c>
      <c r="BT31" s="13">
        <v>24752.0</v>
      </c>
      <c r="BU31" s="13" t="s">
        <v>5540</v>
      </c>
      <c r="BV31" s="13" t="s">
        <v>4864</v>
      </c>
      <c r="BW31" s="13" t="str">
        <f>VLOOKUP($BT31,Enriched!$A$2:$E$1070,5,false)</f>
        <v>["Energy Production &amp; Mining", "Transportation &amp; Service Corridors"]</v>
      </c>
      <c r="BX31" s="13" t="str">
        <f>VLOOKUP($BT31,Enriched!$A$2:$E$1070,4,false)</f>
        <v>["Oil &amp; gas drilling", "Shipping lanes"]</v>
      </c>
      <c r="BY31" s="13" t="b">
        <f>VLOOKUP(BT31,Enriched!$A$1:$AA$1070,27,falsE)</f>
        <v>1</v>
      </c>
      <c r="BZ31" s="2" t="str">
        <f>VLOOKUP(BT31,Enriched!$A$1:$AA$1070,14,falsE)</f>
        <v>cumulative</v>
      </c>
      <c r="CA31" s="13" t="str">
        <f>HYPERLINK("https%3A%2F%2Fwww.webofscience.com%2Fwos%2Fwoscc%2Ffull-record%2FWOS:000323115800057","View Full Record in Web of Science")</f>
        <v>View Full Record in Web of Science</v>
      </c>
    </row>
    <row r="32" ht="12.75" customHeight="1">
      <c r="A32" s="13" t="s">
        <v>5508</v>
      </c>
      <c r="B32" s="13" t="s">
        <v>6166</v>
      </c>
      <c r="C32" s="13" t="s">
        <v>5510</v>
      </c>
      <c r="D32" s="13" t="s">
        <v>5510</v>
      </c>
      <c r="E32" s="13" t="s">
        <v>5510</v>
      </c>
      <c r="F32" s="13" t="s">
        <v>6167</v>
      </c>
      <c r="G32" s="13" t="s">
        <v>5510</v>
      </c>
      <c r="H32" s="13" t="s">
        <v>5510</v>
      </c>
      <c r="I32" s="2" t="s">
        <v>3019</v>
      </c>
      <c r="J32" s="13" t="s">
        <v>5919</v>
      </c>
      <c r="K32" s="13" t="s">
        <v>5510</v>
      </c>
      <c r="L32" s="13" t="s">
        <v>5510</v>
      </c>
      <c r="M32" s="13" t="s">
        <v>5513</v>
      </c>
      <c r="N32" s="13" t="s">
        <v>6168</v>
      </c>
      <c r="O32" s="13" t="s">
        <v>5510</v>
      </c>
      <c r="P32" s="13" t="s">
        <v>5510</v>
      </c>
      <c r="Q32" s="13" t="s">
        <v>5510</v>
      </c>
      <c r="R32" s="13" t="s">
        <v>5510</v>
      </c>
      <c r="S32" s="13" t="s">
        <v>5510</v>
      </c>
      <c r="T32" s="13" t="s">
        <v>5510</v>
      </c>
      <c r="U32" s="13" t="s">
        <v>5510</v>
      </c>
      <c r="V32" s="13" t="s">
        <v>5510</v>
      </c>
      <c r="W32" s="13" t="s">
        <v>6169</v>
      </c>
      <c r="X32" s="13" t="s">
        <v>6170</v>
      </c>
      <c r="Y32" s="13" t="s">
        <v>6171</v>
      </c>
      <c r="Z32" s="13" t="s">
        <v>6172</v>
      </c>
      <c r="AA32" s="13" t="s">
        <v>6173</v>
      </c>
      <c r="AB32" s="13" t="s">
        <v>6174</v>
      </c>
      <c r="AC32" s="13" t="s">
        <v>5510</v>
      </c>
      <c r="AD32" s="13" t="s">
        <v>5510</v>
      </c>
      <c r="AE32" s="13" t="s">
        <v>5510</v>
      </c>
      <c r="AF32" s="13" t="s">
        <v>5510</v>
      </c>
      <c r="AG32" s="13">
        <v>1.0</v>
      </c>
      <c r="AH32" s="13">
        <v>0.0</v>
      </c>
      <c r="AI32" s="13">
        <v>0.0</v>
      </c>
      <c r="AJ32" s="13">
        <v>1.0</v>
      </c>
      <c r="AK32" s="13">
        <v>15.0</v>
      </c>
      <c r="AL32" s="13" t="s">
        <v>5931</v>
      </c>
      <c r="AM32" s="13" t="s">
        <v>5932</v>
      </c>
      <c r="AN32" s="13" t="s">
        <v>5933</v>
      </c>
      <c r="AO32" s="13" t="s">
        <v>5934</v>
      </c>
      <c r="AP32" s="13" t="s">
        <v>5935</v>
      </c>
      <c r="AQ32" s="13" t="s">
        <v>5510</v>
      </c>
      <c r="AR32" s="13" t="s">
        <v>5936</v>
      </c>
      <c r="AS32" s="13" t="s">
        <v>5937</v>
      </c>
      <c r="AT32" s="13" t="s">
        <v>6175</v>
      </c>
      <c r="AU32" s="13">
        <v>2017.0</v>
      </c>
      <c r="AV32" s="13">
        <v>212.0</v>
      </c>
      <c r="AW32" s="13" t="s">
        <v>5510</v>
      </c>
      <c r="AX32" s="13" t="s">
        <v>6176</v>
      </c>
      <c r="AY32" s="13" t="s">
        <v>5510</v>
      </c>
      <c r="AZ32" s="13" t="s">
        <v>5510</v>
      </c>
      <c r="BA32" s="13" t="s">
        <v>5510</v>
      </c>
      <c r="BB32" s="13">
        <v>385.0</v>
      </c>
      <c r="BC32" s="13">
        <v>385.0</v>
      </c>
      <c r="BD32" s="13" t="s">
        <v>5510</v>
      </c>
      <c r="BE32" s="13" t="s">
        <v>6177</v>
      </c>
      <c r="BF32" s="52" t="str">
        <f>HYPERLINK("http://dx.doi.org/10.1016/j.biocon.2017.06.021","http://dx.doi.org/10.1016/j.biocon.2017.06.021")</f>
        <v>http://dx.doi.org/10.1016/j.biocon.2017.06.021</v>
      </c>
      <c r="BG32" s="13" t="s">
        <v>5510</v>
      </c>
      <c r="BH32" s="13" t="s">
        <v>5510</v>
      </c>
      <c r="BI32" s="13">
        <v>1.0</v>
      </c>
      <c r="BJ32" s="13" t="s">
        <v>5698</v>
      </c>
      <c r="BK32" s="13" t="s">
        <v>5561</v>
      </c>
      <c r="BL32" s="13" t="s">
        <v>5699</v>
      </c>
      <c r="BM32" s="13" t="s">
        <v>6178</v>
      </c>
      <c r="BN32" s="13" t="s">
        <v>5510</v>
      </c>
      <c r="BO32" s="13" t="s">
        <v>5510</v>
      </c>
      <c r="BP32" s="13" t="s">
        <v>5510</v>
      </c>
      <c r="BQ32" s="13" t="s">
        <v>5510</v>
      </c>
      <c r="BR32" s="13" t="s">
        <v>5538</v>
      </c>
      <c r="BS32" s="13" t="s">
        <v>6179</v>
      </c>
      <c r="BT32" s="13">
        <v>25122.0</v>
      </c>
      <c r="BU32" s="13" t="s">
        <v>5540</v>
      </c>
      <c r="BV32" s="13" t="s">
        <v>4856</v>
      </c>
      <c r="BW32" s="13" t="str">
        <f>VLOOKUP($BT32,Enriched!$A$2:$E$1070,5,false)</f>
        <v>["Transportation &amp; Service Corridors"]</v>
      </c>
      <c r="BX32" s="13" t="str">
        <f>VLOOKUP($BT32,Enriched!$A$2:$E$1070,4,false)</f>
        <v>["Utility &amp; service lines"]</v>
      </c>
      <c r="BY32" s="13" t="b">
        <f>VLOOKUP(BT32,Enriched!$A$1:$AA$1070,27,falsE)</f>
        <v>0</v>
      </c>
      <c r="BZ32" s="2" t="str">
        <f>VLOOKUP(BT32,Enriched!$A$1:$AA$1070,14,falsE)</f>
        <v>level2</v>
      </c>
      <c r="CA32" s="13" t="str">
        <f>HYPERLINK("https%3A%2F%2Fwww.webofscience.com%2Fwos%2Fwoscc%2Ffull-record%2FWOS:000407186000042","View Full Record in Web of Science")</f>
        <v>View Full Record in Web of Science</v>
      </c>
    </row>
    <row r="33" ht="12.75" customHeight="1">
      <c r="A33" s="13" t="s">
        <v>5508</v>
      </c>
      <c r="B33" s="13" t="s">
        <v>6166</v>
      </c>
      <c r="C33" s="13" t="s">
        <v>5510</v>
      </c>
      <c r="D33" s="13" t="s">
        <v>5510</v>
      </c>
      <c r="E33" s="13" t="s">
        <v>5510</v>
      </c>
      <c r="F33" s="13" t="s">
        <v>6167</v>
      </c>
      <c r="G33" s="13" t="s">
        <v>5510</v>
      </c>
      <c r="H33" s="13" t="s">
        <v>5510</v>
      </c>
      <c r="I33" s="13" t="s">
        <v>3019</v>
      </c>
      <c r="J33" s="13" t="s">
        <v>5919</v>
      </c>
      <c r="K33" s="13" t="s">
        <v>5510</v>
      </c>
      <c r="L33" s="13" t="s">
        <v>5510</v>
      </c>
      <c r="M33" s="13" t="s">
        <v>5513</v>
      </c>
      <c r="N33" s="13" t="s">
        <v>5514</v>
      </c>
      <c r="O33" s="13" t="s">
        <v>5510</v>
      </c>
      <c r="P33" s="13" t="s">
        <v>5510</v>
      </c>
      <c r="Q33" s="13" t="s">
        <v>5510</v>
      </c>
      <c r="R33" s="13" t="s">
        <v>5510</v>
      </c>
      <c r="S33" s="13" t="s">
        <v>5510</v>
      </c>
      <c r="T33" s="13" t="s">
        <v>6180</v>
      </c>
      <c r="U33" s="13" t="s">
        <v>6181</v>
      </c>
      <c r="V33" s="13" t="s">
        <v>6182</v>
      </c>
      <c r="W33" s="13" t="s">
        <v>6183</v>
      </c>
      <c r="X33" s="13" t="s">
        <v>6170</v>
      </c>
      <c r="Y33" s="13" t="s">
        <v>6184</v>
      </c>
      <c r="Z33" s="13" t="s">
        <v>6172</v>
      </c>
      <c r="AA33" s="13" t="s">
        <v>6185</v>
      </c>
      <c r="AB33" s="13" t="s">
        <v>6186</v>
      </c>
      <c r="AC33" s="13" t="s">
        <v>6187</v>
      </c>
      <c r="AD33" s="13" t="s">
        <v>6188</v>
      </c>
      <c r="AE33" s="13" t="s">
        <v>6189</v>
      </c>
      <c r="AF33" s="13" t="s">
        <v>5510</v>
      </c>
      <c r="AG33" s="13">
        <v>98.0</v>
      </c>
      <c r="AH33" s="13">
        <v>29.0</v>
      </c>
      <c r="AI33" s="13">
        <v>35.0</v>
      </c>
      <c r="AJ33" s="13">
        <v>4.0</v>
      </c>
      <c r="AK33" s="13">
        <v>51.0</v>
      </c>
      <c r="AL33" s="13" t="s">
        <v>5931</v>
      </c>
      <c r="AM33" s="13" t="s">
        <v>5932</v>
      </c>
      <c r="AN33" s="13" t="s">
        <v>5933</v>
      </c>
      <c r="AO33" s="13" t="s">
        <v>5934</v>
      </c>
      <c r="AP33" s="13" t="s">
        <v>5935</v>
      </c>
      <c r="AQ33" s="13" t="s">
        <v>5510</v>
      </c>
      <c r="AR33" s="13" t="s">
        <v>5936</v>
      </c>
      <c r="AS33" s="13" t="s">
        <v>5937</v>
      </c>
      <c r="AT33" s="13" t="s">
        <v>5720</v>
      </c>
      <c r="AU33" s="13">
        <v>2017.0</v>
      </c>
      <c r="AV33" s="13">
        <v>210.0</v>
      </c>
      <c r="AW33" s="13" t="s">
        <v>5510</v>
      </c>
      <c r="AX33" s="13" t="s">
        <v>6176</v>
      </c>
      <c r="AY33" s="13" t="s">
        <v>5510</v>
      </c>
      <c r="AZ33" s="13" t="s">
        <v>5510</v>
      </c>
      <c r="BA33" s="13" t="s">
        <v>5510</v>
      </c>
      <c r="BB33" s="13">
        <v>334.0</v>
      </c>
      <c r="BC33" s="13">
        <v>342.0</v>
      </c>
      <c r="BD33" s="13" t="s">
        <v>5510</v>
      </c>
      <c r="BE33" s="13" t="s">
        <v>6190</v>
      </c>
      <c r="BF33" s="52" t="str">
        <f>HYPERLINK("http://dx.doi.org/10.1016/j.biocon.2017.04.033","http://dx.doi.org/10.1016/j.biocon.2017.04.033")</f>
        <v>http://dx.doi.org/10.1016/j.biocon.2017.04.033</v>
      </c>
      <c r="BG33" s="13" t="s">
        <v>5510</v>
      </c>
      <c r="BH33" s="13" t="s">
        <v>5510</v>
      </c>
      <c r="BI33" s="13">
        <v>9.0</v>
      </c>
      <c r="BJ33" s="13" t="s">
        <v>5698</v>
      </c>
      <c r="BK33" s="13" t="s">
        <v>5561</v>
      </c>
      <c r="BL33" s="13" t="s">
        <v>5699</v>
      </c>
      <c r="BM33" s="13" t="s">
        <v>6191</v>
      </c>
      <c r="BN33" s="13" t="s">
        <v>5510</v>
      </c>
      <c r="BO33" s="13" t="s">
        <v>5510</v>
      </c>
      <c r="BP33" s="13" t="s">
        <v>5510</v>
      </c>
      <c r="BQ33" s="13" t="s">
        <v>5510</v>
      </c>
      <c r="BR33" s="13" t="s">
        <v>5538</v>
      </c>
      <c r="BS33" s="13" t="s">
        <v>6192</v>
      </c>
      <c r="BT33" s="13">
        <v>25122.0</v>
      </c>
      <c r="BU33" s="13" t="s">
        <v>5540</v>
      </c>
      <c r="BV33" s="13" t="s">
        <v>4856</v>
      </c>
      <c r="BW33" s="13" t="str">
        <f>VLOOKUP($BT33,Enriched!$A$2:$E$1070,5,false)</f>
        <v>["Transportation &amp; Service Corridors"]</v>
      </c>
      <c r="BX33" s="13" t="str">
        <f>VLOOKUP($BT33,Enriched!$A$2:$E$1070,4,false)</f>
        <v>["Utility &amp; service lines"]</v>
      </c>
      <c r="BY33" s="13" t="b">
        <f>VLOOKUP(BT33,Enriched!$A$1:$AA$1070,27,falsE)</f>
        <v>0</v>
      </c>
      <c r="BZ33" s="2" t="str">
        <f>VLOOKUP(BT33,Enriched!$A$1:$AA$1070,14,falsE)</f>
        <v>level2</v>
      </c>
      <c r="CA33" s="13" t="str">
        <f>HYPERLINK("https%3A%2F%2Fwww.webofscience.com%2Fwos%2Fwoscc%2Ffull-record%2FWOS:000405881600037","View Full Record in Web of Science")</f>
        <v>View Full Record in Web of Science</v>
      </c>
    </row>
    <row r="34" ht="12.75" customHeight="1">
      <c r="A34" s="13" t="s">
        <v>5508</v>
      </c>
      <c r="B34" s="13" t="s">
        <v>6193</v>
      </c>
      <c r="C34" s="13" t="s">
        <v>5510</v>
      </c>
      <c r="D34" s="13" t="s">
        <v>5510</v>
      </c>
      <c r="E34" s="13" t="s">
        <v>5510</v>
      </c>
      <c r="F34" s="13" t="s">
        <v>6194</v>
      </c>
      <c r="G34" s="13" t="s">
        <v>5510</v>
      </c>
      <c r="H34" s="13" t="s">
        <v>5510</v>
      </c>
      <c r="I34" s="13" t="s">
        <v>3015</v>
      </c>
      <c r="J34" s="13" t="s">
        <v>5677</v>
      </c>
      <c r="K34" s="13" t="s">
        <v>5510</v>
      </c>
      <c r="L34" s="13" t="s">
        <v>5510</v>
      </c>
      <c r="M34" s="13" t="s">
        <v>5513</v>
      </c>
      <c r="N34" s="13" t="s">
        <v>5514</v>
      </c>
      <c r="O34" s="13" t="s">
        <v>5510</v>
      </c>
      <c r="P34" s="13" t="s">
        <v>5510</v>
      </c>
      <c r="Q34" s="13" t="s">
        <v>5510</v>
      </c>
      <c r="R34" s="13" t="s">
        <v>5510</v>
      </c>
      <c r="S34" s="13" t="s">
        <v>5510</v>
      </c>
      <c r="T34" s="13" t="s">
        <v>6195</v>
      </c>
      <c r="U34" s="13" t="s">
        <v>6196</v>
      </c>
      <c r="V34" s="13" t="s">
        <v>6197</v>
      </c>
      <c r="W34" s="13" t="s">
        <v>6198</v>
      </c>
      <c r="X34" s="13" t="s">
        <v>6199</v>
      </c>
      <c r="Y34" s="13" t="s">
        <v>6200</v>
      </c>
      <c r="Z34" s="13" t="s">
        <v>6201</v>
      </c>
      <c r="AA34" s="13" t="s">
        <v>6202</v>
      </c>
      <c r="AB34" s="13" t="s">
        <v>6203</v>
      </c>
      <c r="AC34" s="13" t="s">
        <v>6204</v>
      </c>
      <c r="AD34" s="13" t="s">
        <v>6205</v>
      </c>
      <c r="AE34" s="13" t="s">
        <v>6206</v>
      </c>
      <c r="AF34" s="13" t="s">
        <v>5510</v>
      </c>
      <c r="AG34" s="13">
        <v>84.0</v>
      </c>
      <c r="AH34" s="13">
        <v>20.0</v>
      </c>
      <c r="AI34" s="13">
        <v>21.0</v>
      </c>
      <c r="AJ34" s="13">
        <v>1.0</v>
      </c>
      <c r="AK34" s="13">
        <v>27.0</v>
      </c>
      <c r="AL34" s="13" t="s">
        <v>5690</v>
      </c>
      <c r="AM34" s="13" t="s">
        <v>5691</v>
      </c>
      <c r="AN34" s="13" t="s">
        <v>5692</v>
      </c>
      <c r="AO34" s="13" t="s">
        <v>5693</v>
      </c>
      <c r="AP34" s="13" t="s">
        <v>5694</v>
      </c>
      <c r="AQ34" s="13" t="s">
        <v>5510</v>
      </c>
      <c r="AR34" s="13" t="s">
        <v>5695</v>
      </c>
      <c r="AS34" s="13" t="s">
        <v>5696</v>
      </c>
      <c r="AT34" s="13" t="s">
        <v>1453</v>
      </c>
      <c r="AU34" s="13">
        <v>2020.0</v>
      </c>
      <c r="AV34" s="13">
        <v>29.0</v>
      </c>
      <c r="AW34" s="13">
        <v>13.0</v>
      </c>
      <c r="AX34" s="13" t="s">
        <v>5510</v>
      </c>
      <c r="AY34" s="13" t="s">
        <v>5510</v>
      </c>
      <c r="AZ34" s="13" t="s">
        <v>5510</v>
      </c>
      <c r="BA34" s="13" t="s">
        <v>5510</v>
      </c>
      <c r="BB34" s="13">
        <v>3669.0</v>
      </c>
      <c r="BC34" s="13">
        <v>3688.0</v>
      </c>
      <c r="BD34" s="13" t="s">
        <v>5510</v>
      </c>
      <c r="BE34" s="13" t="s">
        <v>6207</v>
      </c>
      <c r="BF34" s="52" t="str">
        <f>HYPERLINK("http://dx.doi.org/10.1007/s10531-020-02042-1","http://dx.doi.org/10.1007/s10531-020-02042-1")</f>
        <v>http://dx.doi.org/10.1007/s10531-020-02042-1</v>
      </c>
      <c r="BG34" s="13" t="s">
        <v>5510</v>
      </c>
      <c r="BH34" s="13" t="s">
        <v>5868</v>
      </c>
      <c r="BI34" s="13">
        <v>20.0</v>
      </c>
      <c r="BJ34" s="13" t="s">
        <v>5698</v>
      </c>
      <c r="BK34" s="13" t="s">
        <v>5561</v>
      </c>
      <c r="BL34" s="13" t="s">
        <v>5699</v>
      </c>
      <c r="BM34" s="13" t="s">
        <v>6208</v>
      </c>
      <c r="BN34" s="13" t="s">
        <v>5510</v>
      </c>
      <c r="BO34" s="13" t="s">
        <v>6028</v>
      </c>
      <c r="BP34" s="13" t="s">
        <v>5510</v>
      </c>
      <c r="BQ34" s="13" t="s">
        <v>5510</v>
      </c>
      <c r="BR34" s="13" t="s">
        <v>5538</v>
      </c>
      <c r="BS34" s="13" t="s">
        <v>6209</v>
      </c>
      <c r="BT34" s="13">
        <v>25535.0</v>
      </c>
      <c r="BU34" s="13" t="s">
        <v>5540</v>
      </c>
      <c r="BV34" s="13" t="s">
        <v>4856</v>
      </c>
      <c r="BW34" s="13" t="str">
        <f>VLOOKUP($BT34,Enriched!$A$2:$E$1070,5,false)</f>
        <v>["Agriculture &amp; Aquaculture"]</v>
      </c>
      <c r="BX34" s="13" t="str">
        <f>VLOOKUP($BT34,Enriched!$A$2:$E$1070,4,false)</f>
        <v/>
      </c>
      <c r="BY34" s="13" t="b">
        <f>VLOOKUP(BT34,Enriched!$A$1:$AA$1070,27,falsE)</f>
        <v>1</v>
      </c>
      <c r="BZ34" s="2" t="str">
        <f>VLOOKUP(BT34,Enriched!$A$1:$AA$1070,14,falsE)</f>
        <v>level1</v>
      </c>
      <c r="CA34" s="13" t="str">
        <f>HYPERLINK("https%3A%2F%2Fwww.webofscience.com%2Fwos%2Fwoscc%2Ffull-record%2FWOS:000561243800001","View Full Record in Web of Science")</f>
        <v>View Full Record in Web of Science</v>
      </c>
    </row>
    <row r="35" ht="12.75" customHeight="1">
      <c r="A35" s="13" t="s">
        <v>5508</v>
      </c>
      <c r="B35" s="13" t="s">
        <v>6210</v>
      </c>
      <c r="C35" s="13" t="s">
        <v>5510</v>
      </c>
      <c r="D35" s="13" t="s">
        <v>5510</v>
      </c>
      <c r="E35" s="13" t="s">
        <v>5510</v>
      </c>
      <c r="F35" s="13" t="s">
        <v>6211</v>
      </c>
      <c r="G35" s="13" t="s">
        <v>5510</v>
      </c>
      <c r="H35" s="13" t="s">
        <v>5510</v>
      </c>
      <c r="I35" s="13" t="s">
        <v>3013</v>
      </c>
      <c r="J35" s="13" t="s">
        <v>6212</v>
      </c>
      <c r="K35" s="13" t="s">
        <v>5510</v>
      </c>
      <c r="L35" s="13" t="s">
        <v>5510</v>
      </c>
      <c r="M35" s="13" t="s">
        <v>5513</v>
      </c>
      <c r="N35" s="13" t="s">
        <v>5514</v>
      </c>
      <c r="O35" s="13" t="s">
        <v>5510</v>
      </c>
      <c r="P35" s="13" t="s">
        <v>5510</v>
      </c>
      <c r="Q35" s="13" t="s">
        <v>5510</v>
      </c>
      <c r="R35" s="13" t="s">
        <v>5510</v>
      </c>
      <c r="S35" s="13" t="s">
        <v>5510</v>
      </c>
      <c r="T35" s="13" t="s">
        <v>6213</v>
      </c>
      <c r="U35" s="13" t="s">
        <v>6214</v>
      </c>
      <c r="V35" s="13" t="s">
        <v>6215</v>
      </c>
      <c r="W35" s="13" t="s">
        <v>6216</v>
      </c>
      <c r="X35" s="13" t="s">
        <v>6217</v>
      </c>
      <c r="Y35" s="13" t="s">
        <v>6218</v>
      </c>
      <c r="Z35" s="13" t="s">
        <v>6219</v>
      </c>
      <c r="AA35" s="13" t="s">
        <v>6220</v>
      </c>
      <c r="AB35" s="13" t="s">
        <v>6221</v>
      </c>
      <c r="AC35" s="13" t="s">
        <v>6222</v>
      </c>
      <c r="AD35" s="13" t="s">
        <v>6223</v>
      </c>
      <c r="AE35" s="13" t="s">
        <v>6224</v>
      </c>
      <c r="AF35" s="13" t="s">
        <v>5510</v>
      </c>
      <c r="AG35" s="13">
        <v>62.0</v>
      </c>
      <c r="AH35" s="13">
        <v>11.0</v>
      </c>
      <c r="AI35" s="13">
        <v>12.0</v>
      </c>
      <c r="AJ35" s="13">
        <v>1.0</v>
      </c>
      <c r="AK35" s="13">
        <v>8.0</v>
      </c>
      <c r="AL35" s="13" t="s">
        <v>5759</v>
      </c>
      <c r="AM35" s="13" t="s">
        <v>5760</v>
      </c>
      <c r="AN35" s="13" t="s">
        <v>5761</v>
      </c>
      <c r="AO35" s="13" t="s">
        <v>5510</v>
      </c>
      <c r="AP35" s="13" t="s">
        <v>6225</v>
      </c>
      <c r="AQ35" s="13" t="s">
        <v>5510</v>
      </c>
      <c r="AR35" s="13" t="s">
        <v>6226</v>
      </c>
      <c r="AS35" s="13" t="s">
        <v>6227</v>
      </c>
      <c r="AT35" s="13" t="s">
        <v>1925</v>
      </c>
      <c r="AU35" s="13">
        <v>2020.0</v>
      </c>
      <c r="AV35" s="13">
        <v>23.0</v>
      </c>
      <c r="AW35" s="13" t="s">
        <v>5510</v>
      </c>
      <c r="AX35" s="13" t="s">
        <v>5510</v>
      </c>
      <c r="AY35" s="13" t="s">
        <v>5510</v>
      </c>
      <c r="AZ35" s="13" t="s">
        <v>5510</v>
      </c>
      <c r="BA35" s="13" t="s">
        <v>5510</v>
      </c>
      <c r="BB35" s="13" t="s">
        <v>5510</v>
      </c>
      <c r="BC35" s="13" t="s">
        <v>5510</v>
      </c>
      <c r="BD35" s="13" t="s">
        <v>6228</v>
      </c>
      <c r="BE35" s="13" t="s">
        <v>6229</v>
      </c>
      <c r="BF35" s="52" t="str">
        <f>HYPERLINK("http://dx.doi.org/10.1016/j.gecco.2020.e01082","http://dx.doi.org/10.1016/j.gecco.2020.e01082")</f>
        <v>http://dx.doi.org/10.1016/j.gecco.2020.e01082</v>
      </c>
      <c r="BG35" s="13" t="s">
        <v>5510</v>
      </c>
      <c r="BH35" s="13" t="s">
        <v>5510</v>
      </c>
      <c r="BI35" s="13">
        <v>13.0</v>
      </c>
      <c r="BJ35" s="13" t="s">
        <v>5958</v>
      </c>
      <c r="BK35" s="13" t="s">
        <v>5561</v>
      </c>
      <c r="BL35" s="13" t="s">
        <v>5699</v>
      </c>
      <c r="BM35" s="13" t="s">
        <v>6230</v>
      </c>
      <c r="BN35" s="13" t="s">
        <v>5510</v>
      </c>
      <c r="BO35" s="13" t="s">
        <v>5564</v>
      </c>
      <c r="BP35" s="13" t="s">
        <v>5510</v>
      </c>
      <c r="BQ35" s="13" t="s">
        <v>5510</v>
      </c>
      <c r="BR35" s="13" t="s">
        <v>5538</v>
      </c>
      <c r="BS35" s="13" t="s">
        <v>6231</v>
      </c>
      <c r="BT35" s="13">
        <v>24203.0</v>
      </c>
      <c r="BU35" s="13" t="s">
        <v>5540</v>
      </c>
      <c r="BV35" s="13" t="s">
        <v>4856</v>
      </c>
      <c r="BW35" s="13" t="str">
        <f>VLOOKUP($BT35,Enriched!$A$2:$E$1070,5,false)</f>
        <v>["Transportation &amp; Service Corridors"]</v>
      </c>
      <c r="BX35" s="13" t="str">
        <f>VLOOKUP($BT35,Enriched!$A$2:$E$1070,4,false)</f>
        <v>["Utility &amp; service lines"]</v>
      </c>
      <c r="BY35" s="13" t="b">
        <f>VLOOKUP(BT35,Enriched!$A$1:$AA$1070,27,falsE)</f>
        <v>0</v>
      </c>
      <c r="BZ35" s="2" t="str">
        <f>VLOOKUP(BT35,Enriched!$A$1:$AA$1070,14,falsE)</f>
        <v>level2</v>
      </c>
      <c r="CA35" s="13" t="str">
        <f>HYPERLINK("https%3A%2F%2Fwww.webofscience.com%2Fwos%2Fwoscc%2Ffull-record%2FWOS:000568729900019","View Full Record in Web of Science")</f>
        <v>View Full Record in Web of Science</v>
      </c>
    </row>
    <row r="36" ht="12.75" customHeight="1">
      <c r="A36" s="13" t="s">
        <v>6232</v>
      </c>
      <c r="B36" s="13" t="s">
        <v>6233</v>
      </c>
      <c r="C36" s="13" t="s">
        <v>5510</v>
      </c>
      <c r="D36" s="13" t="s">
        <v>6234</v>
      </c>
      <c r="E36" s="13" t="s">
        <v>5510</v>
      </c>
      <c r="F36" s="13" t="s">
        <v>6235</v>
      </c>
      <c r="G36" s="13" t="s">
        <v>5510</v>
      </c>
      <c r="H36" s="13" t="s">
        <v>5510</v>
      </c>
      <c r="I36" s="13" t="s">
        <v>6236</v>
      </c>
      <c r="J36" s="13" t="s">
        <v>6237</v>
      </c>
      <c r="K36" s="13" t="s">
        <v>105</v>
      </c>
      <c r="L36" s="13" t="s">
        <v>5510</v>
      </c>
      <c r="M36" s="13" t="s">
        <v>5513</v>
      </c>
      <c r="N36" s="13" t="s">
        <v>6238</v>
      </c>
      <c r="O36" s="13" t="s">
        <v>6239</v>
      </c>
      <c r="P36" s="13" t="s">
        <v>6240</v>
      </c>
      <c r="Q36" s="13" t="s">
        <v>6241</v>
      </c>
      <c r="R36" s="13" t="s">
        <v>6242</v>
      </c>
      <c r="S36" s="13" t="s">
        <v>5510</v>
      </c>
      <c r="T36" s="13" t="s">
        <v>5510</v>
      </c>
      <c r="U36" s="13" t="s">
        <v>5510</v>
      </c>
      <c r="V36" s="13" t="s">
        <v>6243</v>
      </c>
      <c r="W36" s="13" t="s">
        <v>6244</v>
      </c>
      <c r="X36" s="13" t="s">
        <v>5510</v>
      </c>
      <c r="Y36" s="13" t="s">
        <v>6245</v>
      </c>
      <c r="Z36" s="13" t="s">
        <v>6246</v>
      </c>
      <c r="AA36" s="13" t="s">
        <v>5510</v>
      </c>
      <c r="AB36" s="13" t="s">
        <v>5510</v>
      </c>
      <c r="AC36" s="13" t="s">
        <v>5510</v>
      </c>
      <c r="AD36" s="13" t="s">
        <v>5510</v>
      </c>
      <c r="AE36" s="13" t="s">
        <v>5510</v>
      </c>
      <c r="AF36" s="13" t="s">
        <v>5510</v>
      </c>
      <c r="AG36" s="13">
        <v>6.0</v>
      </c>
      <c r="AH36" s="13">
        <v>2.0</v>
      </c>
      <c r="AI36" s="13">
        <v>2.0</v>
      </c>
      <c r="AJ36" s="13">
        <v>0.0</v>
      </c>
      <c r="AK36" s="13">
        <v>7.0</v>
      </c>
      <c r="AL36" s="13" t="s">
        <v>6247</v>
      </c>
      <c r="AM36" s="13" t="s">
        <v>5908</v>
      </c>
      <c r="AN36" s="13" t="s">
        <v>6248</v>
      </c>
      <c r="AO36" s="13" t="s">
        <v>6249</v>
      </c>
      <c r="AP36" s="13" t="s">
        <v>6250</v>
      </c>
      <c r="AQ36" s="13" t="s">
        <v>6251</v>
      </c>
      <c r="AR36" s="13" t="s">
        <v>6252</v>
      </c>
      <c r="AS36" s="13" t="s">
        <v>6253</v>
      </c>
      <c r="AT36" s="13" t="s">
        <v>5510</v>
      </c>
      <c r="AU36" s="13">
        <v>2012.0</v>
      </c>
      <c r="AV36" s="13">
        <v>1111.0</v>
      </c>
      <c r="AW36" s="13" t="s">
        <v>5510</v>
      </c>
      <c r="AX36" s="13" t="s">
        <v>5510</v>
      </c>
      <c r="AY36" s="13" t="s">
        <v>5510</v>
      </c>
      <c r="AZ36" s="13" t="s">
        <v>5510</v>
      </c>
      <c r="BA36" s="13" t="s">
        <v>5510</v>
      </c>
      <c r="BB36" s="13">
        <v>293.0</v>
      </c>
      <c r="BC36" s="13">
        <v>301.0</v>
      </c>
      <c r="BD36" s="13" t="s">
        <v>5510</v>
      </c>
      <c r="BF36" s="13" t="s">
        <v>5510</v>
      </c>
      <c r="BG36" s="13" t="s">
        <v>5510</v>
      </c>
      <c r="BH36" s="13" t="s">
        <v>5510</v>
      </c>
      <c r="BI36" s="13">
        <v>9.0</v>
      </c>
      <c r="BJ36" s="13" t="s">
        <v>6254</v>
      </c>
      <c r="BK36" s="13" t="s">
        <v>6255</v>
      </c>
      <c r="BL36" s="13" t="s">
        <v>6256</v>
      </c>
      <c r="BM36" s="13" t="s">
        <v>6257</v>
      </c>
      <c r="BN36" s="13" t="s">
        <v>5510</v>
      </c>
      <c r="BO36" s="13" t="s">
        <v>5510</v>
      </c>
      <c r="BP36" s="13" t="s">
        <v>5510</v>
      </c>
      <c r="BQ36" s="13" t="s">
        <v>5510</v>
      </c>
      <c r="BR36" s="13" t="s">
        <v>5538</v>
      </c>
      <c r="BS36" s="13" t="s">
        <v>6258</v>
      </c>
      <c r="BT36" s="13">
        <v>23613.0</v>
      </c>
      <c r="BU36" s="13" t="s">
        <v>5540</v>
      </c>
      <c r="BV36" s="13" t="s">
        <v>4852</v>
      </c>
      <c r="BW36" s="13" t="str">
        <f>VLOOKUP($BT36,Enriched!$A$2:$E$1070,5,false)</f>
        <v>["Pollution"]</v>
      </c>
      <c r="BX36" s="13" t="str">
        <f>VLOOKUP($BT36,Enriched!$A$2:$E$1070,4,false)</f>
        <v>["Agricultural &amp; forestry effluents"]</v>
      </c>
      <c r="BY36" s="13" t="b">
        <f>VLOOKUP(BT36,Enriched!$A$1:$AA$1070,27,falsE)</f>
        <v>0</v>
      </c>
      <c r="BZ36" s="2" t="str">
        <f>VLOOKUP(BT36,Enriched!$A$1:$AA$1070,14,falsE)</f>
        <v>level2</v>
      </c>
      <c r="CA36" s="13" t="str">
        <f>HYPERLINK("https%3A%2F%2Fwww.webofscience.com%2Fwos%2Fwoscc%2Ffull-record%2FWOS:000317550400022","View Full Record in Web of Science")</f>
        <v>View Full Record in Web of Science</v>
      </c>
    </row>
    <row r="37" ht="12.75" customHeight="1">
      <c r="A37" s="13" t="s">
        <v>5508</v>
      </c>
      <c r="B37" s="13" t="s">
        <v>6259</v>
      </c>
      <c r="C37" s="13" t="s">
        <v>5510</v>
      </c>
      <c r="D37" s="13" t="s">
        <v>5510</v>
      </c>
      <c r="E37" s="13" t="s">
        <v>5510</v>
      </c>
      <c r="F37" s="13" t="s">
        <v>6260</v>
      </c>
      <c r="G37" s="13" t="s">
        <v>5510</v>
      </c>
      <c r="H37" s="13" t="s">
        <v>5510</v>
      </c>
      <c r="I37" s="13" t="s">
        <v>3008</v>
      </c>
      <c r="J37" s="13" t="s">
        <v>5543</v>
      </c>
      <c r="K37" s="13" t="s">
        <v>5510</v>
      </c>
      <c r="L37" s="13" t="s">
        <v>5510</v>
      </c>
      <c r="M37" s="13" t="s">
        <v>5513</v>
      </c>
      <c r="N37" s="13" t="s">
        <v>5514</v>
      </c>
      <c r="O37" s="13" t="s">
        <v>5510</v>
      </c>
      <c r="P37" s="13" t="s">
        <v>5510</v>
      </c>
      <c r="Q37" s="13" t="s">
        <v>5510</v>
      </c>
      <c r="R37" s="13" t="s">
        <v>5510</v>
      </c>
      <c r="S37" s="13" t="s">
        <v>5510</v>
      </c>
      <c r="T37" s="13" t="s">
        <v>5510</v>
      </c>
      <c r="U37" s="13" t="s">
        <v>6261</v>
      </c>
      <c r="V37" s="13" t="s">
        <v>6262</v>
      </c>
      <c r="W37" s="13" t="s">
        <v>6263</v>
      </c>
      <c r="X37" s="13" t="s">
        <v>6264</v>
      </c>
      <c r="Y37" s="13" t="s">
        <v>6265</v>
      </c>
      <c r="Z37" s="13" t="s">
        <v>6266</v>
      </c>
      <c r="AA37" s="13" t="s">
        <v>6267</v>
      </c>
      <c r="AB37" s="13" t="s">
        <v>6268</v>
      </c>
      <c r="AC37" s="13" t="s">
        <v>6269</v>
      </c>
      <c r="AD37" s="13" t="s">
        <v>6270</v>
      </c>
      <c r="AE37" s="13" t="s">
        <v>6271</v>
      </c>
      <c r="AF37" s="13" t="s">
        <v>5510</v>
      </c>
      <c r="AG37" s="13">
        <v>94.0</v>
      </c>
      <c r="AH37" s="13">
        <v>25.0</v>
      </c>
      <c r="AI37" s="13">
        <v>28.0</v>
      </c>
      <c r="AJ37" s="13">
        <v>2.0</v>
      </c>
      <c r="AK37" s="13">
        <v>27.0</v>
      </c>
      <c r="AL37" s="13" t="s">
        <v>5552</v>
      </c>
      <c r="AM37" s="13" t="s">
        <v>5553</v>
      </c>
      <c r="AN37" s="13" t="s">
        <v>5554</v>
      </c>
      <c r="AO37" s="13" t="s">
        <v>5555</v>
      </c>
      <c r="AP37" s="13" t="s">
        <v>5510</v>
      </c>
      <c r="AQ37" s="13" t="s">
        <v>5510</v>
      </c>
      <c r="AR37" s="13" t="s">
        <v>5543</v>
      </c>
      <c r="AS37" s="13" t="s">
        <v>5556</v>
      </c>
      <c r="AT37" s="13" t="s">
        <v>6272</v>
      </c>
      <c r="AU37" s="13">
        <v>2020.0</v>
      </c>
      <c r="AV37" s="13">
        <v>15.0</v>
      </c>
      <c r="AW37" s="13">
        <v>8.0</v>
      </c>
      <c r="AX37" s="13" t="s">
        <v>5510</v>
      </c>
      <c r="AY37" s="13" t="s">
        <v>5510</v>
      </c>
      <c r="AZ37" s="13" t="s">
        <v>5510</v>
      </c>
      <c r="BA37" s="13" t="s">
        <v>5510</v>
      </c>
      <c r="BB37" s="13" t="s">
        <v>5510</v>
      </c>
      <c r="BC37" s="13" t="s">
        <v>5510</v>
      </c>
      <c r="BD37" s="13" t="s">
        <v>6273</v>
      </c>
      <c r="BE37" s="13" t="s">
        <v>6274</v>
      </c>
      <c r="BF37" s="52" t="str">
        <f>HYPERLINK("http://dx.doi.org/10.1371/journal.pone.0237835","http://dx.doi.org/10.1371/journal.pone.0237835")</f>
        <v>http://dx.doi.org/10.1371/journal.pone.0237835</v>
      </c>
      <c r="BG37" s="13" t="s">
        <v>5510</v>
      </c>
      <c r="BH37" s="13" t="s">
        <v>5510</v>
      </c>
      <c r="BI37" s="13">
        <v>25.0</v>
      </c>
      <c r="BJ37" s="13" t="s">
        <v>5560</v>
      </c>
      <c r="BK37" s="13" t="s">
        <v>5534</v>
      </c>
      <c r="BL37" s="13" t="s">
        <v>5562</v>
      </c>
      <c r="BM37" s="13" t="s">
        <v>6275</v>
      </c>
      <c r="BN37" s="13">
        <v>3.2817725E7</v>
      </c>
      <c r="BO37" s="13" t="s">
        <v>5564</v>
      </c>
      <c r="BP37" s="13" t="s">
        <v>5510</v>
      </c>
      <c r="BQ37" s="13" t="s">
        <v>5510</v>
      </c>
      <c r="BR37" s="13" t="s">
        <v>5538</v>
      </c>
      <c r="BS37" s="13" t="s">
        <v>6276</v>
      </c>
      <c r="BT37" s="13">
        <v>25913.0</v>
      </c>
      <c r="BU37" s="13" t="s">
        <v>5540</v>
      </c>
      <c r="BV37" s="13" t="s">
        <v>4864</v>
      </c>
      <c r="BW37" s="13" t="str">
        <f>VLOOKUP($BT37,Enriched!$A$2:$E$1070,5,false)</f>
        <v>["Biological resource use"]</v>
      </c>
      <c r="BX37" s="13" t="str">
        <f>VLOOKUP($BT37,Enriched!$A$2:$E$1070,4,false)</f>
        <v>["Fishing &amp; harvesting aquatic resources"]</v>
      </c>
      <c r="BY37" s="13" t="b">
        <f>VLOOKUP(BT37,Enriched!$A$1:$AA$1070,27,falsE)</f>
        <v>0</v>
      </c>
      <c r="BZ37" s="2" t="str">
        <f>VLOOKUP(BT37,Enriched!$A$1:$AA$1070,14,falsE)</f>
        <v>level2</v>
      </c>
      <c r="CA37" s="13" t="str">
        <f>HYPERLINK("https%3A%2F%2Fwww.webofscience.com%2Fwos%2Fwoscc%2Ffull-record%2FWOS:000564315600015","View Full Record in Web of Science")</f>
        <v>View Full Record in Web of Science</v>
      </c>
    </row>
    <row r="38" ht="12.75" customHeight="1">
      <c r="A38" s="13" t="s">
        <v>5508</v>
      </c>
      <c r="B38" s="13" t="s">
        <v>6277</v>
      </c>
      <c r="C38" s="13" t="s">
        <v>5510</v>
      </c>
      <c r="D38" s="13" t="s">
        <v>5510</v>
      </c>
      <c r="E38" s="13" t="s">
        <v>5510</v>
      </c>
      <c r="F38" s="13" t="s">
        <v>6278</v>
      </c>
      <c r="G38" s="13" t="s">
        <v>5510</v>
      </c>
      <c r="H38" s="13" t="s">
        <v>5510</v>
      </c>
      <c r="I38" s="13" t="s">
        <v>3001</v>
      </c>
      <c r="J38" s="13" t="s">
        <v>6279</v>
      </c>
      <c r="K38" s="13" t="s">
        <v>5510</v>
      </c>
      <c r="L38" s="13" t="s">
        <v>5510</v>
      </c>
      <c r="M38" s="13" t="s">
        <v>5513</v>
      </c>
      <c r="N38" s="13" t="s">
        <v>5514</v>
      </c>
      <c r="O38" s="13" t="s">
        <v>5510</v>
      </c>
      <c r="P38" s="13" t="s">
        <v>5510</v>
      </c>
      <c r="Q38" s="13" t="s">
        <v>5510</v>
      </c>
      <c r="R38" s="13" t="s">
        <v>5510</v>
      </c>
      <c r="S38" s="13" t="s">
        <v>5510</v>
      </c>
      <c r="T38" s="13" t="s">
        <v>6280</v>
      </c>
      <c r="U38" s="13" t="s">
        <v>6281</v>
      </c>
      <c r="V38" s="13" t="s">
        <v>6282</v>
      </c>
      <c r="W38" s="13" t="s">
        <v>6283</v>
      </c>
      <c r="X38" s="13" t="s">
        <v>6284</v>
      </c>
      <c r="Y38" s="13" t="s">
        <v>6285</v>
      </c>
      <c r="Z38" s="13" t="s">
        <v>6286</v>
      </c>
      <c r="AA38" s="13" t="s">
        <v>6287</v>
      </c>
      <c r="AB38" s="13" t="s">
        <v>6288</v>
      </c>
      <c r="AC38" s="13" t="s">
        <v>6289</v>
      </c>
      <c r="AD38" s="13" t="s">
        <v>6290</v>
      </c>
      <c r="AE38" s="13" t="s">
        <v>6291</v>
      </c>
      <c r="AF38" s="13" t="s">
        <v>5510</v>
      </c>
      <c r="AG38" s="13">
        <v>24.0</v>
      </c>
      <c r="AH38" s="13">
        <v>8.0</v>
      </c>
      <c r="AI38" s="13">
        <v>10.0</v>
      </c>
      <c r="AJ38" s="13">
        <v>0.0</v>
      </c>
      <c r="AK38" s="13">
        <v>21.0</v>
      </c>
      <c r="AL38" s="13" t="s">
        <v>6292</v>
      </c>
      <c r="AM38" s="13" t="s">
        <v>6293</v>
      </c>
      <c r="AN38" s="13" t="s">
        <v>6294</v>
      </c>
      <c r="AO38" s="13" t="s">
        <v>6295</v>
      </c>
      <c r="AP38" s="13" t="s">
        <v>6296</v>
      </c>
      <c r="AQ38" s="13" t="s">
        <v>5510</v>
      </c>
      <c r="AR38" s="13" t="s">
        <v>6297</v>
      </c>
      <c r="AS38" s="13" t="s">
        <v>6298</v>
      </c>
      <c r="AT38" s="13" t="s">
        <v>5978</v>
      </c>
      <c r="AU38" s="13">
        <v>2019.0</v>
      </c>
      <c r="AV38" s="13">
        <v>7.0</v>
      </c>
      <c r="AW38" s="13">
        <v>4.0</v>
      </c>
      <c r="AX38" s="13" t="s">
        <v>5510</v>
      </c>
      <c r="AY38" s="13" t="s">
        <v>5510</v>
      </c>
      <c r="AZ38" s="13" t="s">
        <v>5510</v>
      </c>
      <c r="BA38" s="13" t="s">
        <v>5510</v>
      </c>
      <c r="BB38" s="13">
        <v>346.0</v>
      </c>
      <c r="BC38" s="13">
        <v>353.0</v>
      </c>
      <c r="BD38" s="13" t="s">
        <v>5510</v>
      </c>
      <c r="BE38" s="13" t="s">
        <v>6299</v>
      </c>
      <c r="BF38" s="52" t="str">
        <f>HYPERLINK("http://dx.doi.org/10.1016/j.iswcr.2019.08.004","http://dx.doi.org/10.1016/j.iswcr.2019.08.004")</f>
        <v>http://dx.doi.org/10.1016/j.iswcr.2019.08.004</v>
      </c>
      <c r="BG38" s="13" t="s">
        <v>5510</v>
      </c>
      <c r="BH38" s="13" t="s">
        <v>5510</v>
      </c>
      <c r="BI38" s="13">
        <v>8.0</v>
      </c>
      <c r="BJ38" s="13" t="s">
        <v>6300</v>
      </c>
      <c r="BK38" s="13" t="s">
        <v>5561</v>
      </c>
      <c r="BL38" s="13" t="s">
        <v>6301</v>
      </c>
      <c r="BM38" s="13" t="s">
        <v>6302</v>
      </c>
      <c r="BN38" s="13" t="s">
        <v>5510</v>
      </c>
      <c r="BO38" s="13" t="s">
        <v>5537</v>
      </c>
      <c r="BP38" s="13" t="s">
        <v>5510</v>
      </c>
      <c r="BQ38" s="13" t="s">
        <v>5510</v>
      </c>
      <c r="BR38" s="13" t="s">
        <v>5538</v>
      </c>
      <c r="BS38" s="13" t="s">
        <v>6303</v>
      </c>
      <c r="BT38" s="13">
        <v>23117.0</v>
      </c>
      <c r="BU38" s="13" t="s">
        <v>5540</v>
      </c>
      <c r="BV38" s="13" t="s">
        <v>4856</v>
      </c>
      <c r="BW38" s="13" t="str">
        <f>VLOOKUP($BT38,Enriched!$A$2:$E$1070,5,false)</f>
        <v>["Agriculture &amp; Aquaculture"]</v>
      </c>
      <c r="BX38" s="13" t="str">
        <f>VLOOKUP($BT38,Enriched!$A$2:$E$1070,4,false)</f>
        <v>["Housing &amp; urban area", "Annual &amp; perennial non-timber crops", "Livestock farming &amp; ranching"]</v>
      </c>
      <c r="BY38" s="13" t="b">
        <f>VLOOKUP(BT38,Enriched!$A$1:$AA$1070,27,falsE)</f>
        <v>0</v>
      </c>
      <c r="BZ38" s="2" t="str">
        <f>VLOOKUP(BT38,Enriched!$A$1:$AA$1070,14,falsE)</f>
        <v>level1</v>
      </c>
      <c r="CA38" s="13" t="str">
        <f>HYPERLINK("https%3A%2F%2Fwww.webofscience.com%2Fwos%2Fwoscc%2Ffull-record%2FWOS:000489768900004","View Full Record in Web of Science")</f>
        <v>View Full Record in Web of Science</v>
      </c>
    </row>
    <row r="39" ht="12.75" customHeight="1">
      <c r="A39" s="13" t="s">
        <v>5508</v>
      </c>
      <c r="B39" s="13" t="s">
        <v>6304</v>
      </c>
      <c r="C39" s="13" t="s">
        <v>5510</v>
      </c>
      <c r="D39" s="13" t="s">
        <v>5510</v>
      </c>
      <c r="E39" s="13" t="s">
        <v>5510</v>
      </c>
      <c r="F39" s="13" t="s">
        <v>6305</v>
      </c>
      <c r="G39" s="13" t="s">
        <v>5510</v>
      </c>
      <c r="H39" s="13" t="s">
        <v>5510</v>
      </c>
      <c r="I39" s="13" t="s">
        <v>2999</v>
      </c>
      <c r="J39" s="13" t="s">
        <v>6306</v>
      </c>
      <c r="K39" s="13" t="s">
        <v>5510</v>
      </c>
      <c r="L39" s="13" t="s">
        <v>5510</v>
      </c>
      <c r="M39" s="13" t="s">
        <v>5513</v>
      </c>
      <c r="N39" s="13" t="s">
        <v>5514</v>
      </c>
      <c r="O39" s="13" t="s">
        <v>5510</v>
      </c>
      <c r="P39" s="13" t="s">
        <v>5510</v>
      </c>
      <c r="Q39" s="13" t="s">
        <v>5510</v>
      </c>
      <c r="R39" s="13" t="s">
        <v>5510</v>
      </c>
      <c r="S39" s="13" t="s">
        <v>5510</v>
      </c>
      <c r="T39" s="13" t="s">
        <v>6307</v>
      </c>
      <c r="U39" s="13" t="s">
        <v>6308</v>
      </c>
      <c r="V39" s="13" t="s">
        <v>6309</v>
      </c>
      <c r="W39" s="13" t="s">
        <v>6310</v>
      </c>
      <c r="X39" s="13" t="s">
        <v>6311</v>
      </c>
      <c r="Y39" s="13" t="s">
        <v>6312</v>
      </c>
      <c r="Z39" s="13" t="s">
        <v>6313</v>
      </c>
      <c r="AA39" s="13" t="s">
        <v>6314</v>
      </c>
      <c r="AB39" s="13" t="s">
        <v>6315</v>
      </c>
      <c r="AC39" s="13" t="s">
        <v>6316</v>
      </c>
      <c r="AD39" s="13" t="s">
        <v>6317</v>
      </c>
      <c r="AE39" s="13" t="s">
        <v>6318</v>
      </c>
      <c r="AF39" s="13" t="s">
        <v>5510</v>
      </c>
      <c r="AG39" s="13">
        <v>92.0</v>
      </c>
      <c r="AH39" s="13">
        <v>16.0</v>
      </c>
      <c r="AI39" s="13">
        <v>17.0</v>
      </c>
      <c r="AJ39" s="13">
        <v>1.0</v>
      </c>
      <c r="AK39" s="13">
        <v>27.0</v>
      </c>
      <c r="AL39" s="13" t="s">
        <v>6319</v>
      </c>
      <c r="AM39" s="13" t="s">
        <v>6320</v>
      </c>
      <c r="AN39" s="13" t="s">
        <v>6321</v>
      </c>
      <c r="AO39" s="13" t="s">
        <v>5510</v>
      </c>
      <c r="AP39" s="13" t="s">
        <v>6322</v>
      </c>
      <c r="AQ39" s="13" t="s">
        <v>5510</v>
      </c>
      <c r="AR39" s="13" t="s">
        <v>6323</v>
      </c>
      <c r="AS39" s="13" t="s">
        <v>6324</v>
      </c>
      <c r="AT39" s="13" t="s">
        <v>6325</v>
      </c>
      <c r="AU39" s="13">
        <v>2019.0</v>
      </c>
      <c r="AV39" s="13">
        <v>6.0</v>
      </c>
      <c r="AW39" s="13" t="s">
        <v>5510</v>
      </c>
      <c r="AX39" s="13" t="s">
        <v>5510</v>
      </c>
      <c r="AY39" s="13" t="s">
        <v>5510</v>
      </c>
      <c r="AZ39" s="13" t="s">
        <v>5510</v>
      </c>
      <c r="BA39" s="13" t="s">
        <v>5510</v>
      </c>
      <c r="BB39" s="13" t="s">
        <v>5510</v>
      </c>
      <c r="BC39" s="13" t="s">
        <v>5510</v>
      </c>
      <c r="BD39" s="13">
        <v>717.0</v>
      </c>
      <c r="BE39" s="13" t="s">
        <v>6326</v>
      </c>
      <c r="BF39" s="52" t="str">
        <f>HYPERLINK("http://dx.doi.org/10.3389/fmars.2019.00717","http://dx.doi.org/10.3389/fmars.2019.00717")</f>
        <v>http://dx.doi.org/10.3389/fmars.2019.00717</v>
      </c>
      <c r="BG39" s="13" t="s">
        <v>5510</v>
      </c>
      <c r="BH39" s="13" t="s">
        <v>5510</v>
      </c>
      <c r="BI39" s="13">
        <v>17.0</v>
      </c>
      <c r="BJ39" s="13" t="s">
        <v>6327</v>
      </c>
      <c r="BK39" s="13" t="s">
        <v>5561</v>
      </c>
      <c r="BL39" s="13" t="s">
        <v>6328</v>
      </c>
      <c r="BM39" s="13" t="s">
        <v>6329</v>
      </c>
      <c r="BN39" s="13" t="s">
        <v>5510</v>
      </c>
      <c r="BO39" s="13" t="s">
        <v>5564</v>
      </c>
      <c r="BP39" s="13" t="s">
        <v>5510</v>
      </c>
      <c r="BQ39" s="13" t="s">
        <v>5510</v>
      </c>
      <c r="BR39" s="13" t="s">
        <v>5538</v>
      </c>
      <c r="BS39" s="13" t="s">
        <v>6330</v>
      </c>
      <c r="BT39" s="13">
        <v>25813.0</v>
      </c>
      <c r="BU39" s="13" t="s">
        <v>5540</v>
      </c>
      <c r="BV39" s="13" t="s">
        <v>4864</v>
      </c>
      <c r="BW39" s="13" t="str">
        <f>VLOOKUP($BT39,Enriched!$A$2:$E$1070,5,false)</f>
        <v>["Energy Production &amp; Mining", "Transportation &amp; Service Corridors", "Pollution", "Biological Resource Use"]</v>
      </c>
      <c r="BX39" s="13" t="str">
        <f>VLOOKUP($BT39,Enriched!$A$2:$E$1070,4,false)</f>
        <v>["Oil &amp; gas drilling", "Shipping lanes", "Garbage &amp; solid waste", "Agricultural &amp; forestry effluents", "Industrial &amp; military effluents", "Fishing &amp; harvesting aquatic resources"]</v>
      </c>
      <c r="BY39" s="13" t="b">
        <f>VLOOKUP(BT39,Enriched!$A$1:$AA$1070,27,falsE)</f>
        <v>0</v>
      </c>
      <c r="BZ39" s="2" t="str">
        <f>VLOOKUP(BT39,Enriched!$A$1:$AA$1070,14,falsE)</f>
        <v>cumulative</v>
      </c>
      <c r="CA39" s="13" t="str">
        <f>HYPERLINK("https%3A%2F%2Fwww.webofscience.com%2Fwos%2Fwoscc%2Ffull-record%2FWOS:000499789400001","View Full Record in Web of Science")</f>
        <v>View Full Record in Web of Science</v>
      </c>
    </row>
    <row r="40" ht="12.75" customHeight="1">
      <c r="A40" s="13" t="s">
        <v>5508</v>
      </c>
      <c r="B40" s="13" t="s">
        <v>6331</v>
      </c>
      <c r="C40" s="13" t="s">
        <v>5510</v>
      </c>
      <c r="D40" s="13" t="s">
        <v>5510</v>
      </c>
      <c r="E40" s="13" t="s">
        <v>5510</v>
      </c>
      <c r="F40" s="13" t="s">
        <v>6332</v>
      </c>
      <c r="G40" s="13" t="s">
        <v>5510</v>
      </c>
      <c r="H40" s="13" t="s">
        <v>5510</v>
      </c>
      <c r="I40" s="13" t="s">
        <v>2996</v>
      </c>
      <c r="J40" s="13" t="s">
        <v>6333</v>
      </c>
      <c r="K40" s="13" t="s">
        <v>5510</v>
      </c>
      <c r="L40" s="13" t="s">
        <v>5510</v>
      </c>
      <c r="M40" s="13" t="s">
        <v>5513</v>
      </c>
      <c r="N40" s="13" t="s">
        <v>5514</v>
      </c>
      <c r="O40" s="13" t="s">
        <v>5510</v>
      </c>
      <c r="P40" s="13" t="s">
        <v>5510</v>
      </c>
      <c r="Q40" s="13" t="s">
        <v>5510</v>
      </c>
      <c r="R40" s="13" t="s">
        <v>5510</v>
      </c>
      <c r="S40" s="13" t="s">
        <v>5510</v>
      </c>
      <c r="T40" s="13" t="s">
        <v>6334</v>
      </c>
      <c r="U40" s="13" t="s">
        <v>6335</v>
      </c>
      <c r="V40" s="13" t="s">
        <v>6336</v>
      </c>
      <c r="W40" s="13" t="s">
        <v>6337</v>
      </c>
      <c r="X40" s="13" t="s">
        <v>6338</v>
      </c>
      <c r="Y40" s="13" t="s">
        <v>6339</v>
      </c>
      <c r="Z40" s="13" t="s">
        <v>6340</v>
      </c>
      <c r="AA40" s="13" t="s">
        <v>5510</v>
      </c>
      <c r="AB40" s="13" t="s">
        <v>6341</v>
      </c>
      <c r="AC40" s="13" t="s">
        <v>5510</v>
      </c>
      <c r="AD40" s="13" t="s">
        <v>5510</v>
      </c>
      <c r="AE40" s="13" t="s">
        <v>5510</v>
      </c>
      <c r="AF40" s="13" t="s">
        <v>5510</v>
      </c>
      <c r="AG40" s="13">
        <v>38.0</v>
      </c>
      <c r="AH40" s="13">
        <v>14.0</v>
      </c>
      <c r="AI40" s="13">
        <v>19.0</v>
      </c>
      <c r="AJ40" s="13">
        <v>0.0</v>
      </c>
      <c r="AK40" s="13">
        <v>42.0</v>
      </c>
      <c r="AL40" s="13" t="s">
        <v>5527</v>
      </c>
      <c r="AM40" s="13" t="s">
        <v>5528</v>
      </c>
      <c r="AN40" s="13" t="s">
        <v>5529</v>
      </c>
      <c r="AO40" s="13" t="s">
        <v>6342</v>
      </c>
      <c r="AP40" s="13" t="s">
        <v>6343</v>
      </c>
      <c r="AQ40" s="13" t="s">
        <v>5510</v>
      </c>
      <c r="AR40" s="13" t="s">
        <v>6344</v>
      </c>
      <c r="AS40" s="13" t="s">
        <v>6345</v>
      </c>
      <c r="AT40" s="13" t="s">
        <v>5978</v>
      </c>
      <c r="AU40" s="13">
        <v>2019.0</v>
      </c>
      <c r="AV40" s="13">
        <v>33.0</v>
      </c>
      <c r="AW40" s="13">
        <v>6.0</v>
      </c>
      <c r="AX40" s="13" t="s">
        <v>5510</v>
      </c>
      <c r="AY40" s="13" t="s">
        <v>5510</v>
      </c>
      <c r="AZ40" s="13" t="s">
        <v>5510</v>
      </c>
      <c r="BA40" s="13" t="s">
        <v>5510</v>
      </c>
      <c r="BB40" s="13">
        <v>1380.0</v>
      </c>
      <c r="BC40" s="13">
        <v>1391.0</v>
      </c>
      <c r="BD40" s="13" t="s">
        <v>5510</v>
      </c>
      <c r="BE40" s="13" t="s">
        <v>6346</v>
      </c>
      <c r="BF40" s="52" t="str">
        <f>HYPERLINK("http://dx.doi.org/10.1111/cobi.13325","http://dx.doi.org/10.1111/cobi.13325")</f>
        <v>http://dx.doi.org/10.1111/cobi.13325</v>
      </c>
      <c r="BG40" s="13" t="s">
        <v>5510</v>
      </c>
      <c r="BH40" s="13" t="s">
        <v>5510</v>
      </c>
      <c r="BI40" s="13">
        <v>12.0</v>
      </c>
      <c r="BJ40" s="13" t="s">
        <v>5698</v>
      </c>
      <c r="BK40" s="13" t="s">
        <v>5561</v>
      </c>
      <c r="BL40" s="13" t="s">
        <v>5699</v>
      </c>
      <c r="BM40" s="13" t="s">
        <v>6347</v>
      </c>
      <c r="BN40" s="13">
        <v>3.0950112E7</v>
      </c>
      <c r="BO40" s="13" t="s">
        <v>5510</v>
      </c>
      <c r="BP40" s="13" t="s">
        <v>5510</v>
      </c>
      <c r="BQ40" s="13" t="s">
        <v>5510</v>
      </c>
      <c r="BR40" s="13" t="s">
        <v>5538</v>
      </c>
      <c r="BS40" s="13" t="s">
        <v>6348</v>
      </c>
      <c r="BT40" s="13">
        <v>26127.0</v>
      </c>
      <c r="BU40" s="13" t="s">
        <v>5540</v>
      </c>
      <c r="BV40" s="13" t="s">
        <v>4864</v>
      </c>
      <c r="BW40" s="13" t="str">
        <f>VLOOKUP($BT40,Enriched!$A$2:$E$1070,5,false)</f>
        <v>["Residential &amp; Commercial Development", "Climate Change &amp; Severe Weather", "Energy Production &amp; Mining", "Transportation &amp; Service Corridors", "Biological Resource Use", "Invasive &amp; Other Problematic Species, Genes &amp; Diseases", "Pollution"]</v>
      </c>
      <c r="BX40" s="13" t="str">
        <f>VLOOKUP($BT40,Enriched!$A$2:$E$1070,4,false)</f>
        <v>["Housing &amp; urban area", "Commercial &amp; industrial areas", "Habitat shifting &amp; alteration", "Temperature extremes", "Oil &amp; gas drilling", "Shipping lanes", "Fishing &amp; harvesting aquatic resources", "Invasive non-native/alien species/diseases", "Industrial &amp; military effluents", "Agricultural &amp; forestry effluents", "Excess energy"]</v>
      </c>
      <c r="BY40" s="13" t="b">
        <f>VLOOKUP(BT40,Enriched!$A$1:$AA$1070,27,falsE)</f>
        <v>0</v>
      </c>
      <c r="BZ40" s="2" t="str">
        <f>VLOOKUP(BT40,Enriched!$A$1:$AA$1070,14,falsE)</f>
        <v>level2</v>
      </c>
      <c r="CA40" s="13" t="str">
        <f>HYPERLINK("https%3A%2F%2Fwww.webofscience.com%2Fwos%2Fwoscc%2Ffull-record%2FWOS:000495818000015","View Full Record in Web of Science")</f>
        <v>View Full Record in Web of Science</v>
      </c>
    </row>
    <row r="41" ht="12.75" customHeight="1">
      <c r="A41" s="13" t="s">
        <v>5508</v>
      </c>
      <c r="B41" s="13" t="s">
        <v>6349</v>
      </c>
      <c r="C41" s="13" t="s">
        <v>5510</v>
      </c>
      <c r="D41" s="13" t="s">
        <v>5510</v>
      </c>
      <c r="E41" s="13" t="s">
        <v>5510</v>
      </c>
      <c r="F41" s="13" t="s">
        <v>6350</v>
      </c>
      <c r="G41" s="13" t="s">
        <v>5510</v>
      </c>
      <c r="H41" s="13" t="s">
        <v>5510</v>
      </c>
      <c r="I41" s="13" t="s">
        <v>2993</v>
      </c>
      <c r="J41" s="13" t="s">
        <v>5655</v>
      </c>
      <c r="K41" s="13" t="s">
        <v>5510</v>
      </c>
      <c r="L41" s="13" t="s">
        <v>5510</v>
      </c>
      <c r="M41" s="13" t="s">
        <v>5513</v>
      </c>
      <c r="N41" s="13" t="s">
        <v>5514</v>
      </c>
      <c r="O41" s="13" t="s">
        <v>5510</v>
      </c>
      <c r="P41" s="13" t="s">
        <v>5510</v>
      </c>
      <c r="Q41" s="13" t="s">
        <v>5510</v>
      </c>
      <c r="R41" s="13" t="s">
        <v>5510</v>
      </c>
      <c r="S41" s="13" t="s">
        <v>5510</v>
      </c>
      <c r="T41" s="13" t="s">
        <v>6351</v>
      </c>
      <c r="U41" s="13" t="s">
        <v>6352</v>
      </c>
      <c r="V41" s="13" t="s">
        <v>6353</v>
      </c>
      <c r="W41" s="13" t="s">
        <v>6354</v>
      </c>
      <c r="X41" s="13" t="s">
        <v>6355</v>
      </c>
      <c r="Y41" s="13" t="s">
        <v>6356</v>
      </c>
      <c r="Z41" s="13" t="s">
        <v>6357</v>
      </c>
      <c r="AA41" s="13" t="s">
        <v>6358</v>
      </c>
      <c r="AB41" s="13" t="s">
        <v>6359</v>
      </c>
      <c r="AC41" s="13" t="s">
        <v>6360</v>
      </c>
      <c r="AD41" s="13" t="s">
        <v>6361</v>
      </c>
      <c r="AE41" s="13" t="s">
        <v>6362</v>
      </c>
      <c r="AF41" s="13" t="s">
        <v>5510</v>
      </c>
      <c r="AG41" s="13">
        <v>52.0</v>
      </c>
      <c r="AH41" s="13">
        <v>13.0</v>
      </c>
      <c r="AI41" s="13">
        <v>18.0</v>
      </c>
      <c r="AJ41" s="13">
        <v>2.0</v>
      </c>
      <c r="AK41" s="13">
        <v>41.0</v>
      </c>
      <c r="AL41" s="13" t="s">
        <v>5527</v>
      </c>
      <c r="AM41" s="13" t="s">
        <v>5528</v>
      </c>
      <c r="AN41" s="13" t="s">
        <v>5529</v>
      </c>
      <c r="AO41" s="13" t="s">
        <v>5664</v>
      </c>
      <c r="AP41" s="13" t="s">
        <v>5510</v>
      </c>
      <c r="AQ41" s="13" t="s">
        <v>5510</v>
      </c>
      <c r="AR41" s="13" t="s">
        <v>5665</v>
      </c>
      <c r="AS41" s="13" t="s">
        <v>5666</v>
      </c>
      <c r="AT41" s="13" t="s">
        <v>5667</v>
      </c>
      <c r="AU41" s="13">
        <v>2020.0</v>
      </c>
      <c r="AV41" s="13">
        <v>10.0</v>
      </c>
      <c r="AW41" s="13">
        <v>14.0</v>
      </c>
      <c r="AX41" s="13" t="s">
        <v>5510</v>
      </c>
      <c r="AY41" s="13" t="s">
        <v>5510</v>
      </c>
      <c r="AZ41" s="13" t="s">
        <v>5510</v>
      </c>
      <c r="BA41" s="13" t="s">
        <v>5510</v>
      </c>
      <c r="BB41" s="13">
        <v>7233.0</v>
      </c>
      <c r="BC41" s="13">
        <v>7241.0</v>
      </c>
      <c r="BD41" s="13" t="s">
        <v>5510</v>
      </c>
      <c r="BE41" s="13" t="s">
        <v>6363</v>
      </c>
      <c r="BF41" s="52" t="str">
        <f>HYPERLINK("http://dx.doi.org/10.1002/ece3.6449","http://dx.doi.org/10.1002/ece3.6449")</f>
        <v>http://dx.doi.org/10.1002/ece3.6449</v>
      </c>
      <c r="BG41" s="13" t="s">
        <v>5510</v>
      </c>
      <c r="BH41" s="13" t="s">
        <v>5669</v>
      </c>
      <c r="BI41" s="13">
        <v>9.0</v>
      </c>
      <c r="BJ41" s="13" t="s">
        <v>5670</v>
      </c>
      <c r="BK41" s="13" t="s">
        <v>5561</v>
      </c>
      <c r="BL41" s="13" t="s">
        <v>5671</v>
      </c>
      <c r="BM41" s="13" t="s">
        <v>6364</v>
      </c>
      <c r="BN41" s="13">
        <v>3.2760524E7</v>
      </c>
      <c r="BO41" s="13" t="s">
        <v>5564</v>
      </c>
      <c r="BP41" s="13" t="s">
        <v>5510</v>
      </c>
      <c r="BQ41" s="13" t="s">
        <v>5510</v>
      </c>
      <c r="BR41" s="13" t="s">
        <v>5538</v>
      </c>
      <c r="BS41" s="13" t="s">
        <v>6365</v>
      </c>
      <c r="BT41" s="13">
        <v>23773.0</v>
      </c>
      <c r="BU41" s="13" t="s">
        <v>5540</v>
      </c>
      <c r="BV41" s="13" t="s">
        <v>4886</v>
      </c>
      <c r="BW41" s="13" t="str">
        <f>VLOOKUP($BT41,Enriched!$A$2:$E$1070,5,false)</f>
        <v>["Residential &amp; Commercial Development", "Transportation &amp; Service Corridors", "Agriculture &amp; Aquaculture"]</v>
      </c>
      <c r="BX41" s="13" t="str">
        <f>VLOOKUP($BT41,Enriched!$A$2:$E$1070,4,false)</f>
        <v>["Roads &amp; railroads"]</v>
      </c>
      <c r="BY41" s="13" t="b">
        <f>VLOOKUP(BT41,Enriched!$A$1:$AA$1070,27,falsE)</f>
        <v>1</v>
      </c>
      <c r="BZ41" s="2" t="str">
        <f>VLOOKUP(BT41,Enriched!$A$1:$AA$1070,14,falsE)</f>
        <v>cumulative</v>
      </c>
      <c r="CA41" s="13" t="str">
        <f>HYPERLINK("https%3A%2F%2Fwww.webofscience.com%2Fwos%2Fwoscc%2Ffull-record%2FWOS:000538997300001","View Full Record in Web of Science")</f>
        <v>View Full Record in Web of Science</v>
      </c>
    </row>
    <row r="42" ht="12.75" customHeight="1">
      <c r="A42" s="13" t="s">
        <v>5508</v>
      </c>
      <c r="B42" s="13" t="s">
        <v>6366</v>
      </c>
      <c r="C42" s="13" t="s">
        <v>5510</v>
      </c>
      <c r="D42" s="13" t="s">
        <v>5510</v>
      </c>
      <c r="E42" s="13" t="s">
        <v>5510</v>
      </c>
      <c r="F42" s="13" t="s">
        <v>6367</v>
      </c>
      <c r="G42" s="13" t="s">
        <v>5510</v>
      </c>
      <c r="H42" s="13" t="s">
        <v>5510</v>
      </c>
      <c r="I42" s="13" t="s">
        <v>2986</v>
      </c>
      <c r="J42" s="13" t="s">
        <v>6368</v>
      </c>
      <c r="K42" s="13" t="s">
        <v>5510</v>
      </c>
      <c r="L42" s="13" t="s">
        <v>5510</v>
      </c>
      <c r="M42" s="13" t="s">
        <v>5513</v>
      </c>
      <c r="N42" s="13" t="s">
        <v>5514</v>
      </c>
      <c r="O42" s="13" t="s">
        <v>5510</v>
      </c>
      <c r="P42" s="13" t="s">
        <v>5510</v>
      </c>
      <c r="Q42" s="13" t="s">
        <v>5510</v>
      </c>
      <c r="R42" s="13" t="s">
        <v>5510</v>
      </c>
      <c r="S42" s="13" t="s">
        <v>5510</v>
      </c>
      <c r="T42" s="13" t="s">
        <v>5510</v>
      </c>
      <c r="U42" s="13" t="s">
        <v>6369</v>
      </c>
      <c r="V42" s="13" t="s">
        <v>6370</v>
      </c>
      <c r="W42" s="13" t="s">
        <v>6371</v>
      </c>
      <c r="X42" s="13" t="s">
        <v>6372</v>
      </c>
      <c r="Y42" s="13" t="s">
        <v>6373</v>
      </c>
      <c r="Z42" s="13" t="s">
        <v>6374</v>
      </c>
      <c r="AA42" s="13" t="s">
        <v>6375</v>
      </c>
      <c r="AB42" s="13" t="s">
        <v>6376</v>
      </c>
      <c r="AC42" s="13" t="s">
        <v>6377</v>
      </c>
      <c r="AD42" s="13" t="s">
        <v>6377</v>
      </c>
      <c r="AE42" s="13" t="s">
        <v>6378</v>
      </c>
      <c r="AF42" s="13" t="s">
        <v>5510</v>
      </c>
      <c r="AG42" s="13">
        <v>26.0</v>
      </c>
      <c r="AH42" s="13">
        <v>2.0</v>
      </c>
      <c r="AI42" s="13">
        <v>2.0</v>
      </c>
      <c r="AJ42" s="13">
        <v>0.0</v>
      </c>
      <c r="AK42" s="13">
        <v>19.0</v>
      </c>
      <c r="AL42" s="13" t="s">
        <v>6379</v>
      </c>
      <c r="AM42" s="13" t="s">
        <v>6380</v>
      </c>
      <c r="AN42" s="13" t="s">
        <v>6381</v>
      </c>
      <c r="AO42" s="13" t="s">
        <v>6382</v>
      </c>
      <c r="AP42" s="13" t="s">
        <v>5510</v>
      </c>
      <c r="AQ42" s="13" t="s">
        <v>5510</v>
      </c>
      <c r="AR42" s="13" t="s">
        <v>6383</v>
      </c>
      <c r="AS42" s="13" t="s">
        <v>6384</v>
      </c>
      <c r="AT42" s="13" t="s">
        <v>6385</v>
      </c>
      <c r="AU42" s="13">
        <v>2010.0</v>
      </c>
      <c r="AV42" s="13">
        <v>84.0</v>
      </c>
      <c r="AW42" s="13">
        <v>2.0</v>
      </c>
      <c r="AX42" s="13" t="s">
        <v>5510</v>
      </c>
      <c r="AY42" s="13" t="s">
        <v>5510</v>
      </c>
      <c r="AZ42" s="13" t="s">
        <v>5510</v>
      </c>
      <c r="BA42" s="13" t="s">
        <v>5510</v>
      </c>
      <c r="BB42" s="13">
        <v>170.0</v>
      </c>
      <c r="BC42" s="13">
        <v>182.0</v>
      </c>
      <c r="BD42" s="13" t="s">
        <v>5510</v>
      </c>
      <c r="BE42" s="13" t="s">
        <v>6386</v>
      </c>
      <c r="BF42" s="52" t="str">
        <f>HYPERLINK("http://dx.doi.org/10.3955/046.084.0206","http://dx.doi.org/10.3955/046.084.0206")</f>
        <v>http://dx.doi.org/10.3955/046.084.0206</v>
      </c>
      <c r="BG42" s="13" t="s">
        <v>5510</v>
      </c>
      <c r="BH42" s="13" t="s">
        <v>5510</v>
      </c>
      <c r="BI42" s="13">
        <v>13.0</v>
      </c>
      <c r="BJ42" s="13" t="s">
        <v>5533</v>
      </c>
      <c r="BK42" s="13" t="s">
        <v>5561</v>
      </c>
      <c r="BL42" s="13" t="s">
        <v>5535</v>
      </c>
      <c r="BM42" s="13" t="s">
        <v>6387</v>
      </c>
      <c r="BN42" s="13" t="s">
        <v>5510</v>
      </c>
      <c r="BO42" s="13" t="s">
        <v>5510</v>
      </c>
      <c r="BP42" s="13" t="s">
        <v>5510</v>
      </c>
      <c r="BQ42" s="13" t="s">
        <v>5510</v>
      </c>
      <c r="BR42" s="13" t="s">
        <v>5538</v>
      </c>
      <c r="BS42" s="13" t="s">
        <v>6388</v>
      </c>
      <c r="BT42" s="13">
        <v>24122.0</v>
      </c>
      <c r="BU42" s="13" t="s">
        <v>5540</v>
      </c>
      <c r="BV42" s="13" t="s">
        <v>4856</v>
      </c>
      <c r="BW42" s="13" t="str">
        <f>VLOOKUP($BT42,Enriched!$A$2:$E$1070,5,false)</f>
        <v>["Agriculture &amp; Aquaculture", "Biological Resource Use", "Transportation &amp; Service Corridors", "Natural System Modifications"]</v>
      </c>
      <c r="BX42" s="13" t="str">
        <f>VLOOKUP($BT42,Enriched!$A$2:$E$1070,4,false)</f>
        <v>["Housing &amp; urban area", "Annual &amp; perennial non-timber crops", "Livestock farming &amp; ranching", "Logging &amp; wood harvesting", "Roads &amp; railroads", "Fire &amp; fire suppression"]</v>
      </c>
      <c r="BY42" s="13" t="b">
        <f>VLOOKUP(BT42,Enriched!$A$1:$AA$1070,27,falsE)</f>
        <v>0</v>
      </c>
      <c r="BZ42" s="2" t="str">
        <f>VLOOKUP(BT42,Enriched!$A$1:$AA$1070,14,falsE)</f>
        <v>level1</v>
      </c>
      <c r="CA42" s="13" t="str">
        <f>HYPERLINK("https%3A%2F%2Fwww.webofscience.com%2Fwos%2Fwoscc%2Ffull-record%2FWOS:000278261800006","View Full Record in Web of Science")</f>
        <v>View Full Record in Web of Science</v>
      </c>
    </row>
    <row r="43" ht="12.75" customHeight="1">
      <c r="A43" s="13" t="s">
        <v>5508</v>
      </c>
      <c r="B43" s="13" t="s">
        <v>6389</v>
      </c>
      <c r="C43" s="13" t="s">
        <v>5510</v>
      </c>
      <c r="D43" s="13" t="s">
        <v>5510</v>
      </c>
      <c r="E43" s="13" t="s">
        <v>5510</v>
      </c>
      <c r="F43" s="13" t="s">
        <v>6390</v>
      </c>
      <c r="G43" s="13" t="s">
        <v>5510</v>
      </c>
      <c r="H43" s="13" t="s">
        <v>5510</v>
      </c>
      <c r="I43" s="13" t="s">
        <v>2983</v>
      </c>
      <c r="J43" s="13" t="s">
        <v>6333</v>
      </c>
      <c r="K43" s="13" t="s">
        <v>5510</v>
      </c>
      <c r="L43" s="13" t="s">
        <v>5510</v>
      </c>
      <c r="M43" s="13" t="s">
        <v>5513</v>
      </c>
      <c r="N43" s="13" t="s">
        <v>5514</v>
      </c>
      <c r="O43" s="13" t="s">
        <v>5510</v>
      </c>
      <c r="P43" s="13" t="s">
        <v>5510</v>
      </c>
      <c r="Q43" s="13" t="s">
        <v>5510</v>
      </c>
      <c r="R43" s="13" t="s">
        <v>5510</v>
      </c>
      <c r="S43" s="13" t="s">
        <v>5510</v>
      </c>
      <c r="T43" s="13" t="s">
        <v>6391</v>
      </c>
      <c r="U43" s="13" t="s">
        <v>6392</v>
      </c>
      <c r="V43" s="13" t="s">
        <v>6393</v>
      </c>
      <c r="W43" s="13" t="s">
        <v>6394</v>
      </c>
      <c r="X43" s="13" t="s">
        <v>6395</v>
      </c>
      <c r="Y43" s="13" t="s">
        <v>6396</v>
      </c>
      <c r="Z43" s="13" t="s">
        <v>6397</v>
      </c>
      <c r="AA43" s="13" t="s">
        <v>6398</v>
      </c>
      <c r="AB43" s="13" t="s">
        <v>5510</v>
      </c>
      <c r="AC43" s="13" t="s">
        <v>6399</v>
      </c>
      <c r="AD43" s="13" t="s">
        <v>6400</v>
      </c>
      <c r="AE43" s="13" t="s">
        <v>6401</v>
      </c>
      <c r="AF43" s="13" t="s">
        <v>5510</v>
      </c>
      <c r="AG43" s="13">
        <v>34.0</v>
      </c>
      <c r="AH43" s="13">
        <v>45.0</v>
      </c>
      <c r="AI43" s="13">
        <v>47.0</v>
      </c>
      <c r="AJ43" s="13">
        <v>0.0</v>
      </c>
      <c r="AK43" s="13">
        <v>32.0</v>
      </c>
      <c r="AL43" s="13" t="s">
        <v>5527</v>
      </c>
      <c r="AM43" s="13" t="s">
        <v>5528</v>
      </c>
      <c r="AN43" s="13" t="s">
        <v>5529</v>
      </c>
      <c r="AO43" s="13" t="s">
        <v>6342</v>
      </c>
      <c r="AP43" s="13" t="s">
        <v>6343</v>
      </c>
      <c r="AQ43" s="13" t="s">
        <v>5510</v>
      </c>
      <c r="AR43" s="13" t="s">
        <v>6344</v>
      </c>
      <c r="AS43" s="13" t="s">
        <v>6345</v>
      </c>
      <c r="AT43" s="13" t="s">
        <v>2738</v>
      </c>
      <c r="AU43" s="13">
        <v>2018.0</v>
      </c>
      <c r="AV43" s="13">
        <v>32.0</v>
      </c>
      <c r="AW43" s="13">
        <v>1.0</v>
      </c>
      <c r="AX43" s="13" t="s">
        <v>5510</v>
      </c>
      <c r="AY43" s="13" t="s">
        <v>5510</v>
      </c>
      <c r="AZ43" s="13" t="s">
        <v>5510</v>
      </c>
      <c r="BA43" s="13" t="s">
        <v>5510</v>
      </c>
      <c r="BB43" s="13">
        <v>240.0</v>
      </c>
      <c r="BC43" s="13">
        <v>245.0</v>
      </c>
      <c r="BD43" s="13" t="s">
        <v>5510</v>
      </c>
      <c r="BE43" s="13" t="s">
        <v>6402</v>
      </c>
      <c r="BF43" s="52" t="str">
        <f>HYPERLINK("http://dx.doi.org/10.1111/cobi.12965","http://dx.doi.org/10.1111/cobi.12965")</f>
        <v>http://dx.doi.org/10.1111/cobi.12965</v>
      </c>
      <c r="BG43" s="13" t="s">
        <v>5510</v>
      </c>
      <c r="BH43" s="13" t="s">
        <v>5510</v>
      </c>
      <c r="BI43" s="13">
        <v>6.0</v>
      </c>
      <c r="BJ43" s="13" t="s">
        <v>5698</v>
      </c>
      <c r="BK43" s="13" t="s">
        <v>5561</v>
      </c>
      <c r="BL43" s="13" t="s">
        <v>5699</v>
      </c>
      <c r="BM43" s="13" t="s">
        <v>6403</v>
      </c>
      <c r="BN43" s="13">
        <v>2.8598528E7</v>
      </c>
      <c r="BO43" s="13" t="s">
        <v>6028</v>
      </c>
      <c r="BP43" s="13" t="s">
        <v>5510</v>
      </c>
      <c r="BQ43" s="13" t="s">
        <v>5510</v>
      </c>
      <c r="BR43" s="13" t="s">
        <v>5538</v>
      </c>
      <c r="BS43" s="13" t="s">
        <v>6404</v>
      </c>
      <c r="BT43" s="13">
        <v>25986.0</v>
      </c>
      <c r="BU43" s="13" t="s">
        <v>5540</v>
      </c>
      <c r="BV43" s="13" t="s">
        <v>4864</v>
      </c>
      <c r="BW43" s="13" t="str">
        <f>VLOOKUP($BT43,Enriched!$A$2:$E$1070,5,false)</f>
        <v>["Biological resource use"]</v>
      </c>
      <c r="BX43" s="13" t="str">
        <f>VLOOKUP($BT43,Enriched!$A$2:$E$1070,4,false)</f>
        <v>["Fishing &amp; harvesting aquatic resources"]</v>
      </c>
      <c r="BY43" s="13" t="b">
        <f>VLOOKUP(BT43,Enriched!$A$1:$AA$1070,27,falsE)</f>
        <v>0</v>
      </c>
      <c r="BZ43" s="2" t="str">
        <f>VLOOKUP(BT43,Enriched!$A$1:$AA$1070,14,falsE)</f>
        <v>level2</v>
      </c>
      <c r="CA43" s="13" t="str">
        <f>HYPERLINK("https%3A%2F%2Fwww.webofscience.com%2Fwos%2Fwoscc%2Ffull-record%2FWOS:000419240100023","View Full Record in Web of Science")</f>
        <v>View Full Record in Web of Science</v>
      </c>
    </row>
    <row r="44" ht="12.75" customHeight="1">
      <c r="A44" s="13" t="s">
        <v>5508</v>
      </c>
      <c r="B44" s="13" t="s">
        <v>6405</v>
      </c>
      <c r="C44" s="13" t="s">
        <v>5510</v>
      </c>
      <c r="D44" s="13" t="s">
        <v>5510</v>
      </c>
      <c r="E44" s="13" t="s">
        <v>5510</v>
      </c>
      <c r="F44" s="13" t="s">
        <v>6406</v>
      </c>
      <c r="G44" s="13" t="s">
        <v>5510</v>
      </c>
      <c r="H44" s="13" t="s">
        <v>5510</v>
      </c>
      <c r="I44" s="13" t="s">
        <v>2976</v>
      </c>
      <c r="J44" s="13" t="s">
        <v>6407</v>
      </c>
      <c r="K44" s="13" t="s">
        <v>5510</v>
      </c>
      <c r="L44" s="13" t="s">
        <v>5510</v>
      </c>
      <c r="M44" s="13" t="s">
        <v>5513</v>
      </c>
      <c r="N44" s="13" t="s">
        <v>5514</v>
      </c>
      <c r="O44" s="13" t="s">
        <v>5510</v>
      </c>
      <c r="P44" s="13" t="s">
        <v>5510</v>
      </c>
      <c r="Q44" s="13" t="s">
        <v>5510</v>
      </c>
      <c r="R44" s="13" t="s">
        <v>5510</v>
      </c>
      <c r="S44" s="13" t="s">
        <v>5510</v>
      </c>
      <c r="T44" s="13" t="s">
        <v>6408</v>
      </c>
      <c r="U44" s="13" t="s">
        <v>6409</v>
      </c>
      <c r="V44" s="13" t="s">
        <v>6410</v>
      </c>
      <c r="W44" s="13" t="s">
        <v>6411</v>
      </c>
      <c r="X44" s="13" t="s">
        <v>6412</v>
      </c>
      <c r="Y44" s="13" t="s">
        <v>6413</v>
      </c>
      <c r="Z44" s="13" t="s">
        <v>6414</v>
      </c>
      <c r="AA44" s="13" t="s">
        <v>6415</v>
      </c>
      <c r="AB44" s="13" t="s">
        <v>6416</v>
      </c>
      <c r="AC44" s="13" t="s">
        <v>5510</v>
      </c>
      <c r="AD44" s="13" t="s">
        <v>5510</v>
      </c>
      <c r="AE44" s="13" t="s">
        <v>5510</v>
      </c>
      <c r="AF44" s="13" t="s">
        <v>5510</v>
      </c>
      <c r="AG44" s="13">
        <v>51.0</v>
      </c>
      <c r="AH44" s="13">
        <v>126.0</v>
      </c>
      <c r="AI44" s="13">
        <v>143.0</v>
      </c>
      <c r="AJ44" s="13">
        <v>3.0</v>
      </c>
      <c r="AK44" s="13">
        <v>74.0</v>
      </c>
      <c r="AL44" s="13" t="s">
        <v>5759</v>
      </c>
      <c r="AM44" s="13" t="s">
        <v>5760</v>
      </c>
      <c r="AN44" s="13" t="s">
        <v>5761</v>
      </c>
      <c r="AO44" s="13" t="s">
        <v>6417</v>
      </c>
      <c r="AP44" s="13" t="s">
        <v>6418</v>
      </c>
      <c r="AQ44" s="13" t="s">
        <v>5510</v>
      </c>
      <c r="AR44" s="13" t="s">
        <v>6419</v>
      </c>
      <c r="AS44" s="13" t="s">
        <v>6420</v>
      </c>
      <c r="AT44" s="13" t="s">
        <v>5978</v>
      </c>
      <c r="AU44" s="13">
        <v>2017.0</v>
      </c>
      <c r="AV44" s="13">
        <v>83.0</v>
      </c>
      <c r="AW44" s="13" t="s">
        <v>5510</v>
      </c>
      <c r="AX44" s="13" t="s">
        <v>5510</v>
      </c>
      <c r="AY44" s="13" t="s">
        <v>5510</v>
      </c>
      <c r="AZ44" s="13" t="s">
        <v>5510</v>
      </c>
      <c r="BA44" s="13" t="s">
        <v>5510</v>
      </c>
      <c r="BB44" s="13">
        <v>62.0</v>
      </c>
      <c r="BC44" s="13">
        <v>73.0</v>
      </c>
      <c r="BD44" s="13" t="s">
        <v>5510</v>
      </c>
      <c r="BE44" s="13" t="s">
        <v>6421</v>
      </c>
      <c r="BF44" s="52" t="str">
        <f>HYPERLINK("http://dx.doi.org/10.1016/j.ecolind.2017.07.037","http://dx.doi.org/10.1016/j.ecolind.2017.07.037")</f>
        <v>http://dx.doi.org/10.1016/j.ecolind.2017.07.037</v>
      </c>
      <c r="BG44" s="13" t="s">
        <v>5510</v>
      </c>
      <c r="BH44" s="13" t="s">
        <v>5510</v>
      </c>
      <c r="BI44" s="13">
        <v>12.0</v>
      </c>
      <c r="BJ44" s="13" t="s">
        <v>6422</v>
      </c>
      <c r="BK44" s="13" t="s">
        <v>5534</v>
      </c>
      <c r="BL44" s="13" t="s">
        <v>5699</v>
      </c>
      <c r="BM44" s="13" t="s">
        <v>6423</v>
      </c>
      <c r="BN44" s="13" t="s">
        <v>5510</v>
      </c>
      <c r="BO44" s="13" t="s">
        <v>5510</v>
      </c>
      <c r="BP44" s="13" t="s">
        <v>5510</v>
      </c>
      <c r="BQ44" s="13" t="s">
        <v>5510</v>
      </c>
      <c r="BR44" s="13" t="s">
        <v>5538</v>
      </c>
      <c r="BS44" s="13" t="s">
        <v>6424</v>
      </c>
      <c r="BT44" s="13">
        <v>24841.0</v>
      </c>
      <c r="BU44" s="13" t="s">
        <v>5540</v>
      </c>
      <c r="BV44" s="13" t="s">
        <v>4886</v>
      </c>
      <c r="BW44" s="13" t="str">
        <f>VLOOKUP($BT44,Enriched!$A$2:$E$1070,5,false)</f>
        <v>["Residential &amp; Commercial Development", "Agriculture &amp; Aquaculture", "Transportation &amp; Service Corridors"]</v>
      </c>
      <c r="BX44" s="13" t="str">
        <f>VLOOKUP($BT44,Enriched!$A$2:$E$1070,4,false)</f>
        <v>["Annual &amp; perennial non-timber crops", "Roads &amp; railroads", "Housing &amp; urban area", "Commercial &amp; industrial areas"]</v>
      </c>
      <c r="BY44" s="13" t="b">
        <f>VLOOKUP(BT44,Enriched!$A$1:$AA$1070,27,falsE)</f>
        <v>1</v>
      </c>
      <c r="BZ44" s="2" t="str">
        <f>VLOOKUP(BT44,Enriched!$A$1:$AA$1070,14,falsE)</f>
        <v>level2</v>
      </c>
      <c r="CA44" s="13" t="str">
        <f>HYPERLINK("https%3A%2F%2Fwww.webofscience.com%2Fwos%2Fwoscc%2Ffull-record%2FWOS:000417551800007","View Full Record in Web of Science")</f>
        <v>View Full Record in Web of Science</v>
      </c>
    </row>
    <row r="45" ht="12.75" customHeight="1">
      <c r="A45" s="13" t="s">
        <v>5508</v>
      </c>
      <c r="B45" s="13" t="s">
        <v>6425</v>
      </c>
      <c r="C45" s="13" t="s">
        <v>5510</v>
      </c>
      <c r="D45" s="13" t="s">
        <v>5510</v>
      </c>
      <c r="E45" s="13" t="s">
        <v>5510</v>
      </c>
      <c r="F45" s="13" t="s">
        <v>6426</v>
      </c>
      <c r="G45" s="13" t="s">
        <v>5510</v>
      </c>
      <c r="H45" s="13" t="s">
        <v>5510</v>
      </c>
      <c r="I45" s="13" t="s">
        <v>2973</v>
      </c>
      <c r="J45" s="13" t="s">
        <v>6114</v>
      </c>
      <c r="K45" s="13" t="s">
        <v>5510</v>
      </c>
      <c r="L45" s="13" t="s">
        <v>5510</v>
      </c>
      <c r="M45" s="13" t="s">
        <v>5513</v>
      </c>
      <c r="N45" s="13" t="s">
        <v>5514</v>
      </c>
      <c r="O45" s="13" t="s">
        <v>5510</v>
      </c>
      <c r="P45" s="13" t="s">
        <v>5510</v>
      </c>
      <c r="Q45" s="13" t="s">
        <v>5510</v>
      </c>
      <c r="R45" s="13" t="s">
        <v>5510</v>
      </c>
      <c r="S45" s="13" t="s">
        <v>5510</v>
      </c>
      <c r="T45" s="13" t="s">
        <v>6427</v>
      </c>
      <c r="U45" s="13" t="s">
        <v>6428</v>
      </c>
      <c r="V45" s="13" t="s">
        <v>6429</v>
      </c>
      <c r="W45" s="13" t="s">
        <v>6430</v>
      </c>
      <c r="X45" s="13" t="s">
        <v>6431</v>
      </c>
      <c r="Y45" s="13" t="s">
        <v>6432</v>
      </c>
      <c r="Z45" s="13" t="s">
        <v>6433</v>
      </c>
      <c r="AA45" s="13" t="s">
        <v>6434</v>
      </c>
      <c r="AB45" s="13" t="s">
        <v>6435</v>
      </c>
      <c r="AC45" s="13" t="s">
        <v>6436</v>
      </c>
      <c r="AD45" s="13" t="s">
        <v>6437</v>
      </c>
      <c r="AE45" s="13" t="s">
        <v>6438</v>
      </c>
      <c r="AF45" s="13" t="s">
        <v>5510</v>
      </c>
      <c r="AG45" s="13">
        <v>56.0</v>
      </c>
      <c r="AH45" s="13">
        <v>17.0</v>
      </c>
      <c r="AI45" s="13">
        <v>19.0</v>
      </c>
      <c r="AJ45" s="13">
        <v>0.0</v>
      </c>
      <c r="AK45" s="13">
        <v>14.0</v>
      </c>
      <c r="AL45" s="13" t="s">
        <v>5931</v>
      </c>
      <c r="AM45" s="13" t="s">
        <v>5932</v>
      </c>
      <c r="AN45" s="13" t="s">
        <v>5933</v>
      </c>
      <c r="AO45" s="13" t="s">
        <v>6127</v>
      </c>
      <c r="AP45" s="13" t="s">
        <v>6128</v>
      </c>
      <c r="AQ45" s="13" t="s">
        <v>5510</v>
      </c>
      <c r="AR45" s="13" t="s">
        <v>6129</v>
      </c>
      <c r="AS45" s="13" t="s">
        <v>6130</v>
      </c>
      <c r="AT45" s="13" t="s">
        <v>6439</v>
      </c>
      <c r="AU45" s="13">
        <v>2017.0</v>
      </c>
      <c r="AV45" s="13">
        <v>143.0</v>
      </c>
      <c r="AW45" s="13" t="s">
        <v>5510</v>
      </c>
      <c r="AX45" s="13" t="s">
        <v>5510</v>
      </c>
      <c r="AY45" s="13" t="s">
        <v>5510</v>
      </c>
      <c r="AZ45" s="13" t="s">
        <v>5646</v>
      </c>
      <c r="BA45" s="13" t="s">
        <v>5510</v>
      </c>
      <c r="BB45" s="13">
        <v>184.0</v>
      </c>
      <c r="BC45" s="13">
        <v>194.0</v>
      </c>
      <c r="BD45" s="13" t="s">
        <v>5510</v>
      </c>
      <c r="BE45" s="13" t="s">
        <v>6440</v>
      </c>
      <c r="BF45" s="52" t="str">
        <f>HYPERLINK("http://dx.doi.org/10.1016/j.ocecoaman.2016.12.008","http://dx.doi.org/10.1016/j.ocecoaman.2016.12.008")</f>
        <v>http://dx.doi.org/10.1016/j.ocecoaman.2016.12.008</v>
      </c>
      <c r="BG45" s="13" t="s">
        <v>5510</v>
      </c>
      <c r="BH45" s="13" t="s">
        <v>5510</v>
      </c>
      <c r="BI45" s="13">
        <v>11.0</v>
      </c>
      <c r="BJ45" s="13" t="s">
        <v>6133</v>
      </c>
      <c r="BK45" s="13" t="s">
        <v>5534</v>
      </c>
      <c r="BL45" s="13" t="s">
        <v>6133</v>
      </c>
      <c r="BM45" s="13" t="s">
        <v>6441</v>
      </c>
      <c r="BN45" s="13" t="s">
        <v>5510</v>
      </c>
      <c r="BO45" s="13" t="s">
        <v>5510</v>
      </c>
      <c r="BP45" s="13" t="s">
        <v>5510</v>
      </c>
      <c r="BQ45" s="13" t="s">
        <v>5510</v>
      </c>
      <c r="BR45" s="13" t="s">
        <v>5538</v>
      </c>
      <c r="BS45" s="13" t="s">
        <v>6442</v>
      </c>
      <c r="BT45" s="13">
        <v>23906.0</v>
      </c>
      <c r="BU45" s="13" t="s">
        <v>5540</v>
      </c>
      <c r="BV45" s="13" t="s">
        <v>4856</v>
      </c>
      <c r="BW45" s="13" t="str">
        <f>VLOOKUP($BT45,Enriched!$A$2:$E$1070,5,false)</f>
        <v>["Residential &amp; commercial development"]</v>
      </c>
      <c r="BX45" s="13" t="str">
        <f>VLOOKUP($BT45,Enriched!$A$2:$E$1070,4,false)</f>
        <v>["Housing &amp; urban area"]</v>
      </c>
      <c r="BY45" s="13" t="b">
        <f>VLOOKUP(BT45,Enriched!$A$1:$AA$1070,27,falsE)</f>
        <v>0</v>
      </c>
      <c r="BZ45" s="2" t="str">
        <f>VLOOKUP(BT45,Enriched!$A$1:$AA$1070,14,falsE)</f>
        <v>level2</v>
      </c>
      <c r="CA45" s="13" t="str">
        <f>HYPERLINK("https%3A%2F%2Fwww.webofscience.com%2Fwos%2Fwoscc%2Ffull-record%2FWOS:000403737200019","View Full Record in Web of Science")</f>
        <v>View Full Record in Web of Science</v>
      </c>
    </row>
    <row r="46" ht="12.75" customHeight="1">
      <c r="A46" s="13" t="s">
        <v>5508</v>
      </c>
      <c r="B46" s="13" t="s">
        <v>6443</v>
      </c>
      <c r="C46" s="13" t="s">
        <v>5510</v>
      </c>
      <c r="D46" s="13" t="s">
        <v>5510</v>
      </c>
      <c r="E46" s="13" t="s">
        <v>5510</v>
      </c>
      <c r="F46" s="13" t="s">
        <v>6444</v>
      </c>
      <c r="G46" s="13" t="s">
        <v>5510</v>
      </c>
      <c r="H46" s="13" t="s">
        <v>5510</v>
      </c>
      <c r="I46" s="13" t="s">
        <v>2970</v>
      </c>
      <c r="J46" s="13" t="s">
        <v>6445</v>
      </c>
      <c r="K46" s="13" t="s">
        <v>5510</v>
      </c>
      <c r="L46" s="13" t="s">
        <v>5510</v>
      </c>
      <c r="M46" s="13" t="s">
        <v>5513</v>
      </c>
      <c r="N46" s="13" t="s">
        <v>5514</v>
      </c>
      <c r="O46" s="13" t="s">
        <v>5510</v>
      </c>
      <c r="P46" s="13" t="s">
        <v>5510</v>
      </c>
      <c r="Q46" s="13" t="s">
        <v>5510</v>
      </c>
      <c r="R46" s="13" t="s">
        <v>5510</v>
      </c>
      <c r="S46" s="13" t="s">
        <v>5510</v>
      </c>
      <c r="T46" s="13" t="s">
        <v>6446</v>
      </c>
      <c r="U46" s="13" t="s">
        <v>6447</v>
      </c>
      <c r="V46" s="13" t="s">
        <v>6448</v>
      </c>
      <c r="W46" s="13" t="s">
        <v>6449</v>
      </c>
      <c r="X46" s="13" t="s">
        <v>6450</v>
      </c>
      <c r="Y46" s="13" t="s">
        <v>6451</v>
      </c>
      <c r="Z46" s="13" t="s">
        <v>6452</v>
      </c>
      <c r="AA46" s="13" t="s">
        <v>6453</v>
      </c>
      <c r="AB46" s="13" t="s">
        <v>6454</v>
      </c>
      <c r="AC46" s="13" t="s">
        <v>6455</v>
      </c>
      <c r="AD46" s="13" t="s">
        <v>6456</v>
      </c>
      <c r="AE46" s="13" t="s">
        <v>6455</v>
      </c>
      <c r="AF46" s="13" t="s">
        <v>5510</v>
      </c>
      <c r="AG46" s="13">
        <v>62.0</v>
      </c>
      <c r="AH46" s="13">
        <v>7.0</v>
      </c>
      <c r="AI46" s="13">
        <v>8.0</v>
      </c>
      <c r="AJ46" s="13">
        <v>5.0</v>
      </c>
      <c r="AK46" s="13">
        <v>51.0</v>
      </c>
      <c r="AL46" s="13" t="s">
        <v>5527</v>
      </c>
      <c r="AM46" s="13" t="s">
        <v>5528</v>
      </c>
      <c r="AN46" s="13" t="s">
        <v>5529</v>
      </c>
      <c r="AO46" s="13" t="s">
        <v>6457</v>
      </c>
      <c r="AP46" s="13" t="s">
        <v>6458</v>
      </c>
      <c r="AQ46" s="13" t="s">
        <v>5510</v>
      </c>
      <c r="AR46" s="13" t="s">
        <v>6459</v>
      </c>
      <c r="AS46" s="13" t="s">
        <v>6460</v>
      </c>
      <c r="AT46" s="13" t="s">
        <v>5667</v>
      </c>
      <c r="AU46" s="13">
        <v>2020.0</v>
      </c>
      <c r="AV46" s="13">
        <v>47.0</v>
      </c>
      <c r="AW46" s="13">
        <v>7.0</v>
      </c>
      <c r="AX46" s="13" t="s">
        <v>5510</v>
      </c>
      <c r="AY46" s="13" t="s">
        <v>5510</v>
      </c>
      <c r="AZ46" s="13" t="s">
        <v>5510</v>
      </c>
      <c r="BA46" s="13" t="s">
        <v>5510</v>
      </c>
      <c r="BB46" s="13">
        <v>1439.0</v>
      </c>
      <c r="BC46" s="13">
        <v>1454.0</v>
      </c>
      <c r="BD46" s="13" t="s">
        <v>5510</v>
      </c>
      <c r="BE46" s="13" t="s">
        <v>6461</v>
      </c>
      <c r="BF46" s="52" t="str">
        <f>HYPERLINK("http://dx.doi.org/10.1111/jbi.13827","http://dx.doi.org/10.1111/jbi.13827")</f>
        <v>http://dx.doi.org/10.1111/jbi.13827</v>
      </c>
      <c r="BG46" s="13" t="s">
        <v>5510</v>
      </c>
      <c r="BH46" s="13" t="s">
        <v>6462</v>
      </c>
      <c r="BI46" s="13">
        <v>16.0</v>
      </c>
      <c r="BJ46" s="13" t="s">
        <v>6463</v>
      </c>
      <c r="BK46" s="13" t="s">
        <v>5561</v>
      </c>
      <c r="BL46" s="13" t="s">
        <v>6464</v>
      </c>
      <c r="BM46" s="13" t="s">
        <v>6465</v>
      </c>
      <c r="BN46" s="13" t="s">
        <v>5510</v>
      </c>
      <c r="BO46" s="13" t="s">
        <v>5587</v>
      </c>
      <c r="BP46" s="13" t="s">
        <v>5510</v>
      </c>
      <c r="BQ46" s="13" t="s">
        <v>5510</v>
      </c>
      <c r="BR46" s="13" t="s">
        <v>5538</v>
      </c>
      <c r="BS46" s="13" t="s">
        <v>6466</v>
      </c>
      <c r="BT46" s="13">
        <v>24935.0</v>
      </c>
      <c r="BU46" s="13" t="s">
        <v>5540</v>
      </c>
      <c r="BV46" s="13" t="s">
        <v>4856</v>
      </c>
      <c r="BW46" s="13" t="str">
        <f>VLOOKUP($BT46,Enriched!$A$2:$E$1070,5,false)</f>
        <v>["Agriculture &amp; Aquaculture"]</v>
      </c>
      <c r="BX46" s="13" t="str">
        <f>VLOOKUP($BT46,Enriched!$A$2:$E$1070,4,false)</f>
        <v>["Annual &amp; perennial non-timber crops", "Livestock farming &amp; ranching"]</v>
      </c>
      <c r="BY46" s="13" t="b">
        <f>VLOOKUP(BT46,Enriched!$A$1:$AA$1070,27,falsE)</f>
        <v>0</v>
      </c>
      <c r="BZ46" s="2" t="str">
        <f>VLOOKUP(BT46,Enriched!$A$1:$AA$1070,14,falsE)</f>
        <v>cumulative</v>
      </c>
      <c r="CA46" s="13" t="str">
        <f>HYPERLINK("https%3A%2F%2Fwww.webofscience.com%2Fwos%2Fwoscc%2Ffull-record%2FWOS:000520874400001","View Full Record in Web of Science")</f>
        <v>View Full Record in Web of Science</v>
      </c>
    </row>
    <row r="47" ht="12.75" customHeight="1">
      <c r="A47" s="13" t="s">
        <v>5508</v>
      </c>
      <c r="B47" s="13" t="s">
        <v>6467</v>
      </c>
      <c r="C47" s="13" t="s">
        <v>5510</v>
      </c>
      <c r="D47" s="13" t="s">
        <v>5510</v>
      </c>
      <c r="E47" s="13" t="s">
        <v>5510</v>
      </c>
      <c r="F47" s="13" t="s">
        <v>6468</v>
      </c>
      <c r="G47" s="13" t="s">
        <v>5510</v>
      </c>
      <c r="H47" s="13" t="s">
        <v>5510</v>
      </c>
      <c r="I47" s="13" t="s">
        <v>2966</v>
      </c>
      <c r="J47" s="13" t="s">
        <v>6469</v>
      </c>
      <c r="K47" s="13" t="s">
        <v>5510</v>
      </c>
      <c r="L47" s="13" t="s">
        <v>5510</v>
      </c>
      <c r="M47" s="13" t="s">
        <v>5513</v>
      </c>
      <c r="N47" s="13" t="s">
        <v>5514</v>
      </c>
      <c r="O47" s="13" t="s">
        <v>5510</v>
      </c>
      <c r="P47" s="13" t="s">
        <v>5510</v>
      </c>
      <c r="Q47" s="13" t="s">
        <v>5510</v>
      </c>
      <c r="R47" s="13" t="s">
        <v>5510</v>
      </c>
      <c r="S47" s="13" t="s">
        <v>5510</v>
      </c>
      <c r="T47" s="13" t="s">
        <v>6470</v>
      </c>
      <c r="U47" s="13" t="s">
        <v>6471</v>
      </c>
      <c r="V47" s="13" t="s">
        <v>6472</v>
      </c>
      <c r="W47" s="13" t="s">
        <v>6473</v>
      </c>
      <c r="X47" s="13" t="s">
        <v>6474</v>
      </c>
      <c r="Y47" s="13" t="s">
        <v>6475</v>
      </c>
      <c r="Z47" s="13" t="s">
        <v>6476</v>
      </c>
      <c r="AA47" s="13" t="s">
        <v>6477</v>
      </c>
      <c r="AB47" s="13" t="s">
        <v>6478</v>
      </c>
      <c r="AC47" s="13" t="s">
        <v>6479</v>
      </c>
      <c r="AD47" s="13" t="s">
        <v>6480</v>
      </c>
      <c r="AE47" s="13" t="s">
        <v>6481</v>
      </c>
      <c r="AF47" s="13" t="s">
        <v>5510</v>
      </c>
      <c r="AG47" s="13">
        <v>76.0</v>
      </c>
      <c r="AH47" s="13">
        <v>15.0</v>
      </c>
      <c r="AI47" s="13">
        <v>17.0</v>
      </c>
      <c r="AJ47" s="13">
        <v>1.0</v>
      </c>
      <c r="AK47" s="13">
        <v>41.0</v>
      </c>
      <c r="AL47" s="13" t="s">
        <v>5690</v>
      </c>
      <c r="AM47" s="13" t="s">
        <v>5691</v>
      </c>
      <c r="AN47" s="13" t="s">
        <v>5692</v>
      </c>
      <c r="AO47" s="13" t="s">
        <v>6482</v>
      </c>
      <c r="AP47" s="13" t="s">
        <v>6483</v>
      </c>
      <c r="AQ47" s="13" t="s">
        <v>5510</v>
      </c>
      <c r="AR47" s="13" t="s">
        <v>6484</v>
      </c>
      <c r="AS47" s="13" t="s">
        <v>6485</v>
      </c>
      <c r="AT47" s="13" t="s">
        <v>2738</v>
      </c>
      <c r="AU47" s="13">
        <v>2020.0</v>
      </c>
      <c r="AV47" s="13">
        <v>22.0</v>
      </c>
      <c r="AW47" s="13">
        <v>2.0</v>
      </c>
      <c r="AX47" s="13" t="s">
        <v>5510</v>
      </c>
      <c r="AY47" s="13" t="s">
        <v>5510</v>
      </c>
      <c r="AZ47" s="13" t="s">
        <v>5510</v>
      </c>
      <c r="BA47" s="13" t="s">
        <v>5510</v>
      </c>
      <c r="BB47" s="13">
        <v>1145.0</v>
      </c>
      <c r="BC47" s="13">
        <v>1164.0</v>
      </c>
      <c r="BD47" s="13" t="s">
        <v>5510</v>
      </c>
      <c r="BE47" s="13" t="s">
        <v>6486</v>
      </c>
      <c r="BF47" s="52" t="str">
        <f>HYPERLINK("http://dx.doi.org/10.1007/s10668-018-0240-x","http://dx.doi.org/10.1007/s10668-018-0240-x")</f>
        <v>http://dx.doi.org/10.1007/s10668-018-0240-x</v>
      </c>
      <c r="BG47" s="13" t="s">
        <v>5510</v>
      </c>
      <c r="BH47" s="13" t="s">
        <v>5510</v>
      </c>
      <c r="BI47" s="13">
        <v>20.0</v>
      </c>
      <c r="BJ47" s="13" t="s">
        <v>6487</v>
      </c>
      <c r="BK47" s="13" t="s">
        <v>5534</v>
      </c>
      <c r="BL47" s="13" t="s">
        <v>6488</v>
      </c>
      <c r="BM47" s="13" t="s">
        <v>6489</v>
      </c>
      <c r="BN47" s="13" t="s">
        <v>5510</v>
      </c>
      <c r="BO47" s="13" t="s">
        <v>5510</v>
      </c>
      <c r="BP47" s="13" t="s">
        <v>5510</v>
      </c>
      <c r="BQ47" s="13" t="s">
        <v>5510</v>
      </c>
      <c r="BR47" s="13" t="s">
        <v>5538</v>
      </c>
      <c r="BS47" s="13" t="s">
        <v>6490</v>
      </c>
      <c r="BT47" s="13">
        <v>25230.0</v>
      </c>
      <c r="BU47" s="13" t="s">
        <v>5540</v>
      </c>
      <c r="BV47" s="13" t="s">
        <v>4886</v>
      </c>
      <c r="BW47" s="13" t="str">
        <f>VLOOKUP($BT47,Enriched!$A$2:$E$1070,5,false)</f>
        <v>["Agriculture &amp; Aquaculture"]</v>
      </c>
      <c r="BX47" s="13" t="str">
        <f>VLOOKUP($BT47,Enriched!$A$2:$E$1070,4,false)</f>
        <v>["Housing &amp; urban area", "Annual &amp; perennial non-timber crops"]</v>
      </c>
      <c r="BY47" s="13" t="b">
        <f>VLOOKUP(BT47,Enriched!$A$1:$AA$1070,27,falsE)</f>
        <v>0</v>
      </c>
      <c r="BZ47" s="2" t="str">
        <f>VLOOKUP(BT47,Enriched!$A$1:$AA$1070,14,falsE)</f>
        <v>level2</v>
      </c>
      <c r="CA47" s="13" t="str">
        <f>HYPERLINK("https%3A%2F%2Fwww.webofscience.com%2Fwos%2Fwoscc%2Ffull-record%2FWOS:000511659800024","View Full Record in Web of Science")</f>
        <v>View Full Record in Web of Science</v>
      </c>
    </row>
    <row r="48" ht="12.75" customHeight="1">
      <c r="A48" s="13" t="s">
        <v>5508</v>
      </c>
      <c r="B48" s="13" t="s">
        <v>6491</v>
      </c>
      <c r="C48" s="13" t="s">
        <v>5510</v>
      </c>
      <c r="D48" s="13" t="s">
        <v>5510</v>
      </c>
      <c r="E48" s="13" t="s">
        <v>5510</v>
      </c>
      <c r="F48" s="13" t="s">
        <v>6491</v>
      </c>
      <c r="G48" s="13" t="s">
        <v>5510</v>
      </c>
      <c r="H48" s="13" t="s">
        <v>5510</v>
      </c>
      <c r="I48" s="13" t="s">
        <v>6492</v>
      </c>
      <c r="J48" s="13" t="s">
        <v>6493</v>
      </c>
      <c r="K48" s="13" t="s">
        <v>5510</v>
      </c>
      <c r="L48" s="13" t="s">
        <v>5510</v>
      </c>
      <c r="M48" s="13" t="s">
        <v>5513</v>
      </c>
      <c r="N48" s="13" t="s">
        <v>5514</v>
      </c>
      <c r="O48" s="13" t="s">
        <v>5510</v>
      </c>
      <c r="P48" s="13" t="s">
        <v>5510</v>
      </c>
      <c r="Q48" s="13" t="s">
        <v>5510</v>
      </c>
      <c r="R48" s="13" t="s">
        <v>5510</v>
      </c>
      <c r="S48" s="13" t="s">
        <v>5510</v>
      </c>
      <c r="T48" s="13" t="s">
        <v>6494</v>
      </c>
      <c r="U48" s="13" t="s">
        <v>6495</v>
      </c>
      <c r="V48" s="13" t="s">
        <v>6496</v>
      </c>
      <c r="W48" s="13" t="s">
        <v>6497</v>
      </c>
      <c r="X48" s="13" t="s">
        <v>6498</v>
      </c>
      <c r="Y48" s="13" t="s">
        <v>6499</v>
      </c>
      <c r="Z48" s="13" t="s">
        <v>6500</v>
      </c>
      <c r="AA48" s="13" t="s">
        <v>6501</v>
      </c>
      <c r="AB48" s="13" t="s">
        <v>6502</v>
      </c>
      <c r="AC48" s="13" t="s">
        <v>5510</v>
      </c>
      <c r="AD48" s="13" t="s">
        <v>5510</v>
      </c>
      <c r="AE48" s="13" t="s">
        <v>5510</v>
      </c>
      <c r="AF48" s="13" t="s">
        <v>5510</v>
      </c>
      <c r="AG48" s="13">
        <v>28.0</v>
      </c>
      <c r="AH48" s="13">
        <v>37.0</v>
      </c>
      <c r="AI48" s="13">
        <v>48.0</v>
      </c>
      <c r="AJ48" s="13">
        <v>0.0</v>
      </c>
      <c r="AK48" s="13">
        <v>51.0</v>
      </c>
      <c r="AL48" s="13" t="s">
        <v>5690</v>
      </c>
      <c r="AM48" s="13" t="s">
        <v>6503</v>
      </c>
      <c r="AN48" s="13" t="s">
        <v>6504</v>
      </c>
      <c r="AO48" s="13" t="s">
        <v>6505</v>
      </c>
      <c r="AP48" s="13" t="s">
        <v>6506</v>
      </c>
      <c r="AQ48" s="13" t="s">
        <v>5510</v>
      </c>
      <c r="AR48" s="13" t="s">
        <v>6493</v>
      </c>
      <c r="AS48" s="13" t="s">
        <v>138</v>
      </c>
      <c r="AT48" s="13" t="s">
        <v>1925</v>
      </c>
      <c r="AU48" s="13">
        <v>2004.0</v>
      </c>
      <c r="AV48" s="13">
        <v>23.0</v>
      </c>
      <c r="AW48" s="13">
        <v>3.0</v>
      </c>
      <c r="AX48" s="13" t="s">
        <v>5510</v>
      </c>
      <c r="AY48" s="13" t="s">
        <v>5510</v>
      </c>
      <c r="AZ48" s="13" t="s">
        <v>5510</v>
      </c>
      <c r="BA48" s="13" t="s">
        <v>5510</v>
      </c>
      <c r="BB48" s="13">
        <v>344.0</v>
      </c>
      <c r="BC48" s="13">
        <v>351.0</v>
      </c>
      <c r="BD48" s="13" t="s">
        <v>5510</v>
      </c>
      <c r="BE48" s="13" t="s">
        <v>6507</v>
      </c>
      <c r="BF48" s="52" t="str">
        <f>HYPERLINK("http://dx.doi.org/10.1007/s00338-004-0393-y","http://dx.doi.org/10.1007/s00338-004-0393-y")</f>
        <v>http://dx.doi.org/10.1007/s00338-004-0393-y</v>
      </c>
      <c r="BG48" s="13" t="s">
        <v>5510</v>
      </c>
      <c r="BH48" s="13" t="s">
        <v>5510</v>
      </c>
      <c r="BI48" s="13">
        <v>8.0</v>
      </c>
      <c r="BJ48" s="13" t="s">
        <v>6508</v>
      </c>
      <c r="BK48" s="13" t="s">
        <v>5561</v>
      </c>
      <c r="BL48" s="13" t="s">
        <v>6508</v>
      </c>
      <c r="BM48" s="13" t="s">
        <v>6509</v>
      </c>
      <c r="BN48" s="13" t="s">
        <v>5510</v>
      </c>
      <c r="BO48" s="13" t="s">
        <v>5510</v>
      </c>
      <c r="BP48" s="13" t="s">
        <v>5510</v>
      </c>
      <c r="BQ48" s="13" t="s">
        <v>5510</v>
      </c>
      <c r="BR48" s="13" t="s">
        <v>5538</v>
      </c>
      <c r="BS48" s="13" t="s">
        <v>6510</v>
      </c>
      <c r="BT48" s="13">
        <v>24628.0</v>
      </c>
      <c r="BU48" s="13" t="s">
        <v>5540</v>
      </c>
      <c r="BV48" s="13" t="s">
        <v>4864</v>
      </c>
      <c r="BW48" s="13" t="str">
        <f>VLOOKUP($BT48,Enriched!$A$2:$E$1070,5,false)</f>
        <v>["Biological resource use"]</v>
      </c>
      <c r="BX48" s="13" t="str">
        <f>VLOOKUP($BT48,Enriched!$A$2:$E$1070,4,false)</f>
        <v>["Fishing &amp; harvesting aquatic resources"]</v>
      </c>
      <c r="BY48" s="13" t="b">
        <f>VLOOKUP(BT48,Enriched!$A$1:$AA$1070,27,falsE)</f>
        <v>0</v>
      </c>
      <c r="BZ48" s="2" t="str">
        <f>VLOOKUP(BT48,Enriched!$A$1:$AA$1070,14,falsE)</f>
        <v>level2</v>
      </c>
      <c r="CA48" s="13" t="str">
        <f>HYPERLINK("https%3A%2F%2Fwww.webofscience.com%2Fwos%2Fwoscc%2Ffull-record%2FWOS:000224249800005","View Full Record in Web of Science")</f>
        <v>View Full Record in Web of Science</v>
      </c>
    </row>
    <row r="49" ht="12.75" customHeight="1">
      <c r="A49" s="13" t="s">
        <v>5508</v>
      </c>
      <c r="B49" s="13" t="s">
        <v>6511</v>
      </c>
      <c r="C49" s="13" t="s">
        <v>5510</v>
      </c>
      <c r="D49" s="13" t="s">
        <v>5510</v>
      </c>
      <c r="E49" s="13" t="s">
        <v>5510</v>
      </c>
      <c r="F49" s="13" t="s">
        <v>6512</v>
      </c>
      <c r="G49" s="13" t="s">
        <v>5510</v>
      </c>
      <c r="H49" s="13" t="s">
        <v>5510</v>
      </c>
      <c r="I49" s="13" t="s">
        <v>2961</v>
      </c>
      <c r="J49" s="13" t="s">
        <v>5943</v>
      </c>
      <c r="K49" s="13" t="s">
        <v>5510</v>
      </c>
      <c r="L49" s="13" t="s">
        <v>5510</v>
      </c>
      <c r="M49" s="13" t="s">
        <v>5513</v>
      </c>
      <c r="N49" s="13" t="s">
        <v>5514</v>
      </c>
      <c r="O49" s="13" t="s">
        <v>5510</v>
      </c>
      <c r="P49" s="13" t="s">
        <v>5510</v>
      </c>
      <c r="Q49" s="13" t="s">
        <v>5510</v>
      </c>
      <c r="R49" s="13" t="s">
        <v>5510</v>
      </c>
      <c r="S49" s="13" t="s">
        <v>5510</v>
      </c>
      <c r="T49" s="13" t="s">
        <v>6513</v>
      </c>
      <c r="U49" s="13" t="s">
        <v>6514</v>
      </c>
      <c r="V49" s="13" t="s">
        <v>6515</v>
      </c>
      <c r="W49" s="13" t="s">
        <v>6516</v>
      </c>
      <c r="X49" s="13" t="s">
        <v>6517</v>
      </c>
      <c r="Y49" s="13" t="s">
        <v>6518</v>
      </c>
      <c r="Z49" s="13" t="s">
        <v>6519</v>
      </c>
      <c r="AA49" s="13" t="s">
        <v>5510</v>
      </c>
      <c r="AB49" s="13" t="s">
        <v>5510</v>
      </c>
      <c r="AC49" s="13" t="s">
        <v>6520</v>
      </c>
      <c r="AD49" s="13" t="s">
        <v>6521</v>
      </c>
      <c r="AE49" s="13" t="s">
        <v>6522</v>
      </c>
      <c r="AF49" s="13" t="s">
        <v>5510</v>
      </c>
      <c r="AG49" s="13">
        <v>51.0</v>
      </c>
      <c r="AH49" s="13">
        <v>42.0</v>
      </c>
      <c r="AI49" s="13">
        <v>47.0</v>
      </c>
      <c r="AJ49" s="13">
        <v>3.0</v>
      </c>
      <c r="AK49" s="13">
        <v>142.0</v>
      </c>
      <c r="AL49" s="13" t="s">
        <v>5527</v>
      </c>
      <c r="AM49" s="13" t="s">
        <v>5528</v>
      </c>
      <c r="AN49" s="13" t="s">
        <v>5529</v>
      </c>
      <c r="AO49" s="13" t="s">
        <v>5953</v>
      </c>
      <c r="AP49" s="13" t="s">
        <v>5954</v>
      </c>
      <c r="AQ49" s="13" t="s">
        <v>5510</v>
      </c>
      <c r="AR49" s="13" t="s">
        <v>5955</v>
      </c>
      <c r="AS49" s="13" t="s">
        <v>5956</v>
      </c>
      <c r="AT49" s="13" t="s">
        <v>6175</v>
      </c>
      <c r="AU49" s="13">
        <v>2016.0</v>
      </c>
      <c r="AV49" s="13">
        <v>53.0</v>
      </c>
      <c r="AW49" s="13">
        <v>4.0</v>
      </c>
      <c r="AX49" s="13" t="s">
        <v>5510</v>
      </c>
      <c r="AY49" s="13" t="s">
        <v>5510</v>
      </c>
      <c r="AZ49" s="13" t="s">
        <v>5510</v>
      </c>
      <c r="BA49" s="13" t="s">
        <v>5510</v>
      </c>
      <c r="BB49" s="13">
        <v>1066.0</v>
      </c>
      <c r="BC49" s="13">
        <v>1077.0</v>
      </c>
      <c r="BD49" s="13" t="s">
        <v>5510</v>
      </c>
      <c r="BE49" s="13" t="s">
        <v>6523</v>
      </c>
      <c r="BF49" s="52" t="str">
        <f>HYPERLINK("http://dx.doi.org/10.1111/1365-2664.12610","http://dx.doi.org/10.1111/1365-2664.12610")</f>
        <v>http://dx.doi.org/10.1111/1365-2664.12610</v>
      </c>
      <c r="BG49" s="13" t="s">
        <v>5510</v>
      </c>
      <c r="BH49" s="13" t="s">
        <v>5510</v>
      </c>
      <c r="BI49" s="13">
        <v>12.0</v>
      </c>
      <c r="BJ49" s="13" t="s">
        <v>5958</v>
      </c>
      <c r="BK49" s="13" t="s">
        <v>5561</v>
      </c>
      <c r="BL49" s="13" t="s">
        <v>5699</v>
      </c>
      <c r="BM49" s="13" t="s">
        <v>6524</v>
      </c>
      <c r="BN49" s="13" t="s">
        <v>5510</v>
      </c>
      <c r="BO49" s="13" t="s">
        <v>5809</v>
      </c>
      <c r="BP49" s="13" t="s">
        <v>5510</v>
      </c>
      <c r="BQ49" s="13" t="s">
        <v>5510</v>
      </c>
      <c r="BR49" s="13" t="s">
        <v>5538</v>
      </c>
      <c r="BS49" s="13" t="s">
        <v>6525</v>
      </c>
      <c r="BT49" s="13">
        <v>25507.0</v>
      </c>
      <c r="BU49" s="13" t="s">
        <v>5540</v>
      </c>
      <c r="BV49" s="13" t="s">
        <v>4856</v>
      </c>
      <c r="BW49" s="13" t="str">
        <f>VLOOKUP($BT49,Enriched!$A$2:$E$1070,5,false)</f>
        <v>["Agriculture &amp; Aquaculture"]</v>
      </c>
      <c r="BX49" s="13" t="str">
        <f>VLOOKUP($BT49,Enriched!$A$2:$E$1070,4,false)</f>
        <v>["Housing &amp; urban area", "Livestock farming &amp; ranching"]</v>
      </c>
      <c r="BY49" s="13" t="b">
        <f>VLOOKUP(BT49,Enriched!$A$1:$AA$1070,27,falsE)</f>
        <v>0</v>
      </c>
      <c r="BZ49" s="2" t="str">
        <f>VLOOKUP(BT49,Enriched!$A$1:$AA$1070,14,falsE)</f>
        <v>level2</v>
      </c>
      <c r="CA49" s="13" t="str">
        <f>HYPERLINK("https%3A%2F%2Fwww.webofscience.com%2Fwos%2Fwoscc%2Ffull-record%2FWOS:000380065600011","View Full Record in Web of Science")</f>
        <v>View Full Record in Web of Science</v>
      </c>
    </row>
    <row r="50" ht="12.75" customHeight="1">
      <c r="A50" s="13" t="s">
        <v>5508</v>
      </c>
      <c r="B50" s="13" t="s">
        <v>6526</v>
      </c>
      <c r="C50" s="13" t="s">
        <v>5510</v>
      </c>
      <c r="D50" s="13" t="s">
        <v>5510</v>
      </c>
      <c r="E50" s="13" t="s">
        <v>5510</v>
      </c>
      <c r="F50" s="13" t="s">
        <v>6527</v>
      </c>
      <c r="G50" s="13" t="s">
        <v>5510</v>
      </c>
      <c r="H50" s="13" t="s">
        <v>5510</v>
      </c>
      <c r="I50" s="13" t="s">
        <v>2954</v>
      </c>
      <c r="J50" s="13" t="s">
        <v>6528</v>
      </c>
      <c r="K50" s="13" t="s">
        <v>5510</v>
      </c>
      <c r="L50" s="13" t="s">
        <v>5510</v>
      </c>
      <c r="M50" s="13" t="s">
        <v>5513</v>
      </c>
      <c r="N50" s="13" t="s">
        <v>5626</v>
      </c>
      <c r="O50" s="13" t="s">
        <v>6529</v>
      </c>
      <c r="P50" s="13" t="s">
        <v>6530</v>
      </c>
      <c r="Q50" s="13" t="s">
        <v>6531</v>
      </c>
      <c r="R50" s="13" t="s">
        <v>6532</v>
      </c>
      <c r="S50" s="13" t="s">
        <v>5510</v>
      </c>
      <c r="T50" s="13" t="s">
        <v>6533</v>
      </c>
      <c r="U50" s="13" t="s">
        <v>6534</v>
      </c>
      <c r="V50" s="13" t="s">
        <v>6535</v>
      </c>
      <c r="W50" s="13" t="s">
        <v>6536</v>
      </c>
      <c r="X50" s="13" t="s">
        <v>6537</v>
      </c>
      <c r="Y50" s="13" t="s">
        <v>6538</v>
      </c>
      <c r="Z50" s="13" t="s">
        <v>6539</v>
      </c>
      <c r="AA50" s="13" t="s">
        <v>6540</v>
      </c>
      <c r="AB50" s="13" t="s">
        <v>6541</v>
      </c>
      <c r="AC50" s="13" t="s">
        <v>5510</v>
      </c>
      <c r="AD50" s="13" t="s">
        <v>5510</v>
      </c>
      <c r="AE50" s="13" t="s">
        <v>5510</v>
      </c>
      <c r="AF50" s="13" t="s">
        <v>5510</v>
      </c>
      <c r="AG50" s="13">
        <v>25.0</v>
      </c>
      <c r="AH50" s="13">
        <v>16.0</v>
      </c>
      <c r="AI50" s="13">
        <v>18.0</v>
      </c>
      <c r="AJ50" s="13">
        <v>2.0</v>
      </c>
      <c r="AK50" s="13">
        <v>58.0</v>
      </c>
      <c r="AL50" s="13" t="s">
        <v>6542</v>
      </c>
      <c r="AM50" s="13" t="s">
        <v>6543</v>
      </c>
      <c r="AN50" s="13" t="s">
        <v>6544</v>
      </c>
      <c r="AO50" s="13" t="s">
        <v>6545</v>
      </c>
      <c r="AP50" s="13" t="s">
        <v>6546</v>
      </c>
      <c r="AQ50" s="13" t="s">
        <v>5510</v>
      </c>
      <c r="AR50" s="13" t="s">
        <v>6547</v>
      </c>
      <c r="AS50" s="13" t="s">
        <v>6548</v>
      </c>
      <c r="AT50" s="13" t="s">
        <v>6089</v>
      </c>
      <c r="AU50" s="13">
        <v>2016.0</v>
      </c>
      <c r="AV50" s="13" t="s">
        <v>5510</v>
      </c>
      <c r="AW50" s="13" t="s">
        <v>5510</v>
      </c>
      <c r="AX50" s="13">
        <v>2.0</v>
      </c>
      <c r="AY50" s="13" t="s">
        <v>5510</v>
      </c>
      <c r="AZ50" s="13">
        <v>75.0</v>
      </c>
      <c r="BA50" s="13" t="s">
        <v>5510</v>
      </c>
      <c r="BB50" s="13">
        <v>897.0</v>
      </c>
      <c r="BC50" s="13">
        <v>901.0</v>
      </c>
      <c r="BD50" s="13" t="s">
        <v>5510</v>
      </c>
      <c r="BE50" s="13" t="s">
        <v>6549</v>
      </c>
      <c r="BF50" s="52" t="str">
        <f>HYPERLINK("http://dx.doi.org/10.2112/SI75-180.1","http://dx.doi.org/10.2112/SI75-180.1")</f>
        <v>http://dx.doi.org/10.2112/SI75-180.1</v>
      </c>
      <c r="BG50" s="13" t="s">
        <v>5510</v>
      </c>
      <c r="BH50" s="13" t="s">
        <v>5510</v>
      </c>
      <c r="BI50" s="13">
        <v>5.0</v>
      </c>
      <c r="BJ50" s="13" t="s">
        <v>6550</v>
      </c>
      <c r="BK50" s="13" t="s">
        <v>5649</v>
      </c>
      <c r="BL50" s="13" t="s">
        <v>6551</v>
      </c>
      <c r="BM50" s="13" t="s">
        <v>6552</v>
      </c>
      <c r="BN50" s="13" t="s">
        <v>5510</v>
      </c>
      <c r="BO50" s="13" t="s">
        <v>5809</v>
      </c>
      <c r="BP50" s="13" t="s">
        <v>5510</v>
      </c>
      <c r="BQ50" s="13" t="s">
        <v>5510</v>
      </c>
      <c r="BR50" s="13" t="s">
        <v>5538</v>
      </c>
      <c r="BS50" s="13" t="s">
        <v>6553</v>
      </c>
      <c r="BT50" s="13">
        <v>24788.0</v>
      </c>
      <c r="BU50" s="13" t="s">
        <v>5540</v>
      </c>
      <c r="BV50" s="13" t="s">
        <v>4864</v>
      </c>
      <c r="BW50" s="13" t="str">
        <f>VLOOKUP($BT50,Enriched!$A$2:$E$1070,5,false)</f>
        <v>["Biological Resource Use", "Pollution", "Transportation &amp; Service Corridors"]</v>
      </c>
      <c r="BX50" s="13" t="str">
        <f>VLOOKUP($BT50,Enriched!$A$2:$E$1070,4,false)</f>
        <v>["Fishing &amp; harvesting aquatic resources", "Garbage &amp; solid waste", "Shipping lanes"]</v>
      </c>
      <c r="BY50" s="13" t="b">
        <f>VLOOKUP(BT50,Enriched!$A$1:$AA$1070,27,falsE)</f>
        <v>0</v>
      </c>
      <c r="BZ50" s="2" t="str">
        <f>VLOOKUP(BT50,Enriched!$A$1:$AA$1070,14,falsE)</f>
        <v>level2</v>
      </c>
      <c r="CA50" s="13" t="str">
        <f>HYPERLINK("https%3A%2F%2Fwww.webofscience.com%2Fwos%2Fwoscc%2Ffull-record%2FWOS:000373241300034","View Full Record in Web of Science")</f>
        <v>View Full Record in Web of Science</v>
      </c>
    </row>
    <row r="51" ht="12.75" customHeight="1">
      <c r="A51" s="13" t="s">
        <v>5508</v>
      </c>
      <c r="B51" s="13" t="s">
        <v>6554</v>
      </c>
      <c r="C51" s="13" t="s">
        <v>5510</v>
      </c>
      <c r="D51" s="13" t="s">
        <v>5510</v>
      </c>
      <c r="E51" s="13" t="s">
        <v>5510</v>
      </c>
      <c r="F51" s="13" t="s">
        <v>6555</v>
      </c>
      <c r="G51" s="13" t="s">
        <v>5510</v>
      </c>
      <c r="H51" s="13" t="s">
        <v>5510</v>
      </c>
      <c r="I51" s="13" t="s">
        <v>2951</v>
      </c>
      <c r="J51" s="13" t="s">
        <v>6407</v>
      </c>
      <c r="K51" s="13" t="s">
        <v>5510</v>
      </c>
      <c r="L51" s="13" t="s">
        <v>5510</v>
      </c>
      <c r="M51" s="13" t="s">
        <v>5513</v>
      </c>
      <c r="N51" s="13" t="s">
        <v>5514</v>
      </c>
      <c r="O51" s="13" t="s">
        <v>5510</v>
      </c>
      <c r="P51" s="13" t="s">
        <v>5510</v>
      </c>
      <c r="Q51" s="13" t="s">
        <v>5510</v>
      </c>
      <c r="R51" s="13" t="s">
        <v>5510</v>
      </c>
      <c r="S51" s="13" t="s">
        <v>5510</v>
      </c>
      <c r="T51" s="13" t="s">
        <v>6556</v>
      </c>
      <c r="U51" s="13" t="s">
        <v>6557</v>
      </c>
      <c r="V51" s="13" t="s">
        <v>6558</v>
      </c>
      <c r="W51" s="13" t="s">
        <v>6559</v>
      </c>
      <c r="X51" s="13" t="s">
        <v>6560</v>
      </c>
      <c r="Y51" s="13" t="s">
        <v>6561</v>
      </c>
      <c r="Z51" s="13" t="s">
        <v>6562</v>
      </c>
      <c r="AA51" s="13" t="s">
        <v>6563</v>
      </c>
      <c r="AB51" s="13" t="s">
        <v>6564</v>
      </c>
      <c r="AC51" s="13" t="s">
        <v>6565</v>
      </c>
      <c r="AD51" s="13" t="s">
        <v>6565</v>
      </c>
      <c r="AE51" s="13" t="s">
        <v>6566</v>
      </c>
      <c r="AF51" s="13" t="s">
        <v>5510</v>
      </c>
      <c r="AG51" s="13">
        <v>67.0</v>
      </c>
      <c r="AH51" s="13">
        <v>104.0</v>
      </c>
      <c r="AI51" s="13">
        <v>118.0</v>
      </c>
      <c r="AJ51" s="13">
        <v>1.0</v>
      </c>
      <c r="AK51" s="13">
        <v>105.0</v>
      </c>
      <c r="AL51" s="13" t="s">
        <v>5759</v>
      </c>
      <c r="AM51" s="13" t="s">
        <v>5760</v>
      </c>
      <c r="AN51" s="13" t="s">
        <v>5761</v>
      </c>
      <c r="AO51" s="13" t="s">
        <v>6417</v>
      </c>
      <c r="AP51" s="13" t="s">
        <v>6418</v>
      </c>
      <c r="AQ51" s="13" t="s">
        <v>5510</v>
      </c>
      <c r="AR51" s="13" t="s">
        <v>6419</v>
      </c>
      <c r="AS51" s="13" t="s">
        <v>6420</v>
      </c>
      <c r="AT51" s="13" t="s">
        <v>6175</v>
      </c>
      <c r="AU51" s="13">
        <v>2012.0</v>
      </c>
      <c r="AV51" s="13">
        <v>19.0</v>
      </c>
      <c r="AW51" s="13" t="s">
        <v>5510</v>
      </c>
      <c r="AX51" s="13" t="s">
        <v>5510</v>
      </c>
      <c r="AY51" s="13" t="s">
        <v>5510</v>
      </c>
      <c r="AZ51" s="13" t="s">
        <v>5646</v>
      </c>
      <c r="BA51" s="13" t="s">
        <v>5510</v>
      </c>
      <c r="BB51" s="13">
        <v>253.0</v>
      </c>
      <c r="BC51" s="13">
        <v>263.0</v>
      </c>
      <c r="BD51" s="13" t="s">
        <v>5510</v>
      </c>
      <c r="BE51" s="13" t="s">
        <v>6567</v>
      </c>
      <c r="BF51" s="52" t="str">
        <f>HYPERLINK("http://dx.doi.org/10.1016/j.ecolind.2011.07.027","http://dx.doi.org/10.1016/j.ecolind.2011.07.027")</f>
        <v>http://dx.doi.org/10.1016/j.ecolind.2011.07.027</v>
      </c>
      <c r="BG51" s="13" t="s">
        <v>5510</v>
      </c>
      <c r="BH51" s="13" t="s">
        <v>5510</v>
      </c>
      <c r="BI51" s="13">
        <v>11.0</v>
      </c>
      <c r="BJ51" s="13" t="s">
        <v>6422</v>
      </c>
      <c r="BK51" s="13" t="s">
        <v>5561</v>
      </c>
      <c r="BL51" s="13" t="s">
        <v>5699</v>
      </c>
      <c r="BM51" s="13" t="s">
        <v>6568</v>
      </c>
      <c r="BN51" s="13" t="s">
        <v>5510</v>
      </c>
      <c r="BO51" s="13" t="s">
        <v>5510</v>
      </c>
      <c r="BP51" s="13" t="s">
        <v>5510</v>
      </c>
      <c r="BQ51" s="13" t="s">
        <v>5510</v>
      </c>
      <c r="BR51" s="13" t="s">
        <v>5538</v>
      </c>
      <c r="BS51" s="13" t="s">
        <v>6569</v>
      </c>
      <c r="BT51" s="13">
        <v>25067.0</v>
      </c>
      <c r="BU51" s="13" t="s">
        <v>5540</v>
      </c>
      <c r="BV51" s="13" t="s">
        <v>4864</v>
      </c>
      <c r="BW51" s="13" t="str">
        <f>VLOOKUP($BT51,Enriched!$A$2:$E$1070,5,false)</f>
        <v>["Transportation &amp; Service Corridors", "Residential &amp; Commercial Development", "Biological Resource Use", "Human Intrusions &amp; Disturbance"]</v>
      </c>
      <c r="BX51" s="13" t="str">
        <f>VLOOKUP($BT51,Enriched!$A$2:$E$1070,4,false)</f>
        <v>["Shipping lanes", "Commercial &amp; industrial areas", "Utility &amp; service lines", "Housing &amp; urban area", "Fishing &amp; harvesting aquatic resources", "Recreational activities"]</v>
      </c>
      <c r="BY51" s="13" t="b">
        <f>VLOOKUP(BT51,Enriched!$A$1:$AA$1070,27,falsE)</f>
        <v>0</v>
      </c>
      <c r="BZ51" s="2" t="str">
        <f>VLOOKUP(BT51,Enriched!$A$1:$AA$1070,14,falsE)</f>
        <v>level2</v>
      </c>
      <c r="CA51" s="13" t="str">
        <f>HYPERLINK("https%3A%2F%2Fwww.webofscience.com%2Fwos%2Fwoscc%2Ffull-record%2FWOS:000302891100026","View Full Record in Web of Science")</f>
        <v>View Full Record in Web of Science</v>
      </c>
    </row>
    <row r="52" ht="12.75" customHeight="1">
      <c r="A52" s="13" t="s">
        <v>5508</v>
      </c>
      <c r="B52" s="13" t="s">
        <v>6570</v>
      </c>
      <c r="C52" s="13" t="s">
        <v>5510</v>
      </c>
      <c r="D52" s="13" t="s">
        <v>5510</v>
      </c>
      <c r="E52" s="13" t="s">
        <v>5510</v>
      </c>
      <c r="F52" s="13" t="s">
        <v>6571</v>
      </c>
      <c r="G52" s="13" t="s">
        <v>5510</v>
      </c>
      <c r="H52" s="13" t="s">
        <v>5510</v>
      </c>
      <c r="I52" s="13" t="s">
        <v>2948</v>
      </c>
      <c r="J52" s="13" t="s">
        <v>6333</v>
      </c>
      <c r="K52" s="13" t="s">
        <v>5510</v>
      </c>
      <c r="L52" s="13" t="s">
        <v>5510</v>
      </c>
      <c r="M52" s="13" t="s">
        <v>5513</v>
      </c>
      <c r="N52" s="13" t="s">
        <v>5514</v>
      </c>
      <c r="O52" s="13" t="s">
        <v>5510</v>
      </c>
      <c r="P52" s="13" t="s">
        <v>5510</v>
      </c>
      <c r="Q52" s="13" t="s">
        <v>5510</v>
      </c>
      <c r="R52" s="13" t="s">
        <v>5510</v>
      </c>
      <c r="S52" s="13" t="s">
        <v>5510</v>
      </c>
      <c r="T52" s="13" t="s">
        <v>6572</v>
      </c>
      <c r="U52" s="13" t="s">
        <v>6573</v>
      </c>
      <c r="V52" s="13" t="s">
        <v>6574</v>
      </c>
      <c r="W52" s="13" t="s">
        <v>6575</v>
      </c>
      <c r="X52" s="13" t="s">
        <v>6576</v>
      </c>
      <c r="Y52" s="13" t="s">
        <v>6577</v>
      </c>
      <c r="Z52" s="13" t="s">
        <v>6578</v>
      </c>
      <c r="AA52" s="13" t="s">
        <v>6579</v>
      </c>
      <c r="AB52" s="13" t="s">
        <v>6580</v>
      </c>
      <c r="AC52" s="13" t="s">
        <v>6581</v>
      </c>
      <c r="AD52" s="13" t="s">
        <v>6582</v>
      </c>
      <c r="AE52" s="13" t="s">
        <v>6583</v>
      </c>
      <c r="AF52" s="13" t="s">
        <v>5510</v>
      </c>
      <c r="AG52" s="13">
        <v>50.0</v>
      </c>
      <c r="AH52" s="13">
        <v>144.0</v>
      </c>
      <c r="AI52" s="13">
        <v>156.0</v>
      </c>
      <c r="AJ52" s="13">
        <v>4.0</v>
      </c>
      <c r="AK52" s="13">
        <v>112.0</v>
      </c>
      <c r="AL52" s="13" t="s">
        <v>5527</v>
      </c>
      <c r="AM52" s="13" t="s">
        <v>5528</v>
      </c>
      <c r="AN52" s="13" t="s">
        <v>5529</v>
      </c>
      <c r="AO52" s="13" t="s">
        <v>6342</v>
      </c>
      <c r="AP52" s="13" t="s">
        <v>6343</v>
      </c>
      <c r="AQ52" s="13" t="s">
        <v>5510</v>
      </c>
      <c r="AR52" s="13" t="s">
        <v>6344</v>
      </c>
      <c r="AS52" s="13" t="s">
        <v>6345</v>
      </c>
      <c r="AT52" s="13" t="s">
        <v>6175</v>
      </c>
      <c r="AU52" s="13">
        <v>2019.0</v>
      </c>
      <c r="AV52" s="13">
        <v>33.0</v>
      </c>
      <c r="AW52" s="13">
        <v>4.0</v>
      </c>
      <c r="AX52" s="13" t="s">
        <v>5510</v>
      </c>
      <c r="AY52" s="13" t="s">
        <v>5510</v>
      </c>
      <c r="AZ52" s="13" t="s">
        <v>5510</v>
      </c>
      <c r="BA52" s="13" t="s">
        <v>5510</v>
      </c>
      <c r="BB52" s="13">
        <v>883.0</v>
      </c>
      <c r="BC52" s="13">
        <v>894.0</v>
      </c>
      <c r="BD52" s="13" t="s">
        <v>5510</v>
      </c>
      <c r="BE52" s="13" t="s">
        <v>6584</v>
      </c>
      <c r="BF52" s="52" t="str">
        <f>HYPERLINK("http://dx.doi.org/10.1111/cobi.13317","http://dx.doi.org/10.1111/cobi.13317")</f>
        <v>http://dx.doi.org/10.1111/cobi.13317</v>
      </c>
      <c r="BG52" s="13" t="s">
        <v>5510</v>
      </c>
      <c r="BH52" s="13" t="s">
        <v>5510</v>
      </c>
      <c r="BI52" s="13">
        <v>12.0</v>
      </c>
      <c r="BJ52" s="13" t="s">
        <v>5698</v>
      </c>
      <c r="BK52" s="13" t="s">
        <v>5561</v>
      </c>
      <c r="BL52" s="13" t="s">
        <v>5699</v>
      </c>
      <c r="BM52" s="13" t="s">
        <v>6585</v>
      </c>
      <c r="BN52" s="13">
        <v>3.0900273E7</v>
      </c>
      <c r="BO52" s="13" t="s">
        <v>6586</v>
      </c>
      <c r="BP52" s="13" t="s">
        <v>5510</v>
      </c>
      <c r="BQ52" s="13" t="s">
        <v>5510</v>
      </c>
      <c r="BR52" s="13" t="s">
        <v>5538</v>
      </c>
      <c r="BS52" s="13" t="s">
        <v>6587</v>
      </c>
      <c r="BT52" s="13">
        <v>24253.0</v>
      </c>
      <c r="BU52" s="13" t="s">
        <v>5540</v>
      </c>
      <c r="BV52" s="13" t="s">
        <v>4856</v>
      </c>
      <c r="BW52" s="13" t="str">
        <f>VLOOKUP($BT52,Enriched!$A$2:$E$1070,5,false)</f>
        <v>["Transportation &amp; Service Corridors", "Energy Production &amp; Mining"]</v>
      </c>
      <c r="BX52" s="13" t="str">
        <f>VLOOKUP($BT52,Enriched!$A$2:$E$1070,4,false)</f>
        <v>["Roads &amp; railroads", "Mining &amp; quarrying"]</v>
      </c>
      <c r="BY52" s="13" t="b">
        <f>VLOOKUP(BT52,Enriched!$A$1:$AA$1070,27,falsE)</f>
        <v>0</v>
      </c>
      <c r="BZ52" s="2" t="str">
        <f>VLOOKUP(BT52,Enriched!$A$1:$AA$1070,14,falsE)</f>
        <v>level2</v>
      </c>
      <c r="CA52" s="13" t="str">
        <f>HYPERLINK("https%3A%2F%2Fwww.webofscience.com%2Fwos%2Fwoscc%2Ffull-record%2FWOS:000474668700018","View Full Record in Web of Science")</f>
        <v>View Full Record in Web of Science</v>
      </c>
    </row>
    <row r="53" ht="12.75" customHeight="1">
      <c r="A53" s="13" t="s">
        <v>5508</v>
      </c>
      <c r="B53" s="13" t="s">
        <v>6588</v>
      </c>
      <c r="C53" s="13" t="s">
        <v>5510</v>
      </c>
      <c r="D53" s="13" t="s">
        <v>5510</v>
      </c>
      <c r="E53" s="13" t="s">
        <v>5510</v>
      </c>
      <c r="F53" s="13" t="s">
        <v>6589</v>
      </c>
      <c r="G53" s="13" t="s">
        <v>5510</v>
      </c>
      <c r="H53" s="13" t="s">
        <v>5510</v>
      </c>
      <c r="I53" s="13" t="s">
        <v>2942</v>
      </c>
      <c r="J53" s="13" t="s">
        <v>6333</v>
      </c>
      <c r="K53" s="13" t="s">
        <v>5510</v>
      </c>
      <c r="L53" s="13" t="s">
        <v>5510</v>
      </c>
      <c r="M53" s="13" t="s">
        <v>5513</v>
      </c>
      <c r="N53" s="13" t="s">
        <v>5514</v>
      </c>
      <c r="O53" s="13" t="s">
        <v>5510</v>
      </c>
      <c r="P53" s="13" t="s">
        <v>5510</v>
      </c>
      <c r="Q53" s="13" t="s">
        <v>5510</v>
      </c>
      <c r="R53" s="13" t="s">
        <v>5510</v>
      </c>
      <c r="S53" s="13" t="s">
        <v>5510</v>
      </c>
      <c r="T53" s="13" t="s">
        <v>6590</v>
      </c>
      <c r="U53" s="13" t="s">
        <v>6591</v>
      </c>
      <c r="V53" s="13" t="s">
        <v>6592</v>
      </c>
      <c r="W53" s="13" t="s">
        <v>6593</v>
      </c>
      <c r="X53" s="13" t="s">
        <v>6594</v>
      </c>
      <c r="Y53" s="13" t="s">
        <v>6595</v>
      </c>
      <c r="Z53" s="13" t="s">
        <v>6596</v>
      </c>
      <c r="AA53" s="13" t="s">
        <v>6597</v>
      </c>
      <c r="AB53" s="13" t="s">
        <v>6598</v>
      </c>
      <c r="AC53" s="13" t="s">
        <v>6599</v>
      </c>
      <c r="AD53" s="13" t="s">
        <v>6600</v>
      </c>
      <c r="AE53" s="13" t="s">
        <v>6601</v>
      </c>
      <c r="AF53" s="13" t="s">
        <v>5510</v>
      </c>
      <c r="AG53" s="13">
        <v>46.0</v>
      </c>
      <c r="AH53" s="13">
        <v>36.0</v>
      </c>
      <c r="AI53" s="13">
        <v>36.0</v>
      </c>
      <c r="AJ53" s="13">
        <v>0.0</v>
      </c>
      <c r="AK53" s="13">
        <v>46.0</v>
      </c>
      <c r="AL53" s="13" t="s">
        <v>5527</v>
      </c>
      <c r="AM53" s="13" t="s">
        <v>5528</v>
      </c>
      <c r="AN53" s="13" t="s">
        <v>5529</v>
      </c>
      <c r="AO53" s="13" t="s">
        <v>6342</v>
      </c>
      <c r="AP53" s="13" t="s">
        <v>6343</v>
      </c>
      <c r="AQ53" s="13" t="s">
        <v>5510</v>
      </c>
      <c r="AR53" s="13" t="s">
        <v>6344</v>
      </c>
      <c r="AS53" s="13" t="s">
        <v>6345</v>
      </c>
      <c r="AT53" s="13" t="s">
        <v>5978</v>
      </c>
      <c r="AU53" s="13">
        <v>2018.0</v>
      </c>
      <c r="AV53" s="13">
        <v>32.0</v>
      </c>
      <c r="AW53" s="13">
        <v>6.0</v>
      </c>
      <c r="AX53" s="13" t="s">
        <v>5510</v>
      </c>
      <c r="AY53" s="13" t="s">
        <v>5510</v>
      </c>
      <c r="AZ53" s="13" t="s">
        <v>5510</v>
      </c>
      <c r="BA53" s="13" t="s">
        <v>5510</v>
      </c>
      <c r="BB53" s="13">
        <v>1368.0</v>
      </c>
      <c r="BC53" s="13">
        <v>1379.0</v>
      </c>
      <c r="BD53" s="13" t="s">
        <v>5510</v>
      </c>
      <c r="BE53" s="13" t="s">
        <v>6602</v>
      </c>
      <c r="BF53" s="52" t="str">
        <f>HYPERLINK("http://dx.doi.org/10.1111/cobi.13141","http://dx.doi.org/10.1111/cobi.13141")</f>
        <v>http://dx.doi.org/10.1111/cobi.13141</v>
      </c>
      <c r="BG53" s="13" t="s">
        <v>5510</v>
      </c>
      <c r="BH53" s="13" t="s">
        <v>5510</v>
      </c>
      <c r="BI53" s="13">
        <v>12.0</v>
      </c>
      <c r="BJ53" s="13" t="s">
        <v>5698</v>
      </c>
      <c r="BK53" s="13" t="s">
        <v>5561</v>
      </c>
      <c r="BL53" s="13" t="s">
        <v>5699</v>
      </c>
      <c r="BM53" s="13" t="s">
        <v>6603</v>
      </c>
      <c r="BN53" s="13">
        <v>2.9797608E7</v>
      </c>
      <c r="BO53" s="13" t="s">
        <v>5510</v>
      </c>
      <c r="BP53" s="13" t="s">
        <v>5510</v>
      </c>
      <c r="BQ53" s="13" t="s">
        <v>5510</v>
      </c>
      <c r="BR53" s="13" t="s">
        <v>5538</v>
      </c>
      <c r="BS53" s="13" t="s">
        <v>6604</v>
      </c>
      <c r="BT53" s="13">
        <v>25686.0</v>
      </c>
      <c r="BU53" s="13" t="s">
        <v>5540</v>
      </c>
      <c r="BV53" s="13" t="s">
        <v>4864</v>
      </c>
      <c r="BW53" s="13" t="str">
        <f>VLOOKUP($BT53,Enriched!$A$2:$E$1070,5,false)</f>
        <v>["Biological Resource Use", "Pollution", "Transportation &amp; Service Corridors", "Climate Change &amp; Severe Weather", "Energy Production &amp; Mining"]</v>
      </c>
      <c r="BX53" s="13" t="str">
        <f>VLOOKUP($BT53,Enriched!$A$2:$E$1070,4,false)</f>
        <v>["Fishing &amp; harvesting aquatic resources", "Industrial &amp; military effluents", "Agricultural &amp; forestry effluents", "Domestic &amp; urban waste water", "Excess energy", "Shipping lanes", "Habitat shifting &amp; alteration", "Oil &amp; gas drilling"]</v>
      </c>
      <c r="BY53" s="13" t="b">
        <f>VLOOKUP(BT53,Enriched!$A$1:$AA$1070,27,falsE)</f>
        <v>0</v>
      </c>
      <c r="BZ53" s="2" t="str">
        <f>VLOOKUP(BT53,Enriched!$A$1:$AA$1070,14,falsE)</f>
        <v>cumulative</v>
      </c>
      <c r="CA53" s="13" t="str">
        <f>HYPERLINK("https%3A%2F%2Fwww.webofscience.com%2Fwos%2Fwoscc%2Ffull-record%2FWOS:000449856900014","View Full Record in Web of Science")</f>
        <v>View Full Record in Web of Science</v>
      </c>
    </row>
    <row r="54" ht="12.75" customHeight="1">
      <c r="A54" s="13" t="s">
        <v>5508</v>
      </c>
      <c r="B54" s="13" t="s">
        <v>6605</v>
      </c>
      <c r="C54" s="13" t="s">
        <v>5510</v>
      </c>
      <c r="D54" s="13" t="s">
        <v>5510</v>
      </c>
      <c r="E54" s="13" t="s">
        <v>5510</v>
      </c>
      <c r="F54" s="13" t="s">
        <v>6606</v>
      </c>
      <c r="G54" s="13" t="s">
        <v>5510</v>
      </c>
      <c r="H54" s="13" t="s">
        <v>5510</v>
      </c>
      <c r="I54" s="13" t="s">
        <v>2937</v>
      </c>
      <c r="J54" s="13" t="s">
        <v>5895</v>
      </c>
      <c r="K54" s="13" t="s">
        <v>5510</v>
      </c>
      <c r="L54" s="13" t="s">
        <v>5510</v>
      </c>
      <c r="M54" s="13" t="s">
        <v>5513</v>
      </c>
      <c r="N54" s="13" t="s">
        <v>5514</v>
      </c>
      <c r="O54" s="13" t="s">
        <v>5510</v>
      </c>
      <c r="P54" s="13" t="s">
        <v>5510</v>
      </c>
      <c r="Q54" s="13" t="s">
        <v>5510</v>
      </c>
      <c r="R54" s="13" t="s">
        <v>5510</v>
      </c>
      <c r="S54" s="13" t="s">
        <v>5510</v>
      </c>
      <c r="T54" s="13" t="s">
        <v>6607</v>
      </c>
      <c r="U54" s="13" t="s">
        <v>6608</v>
      </c>
      <c r="V54" s="13" t="s">
        <v>6609</v>
      </c>
      <c r="W54" s="13" t="s">
        <v>6610</v>
      </c>
      <c r="X54" s="13" t="s">
        <v>6611</v>
      </c>
      <c r="Y54" s="13" t="s">
        <v>6612</v>
      </c>
      <c r="Z54" s="13" t="s">
        <v>6613</v>
      </c>
      <c r="AA54" s="13" t="s">
        <v>6614</v>
      </c>
      <c r="AB54" s="13" t="s">
        <v>6615</v>
      </c>
      <c r="AC54" s="13" t="s">
        <v>6616</v>
      </c>
      <c r="AD54" s="13" t="s">
        <v>6617</v>
      </c>
      <c r="AE54" s="13" t="s">
        <v>6618</v>
      </c>
      <c r="AF54" s="13" t="s">
        <v>5510</v>
      </c>
      <c r="AG54" s="13">
        <v>61.0</v>
      </c>
      <c r="AH54" s="13">
        <v>159.0</v>
      </c>
      <c r="AI54" s="13">
        <v>198.0</v>
      </c>
      <c r="AJ54" s="13">
        <v>4.0</v>
      </c>
      <c r="AK54" s="13">
        <v>162.0</v>
      </c>
      <c r="AL54" s="13" t="s">
        <v>5907</v>
      </c>
      <c r="AM54" s="13" t="s">
        <v>5908</v>
      </c>
      <c r="AN54" s="13" t="s">
        <v>5909</v>
      </c>
      <c r="AO54" s="13" t="s">
        <v>5910</v>
      </c>
      <c r="AP54" s="13" t="s">
        <v>6619</v>
      </c>
      <c r="AQ54" s="13" t="s">
        <v>5510</v>
      </c>
      <c r="AR54" s="13" t="s">
        <v>5911</v>
      </c>
      <c r="AS54" s="13" t="s">
        <v>5912</v>
      </c>
      <c r="AT54" s="13" t="s">
        <v>6620</v>
      </c>
      <c r="AU54" s="13">
        <v>2011.0</v>
      </c>
      <c r="AV54" s="13">
        <v>108.0</v>
      </c>
      <c r="AW54" s="13">
        <v>24.0</v>
      </c>
      <c r="AX54" s="13" t="s">
        <v>5510</v>
      </c>
      <c r="AY54" s="13" t="s">
        <v>5510</v>
      </c>
      <c r="AZ54" s="13" t="s">
        <v>5510</v>
      </c>
      <c r="BA54" s="13" t="s">
        <v>5510</v>
      </c>
      <c r="BB54" s="13">
        <v>9893.0</v>
      </c>
      <c r="BC54" s="13">
        <v>9898.0</v>
      </c>
      <c r="BD54" s="13" t="s">
        <v>5510</v>
      </c>
      <c r="BE54" s="13" t="s">
        <v>6621</v>
      </c>
      <c r="BF54" s="52" t="str">
        <f>HYPERLINK("http://dx.doi.org/10.1073/pnas.1014497108","http://dx.doi.org/10.1073/pnas.1014497108")</f>
        <v>http://dx.doi.org/10.1073/pnas.1014497108</v>
      </c>
      <c r="BG54" s="13" t="s">
        <v>5510</v>
      </c>
      <c r="BH54" s="13" t="s">
        <v>5510</v>
      </c>
      <c r="BI54" s="13">
        <v>6.0</v>
      </c>
      <c r="BJ54" s="13" t="s">
        <v>5560</v>
      </c>
      <c r="BK54" s="13" t="s">
        <v>5561</v>
      </c>
      <c r="BL54" s="13" t="s">
        <v>5562</v>
      </c>
      <c r="BM54" s="13" t="s">
        <v>6622</v>
      </c>
      <c r="BN54" s="13">
        <v>2.162856E7</v>
      </c>
      <c r="BO54" s="13" t="s">
        <v>6623</v>
      </c>
      <c r="BP54" s="13" t="s">
        <v>5510</v>
      </c>
      <c r="BQ54" s="13" t="s">
        <v>5510</v>
      </c>
      <c r="BR54" s="13" t="s">
        <v>5538</v>
      </c>
      <c r="BS54" s="13" t="s">
        <v>6624</v>
      </c>
      <c r="BT54" s="13">
        <v>23261.0</v>
      </c>
      <c r="BU54" s="13" t="s">
        <v>5540</v>
      </c>
      <c r="BV54" s="13" t="s">
        <v>4856</v>
      </c>
      <c r="BW54" s="13" t="str">
        <f>VLOOKUP($BT54,Enriched!$A$2:$E$1070,5,false)</f>
        <v>["Invasive &amp; other problematic species, genes &amp; diseases"]</v>
      </c>
      <c r="BX54" s="13" t="str">
        <f>VLOOKUP($BT54,Enriched!$A$2:$E$1070,4,false)</f>
        <v>["Invasive non-native/alien species/diseases"]</v>
      </c>
      <c r="BY54" s="13" t="b">
        <f>VLOOKUP(BT54,Enriched!$A$1:$AA$1070,27,falsE)</f>
        <v>0</v>
      </c>
      <c r="BZ54" s="2" t="str">
        <f>VLOOKUP(BT54,Enriched!$A$1:$AA$1070,14,falsE)</f>
        <v>level2</v>
      </c>
      <c r="CA54" s="13" t="str">
        <f>HYPERLINK("https%3A%2F%2Fwww.webofscience.com%2Fwos%2Fwoscc%2Ffull-record%2FWOS:000291594000035","View Full Record in Web of Science")</f>
        <v>View Full Record in Web of Science</v>
      </c>
    </row>
    <row r="55" ht="12.75" customHeight="1">
      <c r="A55" s="13" t="s">
        <v>5508</v>
      </c>
      <c r="B55" s="13" t="s">
        <v>6625</v>
      </c>
      <c r="C55" s="13" t="s">
        <v>5510</v>
      </c>
      <c r="D55" s="13" t="s">
        <v>5510</v>
      </c>
      <c r="E55" s="13" t="s">
        <v>5510</v>
      </c>
      <c r="F55" s="13" t="s">
        <v>6626</v>
      </c>
      <c r="G55" s="13" t="s">
        <v>5510</v>
      </c>
      <c r="H55" s="13" t="s">
        <v>5510</v>
      </c>
      <c r="I55" s="13" t="s">
        <v>2932</v>
      </c>
      <c r="J55" s="13" t="s">
        <v>6627</v>
      </c>
      <c r="K55" s="13" t="s">
        <v>5510</v>
      </c>
      <c r="L55" s="13" t="s">
        <v>5510</v>
      </c>
      <c r="M55" s="13" t="s">
        <v>5513</v>
      </c>
      <c r="N55" s="13" t="s">
        <v>5514</v>
      </c>
      <c r="O55" s="13" t="s">
        <v>5510</v>
      </c>
      <c r="P55" s="13" t="s">
        <v>5510</v>
      </c>
      <c r="Q55" s="13" t="s">
        <v>5510</v>
      </c>
      <c r="R55" s="13" t="s">
        <v>5510</v>
      </c>
      <c r="S55" s="13" t="s">
        <v>5510</v>
      </c>
      <c r="T55" s="13" t="s">
        <v>6628</v>
      </c>
      <c r="U55" s="13" t="s">
        <v>6629</v>
      </c>
      <c r="V55" s="13" t="s">
        <v>6630</v>
      </c>
      <c r="W55" s="13" t="s">
        <v>6631</v>
      </c>
      <c r="X55" s="13" t="s">
        <v>6632</v>
      </c>
      <c r="Y55" s="13" t="s">
        <v>6633</v>
      </c>
      <c r="Z55" s="13" t="s">
        <v>6634</v>
      </c>
      <c r="AA55" s="13" t="s">
        <v>6635</v>
      </c>
      <c r="AB55" s="13" t="s">
        <v>6636</v>
      </c>
      <c r="AC55" s="13" t="s">
        <v>6637</v>
      </c>
      <c r="AD55" s="13" t="s">
        <v>6638</v>
      </c>
      <c r="AE55" s="13" t="s">
        <v>6639</v>
      </c>
      <c r="AF55" s="13" t="s">
        <v>5510</v>
      </c>
      <c r="AG55" s="13">
        <v>53.0</v>
      </c>
      <c r="AH55" s="13">
        <v>10.0</v>
      </c>
      <c r="AI55" s="13">
        <v>10.0</v>
      </c>
      <c r="AJ55" s="13">
        <v>2.0</v>
      </c>
      <c r="AK55" s="13">
        <v>24.0</v>
      </c>
      <c r="AL55" s="13" t="s">
        <v>5527</v>
      </c>
      <c r="AM55" s="13" t="s">
        <v>5528</v>
      </c>
      <c r="AN55" s="13" t="s">
        <v>5529</v>
      </c>
      <c r="AO55" s="13" t="s">
        <v>6640</v>
      </c>
      <c r="AP55" s="13" t="s">
        <v>6641</v>
      </c>
      <c r="AQ55" s="13" t="s">
        <v>5510</v>
      </c>
      <c r="AR55" s="13" t="s">
        <v>6642</v>
      </c>
      <c r="AS55" s="13" t="s">
        <v>6643</v>
      </c>
      <c r="AT55" s="13" t="s">
        <v>5720</v>
      </c>
      <c r="AU55" s="13">
        <v>2018.0</v>
      </c>
      <c r="AV55" s="13">
        <v>24.0</v>
      </c>
      <c r="AW55" s="13">
        <v>6.0</v>
      </c>
      <c r="AX55" s="13" t="s">
        <v>5510</v>
      </c>
      <c r="AY55" s="13" t="s">
        <v>5510</v>
      </c>
      <c r="AZ55" s="13" t="s">
        <v>5510</v>
      </c>
      <c r="BA55" s="13" t="s">
        <v>5510</v>
      </c>
      <c r="BB55" s="13">
        <v>718.0</v>
      </c>
      <c r="BC55" s="13">
        <v>729.0</v>
      </c>
      <c r="BD55" s="13" t="s">
        <v>5510</v>
      </c>
      <c r="BE55" s="13" t="s">
        <v>6644</v>
      </c>
      <c r="BF55" s="52" t="str">
        <f>HYPERLINK("http://dx.doi.org/10.1111/ddi.12724","http://dx.doi.org/10.1111/ddi.12724")</f>
        <v>http://dx.doi.org/10.1111/ddi.12724</v>
      </c>
      <c r="BG55" s="13" t="s">
        <v>5510</v>
      </c>
      <c r="BH55" s="13" t="s">
        <v>5510</v>
      </c>
      <c r="BI55" s="13">
        <v>12.0</v>
      </c>
      <c r="BJ55" s="13" t="s">
        <v>5958</v>
      </c>
      <c r="BK55" s="13" t="s">
        <v>5561</v>
      </c>
      <c r="BL55" s="13" t="s">
        <v>5699</v>
      </c>
      <c r="BM55" s="13" t="s">
        <v>6645</v>
      </c>
      <c r="BN55" s="13" t="s">
        <v>5510</v>
      </c>
      <c r="BO55" s="13" t="s">
        <v>6028</v>
      </c>
      <c r="BP55" s="13" t="s">
        <v>5510</v>
      </c>
      <c r="BQ55" s="13" t="s">
        <v>5510</v>
      </c>
      <c r="BR55" s="13" t="s">
        <v>5538</v>
      </c>
      <c r="BS55" s="13" t="s">
        <v>6646</v>
      </c>
      <c r="BT55" s="13">
        <v>25874.0</v>
      </c>
      <c r="BU55" s="13" t="s">
        <v>5540</v>
      </c>
      <c r="BV55" s="13" t="s">
        <v>4856</v>
      </c>
      <c r="BW55" s="13" t="str">
        <f>VLOOKUP($BT55,Enriched!$A$2:$E$1070,5,false)</f>
        <v>["Agriculture &amp; Aquaculture", "Residential &amp; Commercial Development", "Energy Production &amp; Mining", "Natural System Modifications", "Climate Change &amp; Severe Weather"]</v>
      </c>
      <c r="BX55" s="13" t="str">
        <f>VLOOKUP($BT55,Enriched!$A$2:$E$1070,4,false)</f>
        <v>["Annual &amp; perennial non-timber crops", "Livestock farming &amp; ranching", "Oil &amp; gas drilling", "Fire &amp; fire suppression", "Habitat shifting &amp; alteration"]</v>
      </c>
      <c r="BY55" s="13" t="b">
        <f>VLOOKUP(BT55,Enriched!$A$1:$AA$1070,27,falsE)</f>
        <v>1</v>
      </c>
      <c r="BZ55" s="2" t="str">
        <f>VLOOKUP(BT55,Enriched!$A$1:$AA$1070,14,falsE)</f>
        <v>cumulative</v>
      </c>
      <c r="CA55" s="13" t="str">
        <f>HYPERLINK("https%3A%2F%2Fwww.webofscience.com%2Fwos%2Fwoscc%2Ffull-record%2FWOS:000433571100001","View Full Record in Web of Science")</f>
        <v>View Full Record in Web of Science</v>
      </c>
    </row>
    <row r="56" ht="12.75" customHeight="1">
      <c r="A56" s="13" t="s">
        <v>5508</v>
      </c>
      <c r="B56" s="13" t="s">
        <v>6647</v>
      </c>
      <c r="C56" s="13" t="s">
        <v>5510</v>
      </c>
      <c r="D56" s="13" t="s">
        <v>5510</v>
      </c>
      <c r="E56" s="13" t="s">
        <v>5510</v>
      </c>
      <c r="F56" s="13" t="s">
        <v>6648</v>
      </c>
      <c r="G56" s="13" t="s">
        <v>5510</v>
      </c>
      <c r="H56" s="13" t="s">
        <v>5510</v>
      </c>
      <c r="I56" s="13" t="s">
        <v>6649</v>
      </c>
      <c r="J56" s="13" t="s">
        <v>6650</v>
      </c>
      <c r="K56" s="13" t="s">
        <v>5510</v>
      </c>
      <c r="L56" s="13" t="s">
        <v>5510</v>
      </c>
      <c r="M56" s="13" t="s">
        <v>5513</v>
      </c>
      <c r="N56" s="13" t="s">
        <v>5514</v>
      </c>
      <c r="O56" s="13" t="s">
        <v>5510</v>
      </c>
      <c r="P56" s="13" t="s">
        <v>5510</v>
      </c>
      <c r="Q56" s="13" t="s">
        <v>5510</v>
      </c>
      <c r="R56" s="13" t="s">
        <v>5510</v>
      </c>
      <c r="S56" s="13" t="s">
        <v>5510</v>
      </c>
      <c r="T56" s="13" t="s">
        <v>6651</v>
      </c>
      <c r="U56" s="13" t="s">
        <v>6652</v>
      </c>
      <c r="V56" s="13" t="s">
        <v>6653</v>
      </c>
      <c r="W56" s="13" t="s">
        <v>6654</v>
      </c>
      <c r="X56" s="13" t="s">
        <v>6655</v>
      </c>
      <c r="Y56" s="13" t="s">
        <v>6656</v>
      </c>
      <c r="Z56" s="13" t="s">
        <v>6657</v>
      </c>
      <c r="AA56" s="13" t="s">
        <v>6658</v>
      </c>
      <c r="AB56" s="13" t="s">
        <v>6659</v>
      </c>
      <c r="AC56" s="13" t="s">
        <v>6660</v>
      </c>
      <c r="AD56" s="13" t="s">
        <v>6661</v>
      </c>
      <c r="AE56" s="13" t="s">
        <v>6662</v>
      </c>
      <c r="AF56" s="13" t="s">
        <v>5510</v>
      </c>
      <c r="AG56" s="13">
        <v>72.0</v>
      </c>
      <c r="AH56" s="13">
        <v>50.0</v>
      </c>
      <c r="AI56" s="13">
        <v>53.0</v>
      </c>
      <c r="AJ56" s="13">
        <v>2.0</v>
      </c>
      <c r="AK56" s="13">
        <v>24.0</v>
      </c>
      <c r="AL56" s="13" t="s">
        <v>5800</v>
      </c>
      <c r="AM56" s="13" t="s">
        <v>5801</v>
      </c>
      <c r="AN56" s="13" t="s">
        <v>5802</v>
      </c>
      <c r="AO56" s="13" t="s">
        <v>6663</v>
      </c>
      <c r="AP56" s="13" t="s">
        <v>6664</v>
      </c>
      <c r="AQ56" s="13" t="s">
        <v>5510</v>
      </c>
      <c r="AR56" s="13" t="s">
        <v>6665</v>
      </c>
      <c r="AS56" s="13" t="s">
        <v>6666</v>
      </c>
      <c r="AT56" s="13" t="s">
        <v>5510</v>
      </c>
      <c r="AU56" s="13">
        <v>2010.0</v>
      </c>
      <c r="AV56" s="13">
        <v>420.0</v>
      </c>
      <c r="AW56" s="13" t="s">
        <v>5510</v>
      </c>
      <c r="AX56" s="13" t="s">
        <v>5510</v>
      </c>
      <c r="AY56" s="13" t="s">
        <v>5510</v>
      </c>
      <c r="AZ56" s="13" t="s">
        <v>5510</v>
      </c>
      <c r="BA56" s="13" t="s">
        <v>5510</v>
      </c>
      <c r="BB56" s="13">
        <v>241.0</v>
      </c>
      <c r="BC56" s="13" t="s">
        <v>6667</v>
      </c>
      <c r="BD56" s="13" t="s">
        <v>5510</v>
      </c>
      <c r="BE56" s="13" t="s">
        <v>6668</v>
      </c>
      <c r="BF56" s="52" t="str">
        <f>HYPERLINK("http://dx.doi.org/10.3354/meps08847","http://dx.doi.org/10.3354/meps08847")</f>
        <v>http://dx.doi.org/10.3354/meps08847</v>
      </c>
      <c r="BG56" s="13" t="s">
        <v>5510</v>
      </c>
      <c r="BH56" s="13" t="s">
        <v>5510</v>
      </c>
      <c r="BI56" s="13">
        <v>21.0</v>
      </c>
      <c r="BJ56" s="13" t="s">
        <v>6669</v>
      </c>
      <c r="BK56" s="13" t="s">
        <v>5561</v>
      </c>
      <c r="BL56" s="13" t="s">
        <v>6670</v>
      </c>
      <c r="BM56" s="13" t="s">
        <v>6671</v>
      </c>
      <c r="BN56" s="13" t="s">
        <v>5510</v>
      </c>
      <c r="BO56" s="13" t="s">
        <v>5587</v>
      </c>
      <c r="BP56" s="13" t="s">
        <v>5510</v>
      </c>
      <c r="BQ56" s="13" t="s">
        <v>5510</v>
      </c>
      <c r="BR56" s="13" t="s">
        <v>5538</v>
      </c>
      <c r="BS56" s="13" t="s">
        <v>6672</v>
      </c>
      <c r="BT56" s="13">
        <v>24465.0</v>
      </c>
      <c r="BU56" s="13" t="s">
        <v>5540</v>
      </c>
      <c r="BV56" s="13" t="s">
        <v>4864</v>
      </c>
      <c r="BW56" s="13" t="str">
        <f>VLOOKUP($BT56,Enriched!$A$2:$E$1070,5,false)</f>
        <v>["Biological resource use"]</v>
      </c>
      <c r="BX56" s="13" t="str">
        <f>VLOOKUP($BT56,Enriched!$A$2:$E$1070,4,false)</f>
        <v>["Fishing &amp; harvesting aquatic resources"]</v>
      </c>
      <c r="BY56" s="13" t="b">
        <f>VLOOKUP(BT56,Enriched!$A$1:$AA$1070,27,falsE)</f>
        <v>0</v>
      </c>
      <c r="BZ56" s="2" t="str">
        <f>VLOOKUP(BT56,Enriched!$A$1:$AA$1070,14,falsE)</f>
        <v>level2</v>
      </c>
      <c r="CA56" s="13" t="str">
        <f>HYPERLINK("https%3A%2F%2Fwww.webofscience.com%2Fwos%2Fwoscc%2Ffull-record%2FWOS:000285419300020","View Full Record in Web of Science")</f>
        <v>View Full Record in Web of Science</v>
      </c>
    </row>
    <row r="57" ht="12.75" customHeight="1">
      <c r="A57" s="13" t="s">
        <v>5508</v>
      </c>
      <c r="B57" s="13" t="s">
        <v>6673</v>
      </c>
      <c r="C57" s="13" t="s">
        <v>5510</v>
      </c>
      <c r="D57" s="13" t="s">
        <v>5510</v>
      </c>
      <c r="E57" s="13" t="s">
        <v>5510</v>
      </c>
      <c r="F57" s="13" t="s">
        <v>6674</v>
      </c>
      <c r="G57" s="13" t="s">
        <v>5510</v>
      </c>
      <c r="H57" s="13" t="s">
        <v>5510</v>
      </c>
      <c r="I57" s="13" t="s">
        <v>2927</v>
      </c>
      <c r="J57" s="13" t="s">
        <v>6627</v>
      </c>
      <c r="K57" s="13" t="s">
        <v>5510</v>
      </c>
      <c r="L57" s="13" t="s">
        <v>5510</v>
      </c>
      <c r="M57" s="13" t="s">
        <v>5513</v>
      </c>
      <c r="N57" s="13" t="s">
        <v>5514</v>
      </c>
      <c r="O57" s="13" t="s">
        <v>5510</v>
      </c>
      <c r="P57" s="13" t="s">
        <v>5510</v>
      </c>
      <c r="Q57" s="13" t="s">
        <v>5510</v>
      </c>
      <c r="R57" s="13" t="s">
        <v>5510</v>
      </c>
      <c r="S57" s="13" t="s">
        <v>5510</v>
      </c>
      <c r="T57" s="13" t="s">
        <v>6675</v>
      </c>
      <c r="U57" s="13" t="s">
        <v>6676</v>
      </c>
      <c r="V57" s="13" t="s">
        <v>6677</v>
      </c>
      <c r="W57" s="13" t="s">
        <v>6678</v>
      </c>
      <c r="X57" s="13" t="s">
        <v>6679</v>
      </c>
      <c r="Y57" s="13" t="s">
        <v>6680</v>
      </c>
      <c r="Z57" s="13" t="s">
        <v>6681</v>
      </c>
      <c r="AA57" s="13" t="s">
        <v>6682</v>
      </c>
      <c r="AB57" s="13" t="s">
        <v>6683</v>
      </c>
      <c r="AC57" s="13" t="s">
        <v>6684</v>
      </c>
      <c r="AD57" s="13" t="s">
        <v>6685</v>
      </c>
      <c r="AE57" s="13" t="s">
        <v>6684</v>
      </c>
      <c r="AF57" s="13" t="s">
        <v>5510</v>
      </c>
      <c r="AG57" s="13">
        <v>50.0</v>
      </c>
      <c r="AH57" s="13">
        <v>13.0</v>
      </c>
      <c r="AI57" s="13">
        <v>13.0</v>
      </c>
      <c r="AJ57" s="13">
        <v>0.0</v>
      </c>
      <c r="AK57" s="13">
        <v>24.0</v>
      </c>
      <c r="AL57" s="13" t="s">
        <v>5527</v>
      </c>
      <c r="AM57" s="13" t="s">
        <v>5528</v>
      </c>
      <c r="AN57" s="13" t="s">
        <v>5529</v>
      </c>
      <c r="AO57" s="13" t="s">
        <v>6640</v>
      </c>
      <c r="AP57" s="13" t="s">
        <v>6641</v>
      </c>
      <c r="AQ57" s="13" t="s">
        <v>5510</v>
      </c>
      <c r="AR57" s="13" t="s">
        <v>6642</v>
      </c>
      <c r="AS57" s="13" t="s">
        <v>6643</v>
      </c>
      <c r="AT57" s="13" t="s">
        <v>1453</v>
      </c>
      <c r="AU57" s="13">
        <v>2017.0</v>
      </c>
      <c r="AV57" s="13">
        <v>23.0</v>
      </c>
      <c r="AW57" s="13">
        <v>11.0</v>
      </c>
      <c r="AX57" s="13" t="s">
        <v>5510</v>
      </c>
      <c r="AY57" s="13" t="s">
        <v>5510</v>
      </c>
      <c r="AZ57" s="13" t="s">
        <v>5510</v>
      </c>
      <c r="BA57" s="13" t="s">
        <v>5510</v>
      </c>
      <c r="BB57" s="13">
        <v>1280.0</v>
      </c>
      <c r="BC57" s="13">
        <v>1291.0</v>
      </c>
      <c r="BD57" s="13" t="s">
        <v>5510</v>
      </c>
      <c r="BE57" s="13" t="s">
        <v>6686</v>
      </c>
      <c r="BF57" s="52" t="str">
        <f>HYPERLINK("http://dx.doi.org/10.1111/ddi.12622","http://dx.doi.org/10.1111/ddi.12622")</f>
        <v>http://dx.doi.org/10.1111/ddi.12622</v>
      </c>
      <c r="BG57" s="13" t="s">
        <v>5510</v>
      </c>
      <c r="BH57" s="13" t="s">
        <v>5510</v>
      </c>
      <c r="BI57" s="13">
        <v>12.0</v>
      </c>
      <c r="BJ57" s="13" t="s">
        <v>5958</v>
      </c>
      <c r="BK57" s="13" t="s">
        <v>5561</v>
      </c>
      <c r="BL57" s="13" t="s">
        <v>5699</v>
      </c>
      <c r="BM57" s="13" t="s">
        <v>6687</v>
      </c>
      <c r="BN57" s="13" t="s">
        <v>5510</v>
      </c>
      <c r="BO57" s="13" t="s">
        <v>6028</v>
      </c>
      <c r="BP57" s="13" t="s">
        <v>5510</v>
      </c>
      <c r="BQ57" s="13" t="s">
        <v>5510</v>
      </c>
      <c r="BR57" s="13" t="s">
        <v>5538</v>
      </c>
      <c r="BS57" s="13" t="s">
        <v>6688</v>
      </c>
      <c r="BT57" s="13">
        <v>24730.0</v>
      </c>
      <c r="BU57" s="13" t="s">
        <v>5540</v>
      </c>
      <c r="BV57" s="13" t="s">
        <v>4864</v>
      </c>
      <c r="BW57" s="13" t="str">
        <f>VLOOKUP($BT57,Enriched!$A$2:$E$1070,5,false)</f>
        <v>["Biological resource use"]</v>
      </c>
      <c r="BX57" s="13" t="str">
        <f>VLOOKUP($BT57,Enriched!$A$2:$E$1070,4,false)</f>
        <v>["Fishing &amp; harvesting aquatic resources"]</v>
      </c>
      <c r="BY57" s="13" t="b">
        <f>VLOOKUP(BT57,Enriched!$A$1:$AA$1070,27,falsE)</f>
        <v>0</v>
      </c>
      <c r="BZ57" s="2" t="str">
        <f>VLOOKUP(BT57,Enriched!$A$1:$AA$1070,14,falsE)</f>
        <v>level2</v>
      </c>
      <c r="CA57" s="13" t="str">
        <f>HYPERLINK("https%3A%2F%2Fwww.webofscience.com%2Fwos%2Fwoscc%2Ffull-record%2FWOS:000413545900006","View Full Record in Web of Science")</f>
        <v>View Full Record in Web of Science</v>
      </c>
    </row>
    <row r="58" ht="12.75" customHeight="1">
      <c r="A58" s="13" t="s">
        <v>5508</v>
      </c>
      <c r="B58" s="13" t="s">
        <v>6689</v>
      </c>
      <c r="C58" s="13" t="s">
        <v>5510</v>
      </c>
      <c r="D58" s="13" t="s">
        <v>5510</v>
      </c>
      <c r="E58" s="13" t="s">
        <v>5510</v>
      </c>
      <c r="F58" s="13" t="s">
        <v>6690</v>
      </c>
      <c r="G58" s="13" t="s">
        <v>5510</v>
      </c>
      <c r="H58" s="13" t="s">
        <v>5510</v>
      </c>
      <c r="I58" s="13" t="s">
        <v>2924</v>
      </c>
      <c r="J58" s="13" t="s">
        <v>5919</v>
      </c>
      <c r="K58" s="13" t="s">
        <v>5510</v>
      </c>
      <c r="L58" s="13" t="s">
        <v>5510</v>
      </c>
      <c r="M58" s="13" t="s">
        <v>5513</v>
      </c>
      <c r="N58" s="13" t="s">
        <v>5514</v>
      </c>
      <c r="O58" s="13" t="s">
        <v>5510</v>
      </c>
      <c r="P58" s="13" t="s">
        <v>5510</v>
      </c>
      <c r="Q58" s="13" t="s">
        <v>5510</v>
      </c>
      <c r="R58" s="13" t="s">
        <v>5510</v>
      </c>
      <c r="S58" s="13" t="s">
        <v>5510</v>
      </c>
      <c r="T58" s="13" t="s">
        <v>6691</v>
      </c>
      <c r="U58" s="13" t="s">
        <v>6692</v>
      </c>
      <c r="V58" s="13" t="s">
        <v>6693</v>
      </c>
      <c r="W58" s="13" t="s">
        <v>6694</v>
      </c>
      <c r="X58" s="13" t="s">
        <v>6695</v>
      </c>
      <c r="Y58" s="13" t="s">
        <v>6696</v>
      </c>
      <c r="Z58" s="13" t="s">
        <v>6697</v>
      </c>
      <c r="AA58" s="13" t="s">
        <v>5510</v>
      </c>
      <c r="AB58" s="13" t="s">
        <v>6698</v>
      </c>
      <c r="AC58" s="13" t="s">
        <v>5510</v>
      </c>
      <c r="AD58" s="13" t="s">
        <v>5510</v>
      </c>
      <c r="AE58" s="13" t="s">
        <v>5510</v>
      </c>
      <c r="AF58" s="13" t="s">
        <v>5510</v>
      </c>
      <c r="AG58" s="13">
        <v>66.0</v>
      </c>
      <c r="AH58" s="13">
        <v>39.0</v>
      </c>
      <c r="AI58" s="13">
        <v>44.0</v>
      </c>
      <c r="AJ58" s="13">
        <v>0.0</v>
      </c>
      <c r="AK58" s="13">
        <v>73.0</v>
      </c>
      <c r="AL58" s="13" t="s">
        <v>5931</v>
      </c>
      <c r="AM58" s="13" t="s">
        <v>5932</v>
      </c>
      <c r="AN58" s="13" t="s">
        <v>5933</v>
      </c>
      <c r="AO58" s="13" t="s">
        <v>5934</v>
      </c>
      <c r="AP58" s="13" t="s">
        <v>5935</v>
      </c>
      <c r="AQ58" s="13" t="s">
        <v>5510</v>
      </c>
      <c r="AR58" s="13" t="s">
        <v>5936</v>
      </c>
      <c r="AS58" s="13" t="s">
        <v>5937</v>
      </c>
      <c r="AT58" s="13" t="s">
        <v>5866</v>
      </c>
      <c r="AU58" s="13">
        <v>2007.0</v>
      </c>
      <c r="AV58" s="13">
        <v>136.0</v>
      </c>
      <c r="AW58" s="13">
        <v>4.0</v>
      </c>
      <c r="AX58" s="13" t="s">
        <v>5510</v>
      </c>
      <c r="AY58" s="13" t="s">
        <v>5510</v>
      </c>
      <c r="AZ58" s="13" t="s">
        <v>5510</v>
      </c>
      <c r="BA58" s="13" t="s">
        <v>5510</v>
      </c>
      <c r="BB58" s="13">
        <v>636.0</v>
      </c>
      <c r="BC58" s="13">
        <v>650.0</v>
      </c>
      <c r="BD58" s="13" t="s">
        <v>5510</v>
      </c>
      <c r="BE58" s="13" t="s">
        <v>6699</v>
      </c>
      <c r="BF58" s="52" t="str">
        <f>HYPERLINK("http://dx.doi.org/10.1016/j.biocon.2007.01.008","http://dx.doi.org/10.1016/j.biocon.2007.01.008")</f>
        <v>http://dx.doi.org/10.1016/j.biocon.2007.01.008</v>
      </c>
      <c r="BG58" s="13" t="s">
        <v>5510</v>
      </c>
      <c r="BH58" s="13" t="s">
        <v>5510</v>
      </c>
      <c r="BI58" s="13">
        <v>15.0</v>
      </c>
      <c r="BJ58" s="13" t="s">
        <v>5698</v>
      </c>
      <c r="BK58" s="13" t="s">
        <v>5561</v>
      </c>
      <c r="BL58" s="13" t="s">
        <v>5699</v>
      </c>
      <c r="BM58" s="13" t="s">
        <v>6700</v>
      </c>
      <c r="BN58" s="13" t="s">
        <v>5510</v>
      </c>
      <c r="BO58" s="13" t="s">
        <v>5510</v>
      </c>
      <c r="BP58" s="13" t="s">
        <v>5510</v>
      </c>
      <c r="BQ58" s="13" t="s">
        <v>5510</v>
      </c>
      <c r="BR58" s="13" t="s">
        <v>5538</v>
      </c>
      <c r="BS58" s="13" t="s">
        <v>6701</v>
      </c>
      <c r="BT58" s="13">
        <v>23337.0</v>
      </c>
      <c r="BU58" s="13" t="s">
        <v>5540</v>
      </c>
      <c r="BV58" s="13" t="s">
        <v>4852</v>
      </c>
      <c r="BW58" s="13" t="str">
        <f>VLOOKUP($BT58,Enriched!$A$2:$E$1070,5,false)</f>
        <v>["Invasive &amp; other problematic species, genes &amp; diseases"]</v>
      </c>
      <c r="BX58" s="13" t="str">
        <f>VLOOKUP($BT58,Enriched!$A$2:$E$1070,4,false)</f>
        <v>["Invasive non-native/alien species/diseases"]</v>
      </c>
      <c r="BY58" s="13" t="b">
        <f>VLOOKUP(BT58,Enriched!$A$1:$AA$1070,27,falsE)</f>
        <v>0</v>
      </c>
      <c r="BZ58" s="2" t="str">
        <f>VLOOKUP(BT58,Enriched!$A$1:$AA$1070,14,falsE)</f>
        <v>level2</v>
      </c>
      <c r="CA58" s="13" t="str">
        <f>HYPERLINK("https%3A%2F%2Fwww.webofscience.com%2Fwos%2Fwoscc%2Ffull-record%2FWOS:000247228800014","View Full Record in Web of Science")</f>
        <v>View Full Record in Web of Science</v>
      </c>
    </row>
    <row r="59" ht="12.75" customHeight="1">
      <c r="A59" s="13" t="s">
        <v>5508</v>
      </c>
      <c r="B59" s="13" t="s">
        <v>6702</v>
      </c>
      <c r="C59" s="13" t="s">
        <v>5510</v>
      </c>
      <c r="D59" s="13" t="s">
        <v>5510</v>
      </c>
      <c r="E59" s="13" t="s">
        <v>5510</v>
      </c>
      <c r="F59" s="13" t="s">
        <v>6703</v>
      </c>
      <c r="G59" s="13" t="s">
        <v>5510</v>
      </c>
      <c r="H59" s="13" t="s">
        <v>5510</v>
      </c>
      <c r="I59" s="13" t="s">
        <v>2922</v>
      </c>
      <c r="J59" s="13" t="s">
        <v>6704</v>
      </c>
      <c r="K59" s="13" t="s">
        <v>5510</v>
      </c>
      <c r="L59" s="13" t="s">
        <v>5510</v>
      </c>
      <c r="M59" s="13" t="s">
        <v>5513</v>
      </c>
      <c r="N59" s="13" t="s">
        <v>5514</v>
      </c>
      <c r="O59" s="13" t="s">
        <v>5510</v>
      </c>
      <c r="P59" s="13" t="s">
        <v>5510</v>
      </c>
      <c r="Q59" s="13" t="s">
        <v>5510</v>
      </c>
      <c r="R59" s="13" t="s">
        <v>5510</v>
      </c>
      <c r="S59" s="13" t="s">
        <v>5510</v>
      </c>
      <c r="T59" s="13" t="s">
        <v>6705</v>
      </c>
      <c r="U59" s="13" t="s">
        <v>6706</v>
      </c>
      <c r="V59" s="13" t="s">
        <v>6707</v>
      </c>
      <c r="W59" s="13" t="s">
        <v>6708</v>
      </c>
      <c r="X59" s="13" t="s">
        <v>6709</v>
      </c>
      <c r="Y59" s="13" t="s">
        <v>6710</v>
      </c>
      <c r="Z59" s="13" t="s">
        <v>6711</v>
      </c>
      <c r="AA59" s="13" t="s">
        <v>6712</v>
      </c>
      <c r="AB59" s="13" t="s">
        <v>6713</v>
      </c>
      <c r="AC59" s="13" t="s">
        <v>6714</v>
      </c>
      <c r="AD59" s="13" t="s">
        <v>6715</v>
      </c>
      <c r="AE59" s="13" t="s">
        <v>6716</v>
      </c>
      <c r="AF59" s="13" t="s">
        <v>5510</v>
      </c>
      <c r="AG59" s="13">
        <v>80.0</v>
      </c>
      <c r="AH59" s="13">
        <v>81.0</v>
      </c>
      <c r="AI59" s="13">
        <v>85.0</v>
      </c>
      <c r="AJ59" s="13">
        <v>4.0</v>
      </c>
      <c r="AK59" s="13">
        <v>91.0</v>
      </c>
      <c r="AL59" s="13" t="s">
        <v>6717</v>
      </c>
      <c r="AM59" s="13" t="s">
        <v>5932</v>
      </c>
      <c r="AN59" s="13" t="s">
        <v>6718</v>
      </c>
      <c r="AO59" s="13" t="s">
        <v>6719</v>
      </c>
      <c r="AP59" s="13" t="s">
        <v>5510</v>
      </c>
      <c r="AQ59" s="13" t="s">
        <v>5510</v>
      </c>
      <c r="AR59" s="13" t="s">
        <v>6720</v>
      </c>
      <c r="AS59" s="13" t="s">
        <v>6721</v>
      </c>
      <c r="AT59" s="13" t="s">
        <v>5978</v>
      </c>
      <c r="AU59" s="13">
        <v>2015.0</v>
      </c>
      <c r="AV59" s="13">
        <v>41.0</v>
      </c>
      <c r="AW59" s="13" t="s">
        <v>5510</v>
      </c>
      <c r="AX59" s="13" t="s">
        <v>5510</v>
      </c>
      <c r="AY59" s="13" t="s">
        <v>5510</v>
      </c>
      <c r="AZ59" s="13" t="s">
        <v>5510</v>
      </c>
      <c r="BA59" s="13" t="s">
        <v>5510</v>
      </c>
      <c r="BB59" s="13">
        <v>1.0</v>
      </c>
      <c r="BC59" s="13">
        <v>12.0</v>
      </c>
      <c r="BD59" s="13" t="s">
        <v>5510</v>
      </c>
      <c r="BE59" s="13" t="s">
        <v>6722</v>
      </c>
      <c r="BF59" s="52" t="str">
        <f>HYPERLINK("http://dx.doi.org/10.1016/j.trd.2015.09.006","http://dx.doi.org/10.1016/j.trd.2015.09.006")</f>
        <v>http://dx.doi.org/10.1016/j.trd.2015.09.006</v>
      </c>
      <c r="BG59" s="13" t="s">
        <v>5510</v>
      </c>
      <c r="BH59" s="13" t="s">
        <v>5510</v>
      </c>
      <c r="BI59" s="13">
        <v>12.0</v>
      </c>
      <c r="BJ59" s="13" t="s">
        <v>6723</v>
      </c>
      <c r="BK59" s="13" t="s">
        <v>5534</v>
      </c>
      <c r="BL59" s="13" t="s">
        <v>6724</v>
      </c>
      <c r="BM59" s="13" t="s">
        <v>6725</v>
      </c>
      <c r="BN59" s="13" t="s">
        <v>5510</v>
      </c>
      <c r="BO59" s="13" t="s">
        <v>5510</v>
      </c>
      <c r="BP59" s="13" t="s">
        <v>5510</v>
      </c>
      <c r="BQ59" s="13" t="s">
        <v>5510</v>
      </c>
      <c r="BR59" s="13" t="s">
        <v>5538</v>
      </c>
      <c r="BS59" s="13" t="s">
        <v>6726</v>
      </c>
      <c r="BT59" s="13">
        <v>24274.0</v>
      </c>
      <c r="BU59" s="13" t="s">
        <v>5540</v>
      </c>
      <c r="BV59" s="13" t="s">
        <v>4856</v>
      </c>
      <c r="BW59" s="13" t="str">
        <f>VLOOKUP($BT59,Enriched!$A$2:$E$1070,5,false)</f>
        <v>["Pollution", "Transportation &amp; Service Corridors"]</v>
      </c>
      <c r="BX59" s="13" t="str">
        <f>VLOOKUP($BT59,Enriched!$A$2:$E$1070,4,false)</f>
        <v>["Excess energy", "Flight paths"]</v>
      </c>
      <c r="BY59" s="13" t="b">
        <f>VLOOKUP(BT59,Enriched!$A$1:$AA$1070,27,falsE)</f>
        <v>0</v>
      </c>
      <c r="BZ59" s="2" t="str">
        <f>VLOOKUP(BT59,Enriched!$A$1:$AA$1070,14,falsE)</f>
        <v>level2</v>
      </c>
      <c r="CA59" s="13" t="str">
        <f>HYPERLINK("https%3A%2F%2Fwww.webofscience.com%2Fwos%2Fwoscc%2Ffull-record%2FWOS:000366079900001","View Full Record in Web of Science")</f>
        <v>View Full Record in Web of Science</v>
      </c>
    </row>
    <row r="60" ht="12.75" customHeight="1">
      <c r="A60" s="13" t="s">
        <v>5508</v>
      </c>
      <c r="B60" s="13" t="s">
        <v>6727</v>
      </c>
      <c r="C60" s="13" t="s">
        <v>5510</v>
      </c>
      <c r="D60" s="13" t="s">
        <v>5510</v>
      </c>
      <c r="E60" s="13" t="s">
        <v>5510</v>
      </c>
      <c r="F60" s="13" t="s">
        <v>6728</v>
      </c>
      <c r="G60" s="13" t="s">
        <v>5510</v>
      </c>
      <c r="H60" s="13" t="s">
        <v>5510</v>
      </c>
      <c r="I60" s="13" t="s">
        <v>2919</v>
      </c>
      <c r="J60" s="13" t="s">
        <v>5919</v>
      </c>
      <c r="K60" s="13" t="s">
        <v>5510</v>
      </c>
      <c r="L60" s="13" t="s">
        <v>5510</v>
      </c>
      <c r="M60" s="13" t="s">
        <v>5513</v>
      </c>
      <c r="N60" s="13" t="s">
        <v>5514</v>
      </c>
      <c r="O60" s="13" t="s">
        <v>5510</v>
      </c>
      <c r="P60" s="13" t="s">
        <v>5510</v>
      </c>
      <c r="Q60" s="13" t="s">
        <v>5510</v>
      </c>
      <c r="R60" s="13" t="s">
        <v>5510</v>
      </c>
      <c r="S60" s="13" t="s">
        <v>5510</v>
      </c>
      <c r="T60" s="13" t="s">
        <v>6729</v>
      </c>
      <c r="U60" s="13" t="s">
        <v>6730</v>
      </c>
      <c r="V60" s="13" t="s">
        <v>6731</v>
      </c>
      <c r="W60" s="13" t="s">
        <v>6732</v>
      </c>
      <c r="X60" s="13" t="s">
        <v>6733</v>
      </c>
      <c r="Y60" s="13" t="s">
        <v>6734</v>
      </c>
      <c r="Z60" s="13" t="s">
        <v>6735</v>
      </c>
      <c r="AA60" s="13" t="s">
        <v>6736</v>
      </c>
      <c r="AB60" s="13" t="s">
        <v>6737</v>
      </c>
      <c r="AC60" s="13" t="s">
        <v>6738</v>
      </c>
      <c r="AD60" s="13" t="s">
        <v>6739</v>
      </c>
      <c r="AE60" s="13" t="s">
        <v>6740</v>
      </c>
      <c r="AF60" s="13" t="s">
        <v>5510</v>
      </c>
      <c r="AG60" s="13">
        <v>74.0</v>
      </c>
      <c r="AH60" s="13">
        <v>11.0</v>
      </c>
      <c r="AI60" s="13">
        <v>16.0</v>
      </c>
      <c r="AJ60" s="13">
        <v>1.0</v>
      </c>
      <c r="AK60" s="13">
        <v>18.0</v>
      </c>
      <c r="AL60" s="13" t="s">
        <v>5931</v>
      </c>
      <c r="AM60" s="13" t="s">
        <v>5932</v>
      </c>
      <c r="AN60" s="13" t="s">
        <v>5933</v>
      </c>
      <c r="AO60" s="13" t="s">
        <v>5934</v>
      </c>
      <c r="AP60" s="13" t="s">
        <v>5935</v>
      </c>
      <c r="AQ60" s="13" t="s">
        <v>5510</v>
      </c>
      <c r="AR60" s="13" t="s">
        <v>5936</v>
      </c>
      <c r="AS60" s="13" t="s">
        <v>5937</v>
      </c>
      <c r="AT60" s="13" t="s">
        <v>5978</v>
      </c>
      <c r="AU60" s="13">
        <v>2018.0</v>
      </c>
      <c r="AV60" s="13">
        <v>228.0</v>
      </c>
      <c r="AW60" s="13" t="s">
        <v>5510</v>
      </c>
      <c r="AX60" s="13" t="s">
        <v>5510</v>
      </c>
      <c r="AY60" s="13" t="s">
        <v>5510</v>
      </c>
      <c r="AZ60" s="13" t="s">
        <v>5510</v>
      </c>
      <c r="BA60" s="13" t="s">
        <v>5510</v>
      </c>
      <c r="BB60" s="13">
        <v>343.0</v>
      </c>
      <c r="BC60" s="13">
        <v>356.0</v>
      </c>
      <c r="BD60" s="13" t="s">
        <v>5510</v>
      </c>
      <c r="BE60" s="13" t="s">
        <v>6741</v>
      </c>
      <c r="BF60" s="52" t="str">
        <f>HYPERLINK("http://dx.doi.org/10.1016/j.biocon.2018.10.027","http://dx.doi.org/10.1016/j.biocon.2018.10.027")</f>
        <v>http://dx.doi.org/10.1016/j.biocon.2018.10.027</v>
      </c>
      <c r="BG60" s="13" t="s">
        <v>5510</v>
      </c>
      <c r="BH60" s="13" t="s">
        <v>5510</v>
      </c>
      <c r="BI60" s="13">
        <v>14.0</v>
      </c>
      <c r="BJ60" s="13" t="s">
        <v>5698</v>
      </c>
      <c r="BK60" s="13" t="s">
        <v>5534</v>
      </c>
      <c r="BL60" s="13" t="s">
        <v>5699</v>
      </c>
      <c r="BM60" s="13" t="s">
        <v>6742</v>
      </c>
      <c r="BN60" s="13" t="s">
        <v>5510</v>
      </c>
      <c r="BO60" s="13" t="s">
        <v>5510</v>
      </c>
      <c r="BP60" s="13" t="s">
        <v>5510</v>
      </c>
      <c r="BQ60" s="13" t="s">
        <v>5510</v>
      </c>
      <c r="BR60" s="13" t="s">
        <v>5538</v>
      </c>
      <c r="BS60" s="13" t="s">
        <v>6743</v>
      </c>
      <c r="BT60" s="13">
        <v>24265.0</v>
      </c>
      <c r="BU60" s="13" t="s">
        <v>5540</v>
      </c>
      <c r="BV60" s="13" t="s">
        <v>4856</v>
      </c>
      <c r="BW60" s="13" t="str">
        <f>VLOOKUP($BT60,Enriched!$A$2:$E$1070,5,false)</f>
        <v>["Energy Production &amp; Mining", "Transportation &amp; Service Corridors", "Natural System Modifications"]</v>
      </c>
      <c r="BX60" s="13" t="str">
        <f>VLOOKUP($BT60,Enriched!$A$2:$E$1070,4,false)</f>
        <v>["Renewable energy", "Utility &amp; service lines", "Dams &amp; water management/use"]</v>
      </c>
      <c r="BY60" s="13" t="b">
        <f>VLOOKUP(BT60,Enriched!$A$1:$AA$1070,27,falsE)</f>
        <v>0</v>
      </c>
      <c r="BZ60" s="2" t="str">
        <f>VLOOKUP(BT60,Enriched!$A$1:$AA$1070,14,falsE)</f>
        <v>level2</v>
      </c>
      <c r="CA60" s="13" t="str">
        <f>HYPERLINK("https%3A%2F%2Fwww.webofscience.com%2Fwos%2Fwoscc%2Ffull-record%2FWOS:000452815200037","View Full Record in Web of Science")</f>
        <v>View Full Record in Web of Science</v>
      </c>
    </row>
    <row r="61" ht="12.75" customHeight="1">
      <c r="A61" s="13" t="s">
        <v>5508</v>
      </c>
      <c r="B61" s="13" t="s">
        <v>6744</v>
      </c>
      <c r="C61" s="13" t="s">
        <v>5510</v>
      </c>
      <c r="D61" s="13" t="s">
        <v>5510</v>
      </c>
      <c r="E61" s="13" t="s">
        <v>5510</v>
      </c>
      <c r="F61" s="13" t="s">
        <v>6745</v>
      </c>
      <c r="G61" s="13" t="s">
        <v>5510</v>
      </c>
      <c r="H61" s="13" t="s">
        <v>5510</v>
      </c>
      <c r="I61" s="13" t="s">
        <v>2916</v>
      </c>
      <c r="J61" s="13" t="s">
        <v>5919</v>
      </c>
      <c r="K61" s="13" t="s">
        <v>5510</v>
      </c>
      <c r="L61" s="13" t="s">
        <v>5510</v>
      </c>
      <c r="M61" s="13" t="s">
        <v>5513</v>
      </c>
      <c r="N61" s="13" t="s">
        <v>5514</v>
      </c>
      <c r="O61" s="13" t="s">
        <v>5510</v>
      </c>
      <c r="P61" s="13" t="s">
        <v>5510</v>
      </c>
      <c r="Q61" s="13" t="s">
        <v>5510</v>
      </c>
      <c r="R61" s="13" t="s">
        <v>5510</v>
      </c>
      <c r="S61" s="13" t="s">
        <v>5510</v>
      </c>
      <c r="T61" s="13" t="s">
        <v>6746</v>
      </c>
      <c r="U61" s="13" t="s">
        <v>6747</v>
      </c>
      <c r="V61" s="13" t="s">
        <v>6748</v>
      </c>
      <c r="W61" s="13" t="s">
        <v>6749</v>
      </c>
      <c r="X61" s="13" t="s">
        <v>6750</v>
      </c>
      <c r="Y61" s="13" t="s">
        <v>6751</v>
      </c>
      <c r="Z61" s="13" t="s">
        <v>6752</v>
      </c>
      <c r="AA61" s="13" t="s">
        <v>6753</v>
      </c>
      <c r="AB61" s="13" t="s">
        <v>6754</v>
      </c>
      <c r="AC61" s="13" t="s">
        <v>6755</v>
      </c>
      <c r="AD61" s="13" t="s">
        <v>6756</v>
      </c>
      <c r="AE61" s="13" t="s">
        <v>6757</v>
      </c>
      <c r="AF61" s="13" t="s">
        <v>5510</v>
      </c>
      <c r="AG61" s="13">
        <v>63.0</v>
      </c>
      <c r="AH61" s="13">
        <v>89.0</v>
      </c>
      <c r="AI61" s="13">
        <v>103.0</v>
      </c>
      <c r="AJ61" s="13">
        <v>0.0</v>
      </c>
      <c r="AK61" s="13">
        <v>211.0</v>
      </c>
      <c r="AL61" s="13" t="s">
        <v>5931</v>
      </c>
      <c r="AM61" s="13" t="s">
        <v>5932</v>
      </c>
      <c r="AN61" s="13" t="s">
        <v>5933</v>
      </c>
      <c r="AO61" s="13" t="s">
        <v>5934</v>
      </c>
      <c r="AP61" s="13" t="s">
        <v>5935</v>
      </c>
      <c r="AQ61" s="13" t="s">
        <v>5510</v>
      </c>
      <c r="AR61" s="13" t="s">
        <v>5936</v>
      </c>
      <c r="AS61" s="13" t="s">
        <v>5937</v>
      </c>
      <c r="AT61" s="13" t="s">
        <v>6758</v>
      </c>
      <c r="AU61" s="13">
        <v>2012.0</v>
      </c>
      <c r="AV61" s="13">
        <v>156.0</v>
      </c>
      <c r="AW61" s="13" t="s">
        <v>5510</v>
      </c>
      <c r="AX61" s="13" t="s">
        <v>5510</v>
      </c>
      <c r="AY61" s="13" t="s">
        <v>5510</v>
      </c>
      <c r="AZ61" s="13" t="s">
        <v>5646</v>
      </c>
      <c r="BA61" s="13" t="s">
        <v>5510</v>
      </c>
      <c r="BB61" s="13">
        <v>62.0</v>
      </c>
      <c r="BC61" s="13">
        <v>71.0</v>
      </c>
      <c r="BD61" s="13" t="s">
        <v>5510</v>
      </c>
      <c r="BE61" s="13" t="s">
        <v>6759</v>
      </c>
      <c r="BF61" s="52" t="str">
        <f>HYPERLINK("http://dx.doi.org/10.1016/j.biocon.2011.12.001","http://dx.doi.org/10.1016/j.biocon.2011.12.001")</f>
        <v>http://dx.doi.org/10.1016/j.biocon.2011.12.001</v>
      </c>
      <c r="BG61" s="13" t="s">
        <v>5510</v>
      </c>
      <c r="BH61" s="13" t="s">
        <v>5510</v>
      </c>
      <c r="BI61" s="13">
        <v>10.0</v>
      </c>
      <c r="BJ61" s="13" t="s">
        <v>5698</v>
      </c>
      <c r="BK61" s="13" t="s">
        <v>5561</v>
      </c>
      <c r="BL61" s="13" t="s">
        <v>5699</v>
      </c>
      <c r="BM61" s="13" t="s">
        <v>6760</v>
      </c>
      <c r="BN61" s="13" t="s">
        <v>5510</v>
      </c>
      <c r="BO61" s="13" t="s">
        <v>5510</v>
      </c>
      <c r="BP61" s="13" t="s">
        <v>5510</v>
      </c>
      <c r="BQ61" s="13" t="s">
        <v>5510</v>
      </c>
      <c r="BR61" s="13" t="s">
        <v>5538</v>
      </c>
      <c r="BS61" s="13" t="s">
        <v>6761</v>
      </c>
      <c r="BT61" s="13">
        <v>24849.0</v>
      </c>
      <c r="BU61" s="13" t="s">
        <v>5540</v>
      </c>
      <c r="BV61" s="13" t="s">
        <v>4864</v>
      </c>
      <c r="BW61" s="13" t="str">
        <f>VLOOKUP($BT61,Enriched!$A$2:$E$1070,5,false)</f>
        <v>["Pollution"]</v>
      </c>
      <c r="BX61" s="13" t="str">
        <f>VLOOKUP($BT61,Enriched!$A$2:$E$1070,4,false)</f>
        <v>["Industrial &amp; military effluents"]</v>
      </c>
      <c r="BY61" s="13" t="b">
        <f>VLOOKUP(BT61,Enriched!$A$1:$AA$1070,27,falsE)</f>
        <v>0</v>
      </c>
      <c r="BZ61" s="2" t="str">
        <f>VLOOKUP(BT61,Enriched!$A$1:$AA$1070,14,falsE)</f>
        <v>level2</v>
      </c>
      <c r="CA61" s="13" t="str">
        <f>HYPERLINK("https%3A%2F%2Fwww.webofscience.com%2Fwos%2Fwoscc%2Ffull-record%2FWOS:000313599000008","View Full Record in Web of Science")</f>
        <v>View Full Record in Web of Science</v>
      </c>
    </row>
    <row r="62" ht="12.75" customHeight="1">
      <c r="A62" s="13" t="s">
        <v>5508</v>
      </c>
      <c r="B62" s="13" t="s">
        <v>6762</v>
      </c>
      <c r="C62" s="13" t="s">
        <v>5510</v>
      </c>
      <c r="D62" s="13" t="s">
        <v>5510</v>
      </c>
      <c r="E62" s="13" t="s">
        <v>5510</v>
      </c>
      <c r="F62" s="13" t="s">
        <v>6763</v>
      </c>
      <c r="G62" s="13" t="s">
        <v>5510</v>
      </c>
      <c r="H62" s="13" t="s">
        <v>5510</v>
      </c>
      <c r="I62" s="13" t="s">
        <v>2911</v>
      </c>
      <c r="J62" s="13" t="s">
        <v>6764</v>
      </c>
      <c r="K62" s="13" t="s">
        <v>5510</v>
      </c>
      <c r="L62" s="13" t="s">
        <v>5510</v>
      </c>
      <c r="M62" s="13" t="s">
        <v>5513</v>
      </c>
      <c r="N62" s="13" t="s">
        <v>5514</v>
      </c>
      <c r="O62" s="13" t="s">
        <v>5510</v>
      </c>
      <c r="P62" s="13" t="s">
        <v>5510</v>
      </c>
      <c r="Q62" s="13" t="s">
        <v>5510</v>
      </c>
      <c r="R62" s="13" t="s">
        <v>5510</v>
      </c>
      <c r="S62" s="13" t="s">
        <v>5510</v>
      </c>
      <c r="T62" s="13" t="s">
        <v>6765</v>
      </c>
      <c r="U62" s="13" t="s">
        <v>6766</v>
      </c>
      <c r="V62" s="13" t="s">
        <v>6767</v>
      </c>
      <c r="W62" s="13" t="s">
        <v>6768</v>
      </c>
      <c r="X62" s="13" t="s">
        <v>6769</v>
      </c>
      <c r="Y62" s="13" t="s">
        <v>6770</v>
      </c>
      <c r="Z62" s="13" t="s">
        <v>6771</v>
      </c>
      <c r="AA62" s="13" t="s">
        <v>6772</v>
      </c>
      <c r="AB62" s="13" t="s">
        <v>6773</v>
      </c>
      <c r="AC62" s="13" t="s">
        <v>6774</v>
      </c>
      <c r="AD62" s="13" t="s">
        <v>6775</v>
      </c>
      <c r="AE62" s="13" t="s">
        <v>6776</v>
      </c>
      <c r="AF62" s="13" t="s">
        <v>5510</v>
      </c>
      <c r="AG62" s="13">
        <v>77.0</v>
      </c>
      <c r="AH62" s="13">
        <v>45.0</v>
      </c>
      <c r="AI62" s="13">
        <v>55.0</v>
      </c>
      <c r="AJ62" s="13">
        <v>3.0</v>
      </c>
      <c r="AK62" s="13">
        <v>44.0</v>
      </c>
      <c r="AL62" s="13" t="s">
        <v>5931</v>
      </c>
      <c r="AM62" s="13" t="s">
        <v>5932</v>
      </c>
      <c r="AN62" s="13" t="s">
        <v>5933</v>
      </c>
      <c r="AO62" s="13" t="s">
        <v>6777</v>
      </c>
      <c r="AP62" s="13" t="s">
        <v>6778</v>
      </c>
      <c r="AQ62" s="13" t="s">
        <v>5510</v>
      </c>
      <c r="AR62" s="13" t="s">
        <v>6779</v>
      </c>
      <c r="AS62" s="13" t="s">
        <v>6780</v>
      </c>
      <c r="AT62" s="13" t="s">
        <v>5582</v>
      </c>
      <c r="AU62" s="13">
        <v>2020.0</v>
      </c>
      <c r="AV62" s="13">
        <v>256.0</v>
      </c>
      <c r="AW62" s="13" t="s">
        <v>5510</v>
      </c>
      <c r="AX62" s="13" t="s">
        <v>5510</v>
      </c>
      <c r="AY62" s="13" t="s">
        <v>5510</v>
      </c>
      <c r="AZ62" s="13" t="s">
        <v>5510</v>
      </c>
      <c r="BA62" s="13" t="s">
        <v>5510</v>
      </c>
      <c r="BB62" s="13" t="s">
        <v>5510</v>
      </c>
      <c r="BC62" s="13" t="s">
        <v>5510</v>
      </c>
      <c r="BD62" s="13">
        <v>113290.0</v>
      </c>
      <c r="BE62" s="13" t="s">
        <v>6781</v>
      </c>
      <c r="BF62" s="52" t="str">
        <f>HYPERLINK("http://dx.doi.org/10.1016/j.envpol.2019.113290","http://dx.doi.org/10.1016/j.envpol.2019.113290")</f>
        <v>http://dx.doi.org/10.1016/j.envpol.2019.113290</v>
      </c>
      <c r="BG62" s="13" t="s">
        <v>5510</v>
      </c>
      <c r="BH62" s="13" t="s">
        <v>5510</v>
      </c>
      <c r="BI62" s="13">
        <v>12.0</v>
      </c>
      <c r="BJ62" s="13" t="s">
        <v>5768</v>
      </c>
      <c r="BK62" s="13" t="s">
        <v>5561</v>
      </c>
      <c r="BL62" s="13" t="s">
        <v>5535</v>
      </c>
      <c r="BM62" s="13" t="s">
        <v>6782</v>
      </c>
      <c r="BN62" s="13">
        <v>3.1813704E7</v>
      </c>
      <c r="BO62" s="13" t="s">
        <v>5510</v>
      </c>
      <c r="BP62" s="13" t="s">
        <v>5510</v>
      </c>
      <c r="BQ62" s="13" t="s">
        <v>5510</v>
      </c>
      <c r="BR62" s="13" t="s">
        <v>5538</v>
      </c>
      <c r="BS62" s="13" t="s">
        <v>6783</v>
      </c>
      <c r="BT62" s="13">
        <v>25054.0</v>
      </c>
      <c r="BU62" s="13" t="s">
        <v>5540</v>
      </c>
      <c r="BV62" s="13" t="s">
        <v>4852</v>
      </c>
      <c r="BW62" s="13" t="str">
        <f>VLOOKUP($BT62,Enriched!$A$2:$E$1070,5,false)</f>
        <v>["Energy Production &amp; Mining"]</v>
      </c>
      <c r="BX62" s="13" t="str">
        <f>VLOOKUP($BT62,Enriched!$A$2:$E$1070,4,false)</f>
        <v>["Mining &amp; quarrying"]</v>
      </c>
      <c r="BY62" s="13" t="b">
        <f>VLOOKUP(BT62,Enriched!$A$1:$AA$1070,27,falsE)</f>
        <v>0</v>
      </c>
      <c r="BZ62" s="2" t="str">
        <f>VLOOKUP(BT62,Enriched!$A$1:$AA$1070,14,falsE)</f>
        <v>level2</v>
      </c>
      <c r="CA62" s="13" t="str">
        <f>HYPERLINK("https%3A%2F%2Fwww.webofscience.com%2Fwos%2Fwoscc%2Ffull-record%2FWOS:000504757200044","View Full Record in Web of Science")</f>
        <v>View Full Record in Web of Science</v>
      </c>
    </row>
    <row r="63" ht="12.75" customHeight="1">
      <c r="A63" s="13" t="s">
        <v>5508</v>
      </c>
      <c r="B63" s="13" t="s">
        <v>6784</v>
      </c>
      <c r="C63" s="13" t="s">
        <v>5510</v>
      </c>
      <c r="D63" s="13" t="s">
        <v>5510</v>
      </c>
      <c r="E63" s="13" t="s">
        <v>5510</v>
      </c>
      <c r="F63" s="13" t="s">
        <v>6785</v>
      </c>
      <c r="G63" s="13" t="s">
        <v>5510</v>
      </c>
      <c r="H63" s="13" t="s">
        <v>5510</v>
      </c>
      <c r="I63" s="13" t="s">
        <v>2908</v>
      </c>
      <c r="J63" s="13" t="s">
        <v>6786</v>
      </c>
      <c r="K63" s="13" t="s">
        <v>5510</v>
      </c>
      <c r="L63" s="13" t="s">
        <v>5510</v>
      </c>
      <c r="M63" s="13" t="s">
        <v>5513</v>
      </c>
      <c r="N63" s="13" t="s">
        <v>5514</v>
      </c>
      <c r="O63" s="13" t="s">
        <v>5510</v>
      </c>
      <c r="P63" s="13" t="s">
        <v>5510</v>
      </c>
      <c r="Q63" s="13" t="s">
        <v>5510</v>
      </c>
      <c r="R63" s="13" t="s">
        <v>5510</v>
      </c>
      <c r="S63" s="13" t="s">
        <v>5510</v>
      </c>
      <c r="T63" s="13" t="s">
        <v>6787</v>
      </c>
      <c r="U63" s="13" t="s">
        <v>6788</v>
      </c>
      <c r="V63" s="13" t="s">
        <v>6789</v>
      </c>
      <c r="W63" s="13" t="s">
        <v>6790</v>
      </c>
      <c r="X63" s="13" t="s">
        <v>6791</v>
      </c>
      <c r="Y63" s="13" t="s">
        <v>6792</v>
      </c>
      <c r="Z63" s="13" t="s">
        <v>6793</v>
      </c>
      <c r="AA63" s="13" t="s">
        <v>6794</v>
      </c>
      <c r="AB63" s="13" t="s">
        <v>6795</v>
      </c>
      <c r="AC63" s="13" t="s">
        <v>5510</v>
      </c>
      <c r="AD63" s="13" t="s">
        <v>5510</v>
      </c>
      <c r="AE63" s="13" t="s">
        <v>5510</v>
      </c>
      <c r="AF63" s="13" t="s">
        <v>5510</v>
      </c>
      <c r="AG63" s="13">
        <v>54.0</v>
      </c>
      <c r="AH63" s="13">
        <v>87.0</v>
      </c>
      <c r="AI63" s="13">
        <v>95.0</v>
      </c>
      <c r="AJ63" s="13">
        <v>2.0</v>
      </c>
      <c r="AK63" s="13">
        <v>42.0</v>
      </c>
      <c r="AL63" s="13" t="s">
        <v>6717</v>
      </c>
      <c r="AM63" s="13" t="s">
        <v>5932</v>
      </c>
      <c r="AN63" s="13" t="s">
        <v>6718</v>
      </c>
      <c r="AO63" s="13" t="s">
        <v>6796</v>
      </c>
      <c r="AP63" s="13" t="s">
        <v>6797</v>
      </c>
      <c r="AQ63" s="13" t="s">
        <v>5510</v>
      </c>
      <c r="AR63" s="13" t="s">
        <v>6786</v>
      </c>
      <c r="AS63" s="13" t="s">
        <v>2097</v>
      </c>
      <c r="AT63" s="13" t="s">
        <v>1453</v>
      </c>
      <c r="AU63" s="13">
        <v>2015.0</v>
      </c>
      <c r="AV63" s="13">
        <v>138.0</v>
      </c>
      <c r="AW63" s="13" t="s">
        <v>5510</v>
      </c>
      <c r="AX63" s="13" t="s">
        <v>5510</v>
      </c>
      <c r="AY63" s="13" t="s">
        <v>5510</v>
      </c>
      <c r="AZ63" s="13" t="s">
        <v>5510</v>
      </c>
      <c r="BA63" s="13" t="s">
        <v>5510</v>
      </c>
      <c r="BB63" s="13">
        <v>784.0</v>
      </c>
      <c r="BC63" s="13">
        <v>791.0</v>
      </c>
      <c r="BD63" s="13" t="s">
        <v>5510</v>
      </c>
      <c r="BE63" s="13" t="s">
        <v>6798</v>
      </c>
      <c r="BF63" s="52" t="str">
        <f>HYPERLINK("http://dx.doi.org/10.1016/j.chemosphere.2015.08.007","http://dx.doi.org/10.1016/j.chemosphere.2015.08.007")</f>
        <v>http://dx.doi.org/10.1016/j.chemosphere.2015.08.007</v>
      </c>
      <c r="BG63" s="13" t="s">
        <v>5510</v>
      </c>
      <c r="BH63" s="13" t="s">
        <v>5510</v>
      </c>
      <c r="BI63" s="13">
        <v>8.0</v>
      </c>
      <c r="BJ63" s="13" t="s">
        <v>5768</v>
      </c>
      <c r="BK63" s="13" t="s">
        <v>5561</v>
      </c>
      <c r="BL63" s="13" t="s">
        <v>5535</v>
      </c>
      <c r="BM63" s="13" t="s">
        <v>6799</v>
      </c>
      <c r="BN63" s="13">
        <v>2.629176E7</v>
      </c>
      <c r="BO63" s="13" t="s">
        <v>5510</v>
      </c>
      <c r="BP63" s="13" t="s">
        <v>5510</v>
      </c>
      <c r="BQ63" s="13" t="s">
        <v>5510</v>
      </c>
      <c r="BR63" s="13" t="s">
        <v>5538</v>
      </c>
      <c r="BS63" s="13" t="s">
        <v>6800</v>
      </c>
      <c r="BT63" s="13">
        <v>23278.0</v>
      </c>
      <c r="BU63" s="13" t="s">
        <v>5540</v>
      </c>
      <c r="BV63" s="13" t="s">
        <v>4852</v>
      </c>
      <c r="BW63" s="13" t="str">
        <f>VLOOKUP($BT63,Enriched!$A$2:$E$1070,5,false)</f>
        <v>["Pollution"]</v>
      </c>
      <c r="BX63" s="13" t="str">
        <f>VLOOKUP($BT63,Enriched!$A$2:$E$1070,4,false)</f>
        <v>["Industrial &amp; military effluents"]</v>
      </c>
      <c r="BY63" s="13" t="b">
        <f>VLOOKUP(BT63,Enriched!$A$1:$AA$1070,27,falsE)</f>
        <v>0</v>
      </c>
      <c r="BZ63" s="2" t="str">
        <f>VLOOKUP(BT63,Enriched!$A$1:$AA$1070,14,falsE)</f>
        <v>level2</v>
      </c>
      <c r="CA63" s="13" t="str">
        <f>HYPERLINK("https%3A%2F%2Fwww.webofscience.com%2Fwos%2Fwoscc%2Ffull-record%2FWOS:000361772800103","View Full Record in Web of Science")</f>
        <v>View Full Record in Web of Science</v>
      </c>
    </row>
    <row r="64" ht="12.75" customHeight="1">
      <c r="A64" s="13" t="s">
        <v>5508</v>
      </c>
      <c r="B64" s="13" t="s">
        <v>6801</v>
      </c>
      <c r="C64" s="13" t="s">
        <v>5510</v>
      </c>
      <c r="D64" s="13" t="s">
        <v>5510</v>
      </c>
      <c r="E64" s="13" t="s">
        <v>5510</v>
      </c>
      <c r="F64" s="13" t="s">
        <v>6802</v>
      </c>
      <c r="G64" s="13" t="s">
        <v>5510</v>
      </c>
      <c r="H64" s="13" t="s">
        <v>5510</v>
      </c>
      <c r="I64" s="13" t="s">
        <v>2905</v>
      </c>
      <c r="J64" s="13" t="s">
        <v>5919</v>
      </c>
      <c r="K64" s="13" t="s">
        <v>5510</v>
      </c>
      <c r="L64" s="13" t="s">
        <v>5510</v>
      </c>
      <c r="M64" s="13" t="s">
        <v>5513</v>
      </c>
      <c r="N64" s="13" t="s">
        <v>5514</v>
      </c>
      <c r="O64" s="13" t="s">
        <v>5510</v>
      </c>
      <c r="P64" s="13" t="s">
        <v>5510</v>
      </c>
      <c r="Q64" s="13" t="s">
        <v>5510</v>
      </c>
      <c r="R64" s="13" t="s">
        <v>5510</v>
      </c>
      <c r="S64" s="13" t="s">
        <v>5510</v>
      </c>
      <c r="T64" s="13" t="s">
        <v>6803</v>
      </c>
      <c r="U64" s="13" t="s">
        <v>6804</v>
      </c>
      <c r="V64" s="13" t="s">
        <v>6805</v>
      </c>
      <c r="W64" s="13" t="s">
        <v>6806</v>
      </c>
      <c r="X64" s="13" t="s">
        <v>6807</v>
      </c>
      <c r="Y64" s="13" t="s">
        <v>6808</v>
      </c>
      <c r="Z64" s="13" t="s">
        <v>6809</v>
      </c>
      <c r="AA64" s="13" t="s">
        <v>5510</v>
      </c>
      <c r="AB64" s="13" t="s">
        <v>6810</v>
      </c>
      <c r="AC64" s="13" t="s">
        <v>6811</v>
      </c>
      <c r="AD64" s="13" t="s">
        <v>6812</v>
      </c>
      <c r="AE64" s="13" t="s">
        <v>6813</v>
      </c>
      <c r="AF64" s="13" t="s">
        <v>5510</v>
      </c>
      <c r="AG64" s="13">
        <v>49.0</v>
      </c>
      <c r="AH64" s="13">
        <v>76.0</v>
      </c>
      <c r="AI64" s="13">
        <v>80.0</v>
      </c>
      <c r="AJ64" s="13">
        <v>0.0</v>
      </c>
      <c r="AK64" s="13">
        <v>54.0</v>
      </c>
      <c r="AL64" s="13" t="s">
        <v>5931</v>
      </c>
      <c r="AM64" s="13" t="s">
        <v>5932</v>
      </c>
      <c r="AN64" s="13" t="s">
        <v>5933</v>
      </c>
      <c r="AO64" s="13" t="s">
        <v>5934</v>
      </c>
      <c r="AP64" s="13" t="s">
        <v>5510</v>
      </c>
      <c r="AQ64" s="13" t="s">
        <v>5510</v>
      </c>
      <c r="AR64" s="13" t="s">
        <v>5936</v>
      </c>
      <c r="AS64" s="13" t="s">
        <v>5937</v>
      </c>
      <c r="AT64" s="13" t="s">
        <v>5582</v>
      </c>
      <c r="AU64" s="13">
        <v>2010.0</v>
      </c>
      <c r="AV64" s="13">
        <v>143.0</v>
      </c>
      <c r="AW64" s="13">
        <v>1.0</v>
      </c>
      <c r="AX64" s="13" t="s">
        <v>5510</v>
      </c>
      <c r="AY64" s="13" t="s">
        <v>5510</v>
      </c>
      <c r="AZ64" s="13" t="s">
        <v>5510</v>
      </c>
      <c r="BA64" s="13" t="s">
        <v>5510</v>
      </c>
      <c r="BB64" s="13">
        <v>230.0</v>
      </c>
      <c r="BC64" s="13">
        <v>238.0</v>
      </c>
      <c r="BD64" s="13" t="s">
        <v>5510</v>
      </c>
      <c r="BE64" s="13" t="s">
        <v>6814</v>
      </c>
      <c r="BF64" s="52" t="str">
        <f>HYPERLINK("http://dx.doi.org/10.1016/j.biocon.2009.10.007","http://dx.doi.org/10.1016/j.biocon.2009.10.007")</f>
        <v>http://dx.doi.org/10.1016/j.biocon.2009.10.007</v>
      </c>
      <c r="BG64" s="13" t="s">
        <v>5510</v>
      </c>
      <c r="BH64" s="13" t="s">
        <v>5510</v>
      </c>
      <c r="BI64" s="13">
        <v>9.0</v>
      </c>
      <c r="BJ64" s="13" t="s">
        <v>5698</v>
      </c>
      <c r="BK64" s="13" t="s">
        <v>5534</v>
      </c>
      <c r="BL64" s="13" t="s">
        <v>5699</v>
      </c>
      <c r="BM64" s="13" t="s">
        <v>6815</v>
      </c>
      <c r="BN64" s="13" t="s">
        <v>5510</v>
      </c>
      <c r="BO64" s="13" t="s">
        <v>5510</v>
      </c>
      <c r="BP64" s="13" t="s">
        <v>5510</v>
      </c>
      <c r="BQ64" s="13" t="s">
        <v>5510</v>
      </c>
      <c r="BR64" s="13" t="s">
        <v>5538</v>
      </c>
      <c r="BS64" s="13" t="s">
        <v>6816</v>
      </c>
      <c r="BT64" s="13">
        <v>25674.0</v>
      </c>
      <c r="BU64" s="13" t="s">
        <v>5540</v>
      </c>
      <c r="BV64" s="13" t="s">
        <v>4864</v>
      </c>
      <c r="BW64" s="13" t="str">
        <f>VLOOKUP($BT64,Enriched!$A$2:$E$1070,5,false)</f>
        <v>["Biological resource use"]</v>
      </c>
      <c r="BX64" s="13" t="str">
        <f>VLOOKUP($BT64,Enriched!$A$2:$E$1070,4,false)</f>
        <v>["Fishing &amp; harvesting aquatic resources"]</v>
      </c>
      <c r="BY64" s="13" t="b">
        <f>VLOOKUP(BT64,Enriched!$A$1:$AA$1070,27,falsE)</f>
        <v>0</v>
      </c>
      <c r="BZ64" s="2" t="str">
        <f>VLOOKUP(BT64,Enriched!$A$1:$AA$1070,14,falsE)</f>
        <v>level2</v>
      </c>
      <c r="CA64" s="13" t="str">
        <f>HYPERLINK("https%3A%2F%2Fwww.webofscience.com%2Fwos%2Fwoscc%2Ffull-record%2FWOS:000274354200030","View Full Record in Web of Science")</f>
        <v>View Full Record in Web of Science</v>
      </c>
    </row>
    <row r="65" ht="12.75" customHeight="1">
      <c r="A65" s="13" t="s">
        <v>5508</v>
      </c>
      <c r="B65" s="13" t="s">
        <v>6817</v>
      </c>
      <c r="C65" s="13" t="s">
        <v>5510</v>
      </c>
      <c r="D65" s="13" t="s">
        <v>5510</v>
      </c>
      <c r="E65" s="13" t="s">
        <v>5510</v>
      </c>
      <c r="F65" s="13" t="s">
        <v>6818</v>
      </c>
      <c r="G65" s="13" t="s">
        <v>5510</v>
      </c>
      <c r="H65" s="13" t="s">
        <v>5510</v>
      </c>
      <c r="I65" s="13" t="s">
        <v>6819</v>
      </c>
      <c r="J65" s="13" t="s">
        <v>5677</v>
      </c>
      <c r="K65" s="13" t="s">
        <v>5510</v>
      </c>
      <c r="L65" s="13" t="s">
        <v>5510</v>
      </c>
      <c r="M65" s="13" t="s">
        <v>5513</v>
      </c>
      <c r="N65" s="13" t="s">
        <v>5514</v>
      </c>
      <c r="O65" s="13" t="s">
        <v>5510</v>
      </c>
      <c r="P65" s="13" t="s">
        <v>5510</v>
      </c>
      <c r="Q65" s="13" t="s">
        <v>5510</v>
      </c>
      <c r="R65" s="13" t="s">
        <v>5510</v>
      </c>
      <c r="S65" s="13" t="s">
        <v>5510</v>
      </c>
      <c r="T65" s="13" t="s">
        <v>6820</v>
      </c>
      <c r="U65" s="13" t="s">
        <v>6821</v>
      </c>
      <c r="V65" s="13" t="s">
        <v>6822</v>
      </c>
      <c r="W65" s="13" t="s">
        <v>6823</v>
      </c>
      <c r="X65" s="13" t="s">
        <v>6537</v>
      </c>
      <c r="Y65" s="13" t="s">
        <v>6824</v>
      </c>
      <c r="Z65" s="13" t="s">
        <v>6825</v>
      </c>
      <c r="AA65" s="13" t="s">
        <v>6826</v>
      </c>
      <c r="AB65" s="13" t="s">
        <v>6827</v>
      </c>
      <c r="AC65" s="13" t="s">
        <v>5510</v>
      </c>
      <c r="AD65" s="13" t="s">
        <v>5510</v>
      </c>
      <c r="AE65" s="13" t="s">
        <v>5510</v>
      </c>
      <c r="AF65" s="13" t="s">
        <v>5510</v>
      </c>
      <c r="AG65" s="13">
        <v>69.0</v>
      </c>
      <c r="AH65" s="13">
        <v>40.0</v>
      </c>
      <c r="AI65" s="13">
        <v>49.0</v>
      </c>
      <c r="AJ65" s="13">
        <v>4.0</v>
      </c>
      <c r="AK65" s="13">
        <v>165.0</v>
      </c>
      <c r="AL65" s="13" t="s">
        <v>5690</v>
      </c>
      <c r="AM65" s="13" t="s">
        <v>5691</v>
      </c>
      <c r="AN65" s="13" t="s">
        <v>5692</v>
      </c>
      <c r="AO65" s="13" t="s">
        <v>5693</v>
      </c>
      <c r="AP65" s="13" t="s">
        <v>5694</v>
      </c>
      <c r="AQ65" s="13" t="s">
        <v>5510</v>
      </c>
      <c r="AR65" s="13" t="s">
        <v>5695</v>
      </c>
      <c r="AS65" s="13" t="s">
        <v>5696</v>
      </c>
      <c r="AT65" s="13" t="s">
        <v>6828</v>
      </c>
      <c r="AU65" s="13">
        <v>2013.0</v>
      </c>
      <c r="AV65" s="13">
        <v>22.0</v>
      </c>
      <c r="AW65" s="13">
        <v>4.0</v>
      </c>
      <c r="AX65" s="13" t="s">
        <v>5510</v>
      </c>
      <c r="AY65" s="13" t="s">
        <v>5510</v>
      </c>
      <c r="AZ65" s="13" t="s">
        <v>5510</v>
      </c>
      <c r="BA65" s="13" t="s">
        <v>5510</v>
      </c>
      <c r="BB65" s="13">
        <v>1063.0</v>
      </c>
      <c r="BC65" s="13">
        <v>1082.0</v>
      </c>
      <c r="BD65" s="13" t="s">
        <v>5510</v>
      </c>
      <c r="BE65" s="13" t="s">
        <v>6829</v>
      </c>
      <c r="BF65" s="52" t="str">
        <f>HYPERLINK("http://dx.doi.org/10.1007/s10531-013-0470-z","http://dx.doi.org/10.1007/s10531-013-0470-z")</f>
        <v>http://dx.doi.org/10.1007/s10531-013-0470-z</v>
      </c>
      <c r="BG65" s="13" t="s">
        <v>5510</v>
      </c>
      <c r="BH65" s="13" t="s">
        <v>5510</v>
      </c>
      <c r="BI65" s="13">
        <v>20.0</v>
      </c>
      <c r="BJ65" s="13" t="s">
        <v>5698</v>
      </c>
      <c r="BK65" s="13" t="s">
        <v>5561</v>
      </c>
      <c r="BL65" s="13" t="s">
        <v>5699</v>
      </c>
      <c r="BM65" s="13" t="s">
        <v>6830</v>
      </c>
      <c r="BN65" s="13" t="s">
        <v>5510</v>
      </c>
      <c r="BO65" s="13" t="s">
        <v>6831</v>
      </c>
      <c r="BP65" s="13" t="s">
        <v>5510</v>
      </c>
      <c r="BQ65" s="13" t="s">
        <v>5510</v>
      </c>
      <c r="BR65" s="13" t="s">
        <v>5538</v>
      </c>
      <c r="BS65" s="13" t="s">
        <v>6832</v>
      </c>
      <c r="BT65" s="13">
        <v>25682.0</v>
      </c>
      <c r="BU65" s="13" t="s">
        <v>5540</v>
      </c>
      <c r="BV65" s="13" t="s">
        <v>4856</v>
      </c>
      <c r="BW65" s="13" t="str">
        <f>VLOOKUP($BT65,Enriched!$A$2:$E$1070,5,false)</f>
        <v>["Residential &amp; Commercial Development", "Human Intrusions &amp; Disturbance"]</v>
      </c>
      <c r="BX65" s="13" t="str">
        <f>VLOOKUP($BT65,Enriched!$A$2:$E$1070,4,false)</f>
        <v>["Tourism &amp; recreation areas", "Recreational activities"]</v>
      </c>
      <c r="BY65" s="13" t="b">
        <f>VLOOKUP(BT65,Enriched!$A$1:$AA$1070,27,falsE)</f>
        <v>0</v>
      </c>
      <c r="BZ65" s="2" t="str">
        <f>VLOOKUP(BT65,Enriched!$A$1:$AA$1070,14,falsE)</f>
        <v>cumulative</v>
      </c>
      <c r="CA65" s="13" t="str">
        <f>HYPERLINK("https%3A%2F%2Fwww.webofscience.com%2Fwos%2Fwoscc%2Ffull-record%2FWOS:000317011700014","View Full Record in Web of Science")</f>
        <v>View Full Record in Web of Science</v>
      </c>
    </row>
    <row r="66" ht="12.75" customHeight="1">
      <c r="A66" s="13" t="s">
        <v>5508</v>
      </c>
      <c r="B66" s="13" t="s">
        <v>6833</v>
      </c>
      <c r="C66" s="13" t="s">
        <v>5510</v>
      </c>
      <c r="D66" s="13" t="s">
        <v>5510</v>
      </c>
      <c r="E66" s="13" t="s">
        <v>5510</v>
      </c>
      <c r="F66" s="13" t="s">
        <v>6834</v>
      </c>
      <c r="G66" s="13" t="s">
        <v>5510</v>
      </c>
      <c r="H66" s="13" t="s">
        <v>5510</v>
      </c>
      <c r="I66" s="13" t="s">
        <v>6835</v>
      </c>
      <c r="J66" s="13" t="s">
        <v>6836</v>
      </c>
      <c r="K66" s="13" t="s">
        <v>5510</v>
      </c>
      <c r="L66" s="13" t="s">
        <v>5510</v>
      </c>
      <c r="M66" s="13" t="s">
        <v>5513</v>
      </c>
      <c r="N66" s="13" t="s">
        <v>5514</v>
      </c>
      <c r="O66" s="13" t="s">
        <v>5510</v>
      </c>
      <c r="P66" s="13" t="s">
        <v>5510</v>
      </c>
      <c r="Q66" s="13" t="s">
        <v>5510</v>
      </c>
      <c r="R66" s="13" t="s">
        <v>5510</v>
      </c>
      <c r="S66" s="13" t="s">
        <v>5510</v>
      </c>
      <c r="T66" s="13" t="s">
        <v>6837</v>
      </c>
      <c r="U66" s="13" t="s">
        <v>6838</v>
      </c>
      <c r="V66" s="13" t="s">
        <v>6839</v>
      </c>
      <c r="W66" s="13" t="s">
        <v>6840</v>
      </c>
      <c r="X66" s="13" t="s">
        <v>6841</v>
      </c>
      <c r="Y66" s="13" t="s">
        <v>6842</v>
      </c>
      <c r="Z66" s="13" t="s">
        <v>6843</v>
      </c>
      <c r="AA66" s="13" t="s">
        <v>6844</v>
      </c>
      <c r="AB66" s="13" t="s">
        <v>6845</v>
      </c>
      <c r="AC66" s="13" t="s">
        <v>6846</v>
      </c>
      <c r="AD66" s="13" t="s">
        <v>6847</v>
      </c>
      <c r="AE66" s="13" t="s">
        <v>6848</v>
      </c>
      <c r="AF66" s="13" t="s">
        <v>5510</v>
      </c>
      <c r="AG66" s="13">
        <v>62.0</v>
      </c>
      <c r="AH66" s="13">
        <v>8.0</v>
      </c>
      <c r="AI66" s="13">
        <v>9.0</v>
      </c>
      <c r="AJ66" s="13">
        <v>1.0</v>
      </c>
      <c r="AK66" s="13">
        <v>31.0</v>
      </c>
      <c r="AL66" s="13" t="s">
        <v>6849</v>
      </c>
      <c r="AM66" s="13" t="s">
        <v>6850</v>
      </c>
      <c r="AN66" s="13" t="s">
        <v>6851</v>
      </c>
      <c r="AO66" s="13" t="s">
        <v>5510</v>
      </c>
      <c r="AP66" s="13" t="s">
        <v>6852</v>
      </c>
      <c r="AQ66" s="13" t="s">
        <v>5510</v>
      </c>
      <c r="AR66" s="13" t="s">
        <v>6853</v>
      </c>
      <c r="AS66" s="13" t="s">
        <v>1596</v>
      </c>
      <c r="AT66" s="13" t="s">
        <v>5667</v>
      </c>
      <c r="AU66" s="13">
        <v>2018.0</v>
      </c>
      <c r="AV66" s="13">
        <v>10.0</v>
      </c>
      <c r="AW66" s="13">
        <v>7.0</v>
      </c>
      <c r="AX66" s="13" t="s">
        <v>5510</v>
      </c>
      <c r="AY66" s="13" t="s">
        <v>5510</v>
      </c>
      <c r="AZ66" s="13" t="s">
        <v>5510</v>
      </c>
      <c r="BA66" s="13" t="s">
        <v>5510</v>
      </c>
      <c r="BB66" s="13" t="s">
        <v>5510</v>
      </c>
      <c r="BC66" s="13" t="s">
        <v>5510</v>
      </c>
      <c r="BD66" s="13">
        <v>2418.0</v>
      </c>
      <c r="BE66" s="13" t="s">
        <v>6854</v>
      </c>
      <c r="BF66" s="52" t="str">
        <f>HYPERLINK("http://dx.doi.org/10.3390/su10072418","http://dx.doi.org/10.3390/su10072418")</f>
        <v>http://dx.doi.org/10.3390/su10072418</v>
      </c>
      <c r="BG66" s="13" t="s">
        <v>5510</v>
      </c>
      <c r="BH66" s="13" t="s">
        <v>5510</v>
      </c>
      <c r="BI66" s="13">
        <v>15.0</v>
      </c>
      <c r="BJ66" s="13" t="s">
        <v>6855</v>
      </c>
      <c r="BK66" s="13" t="s">
        <v>5534</v>
      </c>
      <c r="BL66" s="13" t="s">
        <v>6488</v>
      </c>
      <c r="BM66" s="13" t="s">
        <v>6856</v>
      </c>
      <c r="BN66" s="13" t="s">
        <v>5510</v>
      </c>
      <c r="BO66" s="13" t="s">
        <v>5564</v>
      </c>
      <c r="BP66" s="13" t="s">
        <v>5510</v>
      </c>
      <c r="BQ66" s="13" t="s">
        <v>5510</v>
      </c>
      <c r="BR66" s="13" t="s">
        <v>5538</v>
      </c>
      <c r="BS66" s="13" t="s">
        <v>6857</v>
      </c>
      <c r="BT66" s="13">
        <v>25754.0</v>
      </c>
      <c r="BU66" s="13" t="s">
        <v>5540</v>
      </c>
      <c r="BV66" s="13" t="s">
        <v>4856</v>
      </c>
      <c r="BW66" s="13" t="str">
        <f>VLOOKUP($BT66,Enriched!$A$2:$E$1070,5,false)</f>
        <v>["Agriculture &amp; Aquaculture"]</v>
      </c>
      <c r="BX66" s="13" t="str">
        <f>VLOOKUP($BT66,Enriched!$A$2:$E$1070,4,false)</f>
        <v>["Annual &amp; perennial non-timber crops", "Livestock farming &amp; ranching", "Housing &amp; urban area"]</v>
      </c>
      <c r="BY66" s="13" t="b">
        <f>VLOOKUP(BT66,Enriched!$A$1:$AA$1070,27,falsE)</f>
        <v>0</v>
      </c>
      <c r="BZ66" s="2" t="str">
        <f>VLOOKUP(BT66,Enriched!$A$1:$AA$1070,14,falsE)</f>
        <v>level2</v>
      </c>
      <c r="CA66" s="13" t="str">
        <f>HYPERLINK("https%3A%2F%2Fwww.webofscience.com%2Fwos%2Fwoscc%2Ffull-record%2FWOS:000440947600309","View Full Record in Web of Science")</f>
        <v>View Full Record in Web of Science</v>
      </c>
    </row>
    <row r="67" ht="12.75" customHeight="1">
      <c r="A67" s="13" t="s">
        <v>5508</v>
      </c>
      <c r="B67" s="13" t="s">
        <v>6858</v>
      </c>
      <c r="C67" s="13" t="s">
        <v>5510</v>
      </c>
      <c r="D67" s="13" t="s">
        <v>5510</v>
      </c>
      <c r="E67" s="13" t="s">
        <v>5510</v>
      </c>
      <c r="F67" s="13" t="s">
        <v>6859</v>
      </c>
      <c r="G67" s="13" t="s">
        <v>5510</v>
      </c>
      <c r="H67" s="13" t="s">
        <v>5510</v>
      </c>
      <c r="I67" s="13" t="s">
        <v>2896</v>
      </c>
      <c r="J67" s="13" t="s">
        <v>5849</v>
      </c>
      <c r="K67" s="13" t="s">
        <v>5510</v>
      </c>
      <c r="L67" s="13" t="s">
        <v>5510</v>
      </c>
      <c r="M67" s="13" t="s">
        <v>5513</v>
      </c>
      <c r="N67" s="13" t="s">
        <v>5514</v>
      </c>
      <c r="O67" s="13" t="s">
        <v>5510</v>
      </c>
      <c r="P67" s="13" t="s">
        <v>5510</v>
      </c>
      <c r="Q67" s="13" t="s">
        <v>5510</v>
      </c>
      <c r="R67" s="13" t="s">
        <v>5510</v>
      </c>
      <c r="S67" s="13" t="s">
        <v>5510</v>
      </c>
      <c r="T67" s="13" t="s">
        <v>6860</v>
      </c>
      <c r="U67" s="13" t="s">
        <v>6861</v>
      </c>
      <c r="V67" s="13" t="s">
        <v>6862</v>
      </c>
      <c r="W67" s="13" t="s">
        <v>6863</v>
      </c>
      <c r="X67" s="13" t="s">
        <v>6864</v>
      </c>
      <c r="Y67" s="13" t="s">
        <v>6865</v>
      </c>
      <c r="Z67" s="13" t="s">
        <v>6866</v>
      </c>
      <c r="AA67" s="13" t="s">
        <v>6867</v>
      </c>
      <c r="AB67" s="13" t="s">
        <v>6868</v>
      </c>
      <c r="AC67" s="13" t="s">
        <v>6869</v>
      </c>
      <c r="AD67" s="13" t="s">
        <v>6870</v>
      </c>
      <c r="AE67" s="13" t="s">
        <v>6871</v>
      </c>
      <c r="AF67" s="13" t="s">
        <v>5510</v>
      </c>
      <c r="AG67" s="13">
        <v>67.0</v>
      </c>
      <c r="AH67" s="13">
        <v>27.0</v>
      </c>
      <c r="AI67" s="13">
        <v>29.0</v>
      </c>
      <c r="AJ67" s="13">
        <v>2.0</v>
      </c>
      <c r="AK67" s="13">
        <v>95.0</v>
      </c>
      <c r="AL67" s="13" t="s">
        <v>5527</v>
      </c>
      <c r="AM67" s="13" t="s">
        <v>5528</v>
      </c>
      <c r="AN67" s="13" t="s">
        <v>5529</v>
      </c>
      <c r="AO67" s="13" t="s">
        <v>5862</v>
      </c>
      <c r="AP67" s="13" t="s">
        <v>5863</v>
      </c>
      <c r="AQ67" s="13" t="s">
        <v>5510</v>
      </c>
      <c r="AR67" s="13" t="s">
        <v>5864</v>
      </c>
      <c r="AS67" s="13" t="s">
        <v>5865</v>
      </c>
      <c r="AT67" s="13" t="s">
        <v>6828</v>
      </c>
      <c r="AU67" s="13">
        <v>2014.0</v>
      </c>
      <c r="AV67" s="13">
        <v>24.0</v>
      </c>
      <c r="AW67" s="13">
        <v>2.0</v>
      </c>
      <c r="AX67" s="13" t="s">
        <v>5510</v>
      </c>
      <c r="AY67" s="13" t="s">
        <v>5510</v>
      </c>
      <c r="AZ67" s="13" t="s">
        <v>5510</v>
      </c>
      <c r="BA67" s="13" t="s">
        <v>5510</v>
      </c>
      <c r="BB67" s="13">
        <v>192.0</v>
      </c>
      <c r="BC67" s="13">
        <v>202.0</v>
      </c>
      <c r="BD67" s="13" t="s">
        <v>5510</v>
      </c>
      <c r="BE67" s="13" t="s">
        <v>6872</v>
      </c>
      <c r="BF67" s="52" t="str">
        <f>HYPERLINK("http://dx.doi.org/10.1002/aqc.2366","http://dx.doi.org/10.1002/aqc.2366")</f>
        <v>http://dx.doi.org/10.1002/aqc.2366</v>
      </c>
      <c r="BG67" s="13" t="s">
        <v>5510</v>
      </c>
      <c r="BH67" s="13" t="s">
        <v>5510</v>
      </c>
      <c r="BI67" s="13">
        <v>11.0</v>
      </c>
      <c r="BJ67" s="13" t="s">
        <v>5869</v>
      </c>
      <c r="BK67" s="13" t="s">
        <v>5561</v>
      </c>
      <c r="BL67" s="13" t="s">
        <v>5870</v>
      </c>
      <c r="BM67" s="13" t="s">
        <v>6873</v>
      </c>
      <c r="BN67" s="13" t="s">
        <v>5510</v>
      </c>
      <c r="BO67" s="13" t="s">
        <v>5510</v>
      </c>
      <c r="BP67" s="13" t="s">
        <v>5510</v>
      </c>
      <c r="BQ67" s="13" t="s">
        <v>5510</v>
      </c>
      <c r="BR67" s="13" t="s">
        <v>5538</v>
      </c>
      <c r="BS67" s="13" t="s">
        <v>6874</v>
      </c>
      <c r="BT67" s="13">
        <v>23073.0</v>
      </c>
      <c r="BU67" s="13" t="s">
        <v>5540</v>
      </c>
      <c r="BV67" s="13" t="s">
        <v>4852</v>
      </c>
      <c r="BW67" s="13" t="str">
        <f>VLOOKUP($BT67,Enriched!$A$2:$E$1070,5,false)</f>
        <v>["Invasive &amp; other problematic species, genes &amp; diseases"]</v>
      </c>
      <c r="BX67" s="13" t="str">
        <f>VLOOKUP($BT67,Enriched!$A$2:$E$1070,4,false)</f>
        <v>["Invasive non-native/alien species/diseases"]</v>
      </c>
      <c r="BY67" s="13" t="b">
        <f>VLOOKUP(BT67,Enriched!$A$1:$AA$1070,27,falsE)</f>
        <v>0</v>
      </c>
      <c r="BZ67" s="2" t="str">
        <f>VLOOKUP(BT67,Enriched!$A$1:$AA$1070,14,falsE)</f>
        <v>level2</v>
      </c>
      <c r="CA67" s="13" t="str">
        <f>HYPERLINK("https%3A%2F%2Fwww.webofscience.com%2Fwos%2Fwoscc%2Ffull-record%2FWOS:000333931400006","View Full Record in Web of Science")</f>
        <v>View Full Record in Web of Science</v>
      </c>
    </row>
    <row r="68" ht="12.75" customHeight="1">
      <c r="A68" s="13" t="s">
        <v>5508</v>
      </c>
      <c r="B68" s="13" t="s">
        <v>6875</v>
      </c>
      <c r="C68" s="13" t="s">
        <v>5510</v>
      </c>
      <c r="D68" s="13" t="s">
        <v>5510</v>
      </c>
      <c r="E68" s="13" t="s">
        <v>5510</v>
      </c>
      <c r="F68" s="13" t="s">
        <v>6876</v>
      </c>
      <c r="G68" s="13" t="s">
        <v>5510</v>
      </c>
      <c r="H68" s="13" t="s">
        <v>5510</v>
      </c>
      <c r="I68" s="13" t="s">
        <v>2893</v>
      </c>
      <c r="J68" s="13" t="s">
        <v>6877</v>
      </c>
      <c r="K68" s="13" t="s">
        <v>5510</v>
      </c>
      <c r="L68" s="13" t="s">
        <v>5510</v>
      </c>
      <c r="M68" s="13" t="s">
        <v>5513</v>
      </c>
      <c r="N68" s="13" t="s">
        <v>5514</v>
      </c>
      <c r="O68" s="13" t="s">
        <v>5510</v>
      </c>
      <c r="P68" s="13" t="s">
        <v>5510</v>
      </c>
      <c r="Q68" s="13" t="s">
        <v>5510</v>
      </c>
      <c r="R68" s="13" t="s">
        <v>5510</v>
      </c>
      <c r="S68" s="13" t="s">
        <v>5510</v>
      </c>
      <c r="T68" s="13" t="s">
        <v>6878</v>
      </c>
      <c r="U68" s="13" t="s">
        <v>6879</v>
      </c>
      <c r="V68" s="13" t="s">
        <v>6880</v>
      </c>
      <c r="W68" s="13" t="s">
        <v>6881</v>
      </c>
      <c r="X68" s="13" t="s">
        <v>6882</v>
      </c>
      <c r="Y68" s="13" t="s">
        <v>6883</v>
      </c>
      <c r="Z68" s="13" t="s">
        <v>6884</v>
      </c>
      <c r="AA68" s="13" t="s">
        <v>6885</v>
      </c>
      <c r="AB68" s="13" t="s">
        <v>6886</v>
      </c>
      <c r="AC68" s="13" t="s">
        <v>6887</v>
      </c>
      <c r="AD68" s="13" t="s">
        <v>6888</v>
      </c>
      <c r="AE68" s="13" t="s">
        <v>6889</v>
      </c>
      <c r="AF68" s="13" t="s">
        <v>5510</v>
      </c>
      <c r="AG68" s="13">
        <v>58.0</v>
      </c>
      <c r="AH68" s="13">
        <v>4.0</v>
      </c>
      <c r="AI68" s="13">
        <v>5.0</v>
      </c>
      <c r="AJ68" s="13">
        <v>0.0</v>
      </c>
      <c r="AK68" s="13">
        <v>35.0</v>
      </c>
      <c r="AL68" s="13" t="s">
        <v>6890</v>
      </c>
      <c r="AM68" s="13" t="s">
        <v>6891</v>
      </c>
      <c r="AN68" s="13" t="s">
        <v>6892</v>
      </c>
      <c r="AO68" s="13" t="s">
        <v>6893</v>
      </c>
      <c r="AP68" s="13" t="s">
        <v>6894</v>
      </c>
      <c r="AQ68" s="13" t="s">
        <v>5510</v>
      </c>
      <c r="AR68" s="13" t="s">
        <v>6895</v>
      </c>
      <c r="AS68" s="13" t="s">
        <v>6896</v>
      </c>
      <c r="AT68" s="13" t="s">
        <v>6897</v>
      </c>
      <c r="AU68" s="13">
        <v>2016.0</v>
      </c>
      <c r="AV68" s="13">
        <v>97.0</v>
      </c>
      <c r="AW68" s="13">
        <v>5.0</v>
      </c>
      <c r="AX68" s="13" t="s">
        <v>5510</v>
      </c>
      <c r="AY68" s="13" t="s">
        <v>5510</v>
      </c>
      <c r="AZ68" s="13" t="s">
        <v>5510</v>
      </c>
      <c r="BA68" s="13" t="s">
        <v>5510</v>
      </c>
      <c r="BB68" s="13">
        <v>1451.0</v>
      </c>
      <c r="BC68" s="13">
        <v>1460.0</v>
      </c>
      <c r="BD68" s="13" t="s">
        <v>5510</v>
      </c>
      <c r="BE68" s="13" t="s">
        <v>6898</v>
      </c>
      <c r="BF68" s="52" t="str">
        <f>HYPERLINK("http://dx.doi.org/10.1093/jmammal/gyw085","http://dx.doi.org/10.1093/jmammal/gyw085")</f>
        <v>http://dx.doi.org/10.1093/jmammal/gyw085</v>
      </c>
      <c r="BG68" s="13" t="s">
        <v>5510</v>
      </c>
      <c r="BH68" s="13" t="s">
        <v>5510</v>
      </c>
      <c r="BI68" s="13">
        <v>10.0</v>
      </c>
      <c r="BJ68" s="13" t="s">
        <v>6899</v>
      </c>
      <c r="BK68" s="13" t="s">
        <v>5534</v>
      </c>
      <c r="BL68" s="13" t="s">
        <v>6899</v>
      </c>
      <c r="BM68" s="13" t="s">
        <v>6900</v>
      </c>
      <c r="BN68" s="13" t="s">
        <v>5510</v>
      </c>
      <c r="BO68" s="13" t="s">
        <v>5809</v>
      </c>
      <c r="BP68" s="13" t="s">
        <v>5510</v>
      </c>
      <c r="BQ68" s="13" t="s">
        <v>5510</v>
      </c>
      <c r="BR68" s="13" t="s">
        <v>5538</v>
      </c>
      <c r="BS68" s="13" t="s">
        <v>6901</v>
      </c>
      <c r="BT68" s="13">
        <v>25443.0</v>
      </c>
      <c r="BU68" s="13" t="s">
        <v>5540</v>
      </c>
      <c r="BV68" s="13" t="s">
        <v>4856</v>
      </c>
      <c r="BW68" s="13" t="str">
        <f>VLOOKUP($BT68,Enriched!$A$2:$E$1070,5,false)</f>
        <v>["Transportation &amp; Service Corridors", "Agriculture &amp; aquaculture"]</v>
      </c>
      <c r="BX68" s="13" t="str">
        <f>VLOOKUP($BT68,Enriched!$A$2:$E$1070,4,false)</f>
        <v>[ "Roads &amp; railroads", "Housing &amp; urban area"]</v>
      </c>
      <c r="BY68" s="13" t="b">
        <f>VLOOKUP(BT68,Enriched!$A$1:$AA$1070,27,falsE)</f>
        <v>1</v>
      </c>
      <c r="BZ68" s="2" t="str">
        <f>VLOOKUP(BT68,Enriched!$A$1:$AA$1070,14,falsE)</f>
        <v>level2</v>
      </c>
      <c r="CA68" s="13" t="str">
        <f>HYPERLINK("https%3A%2F%2Fwww.webofscience.com%2Fwos%2Fwoscc%2Ffull-record%2FWOS:000385628300021","View Full Record in Web of Science")</f>
        <v>View Full Record in Web of Science</v>
      </c>
    </row>
    <row r="69" ht="12.75" customHeight="1">
      <c r="A69" s="13" t="s">
        <v>5508</v>
      </c>
      <c r="B69" s="13" t="s">
        <v>6902</v>
      </c>
      <c r="C69" s="13" t="s">
        <v>5510</v>
      </c>
      <c r="D69" s="13" t="s">
        <v>5510</v>
      </c>
      <c r="E69" s="13" t="s">
        <v>5510</v>
      </c>
      <c r="F69" s="13" t="s">
        <v>6903</v>
      </c>
      <c r="G69" s="13" t="s">
        <v>5510</v>
      </c>
      <c r="H69" s="13" t="s">
        <v>5510</v>
      </c>
      <c r="I69" s="13" t="s">
        <v>2887</v>
      </c>
      <c r="J69" s="13" t="s">
        <v>5543</v>
      </c>
      <c r="K69" s="13" t="s">
        <v>5510</v>
      </c>
      <c r="L69" s="13" t="s">
        <v>5510</v>
      </c>
      <c r="M69" s="13" t="s">
        <v>5513</v>
      </c>
      <c r="N69" s="13" t="s">
        <v>5514</v>
      </c>
      <c r="O69" s="13" t="s">
        <v>5510</v>
      </c>
      <c r="P69" s="13" t="s">
        <v>5510</v>
      </c>
      <c r="Q69" s="13" t="s">
        <v>5510</v>
      </c>
      <c r="R69" s="13" t="s">
        <v>5510</v>
      </c>
      <c r="S69" s="13" t="s">
        <v>5510</v>
      </c>
      <c r="T69" s="13" t="s">
        <v>5510</v>
      </c>
      <c r="U69" s="13" t="s">
        <v>6904</v>
      </c>
      <c r="V69" s="13" t="s">
        <v>6905</v>
      </c>
      <c r="W69" s="13" t="s">
        <v>6906</v>
      </c>
      <c r="X69" s="13" t="s">
        <v>6907</v>
      </c>
      <c r="Y69" s="13" t="s">
        <v>6908</v>
      </c>
      <c r="Z69" s="13" t="s">
        <v>6909</v>
      </c>
      <c r="AA69" s="13" t="s">
        <v>6910</v>
      </c>
      <c r="AB69" s="13" t="s">
        <v>6911</v>
      </c>
      <c r="AC69" s="13" t="s">
        <v>6912</v>
      </c>
      <c r="AD69" s="13" t="s">
        <v>6913</v>
      </c>
      <c r="AE69" s="13" t="s">
        <v>6914</v>
      </c>
      <c r="AF69" s="13" t="s">
        <v>5510</v>
      </c>
      <c r="AG69" s="13">
        <v>56.0</v>
      </c>
      <c r="AH69" s="13">
        <v>26.0</v>
      </c>
      <c r="AI69" s="13">
        <v>32.0</v>
      </c>
      <c r="AJ69" s="13">
        <v>1.0</v>
      </c>
      <c r="AK69" s="13">
        <v>64.0</v>
      </c>
      <c r="AL69" s="13" t="s">
        <v>5552</v>
      </c>
      <c r="AM69" s="13" t="s">
        <v>5553</v>
      </c>
      <c r="AN69" s="13" t="s">
        <v>5554</v>
      </c>
      <c r="AO69" s="13" t="s">
        <v>5555</v>
      </c>
      <c r="AP69" s="13" t="s">
        <v>5510</v>
      </c>
      <c r="AQ69" s="13" t="s">
        <v>5510</v>
      </c>
      <c r="AR69" s="13" t="s">
        <v>5543</v>
      </c>
      <c r="AS69" s="13" t="s">
        <v>5556</v>
      </c>
      <c r="AT69" s="13" t="s">
        <v>6915</v>
      </c>
      <c r="AU69" s="13">
        <v>2017.0</v>
      </c>
      <c r="AV69" s="13">
        <v>12.0</v>
      </c>
      <c r="AW69" s="13">
        <v>11.0</v>
      </c>
      <c r="AX69" s="13" t="s">
        <v>5510</v>
      </c>
      <c r="AY69" s="13" t="s">
        <v>5510</v>
      </c>
      <c r="AZ69" s="13" t="s">
        <v>5510</v>
      </c>
      <c r="BA69" s="13" t="s">
        <v>5510</v>
      </c>
      <c r="BB69" s="13" t="s">
        <v>5510</v>
      </c>
      <c r="BC69" s="13" t="s">
        <v>5510</v>
      </c>
      <c r="BD69" s="13" t="s">
        <v>6916</v>
      </c>
      <c r="BE69" s="13" t="s">
        <v>6917</v>
      </c>
      <c r="BF69" s="52" t="str">
        <f>HYPERLINK("http://dx.doi.org/10.1371/journal.pone.0188397","http://dx.doi.org/10.1371/journal.pone.0188397")</f>
        <v>http://dx.doi.org/10.1371/journal.pone.0188397</v>
      </c>
      <c r="BG69" s="13" t="s">
        <v>5510</v>
      </c>
      <c r="BH69" s="13" t="s">
        <v>5510</v>
      </c>
      <c r="BI69" s="13">
        <v>14.0</v>
      </c>
      <c r="BJ69" s="13" t="s">
        <v>5560</v>
      </c>
      <c r="BK69" s="13" t="s">
        <v>5561</v>
      </c>
      <c r="BL69" s="13" t="s">
        <v>5562</v>
      </c>
      <c r="BM69" s="13" t="s">
        <v>6918</v>
      </c>
      <c r="BN69" s="13">
        <v>2.9182662E7</v>
      </c>
      <c r="BO69" s="13" t="s">
        <v>5564</v>
      </c>
      <c r="BP69" s="13" t="s">
        <v>5510</v>
      </c>
      <c r="BQ69" s="13" t="s">
        <v>5510</v>
      </c>
      <c r="BR69" s="13" t="s">
        <v>5538</v>
      </c>
      <c r="BS69" s="13" t="s">
        <v>6919</v>
      </c>
      <c r="BT69" s="13">
        <v>25892.0</v>
      </c>
      <c r="BU69" s="13" t="s">
        <v>5540</v>
      </c>
      <c r="BV69" s="13" t="s">
        <v>4856</v>
      </c>
      <c r="BW69" s="13" t="str">
        <f>VLOOKUP($BT69,Enriched!$A$2:$E$1070,5,false)</f>
        <v>["Agriculture &amp; Aquaculture", "Residential &amp; Commercial Development"]</v>
      </c>
      <c r="BX69" s="13" t="str">
        <f>VLOOKUP($BT69,Enriched!$A$2:$E$1070,4,false)</f>
        <v>["Annual &amp; perennial non-timber crops", "Housing &amp; urban area", "Commercial &amp; industrial areas"]</v>
      </c>
      <c r="BY69" s="13" t="b">
        <f>VLOOKUP(BT69,Enriched!$A$1:$AA$1070,27,falsE)</f>
        <v>0</v>
      </c>
      <c r="BZ69" s="2" t="str">
        <f>VLOOKUP(BT69,Enriched!$A$1:$AA$1070,14,falsE)</f>
        <v>level1</v>
      </c>
      <c r="CA69" s="13" t="str">
        <f>HYPERLINK("https%3A%2F%2Fwww.webofscience.com%2Fwos%2Fwoscc%2Ffull-record%2FWOS:000416402000025","View Full Record in Web of Science")</f>
        <v>View Full Record in Web of Science</v>
      </c>
    </row>
    <row r="70" ht="12.75" customHeight="1">
      <c r="A70" s="13" t="s">
        <v>5508</v>
      </c>
      <c r="B70" s="13" t="s">
        <v>6920</v>
      </c>
      <c r="C70" s="13" t="s">
        <v>5510</v>
      </c>
      <c r="D70" s="13" t="s">
        <v>5510</v>
      </c>
      <c r="E70" s="13" t="s">
        <v>5510</v>
      </c>
      <c r="F70" s="13" t="s">
        <v>6921</v>
      </c>
      <c r="G70" s="13" t="s">
        <v>5510</v>
      </c>
      <c r="H70" s="13" t="s">
        <v>5510</v>
      </c>
      <c r="I70" s="13" t="s">
        <v>2882</v>
      </c>
      <c r="J70" s="13" t="s">
        <v>6922</v>
      </c>
      <c r="K70" s="13" t="s">
        <v>5510</v>
      </c>
      <c r="L70" s="13" t="s">
        <v>5510</v>
      </c>
      <c r="M70" s="13" t="s">
        <v>5513</v>
      </c>
      <c r="N70" s="13" t="s">
        <v>5514</v>
      </c>
      <c r="O70" s="13" t="s">
        <v>5510</v>
      </c>
      <c r="P70" s="13" t="s">
        <v>5510</v>
      </c>
      <c r="Q70" s="13" t="s">
        <v>5510</v>
      </c>
      <c r="R70" s="13" t="s">
        <v>5510</v>
      </c>
      <c r="S70" s="13" t="s">
        <v>5510</v>
      </c>
      <c r="T70" s="13" t="s">
        <v>6923</v>
      </c>
      <c r="U70" s="13" t="s">
        <v>6924</v>
      </c>
      <c r="V70" s="13" t="s">
        <v>6925</v>
      </c>
      <c r="W70" s="13" t="s">
        <v>6926</v>
      </c>
      <c r="X70" s="13" t="s">
        <v>6927</v>
      </c>
      <c r="Y70" s="13" t="s">
        <v>6928</v>
      </c>
      <c r="Z70" s="13" t="s">
        <v>6929</v>
      </c>
      <c r="AA70" s="13" t="s">
        <v>6930</v>
      </c>
      <c r="AB70" s="13" t="s">
        <v>6931</v>
      </c>
      <c r="AC70" s="13" t="s">
        <v>6932</v>
      </c>
      <c r="AD70" s="13" t="s">
        <v>6932</v>
      </c>
      <c r="AE70" s="13" t="s">
        <v>6933</v>
      </c>
      <c r="AF70" s="13" t="s">
        <v>5510</v>
      </c>
      <c r="AG70" s="13">
        <v>45.0</v>
      </c>
      <c r="AH70" s="13">
        <v>32.0</v>
      </c>
      <c r="AI70" s="13">
        <v>38.0</v>
      </c>
      <c r="AJ70" s="13">
        <v>0.0</v>
      </c>
      <c r="AK70" s="13">
        <v>61.0</v>
      </c>
      <c r="AL70" s="13" t="s">
        <v>5759</v>
      </c>
      <c r="AM70" s="13" t="s">
        <v>5760</v>
      </c>
      <c r="AN70" s="13" t="s">
        <v>5761</v>
      </c>
      <c r="AO70" s="13" t="s">
        <v>6934</v>
      </c>
      <c r="AP70" s="13" t="s">
        <v>6935</v>
      </c>
      <c r="AQ70" s="13" t="s">
        <v>5510</v>
      </c>
      <c r="AR70" s="13" t="s">
        <v>6936</v>
      </c>
      <c r="AS70" s="13" t="s">
        <v>6937</v>
      </c>
      <c r="AT70" s="13" t="s">
        <v>6175</v>
      </c>
      <c r="AU70" s="13">
        <v>2014.0</v>
      </c>
      <c r="AV70" s="13">
        <v>69.0</v>
      </c>
      <c r="AW70" s="13" t="s">
        <v>5510</v>
      </c>
      <c r="AX70" s="13" t="s">
        <v>5510</v>
      </c>
      <c r="AY70" s="13" t="s">
        <v>5510</v>
      </c>
      <c r="AZ70" s="13" t="s">
        <v>5510</v>
      </c>
      <c r="BA70" s="13" t="s">
        <v>5510</v>
      </c>
      <c r="BB70" s="13">
        <v>287.0</v>
      </c>
      <c r="BC70" s="13">
        <v>303.0</v>
      </c>
      <c r="BD70" s="13" t="s">
        <v>5510</v>
      </c>
      <c r="BE70" s="13" t="s">
        <v>6938</v>
      </c>
      <c r="BF70" s="52" t="str">
        <f>HYPERLINK("http://dx.doi.org/10.1016/j.ecoleng.2014.05.006","http://dx.doi.org/10.1016/j.ecoleng.2014.05.006")</f>
        <v>http://dx.doi.org/10.1016/j.ecoleng.2014.05.006</v>
      </c>
      <c r="BG70" s="13" t="s">
        <v>5510</v>
      </c>
      <c r="BH70" s="13" t="s">
        <v>5510</v>
      </c>
      <c r="BI70" s="13">
        <v>17.0</v>
      </c>
      <c r="BJ70" s="13" t="s">
        <v>6939</v>
      </c>
      <c r="BK70" s="13" t="s">
        <v>5561</v>
      </c>
      <c r="BL70" s="13" t="s">
        <v>6940</v>
      </c>
      <c r="BM70" s="13" t="s">
        <v>6941</v>
      </c>
      <c r="BN70" s="13" t="s">
        <v>5510</v>
      </c>
      <c r="BO70" s="13" t="s">
        <v>5510</v>
      </c>
      <c r="BP70" s="13" t="s">
        <v>5510</v>
      </c>
      <c r="BQ70" s="13" t="s">
        <v>5510</v>
      </c>
      <c r="BR70" s="13" t="s">
        <v>5538</v>
      </c>
      <c r="BS70" s="13" t="s">
        <v>6942</v>
      </c>
      <c r="BT70" s="13">
        <v>25313.0</v>
      </c>
      <c r="BU70" s="13" t="s">
        <v>5540</v>
      </c>
      <c r="BV70" s="13" t="s">
        <v>4856</v>
      </c>
      <c r="BW70" s="13" t="str">
        <f>VLOOKUP($BT70,Enriched!$A$2:$E$1070,5,false)</f>
        <v>["Natural System Modifications", "Invasive &amp; Other Problematic Species, Genes &amp; Diseases"]</v>
      </c>
      <c r="BX70" s="13" t="str">
        <f>VLOOKUP($BT70,Enriched!$A$2:$E$1070,4,false)</f>
        <v>["Fire &amp; fire suppression", "Invasive non-native/alien species/diseases"]</v>
      </c>
      <c r="BY70" s="13" t="b">
        <f>VLOOKUP(BT70,Enriched!$A$1:$AA$1070,27,falsE)</f>
        <v>0</v>
      </c>
      <c r="BZ70" s="2" t="str">
        <f>VLOOKUP(BT70,Enriched!$A$1:$AA$1070,14,falsE)</f>
        <v>level2</v>
      </c>
      <c r="CA70" s="13" t="str">
        <f>HYPERLINK("https%3A%2F%2Fwww.webofscience.com%2Fwos%2Fwoscc%2Ffull-record%2FWOS:000338928200036","View Full Record in Web of Science")</f>
        <v>View Full Record in Web of Science</v>
      </c>
    </row>
    <row r="71" ht="12.75" customHeight="1">
      <c r="A71" s="13" t="s">
        <v>5508</v>
      </c>
      <c r="B71" s="13" t="s">
        <v>6943</v>
      </c>
      <c r="C71" s="13" t="s">
        <v>5510</v>
      </c>
      <c r="D71" s="13" t="s">
        <v>5510</v>
      </c>
      <c r="E71" s="13" t="s">
        <v>5510</v>
      </c>
      <c r="F71" s="13" t="s">
        <v>6944</v>
      </c>
      <c r="G71" s="13" t="s">
        <v>5510</v>
      </c>
      <c r="H71" s="13" t="s">
        <v>5510</v>
      </c>
      <c r="I71" s="13" t="s">
        <v>2880</v>
      </c>
      <c r="J71" s="13" t="s">
        <v>5543</v>
      </c>
      <c r="K71" s="13" t="s">
        <v>5510</v>
      </c>
      <c r="L71" s="13" t="s">
        <v>5510</v>
      </c>
      <c r="M71" s="13" t="s">
        <v>5513</v>
      </c>
      <c r="N71" s="13" t="s">
        <v>5514</v>
      </c>
      <c r="O71" s="13" t="s">
        <v>5510</v>
      </c>
      <c r="P71" s="13" t="s">
        <v>5510</v>
      </c>
      <c r="Q71" s="13" t="s">
        <v>5510</v>
      </c>
      <c r="R71" s="13" t="s">
        <v>5510</v>
      </c>
      <c r="S71" s="13" t="s">
        <v>5510</v>
      </c>
      <c r="T71" s="13" t="s">
        <v>5510</v>
      </c>
      <c r="U71" s="13" t="s">
        <v>6945</v>
      </c>
      <c r="V71" s="13" t="s">
        <v>6946</v>
      </c>
      <c r="W71" s="13" t="s">
        <v>6947</v>
      </c>
      <c r="X71" s="13" t="s">
        <v>6948</v>
      </c>
      <c r="Y71" s="13" t="s">
        <v>6949</v>
      </c>
      <c r="Z71" s="13" t="s">
        <v>6950</v>
      </c>
      <c r="AA71" s="13" t="s">
        <v>6951</v>
      </c>
      <c r="AB71" s="13" t="s">
        <v>6952</v>
      </c>
      <c r="AC71" s="13" t="s">
        <v>6953</v>
      </c>
      <c r="AD71" s="13" t="s">
        <v>6954</v>
      </c>
      <c r="AE71" s="13" t="s">
        <v>6955</v>
      </c>
      <c r="AF71" s="13" t="s">
        <v>5510</v>
      </c>
      <c r="AG71" s="13">
        <v>32.0</v>
      </c>
      <c r="AH71" s="13">
        <v>36.0</v>
      </c>
      <c r="AI71" s="13">
        <v>38.0</v>
      </c>
      <c r="AJ71" s="13">
        <v>0.0</v>
      </c>
      <c r="AK71" s="13">
        <v>10.0</v>
      </c>
      <c r="AL71" s="13" t="s">
        <v>5552</v>
      </c>
      <c r="AM71" s="13" t="s">
        <v>5553</v>
      </c>
      <c r="AN71" s="13" t="s">
        <v>5554</v>
      </c>
      <c r="AO71" s="13" t="s">
        <v>5555</v>
      </c>
      <c r="AP71" s="13" t="s">
        <v>5510</v>
      </c>
      <c r="AQ71" s="13" t="s">
        <v>5510</v>
      </c>
      <c r="AR71" s="13" t="s">
        <v>5543</v>
      </c>
      <c r="AS71" s="13" t="s">
        <v>5556</v>
      </c>
      <c r="AT71" s="13" t="s">
        <v>6956</v>
      </c>
      <c r="AU71" s="13">
        <v>2018.0</v>
      </c>
      <c r="AV71" s="13">
        <v>13.0</v>
      </c>
      <c r="AW71" s="13">
        <v>1.0</v>
      </c>
      <c r="AX71" s="13" t="s">
        <v>5510</v>
      </c>
      <c r="AY71" s="13" t="s">
        <v>5510</v>
      </c>
      <c r="AZ71" s="13" t="s">
        <v>5510</v>
      </c>
      <c r="BA71" s="13" t="s">
        <v>5510</v>
      </c>
      <c r="BB71" s="13" t="s">
        <v>5510</v>
      </c>
      <c r="BC71" s="13" t="s">
        <v>5510</v>
      </c>
      <c r="BD71" s="13" t="s">
        <v>6957</v>
      </c>
      <c r="BE71" s="13" t="s">
        <v>6958</v>
      </c>
      <c r="BF71" s="52" t="str">
        <f>HYPERLINK("http://dx.doi.org/10.1371/journal.pone.0191519","http://dx.doi.org/10.1371/journal.pone.0191519")</f>
        <v>http://dx.doi.org/10.1371/journal.pone.0191519</v>
      </c>
      <c r="BG71" s="13" t="s">
        <v>5510</v>
      </c>
      <c r="BH71" s="13" t="s">
        <v>5510</v>
      </c>
      <c r="BI71" s="13">
        <v>14.0</v>
      </c>
      <c r="BJ71" s="13" t="s">
        <v>5560</v>
      </c>
      <c r="BK71" s="13" t="s">
        <v>5561</v>
      </c>
      <c r="BL71" s="13" t="s">
        <v>5562</v>
      </c>
      <c r="BM71" s="13" t="s">
        <v>6959</v>
      </c>
      <c r="BN71" s="13">
        <v>2.9385189E7</v>
      </c>
      <c r="BO71" s="13" t="s">
        <v>5564</v>
      </c>
      <c r="BP71" s="13" t="s">
        <v>5510</v>
      </c>
      <c r="BQ71" s="13" t="s">
        <v>5510</v>
      </c>
      <c r="BR71" s="13" t="s">
        <v>5538</v>
      </c>
      <c r="BS71" s="13" t="s">
        <v>6960</v>
      </c>
      <c r="BT71" s="13">
        <v>25574.0</v>
      </c>
      <c r="BU71" s="13" t="s">
        <v>5540</v>
      </c>
      <c r="BV71" s="13" t="s">
        <v>4864</v>
      </c>
      <c r="BW71" s="13" t="str">
        <f>VLOOKUP($BT71,Enriched!$A$2:$E$1070,5,false)</f>
        <v>["Biological resource use"]</v>
      </c>
      <c r="BX71" s="13" t="str">
        <f>VLOOKUP($BT71,Enriched!$A$2:$E$1070,4,false)</f>
        <v>["Fishing &amp; harvesting aquatic resources"]</v>
      </c>
      <c r="BY71" s="13" t="b">
        <f>VLOOKUP(BT71,Enriched!$A$1:$AA$1070,27,falsE)</f>
        <v>0</v>
      </c>
      <c r="BZ71" s="2" t="str">
        <f>VLOOKUP(BT71,Enriched!$A$1:$AA$1070,14,falsE)</f>
        <v>level2</v>
      </c>
      <c r="CA71" s="13" t="str">
        <f>HYPERLINK("https%3A%2F%2Fwww.webofscience.com%2Fwos%2Fwoscc%2Ffull-record%2FWOS:000423668400048","View Full Record in Web of Science")</f>
        <v>View Full Record in Web of Science</v>
      </c>
    </row>
    <row r="72" ht="12.75" customHeight="1">
      <c r="A72" s="13" t="s">
        <v>5508</v>
      </c>
      <c r="B72" s="13" t="s">
        <v>6961</v>
      </c>
      <c r="C72" s="13" t="s">
        <v>5510</v>
      </c>
      <c r="D72" s="13" t="s">
        <v>5510</v>
      </c>
      <c r="E72" s="13" t="s">
        <v>5510</v>
      </c>
      <c r="F72" s="13" t="s">
        <v>6962</v>
      </c>
      <c r="G72" s="13" t="s">
        <v>5510</v>
      </c>
      <c r="H72" s="13" t="s">
        <v>5510</v>
      </c>
      <c r="I72" s="13" t="s">
        <v>2874</v>
      </c>
      <c r="J72" s="13" t="s">
        <v>6963</v>
      </c>
      <c r="K72" s="13" t="s">
        <v>5510</v>
      </c>
      <c r="L72" s="13" t="s">
        <v>5510</v>
      </c>
      <c r="M72" s="13" t="s">
        <v>5513</v>
      </c>
      <c r="N72" s="13" t="s">
        <v>5514</v>
      </c>
      <c r="O72" s="13" t="s">
        <v>5510</v>
      </c>
      <c r="P72" s="13" t="s">
        <v>5510</v>
      </c>
      <c r="Q72" s="13" t="s">
        <v>5510</v>
      </c>
      <c r="R72" s="13" t="s">
        <v>5510</v>
      </c>
      <c r="S72" s="13" t="s">
        <v>5510</v>
      </c>
      <c r="T72" s="13" t="s">
        <v>6964</v>
      </c>
      <c r="U72" s="13" t="s">
        <v>6965</v>
      </c>
      <c r="V72" s="13" t="s">
        <v>6966</v>
      </c>
      <c r="W72" s="13" t="s">
        <v>6967</v>
      </c>
      <c r="X72" s="13" t="s">
        <v>6968</v>
      </c>
      <c r="Y72" s="13" t="s">
        <v>6969</v>
      </c>
      <c r="Z72" s="13" t="s">
        <v>6970</v>
      </c>
      <c r="AA72" s="13" t="s">
        <v>5510</v>
      </c>
      <c r="AB72" s="13" t="s">
        <v>6971</v>
      </c>
      <c r="AC72" s="13" t="s">
        <v>6972</v>
      </c>
      <c r="AD72" s="13" t="s">
        <v>6972</v>
      </c>
      <c r="AE72" s="13" t="s">
        <v>6973</v>
      </c>
      <c r="AF72" s="13" t="s">
        <v>5510</v>
      </c>
      <c r="AG72" s="13">
        <v>72.0</v>
      </c>
      <c r="AH72" s="13">
        <v>22.0</v>
      </c>
      <c r="AI72" s="13">
        <v>25.0</v>
      </c>
      <c r="AJ72" s="13">
        <v>0.0</v>
      </c>
      <c r="AK72" s="13">
        <v>47.0</v>
      </c>
      <c r="AL72" s="13" t="s">
        <v>5759</v>
      </c>
      <c r="AM72" s="13" t="s">
        <v>5760</v>
      </c>
      <c r="AN72" s="13" t="s">
        <v>5761</v>
      </c>
      <c r="AO72" s="13" t="s">
        <v>6974</v>
      </c>
      <c r="AP72" s="13" t="s">
        <v>6975</v>
      </c>
      <c r="AQ72" s="13" t="s">
        <v>5510</v>
      </c>
      <c r="AR72" s="13" t="s">
        <v>6976</v>
      </c>
      <c r="AS72" s="13" t="s">
        <v>6977</v>
      </c>
      <c r="AT72" s="13" t="s">
        <v>1925</v>
      </c>
      <c r="AU72" s="13">
        <v>2018.0</v>
      </c>
      <c r="AV72" s="13">
        <v>94.0</v>
      </c>
      <c r="AW72" s="13" t="s">
        <v>5510</v>
      </c>
      <c r="AX72" s="13" t="s">
        <v>5510</v>
      </c>
      <c r="AY72" s="13" t="s">
        <v>5510</v>
      </c>
      <c r="AZ72" s="13" t="s">
        <v>5510</v>
      </c>
      <c r="BA72" s="13" t="s">
        <v>5510</v>
      </c>
      <c r="BB72" s="13">
        <v>46.0</v>
      </c>
      <c r="BC72" s="13">
        <v>54.0</v>
      </c>
      <c r="BD72" s="13" t="s">
        <v>5510</v>
      </c>
      <c r="BE72" s="13" t="s">
        <v>6978</v>
      </c>
      <c r="BF72" s="52" t="str">
        <f>HYPERLINK("http://dx.doi.org/10.1016/j.forpol.2018.06.009","http://dx.doi.org/10.1016/j.forpol.2018.06.009")</f>
        <v>http://dx.doi.org/10.1016/j.forpol.2018.06.009</v>
      </c>
      <c r="BG72" s="13" t="s">
        <v>5510</v>
      </c>
      <c r="BH72" s="13" t="s">
        <v>5510</v>
      </c>
      <c r="BI72" s="13">
        <v>9.0</v>
      </c>
      <c r="BJ72" s="13" t="s">
        <v>6979</v>
      </c>
      <c r="BK72" s="13" t="s">
        <v>5534</v>
      </c>
      <c r="BL72" s="13" t="s">
        <v>6980</v>
      </c>
      <c r="BM72" s="13" t="s">
        <v>6981</v>
      </c>
      <c r="BN72" s="13" t="s">
        <v>5510</v>
      </c>
      <c r="BO72" s="13" t="s">
        <v>5510</v>
      </c>
      <c r="BP72" s="13" t="s">
        <v>5510</v>
      </c>
      <c r="BQ72" s="13" t="s">
        <v>5510</v>
      </c>
      <c r="BR72" s="13" t="s">
        <v>5538</v>
      </c>
      <c r="BS72" s="13" t="s">
        <v>6982</v>
      </c>
      <c r="BT72" s="13">
        <v>24451.0</v>
      </c>
      <c r="BU72" s="13" t="s">
        <v>5540</v>
      </c>
      <c r="BV72" s="13" t="s">
        <v>4856</v>
      </c>
      <c r="BW72" s="13" t="str">
        <f>VLOOKUP($BT72,Enriched!$A$2:$E$1070,5,false)</f>
        <v>["Biological Resource Use"]</v>
      </c>
      <c r="BX72" s="13" t="str">
        <f>VLOOKUP($BT72,Enriched!$A$2:$E$1070,4,false)</f>
        <v>["Logging &amp; wood harvesting"]</v>
      </c>
      <c r="BY72" s="13" t="b">
        <f>VLOOKUP(BT72,Enriched!$A$1:$AA$1070,27,falsE)</f>
        <v>0</v>
      </c>
      <c r="BZ72" s="2" t="str">
        <f>VLOOKUP(BT72,Enriched!$A$1:$AA$1070,14,falsE)</f>
        <v>level2</v>
      </c>
      <c r="CA72" s="13" t="str">
        <f>HYPERLINK("https%3A%2F%2Fwww.webofscience.com%2Fwos%2Fwoscc%2Ffull-record%2FWOS:000440528900007","View Full Record in Web of Science")</f>
        <v>View Full Record in Web of Science</v>
      </c>
    </row>
    <row r="73" ht="12.75" customHeight="1">
      <c r="A73" s="13" t="s">
        <v>5508</v>
      </c>
      <c r="B73" s="13" t="s">
        <v>6983</v>
      </c>
      <c r="C73" s="13" t="s">
        <v>5510</v>
      </c>
      <c r="D73" s="13" t="s">
        <v>5510</v>
      </c>
      <c r="E73" s="13" t="s">
        <v>5510</v>
      </c>
      <c r="F73" s="13" t="s">
        <v>6984</v>
      </c>
      <c r="G73" s="13" t="s">
        <v>5510</v>
      </c>
      <c r="H73" s="13" t="s">
        <v>5510</v>
      </c>
      <c r="I73" s="13" t="s">
        <v>6985</v>
      </c>
      <c r="J73" s="13" t="s">
        <v>5543</v>
      </c>
      <c r="K73" s="13" t="s">
        <v>5510</v>
      </c>
      <c r="L73" s="13" t="s">
        <v>5510</v>
      </c>
      <c r="M73" s="13" t="s">
        <v>5513</v>
      </c>
      <c r="N73" s="13" t="s">
        <v>5514</v>
      </c>
      <c r="O73" s="13" t="s">
        <v>5510</v>
      </c>
      <c r="P73" s="13" t="s">
        <v>5510</v>
      </c>
      <c r="Q73" s="13" t="s">
        <v>5510</v>
      </c>
      <c r="R73" s="13" t="s">
        <v>5510</v>
      </c>
      <c r="S73" s="13" t="s">
        <v>5510</v>
      </c>
      <c r="T73" s="13" t="s">
        <v>5510</v>
      </c>
      <c r="U73" s="13" t="s">
        <v>6986</v>
      </c>
      <c r="V73" s="13" t="s">
        <v>6987</v>
      </c>
      <c r="W73" s="13" t="s">
        <v>6988</v>
      </c>
      <c r="X73" s="13" t="s">
        <v>6989</v>
      </c>
      <c r="Y73" s="13" t="s">
        <v>6990</v>
      </c>
      <c r="Z73" s="13" t="s">
        <v>6991</v>
      </c>
      <c r="AA73" s="13" t="s">
        <v>6992</v>
      </c>
      <c r="AB73" s="13" t="s">
        <v>6993</v>
      </c>
      <c r="AC73" s="13" t="s">
        <v>6994</v>
      </c>
      <c r="AD73" s="13" t="s">
        <v>6995</v>
      </c>
      <c r="AE73" s="13" t="s">
        <v>6996</v>
      </c>
      <c r="AF73" s="13" t="s">
        <v>5510</v>
      </c>
      <c r="AG73" s="13">
        <v>31.0</v>
      </c>
      <c r="AH73" s="13">
        <v>306.0</v>
      </c>
      <c r="AI73" s="13">
        <v>337.0</v>
      </c>
      <c r="AJ73" s="13">
        <v>0.0</v>
      </c>
      <c r="AK73" s="13">
        <v>113.0</v>
      </c>
      <c r="AL73" s="13" t="s">
        <v>5552</v>
      </c>
      <c r="AM73" s="13" t="s">
        <v>5553</v>
      </c>
      <c r="AN73" s="13" t="s">
        <v>5554</v>
      </c>
      <c r="AO73" s="13" t="s">
        <v>5555</v>
      </c>
      <c r="AP73" s="13" t="s">
        <v>5510</v>
      </c>
      <c r="AQ73" s="13" t="s">
        <v>5510</v>
      </c>
      <c r="AR73" s="13" t="s">
        <v>5543</v>
      </c>
      <c r="AS73" s="13" t="s">
        <v>5556</v>
      </c>
      <c r="AT73" s="13" t="s">
        <v>6997</v>
      </c>
      <c r="AU73" s="13">
        <v>2010.0</v>
      </c>
      <c r="AV73" s="13">
        <v>5.0</v>
      </c>
      <c r="AW73" s="13">
        <v>12.0</v>
      </c>
      <c r="AX73" s="13" t="s">
        <v>5510</v>
      </c>
      <c r="AY73" s="13" t="s">
        <v>5510</v>
      </c>
      <c r="AZ73" s="13" t="s">
        <v>5510</v>
      </c>
      <c r="BA73" s="13" t="s">
        <v>5510</v>
      </c>
      <c r="BB73" s="13" t="s">
        <v>5510</v>
      </c>
      <c r="BC73" s="13" t="s">
        <v>5510</v>
      </c>
      <c r="BD73" s="13" t="s">
        <v>6998</v>
      </c>
      <c r="BE73" s="13" t="s">
        <v>6999</v>
      </c>
      <c r="BF73" s="52" t="str">
        <f>HYPERLINK("http://dx.doi.org/10.1371/journal.pone.0015143","http://dx.doi.org/10.1371/journal.pone.0015143")</f>
        <v>http://dx.doi.org/10.1371/journal.pone.0015143</v>
      </c>
      <c r="BG73" s="13" t="s">
        <v>5510</v>
      </c>
      <c r="BH73" s="13" t="s">
        <v>5510</v>
      </c>
      <c r="BI73" s="13">
        <v>6.0</v>
      </c>
      <c r="BJ73" s="13" t="s">
        <v>5560</v>
      </c>
      <c r="BK73" s="13" t="s">
        <v>5561</v>
      </c>
      <c r="BL73" s="13" t="s">
        <v>5562</v>
      </c>
      <c r="BM73" s="13" t="s">
        <v>7000</v>
      </c>
      <c r="BN73" s="13">
        <v>2.1151994E7</v>
      </c>
      <c r="BO73" s="13" t="s">
        <v>5564</v>
      </c>
      <c r="BP73" s="13" t="s">
        <v>5510</v>
      </c>
      <c r="BQ73" s="13" t="s">
        <v>5510</v>
      </c>
      <c r="BR73" s="13" t="s">
        <v>5538</v>
      </c>
      <c r="BS73" s="13" t="s">
        <v>7001</v>
      </c>
      <c r="BT73" s="13">
        <v>25711.0</v>
      </c>
      <c r="BU73" s="13" t="s">
        <v>5540</v>
      </c>
      <c r="BV73" s="13" t="s">
        <v>4864</v>
      </c>
      <c r="BW73" s="13" t="str">
        <f>VLOOKUP($BT73,Enriched!$A$2:$E$1070,5,false)</f>
        <v>["Biological resource use"]</v>
      </c>
      <c r="BX73" s="13" t="str">
        <f>VLOOKUP($BT73,Enriched!$A$2:$E$1070,4,false)</f>
        <v>["Fishing &amp; harvesting aquatic resources"]</v>
      </c>
      <c r="BY73" s="13" t="b">
        <f>VLOOKUP(BT73,Enriched!$A$1:$AA$1070,27,falsE)</f>
        <v>0</v>
      </c>
      <c r="BZ73" s="2" t="str">
        <f>VLOOKUP(BT73,Enriched!$A$1:$AA$1070,14,falsE)</f>
        <v>level2</v>
      </c>
      <c r="CA73" s="13" t="str">
        <f>HYPERLINK("https%3A%2F%2Fwww.webofscience.com%2Fwos%2Fwoscc%2Ffull-record%2FWOS:000284868000026","View Full Record in Web of Science")</f>
        <v>View Full Record in Web of Science</v>
      </c>
    </row>
    <row r="74" ht="12.75" customHeight="1">
      <c r="A74" s="13" t="s">
        <v>5508</v>
      </c>
      <c r="B74" s="13" t="s">
        <v>7002</v>
      </c>
      <c r="C74" s="13" t="s">
        <v>5510</v>
      </c>
      <c r="D74" s="13" t="s">
        <v>5510</v>
      </c>
      <c r="E74" s="13" t="s">
        <v>5510</v>
      </c>
      <c r="F74" s="13" t="s">
        <v>7003</v>
      </c>
      <c r="G74" s="13" t="s">
        <v>5510</v>
      </c>
      <c r="H74" s="13" t="s">
        <v>5510</v>
      </c>
      <c r="I74" s="13" t="s">
        <v>7004</v>
      </c>
      <c r="J74" s="13" t="s">
        <v>7005</v>
      </c>
      <c r="K74" s="13" t="s">
        <v>5510</v>
      </c>
      <c r="L74" s="13" t="s">
        <v>5510</v>
      </c>
      <c r="M74" s="13" t="s">
        <v>5513</v>
      </c>
      <c r="N74" s="13" t="s">
        <v>5514</v>
      </c>
      <c r="O74" s="13" t="s">
        <v>5510</v>
      </c>
      <c r="P74" s="13" t="s">
        <v>5510</v>
      </c>
      <c r="Q74" s="13" t="s">
        <v>5510</v>
      </c>
      <c r="R74" s="13" t="s">
        <v>5510</v>
      </c>
      <c r="S74" s="13" t="s">
        <v>5510</v>
      </c>
      <c r="T74" s="13" t="s">
        <v>7006</v>
      </c>
      <c r="U74" s="13" t="s">
        <v>7007</v>
      </c>
      <c r="V74" s="13" t="s">
        <v>7008</v>
      </c>
      <c r="W74" s="13" t="s">
        <v>7009</v>
      </c>
      <c r="X74" s="13" t="s">
        <v>7010</v>
      </c>
      <c r="Y74" s="13" t="s">
        <v>7011</v>
      </c>
      <c r="Z74" s="13" t="s">
        <v>7012</v>
      </c>
      <c r="AA74" s="13" t="s">
        <v>7013</v>
      </c>
      <c r="AB74" s="13" t="s">
        <v>7014</v>
      </c>
      <c r="AC74" s="13" t="s">
        <v>7015</v>
      </c>
      <c r="AD74" s="13" t="s">
        <v>7016</v>
      </c>
      <c r="AE74" s="13" t="s">
        <v>7017</v>
      </c>
      <c r="AF74" s="13" t="s">
        <v>5510</v>
      </c>
      <c r="AG74" s="13">
        <v>60.0</v>
      </c>
      <c r="AH74" s="13">
        <v>84.0</v>
      </c>
      <c r="AI74" s="13">
        <v>94.0</v>
      </c>
      <c r="AJ74" s="13">
        <v>1.0</v>
      </c>
      <c r="AK74" s="13">
        <v>74.0</v>
      </c>
      <c r="AL74" s="13" t="s">
        <v>7018</v>
      </c>
      <c r="AM74" s="13" t="s">
        <v>5908</v>
      </c>
      <c r="AN74" s="13" t="s">
        <v>7019</v>
      </c>
      <c r="AO74" s="13" t="s">
        <v>7020</v>
      </c>
      <c r="AP74" s="13" t="s">
        <v>5510</v>
      </c>
      <c r="AQ74" s="13" t="s">
        <v>5510</v>
      </c>
      <c r="AR74" s="13" t="s">
        <v>7005</v>
      </c>
      <c r="AS74" s="13" t="s">
        <v>1608</v>
      </c>
      <c r="AT74" s="13" t="s">
        <v>6828</v>
      </c>
      <c r="AU74" s="13">
        <v>2011.0</v>
      </c>
      <c r="AV74" s="13">
        <v>61.0</v>
      </c>
      <c r="AW74" s="13">
        <v>4.0</v>
      </c>
      <c r="AX74" s="13" t="s">
        <v>5510</v>
      </c>
      <c r="AY74" s="13" t="s">
        <v>5510</v>
      </c>
      <c r="AZ74" s="13" t="s">
        <v>5510</v>
      </c>
      <c r="BA74" s="13" t="s">
        <v>5510</v>
      </c>
      <c r="BB74" s="13">
        <v>281.0</v>
      </c>
      <c r="BC74" s="13">
        <v>289.0</v>
      </c>
      <c r="BD74" s="13" t="s">
        <v>5510</v>
      </c>
      <c r="BE74" s="13" t="s">
        <v>7021</v>
      </c>
      <c r="BF74" s="52" t="str">
        <f>HYPERLINK("http://dx.doi.org/10.1525/bio.2011.61.4.8","http://dx.doi.org/10.1525/bio.2011.61.4.8")</f>
        <v>http://dx.doi.org/10.1525/bio.2011.61.4.8</v>
      </c>
      <c r="BG74" s="13" t="s">
        <v>5510</v>
      </c>
      <c r="BH74" s="13" t="s">
        <v>5510</v>
      </c>
      <c r="BI74" s="13">
        <v>9.0</v>
      </c>
      <c r="BJ74" s="13" t="s">
        <v>7022</v>
      </c>
      <c r="BK74" s="13" t="s">
        <v>5561</v>
      </c>
      <c r="BL74" s="13" t="s">
        <v>7023</v>
      </c>
      <c r="BM74" s="13" t="s">
        <v>7024</v>
      </c>
      <c r="BN74" s="13" t="s">
        <v>5510</v>
      </c>
      <c r="BO74" s="13" t="s">
        <v>5809</v>
      </c>
      <c r="BP74" s="13" t="s">
        <v>5510</v>
      </c>
      <c r="BQ74" s="13" t="s">
        <v>5510</v>
      </c>
      <c r="BR74" s="13" t="s">
        <v>5538</v>
      </c>
      <c r="BS74" s="13" t="s">
        <v>7025</v>
      </c>
      <c r="BT74" s="13">
        <v>23848.0</v>
      </c>
      <c r="BU74" s="13" t="s">
        <v>5540</v>
      </c>
      <c r="BV74" s="13" t="s">
        <v>4886</v>
      </c>
      <c r="BW74" s="13" t="str">
        <f>VLOOKUP($BT74,Enriched!$A$2:$E$1070,5,false)</f>
        <v>["Invasive &amp; Other Problematic Species, Genes &amp; Diseases", "Natural System Modifications", "Biological Resource Use", "Pollution"]</v>
      </c>
      <c r="BX74" s="13" t="str">
        <f>VLOOKUP($BT74,Enriched!$A$2:$E$1070,4,false)</f>
        <v>["Invasive non-native/alien species/diseases", "Fire &amp; fire suppression", "Gathering terrestrial plants", "Hunting &amp; collecting terrestrial animals", "Problematic native species/diseases"]</v>
      </c>
      <c r="BY74" s="13" t="b">
        <f>VLOOKUP(BT74,Enriched!$A$1:$AA$1070,27,falsE)</f>
        <v>1</v>
      </c>
      <c r="BZ74" s="2" t="str">
        <f>VLOOKUP(BT74,Enriched!$A$1:$AA$1070,14,falsE)</f>
        <v>level2</v>
      </c>
      <c r="CA74" s="13" t="str">
        <f>HYPERLINK("https%3A%2F%2Fwww.webofscience.com%2Fwos%2Fwoscc%2Ffull-record%2FWOS:000289319900013","View Full Record in Web of Science")</f>
        <v>View Full Record in Web of Science</v>
      </c>
    </row>
    <row r="75" ht="12.75" customHeight="1">
      <c r="A75" s="13" t="s">
        <v>5508</v>
      </c>
      <c r="B75" s="13" t="s">
        <v>7026</v>
      </c>
      <c r="C75" s="13" t="s">
        <v>5510</v>
      </c>
      <c r="D75" s="13" t="s">
        <v>5510</v>
      </c>
      <c r="E75" s="13" t="s">
        <v>5510</v>
      </c>
      <c r="F75" s="13" t="s">
        <v>7027</v>
      </c>
      <c r="G75" s="13" t="s">
        <v>5510</v>
      </c>
      <c r="H75" s="13" t="s">
        <v>5510</v>
      </c>
      <c r="I75" s="13" t="s">
        <v>2865</v>
      </c>
      <c r="J75" s="13" t="s">
        <v>7028</v>
      </c>
      <c r="K75" s="13" t="s">
        <v>5510</v>
      </c>
      <c r="L75" s="13" t="s">
        <v>5510</v>
      </c>
      <c r="M75" s="13" t="s">
        <v>5513</v>
      </c>
      <c r="N75" s="13" t="s">
        <v>5514</v>
      </c>
      <c r="O75" s="13" t="s">
        <v>5510</v>
      </c>
      <c r="P75" s="13" t="s">
        <v>5510</v>
      </c>
      <c r="Q75" s="13" t="s">
        <v>5510</v>
      </c>
      <c r="R75" s="13" t="s">
        <v>5510</v>
      </c>
      <c r="S75" s="13" t="s">
        <v>5510</v>
      </c>
      <c r="T75" s="13" t="s">
        <v>7029</v>
      </c>
      <c r="U75" s="13" t="s">
        <v>7030</v>
      </c>
      <c r="V75" s="13" t="s">
        <v>7031</v>
      </c>
      <c r="W75" s="13" t="s">
        <v>7032</v>
      </c>
      <c r="X75" s="13" t="s">
        <v>7033</v>
      </c>
      <c r="Y75" s="13" t="s">
        <v>7034</v>
      </c>
      <c r="Z75" s="13" t="s">
        <v>7035</v>
      </c>
      <c r="AA75" s="13" t="s">
        <v>7036</v>
      </c>
      <c r="AB75" s="13" t="s">
        <v>7037</v>
      </c>
      <c r="AC75" s="13" t="s">
        <v>7038</v>
      </c>
      <c r="AD75" s="13" t="s">
        <v>7038</v>
      </c>
      <c r="AE75" s="13" t="s">
        <v>7039</v>
      </c>
      <c r="AF75" s="13" t="s">
        <v>5510</v>
      </c>
      <c r="AG75" s="13">
        <v>52.0</v>
      </c>
      <c r="AH75" s="13">
        <v>6.0</v>
      </c>
      <c r="AI75" s="13">
        <v>7.0</v>
      </c>
      <c r="AJ75" s="13">
        <v>1.0</v>
      </c>
      <c r="AK75" s="13">
        <v>67.0</v>
      </c>
      <c r="AL75" s="13" t="s">
        <v>5690</v>
      </c>
      <c r="AM75" s="13" t="s">
        <v>6503</v>
      </c>
      <c r="AN75" s="13" t="s">
        <v>7040</v>
      </c>
      <c r="AO75" s="13" t="s">
        <v>7041</v>
      </c>
      <c r="AP75" s="13" t="s">
        <v>7042</v>
      </c>
      <c r="AQ75" s="13" t="s">
        <v>5510</v>
      </c>
      <c r="AR75" s="13" t="s">
        <v>7043</v>
      </c>
      <c r="AS75" s="13" t="s">
        <v>7044</v>
      </c>
      <c r="AT75" s="13" t="s">
        <v>6089</v>
      </c>
      <c r="AU75" s="13">
        <v>2017.0</v>
      </c>
      <c r="AV75" s="13">
        <v>11.0</v>
      </c>
      <c r="AW75" s="13">
        <v>1.0</v>
      </c>
      <c r="AX75" s="13" t="s">
        <v>5510</v>
      </c>
      <c r="AY75" s="13" t="s">
        <v>5510</v>
      </c>
      <c r="AZ75" s="13" t="s">
        <v>5510</v>
      </c>
      <c r="BA75" s="13" t="s">
        <v>5510</v>
      </c>
      <c r="BB75" s="13">
        <v>127.0</v>
      </c>
      <c r="BC75" s="13">
        <v>136.0</v>
      </c>
      <c r="BD75" s="13" t="s">
        <v>5510</v>
      </c>
      <c r="BE75" s="13" t="s">
        <v>7045</v>
      </c>
      <c r="BF75" s="52" t="str">
        <f>HYPERLINK("http://dx.doi.org/10.1007/s11707-016-0550-y","http://dx.doi.org/10.1007/s11707-016-0550-y")</f>
        <v>http://dx.doi.org/10.1007/s11707-016-0550-y</v>
      </c>
      <c r="BG75" s="13" t="s">
        <v>5510</v>
      </c>
      <c r="BH75" s="13" t="s">
        <v>5510</v>
      </c>
      <c r="BI75" s="13">
        <v>10.0</v>
      </c>
      <c r="BJ75" s="13" t="s">
        <v>7046</v>
      </c>
      <c r="BK75" s="13" t="s">
        <v>5561</v>
      </c>
      <c r="BL75" s="13" t="s">
        <v>7047</v>
      </c>
      <c r="BM75" s="13" t="s">
        <v>7048</v>
      </c>
      <c r="BN75" s="13" t="s">
        <v>5510</v>
      </c>
      <c r="BO75" s="13" t="s">
        <v>5510</v>
      </c>
      <c r="BP75" s="13" t="s">
        <v>5510</v>
      </c>
      <c r="BQ75" s="13" t="s">
        <v>5510</v>
      </c>
      <c r="BR75" s="13" t="s">
        <v>5538</v>
      </c>
      <c r="BS75" s="13" t="s">
        <v>7049</v>
      </c>
      <c r="BT75" s="13">
        <v>25970.0</v>
      </c>
      <c r="BU75" s="13" t="s">
        <v>5540</v>
      </c>
      <c r="BV75" s="13" t="s">
        <v>4856</v>
      </c>
      <c r="BW75" s="13" t="str">
        <f>VLOOKUP($BT75,Enriched!$A$2:$E$1070,5,false)</f>
        <v>["Biological resource use"]</v>
      </c>
      <c r="BX75" s="13" t="str">
        <f>VLOOKUP($BT75,Enriched!$A$2:$E$1070,4,false)</f>
        <v>["Gathering terrestrial plants"]</v>
      </c>
      <c r="BY75" s="13" t="b">
        <f>VLOOKUP(BT75,Enriched!$A$1:$AA$1070,27,falsE)</f>
        <v>0</v>
      </c>
      <c r="BZ75" s="2" t="str">
        <f>VLOOKUP(BT75,Enriched!$A$1:$AA$1070,14,falsE)</f>
        <v>cumulative</v>
      </c>
      <c r="CA75" s="13" t="str">
        <f>HYPERLINK("https%3A%2F%2Fwww.webofscience.com%2Fwos%2Fwoscc%2Ffull-record%2FWOS:000394181200011","View Full Record in Web of Science")</f>
        <v>View Full Record in Web of Science</v>
      </c>
    </row>
    <row r="76" ht="12.75" customHeight="1">
      <c r="A76" s="13" t="s">
        <v>5508</v>
      </c>
      <c r="B76" s="13" t="s">
        <v>7050</v>
      </c>
      <c r="C76" s="13" t="s">
        <v>5510</v>
      </c>
      <c r="D76" s="13" t="s">
        <v>5510</v>
      </c>
      <c r="E76" s="13" t="s">
        <v>5510</v>
      </c>
      <c r="F76" s="13" t="s">
        <v>7051</v>
      </c>
      <c r="G76" s="13" t="s">
        <v>5510</v>
      </c>
      <c r="H76" s="13" t="s">
        <v>5510</v>
      </c>
      <c r="I76" s="13" t="s">
        <v>2862</v>
      </c>
      <c r="J76" s="13" t="s">
        <v>7052</v>
      </c>
      <c r="K76" s="13" t="s">
        <v>5510</v>
      </c>
      <c r="L76" s="13" t="s">
        <v>5510</v>
      </c>
      <c r="M76" s="13" t="s">
        <v>5513</v>
      </c>
      <c r="N76" s="13" t="s">
        <v>5514</v>
      </c>
      <c r="O76" s="13" t="s">
        <v>5510</v>
      </c>
      <c r="P76" s="13" t="s">
        <v>5510</v>
      </c>
      <c r="Q76" s="13" t="s">
        <v>5510</v>
      </c>
      <c r="R76" s="13" t="s">
        <v>5510</v>
      </c>
      <c r="S76" s="13" t="s">
        <v>5510</v>
      </c>
      <c r="T76" s="13" t="s">
        <v>7053</v>
      </c>
      <c r="U76" s="13" t="s">
        <v>7054</v>
      </c>
      <c r="V76" s="13" t="s">
        <v>7055</v>
      </c>
      <c r="W76" s="13" t="s">
        <v>7056</v>
      </c>
      <c r="X76" s="13" t="s">
        <v>7057</v>
      </c>
      <c r="Y76" s="13" t="s">
        <v>7058</v>
      </c>
      <c r="Z76" s="13" t="s">
        <v>7059</v>
      </c>
      <c r="AA76" s="13" t="s">
        <v>7060</v>
      </c>
      <c r="AB76" s="13" t="s">
        <v>7061</v>
      </c>
      <c r="AC76" s="13" t="s">
        <v>7062</v>
      </c>
      <c r="AD76" s="13" t="s">
        <v>7063</v>
      </c>
      <c r="AE76" s="13" t="s">
        <v>7064</v>
      </c>
      <c r="AF76" s="13" t="s">
        <v>5510</v>
      </c>
      <c r="AG76" s="13">
        <v>46.0</v>
      </c>
      <c r="AH76" s="13">
        <v>25.0</v>
      </c>
      <c r="AI76" s="13">
        <v>26.0</v>
      </c>
      <c r="AJ76" s="13">
        <v>0.0</v>
      </c>
      <c r="AK76" s="13">
        <v>55.0</v>
      </c>
      <c r="AL76" s="13" t="s">
        <v>7065</v>
      </c>
      <c r="AM76" s="13" t="s">
        <v>6503</v>
      </c>
      <c r="AN76" s="13" t="s">
        <v>7066</v>
      </c>
      <c r="AO76" s="13" t="s">
        <v>7067</v>
      </c>
      <c r="AP76" s="13" t="s">
        <v>7068</v>
      </c>
      <c r="AQ76" s="13" t="s">
        <v>5510</v>
      </c>
      <c r="AR76" s="13" t="s">
        <v>7069</v>
      </c>
      <c r="AS76" s="13" t="s">
        <v>7070</v>
      </c>
      <c r="AT76" s="13" t="s">
        <v>5720</v>
      </c>
      <c r="AU76" s="13">
        <v>2012.0</v>
      </c>
      <c r="AV76" s="13">
        <v>39.0</v>
      </c>
      <c r="AW76" s="13">
        <v>2.0</v>
      </c>
      <c r="AX76" s="13" t="s">
        <v>5510</v>
      </c>
      <c r="AY76" s="13" t="s">
        <v>5510</v>
      </c>
      <c r="AZ76" s="13" t="s">
        <v>5510</v>
      </c>
      <c r="BA76" s="13" t="s">
        <v>5510</v>
      </c>
      <c r="BB76" s="13">
        <v>111.0</v>
      </c>
      <c r="BC76" s="13">
        <v>121.0</v>
      </c>
      <c r="BD76" s="13" t="s">
        <v>5510</v>
      </c>
      <c r="BE76" s="13" t="s">
        <v>7071</v>
      </c>
      <c r="BF76" s="52" t="str">
        <f>HYPERLINK("http://dx.doi.org/10.1017/S0376892911000610","http://dx.doi.org/10.1017/S0376892911000610")</f>
        <v>http://dx.doi.org/10.1017/S0376892911000610</v>
      </c>
      <c r="BG76" s="13" t="s">
        <v>5510</v>
      </c>
      <c r="BH76" s="13" t="s">
        <v>5510</v>
      </c>
      <c r="BI76" s="13">
        <v>11.0</v>
      </c>
      <c r="BJ76" s="13" t="s">
        <v>6422</v>
      </c>
      <c r="BK76" s="13" t="s">
        <v>5561</v>
      </c>
      <c r="BL76" s="13" t="s">
        <v>5699</v>
      </c>
      <c r="BM76" s="13" t="s">
        <v>7072</v>
      </c>
      <c r="BN76" s="13" t="s">
        <v>5510</v>
      </c>
      <c r="BO76" s="13" t="s">
        <v>5510</v>
      </c>
      <c r="BP76" s="13" t="s">
        <v>5510</v>
      </c>
      <c r="BQ76" s="13" t="s">
        <v>5510</v>
      </c>
      <c r="BR76" s="13" t="s">
        <v>5538</v>
      </c>
      <c r="BS76" s="13" t="s">
        <v>7073</v>
      </c>
      <c r="BT76" s="13">
        <v>25482.0</v>
      </c>
      <c r="BU76" s="13" t="s">
        <v>5540</v>
      </c>
      <c r="BV76" s="13" t="s">
        <v>4856</v>
      </c>
      <c r="BW76" s="13" t="str">
        <f>VLOOKUP($BT76,Enriched!$A$2:$E$1070,5,false)</f>
        <v>["Biological Resource Use"]</v>
      </c>
      <c r="BX76" s="13" t="str">
        <f>VLOOKUP($BT76,Enriched!$A$2:$E$1070,4,false)</f>
        <v>["Logging &amp; wood harvesting"]</v>
      </c>
      <c r="BY76" s="13" t="b">
        <f>VLOOKUP(BT76,Enriched!$A$1:$AA$1070,27,falsE)</f>
        <v>0</v>
      </c>
      <c r="BZ76" s="2" t="str">
        <f>VLOOKUP(BT76,Enriched!$A$1:$AA$1070,14,falsE)</f>
        <v>level2</v>
      </c>
      <c r="CA76" s="13" t="str">
        <f>HYPERLINK("https%3A%2F%2Fwww.webofscience.com%2Fwos%2Fwoscc%2Ffull-record%2FWOS:000303605800002","View Full Record in Web of Science")</f>
        <v>View Full Record in Web of Science</v>
      </c>
    </row>
    <row r="77" ht="12.75" customHeight="1">
      <c r="A77" s="13" t="s">
        <v>5508</v>
      </c>
      <c r="B77" s="13" t="s">
        <v>7074</v>
      </c>
      <c r="C77" s="13" t="s">
        <v>5510</v>
      </c>
      <c r="D77" s="13" t="s">
        <v>5510</v>
      </c>
      <c r="E77" s="13" t="s">
        <v>5510</v>
      </c>
      <c r="F77" s="13" t="s">
        <v>7075</v>
      </c>
      <c r="G77" s="13" t="s">
        <v>5510</v>
      </c>
      <c r="H77" s="13" t="s">
        <v>5510</v>
      </c>
      <c r="I77" s="13" t="s">
        <v>2859</v>
      </c>
      <c r="J77" s="13" t="s">
        <v>7076</v>
      </c>
      <c r="K77" s="13" t="s">
        <v>5510</v>
      </c>
      <c r="L77" s="13" t="s">
        <v>5510</v>
      </c>
      <c r="M77" s="13" t="s">
        <v>5513</v>
      </c>
      <c r="N77" s="13" t="s">
        <v>5514</v>
      </c>
      <c r="O77" s="13" t="s">
        <v>5510</v>
      </c>
      <c r="P77" s="13" t="s">
        <v>5510</v>
      </c>
      <c r="Q77" s="13" t="s">
        <v>5510</v>
      </c>
      <c r="R77" s="13" t="s">
        <v>5510</v>
      </c>
      <c r="S77" s="13" t="s">
        <v>5510</v>
      </c>
      <c r="T77" s="13" t="s">
        <v>7077</v>
      </c>
      <c r="U77" s="13" t="s">
        <v>7078</v>
      </c>
      <c r="V77" s="13" t="s">
        <v>7079</v>
      </c>
      <c r="W77" s="13" t="s">
        <v>7080</v>
      </c>
      <c r="X77" s="13" t="s">
        <v>7081</v>
      </c>
      <c r="Y77" s="13" t="s">
        <v>7082</v>
      </c>
      <c r="Z77" s="13" t="s">
        <v>7083</v>
      </c>
      <c r="AA77" s="13" t="s">
        <v>7084</v>
      </c>
      <c r="AB77" s="13" t="s">
        <v>7085</v>
      </c>
      <c r="AC77" s="13" t="s">
        <v>7086</v>
      </c>
      <c r="AD77" s="13" t="s">
        <v>7086</v>
      </c>
      <c r="AE77" s="13" t="s">
        <v>7087</v>
      </c>
      <c r="AF77" s="13" t="s">
        <v>5510</v>
      </c>
      <c r="AG77" s="13">
        <v>87.0</v>
      </c>
      <c r="AH77" s="13">
        <v>27.0</v>
      </c>
      <c r="AI77" s="13">
        <v>32.0</v>
      </c>
      <c r="AJ77" s="13">
        <v>0.0</v>
      </c>
      <c r="AK77" s="13">
        <v>39.0</v>
      </c>
      <c r="AL77" s="13" t="s">
        <v>7088</v>
      </c>
      <c r="AM77" s="13" t="s">
        <v>5932</v>
      </c>
      <c r="AN77" s="13" t="s">
        <v>7089</v>
      </c>
      <c r="AO77" s="13" t="s">
        <v>7090</v>
      </c>
      <c r="AP77" s="13" t="s">
        <v>5510</v>
      </c>
      <c r="AQ77" s="13" t="s">
        <v>5510</v>
      </c>
      <c r="AR77" s="13" t="s">
        <v>7091</v>
      </c>
      <c r="AS77" s="13" t="s">
        <v>7092</v>
      </c>
      <c r="AT77" s="13" t="s">
        <v>7093</v>
      </c>
      <c r="AU77" s="13">
        <v>2015.0</v>
      </c>
      <c r="AV77" s="13">
        <v>3.0</v>
      </c>
      <c r="AW77" s="13" t="s">
        <v>5510</v>
      </c>
      <c r="AX77" s="13" t="s">
        <v>5510</v>
      </c>
      <c r="AY77" s="13" t="s">
        <v>5510</v>
      </c>
      <c r="AZ77" s="13" t="s">
        <v>5510</v>
      </c>
      <c r="BA77" s="13" t="s">
        <v>5510</v>
      </c>
      <c r="BB77" s="13" t="s">
        <v>5510</v>
      </c>
      <c r="BC77" s="13" t="s">
        <v>5510</v>
      </c>
      <c r="BD77" s="13" t="s">
        <v>7094</v>
      </c>
      <c r="BE77" s="13" t="s">
        <v>7095</v>
      </c>
      <c r="BF77" s="52" t="str">
        <f>HYPERLINK("http://dx.doi.org/10.1093/conphys/cov048","http://dx.doi.org/10.1093/conphys/cov048")</f>
        <v>http://dx.doi.org/10.1093/conphys/cov048</v>
      </c>
      <c r="BG77" s="13" t="s">
        <v>5510</v>
      </c>
      <c r="BH77" s="13" t="s">
        <v>5510</v>
      </c>
      <c r="BI77" s="13">
        <v>17.0</v>
      </c>
      <c r="BJ77" s="13" t="s">
        <v>7096</v>
      </c>
      <c r="BK77" s="13" t="s">
        <v>5561</v>
      </c>
      <c r="BL77" s="13" t="s">
        <v>7097</v>
      </c>
      <c r="BM77" s="13" t="s">
        <v>7098</v>
      </c>
      <c r="BN77" s="13">
        <v>2.7293732E7</v>
      </c>
      <c r="BO77" s="13" t="s">
        <v>5564</v>
      </c>
      <c r="BP77" s="13" t="s">
        <v>5510</v>
      </c>
      <c r="BQ77" s="13" t="s">
        <v>5510</v>
      </c>
      <c r="BR77" s="13" t="s">
        <v>5538</v>
      </c>
      <c r="BS77" s="13" t="s">
        <v>7099</v>
      </c>
      <c r="BT77" s="13">
        <v>24806.0</v>
      </c>
      <c r="BU77" s="13" t="s">
        <v>5540</v>
      </c>
      <c r="BV77" s="13" t="s">
        <v>4856</v>
      </c>
      <c r="BW77" s="13" t="str">
        <f>VLOOKUP($BT77,Enriched!$A$2:$E$1070,5,false)</f>
        <v>["Climate change &amp; severe weather"]</v>
      </c>
      <c r="BX77" s="13" t="str">
        <f>VLOOKUP($BT77,Enriched!$A$2:$E$1070,4,false)</f>
        <v>["Habitat shifting &amp; alteration"]</v>
      </c>
      <c r="BY77" s="13" t="b">
        <f>VLOOKUP(BT77,Enriched!$A$1:$AA$1070,27,falsE)</f>
        <v>0</v>
      </c>
      <c r="BZ77" s="2" t="str">
        <f>VLOOKUP(BT77,Enriched!$A$1:$AA$1070,14,falsE)</f>
        <v>level2</v>
      </c>
      <c r="CA77" s="13" t="str">
        <f>HYPERLINK("https%3A%2F%2Fwww.webofscience.com%2Fwos%2Fwoscc%2Ffull-record%2FWOS:000375201700001","View Full Record in Web of Science")</f>
        <v>View Full Record in Web of Science</v>
      </c>
    </row>
    <row r="78" ht="12.75" customHeight="1">
      <c r="A78" s="13" t="s">
        <v>5508</v>
      </c>
      <c r="B78" s="13" t="s">
        <v>7100</v>
      </c>
      <c r="C78" s="13" t="s">
        <v>5510</v>
      </c>
      <c r="D78" s="13" t="s">
        <v>5510</v>
      </c>
      <c r="E78" s="13" t="s">
        <v>5510</v>
      </c>
      <c r="F78" s="13" t="s">
        <v>7101</v>
      </c>
      <c r="G78" s="13" t="s">
        <v>5510</v>
      </c>
      <c r="H78" s="13" t="s">
        <v>5510</v>
      </c>
      <c r="I78" s="13" t="s">
        <v>2856</v>
      </c>
      <c r="J78" s="13" t="s">
        <v>5677</v>
      </c>
      <c r="K78" s="13" t="s">
        <v>5510</v>
      </c>
      <c r="L78" s="13" t="s">
        <v>5510</v>
      </c>
      <c r="M78" s="13" t="s">
        <v>5513</v>
      </c>
      <c r="N78" s="13" t="s">
        <v>5514</v>
      </c>
      <c r="O78" s="13" t="s">
        <v>5510</v>
      </c>
      <c r="P78" s="13" t="s">
        <v>5510</v>
      </c>
      <c r="Q78" s="13" t="s">
        <v>5510</v>
      </c>
      <c r="R78" s="13" t="s">
        <v>5510</v>
      </c>
      <c r="S78" s="13" t="s">
        <v>5510</v>
      </c>
      <c r="T78" s="13" t="s">
        <v>7102</v>
      </c>
      <c r="U78" s="13" t="s">
        <v>7103</v>
      </c>
      <c r="V78" s="13" t="s">
        <v>7104</v>
      </c>
      <c r="W78" s="13" t="s">
        <v>7105</v>
      </c>
      <c r="X78" s="13" t="s">
        <v>7106</v>
      </c>
      <c r="Y78" s="13" t="s">
        <v>7107</v>
      </c>
      <c r="Z78" s="13" t="s">
        <v>7108</v>
      </c>
      <c r="AA78" s="13" t="s">
        <v>7109</v>
      </c>
      <c r="AB78" s="13" t="s">
        <v>7110</v>
      </c>
      <c r="AC78" s="13" t="s">
        <v>7111</v>
      </c>
      <c r="AD78" s="13" t="s">
        <v>7112</v>
      </c>
      <c r="AE78" s="13" t="s">
        <v>7113</v>
      </c>
      <c r="AF78" s="13" t="s">
        <v>5510</v>
      </c>
      <c r="AG78" s="13">
        <v>81.0</v>
      </c>
      <c r="AH78" s="13">
        <v>12.0</v>
      </c>
      <c r="AI78" s="13">
        <v>16.0</v>
      </c>
      <c r="AJ78" s="13">
        <v>3.0</v>
      </c>
      <c r="AK78" s="13">
        <v>118.0</v>
      </c>
      <c r="AL78" s="13" t="s">
        <v>5690</v>
      </c>
      <c r="AM78" s="13" t="s">
        <v>5691</v>
      </c>
      <c r="AN78" s="13" t="s">
        <v>5692</v>
      </c>
      <c r="AO78" s="13" t="s">
        <v>5693</v>
      </c>
      <c r="AP78" s="13" t="s">
        <v>5694</v>
      </c>
      <c r="AQ78" s="13" t="s">
        <v>5510</v>
      </c>
      <c r="AR78" s="13" t="s">
        <v>5695</v>
      </c>
      <c r="AS78" s="13" t="s">
        <v>5696</v>
      </c>
      <c r="AT78" s="13" t="s">
        <v>5667</v>
      </c>
      <c r="AU78" s="13">
        <v>2018.0</v>
      </c>
      <c r="AV78" s="13">
        <v>27.0</v>
      </c>
      <c r="AW78" s="13">
        <v>8.0</v>
      </c>
      <c r="AX78" s="13" t="s">
        <v>5510</v>
      </c>
      <c r="AY78" s="13" t="s">
        <v>5510</v>
      </c>
      <c r="AZ78" s="13" t="s">
        <v>5510</v>
      </c>
      <c r="BA78" s="13" t="s">
        <v>5510</v>
      </c>
      <c r="BB78" s="13">
        <v>1811.0</v>
      </c>
      <c r="BC78" s="13">
        <v>1829.0</v>
      </c>
      <c r="BD78" s="13" t="s">
        <v>5510</v>
      </c>
      <c r="BE78" s="13" t="s">
        <v>7114</v>
      </c>
      <c r="BF78" s="52" t="str">
        <f>HYPERLINK("http://dx.doi.org/10.1007/s10531-018-1508-z","http://dx.doi.org/10.1007/s10531-018-1508-z")</f>
        <v>http://dx.doi.org/10.1007/s10531-018-1508-z</v>
      </c>
      <c r="BG78" s="13" t="s">
        <v>5510</v>
      </c>
      <c r="BH78" s="13" t="s">
        <v>5510</v>
      </c>
      <c r="BI78" s="13">
        <v>19.0</v>
      </c>
      <c r="BJ78" s="13" t="s">
        <v>5698</v>
      </c>
      <c r="BK78" s="13" t="s">
        <v>5561</v>
      </c>
      <c r="BL78" s="13" t="s">
        <v>5699</v>
      </c>
      <c r="BM78" s="13" t="s">
        <v>7115</v>
      </c>
      <c r="BN78" s="13" t="s">
        <v>5510</v>
      </c>
      <c r="BO78" s="13" t="s">
        <v>5510</v>
      </c>
      <c r="BP78" s="13" t="s">
        <v>5510</v>
      </c>
      <c r="BQ78" s="13" t="s">
        <v>5510</v>
      </c>
      <c r="BR78" s="13" t="s">
        <v>5538</v>
      </c>
      <c r="BS78" s="13" t="s">
        <v>7116</v>
      </c>
      <c r="BT78" s="13">
        <v>25880.0</v>
      </c>
      <c r="BU78" s="13" t="s">
        <v>5540</v>
      </c>
      <c r="BV78" s="13" t="s">
        <v>4856</v>
      </c>
      <c r="BW78" s="13" t="str">
        <f>VLOOKUP($BT78,Enriched!$A$2:$E$1070,5,false)</f>
        <v>["Invasive &amp; other problematic species, genes &amp; diseases"]</v>
      </c>
      <c r="BX78" s="13" t="str">
        <f>VLOOKUP($BT78,Enriched!$A$2:$E$1070,4,false)</f>
        <v>["Invasive non-native/alien species/diseases"]</v>
      </c>
      <c r="BY78" s="13" t="b">
        <f>VLOOKUP(BT78,Enriched!$A$1:$AA$1070,27,falsE)</f>
        <v>0</v>
      </c>
      <c r="BZ78" s="2" t="str">
        <f>VLOOKUP(BT78,Enriched!$A$1:$AA$1070,14,falsE)</f>
        <v>level2</v>
      </c>
      <c r="CA78" s="13" t="str">
        <f>HYPERLINK("https%3A%2F%2Fwww.webofscience.com%2Fwos%2Fwoscc%2Ffull-record%2FWOS:000434255200002","View Full Record in Web of Science")</f>
        <v>View Full Record in Web of Science</v>
      </c>
    </row>
    <row r="79" ht="12.75" customHeight="1">
      <c r="A79" s="13" t="s">
        <v>5508</v>
      </c>
      <c r="B79" s="13" t="s">
        <v>7117</v>
      </c>
      <c r="C79" s="13" t="s">
        <v>5510</v>
      </c>
      <c r="D79" s="13" t="s">
        <v>5510</v>
      </c>
      <c r="E79" s="13" t="s">
        <v>5510</v>
      </c>
      <c r="F79" s="13" t="s">
        <v>7118</v>
      </c>
      <c r="G79" s="13" t="s">
        <v>5510</v>
      </c>
      <c r="H79" s="13" t="s">
        <v>5510</v>
      </c>
      <c r="I79" s="13" t="s">
        <v>2853</v>
      </c>
      <c r="J79" s="13" t="s">
        <v>7119</v>
      </c>
      <c r="K79" s="13" t="s">
        <v>5510</v>
      </c>
      <c r="L79" s="13" t="s">
        <v>5510</v>
      </c>
      <c r="M79" s="13" t="s">
        <v>5513</v>
      </c>
      <c r="N79" s="13" t="s">
        <v>5514</v>
      </c>
      <c r="O79" s="13" t="s">
        <v>5510</v>
      </c>
      <c r="P79" s="13" t="s">
        <v>5510</v>
      </c>
      <c r="Q79" s="13" t="s">
        <v>5510</v>
      </c>
      <c r="R79" s="13" t="s">
        <v>5510</v>
      </c>
      <c r="S79" s="13" t="s">
        <v>5510</v>
      </c>
      <c r="T79" s="13" t="s">
        <v>7120</v>
      </c>
      <c r="U79" s="13" t="s">
        <v>7121</v>
      </c>
      <c r="V79" s="13" t="s">
        <v>7122</v>
      </c>
      <c r="W79" s="13" t="s">
        <v>7123</v>
      </c>
      <c r="X79" s="13" t="s">
        <v>5510</v>
      </c>
      <c r="Y79" s="13" t="s">
        <v>7124</v>
      </c>
      <c r="Z79" s="13" t="s">
        <v>7125</v>
      </c>
      <c r="AA79" s="13" t="s">
        <v>5510</v>
      </c>
      <c r="AB79" s="13" t="s">
        <v>7126</v>
      </c>
      <c r="AC79" s="13" t="s">
        <v>7127</v>
      </c>
      <c r="AD79" s="13" t="s">
        <v>7127</v>
      </c>
      <c r="AE79" s="13" t="s">
        <v>7128</v>
      </c>
      <c r="AF79" s="13" t="s">
        <v>5510</v>
      </c>
      <c r="AG79" s="13">
        <v>57.0</v>
      </c>
      <c r="AH79" s="13">
        <v>25.0</v>
      </c>
      <c r="AI79" s="13">
        <v>28.0</v>
      </c>
      <c r="AJ79" s="13">
        <v>0.0</v>
      </c>
      <c r="AK79" s="13">
        <v>102.0</v>
      </c>
      <c r="AL79" s="13" t="s">
        <v>7129</v>
      </c>
      <c r="AM79" s="13" t="s">
        <v>7130</v>
      </c>
      <c r="AN79" s="13" t="s">
        <v>7131</v>
      </c>
      <c r="AO79" s="13" t="s">
        <v>7132</v>
      </c>
      <c r="AP79" s="13" t="s">
        <v>5510</v>
      </c>
      <c r="AQ79" s="13" t="s">
        <v>5510</v>
      </c>
      <c r="AR79" s="13" t="s">
        <v>7133</v>
      </c>
      <c r="AS79" s="13" t="s">
        <v>7134</v>
      </c>
      <c r="AT79" s="13" t="s">
        <v>1453</v>
      </c>
      <c r="AU79" s="13">
        <v>2017.0</v>
      </c>
      <c r="AV79" s="13">
        <v>8.0</v>
      </c>
      <c r="AW79" s="13">
        <v>4.0</v>
      </c>
      <c r="AX79" s="13" t="s">
        <v>5510</v>
      </c>
      <c r="AY79" s="13" t="s">
        <v>5510</v>
      </c>
      <c r="AZ79" s="13" t="s">
        <v>5510</v>
      </c>
      <c r="BA79" s="13" t="s">
        <v>5510</v>
      </c>
      <c r="BB79" s="13">
        <v>589.0</v>
      </c>
      <c r="BC79" s="13">
        <v>598.0</v>
      </c>
      <c r="BD79" s="13" t="s">
        <v>5510</v>
      </c>
      <c r="BE79" s="13" t="s">
        <v>7135</v>
      </c>
      <c r="BF79" s="52" t="str">
        <f>HYPERLINK("http://dx.doi.org/10.3391/mbi.2017.8.4.14","http://dx.doi.org/10.3391/mbi.2017.8.4.14")</f>
        <v>http://dx.doi.org/10.3391/mbi.2017.8.4.14</v>
      </c>
      <c r="BG79" s="13" t="s">
        <v>5510</v>
      </c>
      <c r="BH79" s="13" t="s">
        <v>5510</v>
      </c>
      <c r="BI79" s="13">
        <v>10.0</v>
      </c>
      <c r="BJ79" s="13" t="s">
        <v>5648</v>
      </c>
      <c r="BK79" s="13" t="s">
        <v>5561</v>
      </c>
      <c r="BL79" s="13" t="s">
        <v>5650</v>
      </c>
      <c r="BM79" s="13" t="s">
        <v>7136</v>
      </c>
      <c r="BN79" s="13" t="s">
        <v>5510</v>
      </c>
      <c r="BO79" s="13" t="s">
        <v>5537</v>
      </c>
      <c r="BP79" s="13" t="s">
        <v>5510</v>
      </c>
      <c r="BQ79" s="13" t="s">
        <v>5510</v>
      </c>
      <c r="BR79" s="13" t="s">
        <v>5538</v>
      </c>
      <c r="BS79" s="13" t="s">
        <v>7137</v>
      </c>
      <c r="BT79" s="13" t="s">
        <v>2851</v>
      </c>
      <c r="BU79" s="13" t="s">
        <v>5540</v>
      </c>
      <c r="BV79" s="13" t="s">
        <v>4864</v>
      </c>
      <c r="BW79" s="13" t="str">
        <f>VLOOKUP($BT79,Enriched!$A$2:$E$1070,5,false)</f>
        <v>["Invasive &amp; other problematic species, genes &amp; diseases"]</v>
      </c>
      <c r="BX79" s="13" t="str">
        <f>VLOOKUP($BT79,Enriched!$A$2:$E$1070,4,false)</f>
        <v>["Invasive non-native/alien species/diseases"]</v>
      </c>
      <c r="BY79" s="13" t="b">
        <f>VLOOKUP(BT79,Enriched!$A$1:$AA$1070,27,falsE)</f>
        <v>0</v>
      </c>
      <c r="BZ79" s="2" t="str">
        <f>VLOOKUP(BT79,Enriched!$A$1:$AA$1070,14,falsE)</f>
        <v>level2</v>
      </c>
      <c r="CA79" s="13" t="str">
        <f>HYPERLINK("https%3A%2F%2Fwww.webofscience.com%2Fwos%2Fwoscc%2Ffull-record%2FWOS:000412583100014","View Full Record in Web of Science")</f>
        <v>View Full Record in Web of Science</v>
      </c>
    </row>
    <row r="80" ht="12.75" customHeight="1">
      <c r="A80" s="13" t="s">
        <v>5508</v>
      </c>
      <c r="B80" s="13" t="s">
        <v>7138</v>
      </c>
      <c r="C80" s="13" t="s">
        <v>5510</v>
      </c>
      <c r="D80" s="13" t="s">
        <v>5510</v>
      </c>
      <c r="E80" s="13" t="s">
        <v>5510</v>
      </c>
      <c r="F80" s="13" t="s">
        <v>7139</v>
      </c>
      <c r="G80" s="13" t="s">
        <v>5510</v>
      </c>
      <c r="H80" s="13" t="s">
        <v>5510</v>
      </c>
      <c r="I80" s="13" t="s">
        <v>2850</v>
      </c>
      <c r="J80" s="13" t="s">
        <v>5543</v>
      </c>
      <c r="K80" s="13" t="s">
        <v>5510</v>
      </c>
      <c r="L80" s="13" t="s">
        <v>5510</v>
      </c>
      <c r="M80" s="13" t="s">
        <v>5513</v>
      </c>
      <c r="N80" s="13" t="s">
        <v>5514</v>
      </c>
      <c r="O80" s="13" t="s">
        <v>5510</v>
      </c>
      <c r="P80" s="13" t="s">
        <v>5510</v>
      </c>
      <c r="Q80" s="13" t="s">
        <v>5510</v>
      </c>
      <c r="R80" s="13" t="s">
        <v>5510</v>
      </c>
      <c r="S80" s="13" t="s">
        <v>5510</v>
      </c>
      <c r="T80" s="13" t="s">
        <v>5510</v>
      </c>
      <c r="U80" s="13" t="s">
        <v>7140</v>
      </c>
      <c r="V80" s="13" t="s">
        <v>7141</v>
      </c>
      <c r="W80" s="13" t="s">
        <v>7142</v>
      </c>
      <c r="X80" s="13" t="s">
        <v>7143</v>
      </c>
      <c r="Y80" s="13" t="s">
        <v>7144</v>
      </c>
      <c r="Z80" s="13" t="s">
        <v>7145</v>
      </c>
      <c r="AA80" s="13" t="s">
        <v>7146</v>
      </c>
      <c r="AB80" s="13" t="s">
        <v>7147</v>
      </c>
      <c r="AC80" s="13" t="s">
        <v>7148</v>
      </c>
      <c r="AD80" s="13" t="s">
        <v>7149</v>
      </c>
      <c r="AE80" s="13" t="s">
        <v>7150</v>
      </c>
      <c r="AF80" s="13" t="s">
        <v>5510</v>
      </c>
      <c r="AG80" s="13">
        <v>53.0</v>
      </c>
      <c r="AH80" s="13">
        <v>23.0</v>
      </c>
      <c r="AI80" s="13">
        <v>30.0</v>
      </c>
      <c r="AJ80" s="13">
        <v>0.0</v>
      </c>
      <c r="AK80" s="13">
        <v>56.0</v>
      </c>
      <c r="AL80" s="13" t="s">
        <v>5552</v>
      </c>
      <c r="AM80" s="13" t="s">
        <v>5553</v>
      </c>
      <c r="AN80" s="13" t="s">
        <v>5554</v>
      </c>
      <c r="AO80" s="13" t="s">
        <v>5555</v>
      </c>
      <c r="AP80" s="13" t="s">
        <v>5510</v>
      </c>
      <c r="AQ80" s="13" t="s">
        <v>5510</v>
      </c>
      <c r="AR80" s="13" t="s">
        <v>5543</v>
      </c>
      <c r="AS80" s="13" t="s">
        <v>5556</v>
      </c>
      <c r="AT80" s="13" t="s">
        <v>6439</v>
      </c>
      <c r="AU80" s="13">
        <v>2019.0</v>
      </c>
      <c r="AV80" s="13">
        <v>14.0</v>
      </c>
      <c r="AW80" s="13">
        <v>7.0</v>
      </c>
      <c r="AX80" s="13" t="s">
        <v>5510</v>
      </c>
      <c r="AY80" s="13" t="s">
        <v>5510</v>
      </c>
      <c r="AZ80" s="13" t="s">
        <v>5510</v>
      </c>
      <c r="BA80" s="13" t="s">
        <v>5510</v>
      </c>
      <c r="BB80" s="13" t="s">
        <v>5510</v>
      </c>
      <c r="BC80" s="13" t="s">
        <v>5510</v>
      </c>
      <c r="BD80" s="13" t="s">
        <v>7151</v>
      </c>
      <c r="BE80" s="13" t="s">
        <v>7152</v>
      </c>
      <c r="BF80" s="52" t="str">
        <f>HYPERLINK("http://dx.doi.org/10.1371/journal.pone.0217540","http://dx.doi.org/10.1371/journal.pone.0217540")</f>
        <v>http://dx.doi.org/10.1371/journal.pone.0217540</v>
      </c>
      <c r="BG80" s="13" t="s">
        <v>5510</v>
      </c>
      <c r="BH80" s="13" t="s">
        <v>5510</v>
      </c>
      <c r="BI80" s="13">
        <v>13.0</v>
      </c>
      <c r="BJ80" s="13" t="s">
        <v>5560</v>
      </c>
      <c r="BK80" s="13" t="s">
        <v>5561</v>
      </c>
      <c r="BL80" s="13" t="s">
        <v>5562</v>
      </c>
      <c r="BM80" s="13" t="s">
        <v>7153</v>
      </c>
      <c r="BN80" s="13">
        <v>3.1260478E7</v>
      </c>
      <c r="BO80" s="13" t="s">
        <v>5564</v>
      </c>
      <c r="BP80" s="13" t="s">
        <v>5510</v>
      </c>
      <c r="BQ80" s="13" t="s">
        <v>5510</v>
      </c>
      <c r="BR80" s="13" t="s">
        <v>5538</v>
      </c>
      <c r="BS80" s="13" t="s">
        <v>7154</v>
      </c>
      <c r="BT80" s="13">
        <v>25190.0</v>
      </c>
      <c r="BU80" s="13" t="s">
        <v>5540</v>
      </c>
      <c r="BV80" s="13" t="s">
        <v>4856</v>
      </c>
      <c r="BW80" s="13" t="str">
        <f>VLOOKUP($BT80,Enriched!$A$2:$E$1070,5,false)</f>
        <v>["Transportation &amp; Service Corridors", "Agriculture &amp; Aquaculture"]</v>
      </c>
      <c r="BX80" s="13" t="str">
        <f>VLOOKUP($BT80,Enriched!$A$2:$E$1070,4,false)</f>
        <v>["Roads &amp; railroads", "Wood &amp; pulp plantations"]</v>
      </c>
      <c r="BY80" s="13" t="b">
        <f>VLOOKUP(BT80,Enriched!$A$1:$AA$1070,27,falsE)</f>
        <v>0</v>
      </c>
      <c r="BZ80" s="2" t="str">
        <f>VLOOKUP(BT80,Enriched!$A$1:$AA$1070,14,falsE)</f>
        <v>level2</v>
      </c>
      <c r="CA80" s="13" t="str">
        <f>HYPERLINK("https%3A%2F%2Fwww.webofscience.com%2Fwos%2Fwoscc%2Ffull-record%2FWOS:000484918700010","View Full Record in Web of Science")</f>
        <v>View Full Record in Web of Science</v>
      </c>
    </row>
    <row r="81" ht="12.75" customHeight="1">
      <c r="A81" s="13" t="s">
        <v>5508</v>
      </c>
      <c r="B81" s="13" t="s">
        <v>7155</v>
      </c>
      <c r="C81" s="13" t="s">
        <v>5510</v>
      </c>
      <c r="D81" s="13" t="s">
        <v>5510</v>
      </c>
      <c r="E81" s="13" t="s">
        <v>5510</v>
      </c>
      <c r="F81" s="13" t="s">
        <v>7156</v>
      </c>
      <c r="G81" s="13" t="s">
        <v>5510</v>
      </c>
      <c r="H81" s="13" t="s">
        <v>5510</v>
      </c>
      <c r="I81" s="13" t="s">
        <v>2846</v>
      </c>
      <c r="J81" s="13" t="s">
        <v>5543</v>
      </c>
      <c r="K81" s="13" t="s">
        <v>5510</v>
      </c>
      <c r="L81" s="13" t="s">
        <v>5510</v>
      </c>
      <c r="M81" s="13" t="s">
        <v>5513</v>
      </c>
      <c r="N81" s="13" t="s">
        <v>5514</v>
      </c>
      <c r="O81" s="13" t="s">
        <v>5510</v>
      </c>
      <c r="P81" s="13" t="s">
        <v>5510</v>
      </c>
      <c r="Q81" s="13" t="s">
        <v>5510</v>
      </c>
      <c r="R81" s="13" t="s">
        <v>5510</v>
      </c>
      <c r="S81" s="13" t="s">
        <v>5510</v>
      </c>
      <c r="T81" s="13" t="s">
        <v>5510</v>
      </c>
      <c r="U81" s="13" t="s">
        <v>7157</v>
      </c>
      <c r="V81" s="13" t="s">
        <v>7158</v>
      </c>
      <c r="W81" s="13" t="s">
        <v>7159</v>
      </c>
      <c r="X81" s="13" t="s">
        <v>7160</v>
      </c>
      <c r="Y81" s="13" t="s">
        <v>7161</v>
      </c>
      <c r="Z81" s="13" t="s">
        <v>7162</v>
      </c>
      <c r="AA81" s="13" t="s">
        <v>7163</v>
      </c>
      <c r="AB81" s="13" t="s">
        <v>7164</v>
      </c>
      <c r="AC81" s="13" t="s">
        <v>7165</v>
      </c>
      <c r="AD81" s="13" t="s">
        <v>7063</v>
      </c>
      <c r="AE81" s="13" t="s">
        <v>7166</v>
      </c>
      <c r="AF81" s="13" t="s">
        <v>5510</v>
      </c>
      <c r="AG81" s="13">
        <v>49.0</v>
      </c>
      <c r="AH81" s="13">
        <v>22.0</v>
      </c>
      <c r="AI81" s="13">
        <v>36.0</v>
      </c>
      <c r="AJ81" s="13">
        <v>1.0</v>
      </c>
      <c r="AK81" s="13">
        <v>130.0</v>
      </c>
      <c r="AL81" s="13" t="s">
        <v>5552</v>
      </c>
      <c r="AM81" s="13" t="s">
        <v>5553</v>
      </c>
      <c r="AN81" s="13" t="s">
        <v>5554</v>
      </c>
      <c r="AO81" s="13" t="s">
        <v>5555</v>
      </c>
      <c r="AP81" s="13" t="s">
        <v>5510</v>
      </c>
      <c r="AQ81" s="13" t="s">
        <v>5510</v>
      </c>
      <c r="AR81" s="13" t="s">
        <v>5543</v>
      </c>
      <c r="AS81" s="13" t="s">
        <v>5556</v>
      </c>
      <c r="AT81" s="13" t="s">
        <v>7167</v>
      </c>
      <c r="AU81" s="13">
        <v>2014.0</v>
      </c>
      <c r="AV81" s="13">
        <v>9.0</v>
      </c>
      <c r="AW81" s="13">
        <v>9.0</v>
      </c>
      <c r="AX81" s="13" t="s">
        <v>5510</v>
      </c>
      <c r="AY81" s="13" t="s">
        <v>5510</v>
      </c>
      <c r="AZ81" s="13" t="s">
        <v>5510</v>
      </c>
      <c r="BA81" s="13" t="s">
        <v>5510</v>
      </c>
      <c r="BB81" s="13" t="s">
        <v>5510</v>
      </c>
      <c r="BC81" s="13" t="s">
        <v>5510</v>
      </c>
      <c r="BD81" s="13" t="s">
        <v>7168</v>
      </c>
      <c r="BE81" s="13" t="s">
        <v>7169</v>
      </c>
      <c r="BF81" s="52" t="str">
        <f>HYPERLINK("http://dx.doi.org/10.1371/journal.pone.0107395","http://dx.doi.org/10.1371/journal.pone.0107395")</f>
        <v>http://dx.doi.org/10.1371/journal.pone.0107395</v>
      </c>
      <c r="BG81" s="13" t="s">
        <v>5510</v>
      </c>
      <c r="BH81" s="13" t="s">
        <v>5510</v>
      </c>
      <c r="BI81" s="13">
        <v>7.0</v>
      </c>
      <c r="BJ81" s="13" t="s">
        <v>5560</v>
      </c>
      <c r="BK81" s="13" t="s">
        <v>5561</v>
      </c>
      <c r="BL81" s="13" t="s">
        <v>5562</v>
      </c>
      <c r="BM81" s="13" t="s">
        <v>7170</v>
      </c>
      <c r="BN81" s="13">
        <v>2.5203391E7</v>
      </c>
      <c r="BO81" s="13" t="s">
        <v>5564</v>
      </c>
      <c r="BP81" s="13" t="s">
        <v>5510</v>
      </c>
      <c r="BQ81" s="13" t="s">
        <v>5510</v>
      </c>
      <c r="BR81" s="13" t="s">
        <v>5538</v>
      </c>
      <c r="BS81" s="13" t="s">
        <v>7171</v>
      </c>
      <c r="BT81" s="13">
        <v>23087.0</v>
      </c>
      <c r="BU81" s="13" t="s">
        <v>5540</v>
      </c>
      <c r="BV81" s="13" t="s">
        <v>4856</v>
      </c>
      <c r="BW81" s="13" t="str">
        <f>VLOOKUP($BT81,Enriched!$A$2:$E$1070,5,false)</f>
        <v>["Invasive &amp; other problematic species, genes &amp; diseases"]</v>
      </c>
      <c r="BX81" s="13" t="str">
        <f>VLOOKUP($BT81,Enriched!$A$2:$E$1070,4,false)</f>
        <v>["Invasive non-native/alien species/diseases"]</v>
      </c>
      <c r="BY81" s="13" t="b">
        <f>VLOOKUP(BT81,Enriched!$A$1:$AA$1070,27,falsE)</f>
        <v>0</v>
      </c>
      <c r="BZ81" s="2" t="str">
        <f>VLOOKUP(BT81,Enriched!$A$1:$AA$1070,14,falsE)</f>
        <v>level2</v>
      </c>
      <c r="CA81" s="13" t="str">
        <f>HYPERLINK("https%3A%2F%2Fwww.webofscience.com%2Fwos%2Fwoscc%2Ffull-record%2FWOS:000342684500094","View Full Record in Web of Science")</f>
        <v>View Full Record in Web of Science</v>
      </c>
    </row>
    <row r="82" ht="12.75" customHeight="1">
      <c r="A82" s="13" t="s">
        <v>5508</v>
      </c>
      <c r="B82" s="13" t="s">
        <v>7172</v>
      </c>
      <c r="C82" s="13" t="s">
        <v>5510</v>
      </c>
      <c r="D82" s="13" t="s">
        <v>5510</v>
      </c>
      <c r="E82" s="13" t="s">
        <v>5510</v>
      </c>
      <c r="F82" s="13" t="s">
        <v>7173</v>
      </c>
      <c r="G82" s="13" t="s">
        <v>5510</v>
      </c>
      <c r="H82" s="13" t="s">
        <v>5510</v>
      </c>
      <c r="I82" s="13" t="s">
        <v>2842</v>
      </c>
      <c r="J82" s="13" t="s">
        <v>5746</v>
      </c>
      <c r="K82" s="13" t="s">
        <v>5510</v>
      </c>
      <c r="L82" s="13" t="s">
        <v>5510</v>
      </c>
      <c r="M82" s="13" t="s">
        <v>5513</v>
      </c>
      <c r="N82" s="13" t="s">
        <v>4904</v>
      </c>
      <c r="O82" s="13" t="s">
        <v>5510</v>
      </c>
      <c r="P82" s="13" t="s">
        <v>5510</v>
      </c>
      <c r="Q82" s="13" t="s">
        <v>5510</v>
      </c>
      <c r="R82" s="13" t="s">
        <v>5510</v>
      </c>
      <c r="S82" s="13" t="s">
        <v>5510</v>
      </c>
      <c r="T82" s="13" t="s">
        <v>7174</v>
      </c>
      <c r="U82" s="13" t="s">
        <v>7175</v>
      </c>
      <c r="V82" s="13" t="s">
        <v>7176</v>
      </c>
      <c r="W82" s="13" t="s">
        <v>7177</v>
      </c>
      <c r="X82" s="13" t="s">
        <v>7178</v>
      </c>
      <c r="Y82" s="13" t="s">
        <v>7179</v>
      </c>
      <c r="Z82" s="13" t="s">
        <v>7180</v>
      </c>
      <c r="AA82" s="13" t="s">
        <v>7181</v>
      </c>
      <c r="AB82" s="13" t="s">
        <v>7182</v>
      </c>
      <c r="AC82" s="13" t="s">
        <v>7183</v>
      </c>
      <c r="AD82" s="13" t="s">
        <v>7184</v>
      </c>
      <c r="AE82" s="13" t="s">
        <v>7185</v>
      </c>
      <c r="AF82" s="13" t="s">
        <v>5510</v>
      </c>
      <c r="AG82" s="13">
        <v>132.0</v>
      </c>
      <c r="AH82" s="13">
        <v>72.0</v>
      </c>
      <c r="AI82" s="13">
        <v>89.0</v>
      </c>
      <c r="AJ82" s="13">
        <v>1.0</v>
      </c>
      <c r="AK82" s="13">
        <v>77.0</v>
      </c>
      <c r="AL82" s="13" t="s">
        <v>5759</v>
      </c>
      <c r="AM82" s="13" t="s">
        <v>5760</v>
      </c>
      <c r="AN82" s="13" t="s">
        <v>5761</v>
      </c>
      <c r="AO82" s="13" t="s">
        <v>5762</v>
      </c>
      <c r="AP82" s="13" t="s">
        <v>5763</v>
      </c>
      <c r="AQ82" s="13" t="s">
        <v>5510</v>
      </c>
      <c r="AR82" s="13" t="s">
        <v>5764</v>
      </c>
      <c r="AS82" s="13" t="s">
        <v>5765</v>
      </c>
      <c r="AT82" s="13" t="s">
        <v>7186</v>
      </c>
      <c r="AU82" s="13">
        <v>2019.0</v>
      </c>
      <c r="AV82" s="13">
        <v>687.0</v>
      </c>
      <c r="AW82" s="13" t="s">
        <v>5510</v>
      </c>
      <c r="AX82" s="13" t="s">
        <v>5510</v>
      </c>
      <c r="AY82" s="13" t="s">
        <v>5510</v>
      </c>
      <c r="AZ82" s="13" t="s">
        <v>5510</v>
      </c>
      <c r="BA82" s="13" t="s">
        <v>5510</v>
      </c>
      <c r="BB82" s="13">
        <v>1207.0</v>
      </c>
      <c r="BC82" s="13">
        <v>1218.0</v>
      </c>
      <c r="BD82" s="13" t="s">
        <v>5510</v>
      </c>
      <c r="BE82" s="13" t="s">
        <v>7187</v>
      </c>
      <c r="BF82" s="52" t="str">
        <f>HYPERLINK("http://dx.doi.org/10.1016/j.scitotenv.2019.06.160","http://dx.doi.org/10.1016/j.scitotenv.2019.06.160")</f>
        <v>http://dx.doi.org/10.1016/j.scitotenv.2019.06.160</v>
      </c>
      <c r="BG82" s="13" t="s">
        <v>5510</v>
      </c>
      <c r="BH82" s="13" t="s">
        <v>5510</v>
      </c>
      <c r="BI82" s="13">
        <v>12.0</v>
      </c>
      <c r="BJ82" s="13" t="s">
        <v>5768</v>
      </c>
      <c r="BK82" s="13" t="s">
        <v>5561</v>
      </c>
      <c r="BL82" s="13" t="s">
        <v>5535</v>
      </c>
      <c r="BM82" s="13" t="s">
        <v>7188</v>
      </c>
      <c r="BN82" s="13">
        <v>3.1412456E7</v>
      </c>
      <c r="BO82" s="13" t="s">
        <v>5510</v>
      </c>
      <c r="BP82" s="13" t="s">
        <v>5510</v>
      </c>
      <c r="BQ82" s="13" t="s">
        <v>5510</v>
      </c>
      <c r="BR82" s="13" t="s">
        <v>5538</v>
      </c>
      <c r="BS82" s="13" t="s">
        <v>7189</v>
      </c>
      <c r="BT82" s="13">
        <v>25175.0</v>
      </c>
      <c r="BU82" s="13" t="s">
        <v>5540</v>
      </c>
      <c r="BV82" s="13" t="s">
        <v>4856</v>
      </c>
      <c r="BW82" s="13" t="str">
        <f>VLOOKUP($BT82,Enriched!$A$2:$E$1070,5,false)</f>
        <v>["Pollution", "Biological Resource Use"]</v>
      </c>
      <c r="BX82" s="13" t="str">
        <f>VLOOKUP($BT82,Enriched!$A$2:$E$1070,4,false)</f>
        <v>["Agricultural &amp; forestry effluents", "Hunting &amp; collecting terrestrial animals"]</v>
      </c>
      <c r="BY82" s="13" t="b">
        <f>VLOOKUP(BT82,Enriched!$A$1:$AA$1070,27,falsE)</f>
        <v>0</v>
      </c>
      <c r="BZ82" s="2" t="str">
        <f>VLOOKUP(BT82,Enriched!$A$1:$AA$1070,14,falsE)</f>
        <v>level2</v>
      </c>
      <c r="CA82" s="13" t="str">
        <f>HYPERLINK("https%3A%2F%2Fwww.webofscience.com%2Fwos%2Fwoscc%2Ffull-record%2FWOS:000480316300117","View Full Record in Web of Science")</f>
        <v>View Full Record in Web of Science</v>
      </c>
    </row>
    <row r="83" ht="12.75" customHeight="1">
      <c r="A83" s="13" t="s">
        <v>5508</v>
      </c>
      <c r="B83" s="13" t="s">
        <v>7190</v>
      </c>
      <c r="C83" s="13" t="s">
        <v>5510</v>
      </c>
      <c r="D83" s="13" t="s">
        <v>5510</v>
      </c>
      <c r="E83" s="13" t="s">
        <v>5510</v>
      </c>
      <c r="F83" s="13" t="s">
        <v>7191</v>
      </c>
      <c r="G83" s="13" t="s">
        <v>5510</v>
      </c>
      <c r="H83" s="13" t="s">
        <v>5510</v>
      </c>
      <c r="I83" s="13" t="s">
        <v>7192</v>
      </c>
      <c r="J83" s="13" t="s">
        <v>7193</v>
      </c>
      <c r="K83" s="13" t="s">
        <v>5510</v>
      </c>
      <c r="L83" s="13" t="s">
        <v>5510</v>
      </c>
      <c r="M83" s="13" t="s">
        <v>5513</v>
      </c>
      <c r="N83" s="13" t="s">
        <v>5514</v>
      </c>
      <c r="O83" s="13" t="s">
        <v>5510</v>
      </c>
      <c r="P83" s="13" t="s">
        <v>5510</v>
      </c>
      <c r="Q83" s="13" t="s">
        <v>5510</v>
      </c>
      <c r="R83" s="13" t="s">
        <v>5510</v>
      </c>
      <c r="S83" s="13" t="s">
        <v>5510</v>
      </c>
      <c r="T83" s="13" t="s">
        <v>7194</v>
      </c>
      <c r="U83" s="13" t="s">
        <v>7195</v>
      </c>
      <c r="V83" s="13" t="s">
        <v>7196</v>
      </c>
      <c r="W83" s="13" t="s">
        <v>7197</v>
      </c>
      <c r="X83" s="13" t="s">
        <v>7198</v>
      </c>
      <c r="Y83" s="13" t="s">
        <v>7199</v>
      </c>
      <c r="Z83" s="13" t="s">
        <v>7200</v>
      </c>
      <c r="AA83" s="13" t="s">
        <v>7201</v>
      </c>
      <c r="AB83" s="13" t="s">
        <v>7202</v>
      </c>
      <c r="AC83" s="13" t="s">
        <v>5510</v>
      </c>
      <c r="AD83" s="13" t="s">
        <v>5510</v>
      </c>
      <c r="AE83" s="13" t="s">
        <v>5510</v>
      </c>
      <c r="AF83" s="13" t="s">
        <v>5510</v>
      </c>
      <c r="AG83" s="13">
        <v>36.0</v>
      </c>
      <c r="AH83" s="13">
        <v>103.0</v>
      </c>
      <c r="AI83" s="13">
        <v>116.0</v>
      </c>
      <c r="AJ83" s="13">
        <v>0.0</v>
      </c>
      <c r="AK83" s="13">
        <v>54.0</v>
      </c>
      <c r="AL83" s="13" t="s">
        <v>5690</v>
      </c>
      <c r="AM83" s="13" t="s">
        <v>5691</v>
      </c>
      <c r="AN83" s="13" t="s">
        <v>5692</v>
      </c>
      <c r="AO83" s="13" t="s">
        <v>7203</v>
      </c>
      <c r="AP83" s="13" t="s">
        <v>7204</v>
      </c>
      <c r="AQ83" s="13" t="s">
        <v>5510</v>
      </c>
      <c r="AR83" s="13" t="s">
        <v>7205</v>
      </c>
      <c r="AS83" s="13" t="s">
        <v>7206</v>
      </c>
      <c r="AT83" s="13" t="s">
        <v>5720</v>
      </c>
      <c r="AU83" s="13">
        <v>2009.0</v>
      </c>
      <c r="AV83" s="13">
        <v>11.0</v>
      </c>
      <c r="AW83" s="13">
        <v>6.0</v>
      </c>
      <c r="AX83" s="13" t="s">
        <v>5510</v>
      </c>
      <c r="AY83" s="13" t="s">
        <v>5510</v>
      </c>
      <c r="AZ83" s="13" t="s">
        <v>5510</v>
      </c>
      <c r="BA83" s="13" t="s">
        <v>5510</v>
      </c>
      <c r="BB83" s="13">
        <v>1475.0</v>
      </c>
      <c r="BC83" s="13">
        <v>1482.0</v>
      </c>
      <c r="BD83" s="13" t="s">
        <v>5510</v>
      </c>
      <c r="BE83" s="13" t="s">
        <v>7207</v>
      </c>
      <c r="BF83" s="52" t="str">
        <f>HYPERLINK("http://dx.doi.org/10.1007/s10530-008-9334-y","http://dx.doi.org/10.1007/s10530-008-9334-y")</f>
        <v>http://dx.doi.org/10.1007/s10530-008-9334-y</v>
      </c>
      <c r="BG83" s="13" t="s">
        <v>5510</v>
      </c>
      <c r="BH83" s="13" t="s">
        <v>5510</v>
      </c>
      <c r="BI83" s="13">
        <v>8.0</v>
      </c>
      <c r="BJ83" s="13" t="s">
        <v>5958</v>
      </c>
      <c r="BK83" s="13" t="s">
        <v>5561</v>
      </c>
      <c r="BL83" s="13" t="s">
        <v>5699</v>
      </c>
      <c r="BM83" s="13" t="s">
        <v>7208</v>
      </c>
      <c r="BN83" s="13" t="s">
        <v>5510</v>
      </c>
      <c r="BO83" s="13" t="s">
        <v>5510</v>
      </c>
      <c r="BP83" s="13" t="s">
        <v>5510</v>
      </c>
      <c r="BQ83" s="13" t="s">
        <v>5510</v>
      </c>
      <c r="BR83" s="13" t="s">
        <v>5538</v>
      </c>
      <c r="BS83" s="13" t="s">
        <v>7209</v>
      </c>
      <c r="BT83" s="13">
        <v>24321.0</v>
      </c>
      <c r="BU83" s="13" t="s">
        <v>5540</v>
      </c>
      <c r="BV83" s="13" t="s">
        <v>4852</v>
      </c>
      <c r="BW83" s="13" t="str">
        <f>VLOOKUP($BT83,Enriched!$A$2:$E$1070,5,false)</f>
        <v>["Invasive &amp; other problematic species, genes &amp; diseases"]</v>
      </c>
      <c r="BX83" s="13" t="str">
        <f>VLOOKUP($BT83,Enriched!$A$2:$E$1070,4,false)</f>
        <v>["Invasive non-native/alien species/diseases"]</v>
      </c>
      <c r="BY83" s="13" t="b">
        <f>VLOOKUP(BT83,Enriched!$A$1:$AA$1070,27,falsE)</f>
        <v>0</v>
      </c>
      <c r="BZ83" s="2" t="str">
        <f>VLOOKUP(BT83,Enriched!$A$1:$AA$1070,14,falsE)</f>
        <v>level2</v>
      </c>
      <c r="CA83" s="13" t="str">
        <f>HYPERLINK("https%3A%2F%2Fwww.webofscience.com%2Fwos%2Fwoscc%2Ffull-record%2FWOS:000266238700025","View Full Record in Web of Science")</f>
        <v>View Full Record in Web of Science</v>
      </c>
    </row>
    <row r="84" ht="12.75" customHeight="1">
      <c r="A84" s="13" t="s">
        <v>5508</v>
      </c>
      <c r="B84" s="13" t="s">
        <v>7210</v>
      </c>
      <c r="C84" s="13" t="s">
        <v>5510</v>
      </c>
      <c r="D84" s="13" t="s">
        <v>5510</v>
      </c>
      <c r="E84" s="13" t="s">
        <v>5510</v>
      </c>
      <c r="F84" s="13" t="s">
        <v>7211</v>
      </c>
      <c r="G84" s="13" t="s">
        <v>5510</v>
      </c>
      <c r="H84" s="13" t="s">
        <v>5510</v>
      </c>
      <c r="I84" s="13" t="s">
        <v>7212</v>
      </c>
      <c r="J84" s="13" t="s">
        <v>7213</v>
      </c>
      <c r="K84" s="13" t="s">
        <v>5510</v>
      </c>
      <c r="L84" s="13" t="s">
        <v>5510</v>
      </c>
      <c r="M84" s="13" t="s">
        <v>5513</v>
      </c>
      <c r="N84" s="13" t="s">
        <v>5514</v>
      </c>
      <c r="O84" s="13" t="s">
        <v>5510</v>
      </c>
      <c r="P84" s="13" t="s">
        <v>5510</v>
      </c>
      <c r="Q84" s="13" t="s">
        <v>5510</v>
      </c>
      <c r="R84" s="13" t="s">
        <v>5510</v>
      </c>
      <c r="S84" s="13" t="s">
        <v>5510</v>
      </c>
      <c r="T84" s="13" t="s">
        <v>7214</v>
      </c>
      <c r="U84" s="13" t="s">
        <v>7215</v>
      </c>
      <c r="V84" s="13" t="s">
        <v>7216</v>
      </c>
      <c r="W84" s="13" t="s">
        <v>7217</v>
      </c>
      <c r="X84" s="13" t="s">
        <v>7218</v>
      </c>
      <c r="Y84" s="13" t="s">
        <v>7219</v>
      </c>
      <c r="Z84" s="13" t="s">
        <v>7220</v>
      </c>
      <c r="AA84" s="13" t="s">
        <v>7221</v>
      </c>
      <c r="AB84" s="13" t="s">
        <v>7222</v>
      </c>
      <c r="AC84" s="13" t="s">
        <v>7223</v>
      </c>
      <c r="AD84" s="13" t="s">
        <v>7224</v>
      </c>
      <c r="AE84" s="13" t="s">
        <v>7225</v>
      </c>
      <c r="AF84" s="13" t="s">
        <v>5510</v>
      </c>
      <c r="AG84" s="13">
        <v>67.0</v>
      </c>
      <c r="AH84" s="13">
        <v>519.0</v>
      </c>
      <c r="AI84" s="13">
        <v>555.0</v>
      </c>
      <c r="AJ84" s="13">
        <v>5.0</v>
      </c>
      <c r="AK84" s="13">
        <v>301.0</v>
      </c>
      <c r="AL84" s="13" t="s">
        <v>5527</v>
      </c>
      <c r="AM84" s="13" t="s">
        <v>5528</v>
      </c>
      <c r="AN84" s="13" t="s">
        <v>5529</v>
      </c>
      <c r="AO84" s="13" t="s">
        <v>7226</v>
      </c>
      <c r="AP84" s="13" t="s">
        <v>7227</v>
      </c>
      <c r="AQ84" s="13" t="s">
        <v>5510</v>
      </c>
      <c r="AR84" s="13" t="s">
        <v>7228</v>
      </c>
      <c r="AS84" s="13" t="s">
        <v>7229</v>
      </c>
      <c r="AT84" s="13" t="s">
        <v>6828</v>
      </c>
      <c r="AU84" s="13">
        <v>2012.0</v>
      </c>
      <c r="AV84" s="13">
        <v>21.0</v>
      </c>
      <c r="AW84" s="13">
        <v>4.0</v>
      </c>
      <c r="AX84" s="13" t="s">
        <v>5510</v>
      </c>
      <c r="AY84" s="13" t="s">
        <v>5510</v>
      </c>
      <c r="AZ84" s="13" t="s">
        <v>5510</v>
      </c>
      <c r="BA84" s="13" t="s">
        <v>5510</v>
      </c>
      <c r="BB84" s="13">
        <v>465.0</v>
      </c>
      <c r="BC84" s="13">
        <v>480.0</v>
      </c>
      <c r="BD84" s="13" t="s">
        <v>5510</v>
      </c>
      <c r="BE84" s="13" t="s">
        <v>7230</v>
      </c>
      <c r="BF84" s="52" t="str">
        <f>HYPERLINK("http://dx.doi.org/10.1111/j.1466-8238.2011.00697.x","http://dx.doi.org/10.1111/j.1466-8238.2011.00697.x")</f>
        <v>http://dx.doi.org/10.1111/j.1466-8238.2011.00697.x</v>
      </c>
      <c r="BG84" s="13" t="s">
        <v>5510</v>
      </c>
      <c r="BH84" s="13" t="s">
        <v>5510</v>
      </c>
      <c r="BI84" s="13">
        <v>16.0</v>
      </c>
      <c r="BJ84" s="13" t="s">
        <v>6463</v>
      </c>
      <c r="BK84" s="13" t="s">
        <v>5561</v>
      </c>
      <c r="BL84" s="13" t="s">
        <v>6464</v>
      </c>
      <c r="BM84" s="13" t="s">
        <v>7231</v>
      </c>
      <c r="BN84" s="13" t="s">
        <v>5510</v>
      </c>
      <c r="BO84" s="13" t="s">
        <v>5510</v>
      </c>
      <c r="BP84" s="13" t="s">
        <v>5510</v>
      </c>
      <c r="BQ84" s="13" t="s">
        <v>5510</v>
      </c>
      <c r="BR84" s="13" t="s">
        <v>5538</v>
      </c>
      <c r="BS84" s="13" t="s">
        <v>7232</v>
      </c>
      <c r="BT84" s="13">
        <v>23582.0</v>
      </c>
      <c r="BU84" s="13" t="s">
        <v>5540</v>
      </c>
      <c r="BV84" s="13" t="s">
        <v>4864</v>
      </c>
      <c r="BW84" s="13" t="str">
        <f>VLOOKUP($BT84,Enriched!$A$2:$E$1070,5,false)</f>
        <v>["Pollution", "Invasive &amp; Other Problematic Species, Genes &amp; Diseases", "Agriculture &amp; Aquaculture", "Biological Resource Use", "Transportation &amp; Service Corridors", "Energy Production &amp; Mining", "Climate Change &amp; Severe Weather"]</v>
      </c>
      <c r="BX84" s="13" t="str">
        <f>VLOOKUP($BT84,Enriched!$A$2:$E$1070,4,false)</f>
        <v>["Domestic &amp; urban waste water", "Industrial &amp; military effluents", "Agricultural &amp; forestry effluents", "Invasive non-native/alien species/diseases", "Marine &amp; freshwater aquaculture", "Fishing &amp; harvesting aquatic resources", "Shipping lanes", "Oil &amp; gas drilling", "Temperature extremes", "Other impacts"]</v>
      </c>
      <c r="BY84" s="13" t="b">
        <f>VLOOKUP(BT84,Enriched!$A$1:$AA$1070,27,falsE)</f>
        <v>1</v>
      </c>
      <c r="BZ84" s="2" t="str">
        <f>VLOOKUP(BT84,Enriched!$A$1:$AA$1070,14,falsE)</f>
        <v>cumulative</v>
      </c>
      <c r="CA84" s="13" t="str">
        <f>HYPERLINK("https%3A%2F%2Fwww.webofscience.com%2Fwos%2Fwoscc%2Ffull-record%2FWOS:000301227200007","View Full Record in Web of Science")</f>
        <v>View Full Record in Web of Science</v>
      </c>
    </row>
    <row r="85" ht="12.75" customHeight="1">
      <c r="A85" s="13" t="s">
        <v>5508</v>
      </c>
      <c r="B85" s="13" t="s">
        <v>7233</v>
      </c>
      <c r="C85" s="13" t="s">
        <v>5510</v>
      </c>
      <c r="D85" s="13" t="s">
        <v>5510</v>
      </c>
      <c r="E85" s="13" t="s">
        <v>5510</v>
      </c>
      <c r="F85" s="13" t="s">
        <v>7234</v>
      </c>
      <c r="G85" s="13" t="s">
        <v>5510</v>
      </c>
      <c r="H85" s="13" t="s">
        <v>5510</v>
      </c>
      <c r="I85" s="13" t="s">
        <v>2833</v>
      </c>
      <c r="J85" s="13" t="s">
        <v>5943</v>
      </c>
      <c r="K85" s="13" t="s">
        <v>5510</v>
      </c>
      <c r="L85" s="13" t="s">
        <v>5510</v>
      </c>
      <c r="M85" s="13" t="s">
        <v>5513</v>
      </c>
      <c r="N85" s="13" t="s">
        <v>5514</v>
      </c>
      <c r="O85" s="13" t="s">
        <v>5510</v>
      </c>
      <c r="P85" s="13" t="s">
        <v>5510</v>
      </c>
      <c r="Q85" s="13" t="s">
        <v>5510</v>
      </c>
      <c r="R85" s="13" t="s">
        <v>5510</v>
      </c>
      <c r="S85" s="13" t="s">
        <v>5510</v>
      </c>
      <c r="T85" s="13" t="s">
        <v>7235</v>
      </c>
      <c r="U85" s="13" t="s">
        <v>7236</v>
      </c>
      <c r="V85" s="13" t="s">
        <v>7237</v>
      </c>
      <c r="W85" s="13" t="s">
        <v>7238</v>
      </c>
      <c r="X85" s="13" t="s">
        <v>7239</v>
      </c>
      <c r="Y85" s="13" t="s">
        <v>7240</v>
      </c>
      <c r="Z85" s="13" t="s">
        <v>7241</v>
      </c>
      <c r="AA85" s="13" t="s">
        <v>5510</v>
      </c>
      <c r="AB85" s="13" t="s">
        <v>7242</v>
      </c>
      <c r="AC85" s="13" t="s">
        <v>7243</v>
      </c>
      <c r="AD85" s="13" t="s">
        <v>7244</v>
      </c>
      <c r="AE85" s="13" t="s">
        <v>7245</v>
      </c>
      <c r="AF85" s="13" t="s">
        <v>5510</v>
      </c>
      <c r="AG85" s="13">
        <v>40.0</v>
      </c>
      <c r="AH85" s="13">
        <v>93.0</v>
      </c>
      <c r="AI85" s="13">
        <v>108.0</v>
      </c>
      <c r="AJ85" s="13">
        <v>1.0</v>
      </c>
      <c r="AK85" s="13">
        <v>88.0</v>
      </c>
      <c r="AL85" s="13" t="s">
        <v>5527</v>
      </c>
      <c r="AM85" s="13" t="s">
        <v>5528</v>
      </c>
      <c r="AN85" s="13" t="s">
        <v>5529</v>
      </c>
      <c r="AO85" s="13" t="s">
        <v>5953</v>
      </c>
      <c r="AP85" s="13" t="s">
        <v>5954</v>
      </c>
      <c r="AQ85" s="13" t="s">
        <v>5510</v>
      </c>
      <c r="AR85" s="13" t="s">
        <v>5955</v>
      </c>
      <c r="AS85" s="13" t="s">
        <v>5956</v>
      </c>
      <c r="AT85" s="13" t="s">
        <v>5720</v>
      </c>
      <c r="AU85" s="13">
        <v>2017.0</v>
      </c>
      <c r="AV85" s="13">
        <v>54.0</v>
      </c>
      <c r="AW85" s="13">
        <v>3.0</v>
      </c>
      <c r="AX85" s="13" t="s">
        <v>5510</v>
      </c>
      <c r="AY85" s="13" t="s">
        <v>5510</v>
      </c>
      <c r="AZ85" s="13" t="s">
        <v>5510</v>
      </c>
      <c r="BA85" s="13" t="s">
        <v>5510</v>
      </c>
      <c r="BB85" s="13">
        <v>815.0</v>
      </c>
      <c r="BC85" s="13">
        <v>825.0</v>
      </c>
      <c r="BD85" s="13" t="s">
        <v>5510</v>
      </c>
      <c r="BE85" s="13" t="s">
        <v>7246</v>
      </c>
      <c r="BF85" s="52" t="str">
        <f>HYPERLINK("http://dx.doi.org/10.1111/1365-2664.12794","http://dx.doi.org/10.1111/1365-2664.12794")</f>
        <v>http://dx.doi.org/10.1111/1365-2664.12794</v>
      </c>
      <c r="BG85" s="13" t="s">
        <v>5510</v>
      </c>
      <c r="BH85" s="13" t="s">
        <v>5510</v>
      </c>
      <c r="BI85" s="13">
        <v>11.0</v>
      </c>
      <c r="BJ85" s="13" t="s">
        <v>5958</v>
      </c>
      <c r="BK85" s="13" t="s">
        <v>5561</v>
      </c>
      <c r="BL85" s="13" t="s">
        <v>5699</v>
      </c>
      <c r="BM85" s="13" t="s">
        <v>5959</v>
      </c>
      <c r="BN85" s="13" t="s">
        <v>5510</v>
      </c>
      <c r="BO85" s="13" t="s">
        <v>5510</v>
      </c>
      <c r="BP85" s="13" t="s">
        <v>5510</v>
      </c>
      <c r="BQ85" s="13" t="s">
        <v>5510</v>
      </c>
      <c r="BR85" s="13" t="s">
        <v>5538</v>
      </c>
      <c r="BS85" s="13" t="s">
        <v>7247</v>
      </c>
      <c r="BT85" s="13">
        <v>24619.0</v>
      </c>
      <c r="BU85" s="13" t="s">
        <v>5540</v>
      </c>
      <c r="BV85" s="13" t="s">
        <v>4856</v>
      </c>
      <c r="BW85" s="13" t="str">
        <f>VLOOKUP($BT85,Enriched!$A$2:$E$1070,5,false)</f>
        <v>["Biological resource use"]</v>
      </c>
      <c r="BX85" s="13" t="str">
        <f>VLOOKUP($BT85,Enriched!$A$2:$E$1070,4,false)</f>
        <v>["Hunting &amp; collecting terrestrial animals"]</v>
      </c>
      <c r="BY85" s="13" t="b">
        <f>VLOOKUP(BT85,Enriched!$A$1:$AA$1070,27,falsE)</f>
        <v>0</v>
      </c>
      <c r="BZ85" s="2" t="str">
        <f>VLOOKUP(BT85,Enriched!$A$1:$AA$1070,14,falsE)</f>
        <v>level2</v>
      </c>
      <c r="CA85" s="13" t="str">
        <f>HYPERLINK("https%3A%2F%2Fwww.webofscience.com%2Fwos%2Fwoscc%2Ffull-record%2FWOS:000401239100015","View Full Record in Web of Science")</f>
        <v>View Full Record in Web of Science</v>
      </c>
    </row>
    <row r="86" ht="12.75" customHeight="1">
      <c r="A86" s="13" t="s">
        <v>5508</v>
      </c>
      <c r="B86" s="13" t="s">
        <v>7248</v>
      </c>
      <c r="C86" s="13" t="s">
        <v>5510</v>
      </c>
      <c r="D86" s="13" t="s">
        <v>5510</v>
      </c>
      <c r="E86" s="13" t="s">
        <v>5510</v>
      </c>
      <c r="F86" s="13" t="s">
        <v>7249</v>
      </c>
      <c r="G86" s="13" t="s">
        <v>5510</v>
      </c>
      <c r="H86" s="13" t="s">
        <v>5510</v>
      </c>
      <c r="I86" s="13" t="s">
        <v>2831</v>
      </c>
      <c r="J86" s="13" t="s">
        <v>6114</v>
      </c>
      <c r="K86" s="13" t="s">
        <v>5510</v>
      </c>
      <c r="L86" s="13" t="s">
        <v>5510</v>
      </c>
      <c r="M86" s="13" t="s">
        <v>5513</v>
      </c>
      <c r="N86" s="13" t="s">
        <v>5514</v>
      </c>
      <c r="O86" s="13" t="s">
        <v>5510</v>
      </c>
      <c r="P86" s="13" t="s">
        <v>5510</v>
      </c>
      <c r="Q86" s="13" t="s">
        <v>5510</v>
      </c>
      <c r="R86" s="13" t="s">
        <v>5510</v>
      </c>
      <c r="S86" s="13" t="s">
        <v>5510</v>
      </c>
      <c r="T86" s="13" t="s">
        <v>7250</v>
      </c>
      <c r="U86" s="13" t="s">
        <v>7251</v>
      </c>
      <c r="V86" s="13" t="s">
        <v>7252</v>
      </c>
      <c r="W86" s="13" t="s">
        <v>7253</v>
      </c>
      <c r="X86" s="13" t="s">
        <v>7254</v>
      </c>
      <c r="Y86" s="13" t="s">
        <v>7255</v>
      </c>
      <c r="Z86" s="13" t="s">
        <v>7256</v>
      </c>
      <c r="AA86" s="13" t="s">
        <v>5510</v>
      </c>
      <c r="AB86" s="13" t="s">
        <v>7257</v>
      </c>
      <c r="AC86" s="13" t="s">
        <v>7258</v>
      </c>
      <c r="AD86" s="13" t="s">
        <v>7259</v>
      </c>
      <c r="AE86" s="13" t="s">
        <v>7260</v>
      </c>
      <c r="AF86" s="13" t="s">
        <v>5510</v>
      </c>
      <c r="AG86" s="13">
        <v>57.0</v>
      </c>
      <c r="AH86" s="13">
        <v>10.0</v>
      </c>
      <c r="AI86" s="13">
        <v>17.0</v>
      </c>
      <c r="AJ86" s="13">
        <v>1.0</v>
      </c>
      <c r="AK86" s="13">
        <v>57.0</v>
      </c>
      <c r="AL86" s="13" t="s">
        <v>5931</v>
      </c>
      <c r="AM86" s="13" t="s">
        <v>5932</v>
      </c>
      <c r="AN86" s="13" t="s">
        <v>5933</v>
      </c>
      <c r="AO86" s="13" t="s">
        <v>6127</v>
      </c>
      <c r="AP86" s="13" t="s">
        <v>6128</v>
      </c>
      <c r="AQ86" s="13" t="s">
        <v>5510</v>
      </c>
      <c r="AR86" s="13" t="s">
        <v>6129</v>
      </c>
      <c r="AS86" s="13" t="s">
        <v>6130</v>
      </c>
      <c r="AT86" s="13" t="s">
        <v>2738</v>
      </c>
      <c r="AU86" s="13">
        <v>2017.0</v>
      </c>
      <c r="AV86" s="13">
        <v>136.0</v>
      </c>
      <c r="AW86" s="13" t="s">
        <v>5510</v>
      </c>
      <c r="AX86" s="13" t="s">
        <v>5510</v>
      </c>
      <c r="AY86" s="13" t="s">
        <v>5510</v>
      </c>
      <c r="AZ86" s="13" t="s">
        <v>5510</v>
      </c>
      <c r="BA86" s="13" t="s">
        <v>5510</v>
      </c>
      <c r="BB86" s="13">
        <v>83.0</v>
      </c>
      <c r="BC86" s="13">
        <v>94.0</v>
      </c>
      <c r="BD86" s="13" t="s">
        <v>5510</v>
      </c>
      <c r="BE86" s="13" t="s">
        <v>7261</v>
      </c>
      <c r="BF86" s="52" t="str">
        <f>HYPERLINK("http://dx.doi.org/10.1016/j.ocecoaman.2016.11.024","http://dx.doi.org/10.1016/j.ocecoaman.2016.11.024")</f>
        <v>http://dx.doi.org/10.1016/j.ocecoaman.2016.11.024</v>
      </c>
      <c r="BG86" s="13" t="s">
        <v>5510</v>
      </c>
      <c r="BH86" s="13" t="s">
        <v>5510</v>
      </c>
      <c r="BI86" s="13">
        <v>12.0</v>
      </c>
      <c r="BJ86" s="13" t="s">
        <v>6133</v>
      </c>
      <c r="BK86" s="13" t="s">
        <v>5561</v>
      </c>
      <c r="BL86" s="13" t="s">
        <v>6133</v>
      </c>
      <c r="BM86" s="13" t="s">
        <v>7262</v>
      </c>
      <c r="BN86" s="13" t="s">
        <v>5510</v>
      </c>
      <c r="BO86" s="13" t="s">
        <v>5510</v>
      </c>
      <c r="BP86" s="13" t="s">
        <v>5510</v>
      </c>
      <c r="BQ86" s="13" t="s">
        <v>5510</v>
      </c>
      <c r="BR86" s="13" t="s">
        <v>5538</v>
      </c>
      <c r="BS86" s="13" t="s">
        <v>7263</v>
      </c>
      <c r="BT86" s="13">
        <v>26084.0</v>
      </c>
      <c r="BU86" s="13" t="s">
        <v>5540</v>
      </c>
      <c r="BV86" s="13" t="s">
        <v>4852</v>
      </c>
      <c r="BW86" s="13" t="str">
        <f>VLOOKUP($BT86,Enriched!$A$2:$E$1070,5,false)</f>
        <v>["Natural system modifications"]</v>
      </c>
      <c r="BX86" s="13" t="str">
        <f>VLOOKUP($BT86,Enriched!$A$2:$E$1070,4,false)</f>
        <v>["Dams &amp; water management/use"]</v>
      </c>
      <c r="BY86" s="13" t="b">
        <f>VLOOKUP(BT86,Enriched!$A$1:$AA$1070,27,falsE)</f>
        <v>0</v>
      </c>
      <c r="BZ86" s="2" t="str">
        <f>VLOOKUP(BT86,Enriched!$A$1:$AA$1070,14,falsE)</f>
        <v>level2</v>
      </c>
      <c r="CA86" s="13" t="str">
        <f>HYPERLINK("https%3A%2F%2Fwww.webofscience.com%2Fwos%2Fwoscc%2Ffull-record%2FWOS:000392355100008","View Full Record in Web of Science")</f>
        <v>View Full Record in Web of Science</v>
      </c>
    </row>
    <row r="87" ht="12.75" customHeight="1">
      <c r="A87" s="13" t="s">
        <v>5508</v>
      </c>
      <c r="B87" s="13" t="s">
        <v>7264</v>
      </c>
      <c r="C87" s="13" t="s">
        <v>5510</v>
      </c>
      <c r="D87" s="13" t="s">
        <v>5510</v>
      </c>
      <c r="E87" s="13" t="s">
        <v>5510</v>
      </c>
      <c r="F87" s="13" t="s">
        <v>7265</v>
      </c>
      <c r="G87" s="13" t="s">
        <v>5510</v>
      </c>
      <c r="H87" s="13" t="s">
        <v>5510</v>
      </c>
      <c r="I87" s="13" t="s">
        <v>2829</v>
      </c>
      <c r="J87" s="13" t="s">
        <v>7193</v>
      </c>
      <c r="K87" s="13" t="s">
        <v>5510</v>
      </c>
      <c r="L87" s="13" t="s">
        <v>5510</v>
      </c>
      <c r="M87" s="13" t="s">
        <v>5513</v>
      </c>
      <c r="N87" s="13" t="s">
        <v>5514</v>
      </c>
      <c r="O87" s="13" t="s">
        <v>5510</v>
      </c>
      <c r="P87" s="13" t="s">
        <v>5510</v>
      </c>
      <c r="Q87" s="13" t="s">
        <v>5510</v>
      </c>
      <c r="R87" s="13" t="s">
        <v>5510</v>
      </c>
      <c r="S87" s="13" t="s">
        <v>5510</v>
      </c>
      <c r="T87" s="13" t="s">
        <v>7266</v>
      </c>
      <c r="U87" s="13" t="s">
        <v>7267</v>
      </c>
      <c r="V87" s="13" t="s">
        <v>7268</v>
      </c>
      <c r="W87" s="13" t="s">
        <v>7269</v>
      </c>
      <c r="X87" s="13" t="s">
        <v>7270</v>
      </c>
      <c r="Y87" s="13" t="s">
        <v>7271</v>
      </c>
      <c r="Z87" s="13" t="s">
        <v>7272</v>
      </c>
      <c r="AA87" s="13" t="s">
        <v>7273</v>
      </c>
      <c r="AB87" s="13" t="s">
        <v>5510</v>
      </c>
      <c r="AC87" s="13" t="s">
        <v>7274</v>
      </c>
      <c r="AD87" s="13" t="s">
        <v>7275</v>
      </c>
      <c r="AE87" s="13" t="s">
        <v>7276</v>
      </c>
      <c r="AF87" s="13" t="s">
        <v>5510</v>
      </c>
      <c r="AG87" s="13">
        <v>52.0</v>
      </c>
      <c r="AH87" s="13">
        <v>3.0</v>
      </c>
      <c r="AI87" s="13">
        <v>3.0</v>
      </c>
      <c r="AJ87" s="13">
        <v>1.0</v>
      </c>
      <c r="AK87" s="13">
        <v>20.0</v>
      </c>
      <c r="AL87" s="13" t="s">
        <v>5690</v>
      </c>
      <c r="AM87" s="13" t="s">
        <v>5691</v>
      </c>
      <c r="AN87" s="13" t="s">
        <v>5692</v>
      </c>
      <c r="AO87" s="13" t="s">
        <v>7203</v>
      </c>
      <c r="AP87" s="13" t="s">
        <v>7204</v>
      </c>
      <c r="AQ87" s="13" t="s">
        <v>5510</v>
      </c>
      <c r="AR87" s="13" t="s">
        <v>7205</v>
      </c>
      <c r="AS87" s="13" t="s">
        <v>7206</v>
      </c>
      <c r="AT87" s="13" t="s">
        <v>2738</v>
      </c>
      <c r="AU87" s="13">
        <v>2019.0</v>
      </c>
      <c r="AV87" s="13">
        <v>21.0</v>
      </c>
      <c r="AW87" s="13">
        <v>2.0</v>
      </c>
      <c r="AX87" s="13" t="s">
        <v>5510</v>
      </c>
      <c r="AY87" s="13" t="s">
        <v>5510</v>
      </c>
      <c r="AZ87" s="13" t="s">
        <v>5510</v>
      </c>
      <c r="BA87" s="13" t="s">
        <v>5510</v>
      </c>
      <c r="BB87" s="13">
        <v>481.0</v>
      </c>
      <c r="BC87" s="13">
        <v>492.0</v>
      </c>
      <c r="BD87" s="13" t="s">
        <v>5510</v>
      </c>
      <c r="BE87" s="13" t="s">
        <v>7277</v>
      </c>
      <c r="BF87" s="52" t="str">
        <f>HYPERLINK("http://dx.doi.org/10.1007/s10530-018-1840-y","http://dx.doi.org/10.1007/s10530-018-1840-y")</f>
        <v>http://dx.doi.org/10.1007/s10530-018-1840-y</v>
      </c>
      <c r="BG87" s="13" t="s">
        <v>5510</v>
      </c>
      <c r="BH87" s="13" t="s">
        <v>5510</v>
      </c>
      <c r="BI87" s="13">
        <v>12.0</v>
      </c>
      <c r="BJ87" s="13" t="s">
        <v>5958</v>
      </c>
      <c r="BK87" s="13" t="s">
        <v>5561</v>
      </c>
      <c r="BL87" s="13" t="s">
        <v>5699</v>
      </c>
      <c r="BM87" s="13" t="s">
        <v>7278</v>
      </c>
      <c r="BN87" s="13" t="s">
        <v>5510</v>
      </c>
      <c r="BO87" s="13" t="s">
        <v>5510</v>
      </c>
      <c r="BP87" s="13" t="s">
        <v>5510</v>
      </c>
      <c r="BQ87" s="13" t="s">
        <v>5510</v>
      </c>
      <c r="BR87" s="13" t="s">
        <v>5538</v>
      </c>
      <c r="BS87" s="13" t="s">
        <v>7279</v>
      </c>
      <c r="BT87" s="13">
        <v>23154.0</v>
      </c>
      <c r="BU87" s="13" t="s">
        <v>5540</v>
      </c>
      <c r="BV87" s="13" t="s">
        <v>4856</v>
      </c>
      <c r="BW87" s="13" t="str">
        <f>VLOOKUP($BT87,Enriched!$A$2:$E$1070,5,false)</f>
        <v>["Invasive &amp; other problematic species, genes &amp; diseases"]</v>
      </c>
      <c r="BX87" s="13" t="str">
        <f>VLOOKUP($BT87,Enriched!$A$2:$E$1070,4,false)</f>
        <v>["Invasive non-native/alien species/diseases"]</v>
      </c>
      <c r="BY87" s="13" t="b">
        <f>VLOOKUP(BT87,Enriched!$A$1:$AA$1070,27,falsE)</f>
        <v>0</v>
      </c>
      <c r="BZ87" s="2" t="str">
        <f>VLOOKUP(BT87,Enriched!$A$1:$AA$1070,14,falsE)</f>
        <v>level2</v>
      </c>
      <c r="CA87" s="13" t="str">
        <f>HYPERLINK("https%3A%2F%2Fwww.webofscience.com%2Fwos%2Fwoscc%2Ffull-record%2FWOS:000459397200017","View Full Record in Web of Science")</f>
        <v>View Full Record in Web of Science</v>
      </c>
    </row>
    <row r="88" ht="12.75" customHeight="1">
      <c r="A88" s="13" t="s">
        <v>5508</v>
      </c>
      <c r="B88" s="13" t="s">
        <v>7280</v>
      </c>
      <c r="C88" s="13" t="s">
        <v>5510</v>
      </c>
      <c r="D88" s="13" t="s">
        <v>5510</v>
      </c>
      <c r="E88" s="13" t="s">
        <v>5510</v>
      </c>
      <c r="F88" s="13" t="s">
        <v>7281</v>
      </c>
      <c r="G88" s="13" t="s">
        <v>5510</v>
      </c>
      <c r="H88" s="13" t="s">
        <v>5510</v>
      </c>
      <c r="I88" s="13" t="s">
        <v>2826</v>
      </c>
      <c r="J88" s="13" t="s">
        <v>5677</v>
      </c>
      <c r="K88" s="13" t="s">
        <v>5510</v>
      </c>
      <c r="L88" s="13" t="s">
        <v>5510</v>
      </c>
      <c r="M88" s="13" t="s">
        <v>5513</v>
      </c>
      <c r="N88" s="13" t="s">
        <v>5514</v>
      </c>
      <c r="O88" s="13" t="s">
        <v>5510</v>
      </c>
      <c r="P88" s="13" t="s">
        <v>5510</v>
      </c>
      <c r="Q88" s="13" t="s">
        <v>5510</v>
      </c>
      <c r="R88" s="13" t="s">
        <v>5510</v>
      </c>
      <c r="S88" s="13" t="s">
        <v>5510</v>
      </c>
      <c r="T88" s="13" t="s">
        <v>7282</v>
      </c>
      <c r="U88" s="13" t="s">
        <v>7283</v>
      </c>
      <c r="V88" s="13" t="s">
        <v>7284</v>
      </c>
      <c r="W88" s="13" t="s">
        <v>7285</v>
      </c>
      <c r="X88" s="13" t="s">
        <v>7286</v>
      </c>
      <c r="Y88" s="13" t="s">
        <v>7287</v>
      </c>
      <c r="Z88" s="13" t="s">
        <v>7288</v>
      </c>
      <c r="AA88" s="13" t="s">
        <v>7289</v>
      </c>
      <c r="AB88" s="13" t="s">
        <v>7290</v>
      </c>
      <c r="AC88" s="13" t="s">
        <v>7291</v>
      </c>
      <c r="AD88" s="13" t="s">
        <v>7292</v>
      </c>
      <c r="AE88" s="13" t="s">
        <v>7293</v>
      </c>
      <c r="AF88" s="13" t="s">
        <v>5510</v>
      </c>
      <c r="AG88" s="13">
        <v>52.0</v>
      </c>
      <c r="AH88" s="13">
        <v>33.0</v>
      </c>
      <c r="AI88" s="13">
        <v>37.0</v>
      </c>
      <c r="AJ88" s="13">
        <v>0.0</v>
      </c>
      <c r="AK88" s="13">
        <v>80.0</v>
      </c>
      <c r="AL88" s="13" t="s">
        <v>5690</v>
      </c>
      <c r="AM88" s="13" t="s">
        <v>5691</v>
      </c>
      <c r="AN88" s="13" t="s">
        <v>5692</v>
      </c>
      <c r="AO88" s="13" t="s">
        <v>5693</v>
      </c>
      <c r="AP88" s="13" t="s">
        <v>5694</v>
      </c>
      <c r="AQ88" s="13" t="s">
        <v>5510</v>
      </c>
      <c r="AR88" s="13" t="s">
        <v>5695</v>
      </c>
      <c r="AS88" s="13" t="s">
        <v>5696</v>
      </c>
      <c r="AT88" s="13" t="s">
        <v>6175</v>
      </c>
      <c r="AU88" s="13">
        <v>2015.0</v>
      </c>
      <c r="AV88" s="13">
        <v>24.0</v>
      </c>
      <c r="AW88" s="13">
        <v>8.0</v>
      </c>
      <c r="AX88" s="13" t="s">
        <v>5510</v>
      </c>
      <c r="AY88" s="13" t="s">
        <v>5510</v>
      </c>
      <c r="AZ88" s="13" t="s">
        <v>5510</v>
      </c>
      <c r="BA88" s="13" t="s">
        <v>5510</v>
      </c>
      <c r="BB88" s="13">
        <v>1975.0</v>
      </c>
      <c r="BC88" s="13">
        <v>1987.0</v>
      </c>
      <c r="BD88" s="13" t="s">
        <v>5510</v>
      </c>
      <c r="BE88" s="13" t="s">
        <v>7294</v>
      </c>
      <c r="BF88" s="52" t="str">
        <f>HYPERLINK("http://dx.doi.org/10.1007/s10531-015-0921-9","http://dx.doi.org/10.1007/s10531-015-0921-9")</f>
        <v>http://dx.doi.org/10.1007/s10531-015-0921-9</v>
      </c>
      <c r="BG88" s="13" t="s">
        <v>5510</v>
      </c>
      <c r="BH88" s="13" t="s">
        <v>5510</v>
      </c>
      <c r="BI88" s="13">
        <v>13.0</v>
      </c>
      <c r="BJ88" s="13" t="s">
        <v>5698</v>
      </c>
      <c r="BK88" s="13" t="s">
        <v>5561</v>
      </c>
      <c r="BL88" s="13" t="s">
        <v>5699</v>
      </c>
      <c r="BM88" s="13" t="s">
        <v>7295</v>
      </c>
      <c r="BN88" s="13" t="s">
        <v>5510</v>
      </c>
      <c r="BO88" s="13" t="s">
        <v>5510</v>
      </c>
      <c r="BP88" s="13" t="s">
        <v>5510</v>
      </c>
      <c r="BQ88" s="13" t="s">
        <v>5510</v>
      </c>
      <c r="BR88" s="13" t="s">
        <v>5538</v>
      </c>
      <c r="BS88" s="13" t="s">
        <v>7296</v>
      </c>
      <c r="BT88" s="13">
        <v>25172.0</v>
      </c>
      <c r="BU88" s="13" t="s">
        <v>5540</v>
      </c>
      <c r="BV88" s="13" t="s">
        <v>4856</v>
      </c>
      <c r="BW88" s="13" t="str">
        <f>VLOOKUP($BT88,Enriched!$A$2:$E$1070,5,false)</f>
        <v>["Biological resource use"]</v>
      </c>
      <c r="BX88" s="13" t="str">
        <f>VLOOKUP($BT88,Enriched!$A$2:$E$1070,4,false)</f>
        <v>["Hunting &amp; collecting terrestrial animals"]</v>
      </c>
      <c r="BY88" s="13" t="b">
        <f>VLOOKUP(BT88,Enriched!$A$1:$AA$1070,27,falsE)</f>
        <v>0</v>
      </c>
      <c r="BZ88" s="2" t="str">
        <f>VLOOKUP(BT88,Enriched!$A$1:$AA$1070,14,falsE)</f>
        <v>level2</v>
      </c>
      <c r="CA88" s="13" t="str">
        <f>HYPERLINK("https%3A%2F%2Fwww.webofscience.com%2Fwos%2Fwoscc%2Ffull-record%2FWOS:000358643500008","View Full Record in Web of Science")</f>
        <v>View Full Record in Web of Science</v>
      </c>
    </row>
    <row r="89" ht="12.75" customHeight="1">
      <c r="A89" s="13" t="s">
        <v>5508</v>
      </c>
      <c r="B89" s="13" t="s">
        <v>7297</v>
      </c>
      <c r="C89" s="13" t="s">
        <v>5510</v>
      </c>
      <c r="D89" s="13" t="s">
        <v>5510</v>
      </c>
      <c r="E89" s="13" t="s">
        <v>5510</v>
      </c>
      <c r="F89" s="13" t="s">
        <v>7298</v>
      </c>
      <c r="G89" s="13" t="s">
        <v>5510</v>
      </c>
      <c r="H89" s="13" t="s">
        <v>5510</v>
      </c>
      <c r="I89" s="13" t="s">
        <v>7299</v>
      </c>
      <c r="J89" s="13" t="s">
        <v>7300</v>
      </c>
      <c r="K89" s="13" t="s">
        <v>5510</v>
      </c>
      <c r="L89" s="13" t="s">
        <v>5510</v>
      </c>
      <c r="M89" s="13" t="s">
        <v>5513</v>
      </c>
      <c r="N89" s="13" t="s">
        <v>5514</v>
      </c>
      <c r="O89" s="13" t="s">
        <v>5510</v>
      </c>
      <c r="P89" s="13" t="s">
        <v>5510</v>
      </c>
      <c r="Q89" s="13" t="s">
        <v>5510</v>
      </c>
      <c r="R89" s="13" t="s">
        <v>5510</v>
      </c>
      <c r="S89" s="13" t="s">
        <v>5510</v>
      </c>
      <c r="T89" s="13" t="s">
        <v>7301</v>
      </c>
      <c r="U89" s="13" t="s">
        <v>7302</v>
      </c>
      <c r="V89" s="13" t="s">
        <v>7303</v>
      </c>
      <c r="W89" s="13" t="s">
        <v>7304</v>
      </c>
      <c r="X89" s="13" t="s">
        <v>7305</v>
      </c>
      <c r="Y89" s="13" t="s">
        <v>7306</v>
      </c>
      <c r="Z89" s="13" t="s">
        <v>7307</v>
      </c>
      <c r="AA89" s="13" t="s">
        <v>7308</v>
      </c>
      <c r="AB89" s="13" t="s">
        <v>7309</v>
      </c>
      <c r="AC89" s="13" t="s">
        <v>7310</v>
      </c>
      <c r="AD89" s="13" t="s">
        <v>7311</v>
      </c>
      <c r="AE89" s="13" t="s">
        <v>7312</v>
      </c>
      <c r="AF89" s="13" t="s">
        <v>5510</v>
      </c>
      <c r="AG89" s="13">
        <v>64.0</v>
      </c>
      <c r="AH89" s="13">
        <v>29.0</v>
      </c>
      <c r="AI89" s="13">
        <v>36.0</v>
      </c>
      <c r="AJ89" s="13">
        <v>0.0</v>
      </c>
      <c r="AK89" s="13">
        <v>49.0</v>
      </c>
      <c r="AL89" s="13" t="s">
        <v>6849</v>
      </c>
      <c r="AM89" s="13" t="s">
        <v>6850</v>
      </c>
      <c r="AN89" s="13" t="s">
        <v>6851</v>
      </c>
      <c r="AO89" s="13" t="s">
        <v>5510</v>
      </c>
      <c r="AP89" s="13" t="s">
        <v>7313</v>
      </c>
      <c r="AQ89" s="13" t="s">
        <v>5510</v>
      </c>
      <c r="AR89" s="13" t="s">
        <v>7314</v>
      </c>
      <c r="AS89" s="13" t="s">
        <v>7315</v>
      </c>
      <c r="AT89" s="13" t="s">
        <v>1925</v>
      </c>
      <c r="AU89" s="13">
        <v>2015.0</v>
      </c>
      <c r="AV89" s="13">
        <v>7.0</v>
      </c>
      <c r="AW89" s="13">
        <v>9.0</v>
      </c>
      <c r="AX89" s="13" t="s">
        <v>5510</v>
      </c>
      <c r="AY89" s="13" t="s">
        <v>5510</v>
      </c>
      <c r="AZ89" s="13" t="s">
        <v>5510</v>
      </c>
      <c r="BA89" s="13" t="s">
        <v>5510</v>
      </c>
      <c r="BB89" s="13">
        <v>11061.0</v>
      </c>
      <c r="BC89" s="13">
        <v>11082.0</v>
      </c>
      <c r="BD89" s="13" t="s">
        <v>5510</v>
      </c>
      <c r="BE89" s="13" t="s">
        <v>7316</v>
      </c>
      <c r="BF89" s="52" t="str">
        <f>HYPERLINK("http://dx.doi.org/10.3390/rs70911061","http://dx.doi.org/10.3390/rs70911061")</f>
        <v>http://dx.doi.org/10.3390/rs70911061</v>
      </c>
      <c r="BG89" s="13" t="s">
        <v>5510</v>
      </c>
      <c r="BH89" s="13" t="s">
        <v>5510</v>
      </c>
      <c r="BI89" s="13">
        <v>22.0</v>
      </c>
      <c r="BJ89" s="13" t="s">
        <v>7317</v>
      </c>
      <c r="BK89" s="13" t="s">
        <v>5561</v>
      </c>
      <c r="BL89" s="13" t="s">
        <v>7318</v>
      </c>
      <c r="BM89" s="13" t="s">
        <v>7319</v>
      </c>
      <c r="BN89" s="13" t="s">
        <v>5510</v>
      </c>
      <c r="BO89" s="13" t="s">
        <v>5564</v>
      </c>
      <c r="BP89" s="13" t="s">
        <v>5510</v>
      </c>
      <c r="BQ89" s="13" t="s">
        <v>5510</v>
      </c>
      <c r="BR89" s="13" t="s">
        <v>5538</v>
      </c>
      <c r="BS89" s="13" t="s">
        <v>7320</v>
      </c>
      <c r="BT89" s="13">
        <v>23343.0</v>
      </c>
      <c r="BU89" s="13" t="s">
        <v>5540</v>
      </c>
      <c r="BV89" s="13" t="s">
        <v>4856</v>
      </c>
      <c r="BW89" s="13" t="str">
        <f>VLOOKUP($BT89,Enriched!$A$2:$E$1070,5,false)</f>
        <v>["Natural System Modifications"]</v>
      </c>
      <c r="BX89" s="13" t="str">
        <f>VLOOKUP($BT89,Enriched!$A$2:$E$1070,4,false)</f>
        <v>["Fire &amp; fire suppression"]</v>
      </c>
      <c r="BY89" s="13" t="b">
        <f>VLOOKUP(BT89,Enriched!$A$1:$AA$1070,27,falsE)</f>
        <v>0</v>
      </c>
      <c r="BZ89" s="2" t="str">
        <f>VLOOKUP(BT89,Enriched!$A$1:$AA$1070,14,falsE)</f>
        <v>level2</v>
      </c>
      <c r="CA89" s="13" t="str">
        <f>HYPERLINK("https%3A%2F%2Fwww.webofscience.com%2Fwos%2Fwoscc%2Ffull-record%2FWOS:000362511400003","View Full Record in Web of Science")</f>
        <v>View Full Record in Web of Science</v>
      </c>
    </row>
    <row r="90" ht="12.75" customHeight="1">
      <c r="A90" s="13" t="s">
        <v>5508</v>
      </c>
      <c r="B90" s="13" t="s">
        <v>7321</v>
      </c>
      <c r="C90" s="13" t="s">
        <v>5510</v>
      </c>
      <c r="D90" s="13" t="s">
        <v>5510</v>
      </c>
      <c r="E90" s="13" t="s">
        <v>5510</v>
      </c>
      <c r="F90" s="13" t="s">
        <v>7322</v>
      </c>
      <c r="G90" s="13" t="s">
        <v>5510</v>
      </c>
      <c r="H90" s="13" t="s">
        <v>5510</v>
      </c>
      <c r="I90" s="13" t="s">
        <v>2820</v>
      </c>
      <c r="J90" s="13" t="s">
        <v>5919</v>
      </c>
      <c r="K90" s="13" t="s">
        <v>5510</v>
      </c>
      <c r="L90" s="13" t="s">
        <v>5510</v>
      </c>
      <c r="M90" s="13" t="s">
        <v>5513</v>
      </c>
      <c r="N90" s="13" t="s">
        <v>5514</v>
      </c>
      <c r="O90" s="13" t="s">
        <v>5510</v>
      </c>
      <c r="P90" s="13" t="s">
        <v>5510</v>
      </c>
      <c r="Q90" s="13" t="s">
        <v>5510</v>
      </c>
      <c r="R90" s="13" t="s">
        <v>5510</v>
      </c>
      <c r="S90" s="13" t="s">
        <v>5510</v>
      </c>
      <c r="T90" s="13" t="s">
        <v>7323</v>
      </c>
      <c r="U90" s="13" t="s">
        <v>7324</v>
      </c>
      <c r="V90" s="13" t="s">
        <v>7325</v>
      </c>
      <c r="W90" s="13" t="s">
        <v>7326</v>
      </c>
      <c r="X90" s="13" t="s">
        <v>7327</v>
      </c>
      <c r="Y90" s="13" t="s">
        <v>7328</v>
      </c>
      <c r="Z90" s="13" t="s">
        <v>7329</v>
      </c>
      <c r="AA90" s="13" t="s">
        <v>5510</v>
      </c>
      <c r="AB90" s="13" t="s">
        <v>7330</v>
      </c>
      <c r="AC90" s="13" t="s">
        <v>5510</v>
      </c>
      <c r="AD90" s="13" t="s">
        <v>5510</v>
      </c>
      <c r="AE90" s="13" t="s">
        <v>5510</v>
      </c>
      <c r="AF90" s="13" t="s">
        <v>5510</v>
      </c>
      <c r="AG90" s="13">
        <v>47.0</v>
      </c>
      <c r="AH90" s="13">
        <v>696.0</v>
      </c>
      <c r="AI90" s="13">
        <v>851.0</v>
      </c>
      <c r="AJ90" s="13">
        <v>8.0</v>
      </c>
      <c r="AK90" s="13">
        <v>594.0</v>
      </c>
      <c r="AL90" s="13" t="s">
        <v>5931</v>
      </c>
      <c r="AM90" s="13" t="s">
        <v>5932</v>
      </c>
      <c r="AN90" s="13" t="s">
        <v>5933</v>
      </c>
      <c r="AO90" s="13" t="s">
        <v>5934</v>
      </c>
      <c r="AP90" s="13" t="s">
        <v>5935</v>
      </c>
      <c r="AQ90" s="13" t="s">
        <v>5510</v>
      </c>
      <c r="AR90" s="13" t="s">
        <v>5936</v>
      </c>
      <c r="AS90" s="13" t="s">
        <v>5937</v>
      </c>
      <c r="AT90" s="13" t="s">
        <v>5720</v>
      </c>
      <c r="AU90" s="13">
        <v>2008.0</v>
      </c>
      <c r="AV90" s="13">
        <v>141.0</v>
      </c>
      <c r="AW90" s="13">
        <v>6.0</v>
      </c>
      <c r="AX90" s="13" t="s">
        <v>5510</v>
      </c>
      <c r="AY90" s="13" t="s">
        <v>5510</v>
      </c>
      <c r="AZ90" s="13" t="s">
        <v>5510</v>
      </c>
      <c r="BA90" s="13" t="s">
        <v>5510</v>
      </c>
      <c r="BB90" s="13">
        <v>1695.0</v>
      </c>
      <c r="BC90" s="13">
        <v>1703.0</v>
      </c>
      <c r="BD90" s="13" t="s">
        <v>5510</v>
      </c>
      <c r="BE90" s="13" t="s">
        <v>7331</v>
      </c>
      <c r="BF90" s="52" t="str">
        <f>HYPERLINK("http://dx.doi.org/10.1016/j.biocon.2008.04.025","http://dx.doi.org/10.1016/j.biocon.2008.04.025")</f>
        <v>http://dx.doi.org/10.1016/j.biocon.2008.04.025</v>
      </c>
      <c r="BG90" s="13" t="s">
        <v>5510</v>
      </c>
      <c r="BH90" s="13" t="s">
        <v>5510</v>
      </c>
      <c r="BI90" s="13">
        <v>9.0</v>
      </c>
      <c r="BJ90" s="13" t="s">
        <v>5698</v>
      </c>
      <c r="BK90" s="13" t="s">
        <v>5534</v>
      </c>
      <c r="BL90" s="13" t="s">
        <v>5699</v>
      </c>
      <c r="BM90" s="13" t="s">
        <v>7332</v>
      </c>
      <c r="BN90" s="13" t="s">
        <v>5510</v>
      </c>
      <c r="BO90" s="13" t="s">
        <v>5510</v>
      </c>
      <c r="BP90" s="13" t="s">
        <v>5510</v>
      </c>
      <c r="BQ90" s="13" t="s">
        <v>5510</v>
      </c>
      <c r="BR90" s="13" t="s">
        <v>5538</v>
      </c>
      <c r="BS90" s="13" t="s">
        <v>7333</v>
      </c>
      <c r="BT90" s="13">
        <v>24748.0</v>
      </c>
      <c r="BU90" s="13" t="s">
        <v>5540</v>
      </c>
      <c r="BV90" s="13" t="s">
        <v>4856</v>
      </c>
      <c r="BW90" s="13" t="str">
        <f>VLOOKUP($BT90,Enriched!$A$2:$E$1070,5,false)</f>
        <v>["Residential &amp; commercial development"]</v>
      </c>
      <c r="BX90" s="13" t="str">
        <f>VLOOKUP($BT90,Enriched!$A$2:$E$1070,4,false)</f>
        <v>["Housing &amp; urban area"]</v>
      </c>
      <c r="BY90" s="13" t="b">
        <f>VLOOKUP(BT90,Enriched!$A$1:$AA$1070,27,falsE)</f>
        <v>0</v>
      </c>
      <c r="BZ90" s="2" t="str">
        <f>VLOOKUP(BT90,Enriched!$A$1:$AA$1070,14,falsE)</f>
        <v>level2</v>
      </c>
      <c r="CA90" s="13" t="str">
        <f>HYPERLINK("https%3A%2F%2Fwww.webofscience.com%2Fwos%2Fwoscc%2Ffull-record%2FWOS:000257536100023","View Full Record in Web of Science")</f>
        <v>View Full Record in Web of Science</v>
      </c>
    </row>
    <row r="91" ht="12.75" customHeight="1">
      <c r="A91" s="13" t="s">
        <v>5508</v>
      </c>
      <c r="B91" s="13" t="s">
        <v>7334</v>
      </c>
      <c r="C91" s="13" t="s">
        <v>5510</v>
      </c>
      <c r="D91" s="13" t="s">
        <v>5510</v>
      </c>
      <c r="E91" s="13" t="s">
        <v>5510</v>
      </c>
      <c r="F91" s="13" t="s">
        <v>7335</v>
      </c>
      <c r="G91" s="13" t="s">
        <v>5510</v>
      </c>
      <c r="H91" s="13" t="s">
        <v>5510</v>
      </c>
      <c r="I91" s="13" t="s">
        <v>7336</v>
      </c>
      <c r="J91" s="13" t="s">
        <v>6836</v>
      </c>
      <c r="K91" s="13" t="s">
        <v>5510</v>
      </c>
      <c r="L91" s="13" t="s">
        <v>5510</v>
      </c>
      <c r="M91" s="13" t="s">
        <v>5513</v>
      </c>
      <c r="N91" s="13" t="s">
        <v>5514</v>
      </c>
      <c r="O91" s="13" t="s">
        <v>5510</v>
      </c>
      <c r="P91" s="13" t="s">
        <v>5510</v>
      </c>
      <c r="Q91" s="13" t="s">
        <v>5510</v>
      </c>
      <c r="R91" s="13" t="s">
        <v>5510</v>
      </c>
      <c r="S91" s="13" t="s">
        <v>5510</v>
      </c>
      <c r="T91" s="13" t="s">
        <v>7337</v>
      </c>
      <c r="U91" s="13" t="s">
        <v>7338</v>
      </c>
      <c r="V91" s="13" t="s">
        <v>7339</v>
      </c>
      <c r="W91" s="13" t="s">
        <v>7340</v>
      </c>
      <c r="X91" s="13" t="s">
        <v>7341</v>
      </c>
      <c r="Y91" s="13" t="s">
        <v>7342</v>
      </c>
      <c r="Z91" s="13" t="s">
        <v>7343</v>
      </c>
      <c r="AA91" s="13" t="s">
        <v>7344</v>
      </c>
      <c r="AB91" s="13" t="s">
        <v>7345</v>
      </c>
      <c r="AC91" s="13" t="s">
        <v>7346</v>
      </c>
      <c r="AD91" s="13" t="s">
        <v>7347</v>
      </c>
      <c r="AE91" s="13" t="s">
        <v>7348</v>
      </c>
      <c r="AF91" s="13" t="s">
        <v>5510</v>
      </c>
      <c r="AG91" s="13">
        <v>56.0</v>
      </c>
      <c r="AH91" s="13">
        <v>11.0</v>
      </c>
      <c r="AI91" s="13">
        <v>12.0</v>
      </c>
      <c r="AJ91" s="13">
        <v>0.0</v>
      </c>
      <c r="AK91" s="13">
        <v>52.0</v>
      </c>
      <c r="AL91" s="13" t="s">
        <v>6849</v>
      </c>
      <c r="AM91" s="13" t="s">
        <v>6850</v>
      </c>
      <c r="AN91" s="13" t="s">
        <v>7349</v>
      </c>
      <c r="AO91" s="13" t="s">
        <v>5510</v>
      </c>
      <c r="AP91" s="13" t="s">
        <v>6852</v>
      </c>
      <c r="AQ91" s="13" t="s">
        <v>5510</v>
      </c>
      <c r="AR91" s="13" t="s">
        <v>6853</v>
      </c>
      <c r="AS91" s="13" t="s">
        <v>1596</v>
      </c>
      <c r="AT91" s="13" t="s">
        <v>5978</v>
      </c>
      <c r="AU91" s="13">
        <v>2019.0</v>
      </c>
      <c r="AV91" s="13">
        <v>11.0</v>
      </c>
      <c r="AW91" s="13">
        <v>23.0</v>
      </c>
      <c r="AX91" s="13" t="s">
        <v>5510</v>
      </c>
      <c r="AY91" s="13" t="s">
        <v>5510</v>
      </c>
      <c r="AZ91" s="13" t="s">
        <v>5510</v>
      </c>
      <c r="BA91" s="13" t="s">
        <v>5510</v>
      </c>
      <c r="BB91" s="13" t="s">
        <v>5510</v>
      </c>
      <c r="BC91" s="13" t="s">
        <v>5510</v>
      </c>
      <c r="BD91" s="13">
        <v>6629.0</v>
      </c>
      <c r="BE91" s="13" t="s">
        <v>7350</v>
      </c>
      <c r="BF91" s="52" t="str">
        <f>HYPERLINK("http://dx.doi.org/10.3390/su11236629","http://dx.doi.org/10.3390/su11236629")</f>
        <v>http://dx.doi.org/10.3390/su11236629</v>
      </c>
      <c r="BG91" s="13" t="s">
        <v>5510</v>
      </c>
      <c r="BH91" s="13" t="s">
        <v>5510</v>
      </c>
      <c r="BI91" s="13">
        <v>17.0</v>
      </c>
      <c r="BJ91" s="13" t="s">
        <v>6855</v>
      </c>
      <c r="BK91" s="13" t="s">
        <v>5534</v>
      </c>
      <c r="BL91" s="13" t="s">
        <v>6488</v>
      </c>
      <c r="BM91" s="13" t="s">
        <v>7351</v>
      </c>
      <c r="BN91" s="13" t="s">
        <v>5510</v>
      </c>
      <c r="BO91" s="13" t="s">
        <v>5564</v>
      </c>
      <c r="BP91" s="13" t="s">
        <v>5510</v>
      </c>
      <c r="BQ91" s="13" t="s">
        <v>5510</v>
      </c>
      <c r="BR91" s="13" t="s">
        <v>5538</v>
      </c>
      <c r="BS91" s="13" t="s">
        <v>7352</v>
      </c>
      <c r="BT91" s="13">
        <v>26135.0</v>
      </c>
      <c r="BU91" s="13" t="s">
        <v>5540</v>
      </c>
      <c r="BV91" s="13" t="s">
        <v>4856</v>
      </c>
      <c r="BW91" s="13" t="str">
        <f>VLOOKUP($BT91,Enriched!$A$2:$E$1070,5,false)</f>
        <v>["Pollution"]</v>
      </c>
      <c r="BX91" s="13" t="str">
        <f>VLOOKUP($BT91,Enriched!$A$2:$E$1070,4,false)</f>
        <v>["Excess energy"]</v>
      </c>
      <c r="BY91" s="13" t="b">
        <f>VLOOKUP(BT91,Enriched!$A$1:$AA$1070,27,falsE)</f>
        <v>0</v>
      </c>
      <c r="BZ91" s="2" t="str">
        <f>VLOOKUP(BT91,Enriched!$A$1:$AA$1070,14,falsE)</f>
        <v>level2</v>
      </c>
      <c r="CA91" s="13" t="str">
        <f>HYPERLINK("https%3A%2F%2Fwww.webofscience.com%2Fwos%2Fwoscc%2Ffull-record%2FWOS:000508186400101","View Full Record in Web of Science")</f>
        <v>View Full Record in Web of Science</v>
      </c>
    </row>
    <row r="92" ht="12.75" customHeight="1">
      <c r="A92" s="13" t="s">
        <v>5508</v>
      </c>
      <c r="B92" s="13" t="s">
        <v>7353</v>
      </c>
      <c r="C92" s="13" t="s">
        <v>5510</v>
      </c>
      <c r="D92" s="13" t="s">
        <v>5510</v>
      </c>
      <c r="E92" s="13" t="s">
        <v>5510</v>
      </c>
      <c r="F92" s="13" t="s">
        <v>7354</v>
      </c>
      <c r="G92" s="13" t="s">
        <v>5510</v>
      </c>
      <c r="H92" s="13" t="s">
        <v>5510</v>
      </c>
      <c r="I92" s="13" t="s">
        <v>7355</v>
      </c>
      <c r="J92" s="13" t="s">
        <v>5543</v>
      </c>
      <c r="K92" s="13" t="s">
        <v>5510</v>
      </c>
      <c r="L92" s="13" t="s">
        <v>5510</v>
      </c>
      <c r="M92" s="13" t="s">
        <v>5513</v>
      </c>
      <c r="N92" s="13" t="s">
        <v>5514</v>
      </c>
      <c r="O92" s="13" t="s">
        <v>5510</v>
      </c>
      <c r="P92" s="13" t="s">
        <v>5510</v>
      </c>
      <c r="Q92" s="13" t="s">
        <v>5510</v>
      </c>
      <c r="R92" s="13" t="s">
        <v>5510</v>
      </c>
      <c r="S92" s="13" t="s">
        <v>5510</v>
      </c>
      <c r="T92" s="13" t="s">
        <v>5510</v>
      </c>
      <c r="U92" s="13" t="s">
        <v>7356</v>
      </c>
      <c r="V92" s="13" t="s">
        <v>7357</v>
      </c>
      <c r="W92" s="13" t="s">
        <v>7358</v>
      </c>
      <c r="X92" s="13" t="s">
        <v>5510</v>
      </c>
      <c r="Y92" s="13" t="s">
        <v>7359</v>
      </c>
      <c r="Z92" s="13" t="s">
        <v>7360</v>
      </c>
      <c r="AA92" s="13" t="s">
        <v>5510</v>
      </c>
      <c r="AB92" s="13" t="s">
        <v>7361</v>
      </c>
      <c r="AC92" s="13" t="s">
        <v>7362</v>
      </c>
      <c r="AD92" s="13" t="s">
        <v>7363</v>
      </c>
      <c r="AE92" s="13" t="s">
        <v>7364</v>
      </c>
      <c r="AF92" s="13" t="s">
        <v>5510</v>
      </c>
      <c r="AG92" s="13">
        <v>55.0</v>
      </c>
      <c r="AH92" s="13">
        <v>75.0</v>
      </c>
      <c r="AI92" s="13">
        <v>83.0</v>
      </c>
      <c r="AJ92" s="13">
        <v>1.0</v>
      </c>
      <c r="AK92" s="13">
        <v>75.0</v>
      </c>
      <c r="AL92" s="13" t="s">
        <v>5552</v>
      </c>
      <c r="AM92" s="13" t="s">
        <v>5553</v>
      </c>
      <c r="AN92" s="13" t="s">
        <v>5554</v>
      </c>
      <c r="AO92" s="13" t="s">
        <v>5555</v>
      </c>
      <c r="AP92" s="13" t="s">
        <v>5510</v>
      </c>
      <c r="AQ92" s="13" t="s">
        <v>5510</v>
      </c>
      <c r="AR92" s="13" t="s">
        <v>5543</v>
      </c>
      <c r="AS92" s="13" t="s">
        <v>5556</v>
      </c>
      <c r="AT92" s="13" t="s">
        <v>7365</v>
      </c>
      <c r="AU92" s="13">
        <v>2014.0</v>
      </c>
      <c r="AV92" s="13">
        <v>9.0</v>
      </c>
      <c r="AW92" s="13">
        <v>12.0</v>
      </c>
      <c r="AX92" s="13" t="s">
        <v>5510</v>
      </c>
      <c r="AY92" s="13" t="s">
        <v>5510</v>
      </c>
      <c r="AZ92" s="13" t="s">
        <v>5510</v>
      </c>
      <c r="BA92" s="13" t="s">
        <v>5510</v>
      </c>
      <c r="BB92" s="13" t="s">
        <v>5510</v>
      </c>
      <c r="BC92" s="13" t="s">
        <v>5510</v>
      </c>
      <c r="BD92" s="13" t="s">
        <v>7366</v>
      </c>
      <c r="BE92" s="13" t="s">
        <v>7367</v>
      </c>
      <c r="BF92" s="52" t="str">
        <f>HYPERLINK("http://dx.doi.org/10.1371/journal.pone.0115535","http://dx.doi.org/10.1371/journal.pone.0115535")</f>
        <v>http://dx.doi.org/10.1371/journal.pone.0115535</v>
      </c>
      <c r="BG92" s="13" t="s">
        <v>5510</v>
      </c>
      <c r="BH92" s="13" t="s">
        <v>5510</v>
      </c>
      <c r="BI92" s="13">
        <v>22.0</v>
      </c>
      <c r="BJ92" s="13" t="s">
        <v>5560</v>
      </c>
      <c r="BK92" s="13" t="s">
        <v>5561</v>
      </c>
      <c r="BL92" s="13" t="s">
        <v>5562</v>
      </c>
      <c r="BM92" s="13" t="s">
        <v>7368</v>
      </c>
      <c r="BN92" s="13">
        <v>2.5532035E7</v>
      </c>
      <c r="BO92" s="13" t="s">
        <v>5564</v>
      </c>
      <c r="BP92" s="13" t="s">
        <v>5510</v>
      </c>
      <c r="BQ92" s="13" t="s">
        <v>5510</v>
      </c>
      <c r="BR92" s="13" t="s">
        <v>5538</v>
      </c>
      <c r="BS92" s="13" t="s">
        <v>7369</v>
      </c>
      <c r="BT92" s="13">
        <v>23353.0</v>
      </c>
      <c r="BU92" s="13" t="s">
        <v>5540</v>
      </c>
      <c r="BV92" s="13" t="s">
        <v>4856</v>
      </c>
      <c r="BW92" s="13" t="str">
        <f>VLOOKUP($BT92,Enriched!$A$2:$E$1070,5,false)</f>
        <v>["Transportation &amp; Service Corridors"]</v>
      </c>
      <c r="BX92" s="13" t="str">
        <f>VLOOKUP($BT92,Enriched!$A$2:$E$1070,4,false)</f>
        <v>["Roads &amp; railroads"]</v>
      </c>
      <c r="BY92" s="13" t="b">
        <f>VLOOKUP(BT92,Enriched!$A$1:$AA$1070,27,falsE)</f>
        <v>0</v>
      </c>
      <c r="BZ92" s="2" t="str">
        <f>VLOOKUP(BT92,Enriched!$A$1:$AA$1070,14,falsE)</f>
        <v>level2</v>
      </c>
      <c r="CA92" s="13" t="str">
        <f>HYPERLINK("https%3A%2F%2Fwww.webofscience.com%2Fwos%2Fwoscc%2Ffull-record%2FWOS:000348845100074","View Full Record in Web of Science")</f>
        <v>View Full Record in Web of Science</v>
      </c>
    </row>
    <row r="93" ht="12.75" customHeight="1">
      <c r="A93" s="13" t="s">
        <v>5508</v>
      </c>
      <c r="B93" s="13" t="s">
        <v>7370</v>
      </c>
      <c r="C93" s="13" t="s">
        <v>5510</v>
      </c>
      <c r="D93" s="13" t="s">
        <v>5510</v>
      </c>
      <c r="E93" s="13" t="s">
        <v>5510</v>
      </c>
      <c r="F93" s="13" t="s">
        <v>7371</v>
      </c>
      <c r="G93" s="13" t="s">
        <v>5510</v>
      </c>
      <c r="H93" s="13" t="s">
        <v>5510</v>
      </c>
      <c r="I93" s="13" t="s">
        <v>2812</v>
      </c>
      <c r="J93" s="13" t="s">
        <v>7372</v>
      </c>
      <c r="K93" s="13" t="s">
        <v>5510</v>
      </c>
      <c r="L93" s="13" t="s">
        <v>5510</v>
      </c>
      <c r="M93" s="13" t="s">
        <v>5513</v>
      </c>
      <c r="N93" s="13" t="s">
        <v>5514</v>
      </c>
      <c r="O93" s="13" t="s">
        <v>5510</v>
      </c>
      <c r="P93" s="13" t="s">
        <v>5510</v>
      </c>
      <c r="Q93" s="13" t="s">
        <v>5510</v>
      </c>
      <c r="R93" s="13" t="s">
        <v>5510</v>
      </c>
      <c r="S93" s="13" t="s">
        <v>5510</v>
      </c>
      <c r="T93" s="13" t="s">
        <v>7373</v>
      </c>
      <c r="U93" s="13" t="s">
        <v>7374</v>
      </c>
      <c r="V93" s="13" t="s">
        <v>7375</v>
      </c>
      <c r="W93" s="13" t="s">
        <v>7376</v>
      </c>
      <c r="X93" s="13" t="s">
        <v>7377</v>
      </c>
      <c r="Y93" s="13" t="s">
        <v>7378</v>
      </c>
      <c r="Z93" s="13" t="s">
        <v>7379</v>
      </c>
      <c r="AA93" s="13" t="s">
        <v>7380</v>
      </c>
      <c r="AB93" s="13" t="s">
        <v>7381</v>
      </c>
      <c r="AC93" s="13" t="s">
        <v>7382</v>
      </c>
      <c r="AD93" s="13" t="s">
        <v>7383</v>
      </c>
      <c r="AE93" s="13" t="s">
        <v>7384</v>
      </c>
      <c r="AF93" s="13" t="s">
        <v>5510</v>
      </c>
      <c r="AG93" s="13">
        <v>69.0</v>
      </c>
      <c r="AH93" s="13">
        <v>82.0</v>
      </c>
      <c r="AI93" s="13">
        <v>91.0</v>
      </c>
      <c r="AJ93" s="13">
        <v>1.0</v>
      </c>
      <c r="AK93" s="13">
        <v>71.0</v>
      </c>
      <c r="AL93" s="13" t="s">
        <v>7385</v>
      </c>
      <c r="AM93" s="13" t="s">
        <v>7386</v>
      </c>
      <c r="AN93" s="13" t="s">
        <v>7387</v>
      </c>
      <c r="AO93" s="13" t="s">
        <v>7388</v>
      </c>
      <c r="AP93" s="13" t="s">
        <v>7389</v>
      </c>
      <c r="AQ93" s="13" t="s">
        <v>5510</v>
      </c>
      <c r="AR93" s="13" t="s">
        <v>7390</v>
      </c>
      <c r="AS93" s="13" t="s">
        <v>7391</v>
      </c>
      <c r="AT93" s="13" t="s">
        <v>7392</v>
      </c>
      <c r="AU93" s="13">
        <v>2016.0</v>
      </c>
      <c r="AV93" s="13">
        <v>150.0</v>
      </c>
      <c r="AW93" s="13">
        <v>1.0</v>
      </c>
      <c r="AX93" s="13" t="s">
        <v>5510</v>
      </c>
      <c r="AY93" s="13" t="s">
        <v>5510</v>
      </c>
      <c r="AZ93" s="13" t="s">
        <v>5510</v>
      </c>
      <c r="BA93" s="13" t="s">
        <v>5510</v>
      </c>
      <c r="BB93" s="13">
        <v>73.0</v>
      </c>
      <c r="BC93" s="13">
        <v>82.0</v>
      </c>
      <c r="BD93" s="13" t="s">
        <v>5510</v>
      </c>
      <c r="BE93" s="13" t="s">
        <v>7393</v>
      </c>
      <c r="BF93" s="52" t="str">
        <f>HYPERLINK("http://dx.doi.org/10.1080/11263504.2014.913730","http://dx.doi.org/10.1080/11263504.2014.913730")</f>
        <v>http://dx.doi.org/10.1080/11263504.2014.913730</v>
      </c>
      <c r="BG93" s="13" t="s">
        <v>5510</v>
      </c>
      <c r="BH93" s="13" t="s">
        <v>5510</v>
      </c>
      <c r="BI93" s="13">
        <v>10.0</v>
      </c>
      <c r="BJ93" s="13" t="s">
        <v>7394</v>
      </c>
      <c r="BK93" s="13" t="s">
        <v>5561</v>
      </c>
      <c r="BL93" s="13" t="s">
        <v>7394</v>
      </c>
      <c r="BM93" s="13" t="s">
        <v>7395</v>
      </c>
      <c r="BN93" s="13" t="s">
        <v>5510</v>
      </c>
      <c r="BO93" s="13" t="s">
        <v>5510</v>
      </c>
      <c r="BP93" s="13" t="s">
        <v>5510</v>
      </c>
      <c r="BQ93" s="13" t="s">
        <v>5510</v>
      </c>
      <c r="BR93" s="13" t="s">
        <v>5538</v>
      </c>
      <c r="BS93" s="13" t="s">
        <v>7396</v>
      </c>
      <c r="BT93" s="13">
        <v>24667.0</v>
      </c>
      <c r="BU93" s="13" t="s">
        <v>5540</v>
      </c>
      <c r="BV93" s="13" t="s">
        <v>4856</v>
      </c>
      <c r="BW93" s="13" t="str">
        <f>VLOOKUP($BT93,Enriched!$A$2:$E$1070,5,false)</f>
        <v>["Residential &amp; commercial development"]</v>
      </c>
      <c r="BX93" s="13" t="str">
        <f>VLOOKUP($BT93,Enriched!$A$2:$E$1070,4,false)</f>
        <v>["Housing &amp; urban area"]</v>
      </c>
      <c r="BY93" s="13" t="b">
        <f>VLOOKUP(BT93,Enriched!$A$1:$AA$1070,27,falsE)</f>
        <v>0</v>
      </c>
      <c r="BZ93" s="2" t="str">
        <f>VLOOKUP(BT93,Enriched!$A$1:$AA$1070,14,falsE)</f>
        <v>level2</v>
      </c>
      <c r="CA93" s="13" t="str">
        <f>HYPERLINK("https%3A%2F%2Fwww.webofscience.com%2Fwos%2Fwoscc%2Ffull-record%2FWOS:000370967200009","View Full Record in Web of Science")</f>
        <v>View Full Record in Web of Science</v>
      </c>
    </row>
    <row r="94" ht="12.75" customHeight="1">
      <c r="A94" s="13" t="s">
        <v>5508</v>
      </c>
      <c r="B94" s="13" t="s">
        <v>7397</v>
      </c>
      <c r="C94" s="13" t="s">
        <v>5510</v>
      </c>
      <c r="D94" s="13" t="s">
        <v>5510</v>
      </c>
      <c r="E94" s="13" t="s">
        <v>5510</v>
      </c>
      <c r="F94" s="13" t="s">
        <v>7398</v>
      </c>
      <c r="G94" s="13" t="s">
        <v>5510</v>
      </c>
      <c r="H94" s="13" t="s">
        <v>5510</v>
      </c>
      <c r="I94" s="2" t="s">
        <v>2810</v>
      </c>
      <c r="J94" s="13" t="s">
        <v>5543</v>
      </c>
      <c r="K94" s="13" t="s">
        <v>5510</v>
      </c>
      <c r="L94" s="13" t="s">
        <v>5510</v>
      </c>
      <c r="M94" s="13" t="s">
        <v>5513</v>
      </c>
      <c r="N94" s="13" t="s">
        <v>5514</v>
      </c>
      <c r="O94" s="13" t="s">
        <v>5510</v>
      </c>
      <c r="P94" s="13" t="s">
        <v>5510</v>
      </c>
      <c r="Q94" s="13" t="s">
        <v>5510</v>
      </c>
      <c r="R94" s="13" t="s">
        <v>5510</v>
      </c>
      <c r="S94" s="13" t="s">
        <v>5510</v>
      </c>
      <c r="T94" s="13" t="s">
        <v>5510</v>
      </c>
      <c r="U94" s="13" t="s">
        <v>7399</v>
      </c>
      <c r="V94" s="13" t="s">
        <v>7400</v>
      </c>
      <c r="W94" s="13" t="s">
        <v>7401</v>
      </c>
      <c r="X94" s="13" t="s">
        <v>7402</v>
      </c>
      <c r="Y94" s="13" t="s">
        <v>7403</v>
      </c>
      <c r="Z94" s="13" t="s">
        <v>7404</v>
      </c>
      <c r="AA94" s="13" t="s">
        <v>7405</v>
      </c>
      <c r="AB94" s="13" t="s">
        <v>7406</v>
      </c>
      <c r="AC94" s="13" t="s">
        <v>7407</v>
      </c>
      <c r="AD94" s="13" t="s">
        <v>7407</v>
      </c>
      <c r="AE94" s="13" t="s">
        <v>7408</v>
      </c>
      <c r="AF94" s="13" t="s">
        <v>5510</v>
      </c>
      <c r="AG94" s="13">
        <v>97.0</v>
      </c>
      <c r="AH94" s="13">
        <v>16.0</v>
      </c>
      <c r="AI94" s="13">
        <v>21.0</v>
      </c>
      <c r="AJ94" s="13">
        <v>1.0</v>
      </c>
      <c r="AK94" s="13">
        <v>14.0</v>
      </c>
      <c r="AL94" s="13" t="s">
        <v>5552</v>
      </c>
      <c r="AM94" s="13" t="s">
        <v>5553</v>
      </c>
      <c r="AN94" s="13" t="s">
        <v>5554</v>
      </c>
      <c r="AO94" s="13" t="s">
        <v>5555</v>
      </c>
      <c r="AP94" s="13" t="s">
        <v>5510</v>
      </c>
      <c r="AQ94" s="13" t="s">
        <v>5510</v>
      </c>
      <c r="AR94" s="13" t="s">
        <v>5543</v>
      </c>
      <c r="AS94" s="13" t="s">
        <v>5556</v>
      </c>
      <c r="AT94" s="13" t="s">
        <v>7409</v>
      </c>
      <c r="AU94" s="13">
        <v>2019.0</v>
      </c>
      <c r="AV94" s="13">
        <v>14.0</v>
      </c>
      <c r="AW94" s="13">
        <v>2.0</v>
      </c>
      <c r="AX94" s="13" t="s">
        <v>5510</v>
      </c>
      <c r="AY94" s="13" t="s">
        <v>5510</v>
      </c>
      <c r="AZ94" s="13" t="s">
        <v>5510</v>
      </c>
      <c r="BA94" s="13" t="s">
        <v>5510</v>
      </c>
      <c r="BB94" s="13" t="s">
        <v>5510</v>
      </c>
      <c r="BC94" s="13" t="s">
        <v>5510</v>
      </c>
      <c r="BD94" s="13" t="s">
        <v>7410</v>
      </c>
      <c r="BE94" s="13" t="s">
        <v>7411</v>
      </c>
      <c r="BF94" s="52" t="str">
        <f>HYPERLINK("http://dx.doi.org/10.1371/journal.pone.0212485","http://dx.doi.org/10.1371/journal.pone.0212485")</f>
        <v>http://dx.doi.org/10.1371/journal.pone.0212485</v>
      </c>
      <c r="BG94" s="13" t="s">
        <v>5510</v>
      </c>
      <c r="BH94" s="13" t="s">
        <v>5510</v>
      </c>
      <c r="BI94" s="13">
        <v>32.0</v>
      </c>
      <c r="BJ94" s="13" t="s">
        <v>5560</v>
      </c>
      <c r="BK94" s="13" t="s">
        <v>5561</v>
      </c>
      <c r="BL94" s="13" t="s">
        <v>5562</v>
      </c>
      <c r="BM94" s="13" t="s">
        <v>7412</v>
      </c>
      <c r="BN94" s="13">
        <v>3.0794609E7</v>
      </c>
      <c r="BO94" s="13" t="s">
        <v>5564</v>
      </c>
      <c r="BP94" s="13" t="s">
        <v>5510</v>
      </c>
      <c r="BQ94" s="13" t="s">
        <v>5510</v>
      </c>
      <c r="BR94" s="13" t="s">
        <v>5538</v>
      </c>
      <c r="BS94" s="13" t="s">
        <v>7413</v>
      </c>
      <c r="BT94" s="13">
        <v>25193.0</v>
      </c>
      <c r="BU94" s="13" t="s">
        <v>5540</v>
      </c>
      <c r="BV94" s="13" t="s">
        <v>4864</v>
      </c>
      <c r="BW94" s="13" t="str">
        <f>VLOOKUP($BT94,Enriched!$A$2:$E$1070,5,false)</f>
        <v>["Biological resource use"]</v>
      </c>
      <c r="BX94" s="13" t="str">
        <f>VLOOKUP($BT94,Enriched!$A$2:$E$1070,4,false)</f>
        <v>["Fishing &amp; harvesting aquatic resources"]</v>
      </c>
      <c r="BY94" s="13" t="b">
        <f>VLOOKUP(BT94,Enriched!$A$1:$AA$1070,27,falsE)</f>
        <v>0</v>
      </c>
      <c r="BZ94" s="2" t="str">
        <f>VLOOKUP(BT94,Enriched!$A$1:$AA$1070,14,falsE)</f>
        <v>level2</v>
      </c>
      <c r="CA94" s="13" t="str">
        <f>HYPERLINK("https%3A%2F%2Fwww.webofscience.com%2Fwos%2Fwoscc%2Ffull-record%2FWOS:000459709100076","View Full Record in Web of Science")</f>
        <v>View Full Record in Web of Science</v>
      </c>
    </row>
    <row r="95" ht="12.75" customHeight="1">
      <c r="A95" s="13" t="s">
        <v>5508</v>
      </c>
      <c r="B95" s="13" t="s">
        <v>7414</v>
      </c>
      <c r="C95" s="13" t="s">
        <v>5510</v>
      </c>
      <c r="D95" s="13" t="s">
        <v>5510</v>
      </c>
      <c r="E95" s="13" t="s">
        <v>5510</v>
      </c>
      <c r="F95" s="13" t="s">
        <v>7415</v>
      </c>
      <c r="G95" s="13" t="s">
        <v>5510</v>
      </c>
      <c r="H95" s="13" t="s">
        <v>5510</v>
      </c>
      <c r="I95" s="13" t="s">
        <v>2806</v>
      </c>
      <c r="J95" s="13" t="s">
        <v>7416</v>
      </c>
      <c r="K95" s="13" t="s">
        <v>5510</v>
      </c>
      <c r="L95" s="13" t="s">
        <v>5510</v>
      </c>
      <c r="M95" s="13" t="s">
        <v>5513</v>
      </c>
      <c r="N95" s="13" t="s">
        <v>5514</v>
      </c>
      <c r="O95" s="13" t="s">
        <v>5510</v>
      </c>
      <c r="P95" s="13" t="s">
        <v>5510</v>
      </c>
      <c r="Q95" s="13" t="s">
        <v>5510</v>
      </c>
      <c r="R95" s="13" t="s">
        <v>5510</v>
      </c>
      <c r="S95" s="13" t="s">
        <v>5510</v>
      </c>
      <c r="T95" s="13" t="s">
        <v>7417</v>
      </c>
      <c r="U95" s="13" t="s">
        <v>7418</v>
      </c>
      <c r="V95" s="13" t="s">
        <v>7419</v>
      </c>
      <c r="W95" s="13" t="s">
        <v>7420</v>
      </c>
      <c r="X95" s="13" t="s">
        <v>7421</v>
      </c>
      <c r="Y95" s="13" t="s">
        <v>7422</v>
      </c>
      <c r="Z95" s="13" t="s">
        <v>7423</v>
      </c>
      <c r="AA95" s="13" t="s">
        <v>7424</v>
      </c>
      <c r="AB95" s="13" t="s">
        <v>7425</v>
      </c>
      <c r="AC95" s="13" t="s">
        <v>7426</v>
      </c>
      <c r="AD95" s="13" t="s">
        <v>7427</v>
      </c>
      <c r="AE95" s="13" t="s">
        <v>7428</v>
      </c>
      <c r="AF95" s="13" t="s">
        <v>5510</v>
      </c>
      <c r="AG95" s="13">
        <v>81.0</v>
      </c>
      <c r="AH95" s="13">
        <v>44.0</v>
      </c>
      <c r="AI95" s="13">
        <v>50.0</v>
      </c>
      <c r="AJ95" s="13">
        <v>0.0</v>
      </c>
      <c r="AK95" s="13">
        <v>57.0</v>
      </c>
      <c r="AL95" s="13" t="s">
        <v>5759</v>
      </c>
      <c r="AM95" s="13" t="s">
        <v>5760</v>
      </c>
      <c r="AN95" s="13" t="s">
        <v>5761</v>
      </c>
      <c r="AO95" s="13" t="s">
        <v>7429</v>
      </c>
      <c r="AP95" s="13" t="s">
        <v>7430</v>
      </c>
      <c r="AQ95" s="13" t="s">
        <v>5510</v>
      </c>
      <c r="AR95" s="13" t="s">
        <v>7431</v>
      </c>
      <c r="AS95" s="13" t="s">
        <v>7432</v>
      </c>
      <c r="AT95" s="13" t="s">
        <v>2514</v>
      </c>
      <c r="AU95" s="13">
        <v>2020.0</v>
      </c>
      <c r="AV95" s="13">
        <v>168.0</v>
      </c>
      <c r="AW95" s="13" t="s">
        <v>5510</v>
      </c>
      <c r="AX95" s="13" t="s">
        <v>5510</v>
      </c>
      <c r="AY95" s="13" t="s">
        <v>5510</v>
      </c>
      <c r="AZ95" s="13" t="s">
        <v>5510</v>
      </c>
      <c r="BA95" s="13" t="s">
        <v>5510</v>
      </c>
      <c r="BB95" s="13">
        <v>41.0</v>
      </c>
      <c r="BC95" s="13">
        <v>55.0</v>
      </c>
      <c r="BD95" s="13" t="s">
        <v>5510</v>
      </c>
      <c r="BE95" s="13" t="s">
        <v>7433</v>
      </c>
      <c r="BF95" s="52" t="str">
        <f>HYPERLINK("http://dx.doi.org/10.1016/j.isprsjprs.2020.07.019","http://dx.doi.org/10.1016/j.isprsjprs.2020.07.019")</f>
        <v>http://dx.doi.org/10.1016/j.isprsjprs.2020.07.019</v>
      </c>
      <c r="BG95" s="13" t="s">
        <v>5510</v>
      </c>
      <c r="BH95" s="13" t="s">
        <v>5510</v>
      </c>
      <c r="BI95" s="13">
        <v>15.0</v>
      </c>
      <c r="BJ95" s="13" t="s">
        <v>7434</v>
      </c>
      <c r="BK95" s="13" t="s">
        <v>5561</v>
      </c>
      <c r="BL95" s="13" t="s">
        <v>7435</v>
      </c>
      <c r="BM95" s="13" t="s">
        <v>7436</v>
      </c>
      <c r="BN95" s="13" t="s">
        <v>5510</v>
      </c>
      <c r="BO95" s="13" t="s">
        <v>5510</v>
      </c>
      <c r="BP95" s="13" t="s">
        <v>5510</v>
      </c>
      <c r="BQ95" s="13" t="s">
        <v>5510</v>
      </c>
      <c r="BR95" s="13" t="s">
        <v>5538</v>
      </c>
      <c r="BS95" s="13" t="s">
        <v>7437</v>
      </c>
      <c r="BT95" s="13">
        <v>25766.0</v>
      </c>
      <c r="BU95" s="13" t="s">
        <v>5540</v>
      </c>
      <c r="BV95" s="13" t="s">
        <v>4852</v>
      </c>
      <c r="BW95" s="13" t="str">
        <f>VLOOKUP($BT95,Enriched!$A$2:$E$1070,5,false)</f>
        <v>["Agriculture &amp; Aquaculture"]</v>
      </c>
      <c r="BX95" s="13" t="str">
        <f>VLOOKUP($BT95,Enriched!$A$2:$E$1070,4,false)</f>
        <v>["Annual &amp; perennial non-timber crops", "Wood &amp; pulp plantations", "Livestock farming &amp; ranching"]</v>
      </c>
      <c r="BY95" s="13" t="b">
        <f>VLOOKUP(BT95,Enriched!$A$1:$AA$1070,27,falsE)</f>
        <v>0</v>
      </c>
      <c r="BZ95" s="2" t="str">
        <f>VLOOKUP(BT95,Enriched!$A$1:$AA$1070,14,falsE)</f>
        <v>level2</v>
      </c>
      <c r="CA95" s="13" t="str">
        <f>HYPERLINK("https%3A%2F%2Fwww.webofscience.com%2Fwos%2Fwoscc%2Ffull-record%2FWOS:000567932300004","View Full Record in Web of Science")</f>
        <v>View Full Record in Web of Science</v>
      </c>
    </row>
    <row r="96" ht="12.75" customHeight="1">
      <c r="A96" s="13" t="s">
        <v>5508</v>
      </c>
      <c r="B96" s="13" t="s">
        <v>7438</v>
      </c>
      <c r="C96" s="13" t="s">
        <v>5510</v>
      </c>
      <c r="D96" s="13" t="s">
        <v>5510</v>
      </c>
      <c r="E96" s="13" t="s">
        <v>5510</v>
      </c>
      <c r="F96" s="13" t="s">
        <v>7439</v>
      </c>
      <c r="G96" s="13" t="s">
        <v>5510</v>
      </c>
      <c r="H96" s="13" t="s">
        <v>5510</v>
      </c>
      <c r="I96" s="13" t="s">
        <v>2802</v>
      </c>
      <c r="J96" s="13" t="s">
        <v>7440</v>
      </c>
      <c r="K96" s="13" t="s">
        <v>5510</v>
      </c>
      <c r="L96" s="13" t="s">
        <v>5510</v>
      </c>
      <c r="M96" s="13" t="s">
        <v>5513</v>
      </c>
      <c r="N96" s="13" t="s">
        <v>5514</v>
      </c>
      <c r="O96" s="13" t="s">
        <v>5510</v>
      </c>
      <c r="P96" s="13" t="s">
        <v>5510</v>
      </c>
      <c r="Q96" s="13" t="s">
        <v>5510</v>
      </c>
      <c r="R96" s="13" t="s">
        <v>5510</v>
      </c>
      <c r="S96" s="13" t="s">
        <v>5510</v>
      </c>
      <c r="T96" s="13" t="s">
        <v>7441</v>
      </c>
      <c r="U96" s="13" t="s">
        <v>7442</v>
      </c>
      <c r="V96" s="13" t="s">
        <v>7443</v>
      </c>
      <c r="W96" s="13" t="s">
        <v>7444</v>
      </c>
      <c r="X96" s="13" t="s">
        <v>7445</v>
      </c>
      <c r="Y96" s="13" t="s">
        <v>7446</v>
      </c>
      <c r="Z96" s="13" t="s">
        <v>7447</v>
      </c>
      <c r="AA96" s="13" t="s">
        <v>5510</v>
      </c>
      <c r="AB96" s="13" t="s">
        <v>5510</v>
      </c>
      <c r="AC96" s="13" t="s">
        <v>7448</v>
      </c>
      <c r="AD96" s="13" t="s">
        <v>7448</v>
      </c>
      <c r="AE96" s="13" t="s">
        <v>7449</v>
      </c>
      <c r="AF96" s="13" t="s">
        <v>5510</v>
      </c>
      <c r="AG96" s="13">
        <v>68.0</v>
      </c>
      <c r="AH96" s="13">
        <v>49.0</v>
      </c>
      <c r="AI96" s="13">
        <v>52.0</v>
      </c>
      <c r="AJ96" s="13">
        <v>1.0</v>
      </c>
      <c r="AK96" s="13">
        <v>57.0</v>
      </c>
      <c r="AL96" s="13" t="s">
        <v>7450</v>
      </c>
      <c r="AM96" s="13" t="s">
        <v>6046</v>
      </c>
      <c r="AN96" s="13" t="s">
        <v>7451</v>
      </c>
      <c r="AO96" s="13" t="s">
        <v>7452</v>
      </c>
      <c r="AP96" s="13" t="s">
        <v>7453</v>
      </c>
      <c r="AQ96" s="13" t="s">
        <v>5510</v>
      </c>
      <c r="AR96" s="13" t="s">
        <v>7454</v>
      </c>
      <c r="AS96" s="13" t="s">
        <v>7455</v>
      </c>
      <c r="AT96" s="13" t="s">
        <v>7456</v>
      </c>
      <c r="AU96" s="13">
        <v>2015.0</v>
      </c>
      <c r="AV96" s="13">
        <v>165.0</v>
      </c>
      <c r="AW96" s="13" t="s">
        <v>5510</v>
      </c>
      <c r="AX96" s="13" t="s">
        <v>5510</v>
      </c>
      <c r="AY96" s="13" t="s">
        <v>5510</v>
      </c>
      <c r="AZ96" s="13" t="s">
        <v>5510</v>
      </c>
      <c r="BA96" s="13" t="s">
        <v>5510</v>
      </c>
      <c r="BB96" s="13">
        <v>204.0</v>
      </c>
      <c r="BC96" s="13">
        <v>212.0</v>
      </c>
      <c r="BD96" s="13" t="s">
        <v>5510</v>
      </c>
      <c r="BE96" s="13" t="s">
        <v>7457</v>
      </c>
      <c r="BF96" s="52" t="str">
        <f>HYPERLINK("http://dx.doi.org/10.1016/j.ecss.2015.05.017","http://dx.doi.org/10.1016/j.ecss.2015.05.017")</f>
        <v>http://dx.doi.org/10.1016/j.ecss.2015.05.017</v>
      </c>
      <c r="BG96" s="13" t="s">
        <v>5510</v>
      </c>
      <c r="BH96" s="13" t="s">
        <v>5510</v>
      </c>
      <c r="BI96" s="13">
        <v>9.0</v>
      </c>
      <c r="BJ96" s="13" t="s">
        <v>7458</v>
      </c>
      <c r="BK96" s="13" t="s">
        <v>5561</v>
      </c>
      <c r="BL96" s="13" t="s">
        <v>7458</v>
      </c>
      <c r="BM96" s="13" t="s">
        <v>7459</v>
      </c>
      <c r="BN96" s="13" t="s">
        <v>5510</v>
      </c>
      <c r="BO96" s="13" t="s">
        <v>6623</v>
      </c>
      <c r="BP96" s="13" t="s">
        <v>5510</v>
      </c>
      <c r="BQ96" s="13" t="s">
        <v>5510</v>
      </c>
      <c r="BR96" s="13" t="s">
        <v>5538</v>
      </c>
      <c r="BS96" s="13" t="s">
        <v>7460</v>
      </c>
      <c r="BT96" s="13">
        <v>24228.0</v>
      </c>
      <c r="BU96" s="13" t="s">
        <v>5540</v>
      </c>
      <c r="BV96" s="13" t="s">
        <v>4864</v>
      </c>
      <c r="BW96" s="13" t="str">
        <f>VLOOKUP($BT96,Enriched!$A$2:$E$1070,5,false)</f>
        <v>["Residential &amp; Commercial Development", "Transportation &amp; Service Corridors"]</v>
      </c>
      <c r="BX96" s="13" t="str">
        <f>VLOOKUP($BT96,Enriched!$A$2:$E$1070,4,false)</f>
        <v>["Commercial &amp; industrial areas", "Tourism &amp; recreation areas", "Utility &amp; service lines"]</v>
      </c>
      <c r="BY96" s="13" t="b">
        <f>VLOOKUP(BT96,Enriched!$A$1:$AA$1070,27,falsE)</f>
        <v>0</v>
      </c>
      <c r="BZ96" s="2" t="str">
        <f>VLOOKUP(BT96,Enriched!$A$1:$AA$1070,14,falsE)</f>
        <v>level2</v>
      </c>
      <c r="CA96" s="13" t="str">
        <f>HYPERLINK("https%3A%2F%2Fwww.webofscience.com%2Fwos%2Fwoscc%2Ffull-record%2FWOS:000367119500024","View Full Record in Web of Science")</f>
        <v>View Full Record in Web of Science</v>
      </c>
    </row>
    <row r="97" ht="12.75" customHeight="1">
      <c r="A97" s="13" t="s">
        <v>5508</v>
      </c>
      <c r="B97" s="13" t="s">
        <v>7461</v>
      </c>
      <c r="C97" s="13" t="s">
        <v>5510</v>
      </c>
      <c r="D97" s="13" t="s">
        <v>5510</v>
      </c>
      <c r="E97" s="13" t="s">
        <v>5510</v>
      </c>
      <c r="F97" s="13" t="s">
        <v>7462</v>
      </c>
      <c r="G97" s="13" t="s">
        <v>5510</v>
      </c>
      <c r="H97" s="13" t="s">
        <v>5510</v>
      </c>
      <c r="I97" s="13" t="s">
        <v>2800</v>
      </c>
      <c r="J97" s="13" t="s">
        <v>5677</v>
      </c>
      <c r="K97" s="13" t="s">
        <v>5510</v>
      </c>
      <c r="L97" s="13" t="s">
        <v>5510</v>
      </c>
      <c r="M97" s="13" t="s">
        <v>5513</v>
      </c>
      <c r="N97" s="13" t="s">
        <v>5514</v>
      </c>
      <c r="O97" s="13" t="s">
        <v>5510</v>
      </c>
      <c r="P97" s="13" t="s">
        <v>5510</v>
      </c>
      <c r="Q97" s="13" t="s">
        <v>5510</v>
      </c>
      <c r="R97" s="13" t="s">
        <v>5510</v>
      </c>
      <c r="S97" s="13" t="s">
        <v>5510</v>
      </c>
      <c r="T97" s="13" t="s">
        <v>7463</v>
      </c>
      <c r="U97" s="13" t="s">
        <v>7464</v>
      </c>
      <c r="V97" s="13" t="s">
        <v>7465</v>
      </c>
      <c r="W97" s="13" t="s">
        <v>7466</v>
      </c>
      <c r="X97" s="13" t="s">
        <v>7467</v>
      </c>
      <c r="Y97" s="13" t="s">
        <v>7468</v>
      </c>
      <c r="Z97" s="13" t="s">
        <v>7469</v>
      </c>
      <c r="AA97" s="13" t="s">
        <v>7470</v>
      </c>
      <c r="AB97" s="13" t="s">
        <v>7471</v>
      </c>
      <c r="AC97" s="13" t="s">
        <v>5510</v>
      </c>
      <c r="AD97" s="13" t="s">
        <v>5510</v>
      </c>
      <c r="AE97" s="13" t="s">
        <v>5510</v>
      </c>
      <c r="AF97" s="13" t="s">
        <v>5510</v>
      </c>
      <c r="AG97" s="13">
        <v>81.0</v>
      </c>
      <c r="AH97" s="13">
        <v>41.0</v>
      </c>
      <c r="AI97" s="13">
        <v>45.0</v>
      </c>
      <c r="AJ97" s="13">
        <v>0.0</v>
      </c>
      <c r="AK97" s="13">
        <v>27.0</v>
      </c>
      <c r="AL97" s="13" t="s">
        <v>5690</v>
      </c>
      <c r="AM97" s="13" t="s">
        <v>5691</v>
      </c>
      <c r="AN97" s="13" t="s">
        <v>5692</v>
      </c>
      <c r="AO97" s="13" t="s">
        <v>5693</v>
      </c>
      <c r="AP97" s="13" t="s">
        <v>5694</v>
      </c>
      <c r="AQ97" s="13" t="s">
        <v>5510</v>
      </c>
      <c r="AR97" s="13" t="s">
        <v>5695</v>
      </c>
      <c r="AS97" s="13" t="s">
        <v>5696</v>
      </c>
      <c r="AT97" s="13" t="s">
        <v>1453</v>
      </c>
      <c r="AU97" s="13">
        <v>2007.0</v>
      </c>
      <c r="AV97" s="13">
        <v>16.0</v>
      </c>
      <c r="AW97" s="13">
        <v>12.0</v>
      </c>
      <c r="AX97" s="13" t="s">
        <v>5510</v>
      </c>
      <c r="AY97" s="13" t="s">
        <v>5510</v>
      </c>
      <c r="AZ97" s="13" t="s">
        <v>5510</v>
      </c>
      <c r="BA97" s="13" t="s">
        <v>5510</v>
      </c>
      <c r="BB97" s="13">
        <v>3361.0</v>
      </c>
      <c r="BC97" s="13">
        <v>3376.0</v>
      </c>
      <c r="BD97" s="13" t="s">
        <v>5510</v>
      </c>
      <c r="BE97" s="13" t="s">
        <v>7472</v>
      </c>
      <c r="BF97" s="52" t="str">
        <f>HYPERLINK("http://dx.doi.org/10.1007/s10531-006-9032-y","http://dx.doi.org/10.1007/s10531-006-9032-y")</f>
        <v>http://dx.doi.org/10.1007/s10531-006-9032-y</v>
      </c>
      <c r="BG97" s="13" t="s">
        <v>5510</v>
      </c>
      <c r="BH97" s="13" t="s">
        <v>5510</v>
      </c>
      <c r="BI97" s="13">
        <v>16.0</v>
      </c>
      <c r="BJ97" s="13" t="s">
        <v>5698</v>
      </c>
      <c r="BK97" s="13" t="s">
        <v>5561</v>
      </c>
      <c r="BL97" s="13" t="s">
        <v>5699</v>
      </c>
      <c r="BM97" s="13" t="s">
        <v>7473</v>
      </c>
      <c r="BN97" s="13" t="s">
        <v>5510</v>
      </c>
      <c r="BO97" s="13" t="s">
        <v>5510</v>
      </c>
      <c r="BP97" s="13" t="s">
        <v>5510</v>
      </c>
      <c r="BQ97" s="13" t="s">
        <v>5510</v>
      </c>
      <c r="BR97" s="13" t="s">
        <v>5538</v>
      </c>
      <c r="BS97" s="13" t="s">
        <v>7474</v>
      </c>
      <c r="BT97" s="13">
        <v>23022.0</v>
      </c>
      <c r="BU97" s="13" t="s">
        <v>5540</v>
      </c>
      <c r="BV97" s="13" t="s">
        <v>4856</v>
      </c>
      <c r="BW97" s="13" t="str">
        <f>VLOOKUP($BT97,Enriched!$A$2:$E$1070,5,false)</f>
        <v>["Agriculture &amp; Aquaculture"]</v>
      </c>
      <c r="BX97" s="13" t="str">
        <f>VLOOKUP($BT97,Enriched!$A$2:$E$1070,4,false)</f>
        <v>["Livestock farming &amp; ranching"]</v>
      </c>
      <c r="BY97" s="13" t="b">
        <f>VLOOKUP(BT97,Enriched!$A$1:$AA$1070,27,falsE)</f>
        <v>0</v>
      </c>
      <c r="BZ97" s="2" t="str">
        <f>VLOOKUP(BT97,Enriched!$A$1:$AA$1070,14,falsE)</f>
        <v>level2</v>
      </c>
      <c r="CA97" s="13" t="str">
        <f>HYPERLINK("https%3A%2F%2Fwww.webofscience.com%2Fwos%2Fwoscc%2Ffull-record%2FWOS:000249805300009","View Full Record in Web of Science")</f>
        <v>View Full Record in Web of Science</v>
      </c>
    </row>
    <row r="98" ht="12.75" customHeight="1">
      <c r="A98" s="13" t="s">
        <v>5508</v>
      </c>
      <c r="B98" s="13" t="s">
        <v>7475</v>
      </c>
      <c r="C98" s="13" t="s">
        <v>5510</v>
      </c>
      <c r="D98" s="13" t="s">
        <v>5510</v>
      </c>
      <c r="E98" s="13" t="s">
        <v>5510</v>
      </c>
      <c r="F98" s="13" t="s">
        <v>7476</v>
      </c>
      <c r="G98" s="13" t="s">
        <v>5510</v>
      </c>
      <c r="H98" s="13" t="s">
        <v>5510</v>
      </c>
      <c r="I98" s="13" t="s">
        <v>2797</v>
      </c>
      <c r="J98" s="13" t="s">
        <v>5919</v>
      </c>
      <c r="K98" s="13" t="s">
        <v>5510</v>
      </c>
      <c r="L98" s="13" t="s">
        <v>5510</v>
      </c>
      <c r="M98" s="13" t="s">
        <v>5513</v>
      </c>
      <c r="N98" s="13" t="s">
        <v>5514</v>
      </c>
      <c r="O98" s="13" t="s">
        <v>5510</v>
      </c>
      <c r="P98" s="13" t="s">
        <v>5510</v>
      </c>
      <c r="Q98" s="13" t="s">
        <v>5510</v>
      </c>
      <c r="R98" s="13" t="s">
        <v>5510</v>
      </c>
      <c r="S98" s="13" t="s">
        <v>5510</v>
      </c>
      <c r="T98" s="13" t="s">
        <v>7477</v>
      </c>
      <c r="U98" s="13" t="s">
        <v>7478</v>
      </c>
      <c r="V98" s="13" t="s">
        <v>7479</v>
      </c>
      <c r="W98" s="13" t="s">
        <v>7480</v>
      </c>
      <c r="X98" s="13" t="s">
        <v>7481</v>
      </c>
      <c r="Y98" s="13" t="s">
        <v>7482</v>
      </c>
      <c r="Z98" s="13" t="s">
        <v>7483</v>
      </c>
      <c r="AA98" s="13" t="s">
        <v>7484</v>
      </c>
      <c r="AB98" s="13" t="s">
        <v>7485</v>
      </c>
      <c r="AC98" s="13" t="s">
        <v>5510</v>
      </c>
      <c r="AD98" s="13" t="s">
        <v>5510</v>
      </c>
      <c r="AE98" s="13" t="s">
        <v>5510</v>
      </c>
      <c r="AF98" s="13" t="s">
        <v>5510</v>
      </c>
      <c r="AG98" s="13">
        <v>36.0</v>
      </c>
      <c r="AH98" s="13">
        <v>244.0</v>
      </c>
      <c r="AI98" s="13">
        <v>288.0</v>
      </c>
      <c r="AJ98" s="13">
        <v>2.0</v>
      </c>
      <c r="AK98" s="13">
        <v>127.0</v>
      </c>
      <c r="AL98" s="13" t="s">
        <v>5931</v>
      </c>
      <c r="AM98" s="13" t="s">
        <v>7486</v>
      </c>
      <c r="AN98" s="13" t="s">
        <v>7487</v>
      </c>
      <c r="AO98" s="13" t="s">
        <v>5934</v>
      </c>
      <c r="AP98" s="13" t="s">
        <v>5935</v>
      </c>
      <c r="AQ98" s="13" t="s">
        <v>5510</v>
      </c>
      <c r="AR98" s="13" t="s">
        <v>5936</v>
      </c>
      <c r="AS98" s="13" t="s">
        <v>5937</v>
      </c>
      <c r="AT98" s="13" t="s">
        <v>5720</v>
      </c>
      <c r="AU98" s="13">
        <v>2017.0</v>
      </c>
      <c r="AV98" s="13">
        <v>210.0</v>
      </c>
      <c r="AW98" s="13" t="s">
        <v>5510</v>
      </c>
      <c r="AX98" s="13" t="s">
        <v>6176</v>
      </c>
      <c r="AY98" s="13" t="s">
        <v>5510</v>
      </c>
      <c r="AZ98" s="13" t="s">
        <v>5510</v>
      </c>
      <c r="BA98" s="13" t="s">
        <v>5510</v>
      </c>
      <c r="BB98" s="13">
        <v>56.0</v>
      </c>
      <c r="BC98" s="13">
        <v>59.0</v>
      </c>
      <c r="BD98" s="13" t="s">
        <v>5510</v>
      </c>
      <c r="BE98" s="13" t="s">
        <v>7488</v>
      </c>
      <c r="BF98" s="52" t="str">
        <f>HYPERLINK("http://dx.doi.org/10.1016/j.biocon.2017.04.007","http://dx.doi.org/10.1016/j.biocon.2017.04.007")</f>
        <v>http://dx.doi.org/10.1016/j.biocon.2017.04.007</v>
      </c>
      <c r="BG98" s="13" t="s">
        <v>5510</v>
      </c>
      <c r="BH98" s="13" t="s">
        <v>5510</v>
      </c>
      <c r="BI98" s="13">
        <v>4.0</v>
      </c>
      <c r="BJ98" s="13" t="s">
        <v>5698</v>
      </c>
      <c r="BK98" s="13" t="s">
        <v>5561</v>
      </c>
      <c r="BL98" s="13" t="s">
        <v>5699</v>
      </c>
      <c r="BM98" s="13" t="s">
        <v>6191</v>
      </c>
      <c r="BN98" s="13" t="s">
        <v>5510</v>
      </c>
      <c r="BO98" s="13" t="s">
        <v>5510</v>
      </c>
      <c r="BP98" s="13" t="s">
        <v>5510</v>
      </c>
      <c r="BQ98" s="13" t="s">
        <v>5510</v>
      </c>
      <c r="BR98" s="13" t="s">
        <v>5538</v>
      </c>
      <c r="BS98" s="13" t="s">
        <v>7489</v>
      </c>
      <c r="BT98" s="13">
        <v>23754.0</v>
      </c>
      <c r="BU98" s="13" t="s">
        <v>5540</v>
      </c>
      <c r="BV98" s="13" t="s">
        <v>4856</v>
      </c>
      <c r="BW98" s="13" t="str">
        <f>VLOOKUP($BT98,Enriched!$A$2:$E$1070,5,false)</f>
        <v>["Invasive &amp; other problematic species, genes &amp; diseases"]</v>
      </c>
      <c r="BX98" s="13" t="str">
        <f>VLOOKUP($BT98,Enriched!$A$2:$E$1070,4,false)</f>
        <v>["Invasive non-native/alien species/diseases"]</v>
      </c>
      <c r="BY98" s="13" t="b">
        <f>VLOOKUP(BT98,Enriched!$A$1:$AA$1070,27,falsE)</f>
        <v>0</v>
      </c>
      <c r="BZ98" s="2" t="str">
        <f>VLOOKUP(BT98,Enriched!$A$1:$AA$1070,14,falsE)</f>
        <v>level2</v>
      </c>
      <c r="CA98" s="13" t="str">
        <f>HYPERLINK("https%3A%2F%2Fwww.webofscience.com%2Fwos%2Fwoscc%2Ffull-record%2FWOS:000405881600007","View Full Record in Web of Science")</f>
        <v>View Full Record in Web of Science</v>
      </c>
    </row>
    <row r="99" ht="12.75" customHeight="1">
      <c r="A99" s="13" t="s">
        <v>5508</v>
      </c>
      <c r="B99" s="13" t="s">
        <v>7490</v>
      </c>
      <c r="C99" s="13" t="s">
        <v>5510</v>
      </c>
      <c r="D99" s="13" t="s">
        <v>5510</v>
      </c>
      <c r="E99" s="13" t="s">
        <v>5510</v>
      </c>
      <c r="F99" s="13" t="s">
        <v>7491</v>
      </c>
      <c r="G99" s="13" t="s">
        <v>5510</v>
      </c>
      <c r="H99" s="13" t="s">
        <v>5510</v>
      </c>
      <c r="I99" s="13" t="s">
        <v>2794</v>
      </c>
      <c r="J99" s="13" t="s">
        <v>7492</v>
      </c>
      <c r="K99" s="13" t="s">
        <v>5510</v>
      </c>
      <c r="L99" s="13" t="s">
        <v>5510</v>
      </c>
      <c r="M99" s="13" t="s">
        <v>5513</v>
      </c>
      <c r="N99" s="13" t="s">
        <v>5514</v>
      </c>
      <c r="O99" s="13" t="s">
        <v>5510</v>
      </c>
      <c r="P99" s="13" t="s">
        <v>5510</v>
      </c>
      <c r="Q99" s="13" t="s">
        <v>5510</v>
      </c>
      <c r="R99" s="13" t="s">
        <v>5510</v>
      </c>
      <c r="S99" s="13" t="s">
        <v>5510</v>
      </c>
      <c r="T99" s="13" t="s">
        <v>7493</v>
      </c>
      <c r="U99" s="13" t="s">
        <v>7494</v>
      </c>
      <c r="V99" s="13" t="s">
        <v>7495</v>
      </c>
      <c r="W99" s="13" t="s">
        <v>7496</v>
      </c>
      <c r="X99" s="13" t="s">
        <v>7497</v>
      </c>
      <c r="Y99" s="13" t="s">
        <v>7498</v>
      </c>
      <c r="Z99" s="13" t="s">
        <v>7499</v>
      </c>
      <c r="AA99" s="13" t="s">
        <v>7500</v>
      </c>
      <c r="AB99" s="13" t="s">
        <v>7501</v>
      </c>
      <c r="AC99" s="13" t="s">
        <v>7502</v>
      </c>
      <c r="AD99" s="13" t="s">
        <v>7503</v>
      </c>
      <c r="AE99" s="13" t="s">
        <v>7504</v>
      </c>
      <c r="AF99" s="13" t="s">
        <v>5510</v>
      </c>
      <c r="AG99" s="13">
        <v>50.0</v>
      </c>
      <c r="AH99" s="13">
        <v>6.0</v>
      </c>
      <c r="AI99" s="13">
        <v>8.0</v>
      </c>
      <c r="AJ99" s="13">
        <v>0.0</v>
      </c>
      <c r="AK99" s="13">
        <v>21.0</v>
      </c>
      <c r="AL99" s="13" t="s">
        <v>7505</v>
      </c>
      <c r="AM99" s="13" t="s">
        <v>7506</v>
      </c>
      <c r="AN99" s="13" t="s">
        <v>7507</v>
      </c>
      <c r="AO99" s="13" t="s">
        <v>7508</v>
      </c>
      <c r="AP99" s="13" t="s">
        <v>7509</v>
      </c>
      <c r="AQ99" s="13" t="s">
        <v>5510</v>
      </c>
      <c r="AR99" s="13" t="s">
        <v>7510</v>
      </c>
      <c r="AS99" s="13" t="s">
        <v>7511</v>
      </c>
      <c r="AT99" s="13" t="s">
        <v>2514</v>
      </c>
      <c r="AU99" s="13">
        <v>2019.0</v>
      </c>
      <c r="AV99" s="13">
        <v>160.0</v>
      </c>
      <c r="AW99" s="13">
        <v>4.0</v>
      </c>
      <c r="AX99" s="13" t="s">
        <v>5510</v>
      </c>
      <c r="AY99" s="13" t="s">
        <v>5510</v>
      </c>
      <c r="AZ99" s="13" t="s">
        <v>5510</v>
      </c>
      <c r="BA99" s="13" t="s">
        <v>5510</v>
      </c>
      <c r="BB99" s="13">
        <v>1121.0</v>
      </c>
      <c r="BC99" s="13">
        <v>1132.0</v>
      </c>
      <c r="BD99" s="13" t="s">
        <v>5510</v>
      </c>
      <c r="BE99" s="13" t="s">
        <v>7512</v>
      </c>
      <c r="BF99" s="52" t="str">
        <f>HYPERLINK("http://dx.doi.org/10.1007/s10336-019-01689-0","http://dx.doi.org/10.1007/s10336-019-01689-0")</f>
        <v>http://dx.doi.org/10.1007/s10336-019-01689-0</v>
      </c>
      <c r="BG99" s="13" t="s">
        <v>5510</v>
      </c>
      <c r="BH99" s="13" t="s">
        <v>5510</v>
      </c>
      <c r="BI99" s="13">
        <v>12.0</v>
      </c>
      <c r="BJ99" s="13" t="s">
        <v>7513</v>
      </c>
      <c r="BK99" s="13" t="s">
        <v>5561</v>
      </c>
      <c r="BL99" s="13" t="s">
        <v>6899</v>
      </c>
      <c r="BM99" s="13" t="s">
        <v>7514</v>
      </c>
      <c r="BN99" s="13" t="s">
        <v>5510</v>
      </c>
      <c r="BO99" s="13" t="s">
        <v>5510</v>
      </c>
      <c r="BP99" s="13" t="s">
        <v>5510</v>
      </c>
      <c r="BQ99" s="13" t="s">
        <v>5510</v>
      </c>
      <c r="BR99" s="13" t="s">
        <v>5538</v>
      </c>
      <c r="BS99" s="13" t="s">
        <v>7515</v>
      </c>
      <c r="BT99" s="13">
        <v>24270.0</v>
      </c>
      <c r="BU99" s="13" t="s">
        <v>5540</v>
      </c>
      <c r="BV99" s="13" t="s">
        <v>4856</v>
      </c>
      <c r="BW99" s="13" t="str">
        <f>VLOOKUP($BT99,Enriched!$A$2:$E$1070,5,false)</f>
        <v>["Residential &amp; commercial development"]</v>
      </c>
      <c r="BX99" s="13" t="str">
        <f>VLOOKUP($BT99,Enriched!$A$2:$E$1070,4,false)</f>
        <v>["Housing &amp; urban area"]</v>
      </c>
      <c r="BY99" s="13" t="b">
        <f>VLOOKUP(BT99,Enriched!$A$1:$AA$1070,27,falsE)</f>
        <v>1</v>
      </c>
      <c r="BZ99" s="2" t="str">
        <f>VLOOKUP(BT99,Enriched!$A$1:$AA$1070,14,falsE)</f>
        <v>level1</v>
      </c>
      <c r="CA99" s="13" t="str">
        <f>HYPERLINK("https%3A%2F%2Fwww.webofscience.com%2Fwos%2Fwoscc%2Ffull-record%2FWOS:000511336100018","View Full Record in Web of Science")</f>
        <v>View Full Record in Web of Science</v>
      </c>
    </row>
    <row r="100" ht="12.75" customHeight="1">
      <c r="A100" s="13" t="s">
        <v>5508</v>
      </c>
      <c r="B100" s="13" t="s">
        <v>7516</v>
      </c>
      <c r="C100" s="13" t="s">
        <v>5510</v>
      </c>
      <c r="D100" s="13" t="s">
        <v>5510</v>
      </c>
      <c r="E100" s="13" t="s">
        <v>5510</v>
      </c>
      <c r="F100" s="13" t="s">
        <v>7517</v>
      </c>
      <c r="G100" s="13" t="s">
        <v>5510</v>
      </c>
      <c r="H100" s="13" t="s">
        <v>5510</v>
      </c>
      <c r="I100" s="13" t="s">
        <v>2791</v>
      </c>
      <c r="J100" s="13" t="s">
        <v>6407</v>
      </c>
      <c r="K100" s="13" t="s">
        <v>5510</v>
      </c>
      <c r="L100" s="13" t="s">
        <v>5510</v>
      </c>
      <c r="M100" s="13" t="s">
        <v>5513</v>
      </c>
      <c r="N100" s="13" t="s">
        <v>5514</v>
      </c>
      <c r="O100" s="13" t="s">
        <v>5510</v>
      </c>
      <c r="P100" s="13" t="s">
        <v>5510</v>
      </c>
      <c r="Q100" s="13" t="s">
        <v>5510</v>
      </c>
      <c r="R100" s="13" t="s">
        <v>5510</v>
      </c>
      <c r="S100" s="13" t="s">
        <v>5510</v>
      </c>
      <c r="T100" s="13" t="s">
        <v>7518</v>
      </c>
      <c r="U100" s="13" t="s">
        <v>7519</v>
      </c>
      <c r="V100" s="13" t="s">
        <v>7520</v>
      </c>
      <c r="W100" s="13" t="s">
        <v>7521</v>
      </c>
      <c r="X100" s="13" t="s">
        <v>7522</v>
      </c>
      <c r="Y100" s="13" t="s">
        <v>7523</v>
      </c>
      <c r="Z100" s="13" t="s">
        <v>5510</v>
      </c>
      <c r="AA100" s="13" t="s">
        <v>7524</v>
      </c>
      <c r="AB100" s="13" t="s">
        <v>5510</v>
      </c>
      <c r="AC100" s="13" t="s">
        <v>7525</v>
      </c>
      <c r="AD100" s="13" t="s">
        <v>7526</v>
      </c>
      <c r="AE100" s="13" t="s">
        <v>7527</v>
      </c>
      <c r="AF100" s="13" t="s">
        <v>5510</v>
      </c>
      <c r="AG100" s="13">
        <v>76.0</v>
      </c>
      <c r="AH100" s="13">
        <v>30.0</v>
      </c>
      <c r="AI100" s="13">
        <v>38.0</v>
      </c>
      <c r="AJ100" s="13">
        <v>3.0</v>
      </c>
      <c r="AK100" s="13">
        <v>177.0</v>
      </c>
      <c r="AL100" s="13" t="s">
        <v>5759</v>
      </c>
      <c r="AM100" s="13" t="s">
        <v>5760</v>
      </c>
      <c r="AN100" s="13" t="s">
        <v>5761</v>
      </c>
      <c r="AO100" s="13" t="s">
        <v>6417</v>
      </c>
      <c r="AP100" s="13" t="s">
        <v>6418</v>
      </c>
      <c r="AQ100" s="13" t="s">
        <v>5510</v>
      </c>
      <c r="AR100" s="13" t="s">
        <v>6419</v>
      </c>
      <c r="AS100" s="13" t="s">
        <v>6420</v>
      </c>
      <c r="AT100" s="13" t="s">
        <v>6828</v>
      </c>
      <c r="AU100" s="13">
        <v>2016.0</v>
      </c>
      <c r="AV100" s="13">
        <v>63.0</v>
      </c>
      <c r="AW100" s="13" t="s">
        <v>5510</v>
      </c>
      <c r="AX100" s="13" t="s">
        <v>5510</v>
      </c>
      <c r="AY100" s="13" t="s">
        <v>5510</v>
      </c>
      <c r="AZ100" s="13" t="s">
        <v>5510</v>
      </c>
      <c r="BA100" s="13" t="s">
        <v>5510</v>
      </c>
      <c r="BB100" s="13">
        <v>258.0</v>
      </c>
      <c r="BC100" s="13">
        <v>272.0</v>
      </c>
      <c r="BD100" s="13" t="s">
        <v>5510</v>
      </c>
      <c r="BE100" s="13" t="s">
        <v>7528</v>
      </c>
      <c r="BF100" s="52" t="str">
        <f>HYPERLINK("http://dx.doi.org/10.1016/j.ecolind.2015.12.023","http://dx.doi.org/10.1016/j.ecolind.2015.12.023")</f>
        <v>http://dx.doi.org/10.1016/j.ecolind.2015.12.023</v>
      </c>
      <c r="BG100" s="13" t="s">
        <v>5510</v>
      </c>
      <c r="BH100" s="13" t="s">
        <v>5510</v>
      </c>
      <c r="BI100" s="13">
        <v>15.0</v>
      </c>
      <c r="BJ100" s="13" t="s">
        <v>6422</v>
      </c>
      <c r="BK100" s="13" t="s">
        <v>5561</v>
      </c>
      <c r="BL100" s="13" t="s">
        <v>5699</v>
      </c>
      <c r="BM100" s="13" t="s">
        <v>7529</v>
      </c>
      <c r="BN100" s="13" t="s">
        <v>5510</v>
      </c>
      <c r="BO100" s="13" t="s">
        <v>5510</v>
      </c>
      <c r="BP100" s="13" t="s">
        <v>5510</v>
      </c>
      <c r="BQ100" s="13" t="s">
        <v>5510</v>
      </c>
      <c r="BR100" s="13" t="s">
        <v>5538</v>
      </c>
      <c r="BS100" s="13" t="s">
        <v>7530</v>
      </c>
      <c r="BT100" s="13">
        <v>26076.0</v>
      </c>
      <c r="BU100" s="13" t="s">
        <v>5540</v>
      </c>
      <c r="BV100" s="13" t="s">
        <v>4856</v>
      </c>
      <c r="BW100" s="13" t="str">
        <f>VLOOKUP($BT100,Enriched!$A$2:$E$1070,5,false)</f>
        <v>["Climate change &amp; severe weather"]</v>
      </c>
      <c r="BX100" s="13" t="str">
        <f>VLOOKUP($BT100,Enriched!$A$2:$E$1070,4,false)</f>
        <v>["Habitat shifting &amp; alteration"]</v>
      </c>
      <c r="BY100" s="13" t="b">
        <f>VLOOKUP(BT100,Enriched!$A$1:$AA$1070,27,falsE)</f>
        <v>0</v>
      </c>
      <c r="BZ100" s="2" t="str">
        <f>VLOOKUP(BT100,Enriched!$A$1:$AA$1070,14,falsE)</f>
        <v>level2</v>
      </c>
      <c r="CA100" s="13" t="str">
        <f>HYPERLINK("https%3A%2F%2Fwww.webofscience.com%2Fwos%2Fwoscc%2Ffull-record%2FWOS:000370906000027","View Full Record in Web of Science")</f>
        <v>View Full Record in Web of Science</v>
      </c>
    </row>
    <row r="101" ht="12.75" customHeight="1">
      <c r="A101" s="13" t="s">
        <v>5508</v>
      </c>
      <c r="B101" s="13" t="s">
        <v>7531</v>
      </c>
      <c r="C101" s="13" t="s">
        <v>5510</v>
      </c>
      <c r="D101" s="13" t="s">
        <v>5510</v>
      </c>
      <c r="E101" s="13" t="s">
        <v>5510</v>
      </c>
      <c r="F101" s="13" t="s">
        <v>7532</v>
      </c>
      <c r="G101" s="13" t="s">
        <v>5510</v>
      </c>
      <c r="H101" s="13" t="s">
        <v>5510</v>
      </c>
      <c r="I101" s="13" t="s">
        <v>2787</v>
      </c>
      <c r="J101" s="13" t="s">
        <v>6445</v>
      </c>
      <c r="K101" s="13" t="s">
        <v>5510</v>
      </c>
      <c r="L101" s="13" t="s">
        <v>5510</v>
      </c>
      <c r="M101" s="13" t="s">
        <v>5513</v>
      </c>
      <c r="N101" s="13" t="s">
        <v>5514</v>
      </c>
      <c r="O101" s="13" t="s">
        <v>5510</v>
      </c>
      <c r="P101" s="13" t="s">
        <v>5510</v>
      </c>
      <c r="Q101" s="13" t="s">
        <v>5510</v>
      </c>
      <c r="R101" s="13" t="s">
        <v>5510</v>
      </c>
      <c r="S101" s="13" t="s">
        <v>5510</v>
      </c>
      <c r="T101" s="13" t="s">
        <v>7533</v>
      </c>
      <c r="U101" s="13" t="s">
        <v>7534</v>
      </c>
      <c r="V101" s="13" t="s">
        <v>7535</v>
      </c>
      <c r="W101" s="13" t="s">
        <v>7536</v>
      </c>
      <c r="X101" s="13" t="s">
        <v>7537</v>
      </c>
      <c r="Y101" s="13" t="s">
        <v>7538</v>
      </c>
      <c r="Z101" s="13" t="s">
        <v>7539</v>
      </c>
      <c r="AA101" s="13" t="s">
        <v>7540</v>
      </c>
      <c r="AB101" s="13" t="s">
        <v>7541</v>
      </c>
      <c r="AC101" s="13" t="s">
        <v>7542</v>
      </c>
      <c r="AD101" s="13" t="s">
        <v>7543</v>
      </c>
      <c r="AE101" s="13" t="s">
        <v>7544</v>
      </c>
      <c r="AF101" s="13" t="s">
        <v>5510</v>
      </c>
      <c r="AG101" s="13">
        <v>46.0</v>
      </c>
      <c r="AH101" s="13">
        <v>22.0</v>
      </c>
      <c r="AI101" s="13">
        <v>23.0</v>
      </c>
      <c r="AJ101" s="13">
        <v>1.0</v>
      </c>
      <c r="AK101" s="13">
        <v>36.0</v>
      </c>
      <c r="AL101" s="13" t="s">
        <v>5527</v>
      </c>
      <c r="AM101" s="13" t="s">
        <v>5528</v>
      </c>
      <c r="AN101" s="13" t="s">
        <v>5529</v>
      </c>
      <c r="AO101" s="13" t="s">
        <v>6457</v>
      </c>
      <c r="AP101" s="13" t="s">
        <v>6458</v>
      </c>
      <c r="AQ101" s="13" t="s">
        <v>5510</v>
      </c>
      <c r="AR101" s="13" t="s">
        <v>6459</v>
      </c>
      <c r="AS101" s="13" t="s">
        <v>6460</v>
      </c>
      <c r="AT101" s="13" t="s">
        <v>2514</v>
      </c>
      <c r="AU101" s="13">
        <v>2009.0</v>
      </c>
      <c r="AV101" s="13">
        <v>36.0</v>
      </c>
      <c r="AW101" s="13">
        <v>10.0</v>
      </c>
      <c r="AX101" s="13" t="s">
        <v>5510</v>
      </c>
      <c r="AY101" s="13" t="s">
        <v>5510</v>
      </c>
      <c r="AZ101" s="13" t="s">
        <v>5510</v>
      </c>
      <c r="BA101" s="13" t="s">
        <v>5510</v>
      </c>
      <c r="BB101" s="13">
        <v>1891.0</v>
      </c>
      <c r="BC101" s="13">
        <v>1898.0</v>
      </c>
      <c r="BD101" s="13" t="s">
        <v>5510</v>
      </c>
      <c r="BE101" s="13" t="s">
        <v>7545</v>
      </c>
      <c r="BF101" s="52" t="str">
        <f>HYPERLINK("http://dx.doi.org/10.1111/j.1365-2699.2009.02109.x","http://dx.doi.org/10.1111/j.1365-2699.2009.02109.x")</f>
        <v>http://dx.doi.org/10.1111/j.1365-2699.2009.02109.x</v>
      </c>
      <c r="BG101" s="13" t="s">
        <v>5510</v>
      </c>
      <c r="BH101" s="13" t="s">
        <v>5510</v>
      </c>
      <c r="BI101" s="13">
        <v>8.0</v>
      </c>
      <c r="BJ101" s="13" t="s">
        <v>6463</v>
      </c>
      <c r="BK101" s="13" t="s">
        <v>5561</v>
      </c>
      <c r="BL101" s="13" t="s">
        <v>6464</v>
      </c>
      <c r="BM101" s="13" t="s">
        <v>7546</v>
      </c>
      <c r="BN101" s="13" t="s">
        <v>5510</v>
      </c>
      <c r="BO101" s="13" t="s">
        <v>5510</v>
      </c>
      <c r="BP101" s="13" t="s">
        <v>5510</v>
      </c>
      <c r="BQ101" s="13" t="s">
        <v>5510</v>
      </c>
      <c r="BR101" s="13" t="s">
        <v>5538</v>
      </c>
      <c r="BS101" s="13" t="s">
        <v>7547</v>
      </c>
      <c r="BT101" s="13">
        <v>25405.0</v>
      </c>
      <c r="BU101" s="13" t="s">
        <v>5540</v>
      </c>
      <c r="BV101" s="13" t="s">
        <v>4856</v>
      </c>
      <c r="BW101" s="13" t="str">
        <f>VLOOKUP($BT101,Enriched!$A$2:$E$1070,5,false)</f>
        <v>["Agriculture &amp; Aquaculture", "Biological Resource Use"]</v>
      </c>
      <c r="BX101" s="13" t="str">
        <f>VLOOKUP($BT101,Enriched!$A$2:$E$1070,4,false)</f>
        <v>["Annual &amp; perennial non-timber crops", "Hunting &amp; collecting terrestrial animals"]</v>
      </c>
      <c r="BY101" s="13" t="b">
        <f>VLOOKUP(BT101,Enriched!$A$1:$AA$1070,27,falsE)</f>
        <v>0</v>
      </c>
      <c r="BZ101" s="2" t="str">
        <f>VLOOKUP(BT101,Enriched!$A$1:$AA$1070,14,falsE)</f>
        <v>level2</v>
      </c>
      <c r="CA101" s="13" t="str">
        <f>HYPERLINK("https%3A%2F%2Fwww.webofscience.com%2Fwos%2Fwoscc%2Ffull-record%2FWOS:000270070900007","View Full Record in Web of Science")</f>
        <v>View Full Record in Web of Science</v>
      </c>
    </row>
    <row r="102" ht="12.75" customHeight="1">
      <c r="A102" s="13" t="s">
        <v>5508</v>
      </c>
      <c r="B102" s="13" t="s">
        <v>7548</v>
      </c>
      <c r="C102" s="13" t="s">
        <v>5510</v>
      </c>
      <c r="D102" s="13" t="s">
        <v>5510</v>
      </c>
      <c r="E102" s="13" t="s">
        <v>5510</v>
      </c>
      <c r="F102" s="13" t="s">
        <v>7548</v>
      </c>
      <c r="G102" s="13" t="s">
        <v>5510</v>
      </c>
      <c r="H102" s="13" t="s">
        <v>5510</v>
      </c>
      <c r="I102" s="13" t="s">
        <v>2783</v>
      </c>
      <c r="J102" s="13" t="s">
        <v>7549</v>
      </c>
      <c r="K102" s="13" t="s">
        <v>5510</v>
      </c>
      <c r="L102" s="13" t="s">
        <v>5510</v>
      </c>
      <c r="M102" s="13" t="s">
        <v>5513</v>
      </c>
      <c r="N102" s="13" t="s">
        <v>5514</v>
      </c>
      <c r="O102" s="13" t="s">
        <v>5510</v>
      </c>
      <c r="P102" s="13" t="s">
        <v>5510</v>
      </c>
      <c r="Q102" s="13" t="s">
        <v>5510</v>
      </c>
      <c r="R102" s="13" t="s">
        <v>5510</v>
      </c>
      <c r="S102" s="13" t="s">
        <v>5510</v>
      </c>
      <c r="T102" s="13" t="s">
        <v>7550</v>
      </c>
      <c r="U102" s="13" t="s">
        <v>7551</v>
      </c>
      <c r="V102" s="13" t="s">
        <v>7552</v>
      </c>
      <c r="W102" s="13" t="s">
        <v>7553</v>
      </c>
      <c r="X102" s="13" t="s">
        <v>7554</v>
      </c>
      <c r="Y102" s="13" t="s">
        <v>7555</v>
      </c>
      <c r="Z102" s="13" t="s">
        <v>5510</v>
      </c>
      <c r="AA102" s="13" t="s">
        <v>5510</v>
      </c>
      <c r="AB102" s="13" t="s">
        <v>5510</v>
      </c>
      <c r="AC102" s="13" t="s">
        <v>5510</v>
      </c>
      <c r="AD102" s="13" t="s">
        <v>5510</v>
      </c>
      <c r="AE102" s="13" t="s">
        <v>5510</v>
      </c>
      <c r="AF102" s="13" t="s">
        <v>5510</v>
      </c>
      <c r="AG102" s="13">
        <v>35.0</v>
      </c>
      <c r="AH102" s="13">
        <v>51.0</v>
      </c>
      <c r="AI102" s="13">
        <v>80.0</v>
      </c>
      <c r="AJ102" s="13">
        <v>1.0</v>
      </c>
      <c r="AK102" s="13">
        <v>118.0</v>
      </c>
      <c r="AL102" s="13" t="s">
        <v>6717</v>
      </c>
      <c r="AM102" s="13" t="s">
        <v>5932</v>
      </c>
      <c r="AN102" s="13" t="s">
        <v>6718</v>
      </c>
      <c r="AO102" s="13" t="s">
        <v>7556</v>
      </c>
      <c r="AP102" s="13" t="s">
        <v>5510</v>
      </c>
      <c r="AQ102" s="13" t="s">
        <v>5510</v>
      </c>
      <c r="AR102" s="13" t="s">
        <v>7557</v>
      </c>
      <c r="AS102" s="13" t="s">
        <v>7558</v>
      </c>
      <c r="AT102" s="13" t="s">
        <v>7559</v>
      </c>
      <c r="AU102" s="13">
        <v>2000.0</v>
      </c>
      <c r="AV102" s="13">
        <v>8.0</v>
      </c>
      <c r="AW102" s="13" t="s">
        <v>7560</v>
      </c>
      <c r="AX102" s="13" t="s">
        <v>5510</v>
      </c>
      <c r="AY102" s="13" t="s">
        <v>5510</v>
      </c>
      <c r="AZ102" s="13" t="s">
        <v>5510</v>
      </c>
      <c r="BA102" s="13" t="s">
        <v>5510</v>
      </c>
      <c r="BB102" s="13">
        <v>307.0</v>
      </c>
      <c r="BC102" s="13">
        <v>320.0</v>
      </c>
      <c r="BD102" s="13" t="s">
        <v>5510</v>
      </c>
      <c r="BE102" s="13" t="s">
        <v>7561</v>
      </c>
      <c r="BF102" s="52" t="str">
        <f>HYPERLINK("http://dx.doi.org/10.1016/S0968-090X(00)00014-0","http://dx.doi.org/10.1016/S0968-090X(00)00014-0")</f>
        <v>http://dx.doi.org/10.1016/S0968-090X(00)00014-0</v>
      </c>
      <c r="BG102" s="13" t="s">
        <v>5510</v>
      </c>
      <c r="BH102" s="13" t="s">
        <v>5510</v>
      </c>
      <c r="BI102" s="13">
        <v>14.0</v>
      </c>
      <c r="BJ102" s="13" t="s">
        <v>7562</v>
      </c>
      <c r="BK102" s="13" t="s">
        <v>5561</v>
      </c>
      <c r="BL102" s="13" t="s">
        <v>7563</v>
      </c>
      <c r="BM102" s="13" t="s">
        <v>7564</v>
      </c>
      <c r="BN102" s="13" t="s">
        <v>5510</v>
      </c>
      <c r="BO102" s="13" t="s">
        <v>5510</v>
      </c>
      <c r="BP102" s="13" t="s">
        <v>5510</v>
      </c>
      <c r="BQ102" s="13" t="s">
        <v>5510</v>
      </c>
      <c r="BR102" s="13" t="s">
        <v>5538</v>
      </c>
      <c r="BS102" s="13" t="s">
        <v>7565</v>
      </c>
      <c r="BT102" s="13">
        <v>23064.0</v>
      </c>
      <c r="BU102" s="13" t="s">
        <v>5540</v>
      </c>
      <c r="BV102" s="13" t="s">
        <v>4856</v>
      </c>
      <c r="BW102" s="13" t="str">
        <f>VLOOKUP($BT102,Enriched!$A$2:$E$1070,5,false)</f>
        <v>["Transportation &amp; Service Corridors"]</v>
      </c>
      <c r="BX102" s="13" t="str">
        <f>VLOOKUP($BT102,Enriched!$A$2:$E$1070,4,false)</f>
        <v>["Roads &amp; railroads"]</v>
      </c>
      <c r="BY102" s="13" t="b">
        <f>VLOOKUP(BT102,Enriched!$A$1:$AA$1070,27,falsE)</f>
        <v>0</v>
      </c>
      <c r="BZ102" s="2" t="str">
        <f>VLOOKUP(BT102,Enriched!$A$1:$AA$1070,14,falsE)</f>
        <v>level2</v>
      </c>
      <c r="CA102" s="13" t="str">
        <f>HYPERLINK("https%3A%2F%2Fwww.webofscience.com%2Fwos%2Fwoscc%2Ffull-record%2FWOS:000089441300017","View Full Record in Web of Science")</f>
        <v>View Full Record in Web of Science</v>
      </c>
    </row>
    <row r="103" ht="12.75" customHeight="1">
      <c r="A103" s="13" t="s">
        <v>5508</v>
      </c>
      <c r="B103" s="13" t="s">
        <v>7566</v>
      </c>
      <c r="C103" s="13" t="s">
        <v>5510</v>
      </c>
      <c r="D103" s="13" t="s">
        <v>5510</v>
      </c>
      <c r="E103" s="13" t="s">
        <v>5510</v>
      </c>
      <c r="F103" s="13" t="s">
        <v>7567</v>
      </c>
      <c r="G103" s="13" t="s">
        <v>5510</v>
      </c>
      <c r="H103" s="13" t="s">
        <v>5510</v>
      </c>
      <c r="I103" s="13" t="s">
        <v>7568</v>
      </c>
      <c r="J103" s="13" t="s">
        <v>7569</v>
      </c>
      <c r="K103" s="13" t="s">
        <v>5510</v>
      </c>
      <c r="L103" s="13" t="s">
        <v>5510</v>
      </c>
      <c r="M103" s="13" t="s">
        <v>5513</v>
      </c>
      <c r="N103" s="13" t="s">
        <v>5514</v>
      </c>
      <c r="O103" s="13" t="s">
        <v>5510</v>
      </c>
      <c r="P103" s="13" t="s">
        <v>5510</v>
      </c>
      <c r="Q103" s="13" t="s">
        <v>5510</v>
      </c>
      <c r="R103" s="13" t="s">
        <v>5510</v>
      </c>
      <c r="S103" s="13" t="s">
        <v>5510</v>
      </c>
      <c r="T103" s="13" t="s">
        <v>7570</v>
      </c>
      <c r="U103" s="13" t="s">
        <v>7571</v>
      </c>
      <c r="V103" s="13" t="s">
        <v>7572</v>
      </c>
      <c r="W103" s="13" t="s">
        <v>7573</v>
      </c>
      <c r="X103" s="13" t="s">
        <v>7574</v>
      </c>
      <c r="Y103" s="13" t="s">
        <v>7575</v>
      </c>
      <c r="Z103" s="13" t="s">
        <v>7576</v>
      </c>
      <c r="AA103" s="13" t="s">
        <v>7577</v>
      </c>
      <c r="AB103" s="13" t="s">
        <v>7578</v>
      </c>
      <c r="AC103" s="13" t="s">
        <v>7579</v>
      </c>
      <c r="AD103" s="13" t="s">
        <v>7580</v>
      </c>
      <c r="AE103" s="13" t="s">
        <v>7581</v>
      </c>
      <c r="AF103" s="13" t="s">
        <v>5510</v>
      </c>
      <c r="AG103" s="13">
        <v>41.0</v>
      </c>
      <c r="AH103" s="13">
        <v>12.0</v>
      </c>
      <c r="AI103" s="13">
        <v>14.0</v>
      </c>
      <c r="AJ103" s="13">
        <v>1.0</v>
      </c>
      <c r="AK103" s="13">
        <v>52.0</v>
      </c>
      <c r="AL103" s="13" t="s">
        <v>6849</v>
      </c>
      <c r="AM103" s="13" t="s">
        <v>6850</v>
      </c>
      <c r="AN103" s="13" t="s">
        <v>6851</v>
      </c>
      <c r="AO103" s="13" t="s">
        <v>5510</v>
      </c>
      <c r="AP103" s="13" t="s">
        <v>7582</v>
      </c>
      <c r="AQ103" s="13" t="s">
        <v>5510</v>
      </c>
      <c r="AR103" s="13" t="s">
        <v>7583</v>
      </c>
      <c r="AS103" s="13" t="s">
        <v>7584</v>
      </c>
      <c r="AT103" s="13" t="s">
        <v>7585</v>
      </c>
      <c r="AU103" s="13">
        <v>2019.0</v>
      </c>
      <c r="AV103" s="13">
        <v>16.0</v>
      </c>
      <c r="AW103" s="13">
        <v>12.0</v>
      </c>
      <c r="AX103" s="13" t="s">
        <v>5510</v>
      </c>
      <c r="AY103" s="13" t="s">
        <v>5510</v>
      </c>
      <c r="AZ103" s="13" t="s">
        <v>5510</v>
      </c>
      <c r="BA103" s="13" t="s">
        <v>5510</v>
      </c>
      <c r="BB103" s="13" t="s">
        <v>5510</v>
      </c>
      <c r="BC103" s="13" t="s">
        <v>5510</v>
      </c>
      <c r="BD103" s="13">
        <v>2112.0</v>
      </c>
      <c r="BE103" s="13" t="s">
        <v>7586</v>
      </c>
      <c r="BF103" s="52" t="str">
        <f>HYPERLINK("http://dx.doi.org/10.3390/ijerph16122112","http://dx.doi.org/10.3390/ijerph16122112")</f>
        <v>http://dx.doi.org/10.3390/ijerph16122112</v>
      </c>
      <c r="BG103" s="13" t="s">
        <v>5510</v>
      </c>
      <c r="BH103" s="13" t="s">
        <v>5510</v>
      </c>
      <c r="BI103" s="13">
        <v>19.0</v>
      </c>
      <c r="BJ103" s="13" t="s">
        <v>7587</v>
      </c>
      <c r="BK103" s="13" t="s">
        <v>5534</v>
      </c>
      <c r="BL103" s="13" t="s">
        <v>7588</v>
      </c>
      <c r="BM103" s="13" t="s">
        <v>7589</v>
      </c>
      <c r="BN103" s="13">
        <v>3.1207902E7</v>
      </c>
      <c r="BO103" s="13" t="s">
        <v>5564</v>
      </c>
      <c r="BP103" s="13" t="s">
        <v>5510</v>
      </c>
      <c r="BQ103" s="13" t="s">
        <v>5510</v>
      </c>
      <c r="BR103" s="13" t="s">
        <v>5538</v>
      </c>
      <c r="BS103" s="13" t="s">
        <v>7590</v>
      </c>
      <c r="BT103" s="13">
        <v>24138.0</v>
      </c>
      <c r="BU103" s="13" t="s">
        <v>5540</v>
      </c>
      <c r="BV103" s="13" t="s">
        <v>4886</v>
      </c>
      <c r="BW103" s="13" t="str">
        <f>VLOOKUP($BT103,Enriched!$A$2:$E$1070,5,false)</f>
        <v>["Residential &amp; commercial development", "Agriculture &amp; aquaculture"]</v>
      </c>
      <c r="BX103" s="13" t="str">
        <f>VLOOKUP($BT103,Enriched!$A$2:$E$1070,4,false)</f>
        <v/>
      </c>
      <c r="BY103" s="13" t="b">
        <f>VLOOKUP(BT103,Enriched!$A$1:$AA$1070,27,falsE)</f>
        <v>1</v>
      </c>
      <c r="BZ103" s="2" t="str">
        <f>VLOOKUP(BT103,Enriched!$A$1:$AA$1070,14,falsE)</f>
        <v>level1</v>
      </c>
      <c r="CA103" s="13" t="str">
        <f>HYPERLINK("https%3A%2F%2Fwww.webofscience.com%2Fwos%2Fwoscc%2Ffull-record%2FWOS:000473750500046","View Full Record in Web of Science")</f>
        <v>View Full Record in Web of Science</v>
      </c>
    </row>
    <row r="104" ht="12.75" customHeight="1">
      <c r="A104" s="13" t="s">
        <v>5508</v>
      </c>
      <c r="B104" s="13" t="s">
        <v>7591</v>
      </c>
      <c r="C104" s="13" t="s">
        <v>5510</v>
      </c>
      <c r="D104" s="13" t="s">
        <v>5510</v>
      </c>
      <c r="E104" s="13" t="s">
        <v>5510</v>
      </c>
      <c r="F104" s="13" t="s">
        <v>7592</v>
      </c>
      <c r="G104" s="13" t="s">
        <v>5510</v>
      </c>
      <c r="H104" s="13" t="s">
        <v>5510</v>
      </c>
      <c r="I104" s="13" t="s">
        <v>2779</v>
      </c>
      <c r="J104" s="13" t="s">
        <v>7593</v>
      </c>
      <c r="K104" s="13" t="s">
        <v>5510</v>
      </c>
      <c r="L104" s="13" t="s">
        <v>5510</v>
      </c>
      <c r="M104" s="13" t="s">
        <v>5513</v>
      </c>
      <c r="N104" s="13" t="s">
        <v>5514</v>
      </c>
      <c r="O104" s="13" t="s">
        <v>5510</v>
      </c>
      <c r="P104" s="13" t="s">
        <v>5510</v>
      </c>
      <c r="Q104" s="13" t="s">
        <v>5510</v>
      </c>
      <c r="R104" s="13" t="s">
        <v>5510</v>
      </c>
      <c r="S104" s="13" t="s">
        <v>5510</v>
      </c>
      <c r="T104" s="13" t="s">
        <v>7594</v>
      </c>
      <c r="U104" s="13" t="s">
        <v>7595</v>
      </c>
      <c r="V104" s="13" t="s">
        <v>7596</v>
      </c>
      <c r="W104" s="13" t="s">
        <v>7597</v>
      </c>
      <c r="X104" s="13" t="s">
        <v>7598</v>
      </c>
      <c r="Y104" s="13" t="s">
        <v>7599</v>
      </c>
      <c r="Z104" s="13" t="s">
        <v>7600</v>
      </c>
      <c r="AA104" s="13" t="s">
        <v>7601</v>
      </c>
      <c r="AB104" s="13" t="s">
        <v>7602</v>
      </c>
      <c r="AC104" s="13" t="s">
        <v>5510</v>
      </c>
      <c r="AD104" s="13" t="s">
        <v>5510</v>
      </c>
      <c r="AE104" s="13" t="s">
        <v>5510</v>
      </c>
      <c r="AF104" s="13" t="s">
        <v>5510</v>
      </c>
      <c r="AG104" s="13">
        <v>97.0</v>
      </c>
      <c r="AH104" s="13">
        <v>19.0</v>
      </c>
      <c r="AI104" s="13">
        <v>20.0</v>
      </c>
      <c r="AJ104" s="13">
        <v>1.0</v>
      </c>
      <c r="AK104" s="13">
        <v>37.0</v>
      </c>
      <c r="AL104" s="13" t="s">
        <v>5759</v>
      </c>
      <c r="AM104" s="13" t="s">
        <v>5760</v>
      </c>
      <c r="AN104" s="13" t="s">
        <v>5761</v>
      </c>
      <c r="AO104" s="13" t="s">
        <v>7603</v>
      </c>
      <c r="AP104" s="13" t="s">
        <v>7604</v>
      </c>
      <c r="AQ104" s="13" t="s">
        <v>5510</v>
      </c>
      <c r="AR104" s="13" t="s">
        <v>7605</v>
      </c>
      <c r="AS104" s="13" t="s">
        <v>7606</v>
      </c>
      <c r="AT104" s="13" t="s">
        <v>5582</v>
      </c>
      <c r="AU104" s="13">
        <v>2020.0</v>
      </c>
      <c r="AV104" s="13">
        <v>221.0</v>
      </c>
      <c r="AW104" s="13" t="s">
        <v>5510</v>
      </c>
      <c r="AX104" s="13" t="s">
        <v>5510</v>
      </c>
      <c r="AY104" s="13" t="s">
        <v>5510</v>
      </c>
      <c r="AZ104" s="13" t="s">
        <v>5510</v>
      </c>
      <c r="BA104" s="13" t="s">
        <v>5510</v>
      </c>
      <c r="BB104" s="13" t="s">
        <v>5510</v>
      </c>
      <c r="BC104" s="13" t="s">
        <v>5510</v>
      </c>
      <c r="BD104" s="13">
        <v>105367.0</v>
      </c>
      <c r="BE104" s="13" t="s">
        <v>7607</v>
      </c>
      <c r="BF104" s="52" t="str">
        <f>HYPERLINK("http://dx.doi.org/10.1016/j.fishres.2019.105367","http://dx.doi.org/10.1016/j.fishres.2019.105367")</f>
        <v>http://dx.doi.org/10.1016/j.fishres.2019.105367</v>
      </c>
      <c r="BG104" s="13" t="s">
        <v>5510</v>
      </c>
      <c r="BH104" s="13" t="s">
        <v>5510</v>
      </c>
      <c r="BI104" s="13">
        <v>13.0</v>
      </c>
      <c r="BJ104" s="13" t="s">
        <v>7608</v>
      </c>
      <c r="BK104" s="13" t="s">
        <v>5561</v>
      </c>
      <c r="BL104" s="13" t="s">
        <v>7608</v>
      </c>
      <c r="BM104" s="13" t="s">
        <v>7609</v>
      </c>
      <c r="BN104" s="13" t="s">
        <v>5510</v>
      </c>
      <c r="BO104" s="13" t="s">
        <v>5510</v>
      </c>
      <c r="BP104" s="13" t="s">
        <v>5510</v>
      </c>
      <c r="BQ104" s="13" t="s">
        <v>5510</v>
      </c>
      <c r="BR104" s="13" t="s">
        <v>5538</v>
      </c>
      <c r="BS104" s="13" t="s">
        <v>7610</v>
      </c>
      <c r="BT104" s="13">
        <v>25124.0</v>
      </c>
      <c r="BU104" s="13" t="s">
        <v>5540</v>
      </c>
      <c r="BV104" s="13" t="s">
        <v>4864</v>
      </c>
      <c r="BW104" s="13" t="str">
        <f>VLOOKUP($BT104,Enriched!$A$2:$E$1070,5,false)</f>
        <v>["Biological resource use"]</v>
      </c>
      <c r="BX104" s="13" t="str">
        <f>VLOOKUP($BT104,Enriched!$A$2:$E$1070,4,false)</f>
        <v>["Fishing &amp; harvesting aquatic resources"]</v>
      </c>
      <c r="BY104" s="13" t="b">
        <f>VLOOKUP(BT104,Enriched!$A$1:$AA$1070,27,falsE)</f>
        <v>0</v>
      </c>
      <c r="BZ104" s="2" t="str">
        <f>VLOOKUP(BT104,Enriched!$A$1:$AA$1070,14,falsE)</f>
        <v>level2</v>
      </c>
      <c r="CA104" s="13" t="str">
        <f>HYPERLINK("https%3A%2F%2Fwww.webofscience.com%2Fwos%2Fwoscc%2Ffull-record%2FWOS:000496874700004","View Full Record in Web of Science")</f>
        <v>View Full Record in Web of Science</v>
      </c>
    </row>
    <row r="105" ht="12.75" customHeight="1">
      <c r="A105" s="13" t="s">
        <v>5508</v>
      </c>
      <c r="B105" s="13" t="s">
        <v>7611</v>
      </c>
      <c r="C105" s="13" t="s">
        <v>5510</v>
      </c>
      <c r="D105" s="13" t="s">
        <v>5510</v>
      </c>
      <c r="E105" s="13" t="s">
        <v>5510</v>
      </c>
      <c r="F105" s="13" t="s">
        <v>7612</v>
      </c>
      <c r="G105" s="13" t="s">
        <v>5510</v>
      </c>
      <c r="H105" s="13" t="s">
        <v>5510</v>
      </c>
      <c r="I105" s="13" t="s">
        <v>2777</v>
      </c>
      <c r="J105" s="13" t="s">
        <v>5543</v>
      </c>
      <c r="K105" s="13" t="s">
        <v>5510</v>
      </c>
      <c r="L105" s="13" t="s">
        <v>5510</v>
      </c>
      <c r="M105" s="13" t="s">
        <v>5513</v>
      </c>
      <c r="N105" s="13" t="s">
        <v>5514</v>
      </c>
      <c r="O105" s="13" t="s">
        <v>5510</v>
      </c>
      <c r="P105" s="13" t="s">
        <v>5510</v>
      </c>
      <c r="Q105" s="13" t="s">
        <v>5510</v>
      </c>
      <c r="R105" s="13" t="s">
        <v>5510</v>
      </c>
      <c r="S105" s="13" t="s">
        <v>5510</v>
      </c>
      <c r="T105" s="13" t="s">
        <v>5510</v>
      </c>
      <c r="U105" s="13" t="s">
        <v>7613</v>
      </c>
      <c r="V105" s="13" t="s">
        <v>7614</v>
      </c>
      <c r="W105" s="13" t="s">
        <v>7615</v>
      </c>
      <c r="X105" s="13" t="s">
        <v>7616</v>
      </c>
      <c r="Y105" s="13" t="s">
        <v>7617</v>
      </c>
      <c r="Z105" s="13" t="s">
        <v>7618</v>
      </c>
      <c r="AA105" s="13" t="s">
        <v>7619</v>
      </c>
      <c r="AB105" s="13" t="s">
        <v>7620</v>
      </c>
      <c r="AC105" s="13" t="s">
        <v>7621</v>
      </c>
      <c r="AD105" s="13" t="s">
        <v>7622</v>
      </c>
      <c r="AE105" s="13" t="s">
        <v>7623</v>
      </c>
      <c r="AF105" s="13" t="s">
        <v>5510</v>
      </c>
      <c r="AG105" s="13">
        <v>83.0</v>
      </c>
      <c r="AH105" s="13">
        <v>37.0</v>
      </c>
      <c r="AI105" s="13">
        <v>44.0</v>
      </c>
      <c r="AJ105" s="13">
        <v>2.0</v>
      </c>
      <c r="AK105" s="13">
        <v>37.0</v>
      </c>
      <c r="AL105" s="13" t="s">
        <v>5552</v>
      </c>
      <c r="AM105" s="13" t="s">
        <v>5553</v>
      </c>
      <c r="AN105" s="13" t="s">
        <v>5554</v>
      </c>
      <c r="AO105" s="13" t="s">
        <v>5555</v>
      </c>
      <c r="AP105" s="13" t="s">
        <v>5510</v>
      </c>
      <c r="AQ105" s="13" t="s">
        <v>5510</v>
      </c>
      <c r="AR105" s="13" t="s">
        <v>5543</v>
      </c>
      <c r="AS105" s="13" t="s">
        <v>5556</v>
      </c>
      <c r="AT105" s="13" t="s">
        <v>7624</v>
      </c>
      <c r="AU105" s="13">
        <v>2019.0</v>
      </c>
      <c r="AV105" s="13">
        <v>14.0</v>
      </c>
      <c r="AW105" s="13">
        <v>6.0</v>
      </c>
      <c r="AX105" s="13" t="s">
        <v>5510</v>
      </c>
      <c r="AY105" s="13" t="s">
        <v>5510</v>
      </c>
      <c r="AZ105" s="13" t="s">
        <v>5510</v>
      </c>
      <c r="BA105" s="13" t="s">
        <v>5510</v>
      </c>
      <c r="BB105" s="13" t="s">
        <v>5510</v>
      </c>
      <c r="BC105" s="13" t="s">
        <v>5510</v>
      </c>
      <c r="BD105" s="13" t="s">
        <v>7625</v>
      </c>
      <c r="BE105" s="13" t="s">
        <v>7626</v>
      </c>
      <c r="BF105" s="52" t="str">
        <f>HYPERLINK("http://dx.doi.org/10.1371/journal.pone.0217754","http://dx.doi.org/10.1371/journal.pone.0217754")</f>
        <v>http://dx.doi.org/10.1371/journal.pone.0217754</v>
      </c>
      <c r="BG105" s="13" t="s">
        <v>5510</v>
      </c>
      <c r="BH105" s="13" t="s">
        <v>5510</v>
      </c>
      <c r="BI105" s="13">
        <v>20.0</v>
      </c>
      <c r="BJ105" s="13" t="s">
        <v>5560</v>
      </c>
      <c r="BK105" s="13" t="s">
        <v>5534</v>
      </c>
      <c r="BL105" s="13" t="s">
        <v>5562</v>
      </c>
      <c r="BM105" s="13" t="s">
        <v>7627</v>
      </c>
      <c r="BN105" s="13">
        <v>3.12422E7</v>
      </c>
      <c r="BO105" s="13" t="s">
        <v>5564</v>
      </c>
      <c r="BP105" s="13" t="s">
        <v>5510</v>
      </c>
      <c r="BQ105" s="13" t="s">
        <v>5510</v>
      </c>
      <c r="BR105" s="13" t="s">
        <v>5538</v>
      </c>
      <c r="BS105" s="13" t="s">
        <v>7628</v>
      </c>
      <c r="BT105" s="13">
        <v>24167.0</v>
      </c>
      <c r="BU105" s="13" t="s">
        <v>5540</v>
      </c>
      <c r="BV105" s="13" t="s">
        <v>4855</v>
      </c>
      <c r="BW105" s="13" t="str">
        <f>VLOOKUP($BT105,Enriched!$A$2:$E$1070,5,false)</f>
        <v>["Residential &amp; commercial development", "Transportation &amp; service corridors"]</v>
      </c>
      <c r="BX105" s="13" t="str">
        <f>VLOOKUP($BT105,Enriched!$A$2:$E$1070,4,false)</f>
        <v>["Housing &amp; urban area", "Roads &amp; railroads"]</v>
      </c>
      <c r="BY105" s="13" t="b">
        <f>VLOOKUP(BT105,Enriched!$A$1:$AA$1070,27,falsE)</f>
        <v>0</v>
      </c>
      <c r="BZ105" s="2" t="str">
        <f>VLOOKUP(BT105,Enriched!$A$1:$AA$1070,14,falsE)</f>
        <v>level2</v>
      </c>
      <c r="CA105" s="13" t="str">
        <f>HYPERLINK("https%3A%2F%2Fwww.webofscience.com%2Fwos%2Fwoscc%2Ffull-record%2FWOS:000482883600015","View Full Record in Web of Science")</f>
        <v>View Full Record in Web of Science</v>
      </c>
    </row>
    <row r="106" ht="12.75" customHeight="1">
      <c r="A106" s="13" t="s">
        <v>5508</v>
      </c>
      <c r="B106" s="13" t="s">
        <v>7629</v>
      </c>
      <c r="C106" s="13" t="s">
        <v>5510</v>
      </c>
      <c r="D106" s="13" t="s">
        <v>5510</v>
      </c>
      <c r="E106" s="13" t="s">
        <v>5510</v>
      </c>
      <c r="F106" s="13" t="s">
        <v>7630</v>
      </c>
      <c r="G106" s="13" t="s">
        <v>5510</v>
      </c>
      <c r="H106" s="13" t="s">
        <v>5510</v>
      </c>
      <c r="I106" s="13" t="s">
        <v>2774</v>
      </c>
      <c r="J106" s="13" t="s">
        <v>6407</v>
      </c>
      <c r="K106" s="13" t="s">
        <v>5510</v>
      </c>
      <c r="L106" s="13" t="s">
        <v>5510</v>
      </c>
      <c r="M106" s="13" t="s">
        <v>5513</v>
      </c>
      <c r="N106" s="13" t="s">
        <v>5514</v>
      </c>
      <c r="O106" s="13" t="s">
        <v>5510</v>
      </c>
      <c r="P106" s="13" t="s">
        <v>5510</v>
      </c>
      <c r="Q106" s="13" t="s">
        <v>5510</v>
      </c>
      <c r="R106" s="13" t="s">
        <v>5510</v>
      </c>
      <c r="S106" s="13" t="s">
        <v>5510</v>
      </c>
      <c r="T106" s="13" t="s">
        <v>7631</v>
      </c>
      <c r="U106" s="13" t="s">
        <v>7632</v>
      </c>
      <c r="V106" s="13" t="s">
        <v>7633</v>
      </c>
      <c r="W106" s="13" t="s">
        <v>7634</v>
      </c>
      <c r="X106" s="13" t="s">
        <v>7635</v>
      </c>
      <c r="Y106" s="13" t="s">
        <v>7636</v>
      </c>
      <c r="Z106" s="13" t="s">
        <v>7637</v>
      </c>
      <c r="AA106" s="13" t="s">
        <v>7638</v>
      </c>
      <c r="AB106" s="13" t="s">
        <v>7639</v>
      </c>
      <c r="AC106" s="13" t="s">
        <v>7640</v>
      </c>
      <c r="AD106" s="13" t="s">
        <v>7641</v>
      </c>
      <c r="AE106" s="13" t="s">
        <v>7642</v>
      </c>
      <c r="AF106" s="13" t="s">
        <v>5510</v>
      </c>
      <c r="AG106" s="13">
        <v>101.0</v>
      </c>
      <c r="AH106" s="13">
        <v>18.0</v>
      </c>
      <c r="AI106" s="13">
        <v>21.0</v>
      </c>
      <c r="AJ106" s="13">
        <v>4.0</v>
      </c>
      <c r="AK106" s="13">
        <v>50.0</v>
      </c>
      <c r="AL106" s="13" t="s">
        <v>5759</v>
      </c>
      <c r="AM106" s="13" t="s">
        <v>5760</v>
      </c>
      <c r="AN106" s="13" t="s">
        <v>5761</v>
      </c>
      <c r="AO106" s="13" t="s">
        <v>6417</v>
      </c>
      <c r="AP106" s="13" t="s">
        <v>6418</v>
      </c>
      <c r="AQ106" s="13" t="s">
        <v>5510</v>
      </c>
      <c r="AR106" s="13" t="s">
        <v>6419</v>
      </c>
      <c r="AS106" s="13" t="s">
        <v>6420</v>
      </c>
      <c r="AT106" s="13" t="s">
        <v>5582</v>
      </c>
      <c r="AU106" s="13">
        <v>2018.0</v>
      </c>
      <c r="AV106" s="13">
        <v>84.0</v>
      </c>
      <c r="AW106" s="13" t="s">
        <v>5510</v>
      </c>
      <c r="AX106" s="13" t="s">
        <v>5510</v>
      </c>
      <c r="AY106" s="13" t="s">
        <v>5510</v>
      </c>
      <c r="AZ106" s="13" t="s">
        <v>5510</v>
      </c>
      <c r="BA106" s="13" t="s">
        <v>5510</v>
      </c>
      <c r="BB106" s="13">
        <v>45.0</v>
      </c>
      <c r="BC106" s="13">
        <v>59.0</v>
      </c>
      <c r="BD106" s="13" t="s">
        <v>5510</v>
      </c>
      <c r="BE106" s="13" t="s">
        <v>7643</v>
      </c>
      <c r="BF106" s="52" t="str">
        <f>HYPERLINK("http://dx.doi.org/10.1016/j.ecolind.2017.08.034","http://dx.doi.org/10.1016/j.ecolind.2017.08.034")</f>
        <v>http://dx.doi.org/10.1016/j.ecolind.2017.08.034</v>
      </c>
      <c r="BG106" s="13" t="s">
        <v>5510</v>
      </c>
      <c r="BH106" s="13" t="s">
        <v>5510</v>
      </c>
      <c r="BI106" s="13">
        <v>15.0</v>
      </c>
      <c r="BJ106" s="13" t="s">
        <v>6422</v>
      </c>
      <c r="BK106" s="13" t="s">
        <v>5561</v>
      </c>
      <c r="BL106" s="13" t="s">
        <v>5699</v>
      </c>
      <c r="BM106" s="13" t="s">
        <v>7644</v>
      </c>
      <c r="BN106" s="13" t="s">
        <v>5510</v>
      </c>
      <c r="BO106" s="13" t="s">
        <v>5510</v>
      </c>
      <c r="BP106" s="13" t="s">
        <v>5510</v>
      </c>
      <c r="BQ106" s="13" t="s">
        <v>5510</v>
      </c>
      <c r="BR106" s="13" t="s">
        <v>5538</v>
      </c>
      <c r="BS106" s="13" t="s">
        <v>7645</v>
      </c>
      <c r="BT106" s="13">
        <v>25286.0</v>
      </c>
      <c r="BU106" s="13" t="s">
        <v>5540</v>
      </c>
      <c r="BV106" s="13" t="s">
        <v>4852</v>
      </c>
      <c r="BW106" s="13" t="str">
        <f>VLOOKUP($BT106,Enriched!$A$2:$E$1070,5,false)</f>
        <v>["Invasive &amp; other problematic species, genes &amp; diseases"]</v>
      </c>
      <c r="BX106" s="13" t="str">
        <f>VLOOKUP($BT106,Enriched!$A$2:$E$1070,4,false)</f>
        <v>["Invasive non-native/alien species/diseases"]</v>
      </c>
      <c r="BY106" s="13" t="b">
        <f>VLOOKUP(BT106,Enriched!$A$1:$AA$1070,27,falsE)</f>
        <v>0</v>
      </c>
      <c r="BZ106" s="2" t="str">
        <f>VLOOKUP(BT106,Enriched!$A$1:$AA$1070,14,falsE)</f>
        <v>level2</v>
      </c>
      <c r="CA106" s="13" t="str">
        <f>HYPERLINK("https%3A%2F%2Fwww.webofscience.com%2Fwos%2Fwoscc%2Ffull-record%2FWOS:000425828200006","View Full Record in Web of Science")</f>
        <v>View Full Record in Web of Science</v>
      </c>
    </row>
    <row r="107" ht="12.75" customHeight="1">
      <c r="A107" s="13" t="s">
        <v>5508</v>
      </c>
      <c r="B107" s="13" t="s">
        <v>7646</v>
      </c>
      <c r="C107" s="13" t="s">
        <v>5510</v>
      </c>
      <c r="D107" s="13" t="s">
        <v>5510</v>
      </c>
      <c r="E107" s="13" t="s">
        <v>5510</v>
      </c>
      <c r="F107" s="13" t="s">
        <v>7647</v>
      </c>
      <c r="G107" s="13" t="s">
        <v>5510</v>
      </c>
      <c r="H107" s="13" t="s">
        <v>5510</v>
      </c>
      <c r="I107" s="2" t="s">
        <v>2771</v>
      </c>
      <c r="J107" s="13" t="s">
        <v>7648</v>
      </c>
      <c r="K107" s="13" t="s">
        <v>5510</v>
      </c>
      <c r="L107" s="13" t="s">
        <v>5510</v>
      </c>
      <c r="M107" s="13" t="s">
        <v>5513</v>
      </c>
      <c r="N107" s="13" t="s">
        <v>5514</v>
      </c>
      <c r="O107" s="13" t="s">
        <v>5510</v>
      </c>
      <c r="P107" s="13" t="s">
        <v>5510</v>
      </c>
      <c r="Q107" s="13" t="s">
        <v>5510</v>
      </c>
      <c r="R107" s="13" t="s">
        <v>5510</v>
      </c>
      <c r="S107" s="13" t="s">
        <v>5510</v>
      </c>
      <c r="T107" s="13" t="s">
        <v>7649</v>
      </c>
      <c r="U107" s="13" t="s">
        <v>7650</v>
      </c>
      <c r="V107" s="13" t="s">
        <v>7651</v>
      </c>
      <c r="W107" s="13" t="s">
        <v>7652</v>
      </c>
      <c r="X107" s="13" t="s">
        <v>7653</v>
      </c>
      <c r="Y107" s="13" t="s">
        <v>7654</v>
      </c>
      <c r="Z107" s="13" t="s">
        <v>7655</v>
      </c>
      <c r="AA107" s="13" t="s">
        <v>7656</v>
      </c>
      <c r="AB107" s="13" t="s">
        <v>7657</v>
      </c>
      <c r="AC107" s="13" t="s">
        <v>7658</v>
      </c>
      <c r="AD107" s="13" t="s">
        <v>7659</v>
      </c>
      <c r="AE107" s="13" t="s">
        <v>7660</v>
      </c>
      <c r="AF107" s="13" t="s">
        <v>5510</v>
      </c>
      <c r="AG107" s="13">
        <v>31.0</v>
      </c>
      <c r="AH107" s="13">
        <v>12.0</v>
      </c>
      <c r="AI107" s="13">
        <v>12.0</v>
      </c>
      <c r="AJ107" s="13">
        <v>0.0</v>
      </c>
      <c r="AK107" s="13">
        <v>22.0</v>
      </c>
      <c r="AL107" s="13" t="s">
        <v>5690</v>
      </c>
      <c r="AM107" s="13" t="s">
        <v>5691</v>
      </c>
      <c r="AN107" s="13" t="s">
        <v>5692</v>
      </c>
      <c r="AO107" s="13" t="s">
        <v>7661</v>
      </c>
      <c r="AP107" s="13" t="s">
        <v>7662</v>
      </c>
      <c r="AQ107" s="13" t="s">
        <v>5510</v>
      </c>
      <c r="AR107" s="13" t="s">
        <v>7648</v>
      </c>
      <c r="AS107" s="13" t="s">
        <v>422</v>
      </c>
      <c r="AT107" s="13" t="s">
        <v>6175</v>
      </c>
      <c r="AU107" s="13">
        <v>2019.0</v>
      </c>
      <c r="AV107" s="13">
        <v>48.0</v>
      </c>
      <c r="AW107" s="13">
        <v>8.0</v>
      </c>
      <c r="AX107" s="13" t="s">
        <v>5510</v>
      </c>
      <c r="AY107" s="13" t="s">
        <v>5510</v>
      </c>
      <c r="AZ107" s="13" t="s">
        <v>5510</v>
      </c>
      <c r="BA107" s="13" t="s">
        <v>5510</v>
      </c>
      <c r="BB107" s="13">
        <v>913.0</v>
      </c>
      <c r="BC107" s="13">
        <v>922.0</v>
      </c>
      <c r="BD107" s="13" t="s">
        <v>5510</v>
      </c>
      <c r="BE107" s="13" t="s">
        <v>7663</v>
      </c>
      <c r="BF107" s="52" t="str">
        <f>HYPERLINK("http://dx.doi.org/10.1007/s13280-018-1128-6","http://dx.doi.org/10.1007/s13280-018-1128-6")</f>
        <v>http://dx.doi.org/10.1007/s13280-018-1128-6</v>
      </c>
      <c r="BG107" s="13" t="s">
        <v>5510</v>
      </c>
      <c r="BH107" s="13" t="s">
        <v>5510</v>
      </c>
      <c r="BI107" s="13">
        <v>10.0</v>
      </c>
      <c r="BJ107" s="13" t="s">
        <v>7664</v>
      </c>
      <c r="BK107" s="13" t="s">
        <v>5534</v>
      </c>
      <c r="BL107" s="13" t="s">
        <v>7665</v>
      </c>
      <c r="BM107" s="13" t="s">
        <v>7666</v>
      </c>
      <c r="BN107" s="13">
        <v>3.0484066E7</v>
      </c>
      <c r="BO107" s="13" t="s">
        <v>6623</v>
      </c>
      <c r="BP107" s="13" t="s">
        <v>5510</v>
      </c>
      <c r="BQ107" s="13" t="s">
        <v>5510</v>
      </c>
      <c r="BR107" s="13" t="s">
        <v>5538</v>
      </c>
      <c r="BS107" s="13" t="s">
        <v>7667</v>
      </c>
      <c r="BT107" s="13">
        <v>23614.0</v>
      </c>
      <c r="BU107" s="13" t="s">
        <v>5540</v>
      </c>
      <c r="BV107" s="13" t="s">
        <v>4856</v>
      </c>
      <c r="BW107" s="13" t="str">
        <f>VLOOKUP($BT107,Enriched!$A$2:$E$1070,5,false)</f>
        <v>["Biological resource use"]</v>
      </c>
      <c r="BX107" s="13" t="str">
        <f>VLOOKUP($BT107,Enriched!$A$2:$E$1070,4,false)</f>
        <v>["Hunting &amp; collecting terrestrial animals"]</v>
      </c>
      <c r="BY107" s="13" t="b">
        <f>VLOOKUP(BT107,Enriched!$A$1:$AA$1070,27,falsE)</f>
        <v>0</v>
      </c>
      <c r="BZ107" s="2" t="str">
        <f>VLOOKUP(BT107,Enriched!$A$1:$AA$1070,14,falsE)</f>
        <v>level2</v>
      </c>
      <c r="CA107" s="13" t="str">
        <f>HYPERLINK("https%3A%2F%2Fwww.webofscience.com%2Fwos%2Fwoscc%2Ffull-record%2FWOS:000469438600009","View Full Record in Web of Science")</f>
        <v>View Full Record in Web of Science</v>
      </c>
    </row>
    <row r="108" ht="12.75" customHeight="1">
      <c r="A108" s="13" t="s">
        <v>5508</v>
      </c>
      <c r="B108" s="13" t="s">
        <v>7668</v>
      </c>
      <c r="C108" s="13" t="s">
        <v>5510</v>
      </c>
      <c r="D108" s="13" t="s">
        <v>5510</v>
      </c>
      <c r="E108" s="13" t="s">
        <v>5510</v>
      </c>
      <c r="F108" s="13" t="s">
        <v>7669</v>
      </c>
      <c r="G108" s="13" t="s">
        <v>5510</v>
      </c>
      <c r="H108" s="13" t="s">
        <v>5510</v>
      </c>
      <c r="I108" s="13" t="s">
        <v>2762</v>
      </c>
      <c r="J108" s="13" t="s">
        <v>7670</v>
      </c>
      <c r="K108" s="13" t="s">
        <v>5510</v>
      </c>
      <c r="L108" s="13" t="s">
        <v>5510</v>
      </c>
      <c r="M108" s="13" t="s">
        <v>5513</v>
      </c>
      <c r="N108" s="13" t="s">
        <v>5514</v>
      </c>
      <c r="O108" s="13" t="s">
        <v>5510</v>
      </c>
      <c r="P108" s="13" t="s">
        <v>5510</v>
      </c>
      <c r="Q108" s="13" t="s">
        <v>5510</v>
      </c>
      <c r="R108" s="13" t="s">
        <v>5510</v>
      </c>
      <c r="S108" s="13" t="s">
        <v>5510</v>
      </c>
      <c r="T108" s="13" t="s">
        <v>7671</v>
      </c>
      <c r="U108" s="13" t="s">
        <v>7672</v>
      </c>
      <c r="V108" s="13" t="s">
        <v>7673</v>
      </c>
      <c r="W108" s="13" t="s">
        <v>7674</v>
      </c>
      <c r="X108" s="13" t="s">
        <v>7675</v>
      </c>
      <c r="Y108" s="13" t="s">
        <v>7676</v>
      </c>
      <c r="Z108" s="13" t="s">
        <v>7677</v>
      </c>
      <c r="AA108" s="13" t="s">
        <v>7678</v>
      </c>
      <c r="AB108" s="13" t="s">
        <v>7679</v>
      </c>
      <c r="AC108" s="13" t="s">
        <v>7680</v>
      </c>
      <c r="AD108" s="13" t="s">
        <v>7680</v>
      </c>
      <c r="AE108" s="13" t="s">
        <v>7681</v>
      </c>
      <c r="AF108" s="13" t="s">
        <v>5510</v>
      </c>
      <c r="AG108" s="13">
        <v>24.0</v>
      </c>
      <c r="AH108" s="13">
        <v>16.0</v>
      </c>
      <c r="AI108" s="13">
        <v>20.0</v>
      </c>
      <c r="AJ108" s="13">
        <v>1.0</v>
      </c>
      <c r="AK108" s="13">
        <v>48.0</v>
      </c>
      <c r="AL108" s="13" t="s">
        <v>5690</v>
      </c>
      <c r="AM108" s="13" t="s">
        <v>6503</v>
      </c>
      <c r="AN108" s="13" t="s">
        <v>7040</v>
      </c>
      <c r="AO108" s="13" t="s">
        <v>7682</v>
      </c>
      <c r="AP108" s="13" t="s">
        <v>7683</v>
      </c>
      <c r="AQ108" s="13" t="s">
        <v>5510</v>
      </c>
      <c r="AR108" s="13" t="s">
        <v>7684</v>
      </c>
      <c r="AS108" s="13" t="s">
        <v>7685</v>
      </c>
      <c r="AT108" s="13" t="s">
        <v>6828</v>
      </c>
      <c r="AU108" s="13">
        <v>2013.0</v>
      </c>
      <c r="AV108" s="13">
        <v>34.0</v>
      </c>
      <c r="AW108" s="13">
        <v>2.0</v>
      </c>
      <c r="AX108" s="13" t="s">
        <v>5510</v>
      </c>
      <c r="AY108" s="13" t="s">
        <v>5510</v>
      </c>
      <c r="AZ108" s="13" t="s">
        <v>5510</v>
      </c>
      <c r="BA108" s="13" t="s">
        <v>5510</v>
      </c>
      <c r="BB108" s="13">
        <v>281.0</v>
      </c>
      <c r="BC108" s="13">
        <v>302.0</v>
      </c>
      <c r="BD108" s="13" t="s">
        <v>5510</v>
      </c>
      <c r="BE108" s="13" t="s">
        <v>7686</v>
      </c>
      <c r="BF108" s="52" t="str">
        <f>HYPERLINK("http://dx.doi.org/10.1007/s10764-013-9661-4","http://dx.doi.org/10.1007/s10764-013-9661-4")</f>
        <v>http://dx.doi.org/10.1007/s10764-013-9661-4</v>
      </c>
      <c r="BG108" s="13" t="s">
        <v>5510</v>
      </c>
      <c r="BH108" s="13" t="s">
        <v>5510</v>
      </c>
      <c r="BI108" s="13">
        <v>22.0</v>
      </c>
      <c r="BJ108" s="13" t="s">
        <v>6899</v>
      </c>
      <c r="BK108" s="13" t="s">
        <v>5561</v>
      </c>
      <c r="BL108" s="13" t="s">
        <v>6899</v>
      </c>
      <c r="BM108" s="13" t="s">
        <v>7687</v>
      </c>
      <c r="BN108" s="13" t="s">
        <v>5510</v>
      </c>
      <c r="BO108" s="13" t="s">
        <v>5510</v>
      </c>
      <c r="BP108" s="13" t="s">
        <v>5510</v>
      </c>
      <c r="BQ108" s="13" t="s">
        <v>5510</v>
      </c>
      <c r="BR108" s="13" t="s">
        <v>5538</v>
      </c>
      <c r="BS108" s="13" t="s">
        <v>7688</v>
      </c>
      <c r="BT108" s="13">
        <v>24871.0</v>
      </c>
      <c r="BU108" s="13" t="s">
        <v>5540</v>
      </c>
      <c r="BV108" s="13" t="s">
        <v>4856</v>
      </c>
      <c r="BW108" s="13" t="str">
        <f>VLOOKUP($BT108,Enriched!$A$2:$E$1070,5,false)</f>
        <v>["Biological resource use"]</v>
      </c>
      <c r="BX108" s="13" t="str">
        <f>VLOOKUP($BT108,Enriched!$A$2:$E$1070,4,false)</f>
        <v>["Hunting &amp; collecting terrestrial animals"]</v>
      </c>
      <c r="BY108" s="13" t="b">
        <f>VLOOKUP(BT108,Enriched!$A$1:$AA$1070,27,falsE)</f>
        <v>0</v>
      </c>
      <c r="BZ108" s="2" t="str">
        <f>VLOOKUP(BT108,Enriched!$A$1:$AA$1070,14,falsE)</f>
        <v>level2</v>
      </c>
      <c r="CA108" s="13" t="str">
        <f>HYPERLINK("https%3A%2F%2Fwww.webofscience.com%2Fwos%2Fwoscc%2Ffull-record%2FWOS:000316741800005","View Full Record in Web of Science")</f>
        <v>View Full Record in Web of Science</v>
      </c>
    </row>
    <row r="109" ht="12.75" customHeight="1">
      <c r="A109" s="13" t="s">
        <v>5508</v>
      </c>
      <c r="B109" s="13" t="s">
        <v>7689</v>
      </c>
      <c r="C109" s="13" t="s">
        <v>5510</v>
      </c>
      <c r="D109" s="13" t="s">
        <v>5510</v>
      </c>
      <c r="E109" s="13" t="s">
        <v>5510</v>
      </c>
      <c r="F109" s="13" t="s">
        <v>7690</v>
      </c>
      <c r="G109" s="13" t="s">
        <v>5510</v>
      </c>
      <c r="H109" s="13" t="s">
        <v>5510</v>
      </c>
      <c r="I109" s="13" t="s">
        <v>2759</v>
      </c>
      <c r="J109" s="13" t="s">
        <v>5568</v>
      </c>
      <c r="K109" s="13" t="s">
        <v>5510</v>
      </c>
      <c r="L109" s="13" t="s">
        <v>5510</v>
      </c>
      <c r="M109" s="13" t="s">
        <v>5513</v>
      </c>
      <c r="N109" s="13" t="s">
        <v>5514</v>
      </c>
      <c r="O109" s="13" t="s">
        <v>5510</v>
      </c>
      <c r="P109" s="13" t="s">
        <v>5510</v>
      </c>
      <c r="Q109" s="13" t="s">
        <v>5510</v>
      </c>
      <c r="R109" s="13" t="s">
        <v>5510</v>
      </c>
      <c r="S109" s="13" t="s">
        <v>5510</v>
      </c>
      <c r="T109" s="13" t="s">
        <v>7691</v>
      </c>
      <c r="U109" s="13" t="s">
        <v>7692</v>
      </c>
      <c r="V109" s="13" t="s">
        <v>7693</v>
      </c>
      <c r="W109" s="13" t="s">
        <v>7694</v>
      </c>
      <c r="X109" s="13" t="s">
        <v>7695</v>
      </c>
      <c r="Y109" s="13" t="s">
        <v>7696</v>
      </c>
      <c r="Z109" s="13" t="s">
        <v>7697</v>
      </c>
      <c r="AA109" s="13" t="s">
        <v>7698</v>
      </c>
      <c r="AB109" s="13" t="s">
        <v>7699</v>
      </c>
      <c r="AC109" s="13" t="s">
        <v>7700</v>
      </c>
      <c r="AD109" s="13" t="s">
        <v>7701</v>
      </c>
      <c r="AE109" s="13" t="s">
        <v>7702</v>
      </c>
      <c r="AF109" s="13" t="s">
        <v>5510</v>
      </c>
      <c r="AG109" s="13">
        <v>74.0</v>
      </c>
      <c r="AH109" s="13">
        <v>55.0</v>
      </c>
      <c r="AI109" s="13">
        <v>62.0</v>
      </c>
      <c r="AJ109" s="13">
        <v>2.0</v>
      </c>
      <c r="AK109" s="13">
        <v>124.0</v>
      </c>
      <c r="AL109" s="13" t="s">
        <v>5527</v>
      </c>
      <c r="AM109" s="13" t="s">
        <v>5528</v>
      </c>
      <c r="AN109" s="13" t="s">
        <v>5529</v>
      </c>
      <c r="AO109" s="13" t="s">
        <v>5578</v>
      </c>
      <c r="AP109" s="13" t="s">
        <v>5579</v>
      </c>
      <c r="AQ109" s="13" t="s">
        <v>5510</v>
      </c>
      <c r="AR109" s="13" t="s">
        <v>5580</v>
      </c>
      <c r="AS109" s="13" t="s">
        <v>5581</v>
      </c>
      <c r="AT109" s="13" t="s">
        <v>1453</v>
      </c>
      <c r="AU109" s="13">
        <v>2012.0</v>
      </c>
      <c r="AV109" s="13">
        <v>81.0</v>
      </c>
      <c r="AW109" s="13">
        <v>6.0</v>
      </c>
      <c r="AX109" s="13" t="s">
        <v>5510</v>
      </c>
      <c r="AY109" s="13" t="s">
        <v>5510</v>
      </c>
      <c r="AZ109" s="13" t="s">
        <v>5510</v>
      </c>
      <c r="BA109" s="13" t="s">
        <v>5510</v>
      </c>
      <c r="BB109" s="13">
        <v>1268.0</v>
      </c>
      <c r="BC109" s="13">
        <v>1287.0</v>
      </c>
      <c r="BD109" s="13" t="s">
        <v>5510</v>
      </c>
      <c r="BE109" s="13" t="s">
        <v>7703</v>
      </c>
      <c r="BF109" s="52" t="str">
        <f>HYPERLINK("http://dx.doi.org/10.1111/j.1365-2656.2012.02000.x","http://dx.doi.org/10.1111/j.1365-2656.2012.02000.x")</f>
        <v>http://dx.doi.org/10.1111/j.1365-2656.2012.02000.x</v>
      </c>
      <c r="BG109" s="13" t="s">
        <v>5510</v>
      </c>
      <c r="BH109" s="13" t="s">
        <v>5510</v>
      </c>
      <c r="BI109" s="13">
        <v>20.0</v>
      </c>
      <c r="BJ109" s="13" t="s">
        <v>5584</v>
      </c>
      <c r="BK109" s="13" t="s">
        <v>5561</v>
      </c>
      <c r="BL109" s="13" t="s">
        <v>5585</v>
      </c>
      <c r="BM109" s="13" t="s">
        <v>7704</v>
      </c>
      <c r="BN109" s="13">
        <v>2.2640527E7</v>
      </c>
      <c r="BO109" s="13" t="s">
        <v>5809</v>
      </c>
      <c r="BP109" s="13" t="s">
        <v>5510</v>
      </c>
      <c r="BQ109" s="13" t="s">
        <v>5510</v>
      </c>
      <c r="BR109" s="13" t="s">
        <v>5538</v>
      </c>
      <c r="BS109" s="13" t="s">
        <v>7705</v>
      </c>
      <c r="BT109" s="13">
        <v>23304.0</v>
      </c>
      <c r="BU109" s="13" t="s">
        <v>5540</v>
      </c>
      <c r="BV109" s="13" t="s">
        <v>4856</v>
      </c>
      <c r="BW109" s="13" t="str">
        <f>VLOOKUP($BT109,Enriched!$A$2:$E$1070,5,false)</f>
        <v>["Agriculture &amp; Aquaculture"]</v>
      </c>
      <c r="BX109" s="13" t="str">
        <f>VLOOKUP($BT109,Enriched!$A$2:$E$1070,4,false)</f>
        <v>["Livestock farming &amp; ranching", "Annual &amp; perennial non-timber crops", "Housing &amp; urban area"]</v>
      </c>
      <c r="BY109" s="13" t="b">
        <f>VLOOKUP(BT109,Enriched!$A$1:$AA$1070,27,falsE)</f>
        <v>0</v>
      </c>
      <c r="BZ109" s="2" t="str">
        <f>VLOOKUP(BT109,Enriched!$A$1:$AA$1070,14,falsE)</f>
        <v>level2</v>
      </c>
      <c r="CA109" s="13" t="str">
        <f>HYPERLINK("https%3A%2F%2Fwww.webofscience.com%2Fwos%2Fwoscc%2Ffull-record%2FWOS:000310554300014","View Full Record in Web of Science")</f>
        <v>View Full Record in Web of Science</v>
      </c>
    </row>
    <row r="110" ht="12.75" customHeight="1">
      <c r="A110" s="13" t="s">
        <v>5508</v>
      </c>
      <c r="B110" s="13" t="s">
        <v>7706</v>
      </c>
      <c r="C110" s="13" t="s">
        <v>5510</v>
      </c>
      <c r="D110" s="13" t="s">
        <v>5510</v>
      </c>
      <c r="E110" s="13" t="s">
        <v>5510</v>
      </c>
      <c r="F110" s="13" t="s">
        <v>7706</v>
      </c>
      <c r="G110" s="13" t="s">
        <v>5510</v>
      </c>
      <c r="H110" s="13" t="s">
        <v>5510</v>
      </c>
      <c r="I110" s="13" t="s">
        <v>2756</v>
      </c>
      <c r="J110" s="13" t="s">
        <v>5746</v>
      </c>
      <c r="K110" s="13" t="s">
        <v>5510</v>
      </c>
      <c r="L110" s="13" t="s">
        <v>5510</v>
      </c>
      <c r="M110" s="13" t="s">
        <v>5513</v>
      </c>
      <c r="N110" s="13" t="s">
        <v>5514</v>
      </c>
      <c r="O110" s="13" t="s">
        <v>5510</v>
      </c>
      <c r="P110" s="13" t="s">
        <v>5510</v>
      </c>
      <c r="Q110" s="13" t="s">
        <v>5510</v>
      </c>
      <c r="R110" s="13" t="s">
        <v>5510</v>
      </c>
      <c r="S110" s="13" t="s">
        <v>5510</v>
      </c>
      <c r="T110" s="13" t="s">
        <v>7707</v>
      </c>
      <c r="U110" s="13" t="s">
        <v>7708</v>
      </c>
      <c r="V110" s="13" t="s">
        <v>7709</v>
      </c>
      <c r="W110" s="13" t="s">
        <v>7710</v>
      </c>
      <c r="X110" s="13" t="s">
        <v>7711</v>
      </c>
      <c r="Y110" s="13" t="s">
        <v>7712</v>
      </c>
      <c r="Z110" s="13" t="s">
        <v>7713</v>
      </c>
      <c r="AA110" s="13" t="s">
        <v>5510</v>
      </c>
      <c r="AB110" s="13" t="s">
        <v>5510</v>
      </c>
      <c r="AC110" s="13" t="s">
        <v>5510</v>
      </c>
      <c r="AD110" s="13" t="s">
        <v>5510</v>
      </c>
      <c r="AE110" s="13" t="s">
        <v>5510</v>
      </c>
      <c r="AF110" s="13" t="s">
        <v>5510</v>
      </c>
      <c r="AG110" s="13">
        <v>57.0</v>
      </c>
      <c r="AH110" s="13">
        <v>11.0</v>
      </c>
      <c r="AI110" s="13">
        <v>14.0</v>
      </c>
      <c r="AJ110" s="13">
        <v>0.0</v>
      </c>
      <c r="AK110" s="13">
        <v>16.0</v>
      </c>
      <c r="AL110" s="13" t="s">
        <v>7714</v>
      </c>
      <c r="AM110" s="13" t="s">
        <v>5760</v>
      </c>
      <c r="AN110" s="13" t="s">
        <v>7715</v>
      </c>
      <c r="AO110" s="13" t="s">
        <v>5762</v>
      </c>
      <c r="AP110" s="13" t="s">
        <v>5763</v>
      </c>
      <c r="AQ110" s="13" t="s">
        <v>5510</v>
      </c>
      <c r="AR110" s="13" t="s">
        <v>5764</v>
      </c>
      <c r="AS110" s="13" t="s">
        <v>5765</v>
      </c>
      <c r="AT110" s="13" t="s">
        <v>7716</v>
      </c>
      <c r="AU110" s="13">
        <v>2005.0</v>
      </c>
      <c r="AV110" s="13">
        <v>341.0</v>
      </c>
      <c r="AW110" s="13" t="s">
        <v>7717</v>
      </c>
      <c r="AX110" s="13" t="s">
        <v>5510</v>
      </c>
      <c r="AY110" s="13" t="s">
        <v>5510</v>
      </c>
      <c r="AZ110" s="13" t="s">
        <v>5510</v>
      </c>
      <c r="BA110" s="13" t="s">
        <v>5510</v>
      </c>
      <c r="BB110" s="13">
        <v>15.0</v>
      </c>
      <c r="BC110" s="13">
        <v>31.0</v>
      </c>
      <c r="BD110" s="13" t="s">
        <v>5510</v>
      </c>
      <c r="BE110" s="13" t="s">
        <v>7718</v>
      </c>
      <c r="BF110" s="52" t="str">
        <f>HYPERLINK("http://dx.doi.org/10.1016/j.scitotenv.2004.09.017","http://dx.doi.org/10.1016/j.scitotenv.2004.09.017")</f>
        <v>http://dx.doi.org/10.1016/j.scitotenv.2004.09.017</v>
      </c>
      <c r="BG110" s="13" t="s">
        <v>5510</v>
      </c>
      <c r="BH110" s="13" t="s">
        <v>5510</v>
      </c>
      <c r="BI110" s="13">
        <v>17.0</v>
      </c>
      <c r="BJ110" s="13" t="s">
        <v>5768</v>
      </c>
      <c r="BK110" s="13" t="s">
        <v>5561</v>
      </c>
      <c r="BL110" s="13" t="s">
        <v>5535</v>
      </c>
      <c r="BM110" s="13" t="s">
        <v>7719</v>
      </c>
      <c r="BN110" s="13">
        <v>1.5833238E7</v>
      </c>
      <c r="BO110" s="13" t="s">
        <v>5510</v>
      </c>
      <c r="BP110" s="13" t="s">
        <v>5510</v>
      </c>
      <c r="BQ110" s="13" t="s">
        <v>5510</v>
      </c>
      <c r="BR110" s="13" t="s">
        <v>5538</v>
      </c>
      <c r="BS110" s="13" t="s">
        <v>7720</v>
      </c>
      <c r="BT110" s="13">
        <v>23964.0</v>
      </c>
      <c r="BU110" s="13" t="s">
        <v>5540</v>
      </c>
      <c r="BV110" s="13" t="s">
        <v>4886</v>
      </c>
      <c r="BW110" s="13" t="str">
        <f>VLOOKUP($BT110,Enriched!$A$2:$E$1070,5,false)</f>
        <v>["Pollution"]</v>
      </c>
      <c r="BX110" s="13" t="str">
        <f>VLOOKUP($BT110,Enriched!$A$2:$E$1070,4,false)</f>
        <v>["Industrial &amp; military effluents"]</v>
      </c>
      <c r="BY110" s="13" t="b">
        <f>VLOOKUP(BT110,Enriched!$A$1:$AA$1070,27,falsE)</f>
        <v>0</v>
      </c>
      <c r="BZ110" s="2" t="str">
        <f>VLOOKUP(BT110,Enriched!$A$1:$AA$1070,14,falsE)</f>
        <v>level2</v>
      </c>
      <c r="CA110" s="13" t="str">
        <f>HYPERLINK("https%3A%2F%2Fwww.webofscience.com%2Fwos%2Fwoscc%2Ffull-record%2FWOS:000229009100002","View Full Record in Web of Science")</f>
        <v>View Full Record in Web of Science</v>
      </c>
    </row>
    <row r="111" ht="12.75" customHeight="1">
      <c r="A111" s="13" t="s">
        <v>5508</v>
      </c>
      <c r="B111" s="13" t="s">
        <v>7721</v>
      </c>
      <c r="C111" s="13" t="s">
        <v>5510</v>
      </c>
      <c r="D111" s="13" t="s">
        <v>5510</v>
      </c>
      <c r="E111" s="13" t="s">
        <v>5510</v>
      </c>
      <c r="F111" s="13" t="s">
        <v>7722</v>
      </c>
      <c r="G111" s="13" t="s">
        <v>5510</v>
      </c>
      <c r="H111" s="13" t="s">
        <v>5510</v>
      </c>
      <c r="I111" s="13" t="s">
        <v>7723</v>
      </c>
      <c r="J111" s="13" t="s">
        <v>46</v>
      </c>
      <c r="K111" s="13" t="s">
        <v>5510</v>
      </c>
      <c r="L111" s="13" t="s">
        <v>5510</v>
      </c>
      <c r="M111" s="13" t="s">
        <v>5513</v>
      </c>
      <c r="N111" s="13" t="s">
        <v>5514</v>
      </c>
      <c r="O111" s="13" t="s">
        <v>5510</v>
      </c>
      <c r="P111" s="13" t="s">
        <v>5510</v>
      </c>
      <c r="Q111" s="13" t="s">
        <v>5510</v>
      </c>
      <c r="R111" s="13" t="s">
        <v>5510</v>
      </c>
      <c r="S111" s="13" t="s">
        <v>5510</v>
      </c>
      <c r="T111" s="13" t="s">
        <v>7724</v>
      </c>
      <c r="U111" s="13" t="s">
        <v>7725</v>
      </c>
      <c r="V111" s="13" t="s">
        <v>7726</v>
      </c>
      <c r="W111" s="13" t="s">
        <v>7727</v>
      </c>
      <c r="X111" s="13" t="s">
        <v>7728</v>
      </c>
      <c r="Y111" s="13" t="s">
        <v>7729</v>
      </c>
      <c r="Z111" s="13" t="s">
        <v>7730</v>
      </c>
      <c r="AA111" s="13" t="s">
        <v>5510</v>
      </c>
      <c r="AB111" s="13" t="s">
        <v>5510</v>
      </c>
      <c r="AC111" s="13" t="s">
        <v>7731</v>
      </c>
      <c r="AD111" s="13" t="s">
        <v>7732</v>
      </c>
      <c r="AE111" s="13" t="s">
        <v>7733</v>
      </c>
      <c r="AF111" s="13" t="s">
        <v>5510</v>
      </c>
      <c r="AG111" s="13">
        <v>32.0</v>
      </c>
      <c r="AH111" s="13">
        <v>21.0</v>
      </c>
      <c r="AI111" s="13">
        <v>24.0</v>
      </c>
      <c r="AJ111" s="13">
        <v>1.0</v>
      </c>
      <c r="AK111" s="13">
        <v>109.0</v>
      </c>
      <c r="AL111" s="13" t="s">
        <v>7065</v>
      </c>
      <c r="AM111" s="13" t="s">
        <v>6503</v>
      </c>
      <c r="AN111" s="13" t="s">
        <v>7066</v>
      </c>
      <c r="AO111" s="13" t="s">
        <v>7734</v>
      </c>
      <c r="AP111" s="13" t="s">
        <v>7735</v>
      </c>
      <c r="AQ111" s="13" t="s">
        <v>5510</v>
      </c>
      <c r="AR111" s="13" t="s">
        <v>46</v>
      </c>
      <c r="AS111" s="13" t="s">
        <v>1196</v>
      </c>
      <c r="AT111" s="13" t="s">
        <v>5582</v>
      </c>
      <c r="AU111" s="13">
        <v>2015.0</v>
      </c>
      <c r="AV111" s="13">
        <v>49.0</v>
      </c>
      <c r="AW111" s="13">
        <v>1.0</v>
      </c>
      <c r="AX111" s="13" t="s">
        <v>5510</v>
      </c>
      <c r="AY111" s="13" t="s">
        <v>5510</v>
      </c>
      <c r="AZ111" s="13" t="s">
        <v>5510</v>
      </c>
      <c r="BA111" s="13" t="s">
        <v>5510</v>
      </c>
      <c r="BB111" s="13">
        <v>17.0</v>
      </c>
      <c r="BC111" s="13">
        <v>24.0</v>
      </c>
      <c r="BD111" s="13" t="s">
        <v>5510</v>
      </c>
      <c r="BE111" s="13" t="s">
        <v>7736</v>
      </c>
      <c r="BF111" s="52" t="str">
        <f>HYPERLINK("http://dx.doi.org/10.1017/S0030605314000362","http://dx.doi.org/10.1017/S0030605314000362")</f>
        <v>http://dx.doi.org/10.1017/S0030605314000362</v>
      </c>
      <c r="BG111" s="13" t="s">
        <v>5510</v>
      </c>
      <c r="BH111" s="13" t="s">
        <v>5510</v>
      </c>
      <c r="BI111" s="13">
        <v>8.0</v>
      </c>
      <c r="BJ111" s="13" t="s">
        <v>5958</v>
      </c>
      <c r="BK111" s="13" t="s">
        <v>5561</v>
      </c>
      <c r="BL111" s="13" t="s">
        <v>5699</v>
      </c>
      <c r="BM111" s="13" t="s">
        <v>7737</v>
      </c>
      <c r="BN111" s="13" t="s">
        <v>5510</v>
      </c>
      <c r="BO111" s="13" t="s">
        <v>5809</v>
      </c>
      <c r="BP111" s="13" t="s">
        <v>5510</v>
      </c>
      <c r="BQ111" s="13" t="s">
        <v>5510</v>
      </c>
      <c r="BR111" s="13" t="s">
        <v>5538</v>
      </c>
      <c r="BS111" s="13" t="s">
        <v>7738</v>
      </c>
      <c r="BT111" s="13">
        <v>23128.0</v>
      </c>
      <c r="BU111" s="13" t="s">
        <v>5540</v>
      </c>
      <c r="BV111" s="13" t="s">
        <v>4852</v>
      </c>
      <c r="BW111" s="13" t="str">
        <f>VLOOKUP($BT111,Enriched!$A$2:$E$1070,5,false)</f>
        <v>["Natural system modifications", "Pollution"]</v>
      </c>
      <c r="BX111" s="13" t="str">
        <f>VLOOKUP($BT111,Enriched!$A$2:$E$1070,4,false)</f>
        <v>["Dams &amp; water management/use"]</v>
      </c>
      <c r="BY111" s="13" t="b">
        <f>VLOOKUP(BT111,Enriched!$A$1:$AA$1070,27,falsE)</f>
        <v>0</v>
      </c>
      <c r="BZ111" s="2" t="str">
        <f>VLOOKUP(BT111,Enriched!$A$1:$AA$1070,14,falsE)</f>
        <v>level2</v>
      </c>
      <c r="CA111" s="13" t="str">
        <f>HYPERLINK("https%3A%2F%2Fwww.webofscience.com%2Fwos%2Fwoscc%2Ffull-record%2FWOS:000346770000009","View Full Record in Web of Science")</f>
        <v>View Full Record in Web of Science</v>
      </c>
    </row>
    <row r="112" ht="12.75" customHeight="1">
      <c r="A112" s="13" t="s">
        <v>5508</v>
      </c>
      <c r="B112" s="13" t="s">
        <v>7739</v>
      </c>
      <c r="C112" s="13" t="s">
        <v>5510</v>
      </c>
      <c r="D112" s="13" t="s">
        <v>5510</v>
      </c>
      <c r="E112" s="13" t="s">
        <v>5510</v>
      </c>
      <c r="F112" s="13" t="s">
        <v>7740</v>
      </c>
      <c r="G112" s="13" t="s">
        <v>5510</v>
      </c>
      <c r="H112" s="13" t="s">
        <v>5510</v>
      </c>
      <c r="I112" s="13" t="s">
        <v>2748</v>
      </c>
      <c r="J112" s="13" t="s">
        <v>7741</v>
      </c>
      <c r="K112" s="13" t="s">
        <v>5510</v>
      </c>
      <c r="L112" s="13" t="s">
        <v>5510</v>
      </c>
      <c r="M112" s="13" t="s">
        <v>5513</v>
      </c>
      <c r="N112" s="13" t="s">
        <v>5514</v>
      </c>
      <c r="O112" s="13" t="s">
        <v>5510</v>
      </c>
      <c r="P112" s="13" t="s">
        <v>5510</v>
      </c>
      <c r="Q112" s="13" t="s">
        <v>5510</v>
      </c>
      <c r="R112" s="13" t="s">
        <v>5510</v>
      </c>
      <c r="S112" s="13" t="s">
        <v>5510</v>
      </c>
      <c r="T112" s="13" t="s">
        <v>7742</v>
      </c>
      <c r="U112" s="13" t="s">
        <v>7743</v>
      </c>
      <c r="V112" s="13" t="s">
        <v>7744</v>
      </c>
      <c r="W112" s="13" t="s">
        <v>7745</v>
      </c>
      <c r="X112" s="13" t="s">
        <v>7746</v>
      </c>
      <c r="Y112" s="13" t="s">
        <v>7747</v>
      </c>
      <c r="Z112" s="13" t="s">
        <v>7748</v>
      </c>
      <c r="AA112" s="13" t="s">
        <v>5510</v>
      </c>
      <c r="AB112" s="13" t="s">
        <v>5510</v>
      </c>
      <c r="AC112" s="13" t="s">
        <v>7749</v>
      </c>
      <c r="AD112" s="13" t="s">
        <v>7750</v>
      </c>
      <c r="AE112" s="13" t="s">
        <v>7751</v>
      </c>
      <c r="AF112" s="13" t="s">
        <v>5510</v>
      </c>
      <c r="AG112" s="13">
        <v>60.0</v>
      </c>
      <c r="AH112" s="13">
        <v>17.0</v>
      </c>
      <c r="AI112" s="13">
        <v>22.0</v>
      </c>
      <c r="AJ112" s="13">
        <v>1.0</v>
      </c>
      <c r="AK112" s="13">
        <v>71.0</v>
      </c>
      <c r="AL112" s="13" t="s">
        <v>6717</v>
      </c>
      <c r="AM112" s="13" t="s">
        <v>5932</v>
      </c>
      <c r="AN112" s="13" t="s">
        <v>6718</v>
      </c>
      <c r="AO112" s="13" t="s">
        <v>7752</v>
      </c>
      <c r="AP112" s="13" t="s">
        <v>7753</v>
      </c>
      <c r="AQ112" s="13" t="s">
        <v>5510</v>
      </c>
      <c r="AR112" s="13" t="s">
        <v>7754</v>
      </c>
      <c r="AS112" s="13" t="s">
        <v>7755</v>
      </c>
      <c r="AT112" s="13" t="s">
        <v>6175</v>
      </c>
      <c r="AU112" s="13">
        <v>2018.0</v>
      </c>
      <c r="AV112" s="13">
        <v>133.0</v>
      </c>
      <c r="AW112" s="13" t="s">
        <v>5510</v>
      </c>
      <c r="AX112" s="13" t="s">
        <v>5510</v>
      </c>
      <c r="AY112" s="13" t="s">
        <v>5510</v>
      </c>
      <c r="AZ112" s="13" t="s">
        <v>5510</v>
      </c>
      <c r="BA112" s="13" t="s">
        <v>5510</v>
      </c>
      <c r="BB112" s="13">
        <v>956.0</v>
      </c>
      <c r="BC112" s="13">
        <v>969.0</v>
      </c>
      <c r="BD112" s="13" t="s">
        <v>5510</v>
      </c>
      <c r="BE112" s="13" t="s">
        <v>7756</v>
      </c>
      <c r="BF112" s="52" t="str">
        <f>HYPERLINK("http://dx.doi.org/10.1016/j.marpolbul.2018.04.065","http://dx.doi.org/10.1016/j.marpolbul.2018.04.065")</f>
        <v>http://dx.doi.org/10.1016/j.marpolbul.2018.04.065</v>
      </c>
      <c r="BG112" s="13" t="s">
        <v>5510</v>
      </c>
      <c r="BH112" s="13" t="s">
        <v>5510</v>
      </c>
      <c r="BI112" s="13">
        <v>14.0</v>
      </c>
      <c r="BJ112" s="13" t="s">
        <v>6327</v>
      </c>
      <c r="BK112" s="13" t="s">
        <v>5561</v>
      </c>
      <c r="BL112" s="13" t="s">
        <v>6328</v>
      </c>
      <c r="BM112" s="13" t="s">
        <v>7757</v>
      </c>
      <c r="BN112" s="13">
        <v>2.9778407E7</v>
      </c>
      <c r="BO112" s="13" t="s">
        <v>5510</v>
      </c>
      <c r="BP112" s="13" t="s">
        <v>5510</v>
      </c>
      <c r="BQ112" s="13" t="s">
        <v>5510</v>
      </c>
      <c r="BR112" s="13" t="s">
        <v>5538</v>
      </c>
      <c r="BS112" s="13" t="s">
        <v>7758</v>
      </c>
      <c r="BT112" s="13">
        <v>23612.0</v>
      </c>
      <c r="BU112" s="13" t="s">
        <v>5540</v>
      </c>
      <c r="BV112" s="13" t="s">
        <v>4864</v>
      </c>
      <c r="BW112" s="13" t="str">
        <f>VLOOKUP($BT112,Enriched!$A$2:$E$1070,5,false)</f>
        <v>["Climate Change &amp; Severe Weather", "Pollution"]</v>
      </c>
      <c r="BX112" s="13" t="str">
        <f>VLOOKUP($BT112,Enriched!$A$2:$E$1070,4,false)</f>
        <v>["Temperature extremes", "Habitat shifting &amp; alteration"]</v>
      </c>
      <c r="BY112" s="13" t="b">
        <f>VLOOKUP(BT112,Enriched!$A$1:$AA$1070,27,falsE)</f>
        <v>1</v>
      </c>
      <c r="BZ112" s="2" t="str">
        <f>VLOOKUP(BT112,Enriched!$A$1:$AA$1070,14,falsE)</f>
        <v>level1</v>
      </c>
      <c r="CA112" s="13" t="str">
        <f>HYPERLINK("https%3A%2F%2Fwww.webofscience.com%2Fwos%2Fwoscc%2Ffull-record%2FWOS:000441853600107","View Full Record in Web of Science")</f>
        <v>View Full Record in Web of Science</v>
      </c>
    </row>
    <row r="113" ht="12.75" customHeight="1">
      <c r="A113" s="13" t="s">
        <v>5508</v>
      </c>
      <c r="B113" s="13" t="s">
        <v>7759</v>
      </c>
      <c r="C113" s="13" t="s">
        <v>5510</v>
      </c>
      <c r="D113" s="13" t="s">
        <v>5510</v>
      </c>
      <c r="E113" s="13" t="s">
        <v>5510</v>
      </c>
      <c r="F113" s="13" t="s">
        <v>7760</v>
      </c>
      <c r="G113" s="13" t="s">
        <v>5510</v>
      </c>
      <c r="H113" s="13" t="s">
        <v>5510</v>
      </c>
      <c r="I113" s="13" t="s">
        <v>2745</v>
      </c>
      <c r="J113" s="13" t="s">
        <v>5919</v>
      </c>
      <c r="K113" s="13" t="s">
        <v>5510</v>
      </c>
      <c r="L113" s="13" t="s">
        <v>5510</v>
      </c>
      <c r="M113" s="13" t="s">
        <v>5513</v>
      </c>
      <c r="N113" s="13" t="s">
        <v>5514</v>
      </c>
      <c r="O113" s="13" t="s">
        <v>5510</v>
      </c>
      <c r="P113" s="13" t="s">
        <v>5510</v>
      </c>
      <c r="Q113" s="13" t="s">
        <v>5510</v>
      </c>
      <c r="R113" s="13" t="s">
        <v>5510</v>
      </c>
      <c r="S113" s="13" t="s">
        <v>5510</v>
      </c>
      <c r="T113" s="13" t="s">
        <v>7761</v>
      </c>
      <c r="U113" s="13" t="s">
        <v>7762</v>
      </c>
      <c r="V113" s="13" t="s">
        <v>7763</v>
      </c>
      <c r="W113" s="13" t="s">
        <v>7764</v>
      </c>
      <c r="X113" s="13" t="s">
        <v>7765</v>
      </c>
      <c r="Y113" s="13" t="s">
        <v>7766</v>
      </c>
      <c r="Z113" s="13" t="s">
        <v>7767</v>
      </c>
      <c r="AA113" s="13" t="s">
        <v>7768</v>
      </c>
      <c r="AB113" s="13" t="s">
        <v>7769</v>
      </c>
      <c r="AC113" s="13" t="s">
        <v>7770</v>
      </c>
      <c r="AD113" s="13" t="s">
        <v>7771</v>
      </c>
      <c r="AE113" s="13" t="s">
        <v>7772</v>
      </c>
      <c r="AF113" s="13" t="s">
        <v>5510</v>
      </c>
      <c r="AG113" s="13">
        <v>48.0</v>
      </c>
      <c r="AH113" s="13">
        <v>750.0</v>
      </c>
      <c r="AI113" s="13">
        <v>930.0</v>
      </c>
      <c r="AJ113" s="13">
        <v>16.0</v>
      </c>
      <c r="AK113" s="13">
        <v>945.0</v>
      </c>
      <c r="AL113" s="13" t="s">
        <v>5931</v>
      </c>
      <c r="AM113" s="13" t="s">
        <v>7486</v>
      </c>
      <c r="AN113" s="13" t="s">
        <v>7487</v>
      </c>
      <c r="AO113" s="13" t="s">
        <v>5934</v>
      </c>
      <c r="AP113" s="13" t="s">
        <v>5935</v>
      </c>
      <c r="AQ113" s="13" t="s">
        <v>5510</v>
      </c>
      <c r="AR113" s="13" t="s">
        <v>5936</v>
      </c>
      <c r="AS113" s="13" t="s">
        <v>5937</v>
      </c>
      <c r="AT113" s="13" t="s">
        <v>5582</v>
      </c>
      <c r="AU113" s="13">
        <v>2013.0</v>
      </c>
      <c r="AV113" s="13">
        <v>157.0</v>
      </c>
      <c r="AW113" s="13" t="s">
        <v>5510</v>
      </c>
      <c r="AX113" s="13" t="s">
        <v>5510</v>
      </c>
      <c r="AY113" s="13" t="s">
        <v>5510</v>
      </c>
      <c r="AZ113" s="13" t="s">
        <v>5510</v>
      </c>
      <c r="BA113" s="13" t="s">
        <v>5510</v>
      </c>
      <c r="BB113" s="13">
        <v>372.0</v>
      </c>
      <c r="BC113" s="13">
        <v>385.0</v>
      </c>
      <c r="BD113" s="13" t="s">
        <v>5510</v>
      </c>
      <c r="BE113" s="13" t="s">
        <v>7773</v>
      </c>
      <c r="BF113" s="52" t="str">
        <f>HYPERLINK("http://dx.doi.org/10.1016/j.biocon.2012.07.015","http://dx.doi.org/10.1016/j.biocon.2012.07.015")</f>
        <v>http://dx.doi.org/10.1016/j.biocon.2012.07.015</v>
      </c>
      <c r="BG113" s="13" t="s">
        <v>5510</v>
      </c>
      <c r="BH113" s="13" t="s">
        <v>5510</v>
      </c>
      <c r="BI113" s="13">
        <v>14.0</v>
      </c>
      <c r="BJ113" s="13" t="s">
        <v>5698</v>
      </c>
      <c r="BK113" s="13" t="s">
        <v>5561</v>
      </c>
      <c r="BL113" s="13" t="s">
        <v>5699</v>
      </c>
      <c r="BM113" s="13" t="s">
        <v>6151</v>
      </c>
      <c r="BN113" s="13" t="s">
        <v>5510</v>
      </c>
      <c r="BO113" s="13" t="s">
        <v>5587</v>
      </c>
      <c r="BP113" s="13" t="s">
        <v>5510</v>
      </c>
      <c r="BQ113" s="13" t="s">
        <v>5510</v>
      </c>
      <c r="BR113" s="13" t="s">
        <v>5538</v>
      </c>
      <c r="BS113" s="13" t="s">
        <v>7774</v>
      </c>
      <c r="BT113" s="13">
        <v>23330.0</v>
      </c>
      <c r="BU113" s="13" t="s">
        <v>5540</v>
      </c>
      <c r="BV113" s="13" t="s">
        <v>4855</v>
      </c>
      <c r="BW113" s="13" t="str">
        <f>VLOOKUP($BT113,Enriched!$A$2:$E$1070,5,false)</f>
        <v>["Agriculture &amp; Aquaculture", "Biological Resource Use"]</v>
      </c>
      <c r="BX113" s="13" t="str">
        <f>VLOOKUP($BT113,Enriched!$A$2:$E$1070,4,false)</f>
        <v>["Wood &amp; pulp plantations", "Hunting &amp; collecting terrestrial animals"]</v>
      </c>
      <c r="BY113" s="13" t="b">
        <f>VLOOKUP(BT113,Enriched!$A$1:$AA$1070,27,falsE)</f>
        <v>1</v>
      </c>
      <c r="BZ113" s="2" t="str">
        <f>VLOOKUP(BT113,Enriched!$A$1:$AA$1070,14,falsE)</f>
        <v>level2</v>
      </c>
      <c r="CA113" s="13" t="str">
        <f>HYPERLINK("https%3A%2F%2Fwww.webofscience.com%2Fwos%2Fwoscc%2Ffull-record%2FWOS:000316651200043","View Full Record in Web of Science")</f>
        <v>View Full Record in Web of Science</v>
      </c>
    </row>
    <row r="114" ht="12.75" customHeight="1">
      <c r="A114" s="13" t="s">
        <v>5508</v>
      </c>
      <c r="B114" s="13" t="s">
        <v>7775</v>
      </c>
      <c r="C114" s="13" t="s">
        <v>5510</v>
      </c>
      <c r="D114" s="13" t="s">
        <v>5510</v>
      </c>
      <c r="E114" s="13" t="s">
        <v>5510</v>
      </c>
      <c r="F114" s="13" t="s">
        <v>7776</v>
      </c>
      <c r="G114" s="13" t="s">
        <v>5510</v>
      </c>
      <c r="H114" s="13" t="s">
        <v>5510</v>
      </c>
      <c r="I114" s="13" t="s">
        <v>7777</v>
      </c>
      <c r="J114" s="13" t="s">
        <v>7778</v>
      </c>
      <c r="K114" s="13" t="s">
        <v>5510</v>
      </c>
      <c r="L114" s="13" t="s">
        <v>5510</v>
      </c>
      <c r="M114" s="13" t="s">
        <v>5513</v>
      </c>
      <c r="N114" s="13" t="s">
        <v>5514</v>
      </c>
      <c r="O114" s="13" t="s">
        <v>5510</v>
      </c>
      <c r="P114" s="13" t="s">
        <v>5510</v>
      </c>
      <c r="Q114" s="13" t="s">
        <v>5510</v>
      </c>
      <c r="R114" s="13" t="s">
        <v>5510</v>
      </c>
      <c r="S114" s="13" t="s">
        <v>5510</v>
      </c>
      <c r="T114" s="13" t="s">
        <v>7779</v>
      </c>
      <c r="U114" s="13" t="s">
        <v>7780</v>
      </c>
      <c r="V114" s="13" t="s">
        <v>7781</v>
      </c>
      <c r="W114" s="13" t="s">
        <v>7782</v>
      </c>
      <c r="X114" s="13" t="s">
        <v>7783</v>
      </c>
      <c r="Y114" s="13" t="s">
        <v>7784</v>
      </c>
      <c r="Z114" s="13" t="s">
        <v>7785</v>
      </c>
      <c r="AA114" s="13" t="s">
        <v>7786</v>
      </c>
      <c r="AB114" s="13" t="s">
        <v>7787</v>
      </c>
      <c r="AC114" s="13" t="s">
        <v>5510</v>
      </c>
      <c r="AD114" s="13" t="s">
        <v>5510</v>
      </c>
      <c r="AE114" s="13" t="s">
        <v>5510</v>
      </c>
      <c r="AF114" s="13" t="s">
        <v>5510</v>
      </c>
      <c r="AG114" s="13">
        <v>35.0</v>
      </c>
      <c r="AH114" s="13">
        <v>33.0</v>
      </c>
      <c r="AI114" s="13">
        <v>35.0</v>
      </c>
      <c r="AJ114" s="13">
        <v>0.0</v>
      </c>
      <c r="AK114" s="13">
        <v>26.0</v>
      </c>
      <c r="AL114" s="13" t="s">
        <v>7788</v>
      </c>
      <c r="AM114" s="13" t="s">
        <v>7789</v>
      </c>
      <c r="AN114" s="13" t="s">
        <v>7790</v>
      </c>
      <c r="AO114" s="13" t="s">
        <v>7791</v>
      </c>
      <c r="AP114" s="13" t="s">
        <v>7792</v>
      </c>
      <c r="AQ114" s="13" t="s">
        <v>5510</v>
      </c>
      <c r="AR114" s="13" t="s">
        <v>7793</v>
      </c>
      <c r="AS114" s="13" t="s">
        <v>7794</v>
      </c>
      <c r="AT114" s="13" t="s">
        <v>7795</v>
      </c>
      <c r="AU114" s="13">
        <v>2009.0</v>
      </c>
      <c r="AV114" s="13">
        <v>22.0</v>
      </c>
      <c r="AW114" s="13">
        <v>4.0</v>
      </c>
      <c r="AX114" s="13" t="s">
        <v>5510</v>
      </c>
      <c r="AY114" s="13" t="s">
        <v>5510</v>
      </c>
      <c r="AZ114" s="13" t="s">
        <v>5510</v>
      </c>
      <c r="BA114" s="13" t="s">
        <v>5510</v>
      </c>
      <c r="BB114" s="13">
        <v>499.0</v>
      </c>
      <c r="BC114" s="13">
        <v>508.0</v>
      </c>
      <c r="BD114" s="13" t="s">
        <v>5510</v>
      </c>
      <c r="BE114" s="13" t="s">
        <v>7796</v>
      </c>
      <c r="BF114" s="52" t="str">
        <f>HYPERLINK("http://dx.doi.org/10.1051/alr/2009051","http://dx.doi.org/10.1051/alr/2009051")</f>
        <v>http://dx.doi.org/10.1051/alr/2009051</v>
      </c>
      <c r="BG114" s="13" t="s">
        <v>5510</v>
      </c>
      <c r="BH114" s="13" t="s">
        <v>5510</v>
      </c>
      <c r="BI114" s="13">
        <v>10.0</v>
      </c>
      <c r="BJ114" s="13" t="s">
        <v>7797</v>
      </c>
      <c r="BK114" s="13" t="s">
        <v>5561</v>
      </c>
      <c r="BL114" s="13" t="s">
        <v>7797</v>
      </c>
      <c r="BM114" s="13" t="s">
        <v>7798</v>
      </c>
      <c r="BN114" s="13" t="s">
        <v>5510</v>
      </c>
      <c r="BO114" s="13" t="s">
        <v>5809</v>
      </c>
      <c r="BP114" s="13" t="s">
        <v>5510</v>
      </c>
      <c r="BQ114" s="13" t="s">
        <v>5510</v>
      </c>
      <c r="BR114" s="13" t="s">
        <v>5538</v>
      </c>
      <c r="BS114" s="13" t="s">
        <v>7799</v>
      </c>
      <c r="BT114" s="13">
        <v>24700.0</v>
      </c>
      <c r="BU114" s="13" t="s">
        <v>5540</v>
      </c>
      <c r="BV114" s="13" t="s">
        <v>4864</v>
      </c>
      <c r="BW114" s="13" t="str">
        <f>VLOOKUP($BT114,Enriched!$A$2:$E$1070,5,false)</f>
        <v>["Biological resource use"]</v>
      </c>
      <c r="BX114" s="13" t="str">
        <f>VLOOKUP($BT114,Enriched!$A$2:$E$1070,4,false)</f>
        <v>["Fishing &amp; harvesting aquatic resources"]</v>
      </c>
      <c r="BY114" s="13" t="b">
        <f>VLOOKUP(BT114,Enriched!$A$1:$AA$1070,27,falsE)</f>
        <v>0</v>
      </c>
      <c r="BZ114" s="2" t="str">
        <f>VLOOKUP(BT114,Enriched!$A$1:$AA$1070,14,falsE)</f>
        <v>level2</v>
      </c>
      <c r="CA114" s="13" t="str">
        <f>HYPERLINK("https%3A%2F%2Fwww.webofscience.com%2Fwos%2Fwoscc%2Ffull-record%2FWOS:000274527800008","View Full Record in Web of Science")</f>
        <v>View Full Record in Web of Science</v>
      </c>
    </row>
    <row r="115" ht="12.75" customHeight="1">
      <c r="A115" s="13" t="s">
        <v>5508</v>
      </c>
      <c r="B115" s="13" t="s">
        <v>7800</v>
      </c>
      <c r="C115" s="13" t="s">
        <v>5510</v>
      </c>
      <c r="D115" s="13" t="s">
        <v>5510</v>
      </c>
      <c r="E115" s="13" t="s">
        <v>5510</v>
      </c>
      <c r="F115" s="13" t="s">
        <v>7801</v>
      </c>
      <c r="G115" s="13" t="s">
        <v>5510</v>
      </c>
      <c r="H115" s="13" t="s">
        <v>5510</v>
      </c>
      <c r="I115" s="13" t="s">
        <v>2740</v>
      </c>
      <c r="J115" s="13" t="s">
        <v>5512</v>
      </c>
      <c r="K115" s="13" t="s">
        <v>5510</v>
      </c>
      <c r="L115" s="13" t="s">
        <v>5510</v>
      </c>
      <c r="M115" s="13" t="s">
        <v>5513</v>
      </c>
      <c r="N115" s="13" t="s">
        <v>5514</v>
      </c>
      <c r="O115" s="13" t="s">
        <v>5510</v>
      </c>
      <c r="P115" s="13" t="s">
        <v>5510</v>
      </c>
      <c r="Q115" s="13" t="s">
        <v>5510</v>
      </c>
      <c r="R115" s="13" t="s">
        <v>5510</v>
      </c>
      <c r="S115" s="13" t="s">
        <v>5510</v>
      </c>
      <c r="T115" s="13" t="s">
        <v>7802</v>
      </c>
      <c r="U115" s="13" t="s">
        <v>7803</v>
      </c>
      <c r="V115" s="13" t="s">
        <v>7804</v>
      </c>
      <c r="W115" s="13" t="s">
        <v>7805</v>
      </c>
      <c r="X115" s="13" t="s">
        <v>7806</v>
      </c>
      <c r="Y115" s="13" t="s">
        <v>7807</v>
      </c>
      <c r="Z115" s="13" t="s">
        <v>7808</v>
      </c>
      <c r="AA115" s="13" t="s">
        <v>7809</v>
      </c>
      <c r="AB115" s="13" t="s">
        <v>7810</v>
      </c>
      <c r="AC115" s="13" t="s">
        <v>7811</v>
      </c>
      <c r="AD115" s="13" t="s">
        <v>7812</v>
      </c>
      <c r="AE115" s="13" t="s">
        <v>7813</v>
      </c>
      <c r="AF115" s="13" t="s">
        <v>5510</v>
      </c>
      <c r="AG115" s="13">
        <v>81.0</v>
      </c>
      <c r="AH115" s="13">
        <v>15.0</v>
      </c>
      <c r="AI115" s="13">
        <v>16.0</v>
      </c>
      <c r="AJ115" s="13">
        <v>0.0</v>
      </c>
      <c r="AK115" s="13">
        <v>32.0</v>
      </c>
      <c r="AL115" s="13" t="s">
        <v>5527</v>
      </c>
      <c r="AM115" s="13" t="s">
        <v>5528</v>
      </c>
      <c r="AN115" s="13" t="s">
        <v>5529</v>
      </c>
      <c r="AO115" s="13" t="s">
        <v>5530</v>
      </c>
      <c r="AP115" s="13" t="s">
        <v>5510</v>
      </c>
      <c r="AQ115" s="13" t="s">
        <v>5510</v>
      </c>
      <c r="AR115" s="13" t="s">
        <v>5512</v>
      </c>
      <c r="AS115" s="13" t="s">
        <v>53</v>
      </c>
      <c r="AT115" s="13" t="s">
        <v>5866</v>
      </c>
      <c r="AU115" s="13">
        <v>2019.0</v>
      </c>
      <c r="AV115" s="13">
        <v>10.0</v>
      </c>
      <c r="AW115" s="13">
        <v>5.0</v>
      </c>
      <c r="AX115" s="13" t="s">
        <v>5510</v>
      </c>
      <c r="AY115" s="13" t="s">
        <v>5510</v>
      </c>
      <c r="AZ115" s="13" t="s">
        <v>5510</v>
      </c>
      <c r="BA115" s="13" t="s">
        <v>5510</v>
      </c>
      <c r="BB115" s="13" t="s">
        <v>5510</v>
      </c>
      <c r="BC115" s="13" t="s">
        <v>5510</v>
      </c>
      <c r="BD115" s="13" t="s">
        <v>7814</v>
      </c>
      <c r="BE115" s="13" t="s">
        <v>7815</v>
      </c>
      <c r="BF115" s="52" t="str">
        <f>HYPERLINK("http://dx.doi.org/10.1002/ecs2.2724","http://dx.doi.org/10.1002/ecs2.2724")</f>
        <v>http://dx.doi.org/10.1002/ecs2.2724</v>
      </c>
      <c r="BG115" s="13" t="s">
        <v>5510</v>
      </c>
      <c r="BH115" s="13" t="s">
        <v>5510</v>
      </c>
      <c r="BI115" s="13">
        <v>14.0</v>
      </c>
      <c r="BJ115" s="13" t="s">
        <v>5533</v>
      </c>
      <c r="BK115" s="13" t="s">
        <v>5561</v>
      </c>
      <c r="BL115" s="13" t="s">
        <v>5535</v>
      </c>
      <c r="BM115" s="13" t="s">
        <v>7816</v>
      </c>
      <c r="BN115" s="13" t="s">
        <v>5510</v>
      </c>
      <c r="BO115" s="13" t="s">
        <v>5537</v>
      </c>
      <c r="BP115" s="13" t="s">
        <v>5510</v>
      </c>
      <c r="BQ115" s="13" t="s">
        <v>5510</v>
      </c>
      <c r="BR115" s="13" t="s">
        <v>5538</v>
      </c>
      <c r="BS115" s="13" t="s">
        <v>7817</v>
      </c>
      <c r="BT115" s="13">
        <v>23177.0</v>
      </c>
      <c r="BU115" s="13" t="s">
        <v>5540</v>
      </c>
      <c r="BV115" s="13" t="s">
        <v>4856</v>
      </c>
      <c r="BW115" s="13" t="str">
        <f>VLOOKUP($BT115,Enriched!$A$2:$E$1070,5,false)</f>
        <v>["Invasive &amp; other problematic species, genes &amp; diseases"]</v>
      </c>
      <c r="BX115" s="13" t="str">
        <f>VLOOKUP($BT115,Enriched!$A$2:$E$1070,4,false)</f>
        <v>["Invasive non-native/alien species/diseases"]</v>
      </c>
      <c r="BY115" s="13" t="b">
        <f>VLOOKUP(BT115,Enriched!$A$1:$AA$1070,27,falsE)</f>
        <v>0</v>
      </c>
      <c r="BZ115" s="2" t="str">
        <f>VLOOKUP(BT115,Enriched!$A$1:$AA$1070,14,falsE)</f>
        <v>level2</v>
      </c>
      <c r="CA115" s="13" t="str">
        <f>HYPERLINK("https%3A%2F%2Fwww.webofscience.com%2Fwos%2Fwoscc%2Ffull-record%2FWOS:000474063600030","View Full Record in Web of Science")</f>
        <v>View Full Record in Web of Science</v>
      </c>
    </row>
    <row r="116" ht="12.75" customHeight="1">
      <c r="A116" s="13" t="s">
        <v>5508</v>
      </c>
      <c r="B116" s="13" t="s">
        <v>7818</v>
      </c>
      <c r="C116" s="13" t="s">
        <v>5510</v>
      </c>
      <c r="D116" s="13" t="s">
        <v>5510</v>
      </c>
      <c r="E116" s="13" t="s">
        <v>5510</v>
      </c>
      <c r="F116" s="13" t="s">
        <v>7819</v>
      </c>
      <c r="G116" s="13" t="s">
        <v>5510</v>
      </c>
      <c r="H116" s="13" t="s">
        <v>5510</v>
      </c>
      <c r="I116" s="13" t="s">
        <v>7820</v>
      </c>
      <c r="J116" s="13" t="s">
        <v>7821</v>
      </c>
      <c r="K116" s="13" t="s">
        <v>5510</v>
      </c>
      <c r="L116" s="13" t="s">
        <v>5510</v>
      </c>
      <c r="M116" s="13" t="s">
        <v>5513</v>
      </c>
      <c r="N116" s="13" t="s">
        <v>5514</v>
      </c>
      <c r="O116" s="13" t="s">
        <v>5510</v>
      </c>
      <c r="P116" s="13" t="s">
        <v>5510</v>
      </c>
      <c r="Q116" s="13" t="s">
        <v>5510</v>
      </c>
      <c r="R116" s="13" t="s">
        <v>5510</v>
      </c>
      <c r="S116" s="13" t="s">
        <v>5510</v>
      </c>
      <c r="T116" s="13" t="s">
        <v>7822</v>
      </c>
      <c r="U116" s="13" t="s">
        <v>7823</v>
      </c>
      <c r="V116" s="13" t="s">
        <v>7824</v>
      </c>
      <c r="W116" s="13" t="s">
        <v>7825</v>
      </c>
      <c r="X116" s="13" t="s">
        <v>7826</v>
      </c>
      <c r="Y116" s="13" t="s">
        <v>7827</v>
      </c>
      <c r="Z116" s="13" t="s">
        <v>7828</v>
      </c>
      <c r="AA116" s="13" t="s">
        <v>7829</v>
      </c>
      <c r="AB116" s="13" t="s">
        <v>7830</v>
      </c>
      <c r="AC116" s="13" t="s">
        <v>7831</v>
      </c>
      <c r="AD116" s="13" t="s">
        <v>7831</v>
      </c>
      <c r="AE116" s="13" t="s">
        <v>7832</v>
      </c>
      <c r="AF116" s="13" t="s">
        <v>5510</v>
      </c>
      <c r="AG116" s="13">
        <v>37.0</v>
      </c>
      <c r="AH116" s="13">
        <v>50.0</v>
      </c>
      <c r="AI116" s="13">
        <v>52.0</v>
      </c>
      <c r="AJ116" s="13">
        <v>0.0</v>
      </c>
      <c r="AK116" s="13">
        <v>14.0</v>
      </c>
      <c r="AL116" s="13" t="s">
        <v>6319</v>
      </c>
      <c r="AM116" s="13" t="s">
        <v>6320</v>
      </c>
      <c r="AN116" s="13" t="s">
        <v>6321</v>
      </c>
      <c r="AO116" s="13" t="s">
        <v>7833</v>
      </c>
      <c r="AP116" s="13" t="s">
        <v>5510</v>
      </c>
      <c r="AQ116" s="13" t="s">
        <v>5510</v>
      </c>
      <c r="AR116" s="13" t="s">
        <v>7834</v>
      </c>
      <c r="AS116" s="13" t="s">
        <v>7835</v>
      </c>
      <c r="AT116" s="13" t="s">
        <v>7836</v>
      </c>
      <c r="AU116" s="13">
        <v>2018.0</v>
      </c>
      <c r="AV116" s="13">
        <v>6.0</v>
      </c>
      <c r="AW116" s="13" t="s">
        <v>5510</v>
      </c>
      <c r="AX116" s="13" t="s">
        <v>5510</v>
      </c>
      <c r="AY116" s="13" t="s">
        <v>5510</v>
      </c>
      <c r="AZ116" s="13" t="s">
        <v>5510</v>
      </c>
      <c r="BA116" s="13" t="s">
        <v>5510</v>
      </c>
      <c r="BB116" s="13" t="s">
        <v>5510</v>
      </c>
      <c r="BC116" s="13" t="s">
        <v>5510</v>
      </c>
      <c r="BD116" s="13">
        <v>15.0</v>
      </c>
      <c r="BE116" s="13" t="s">
        <v>7837</v>
      </c>
      <c r="BF116" s="52" t="str">
        <f>HYPERLINK("http://dx.doi.org/10.3389/fevo.2018.00015","http://dx.doi.org/10.3389/fevo.2018.00015")</f>
        <v>http://dx.doi.org/10.3389/fevo.2018.00015</v>
      </c>
      <c r="BG116" s="13" t="s">
        <v>5510</v>
      </c>
      <c r="BH116" s="13" t="s">
        <v>5510</v>
      </c>
      <c r="BI116" s="13">
        <v>9.0</v>
      </c>
      <c r="BJ116" s="13" t="s">
        <v>5533</v>
      </c>
      <c r="BK116" s="13" t="s">
        <v>5561</v>
      </c>
      <c r="BL116" s="13" t="s">
        <v>5535</v>
      </c>
      <c r="BM116" s="13" t="s">
        <v>7838</v>
      </c>
      <c r="BN116" s="13" t="s">
        <v>5510</v>
      </c>
      <c r="BO116" s="13" t="s">
        <v>5564</v>
      </c>
      <c r="BP116" s="13" t="s">
        <v>5510</v>
      </c>
      <c r="BQ116" s="13" t="s">
        <v>5510</v>
      </c>
      <c r="BR116" s="13" t="s">
        <v>5538</v>
      </c>
      <c r="BS116" s="13" t="s">
        <v>7839</v>
      </c>
      <c r="BT116" s="13">
        <v>25123.0</v>
      </c>
      <c r="BU116" s="13" t="s">
        <v>5540</v>
      </c>
      <c r="BV116" s="13" t="s">
        <v>4856</v>
      </c>
      <c r="BW116" s="13" t="str">
        <f>VLOOKUP($BT116,Enriched!$A$2:$E$1070,5,false)</f>
        <v>["Transportation &amp; Service Corridors"]</v>
      </c>
      <c r="BX116" s="13" t="str">
        <f>VLOOKUP($BT116,Enriched!$A$2:$E$1070,4,false)</f>
        <v>["Roads &amp; railroads"]</v>
      </c>
      <c r="BY116" s="13" t="b">
        <f>VLOOKUP(BT116,Enriched!$A$1:$AA$1070,27,falsE)</f>
        <v>0</v>
      </c>
      <c r="BZ116" s="2" t="str">
        <f>VLOOKUP(BT116,Enriched!$A$1:$AA$1070,14,falsE)</f>
        <v>level2</v>
      </c>
      <c r="CA116" s="13" t="str">
        <f>HYPERLINK("https%3A%2F%2Fwww.webofscience.com%2Fwos%2Fwoscc%2Ffull-record%2FWOS:000451622200001","View Full Record in Web of Science")</f>
        <v>View Full Record in Web of Science</v>
      </c>
    </row>
    <row r="117" ht="12.75" customHeight="1">
      <c r="A117" s="13" t="s">
        <v>5508</v>
      </c>
      <c r="B117" s="13" t="s">
        <v>7840</v>
      </c>
      <c r="C117" s="13" t="s">
        <v>5510</v>
      </c>
      <c r="D117" s="13" t="s">
        <v>5510</v>
      </c>
      <c r="E117" s="13" t="s">
        <v>5510</v>
      </c>
      <c r="F117" s="13" t="s">
        <v>7841</v>
      </c>
      <c r="G117" s="13" t="s">
        <v>5510</v>
      </c>
      <c r="H117" s="13" t="s">
        <v>5510</v>
      </c>
      <c r="I117" s="13" t="s">
        <v>2735</v>
      </c>
      <c r="J117" s="13" t="s">
        <v>6114</v>
      </c>
      <c r="K117" s="13" t="s">
        <v>5510</v>
      </c>
      <c r="L117" s="13" t="s">
        <v>5510</v>
      </c>
      <c r="M117" s="13" t="s">
        <v>5513</v>
      </c>
      <c r="N117" s="13" t="s">
        <v>5514</v>
      </c>
      <c r="O117" s="13" t="s">
        <v>5510</v>
      </c>
      <c r="P117" s="13" t="s">
        <v>5510</v>
      </c>
      <c r="Q117" s="13" t="s">
        <v>5510</v>
      </c>
      <c r="R117" s="13" t="s">
        <v>5510</v>
      </c>
      <c r="S117" s="13" t="s">
        <v>5510</v>
      </c>
      <c r="T117" s="13" t="s">
        <v>7842</v>
      </c>
      <c r="U117" s="13" t="s">
        <v>7843</v>
      </c>
      <c r="V117" s="13" t="s">
        <v>7844</v>
      </c>
      <c r="W117" s="13" t="s">
        <v>7845</v>
      </c>
      <c r="X117" s="13" t="s">
        <v>7846</v>
      </c>
      <c r="Y117" s="13" t="s">
        <v>7847</v>
      </c>
      <c r="Z117" s="13" t="s">
        <v>7848</v>
      </c>
      <c r="AA117" s="13" t="s">
        <v>5510</v>
      </c>
      <c r="AB117" s="13" t="s">
        <v>7849</v>
      </c>
      <c r="AC117" s="13" t="s">
        <v>7850</v>
      </c>
      <c r="AD117" s="13" t="s">
        <v>7850</v>
      </c>
      <c r="AE117" s="13" t="s">
        <v>7851</v>
      </c>
      <c r="AF117" s="13" t="s">
        <v>5510</v>
      </c>
      <c r="AG117" s="13">
        <v>49.0</v>
      </c>
      <c r="AH117" s="13">
        <v>21.0</v>
      </c>
      <c r="AI117" s="13">
        <v>22.0</v>
      </c>
      <c r="AJ117" s="13">
        <v>3.0</v>
      </c>
      <c r="AK117" s="13">
        <v>21.0</v>
      </c>
      <c r="AL117" s="13" t="s">
        <v>5931</v>
      </c>
      <c r="AM117" s="13" t="s">
        <v>5932</v>
      </c>
      <c r="AN117" s="13" t="s">
        <v>5933</v>
      </c>
      <c r="AO117" s="13" t="s">
        <v>6127</v>
      </c>
      <c r="AP117" s="13" t="s">
        <v>6128</v>
      </c>
      <c r="AQ117" s="13" t="s">
        <v>5510</v>
      </c>
      <c r="AR117" s="13" t="s">
        <v>6129</v>
      </c>
      <c r="AS117" s="13" t="s">
        <v>6130</v>
      </c>
      <c r="AT117" s="13" t="s">
        <v>6131</v>
      </c>
      <c r="AU117" s="13">
        <v>2020.0</v>
      </c>
      <c r="AV117" s="13">
        <v>184.0</v>
      </c>
      <c r="AW117" s="13" t="s">
        <v>5510</v>
      </c>
      <c r="AX117" s="13" t="s">
        <v>5510</v>
      </c>
      <c r="AY117" s="13" t="s">
        <v>5510</v>
      </c>
      <c r="AZ117" s="13" t="s">
        <v>5510</v>
      </c>
      <c r="BA117" s="13" t="s">
        <v>5510</v>
      </c>
      <c r="BB117" s="13" t="s">
        <v>5510</v>
      </c>
      <c r="BC117" s="13" t="s">
        <v>5510</v>
      </c>
      <c r="BD117" s="13">
        <v>105034.0</v>
      </c>
      <c r="BE117" s="13" t="s">
        <v>7852</v>
      </c>
      <c r="BF117" s="52" t="str">
        <f>HYPERLINK("http://dx.doi.org/10.1016/j.ocecoaman.2019.105034","http://dx.doi.org/10.1016/j.ocecoaman.2019.105034")</f>
        <v>http://dx.doi.org/10.1016/j.ocecoaman.2019.105034</v>
      </c>
      <c r="BG117" s="13" t="s">
        <v>5510</v>
      </c>
      <c r="BH117" s="13" t="s">
        <v>5510</v>
      </c>
      <c r="BI117" s="13">
        <v>9.0</v>
      </c>
      <c r="BJ117" s="13" t="s">
        <v>6133</v>
      </c>
      <c r="BK117" s="13" t="s">
        <v>5534</v>
      </c>
      <c r="BL117" s="13" t="s">
        <v>6133</v>
      </c>
      <c r="BM117" s="13" t="s">
        <v>7853</v>
      </c>
      <c r="BN117" s="13" t="s">
        <v>5510</v>
      </c>
      <c r="BO117" s="13" t="s">
        <v>5510</v>
      </c>
      <c r="BP117" s="13" t="s">
        <v>5510</v>
      </c>
      <c r="BQ117" s="13" t="s">
        <v>5510</v>
      </c>
      <c r="BR117" s="13" t="s">
        <v>5538</v>
      </c>
      <c r="BS117" s="13" t="s">
        <v>7854</v>
      </c>
      <c r="BT117" s="13">
        <v>23796.0</v>
      </c>
      <c r="BU117" s="13" t="s">
        <v>5540</v>
      </c>
      <c r="BV117" s="13" t="s">
        <v>4864</v>
      </c>
      <c r="BW117" s="13" t="str">
        <f>VLOOKUP($BT117,Enriched!$A$2:$E$1070,5,false)</f>
        <v>["Transportation &amp; Service Corridors"]</v>
      </c>
      <c r="BX117" s="13" t="str">
        <f>VLOOKUP($BT117,Enriched!$A$2:$E$1070,4,false)</f>
        <v>["Shipping lanes"]</v>
      </c>
      <c r="BY117" s="13" t="b">
        <f>VLOOKUP(BT117,Enriched!$A$1:$AA$1070,27,falsE)</f>
        <v>0</v>
      </c>
      <c r="BZ117" s="2" t="str">
        <f>VLOOKUP(BT117,Enriched!$A$1:$AA$1070,14,falsE)</f>
        <v>level2</v>
      </c>
      <c r="CA117" s="13" t="str">
        <f>HYPERLINK("https%3A%2F%2Fwww.webofscience.com%2Fwos%2Fwoscc%2Ffull-record%2FWOS:000508756500028","View Full Record in Web of Science")</f>
        <v>View Full Record in Web of Science</v>
      </c>
    </row>
    <row r="118" ht="12.75" customHeight="1">
      <c r="A118" s="13" t="s">
        <v>5508</v>
      </c>
      <c r="B118" s="13" t="s">
        <v>7855</v>
      </c>
      <c r="C118" s="13" t="s">
        <v>5510</v>
      </c>
      <c r="D118" s="13" t="s">
        <v>5510</v>
      </c>
      <c r="E118" s="13" t="s">
        <v>5510</v>
      </c>
      <c r="F118" s="13" t="s">
        <v>7856</v>
      </c>
      <c r="G118" s="13" t="s">
        <v>5510</v>
      </c>
      <c r="H118" s="13" t="s">
        <v>5510</v>
      </c>
      <c r="I118" s="13" t="s">
        <v>2728</v>
      </c>
      <c r="J118" s="13" t="s">
        <v>7857</v>
      </c>
      <c r="K118" s="13" t="s">
        <v>5510</v>
      </c>
      <c r="L118" s="13" t="s">
        <v>5510</v>
      </c>
      <c r="M118" s="13" t="s">
        <v>5513</v>
      </c>
      <c r="N118" s="13" t="s">
        <v>5514</v>
      </c>
      <c r="O118" s="13" t="s">
        <v>5510</v>
      </c>
      <c r="P118" s="13" t="s">
        <v>5510</v>
      </c>
      <c r="Q118" s="13" t="s">
        <v>5510</v>
      </c>
      <c r="R118" s="13" t="s">
        <v>5510</v>
      </c>
      <c r="S118" s="13" t="s">
        <v>5510</v>
      </c>
      <c r="T118" s="13" t="s">
        <v>7858</v>
      </c>
      <c r="U118" s="13" t="s">
        <v>7859</v>
      </c>
      <c r="V118" s="13" t="s">
        <v>7860</v>
      </c>
      <c r="W118" s="13" t="s">
        <v>7861</v>
      </c>
      <c r="X118" s="13" t="s">
        <v>7862</v>
      </c>
      <c r="Y118" s="13" t="s">
        <v>7863</v>
      </c>
      <c r="Z118" s="13" t="s">
        <v>7864</v>
      </c>
      <c r="AA118" s="13" t="s">
        <v>7865</v>
      </c>
      <c r="AB118" s="13" t="s">
        <v>7866</v>
      </c>
      <c r="AC118" s="13" t="s">
        <v>7867</v>
      </c>
      <c r="AD118" s="13" t="s">
        <v>7868</v>
      </c>
      <c r="AE118" s="13" t="s">
        <v>7869</v>
      </c>
      <c r="AF118" s="13" t="s">
        <v>5510</v>
      </c>
      <c r="AG118" s="13">
        <v>101.0</v>
      </c>
      <c r="AH118" s="13">
        <v>44.0</v>
      </c>
      <c r="AI118" s="13">
        <v>46.0</v>
      </c>
      <c r="AJ118" s="13">
        <v>5.0</v>
      </c>
      <c r="AK118" s="13">
        <v>204.0</v>
      </c>
      <c r="AL118" s="13" t="s">
        <v>5527</v>
      </c>
      <c r="AM118" s="13" t="s">
        <v>5528</v>
      </c>
      <c r="AN118" s="13" t="s">
        <v>5529</v>
      </c>
      <c r="AO118" s="13" t="s">
        <v>7870</v>
      </c>
      <c r="AP118" s="13" t="s">
        <v>7871</v>
      </c>
      <c r="AQ118" s="13" t="s">
        <v>5510</v>
      </c>
      <c r="AR118" s="13" t="s">
        <v>7872</v>
      </c>
      <c r="AS118" s="13" t="s">
        <v>7873</v>
      </c>
      <c r="AT118" s="13" t="s">
        <v>6175</v>
      </c>
      <c r="AU118" s="13">
        <v>2014.0</v>
      </c>
      <c r="AV118" s="13">
        <v>20.0</v>
      </c>
      <c r="AW118" s="13">
        <v>8.0</v>
      </c>
      <c r="AX118" s="13" t="s">
        <v>5510</v>
      </c>
      <c r="AY118" s="13" t="s">
        <v>5510</v>
      </c>
      <c r="AZ118" s="13" t="s">
        <v>5510</v>
      </c>
      <c r="BA118" s="13" t="s">
        <v>5510</v>
      </c>
      <c r="BB118" s="13">
        <v>2437.0</v>
      </c>
      <c r="BC118" s="13">
        <v>2449.0</v>
      </c>
      <c r="BD118" s="13" t="s">
        <v>5510</v>
      </c>
      <c r="BE118" s="13" t="s">
        <v>7874</v>
      </c>
      <c r="BF118" s="52" t="str">
        <f>HYPERLINK("http://dx.doi.org/10.1111/gcb.12503","http://dx.doi.org/10.1111/gcb.12503")</f>
        <v>http://dx.doi.org/10.1111/gcb.12503</v>
      </c>
      <c r="BG118" s="13" t="s">
        <v>5510</v>
      </c>
      <c r="BH118" s="13" t="s">
        <v>5510</v>
      </c>
      <c r="BI118" s="13">
        <v>13.0</v>
      </c>
      <c r="BJ118" s="13" t="s">
        <v>5698</v>
      </c>
      <c r="BK118" s="13" t="s">
        <v>5561</v>
      </c>
      <c r="BL118" s="13" t="s">
        <v>5699</v>
      </c>
      <c r="BM118" s="13" t="s">
        <v>7875</v>
      </c>
      <c r="BN118" s="13">
        <v>2.4353164E7</v>
      </c>
      <c r="BO118" s="13" t="s">
        <v>6623</v>
      </c>
      <c r="BP118" s="13" t="s">
        <v>5510</v>
      </c>
      <c r="BQ118" s="13" t="s">
        <v>5510</v>
      </c>
      <c r="BR118" s="13" t="s">
        <v>5538</v>
      </c>
      <c r="BS118" s="13" t="s">
        <v>7876</v>
      </c>
      <c r="BT118" s="13">
        <v>24347.0</v>
      </c>
      <c r="BU118" s="13" t="s">
        <v>5540</v>
      </c>
      <c r="BV118" s="13" t="s">
        <v>4864</v>
      </c>
      <c r="BW118" s="13" t="str">
        <f>VLOOKUP($BT118,Enriched!$A$2:$E$1070,5,false)</f>
        <v>["Pollution"]</v>
      </c>
      <c r="BX118" s="13" t="str">
        <f>VLOOKUP($BT118,Enriched!$A$2:$E$1070,4,false)</f>
        <v>["Excess energy"]</v>
      </c>
      <c r="BY118" s="13" t="b">
        <f>VLOOKUP(BT118,Enriched!$A$1:$AA$1070,27,falsE)</f>
        <v>0</v>
      </c>
      <c r="BZ118" s="2" t="str">
        <f>VLOOKUP(BT118,Enriched!$A$1:$AA$1070,14,falsE)</f>
        <v>level2</v>
      </c>
      <c r="CA118" s="13" t="str">
        <f>HYPERLINK("https%3A%2F%2Fwww.webofscience.com%2Fwos%2Fwoscc%2Ffull-record%2FWOS:000339100200008","View Full Record in Web of Science")</f>
        <v>View Full Record in Web of Science</v>
      </c>
    </row>
    <row r="119" ht="12.75" customHeight="1">
      <c r="A119" s="13" t="s">
        <v>5508</v>
      </c>
      <c r="B119" s="13" t="s">
        <v>7877</v>
      </c>
      <c r="C119" s="13" t="s">
        <v>5510</v>
      </c>
      <c r="D119" s="13" t="s">
        <v>5510</v>
      </c>
      <c r="E119" s="13" t="s">
        <v>5510</v>
      </c>
      <c r="F119" s="13" t="s">
        <v>7878</v>
      </c>
      <c r="G119" s="13" t="s">
        <v>5510</v>
      </c>
      <c r="H119" s="13" t="s">
        <v>5510</v>
      </c>
      <c r="I119" s="13" t="s">
        <v>2725</v>
      </c>
      <c r="J119" s="13" t="s">
        <v>5655</v>
      </c>
      <c r="K119" s="13" t="s">
        <v>5510</v>
      </c>
      <c r="L119" s="13" t="s">
        <v>5510</v>
      </c>
      <c r="M119" s="13" t="s">
        <v>5513</v>
      </c>
      <c r="N119" s="13" t="s">
        <v>5514</v>
      </c>
      <c r="O119" s="13" t="s">
        <v>5510</v>
      </c>
      <c r="P119" s="13" t="s">
        <v>5510</v>
      </c>
      <c r="Q119" s="13" t="s">
        <v>5510</v>
      </c>
      <c r="R119" s="13" t="s">
        <v>5510</v>
      </c>
      <c r="S119" s="13" t="s">
        <v>5510</v>
      </c>
      <c r="T119" s="13" t="s">
        <v>7879</v>
      </c>
      <c r="U119" s="13" t="s">
        <v>7880</v>
      </c>
      <c r="V119" s="13" t="s">
        <v>7881</v>
      </c>
      <c r="W119" s="13" t="s">
        <v>7882</v>
      </c>
      <c r="X119" s="13" t="s">
        <v>7883</v>
      </c>
      <c r="Y119" s="13" t="s">
        <v>7884</v>
      </c>
      <c r="Z119" s="13" t="s">
        <v>7885</v>
      </c>
      <c r="AA119" s="13" t="s">
        <v>5510</v>
      </c>
      <c r="AB119" s="13" t="s">
        <v>7886</v>
      </c>
      <c r="AC119" s="13" t="s">
        <v>7887</v>
      </c>
      <c r="AD119" s="13" t="s">
        <v>7888</v>
      </c>
      <c r="AE119" s="13" t="s">
        <v>7889</v>
      </c>
      <c r="AF119" s="13" t="s">
        <v>5510</v>
      </c>
      <c r="AG119" s="13">
        <v>72.0</v>
      </c>
      <c r="AH119" s="13">
        <v>35.0</v>
      </c>
      <c r="AI119" s="13">
        <v>41.0</v>
      </c>
      <c r="AJ119" s="13">
        <v>2.0</v>
      </c>
      <c r="AK119" s="13">
        <v>81.0</v>
      </c>
      <c r="AL119" s="13" t="s">
        <v>5527</v>
      </c>
      <c r="AM119" s="13" t="s">
        <v>5528</v>
      </c>
      <c r="AN119" s="13" t="s">
        <v>5529</v>
      </c>
      <c r="AO119" s="13" t="s">
        <v>5664</v>
      </c>
      <c r="AP119" s="13" t="s">
        <v>5510</v>
      </c>
      <c r="AQ119" s="13" t="s">
        <v>5510</v>
      </c>
      <c r="AR119" s="13" t="s">
        <v>5665</v>
      </c>
      <c r="AS119" s="13" t="s">
        <v>5666</v>
      </c>
      <c r="AT119" s="13" t="s">
        <v>1453</v>
      </c>
      <c r="AU119" s="13">
        <v>2015.0</v>
      </c>
      <c r="AV119" s="13">
        <v>5.0</v>
      </c>
      <c r="AW119" s="13">
        <v>22.0</v>
      </c>
      <c r="AX119" s="13" t="s">
        <v>5510</v>
      </c>
      <c r="AY119" s="13" t="s">
        <v>5510</v>
      </c>
      <c r="AZ119" s="13" t="s">
        <v>5510</v>
      </c>
      <c r="BA119" s="13" t="s">
        <v>5510</v>
      </c>
      <c r="BB119" s="13">
        <v>5162.0</v>
      </c>
      <c r="BC119" s="13">
        <v>5176.0</v>
      </c>
      <c r="BD119" s="13" t="s">
        <v>5510</v>
      </c>
      <c r="BE119" s="13" t="s">
        <v>7890</v>
      </c>
      <c r="BF119" s="52" t="str">
        <f>HYPERLINK("http://dx.doi.org/10.1002/ece3.1683","http://dx.doi.org/10.1002/ece3.1683")</f>
        <v>http://dx.doi.org/10.1002/ece3.1683</v>
      </c>
      <c r="BG119" s="13" t="s">
        <v>5510</v>
      </c>
      <c r="BH119" s="13" t="s">
        <v>5510</v>
      </c>
      <c r="BI119" s="13">
        <v>15.0</v>
      </c>
      <c r="BJ119" s="13" t="s">
        <v>5670</v>
      </c>
      <c r="BK119" s="13" t="s">
        <v>5561</v>
      </c>
      <c r="BL119" s="13" t="s">
        <v>5671</v>
      </c>
      <c r="BM119" s="13" t="s">
        <v>7891</v>
      </c>
      <c r="BN119" s="13">
        <v>3.0151121E7</v>
      </c>
      <c r="BO119" s="13" t="s">
        <v>5564</v>
      </c>
      <c r="BP119" s="13" t="s">
        <v>5510</v>
      </c>
      <c r="BQ119" s="13" t="s">
        <v>5510</v>
      </c>
      <c r="BR119" s="13" t="s">
        <v>5538</v>
      </c>
      <c r="BS119" s="13" t="s">
        <v>7892</v>
      </c>
      <c r="BT119" s="13">
        <v>23598.0</v>
      </c>
      <c r="BU119" s="13" t="s">
        <v>5540</v>
      </c>
      <c r="BV119" s="13" t="s">
        <v>4856</v>
      </c>
      <c r="BW119" s="13" t="str">
        <f>VLOOKUP($BT119,Enriched!$A$2:$E$1070,5,false)</f>
        <v>["Climate Change &amp; Severe Weather"]</v>
      </c>
      <c r="BX119" s="13" t="str">
        <f>VLOOKUP($BT119,Enriched!$A$2:$E$1070,4,false)</f>
        <v>["Temperature extremes"]</v>
      </c>
      <c r="BY119" s="13" t="b">
        <f>VLOOKUP(BT119,Enriched!$A$1:$AA$1070,27,falsE)</f>
        <v>0</v>
      </c>
      <c r="BZ119" s="2" t="str">
        <f>VLOOKUP(BT119,Enriched!$A$1:$AA$1070,14,falsE)</f>
        <v>level2</v>
      </c>
      <c r="CA119" s="13" t="str">
        <f>HYPERLINK("https%3A%2F%2Fwww.webofscience.com%2Fwos%2Fwoscc%2Ffull-record%2FWOS:000365761200002","View Full Record in Web of Science")</f>
        <v>View Full Record in Web of Science</v>
      </c>
    </row>
    <row r="120" ht="12.75" customHeight="1">
      <c r="A120" s="13" t="s">
        <v>5508</v>
      </c>
      <c r="B120" s="13" t="s">
        <v>7893</v>
      </c>
      <c r="C120" s="13" t="s">
        <v>5510</v>
      </c>
      <c r="D120" s="13" t="s">
        <v>5510</v>
      </c>
      <c r="E120" s="13" t="s">
        <v>5510</v>
      </c>
      <c r="F120" s="13" t="s">
        <v>7894</v>
      </c>
      <c r="G120" s="13" t="s">
        <v>5510</v>
      </c>
      <c r="H120" s="13" t="s">
        <v>5510</v>
      </c>
      <c r="I120" s="13" t="s">
        <v>2722</v>
      </c>
      <c r="J120" s="13" t="s">
        <v>7857</v>
      </c>
      <c r="K120" s="13" t="s">
        <v>5510</v>
      </c>
      <c r="L120" s="13" t="s">
        <v>5510</v>
      </c>
      <c r="M120" s="13" t="s">
        <v>5513</v>
      </c>
      <c r="N120" s="13" t="s">
        <v>5514</v>
      </c>
      <c r="O120" s="13" t="s">
        <v>5510</v>
      </c>
      <c r="P120" s="13" t="s">
        <v>5510</v>
      </c>
      <c r="Q120" s="13" t="s">
        <v>5510</v>
      </c>
      <c r="R120" s="13" t="s">
        <v>5510</v>
      </c>
      <c r="S120" s="13" t="s">
        <v>5510</v>
      </c>
      <c r="T120" s="13" t="s">
        <v>7895</v>
      </c>
      <c r="U120" s="13" t="s">
        <v>7896</v>
      </c>
      <c r="V120" s="13" t="s">
        <v>7897</v>
      </c>
      <c r="W120" s="13" t="s">
        <v>7898</v>
      </c>
      <c r="X120" s="13" t="s">
        <v>7899</v>
      </c>
      <c r="Y120" s="13" t="s">
        <v>7900</v>
      </c>
      <c r="Z120" s="13" t="s">
        <v>7901</v>
      </c>
      <c r="AA120" s="13" t="s">
        <v>7902</v>
      </c>
      <c r="AB120" s="13" t="s">
        <v>7903</v>
      </c>
      <c r="AC120" s="13" t="s">
        <v>7904</v>
      </c>
      <c r="AD120" s="13" t="s">
        <v>7905</v>
      </c>
      <c r="AE120" s="13" t="s">
        <v>7906</v>
      </c>
      <c r="AF120" s="13" t="s">
        <v>5510</v>
      </c>
      <c r="AG120" s="13">
        <v>48.0</v>
      </c>
      <c r="AH120" s="13">
        <v>123.0</v>
      </c>
      <c r="AI120" s="13">
        <v>129.0</v>
      </c>
      <c r="AJ120" s="13">
        <v>2.0</v>
      </c>
      <c r="AK120" s="13">
        <v>169.0</v>
      </c>
      <c r="AL120" s="13" t="s">
        <v>5527</v>
      </c>
      <c r="AM120" s="13" t="s">
        <v>5528</v>
      </c>
      <c r="AN120" s="13" t="s">
        <v>5529</v>
      </c>
      <c r="AO120" s="13" t="s">
        <v>7870</v>
      </c>
      <c r="AP120" s="13" t="s">
        <v>7871</v>
      </c>
      <c r="AQ120" s="13" t="s">
        <v>5510</v>
      </c>
      <c r="AR120" s="13" t="s">
        <v>7872</v>
      </c>
      <c r="AS120" s="13" t="s">
        <v>7873</v>
      </c>
      <c r="AT120" s="13" t="s">
        <v>5582</v>
      </c>
      <c r="AU120" s="13">
        <v>2015.0</v>
      </c>
      <c r="AV120" s="13">
        <v>21.0</v>
      </c>
      <c r="AW120" s="13">
        <v>1.0</v>
      </c>
      <c r="AX120" s="13" t="s">
        <v>5510</v>
      </c>
      <c r="AY120" s="13" t="s">
        <v>5510</v>
      </c>
      <c r="AZ120" s="13" t="s">
        <v>5510</v>
      </c>
      <c r="BA120" s="13" t="s">
        <v>5510</v>
      </c>
      <c r="BB120" s="13">
        <v>117.0</v>
      </c>
      <c r="BC120" s="13">
        <v>129.0</v>
      </c>
      <c r="BD120" s="13" t="s">
        <v>5510</v>
      </c>
      <c r="BE120" s="13" t="s">
        <v>7907</v>
      </c>
      <c r="BF120" s="52" t="str">
        <f>HYPERLINK("http://dx.doi.org/10.1111/gcb.12726","http://dx.doi.org/10.1111/gcb.12726")</f>
        <v>http://dx.doi.org/10.1111/gcb.12726</v>
      </c>
      <c r="BG120" s="13" t="s">
        <v>5510</v>
      </c>
      <c r="BH120" s="13" t="s">
        <v>5510</v>
      </c>
      <c r="BI120" s="13">
        <v>13.0</v>
      </c>
      <c r="BJ120" s="13" t="s">
        <v>5698</v>
      </c>
      <c r="BK120" s="13" t="s">
        <v>5561</v>
      </c>
      <c r="BL120" s="13" t="s">
        <v>5699</v>
      </c>
      <c r="BM120" s="13" t="s">
        <v>7908</v>
      </c>
      <c r="BN120" s="13">
        <v>2.5179407E7</v>
      </c>
      <c r="BO120" s="13" t="s">
        <v>5510</v>
      </c>
      <c r="BP120" s="13" t="s">
        <v>5510</v>
      </c>
      <c r="BQ120" s="13" t="s">
        <v>5510</v>
      </c>
      <c r="BR120" s="13" t="s">
        <v>5538</v>
      </c>
      <c r="BS120" s="13" t="s">
        <v>7909</v>
      </c>
      <c r="BT120" s="13">
        <v>24211.0</v>
      </c>
      <c r="BU120" s="13" t="s">
        <v>5540</v>
      </c>
      <c r="BV120" s="13" t="s">
        <v>4864</v>
      </c>
      <c r="BW120" s="13" t="str">
        <f>VLOOKUP($BT120,Enriched!$A$2:$E$1070,5,false)</f>
        <v>["Climate Change &amp; Severe Weather"]</v>
      </c>
      <c r="BX120" s="13" t="str">
        <f>VLOOKUP($BT120,Enriched!$A$2:$E$1070,4,false)</f>
        <v>["Temperature extremes"]</v>
      </c>
      <c r="BY120" s="13" t="b">
        <f>VLOOKUP(BT120,Enriched!$A$1:$AA$1070,27,falsE)</f>
        <v>0</v>
      </c>
      <c r="BZ120" s="2" t="str">
        <f>VLOOKUP(BT120,Enriched!$A$1:$AA$1070,14,falsE)</f>
        <v>level2</v>
      </c>
      <c r="CA120" s="13" t="str">
        <f>HYPERLINK("https%3A%2F%2Fwww.webofscience.com%2Fwos%2Fwoscc%2Ffull-record%2FWOS:000346698100013","View Full Record in Web of Science")</f>
        <v>View Full Record in Web of Science</v>
      </c>
    </row>
    <row r="121" ht="12.75" customHeight="1">
      <c r="A121" s="13" t="s">
        <v>5508</v>
      </c>
      <c r="B121" s="13" t="s">
        <v>7910</v>
      </c>
      <c r="C121" s="13" t="s">
        <v>5510</v>
      </c>
      <c r="D121" s="13" t="s">
        <v>5510</v>
      </c>
      <c r="E121" s="13" t="s">
        <v>5510</v>
      </c>
      <c r="F121" s="13" t="s">
        <v>7911</v>
      </c>
      <c r="G121" s="13" t="s">
        <v>5510</v>
      </c>
      <c r="H121" s="13" t="s">
        <v>5510</v>
      </c>
      <c r="I121" s="13" t="s">
        <v>2719</v>
      </c>
      <c r="J121" s="13" t="s">
        <v>7857</v>
      </c>
      <c r="K121" s="13" t="s">
        <v>5510</v>
      </c>
      <c r="L121" s="13" t="s">
        <v>5510</v>
      </c>
      <c r="M121" s="13" t="s">
        <v>5513</v>
      </c>
      <c r="N121" s="13" t="s">
        <v>5514</v>
      </c>
      <c r="O121" s="13" t="s">
        <v>5510</v>
      </c>
      <c r="P121" s="13" t="s">
        <v>5510</v>
      </c>
      <c r="Q121" s="13" t="s">
        <v>5510</v>
      </c>
      <c r="R121" s="13" t="s">
        <v>5510</v>
      </c>
      <c r="S121" s="13" t="s">
        <v>5510</v>
      </c>
      <c r="T121" s="13" t="s">
        <v>7912</v>
      </c>
      <c r="U121" s="13" t="s">
        <v>7913</v>
      </c>
      <c r="V121" s="13" t="s">
        <v>7914</v>
      </c>
      <c r="W121" s="13" t="s">
        <v>7915</v>
      </c>
      <c r="X121" s="13" t="s">
        <v>7916</v>
      </c>
      <c r="Y121" s="13" t="s">
        <v>7917</v>
      </c>
      <c r="Z121" s="13" t="s">
        <v>7918</v>
      </c>
      <c r="AA121" s="13" t="s">
        <v>7919</v>
      </c>
      <c r="AB121" s="13" t="s">
        <v>7920</v>
      </c>
      <c r="AC121" s="13" t="s">
        <v>7921</v>
      </c>
      <c r="AD121" s="13" t="s">
        <v>7922</v>
      </c>
      <c r="AE121" s="13" t="s">
        <v>7923</v>
      </c>
      <c r="AF121" s="13" t="s">
        <v>5510</v>
      </c>
      <c r="AG121" s="13">
        <v>79.0</v>
      </c>
      <c r="AH121" s="13">
        <v>127.0</v>
      </c>
      <c r="AI121" s="13">
        <v>149.0</v>
      </c>
      <c r="AJ121" s="13">
        <v>4.0</v>
      </c>
      <c r="AK121" s="13">
        <v>159.0</v>
      </c>
      <c r="AL121" s="13" t="s">
        <v>5527</v>
      </c>
      <c r="AM121" s="13" t="s">
        <v>5528</v>
      </c>
      <c r="AN121" s="13" t="s">
        <v>5529</v>
      </c>
      <c r="AO121" s="13" t="s">
        <v>7870</v>
      </c>
      <c r="AP121" s="13" t="s">
        <v>7871</v>
      </c>
      <c r="AQ121" s="13" t="s">
        <v>5510</v>
      </c>
      <c r="AR121" s="13" t="s">
        <v>7872</v>
      </c>
      <c r="AS121" s="13" t="s">
        <v>7873</v>
      </c>
      <c r="AT121" s="13" t="s">
        <v>5866</v>
      </c>
      <c r="AU121" s="13">
        <v>2019.0</v>
      </c>
      <c r="AV121" s="13">
        <v>25.0</v>
      </c>
      <c r="AW121" s="13">
        <v>5.0</v>
      </c>
      <c r="AX121" s="13" t="s">
        <v>5510</v>
      </c>
      <c r="AY121" s="13" t="s">
        <v>5510</v>
      </c>
      <c r="AZ121" s="13" t="s">
        <v>5510</v>
      </c>
      <c r="BA121" s="13" t="s">
        <v>5510</v>
      </c>
      <c r="BB121" s="13">
        <v>1561.0</v>
      </c>
      <c r="BC121" s="13">
        <v>1575.0</v>
      </c>
      <c r="BD121" s="13" t="s">
        <v>5510</v>
      </c>
      <c r="BE121" s="13" t="s">
        <v>7924</v>
      </c>
      <c r="BF121" s="52" t="str">
        <f>HYPERLINK("http://dx.doi.org/10.1111/gcb.14571","http://dx.doi.org/10.1111/gcb.14571")</f>
        <v>http://dx.doi.org/10.1111/gcb.14571</v>
      </c>
      <c r="BG121" s="13" t="s">
        <v>5510</v>
      </c>
      <c r="BH121" s="13" t="s">
        <v>5510</v>
      </c>
      <c r="BI121" s="13">
        <v>15.0</v>
      </c>
      <c r="BJ121" s="13" t="s">
        <v>5698</v>
      </c>
      <c r="BK121" s="13" t="s">
        <v>5561</v>
      </c>
      <c r="BL121" s="13" t="s">
        <v>5699</v>
      </c>
      <c r="BM121" s="13" t="s">
        <v>7925</v>
      </c>
      <c r="BN121" s="13">
        <v>3.0810257E7</v>
      </c>
      <c r="BO121" s="13" t="s">
        <v>5510</v>
      </c>
      <c r="BP121" s="13" t="s">
        <v>5510</v>
      </c>
      <c r="BQ121" s="13" t="s">
        <v>5510</v>
      </c>
      <c r="BR121" s="13" t="s">
        <v>5538</v>
      </c>
      <c r="BS121" s="13" t="s">
        <v>7926</v>
      </c>
      <c r="BT121" s="13">
        <v>24991.0</v>
      </c>
      <c r="BU121" s="13" t="s">
        <v>5540</v>
      </c>
      <c r="BV121" s="13" t="s">
        <v>4856</v>
      </c>
      <c r="BW121" s="13" t="str">
        <f>VLOOKUP($BT121,Enriched!$A$2:$E$1070,5,false)</f>
        <v>["Agriculture &amp; Aquaculture", "Biological Resource Use"]</v>
      </c>
      <c r="BX121" s="13" t="str">
        <f>VLOOKUP($BT121,Enriched!$A$2:$E$1070,4,false)</f>
        <v>["Wood &amp; pulp plantations", "Logging &amp; wood harvesting"]</v>
      </c>
      <c r="BY121" s="13" t="b">
        <f>VLOOKUP(BT121,Enriched!$A$1:$AA$1070,27,falsE)</f>
        <v>0</v>
      </c>
      <c r="BZ121" s="2" t="str">
        <f>VLOOKUP(BT121,Enriched!$A$1:$AA$1070,14,falsE)</f>
        <v>level2</v>
      </c>
      <c r="CA121" s="13" t="str">
        <f>HYPERLINK("https%3A%2F%2Fwww.webofscience.com%2Fwos%2Fwoscc%2Ffull-record%2FWOS:000465103600002","View Full Record in Web of Science")</f>
        <v>View Full Record in Web of Science</v>
      </c>
    </row>
    <row r="122" ht="12.75" customHeight="1">
      <c r="A122" s="13" t="s">
        <v>5508</v>
      </c>
      <c r="B122" s="13" t="s">
        <v>7927</v>
      </c>
      <c r="C122" s="13" t="s">
        <v>5510</v>
      </c>
      <c r="D122" s="13" t="s">
        <v>5510</v>
      </c>
      <c r="E122" s="13" t="s">
        <v>5510</v>
      </c>
      <c r="F122" s="13" t="s">
        <v>7928</v>
      </c>
      <c r="G122" s="13" t="s">
        <v>5510</v>
      </c>
      <c r="H122" s="13" t="s">
        <v>5510</v>
      </c>
      <c r="I122" s="13" t="s">
        <v>2714</v>
      </c>
      <c r="J122" s="13" t="s">
        <v>7929</v>
      </c>
      <c r="K122" s="13" t="s">
        <v>5510</v>
      </c>
      <c r="L122" s="13" t="s">
        <v>5510</v>
      </c>
      <c r="M122" s="13" t="s">
        <v>5513</v>
      </c>
      <c r="N122" s="13" t="s">
        <v>5514</v>
      </c>
      <c r="O122" s="13" t="s">
        <v>5510</v>
      </c>
      <c r="P122" s="13" t="s">
        <v>5510</v>
      </c>
      <c r="Q122" s="13" t="s">
        <v>5510</v>
      </c>
      <c r="R122" s="13" t="s">
        <v>5510</v>
      </c>
      <c r="S122" s="13" t="s">
        <v>5510</v>
      </c>
      <c r="T122" s="13" t="s">
        <v>7930</v>
      </c>
      <c r="U122" s="13" t="s">
        <v>7931</v>
      </c>
      <c r="V122" s="13" t="s">
        <v>7932</v>
      </c>
      <c r="W122" s="13" t="s">
        <v>7933</v>
      </c>
      <c r="X122" s="13" t="s">
        <v>7934</v>
      </c>
      <c r="Y122" s="13" t="s">
        <v>7935</v>
      </c>
      <c r="Z122" s="13" t="s">
        <v>7936</v>
      </c>
      <c r="AA122" s="13" t="s">
        <v>7937</v>
      </c>
      <c r="AB122" s="13" t="s">
        <v>7938</v>
      </c>
      <c r="AC122" s="13" t="s">
        <v>7939</v>
      </c>
      <c r="AD122" s="13" t="s">
        <v>7939</v>
      </c>
      <c r="AE122" s="13" t="s">
        <v>7940</v>
      </c>
      <c r="AF122" s="13" t="s">
        <v>5510</v>
      </c>
      <c r="AG122" s="13">
        <v>51.0</v>
      </c>
      <c r="AH122" s="13">
        <v>7.0</v>
      </c>
      <c r="AI122" s="13">
        <v>12.0</v>
      </c>
      <c r="AJ122" s="13">
        <v>2.0</v>
      </c>
      <c r="AK122" s="13">
        <v>12.0</v>
      </c>
      <c r="AL122" s="13" t="s">
        <v>7941</v>
      </c>
      <c r="AM122" s="13" t="s">
        <v>6046</v>
      </c>
      <c r="AN122" s="13" t="s">
        <v>7942</v>
      </c>
      <c r="AO122" s="13" t="s">
        <v>7943</v>
      </c>
      <c r="AP122" s="13" t="s">
        <v>5510</v>
      </c>
      <c r="AQ122" s="13" t="s">
        <v>5510</v>
      </c>
      <c r="AR122" s="13" t="s">
        <v>7944</v>
      </c>
      <c r="AS122" s="13" t="s">
        <v>7945</v>
      </c>
      <c r="AT122" s="13" t="s">
        <v>7946</v>
      </c>
      <c r="AU122" s="13">
        <v>2018.0</v>
      </c>
      <c r="AV122" s="13">
        <v>14.0</v>
      </c>
      <c r="AW122" s="13" t="s">
        <v>5510</v>
      </c>
      <c r="AX122" s="13" t="s">
        <v>5510</v>
      </c>
      <c r="AY122" s="13" t="s">
        <v>5510</v>
      </c>
      <c r="AZ122" s="13" t="s">
        <v>5510</v>
      </c>
      <c r="BA122" s="13" t="s">
        <v>5510</v>
      </c>
      <c r="BB122" s="13" t="s">
        <v>5510</v>
      </c>
      <c r="BC122" s="13" t="s">
        <v>5510</v>
      </c>
      <c r="BD122" s="13">
        <v>44.0</v>
      </c>
      <c r="BE122" s="13" t="s">
        <v>7947</v>
      </c>
      <c r="BF122" s="52" t="str">
        <f>HYPERLINK("http://dx.doi.org/10.1186/s13002-018-0244-5","http://dx.doi.org/10.1186/s13002-018-0244-5")</f>
        <v>http://dx.doi.org/10.1186/s13002-018-0244-5</v>
      </c>
      <c r="BG122" s="13" t="s">
        <v>5510</v>
      </c>
      <c r="BH122" s="13" t="s">
        <v>5510</v>
      </c>
      <c r="BI122" s="13">
        <v>16.0</v>
      </c>
      <c r="BJ122" s="13" t="s">
        <v>7948</v>
      </c>
      <c r="BK122" s="13" t="s">
        <v>5561</v>
      </c>
      <c r="BL122" s="13" t="s">
        <v>7949</v>
      </c>
      <c r="BM122" s="13" t="s">
        <v>7950</v>
      </c>
      <c r="BN122" s="13">
        <v>2.995443E7</v>
      </c>
      <c r="BO122" s="13" t="s">
        <v>5564</v>
      </c>
      <c r="BP122" s="13" t="s">
        <v>5510</v>
      </c>
      <c r="BQ122" s="13" t="s">
        <v>5510</v>
      </c>
      <c r="BR122" s="13" t="s">
        <v>5538</v>
      </c>
      <c r="BS122" s="13" t="s">
        <v>7951</v>
      </c>
      <c r="BT122" s="13">
        <v>25865.0</v>
      </c>
      <c r="BU122" s="13" t="s">
        <v>5540</v>
      </c>
      <c r="BV122" s="13" t="s">
        <v>4856</v>
      </c>
      <c r="BW122" s="13" t="str">
        <f>VLOOKUP($BT122,Enriched!$A$2:$E$1070,5,false)</f>
        <v>["Residential &amp; Commercial Development", "Agriculture &amp; Aquaculture", "Transportation &amp; Service Corridors", "Biological Resource Use", "Human Intrusions &amp; Disturbance"]</v>
      </c>
      <c r="BX122" s="13" t="str">
        <f>VLOOKUP($BT122,Enriched!$A$2:$E$1070,4,false)</f>
        <v>["Housing &amp; urban area", "Tourism &amp; recreation areas", "Wood &amp; pulp plantations", "Livestock farming &amp; ranching", "Roads &amp; railroads", "Hunting &amp; collecting terrestrial animals", "Gathering terrestrial plants", "Logging &amp; wood harvesting", "Fishing &amp; harvesting aquatic resources", "Recreational activities"]</v>
      </c>
      <c r="BY122" s="13" t="b">
        <f>VLOOKUP(BT122,Enriched!$A$1:$AA$1070,27,falsE)</f>
        <v>1</v>
      </c>
      <c r="BZ122" s="2" t="str">
        <f>VLOOKUP(BT122,Enriched!$A$1:$AA$1070,14,falsE)</f>
        <v>level2</v>
      </c>
      <c r="CA122" s="13" t="str">
        <f>HYPERLINK("https%3A%2F%2Fwww.webofscience.com%2Fwos%2Fwoscc%2Ffull-record%2FWOS:000436623300001","View Full Record in Web of Science")</f>
        <v>View Full Record in Web of Science</v>
      </c>
    </row>
    <row r="123" ht="12.75" customHeight="1">
      <c r="A123" s="13" t="s">
        <v>5508</v>
      </c>
      <c r="B123" s="13" t="s">
        <v>7952</v>
      </c>
      <c r="C123" s="13" t="s">
        <v>5510</v>
      </c>
      <c r="D123" s="13" t="s">
        <v>5510</v>
      </c>
      <c r="E123" s="13" t="s">
        <v>5510</v>
      </c>
      <c r="F123" s="13" t="s">
        <v>7953</v>
      </c>
      <c r="G123" s="13" t="s">
        <v>5510</v>
      </c>
      <c r="H123" s="13" t="s">
        <v>5510</v>
      </c>
      <c r="I123" s="13" t="s">
        <v>2709</v>
      </c>
      <c r="J123" s="13" t="s">
        <v>7857</v>
      </c>
      <c r="K123" s="13" t="s">
        <v>5510</v>
      </c>
      <c r="L123" s="13" t="s">
        <v>5510</v>
      </c>
      <c r="M123" s="13" t="s">
        <v>5513</v>
      </c>
      <c r="N123" s="13" t="s">
        <v>5514</v>
      </c>
      <c r="O123" s="13" t="s">
        <v>5510</v>
      </c>
      <c r="P123" s="13" t="s">
        <v>5510</v>
      </c>
      <c r="Q123" s="13" t="s">
        <v>5510</v>
      </c>
      <c r="R123" s="13" t="s">
        <v>5510</v>
      </c>
      <c r="S123" s="13" t="s">
        <v>5510</v>
      </c>
      <c r="T123" s="13" t="s">
        <v>7954</v>
      </c>
      <c r="U123" s="13" t="s">
        <v>7955</v>
      </c>
      <c r="V123" s="13" t="s">
        <v>7956</v>
      </c>
      <c r="W123" s="13" t="s">
        <v>7957</v>
      </c>
      <c r="X123" s="13" t="s">
        <v>7958</v>
      </c>
      <c r="Y123" s="13" t="s">
        <v>7959</v>
      </c>
      <c r="Z123" s="13" t="s">
        <v>7960</v>
      </c>
      <c r="AA123" s="13" t="s">
        <v>7961</v>
      </c>
      <c r="AB123" s="13" t="s">
        <v>7962</v>
      </c>
      <c r="AC123" s="13" t="s">
        <v>7963</v>
      </c>
      <c r="AD123" s="13" t="s">
        <v>7964</v>
      </c>
      <c r="AE123" s="13" t="s">
        <v>7965</v>
      </c>
      <c r="AF123" s="13" t="s">
        <v>5510</v>
      </c>
      <c r="AG123" s="13">
        <v>78.0</v>
      </c>
      <c r="AH123" s="13">
        <v>66.0</v>
      </c>
      <c r="AI123" s="13">
        <v>77.0</v>
      </c>
      <c r="AJ123" s="13">
        <v>5.0</v>
      </c>
      <c r="AK123" s="13">
        <v>91.0</v>
      </c>
      <c r="AL123" s="13" t="s">
        <v>5527</v>
      </c>
      <c r="AM123" s="13" t="s">
        <v>5528</v>
      </c>
      <c r="AN123" s="13" t="s">
        <v>5529</v>
      </c>
      <c r="AO123" s="13" t="s">
        <v>7870</v>
      </c>
      <c r="AP123" s="13" t="s">
        <v>7871</v>
      </c>
      <c r="AQ123" s="13" t="s">
        <v>5510</v>
      </c>
      <c r="AR123" s="13" t="s">
        <v>7872</v>
      </c>
      <c r="AS123" s="13" t="s">
        <v>7873</v>
      </c>
      <c r="AT123" s="13" t="s">
        <v>2738</v>
      </c>
      <c r="AU123" s="13">
        <v>2019.0</v>
      </c>
      <c r="AV123" s="13">
        <v>25.0</v>
      </c>
      <c r="AW123" s="13">
        <v>2.0</v>
      </c>
      <c r="AX123" s="13" t="s">
        <v>5510</v>
      </c>
      <c r="AY123" s="13" t="s">
        <v>5510</v>
      </c>
      <c r="AZ123" s="13" t="s">
        <v>5510</v>
      </c>
      <c r="BA123" s="13" t="s">
        <v>5510</v>
      </c>
      <c r="BB123" s="13">
        <v>448.0</v>
      </c>
      <c r="BC123" s="13">
        <v>458.0</v>
      </c>
      <c r="BD123" s="13" t="s">
        <v>5510</v>
      </c>
      <c r="BE123" s="13" t="s">
        <v>7966</v>
      </c>
      <c r="BF123" s="52" t="str">
        <f>HYPERLINK("http://dx.doi.org/10.1111/gcb.14518","http://dx.doi.org/10.1111/gcb.14518")</f>
        <v>http://dx.doi.org/10.1111/gcb.14518</v>
      </c>
      <c r="BG123" s="13" t="s">
        <v>5510</v>
      </c>
      <c r="BH123" s="13" t="s">
        <v>5510</v>
      </c>
      <c r="BI123" s="13">
        <v>11.0</v>
      </c>
      <c r="BJ123" s="13" t="s">
        <v>5698</v>
      </c>
      <c r="BK123" s="13" t="s">
        <v>5561</v>
      </c>
      <c r="BL123" s="13" t="s">
        <v>5699</v>
      </c>
      <c r="BM123" s="13" t="s">
        <v>7967</v>
      </c>
      <c r="BN123" s="13">
        <v>3.0417977E7</v>
      </c>
      <c r="BO123" s="13" t="s">
        <v>6623</v>
      </c>
      <c r="BP123" s="13" t="s">
        <v>5510</v>
      </c>
      <c r="BQ123" s="13" t="s">
        <v>5510</v>
      </c>
      <c r="BR123" s="13" t="s">
        <v>5538</v>
      </c>
      <c r="BS123" s="13" t="s">
        <v>7968</v>
      </c>
      <c r="BT123" s="13">
        <v>24302.0</v>
      </c>
      <c r="BU123" s="13" t="s">
        <v>5540</v>
      </c>
      <c r="BV123" s="13" t="s">
        <v>4852</v>
      </c>
      <c r="BW123" s="13" t="str">
        <f>VLOOKUP($BT123,Enriched!$A$2:$E$1070,5,false)</f>
        <v>["Climate change &amp; severe weather"]</v>
      </c>
      <c r="BX123" s="13" t="str">
        <f>VLOOKUP($BT123,Enriched!$A$2:$E$1070,4,false)</f>
        <v>["Habitat shifting &amp; alteration"]</v>
      </c>
      <c r="BY123" s="13" t="b">
        <f>VLOOKUP(BT123,Enriched!$A$1:$AA$1070,27,falsE)</f>
        <v>0</v>
      </c>
      <c r="BZ123" s="2" t="str">
        <f>VLOOKUP(BT123,Enriched!$A$1:$AA$1070,14,falsE)</f>
        <v>level2</v>
      </c>
      <c r="CA123" s="13" t="str">
        <f>HYPERLINK("https%3A%2F%2Fwww.webofscience.com%2Fwos%2Fwoscc%2Ffull-record%2FWOS:000456028900007","View Full Record in Web of Science")</f>
        <v>View Full Record in Web of Science</v>
      </c>
    </row>
    <row r="124" ht="12.75" customHeight="1">
      <c r="A124" s="13" t="s">
        <v>5508</v>
      </c>
      <c r="B124" s="13" t="s">
        <v>7969</v>
      </c>
      <c r="C124" s="13" t="s">
        <v>5510</v>
      </c>
      <c r="D124" s="13" t="s">
        <v>5510</v>
      </c>
      <c r="E124" s="13" t="s">
        <v>5510</v>
      </c>
      <c r="F124" s="13" t="s">
        <v>7970</v>
      </c>
      <c r="G124" s="13" t="s">
        <v>5510</v>
      </c>
      <c r="H124" s="13" t="s">
        <v>5510</v>
      </c>
      <c r="I124" s="2" t="s">
        <v>2707</v>
      </c>
      <c r="J124" s="13" t="s">
        <v>7971</v>
      </c>
      <c r="K124" s="13" t="s">
        <v>5510</v>
      </c>
      <c r="L124" s="13" t="s">
        <v>5510</v>
      </c>
      <c r="M124" s="13" t="s">
        <v>5513</v>
      </c>
      <c r="N124" s="13" t="s">
        <v>5514</v>
      </c>
      <c r="O124" s="13" t="s">
        <v>5510</v>
      </c>
      <c r="P124" s="13" t="s">
        <v>5510</v>
      </c>
      <c r="Q124" s="13" t="s">
        <v>5510</v>
      </c>
      <c r="R124" s="13" t="s">
        <v>5510</v>
      </c>
      <c r="S124" s="13" t="s">
        <v>5510</v>
      </c>
      <c r="T124" s="13" t="s">
        <v>7972</v>
      </c>
      <c r="U124" s="13" t="s">
        <v>7973</v>
      </c>
      <c r="V124" s="13" t="s">
        <v>7974</v>
      </c>
      <c r="W124" s="13" t="s">
        <v>7975</v>
      </c>
      <c r="X124" s="13" t="s">
        <v>7976</v>
      </c>
      <c r="Y124" s="13" t="s">
        <v>7977</v>
      </c>
      <c r="Z124" s="13" t="s">
        <v>7978</v>
      </c>
      <c r="AA124" s="13" t="s">
        <v>7979</v>
      </c>
      <c r="AB124" s="13" t="s">
        <v>5510</v>
      </c>
      <c r="AC124" s="13" t="s">
        <v>5510</v>
      </c>
      <c r="AD124" s="13" t="s">
        <v>5510</v>
      </c>
      <c r="AE124" s="13" t="s">
        <v>5510</v>
      </c>
      <c r="AF124" s="13" t="s">
        <v>5510</v>
      </c>
      <c r="AG124" s="13">
        <v>35.0</v>
      </c>
      <c r="AH124" s="13">
        <v>10.0</v>
      </c>
      <c r="AI124" s="13">
        <v>13.0</v>
      </c>
      <c r="AJ124" s="13">
        <v>0.0</v>
      </c>
      <c r="AK124" s="13">
        <v>10.0</v>
      </c>
      <c r="AL124" s="13" t="s">
        <v>7505</v>
      </c>
      <c r="AM124" s="13" t="s">
        <v>7506</v>
      </c>
      <c r="AN124" s="13" t="s">
        <v>7507</v>
      </c>
      <c r="AO124" s="13" t="s">
        <v>7980</v>
      </c>
      <c r="AP124" s="13" t="s">
        <v>7981</v>
      </c>
      <c r="AQ124" s="13" t="s">
        <v>5510</v>
      </c>
      <c r="AR124" s="13" t="s">
        <v>7982</v>
      </c>
      <c r="AS124" s="13" t="s">
        <v>7983</v>
      </c>
      <c r="AT124" s="13" t="s">
        <v>1925</v>
      </c>
      <c r="AU124" s="13">
        <v>2021.0</v>
      </c>
      <c r="AV124" s="13">
        <v>7.0</v>
      </c>
      <c r="AW124" s="13">
        <v>3.0</v>
      </c>
      <c r="AX124" s="13" t="s">
        <v>5510</v>
      </c>
      <c r="AY124" s="13" t="s">
        <v>5510</v>
      </c>
      <c r="AZ124" s="13" t="s">
        <v>5510</v>
      </c>
      <c r="BA124" s="13" t="s">
        <v>5510</v>
      </c>
      <c r="BB124" s="13">
        <v>1459.0</v>
      </c>
      <c r="BC124" s="13">
        <v>1473.0</v>
      </c>
      <c r="BD124" s="13" t="s">
        <v>5510</v>
      </c>
      <c r="BE124" s="13" t="s">
        <v>7984</v>
      </c>
      <c r="BF124" s="52" t="str">
        <f>HYPERLINK("http://dx.doi.org/10.1007/s40808-020-00858-y","http://dx.doi.org/10.1007/s40808-020-00858-y")</f>
        <v>http://dx.doi.org/10.1007/s40808-020-00858-y</v>
      </c>
      <c r="BG124" s="13" t="s">
        <v>5510</v>
      </c>
      <c r="BH124" s="13" t="s">
        <v>5669</v>
      </c>
      <c r="BI124" s="13">
        <v>15.0</v>
      </c>
      <c r="BJ124" s="13" t="s">
        <v>5768</v>
      </c>
      <c r="BK124" s="13" t="s">
        <v>7985</v>
      </c>
      <c r="BL124" s="13" t="s">
        <v>5535</v>
      </c>
      <c r="BM124" s="13" t="s">
        <v>7986</v>
      </c>
      <c r="BN124" s="13" t="s">
        <v>5510</v>
      </c>
      <c r="BO124" s="13" t="s">
        <v>5510</v>
      </c>
      <c r="BP124" s="13" t="s">
        <v>5510</v>
      </c>
      <c r="BQ124" s="13" t="s">
        <v>5510</v>
      </c>
      <c r="BR124" s="13" t="s">
        <v>5538</v>
      </c>
      <c r="BS124" s="13" t="s">
        <v>7987</v>
      </c>
      <c r="BT124" s="13">
        <v>26081.0</v>
      </c>
      <c r="BU124" s="13" t="s">
        <v>5540</v>
      </c>
      <c r="BV124" s="13" t="s">
        <v>4856</v>
      </c>
      <c r="BW124" s="13" t="str">
        <f>VLOOKUP($BT124,Enriched!$A$2:$E$1070,5,false)</f>
        <v>["Agriculture &amp; Aquaculture", "Transportation &amp; Service Corridors"]</v>
      </c>
      <c r="BX124" s="13" t="str">
        <f>VLOOKUP($BT124,Enriched!$A$2:$E$1070,4,false)</f>
        <v>["Housing &amp; urban area", "Annual &amp; perennial non-timber crops", "Roads &amp; railroads"]</v>
      </c>
      <c r="BY124" s="13" t="b">
        <f>VLOOKUP(BT124,Enriched!$A$1:$AA$1070,27,falsE)</f>
        <v>0</v>
      </c>
      <c r="BZ124" s="2" t="str">
        <f>VLOOKUP(BT124,Enriched!$A$1:$AA$1070,14,falsE)</f>
        <v>level1</v>
      </c>
      <c r="CA124" s="13" t="str">
        <f>HYPERLINK("https%3A%2F%2Fwww.webofscience.com%2Fwos%2Fwoscc%2Ffull-record%2FWOS:000543004800001","View Full Record in Web of Science")</f>
        <v>View Full Record in Web of Science</v>
      </c>
    </row>
    <row r="125" ht="12.75" customHeight="1">
      <c r="A125" s="13" t="s">
        <v>5508</v>
      </c>
      <c r="B125" s="13" t="s">
        <v>7988</v>
      </c>
      <c r="C125" s="13" t="s">
        <v>5510</v>
      </c>
      <c r="D125" s="13" t="s">
        <v>5510</v>
      </c>
      <c r="E125" s="13" t="s">
        <v>5510</v>
      </c>
      <c r="F125" s="13" t="s">
        <v>7989</v>
      </c>
      <c r="G125" s="13" t="s">
        <v>5510</v>
      </c>
      <c r="H125" s="13" t="s">
        <v>5510</v>
      </c>
      <c r="I125" s="2" t="s">
        <v>2705</v>
      </c>
      <c r="J125" s="13" t="s">
        <v>7990</v>
      </c>
      <c r="K125" s="13" t="s">
        <v>5510</v>
      </c>
      <c r="L125" s="13" t="s">
        <v>5510</v>
      </c>
      <c r="M125" s="13" t="s">
        <v>5513</v>
      </c>
      <c r="N125" s="13" t="s">
        <v>5514</v>
      </c>
      <c r="O125" s="13" t="s">
        <v>5510</v>
      </c>
      <c r="P125" s="13" t="s">
        <v>5510</v>
      </c>
      <c r="Q125" s="13" t="s">
        <v>5510</v>
      </c>
      <c r="R125" s="13" t="s">
        <v>5510</v>
      </c>
      <c r="S125" s="13" t="s">
        <v>5510</v>
      </c>
      <c r="T125" s="13" t="s">
        <v>7991</v>
      </c>
      <c r="U125" s="13" t="s">
        <v>7992</v>
      </c>
      <c r="V125" s="13" t="s">
        <v>7993</v>
      </c>
      <c r="W125" s="13" t="s">
        <v>7994</v>
      </c>
      <c r="X125" s="13" t="s">
        <v>7995</v>
      </c>
      <c r="Y125" s="13" t="s">
        <v>7996</v>
      </c>
      <c r="Z125" s="13" t="s">
        <v>7997</v>
      </c>
      <c r="AA125" s="13" t="s">
        <v>7998</v>
      </c>
      <c r="AB125" s="13" t="s">
        <v>7999</v>
      </c>
      <c r="AC125" s="13" t="s">
        <v>8000</v>
      </c>
      <c r="AD125" s="13" t="s">
        <v>8001</v>
      </c>
      <c r="AE125" s="13" t="s">
        <v>8002</v>
      </c>
      <c r="AF125" s="13" t="s">
        <v>5510</v>
      </c>
      <c r="AG125" s="13">
        <v>59.0</v>
      </c>
      <c r="AH125" s="13">
        <v>23.0</v>
      </c>
      <c r="AI125" s="13">
        <v>26.0</v>
      </c>
      <c r="AJ125" s="13">
        <v>4.0</v>
      </c>
      <c r="AK125" s="13">
        <v>94.0</v>
      </c>
      <c r="AL125" s="13" t="s">
        <v>8003</v>
      </c>
      <c r="AM125" s="13" t="s">
        <v>8004</v>
      </c>
      <c r="AN125" s="13" t="s">
        <v>8005</v>
      </c>
      <c r="AO125" s="13" t="s">
        <v>8006</v>
      </c>
      <c r="AP125" s="13" t="s">
        <v>8007</v>
      </c>
      <c r="AQ125" s="13" t="s">
        <v>5510</v>
      </c>
      <c r="AR125" s="13" t="s">
        <v>8008</v>
      </c>
      <c r="AS125" s="13" t="s">
        <v>8009</v>
      </c>
      <c r="AT125" s="13" t="s">
        <v>5978</v>
      </c>
      <c r="AU125" s="13">
        <v>2019.0</v>
      </c>
      <c r="AV125" s="13">
        <v>52.0</v>
      </c>
      <c r="AW125" s="13" t="s">
        <v>5510</v>
      </c>
      <c r="AX125" s="13" t="s">
        <v>5510</v>
      </c>
      <c r="AY125" s="13" t="s">
        <v>5510</v>
      </c>
      <c r="AZ125" s="13" t="s">
        <v>5510</v>
      </c>
      <c r="BA125" s="13" t="s">
        <v>5510</v>
      </c>
      <c r="BB125" s="13" t="s">
        <v>5510</v>
      </c>
      <c r="BC125" s="13" t="s">
        <v>5510</v>
      </c>
      <c r="BD125" s="13">
        <v>125740.0</v>
      </c>
      <c r="BE125" s="13" t="s">
        <v>8010</v>
      </c>
      <c r="BF125" s="52" t="str">
        <f>HYPERLINK("http://dx.doi.org/10.1016/j.jnc.2019.125740","http://dx.doi.org/10.1016/j.jnc.2019.125740")</f>
        <v>http://dx.doi.org/10.1016/j.jnc.2019.125740</v>
      </c>
      <c r="BG125" s="13" t="s">
        <v>5510</v>
      </c>
      <c r="BH125" s="13" t="s">
        <v>5510</v>
      </c>
      <c r="BI125" s="13">
        <v>11.0</v>
      </c>
      <c r="BJ125" s="13" t="s">
        <v>5958</v>
      </c>
      <c r="BK125" s="13" t="s">
        <v>5534</v>
      </c>
      <c r="BL125" s="13" t="s">
        <v>5699</v>
      </c>
      <c r="BM125" s="13" t="s">
        <v>8011</v>
      </c>
      <c r="BN125" s="13" t="s">
        <v>5510</v>
      </c>
      <c r="BO125" s="13" t="s">
        <v>5510</v>
      </c>
      <c r="BP125" s="13" t="s">
        <v>5510</v>
      </c>
      <c r="BQ125" s="13" t="s">
        <v>5510</v>
      </c>
      <c r="BR125" s="13" t="s">
        <v>5538</v>
      </c>
      <c r="BS125" s="13" t="s">
        <v>8012</v>
      </c>
      <c r="BT125" s="13">
        <v>24288.0</v>
      </c>
      <c r="BU125" s="13" t="s">
        <v>5540</v>
      </c>
      <c r="BV125" s="13" t="s">
        <v>4856</v>
      </c>
      <c r="BW125" s="13" t="str">
        <f>VLOOKUP($BT125,Enriched!$A$2:$E$1070,5,false)</f>
        <v>["Agriculture &amp; Aquaculture"]</v>
      </c>
      <c r="BX125" s="13" t="str">
        <f>VLOOKUP($BT125,Enriched!$A$2:$E$1070,4,false)</f>
        <v>[ "Annual &amp; perennial non-timber crops"]</v>
      </c>
      <c r="BY125" s="13" t="b">
        <f>VLOOKUP(BT125,Enriched!$A$1:$AA$1070,27,falsE)</f>
        <v>1</v>
      </c>
      <c r="BZ125" s="2" t="str">
        <f>VLOOKUP(BT125,Enriched!$A$1:$AA$1070,14,falsE)</f>
        <v>level2</v>
      </c>
      <c r="CA125" s="13" t="str">
        <f>HYPERLINK("https%3A%2F%2Fwww.webofscience.com%2Fwos%2Fwoscc%2Ffull-record%2FWOS:000497781700006","View Full Record in Web of Science")</f>
        <v>View Full Record in Web of Science</v>
      </c>
    </row>
    <row r="126" ht="12.75" customHeight="1">
      <c r="A126" s="13" t="s">
        <v>5508</v>
      </c>
      <c r="B126" s="13" t="s">
        <v>8013</v>
      </c>
      <c r="C126" s="13" t="s">
        <v>5510</v>
      </c>
      <c r="D126" s="13" t="s">
        <v>5510</v>
      </c>
      <c r="E126" s="13" t="s">
        <v>5510</v>
      </c>
      <c r="F126" s="13" t="s">
        <v>8013</v>
      </c>
      <c r="G126" s="13" t="s">
        <v>5510</v>
      </c>
      <c r="H126" s="13" t="s">
        <v>5510</v>
      </c>
      <c r="I126" s="13" t="s">
        <v>8014</v>
      </c>
      <c r="J126" s="13" t="s">
        <v>8015</v>
      </c>
      <c r="K126" s="13" t="s">
        <v>5510</v>
      </c>
      <c r="L126" s="13" t="s">
        <v>5510</v>
      </c>
      <c r="M126" s="13" t="s">
        <v>5513</v>
      </c>
      <c r="N126" s="13" t="s">
        <v>5514</v>
      </c>
      <c r="O126" s="13" t="s">
        <v>5510</v>
      </c>
      <c r="P126" s="13" t="s">
        <v>5510</v>
      </c>
      <c r="Q126" s="13" t="s">
        <v>5510</v>
      </c>
      <c r="R126" s="13" t="s">
        <v>5510</v>
      </c>
      <c r="S126" s="13" t="s">
        <v>5510</v>
      </c>
      <c r="T126" s="13" t="s">
        <v>8016</v>
      </c>
      <c r="U126" s="13" t="s">
        <v>8017</v>
      </c>
      <c r="V126" s="13" t="s">
        <v>8018</v>
      </c>
      <c r="W126" s="13" t="s">
        <v>8019</v>
      </c>
      <c r="X126" s="13" t="s">
        <v>8020</v>
      </c>
      <c r="Y126" s="13" t="s">
        <v>8021</v>
      </c>
      <c r="Z126" s="13" t="s">
        <v>8022</v>
      </c>
      <c r="AA126" s="13" t="s">
        <v>8023</v>
      </c>
      <c r="AB126" s="13" t="s">
        <v>8024</v>
      </c>
      <c r="AC126" s="13" t="s">
        <v>5510</v>
      </c>
      <c r="AD126" s="13" t="s">
        <v>5510</v>
      </c>
      <c r="AE126" s="13" t="s">
        <v>5510</v>
      </c>
      <c r="AF126" s="13" t="s">
        <v>5510</v>
      </c>
      <c r="AG126" s="13">
        <v>56.0</v>
      </c>
      <c r="AH126" s="13">
        <v>243.0</v>
      </c>
      <c r="AI126" s="13">
        <v>301.0</v>
      </c>
      <c r="AJ126" s="13">
        <v>0.0</v>
      </c>
      <c r="AK126" s="13">
        <v>66.0</v>
      </c>
      <c r="AL126" s="13" t="s">
        <v>5759</v>
      </c>
      <c r="AM126" s="13" t="s">
        <v>5760</v>
      </c>
      <c r="AN126" s="13" t="s">
        <v>5761</v>
      </c>
      <c r="AO126" s="13" t="s">
        <v>8025</v>
      </c>
      <c r="AP126" s="13" t="s">
        <v>8026</v>
      </c>
      <c r="AQ126" s="13" t="s">
        <v>5510</v>
      </c>
      <c r="AR126" s="13" t="s">
        <v>8027</v>
      </c>
      <c r="AS126" s="13" t="s">
        <v>8028</v>
      </c>
      <c r="AT126" s="13" t="s">
        <v>8029</v>
      </c>
      <c r="AU126" s="13">
        <v>2005.0</v>
      </c>
      <c r="AV126" s="13">
        <v>182.0</v>
      </c>
      <c r="AW126" s="13">
        <v>1.0</v>
      </c>
      <c r="AX126" s="13" t="s">
        <v>5510</v>
      </c>
      <c r="AY126" s="13" t="s">
        <v>5510</v>
      </c>
      <c r="AZ126" s="13" t="s">
        <v>5510</v>
      </c>
      <c r="BA126" s="13" t="s">
        <v>5510</v>
      </c>
      <c r="BB126" s="13">
        <v>75.0</v>
      </c>
      <c r="BC126" s="13">
        <v>90.0</v>
      </c>
      <c r="BD126" s="13" t="s">
        <v>5510</v>
      </c>
      <c r="BE126" s="13" t="s">
        <v>8030</v>
      </c>
      <c r="BF126" s="52" t="str">
        <f>HYPERLINK("http://dx.doi.org/10.1016/j.ecolmodel.2004.07.012","http://dx.doi.org/10.1016/j.ecolmodel.2004.07.012")</f>
        <v>http://dx.doi.org/10.1016/j.ecolmodel.2004.07.012</v>
      </c>
      <c r="BG126" s="13" t="s">
        <v>5510</v>
      </c>
      <c r="BH126" s="13" t="s">
        <v>5510</v>
      </c>
      <c r="BI126" s="13">
        <v>16.0</v>
      </c>
      <c r="BJ126" s="13" t="s">
        <v>5533</v>
      </c>
      <c r="BK126" s="13" t="s">
        <v>5561</v>
      </c>
      <c r="BL126" s="13" t="s">
        <v>5535</v>
      </c>
      <c r="BM126" s="13" t="s">
        <v>8031</v>
      </c>
      <c r="BN126" s="13" t="s">
        <v>5510</v>
      </c>
      <c r="BO126" s="13" t="s">
        <v>5510</v>
      </c>
      <c r="BP126" s="13" t="s">
        <v>5510</v>
      </c>
      <c r="BQ126" s="13" t="s">
        <v>5510</v>
      </c>
      <c r="BR126" s="13" t="s">
        <v>5538</v>
      </c>
      <c r="BS126" s="13" t="s">
        <v>8032</v>
      </c>
      <c r="BT126" s="13">
        <v>24112.0</v>
      </c>
      <c r="BU126" s="13" t="s">
        <v>5540</v>
      </c>
      <c r="BV126" s="13" t="s">
        <v>4856</v>
      </c>
      <c r="BW126" s="13" t="str">
        <f>VLOOKUP($BT126,Enriched!$A$2:$E$1070,5,false)</f>
        <v>["Invasive &amp; other problematic species, genes &amp; diseases"]</v>
      </c>
      <c r="BX126" s="13" t="str">
        <f>VLOOKUP($BT126,Enriched!$A$2:$E$1070,4,false)</f>
        <v>["Invasive non-native/alien species/diseases"]</v>
      </c>
      <c r="BY126" s="13" t="b">
        <f>VLOOKUP(BT126,Enriched!$A$1:$AA$1070,27,falsE)</f>
        <v>0</v>
      </c>
      <c r="BZ126" s="2" t="str">
        <f>VLOOKUP(BT126,Enriched!$A$1:$AA$1070,14,falsE)</f>
        <v>level2</v>
      </c>
      <c r="CA126" s="13" t="str">
        <f>HYPERLINK("https%3A%2F%2Fwww.webofscience.com%2Fwos%2Fwoscc%2Ffull-record%2FWOS:000226158200006","View Full Record in Web of Science")</f>
        <v>View Full Record in Web of Science</v>
      </c>
    </row>
    <row r="127" ht="12.75" customHeight="1">
      <c r="A127" s="13" t="s">
        <v>5508</v>
      </c>
      <c r="B127" s="13" t="s">
        <v>8033</v>
      </c>
      <c r="C127" s="13" t="s">
        <v>5510</v>
      </c>
      <c r="D127" s="13" t="s">
        <v>5510</v>
      </c>
      <c r="E127" s="13" t="s">
        <v>5510</v>
      </c>
      <c r="F127" s="13" t="s">
        <v>8034</v>
      </c>
      <c r="G127" s="13" t="s">
        <v>5510</v>
      </c>
      <c r="H127" s="13" t="s">
        <v>5510</v>
      </c>
      <c r="I127" s="13" t="s">
        <v>2692</v>
      </c>
      <c r="J127" s="13" t="s">
        <v>5943</v>
      </c>
      <c r="K127" s="13" t="s">
        <v>5510</v>
      </c>
      <c r="L127" s="13" t="s">
        <v>5510</v>
      </c>
      <c r="M127" s="13" t="s">
        <v>5513</v>
      </c>
      <c r="N127" s="13" t="s">
        <v>5514</v>
      </c>
      <c r="O127" s="13" t="s">
        <v>5510</v>
      </c>
      <c r="P127" s="13" t="s">
        <v>5510</v>
      </c>
      <c r="Q127" s="13" t="s">
        <v>5510</v>
      </c>
      <c r="R127" s="13" t="s">
        <v>5510</v>
      </c>
      <c r="S127" s="13" t="s">
        <v>5510</v>
      </c>
      <c r="T127" s="13" t="s">
        <v>8035</v>
      </c>
      <c r="U127" s="13" t="s">
        <v>8036</v>
      </c>
      <c r="V127" s="13" t="s">
        <v>8037</v>
      </c>
      <c r="W127" s="13" t="s">
        <v>8038</v>
      </c>
      <c r="X127" s="13" t="s">
        <v>8039</v>
      </c>
      <c r="Y127" s="13" t="s">
        <v>8040</v>
      </c>
      <c r="Z127" s="13" t="s">
        <v>8041</v>
      </c>
      <c r="AA127" s="13" t="s">
        <v>8042</v>
      </c>
      <c r="AB127" s="13" t="s">
        <v>8043</v>
      </c>
      <c r="AC127" s="13" t="s">
        <v>8044</v>
      </c>
      <c r="AD127" s="13" t="s">
        <v>8045</v>
      </c>
      <c r="AE127" s="13" t="s">
        <v>8046</v>
      </c>
      <c r="AF127" s="13" t="s">
        <v>5510</v>
      </c>
      <c r="AG127" s="13">
        <v>47.0</v>
      </c>
      <c r="AH127" s="13">
        <v>33.0</v>
      </c>
      <c r="AI127" s="13">
        <v>36.0</v>
      </c>
      <c r="AJ127" s="13">
        <v>0.0</v>
      </c>
      <c r="AK127" s="13">
        <v>51.0</v>
      </c>
      <c r="AL127" s="13" t="s">
        <v>5527</v>
      </c>
      <c r="AM127" s="13" t="s">
        <v>5528</v>
      </c>
      <c r="AN127" s="13" t="s">
        <v>5529</v>
      </c>
      <c r="AO127" s="13" t="s">
        <v>5953</v>
      </c>
      <c r="AP127" s="13" t="s">
        <v>5954</v>
      </c>
      <c r="AQ127" s="13" t="s">
        <v>5510</v>
      </c>
      <c r="AR127" s="13" t="s">
        <v>5955</v>
      </c>
      <c r="AS127" s="13" t="s">
        <v>5956</v>
      </c>
      <c r="AT127" s="13" t="s">
        <v>5720</v>
      </c>
      <c r="AU127" s="13">
        <v>2014.0</v>
      </c>
      <c r="AV127" s="13">
        <v>51.0</v>
      </c>
      <c r="AW127" s="13">
        <v>3.0</v>
      </c>
      <c r="AX127" s="13" t="s">
        <v>5510</v>
      </c>
      <c r="AY127" s="13" t="s">
        <v>5510</v>
      </c>
      <c r="AZ127" s="13" t="s">
        <v>5510</v>
      </c>
      <c r="BA127" s="13" t="s">
        <v>5510</v>
      </c>
      <c r="BB127" s="13">
        <v>623.0</v>
      </c>
      <c r="BC127" s="13">
        <v>631.0</v>
      </c>
      <c r="BD127" s="13" t="s">
        <v>5510</v>
      </c>
      <c r="BE127" s="13" t="s">
        <v>8047</v>
      </c>
      <c r="BF127" s="52" t="str">
        <f>HYPERLINK("http://dx.doi.org/10.1111/1365-2664.12235","http://dx.doi.org/10.1111/1365-2664.12235")</f>
        <v>http://dx.doi.org/10.1111/1365-2664.12235</v>
      </c>
      <c r="BG127" s="13" t="s">
        <v>5510</v>
      </c>
      <c r="BH127" s="13" t="s">
        <v>5510</v>
      </c>
      <c r="BI127" s="13">
        <v>9.0</v>
      </c>
      <c r="BJ127" s="13" t="s">
        <v>5958</v>
      </c>
      <c r="BK127" s="13" t="s">
        <v>5561</v>
      </c>
      <c r="BL127" s="13" t="s">
        <v>5699</v>
      </c>
      <c r="BM127" s="13" t="s">
        <v>8048</v>
      </c>
      <c r="BN127" s="13" t="s">
        <v>5510</v>
      </c>
      <c r="BO127" s="13" t="s">
        <v>5809</v>
      </c>
      <c r="BP127" s="13" t="s">
        <v>5510</v>
      </c>
      <c r="BQ127" s="13" t="s">
        <v>5510</v>
      </c>
      <c r="BR127" s="13" t="s">
        <v>5538</v>
      </c>
      <c r="BS127" s="13" t="s">
        <v>8049</v>
      </c>
      <c r="BT127" s="13">
        <v>24195.0</v>
      </c>
      <c r="BU127" s="13" t="s">
        <v>5540</v>
      </c>
      <c r="BV127" s="13" t="s">
        <v>4864</v>
      </c>
      <c r="BW127" s="13" t="str">
        <f>VLOOKUP($BT127,Enriched!$A$2:$E$1070,5,false)</f>
        <v>["Biological resource use"]</v>
      </c>
      <c r="BX127" s="13" t="str">
        <f>VLOOKUP($BT127,Enriched!$A$2:$E$1070,4,false)</f>
        <v>["Fishing &amp; harvesting aquatic resources"]</v>
      </c>
      <c r="BY127" s="13" t="b">
        <f>VLOOKUP(BT127,Enriched!$A$1:$AA$1070,27,falsE)</f>
        <v>0</v>
      </c>
      <c r="BZ127" s="2" t="str">
        <f>VLOOKUP(BT127,Enriched!$A$1:$AA$1070,14,falsE)</f>
        <v>level2</v>
      </c>
      <c r="CA127" s="13" t="str">
        <f>HYPERLINK("https%3A%2F%2Fwww.webofscience.com%2Fwos%2Fwoscc%2Ffull-record%2FWOS:000335962200008","View Full Record in Web of Science")</f>
        <v>View Full Record in Web of Science</v>
      </c>
    </row>
    <row r="128" ht="12.75" customHeight="1">
      <c r="A128" s="13" t="s">
        <v>5508</v>
      </c>
      <c r="B128" s="13" t="s">
        <v>8050</v>
      </c>
      <c r="C128" s="13" t="s">
        <v>5510</v>
      </c>
      <c r="D128" s="13" t="s">
        <v>5510</v>
      </c>
      <c r="E128" s="13" t="s">
        <v>5510</v>
      </c>
      <c r="F128" s="13" t="s">
        <v>8051</v>
      </c>
      <c r="G128" s="13" t="s">
        <v>5510</v>
      </c>
      <c r="H128" s="13" t="s">
        <v>5510</v>
      </c>
      <c r="I128" s="13" t="s">
        <v>2687</v>
      </c>
      <c r="J128" s="13" t="s">
        <v>6114</v>
      </c>
      <c r="K128" s="13" t="s">
        <v>5510</v>
      </c>
      <c r="L128" s="13" t="s">
        <v>5510</v>
      </c>
      <c r="M128" s="13" t="s">
        <v>5513</v>
      </c>
      <c r="N128" s="13" t="s">
        <v>5514</v>
      </c>
      <c r="O128" s="13" t="s">
        <v>5510</v>
      </c>
      <c r="P128" s="13" t="s">
        <v>5510</v>
      </c>
      <c r="Q128" s="13" t="s">
        <v>5510</v>
      </c>
      <c r="R128" s="13" t="s">
        <v>5510</v>
      </c>
      <c r="S128" s="13" t="s">
        <v>5510</v>
      </c>
      <c r="T128" s="13" t="s">
        <v>8052</v>
      </c>
      <c r="U128" s="13" t="s">
        <v>8053</v>
      </c>
      <c r="V128" s="13" t="s">
        <v>8054</v>
      </c>
      <c r="W128" s="13" t="s">
        <v>8055</v>
      </c>
      <c r="X128" s="13" t="s">
        <v>8056</v>
      </c>
      <c r="Y128" s="13" t="s">
        <v>8057</v>
      </c>
      <c r="Z128" s="13" t="s">
        <v>8058</v>
      </c>
      <c r="AA128" s="13" t="s">
        <v>8059</v>
      </c>
      <c r="AB128" s="13" t="s">
        <v>8060</v>
      </c>
      <c r="AC128" s="13" t="s">
        <v>8061</v>
      </c>
      <c r="AD128" s="13" t="s">
        <v>8061</v>
      </c>
      <c r="AE128" s="13" t="s">
        <v>8062</v>
      </c>
      <c r="AF128" s="13" t="s">
        <v>5510</v>
      </c>
      <c r="AG128" s="13">
        <v>57.0</v>
      </c>
      <c r="AH128" s="13">
        <v>24.0</v>
      </c>
      <c r="AI128" s="13">
        <v>27.0</v>
      </c>
      <c r="AJ128" s="13">
        <v>0.0</v>
      </c>
      <c r="AK128" s="13">
        <v>64.0</v>
      </c>
      <c r="AL128" s="13" t="s">
        <v>5931</v>
      </c>
      <c r="AM128" s="13" t="s">
        <v>5932</v>
      </c>
      <c r="AN128" s="13" t="s">
        <v>5933</v>
      </c>
      <c r="AO128" s="13" t="s">
        <v>6127</v>
      </c>
      <c r="AP128" s="13" t="s">
        <v>6128</v>
      </c>
      <c r="AQ128" s="13" t="s">
        <v>5510</v>
      </c>
      <c r="AR128" s="13" t="s">
        <v>6129</v>
      </c>
      <c r="AS128" s="13" t="s">
        <v>6130</v>
      </c>
      <c r="AT128" s="13" t="s">
        <v>5978</v>
      </c>
      <c r="AU128" s="13">
        <v>2016.0</v>
      </c>
      <c r="AV128" s="13">
        <v>134.0</v>
      </c>
      <c r="AW128" s="13" t="s">
        <v>5510</v>
      </c>
      <c r="AX128" s="13" t="s">
        <v>5510</v>
      </c>
      <c r="AY128" s="13" t="s">
        <v>5510</v>
      </c>
      <c r="AZ128" s="13" t="s">
        <v>5510</v>
      </c>
      <c r="BA128" s="13" t="s">
        <v>5510</v>
      </c>
      <c r="BB128" s="13">
        <v>41.0</v>
      </c>
      <c r="BC128" s="13">
        <v>51.0</v>
      </c>
      <c r="BD128" s="13" t="s">
        <v>5510</v>
      </c>
      <c r="BE128" s="13" t="s">
        <v>8063</v>
      </c>
      <c r="BF128" s="52" t="str">
        <f>HYPERLINK("http://dx.doi.org/10.1016/j.ocecoaman.2016.09.021","http://dx.doi.org/10.1016/j.ocecoaman.2016.09.021")</f>
        <v>http://dx.doi.org/10.1016/j.ocecoaman.2016.09.021</v>
      </c>
      <c r="BG128" s="13" t="s">
        <v>5510</v>
      </c>
      <c r="BH128" s="13" t="s">
        <v>5510</v>
      </c>
      <c r="BI128" s="13">
        <v>11.0</v>
      </c>
      <c r="BJ128" s="13" t="s">
        <v>6133</v>
      </c>
      <c r="BK128" s="13" t="s">
        <v>5561</v>
      </c>
      <c r="BL128" s="13" t="s">
        <v>6133</v>
      </c>
      <c r="BM128" s="13" t="s">
        <v>8064</v>
      </c>
      <c r="BN128" s="13" t="s">
        <v>5510</v>
      </c>
      <c r="BO128" s="13" t="s">
        <v>5510</v>
      </c>
      <c r="BP128" s="13" t="s">
        <v>5510</v>
      </c>
      <c r="BQ128" s="13" t="s">
        <v>5510</v>
      </c>
      <c r="BR128" s="13" t="s">
        <v>5538</v>
      </c>
      <c r="BS128" s="13" t="s">
        <v>8065</v>
      </c>
      <c r="BT128" s="13">
        <v>25008.0</v>
      </c>
      <c r="BU128" s="13" t="s">
        <v>5540</v>
      </c>
      <c r="BV128" s="13" t="s">
        <v>4864</v>
      </c>
      <c r="BW128" s="13" t="str">
        <f>VLOOKUP($BT128,Enriched!$A$2:$E$1070,5,false)</f>
        <v>["Biological resource use"]</v>
      </c>
      <c r="BX128" s="13" t="str">
        <f>VLOOKUP($BT128,Enriched!$A$2:$E$1070,4,false)</f>
        <v>["Fishing &amp; harvesting aquatic resources"]</v>
      </c>
      <c r="BY128" s="13" t="b">
        <f>VLOOKUP(BT128,Enriched!$A$1:$AA$1070,27,falsE)</f>
        <v>0</v>
      </c>
      <c r="BZ128" s="2" t="str">
        <f>VLOOKUP(BT128,Enriched!$A$1:$AA$1070,14,falsE)</f>
        <v>cumulative</v>
      </c>
      <c r="CA128" s="13" t="str">
        <f>HYPERLINK("https%3A%2F%2Fwww.webofscience.com%2Fwos%2Fwoscc%2Ffull-record%2FWOS:000389101500005","View Full Record in Web of Science")</f>
        <v>View Full Record in Web of Science</v>
      </c>
    </row>
    <row r="129" ht="12.75" customHeight="1">
      <c r="A129" s="13" t="s">
        <v>5508</v>
      </c>
      <c r="B129" s="13" t="s">
        <v>8066</v>
      </c>
      <c r="C129" s="13" t="s">
        <v>5510</v>
      </c>
      <c r="D129" s="13" t="s">
        <v>5510</v>
      </c>
      <c r="E129" s="13" t="s">
        <v>5510</v>
      </c>
      <c r="F129" s="13" t="s">
        <v>8067</v>
      </c>
      <c r="G129" s="13" t="s">
        <v>5510</v>
      </c>
      <c r="H129" s="13" t="s">
        <v>5510</v>
      </c>
      <c r="I129" s="13" t="s">
        <v>8068</v>
      </c>
      <c r="J129" s="13" t="s">
        <v>8069</v>
      </c>
      <c r="K129" s="13" t="s">
        <v>5510</v>
      </c>
      <c r="L129" s="13" t="s">
        <v>5510</v>
      </c>
      <c r="M129" s="13" t="s">
        <v>5513</v>
      </c>
      <c r="N129" s="13" t="s">
        <v>5514</v>
      </c>
      <c r="O129" s="13" t="s">
        <v>5510</v>
      </c>
      <c r="P129" s="13" t="s">
        <v>5510</v>
      </c>
      <c r="Q129" s="13" t="s">
        <v>5510</v>
      </c>
      <c r="R129" s="13" t="s">
        <v>5510</v>
      </c>
      <c r="S129" s="13" t="s">
        <v>5510</v>
      </c>
      <c r="T129" s="13" t="s">
        <v>8070</v>
      </c>
      <c r="U129" s="13" t="s">
        <v>8071</v>
      </c>
      <c r="V129" s="13" t="s">
        <v>8072</v>
      </c>
      <c r="W129" s="13" t="s">
        <v>8073</v>
      </c>
      <c r="X129" s="13" t="s">
        <v>8074</v>
      </c>
      <c r="Y129" s="13" t="s">
        <v>8075</v>
      </c>
      <c r="Z129" s="13" t="s">
        <v>8076</v>
      </c>
      <c r="AA129" s="13" t="s">
        <v>5510</v>
      </c>
      <c r="AB129" s="13" t="s">
        <v>5510</v>
      </c>
      <c r="AC129" s="13" t="s">
        <v>8077</v>
      </c>
      <c r="AD129" s="13" t="s">
        <v>8078</v>
      </c>
      <c r="AE129" s="13" t="s">
        <v>8079</v>
      </c>
      <c r="AF129" s="13" t="s">
        <v>5510</v>
      </c>
      <c r="AG129" s="13">
        <v>59.0</v>
      </c>
      <c r="AH129" s="13">
        <v>6.0</v>
      </c>
      <c r="AI129" s="13">
        <v>8.0</v>
      </c>
      <c r="AJ129" s="13">
        <v>0.0</v>
      </c>
      <c r="AK129" s="13">
        <v>12.0</v>
      </c>
      <c r="AL129" s="13" t="s">
        <v>8080</v>
      </c>
      <c r="AM129" s="13" t="s">
        <v>8081</v>
      </c>
      <c r="AN129" s="13" t="s">
        <v>8082</v>
      </c>
      <c r="AO129" s="13" t="s">
        <v>8083</v>
      </c>
      <c r="AP129" s="13" t="s">
        <v>8084</v>
      </c>
      <c r="AQ129" s="13" t="s">
        <v>5510</v>
      </c>
      <c r="AR129" s="13" t="s">
        <v>8085</v>
      </c>
      <c r="AS129" s="13" t="s">
        <v>8086</v>
      </c>
      <c r="AT129" s="13" t="s">
        <v>6828</v>
      </c>
      <c r="AU129" s="13">
        <v>2018.0</v>
      </c>
      <c r="AV129" s="13">
        <v>13.0</v>
      </c>
      <c r="AW129" s="13">
        <v>1.0</v>
      </c>
      <c r="AX129" s="13" t="s">
        <v>5510</v>
      </c>
      <c r="AY129" s="13" t="s">
        <v>5510</v>
      </c>
      <c r="AZ129" s="13" t="s">
        <v>5510</v>
      </c>
      <c r="BA129" s="13" t="s">
        <v>5510</v>
      </c>
      <c r="BB129" s="13">
        <v>17.0</v>
      </c>
      <c r="BC129" s="13">
        <v>32.0</v>
      </c>
      <c r="BD129" s="13" t="s">
        <v>5510</v>
      </c>
      <c r="BE129" s="13" t="str">
        <f>#REF!</f>
        <v>#REF!</v>
      </c>
      <c r="BF129" s="13" t="s">
        <v>5510</v>
      </c>
      <c r="BG129" s="13" t="s">
        <v>5510</v>
      </c>
      <c r="BH129" s="13" t="s">
        <v>5510</v>
      </c>
      <c r="BI129" s="13">
        <v>16.0</v>
      </c>
      <c r="BJ129" s="13" t="s">
        <v>6899</v>
      </c>
      <c r="BK129" s="13" t="s">
        <v>5561</v>
      </c>
      <c r="BL129" s="13" t="s">
        <v>6899</v>
      </c>
      <c r="BM129" s="13" t="s">
        <v>8087</v>
      </c>
      <c r="BN129" s="13" t="s">
        <v>5510</v>
      </c>
      <c r="BO129" s="13" t="s">
        <v>5510</v>
      </c>
      <c r="BP129" s="13" t="s">
        <v>5510</v>
      </c>
      <c r="BQ129" s="13" t="s">
        <v>5510</v>
      </c>
      <c r="BR129" s="13" t="s">
        <v>5538</v>
      </c>
      <c r="BS129" s="13" t="s">
        <v>8088</v>
      </c>
      <c r="BT129" s="13">
        <v>25420.0</v>
      </c>
      <c r="BU129" s="13" t="s">
        <v>5540</v>
      </c>
      <c r="BV129" s="13" t="s">
        <v>4886</v>
      </c>
      <c r="BW129" s="13" t="str">
        <f>VLOOKUP($BT129,Enriched!$A$2:$E$1070,5,false)</f>
        <v>["Invasive &amp; other problematic species, genes &amp; diseases"]</v>
      </c>
      <c r="BX129" s="13" t="str">
        <f>VLOOKUP($BT129,Enriched!$A$2:$E$1070,4,false)</f>
        <v>["Invasive non-native/alien species/diseases"]</v>
      </c>
      <c r="BY129" s="13" t="b">
        <f>VLOOKUP(BT129,Enriched!$A$1:$AA$1070,27,falsE)</f>
        <v>0</v>
      </c>
      <c r="BZ129" s="2" t="str">
        <f>VLOOKUP(BT129,Enriched!$A$1:$AA$1070,14,falsE)</f>
        <v>level2</v>
      </c>
      <c r="CA129" s="13" t="str">
        <f>HYPERLINK("https%3A%2F%2Fwww.webofscience.com%2Fwos%2Fwoscc%2Ffull-record%2FWOS:000433024200003","View Full Record in Web of Science")</f>
        <v>View Full Record in Web of Science</v>
      </c>
    </row>
    <row r="130" ht="12.75" customHeight="1">
      <c r="A130" s="13" t="s">
        <v>5508</v>
      </c>
      <c r="B130" s="13" t="s">
        <v>8089</v>
      </c>
      <c r="C130" s="13" t="s">
        <v>5510</v>
      </c>
      <c r="D130" s="13" t="s">
        <v>5510</v>
      </c>
      <c r="E130" s="13" t="s">
        <v>5510</v>
      </c>
      <c r="F130" s="13" t="s">
        <v>8090</v>
      </c>
      <c r="G130" s="13" t="s">
        <v>5510</v>
      </c>
      <c r="H130" s="13" t="s">
        <v>5510</v>
      </c>
      <c r="I130" s="13" t="s">
        <v>2677</v>
      </c>
      <c r="J130" s="13" t="s">
        <v>5792</v>
      </c>
      <c r="K130" s="13" t="s">
        <v>5510</v>
      </c>
      <c r="L130" s="13" t="s">
        <v>5510</v>
      </c>
      <c r="M130" s="13" t="s">
        <v>5513</v>
      </c>
      <c r="N130" s="13" t="s">
        <v>5514</v>
      </c>
      <c r="O130" s="13" t="s">
        <v>5510</v>
      </c>
      <c r="P130" s="13" t="s">
        <v>5510</v>
      </c>
      <c r="Q130" s="13" t="s">
        <v>5510</v>
      </c>
      <c r="R130" s="13" t="s">
        <v>5510</v>
      </c>
      <c r="S130" s="13" t="s">
        <v>5510</v>
      </c>
      <c r="T130" s="13" t="s">
        <v>5510</v>
      </c>
      <c r="U130" s="13" t="s">
        <v>8091</v>
      </c>
      <c r="V130" s="13" t="s">
        <v>8092</v>
      </c>
      <c r="W130" s="13" t="s">
        <v>5510</v>
      </c>
      <c r="X130" s="13" t="s">
        <v>5510</v>
      </c>
      <c r="Y130" s="13" t="s">
        <v>8093</v>
      </c>
      <c r="Z130" s="13" t="s">
        <v>8094</v>
      </c>
      <c r="AA130" s="13" t="s">
        <v>8095</v>
      </c>
      <c r="AB130" s="13" t="s">
        <v>5510</v>
      </c>
      <c r="AC130" s="13" t="s">
        <v>8096</v>
      </c>
      <c r="AD130" s="13" t="s">
        <v>8097</v>
      </c>
      <c r="AE130" s="13" t="s">
        <v>5510</v>
      </c>
      <c r="AF130" s="13" t="s">
        <v>5510</v>
      </c>
      <c r="AG130" s="13">
        <v>63.0</v>
      </c>
      <c r="AH130" s="13">
        <v>19.0</v>
      </c>
      <c r="AI130" s="13">
        <v>20.0</v>
      </c>
      <c r="AJ130" s="13">
        <v>1.0</v>
      </c>
      <c r="AK130" s="13">
        <v>19.0</v>
      </c>
      <c r="AL130" s="13" t="s">
        <v>5800</v>
      </c>
      <c r="AM130" s="13" t="s">
        <v>5801</v>
      </c>
      <c r="AN130" s="13" t="s">
        <v>5802</v>
      </c>
      <c r="AO130" s="13" t="s">
        <v>5803</v>
      </c>
      <c r="AP130" s="13" t="s">
        <v>5804</v>
      </c>
      <c r="AQ130" s="13" t="s">
        <v>5510</v>
      </c>
      <c r="AR130" s="13" t="s">
        <v>5805</v>
      </c>
      <c r="AS130" s="13" t="s">
        <v>5806</v>
      </c>
      <c r="AT130" s="13" t="s">
        <v>5510</v>
      </c>
      <c r="AU130" s="13">
        <v>2014.0</v>
      </c>
      <c r="AV130" s="13">
        <v>23.0</v>
      </c>
      <c r="AW130" s="13">
        <v>3.0</v>
      </c>
      <c r="AX130" s="13" t="s">
        <v>5510</v>
      </c>
      <c r="AY130" s="13" t="s">
        <v>5510</v>
      </c>
      <c r="AZ130" s="13" t="s">
        <v>5510</v>
      </c>
      <c r="BA130" s="13" t="s">
        <v>5510</v>
      </c>
      <c r="BB130" s="13">
        <v>263.0</v>
      </c>
      <c r="BC130" s="13">
        <v>276.0</v>
      </c>
      <c r="BD130" s="13" t="s">
        <v>5510</v>
      </c>
      <c r="BE130" s="13" t="s">
        <v>8098</v>
      </c>
      <c r="BF130" s="52" t="str">
        <f>HYPERLINK("http://dx.doi.org/10.3354/esr00564","http://dx.doi.org/10.3354/esr00564")</f>
        <v>http://dx.doi.org/10.3354/esr00564</v>
      </c>
      <c r="BG130" s="13" t="s">
        <v>5510</v>
      </c>
      <c r="BH130" s="13" t="s">
        <v>5510</v>
      </c>
      <c r="BI130" s="13">
        <v>14.0</v>
      </c>
      <c r="BJ130" s="13" t="s">
        <v>5648</v>
      </c>
      <c r="BK130" s="13" t="s">
        <v>5561</v>
      </c>
      <c r="BL130" s="13" t="s">
        <v>5650</v>
      </c>
      <c r="BM130" s="13" t="s">
        <v>8099</v>
      </c>
      <c r="BN130" s="13" t="s">
        <v>5510</v>
      </c>
      <c r="BO130" s="13" t="s">
        <v>5587</v>
      </c>
      <c r="BP130" s="13" t="s">
        <v>5510</v>
      </c>
      <c r="BQ130" s="13" t="s">
        <v>5510</v>
      </c>
      <c r="BR130" s="13" t="s">
        <v>5538</v>
      </c>
      <c r="BS130" s="13" t="s">
        <v>8100</v>
      </c>
      <c r="BT130" s="13">
        <v>25761.0</v>
      </c>
      <c r="BU130" s="13" t="s">
        <v>5540</v>
      </c>
      <c r="BV130" s="13" t="s">
        <v>4864</v>
      </c>
      <c r="BW130" s="13" t="str">
        <f>VLOOKUP($BT130,Enriched!$A$2:$E$1070,5,false)</f>
        <v>["Biological resource use"]</v>
      </c>
      <c r="BX130" s="13" t="str">
        <f>VLOOKUP($BT130,Enriched!$A$2:$E$1070,4,false)</f>
        <v>["Fishing &amp; harvesting aquatic resources"]</v>
      </c>
      <c r="BY130" s="13" t="b">
        <f>VLOOKUP(BT130,Enriched!$A$1:$AA$1070,27,falsE)</f>
        <v>0</v>
      </c>
      <c r="BZ130" s="2" t="str">
        <f>VLOOKUP(BT130,Enriched!$A$1:$AA$1070,14,falsE)</f>
        <v>level2</v>
      </c>
      <c r="CA130" s="13" t="str">
        <f>HYPERLINK("https%3A%2F%2Fwww.webofscience.com%2Fwos%2Fwoscc%2Ffull-record%2FWOS:000334049000007","View Full Record in Web of Science")</f>
        <v>View Full Record in Web of Science</v>
      </c>
    </row>
    <row r="131" ht="12.75" customHeight="1">
      <c r="A131" s="13" t="s">
        <v>5508</v>
      </c>
      <c r="B131" s="13" t="s">
        <v>8101</v>
      </c>
      <c r="C131" s="13" t="s">
        <v>5510</v>
      </c>
      <c r="D131" s="13" t="s">
        <v>5510</v>
      </c>
      <c r="E131" s="13" t="s">
        <v>5510</v>
      </c>
      <c r="F131" s="13" t="s">
        <v>8102</v>
      </c>
      <c r="G131" s="13" t="s">
        <v>5510</v>
      </c>
      <c r="H131" s="13" t="s">
        <v>5510</v>
      </c>
      <c r="I131" s="2" t="s">
        <v>2674</v>
      </c>
      <c r="J131" s="13" t="s">
        <v>6407</v>
      </c>
      <c r="K131" s="13" t="s">
        <v>5510</v>
      </c>
      <c r="L131" s="13" t="s">
        <v>5510</v>
      </c>
      <c r="M131" s="13" t="s">
        <v>5513</v>
      </c>
      <c r="N131" s="13" t="s">
        <v>5514</v>
      </c>
      <c r="O131" s="13" t="s">
        <v>5510</v>
      </c>
      <c r="P131" s="13" t="s">
        <v>5510</v>
      </c>
      <c r="Q131" s="13" t="s">
        <v>5510</v>
      </c>
      <c r="R131" s="13" t="s">
        <v>5510</v>
      </c>
      <c r="S131" s="13" t="s">
        <v>5510</v>
      </c>
      <c r="T131" s="13" t="s">
        <v>8103</v>
      </c>
      <c r="U131" s="13" t="s">
        <v>8104</v>
      </c>
      <c r="V131" s="13" t="s">
        <v>8105</v>
      </c>
      <c r="W131" s="13" t="s">
        <v>8106</v>
      </c>
      <c r="X131" s="13" t="s">
        <v>8107</v>
      </c>
      <c r="Y131" s="13" t="s">
        <v>8108</v>
      </c>
      <c r="Z131" s="13" t="s">
        <v>8109</v>
      </c>
      <c r="AA131" s="13" t="s">
        <v>8110</v>
      </c>
      <c r="AB131" s="13" t="s">
        <v>8111</v>
      </c>
      <c r="AC131" s="13" t="s">
        <v>8112</v>
      </c>
      <c r="AD131" s="13" t="s">
        <v>8113</v>
      </c>
      <c r="AE131" s="13" t="s">
        <v>8114</v>
      </c>
      <c r="AF131" s="13" t="s">
        <v>5510</v>
      </c>
      <c r="AG131" s="13">
        <v>77.0</v>
      </c>
      <c r="AH131" s="13">
        <v>22.0</v>
      </c>
      <c r="AI131" s="13">
        <v>23.0</v>
      </c>
      <c r="AJ131" s="13">
        <v>0.0</v>
      </c>
      <c r="AK131" s="13">
        <v>26.0</v>
      </c>
      <c r="AL131" s="13" t="s">
        <v>5759</v>
      </c>
      <c r="AM131" s="13" t="s">
        <v>5760</v>
      </c>
      <c r="AN131" s="13" t="s">
        <v>5761</v>
      </c>
      <c r="AO131" s="13" t="s">
        <v>6417</v>
      </c>
      <c r="AP131" s="13" t="s">
        <v>6418</v>
      </c>
      <c r="AQ131" s="13" t="s">
        <v>5510</v>
      </c>
      <c r="AR131" s="13" t="s">
        <v>6419</v>
      </c>
      <c r="AS131" s="13" t="s">
        <v>6420</v>
      </c>
      <c r="AT131" s="13" t="s">
        <v>2738</v>
      </c>
      <c r="AU131" s="13">
        <v>2019.0</v>
      </c>
      <c r="AV131" s="13">
        <v>97.0</v>
      </c>
      <c r="AW131" s="13" t="s">
        <v>5510</v>
      </c>
      <c r="AX131" s="13" t="s">
        <v>5510</v>
      </c>
      <c r="AY131" s="13" t="s">
        <v>5510</v>
      </c>
      <c r="AZ131" s="13" t="s">
        <v>5510</v>
      </c>
      <c r="BA131" s="13" t="s">
        <v>5510</v>
      </c>
      <c r="BB131" s="13">
        <v>130.0</v>
      </c>
      <c r="BC131" s="13">
        <v>140.0</v>
      </c>
      <c r="BD131" s="13" t="s">
        <v>5510</v>
      </c>
      <c r="BE131" s="13" t="s">
        <v>8115</v>
      </c>
      <c r="BF131" s="52" t="str">
        <f>HYPERLINK("http://dx.doi.org/10.1016/j.ecolind.2018.10.009","http://dx.doi.org/10.1016/j.ecolind.2018.10.009")</f>
        <v>http://dx.doi.org/10.1016/j.ecolind.2018.10.009</v>
      </c>
      <c r="BG131" s="13" t="s">
        <v>5510</v>
      </c>
      <c r="BH131" s="13" t="s">
        <v>5510</v>
      </c>
      <c r="BI131" s="13">
        <v>11.0</v>
      </c>
      <c r="BJ131" s="13" t="s">
        <v>6422</v>
      </c>
      <c r="BK131" s="13" t="s">
        <v>5561</v>
      </c>
      <c r="BL131" s="13" t="s">
        <v>5699</v>
      </c>
      <c r="BM131" s="13" t="s">
        <v>8116</v>
      </c>
      <c r="BN131" s="13" t="s">
        <v>5510</v>
      </c>
      <c r="BO131" s="13" t="s">
        <v>6623</v>
      </c>
      <c r="BP131" s="13" t="s">
        <v>5510</v>
      </c>
      <c r="BQ131" s="13" t="s">
        <v>5510</v>
      </c>
      <c r="BR131" s="13" t="s">
        <v>5538</v>
      </c>
      <c r="BS131" s="13" t="s">
        <v>8117</v>
      </c>
      <c r="BT131" s="13">
        <v>25061.0</v>
      </c>
      <c r="BU131" s="13" t="s">
        <v>5540</v>
      </c>
      <c r="BV131" s="13" t="s">
        <v>4852</v>
      </c>
      <c r="BW131" s="13" t="str">
        <f>VLOOKUP($BT131,Enriched!$A$2:$E$1070,5,false)</f>
        <v>["Pollution"]</v>
      </c>
      <c r="BX131" s="13" t="str">
        <f>VLOOKUP($BT131,Enriched!$A$2:$E$1070,4,false)</f>
        <v>["Domestic &amp; urban waste water", "Agricultural &amp; forestry effluents"]</v>
      </c>
      <c r="BY131" s="13" t="b">
        <f>VLOOKUP(BT131,Enriched!$A$1:$AA$1070,27,falsE)</f>
        <v>0</v>
      </c>
      <c r="BZ131" s="2" t="str">
        <f>VLOOKUP(BT131,Enriched!$A$1:$AA$1070,14,falsE)</f>
        <v>level2</v>
      </c>
      <c r="CA131" s="13" t="str">
        <f>HYPERLINK("https%3A%2F%2Fwww.webofscience.com%2Fwos%2Fwoscc%2Ffull-record%2FWOS:000464891000015","View Full Record in Web of Science")</f>
        <v>View Full Record in Web of Science</v>
      </c>
    </row>
    <row r="132" ht="12.75" customHeight="1">
      <c r="A132" s="13" t="s">
        <v>5508</v>
      </c>
      <c r="B132" s="13" t="s">
        <v>8118</v>
      </c>
      <c r="C132" s="13" t="s">
        <v>5510</v>
      </c>
      <c r="D132" s="13" t="s">
        <v>5510</v>
      </c>
      <c r="E132" s="13" t="s">
        <v>5510</v>
      </c>
      <c r="F132" s="13" t="s">
        <v>8119</v>
      </c>
      <c r="G132" s="13" t="s">
        <v>5510</v>
      </c>
      <c r="H132" s="13" t="s">
        <v>5510</v>
      </c>
      <c r="I132" s="13" t="s">
        <v>2671</v>
      </c>
      <c r="J132" s="13" t="s">
        <v>5677</v>
      </c>
      <c r="K132" s="13" t="s">
        <v>5510</v>
      </c>
      <c r="L132" s="13" t="s">
        <v>5510</v>
      </c>
      <c r="M132" s="13" t="s">
        <v>5513</v>
      </c>
      <c r="N132" s="13" t="s">
        <v>5514</v>
      </c>
      <c r="O132" s="13" t="s">
        <v>5510</v>
      </c>
      <c r="P132" s="13" t="s">
        <v>5510</v>
      </c>
      <c r="Q132" s="13" t="s">
        <v>5510</v>
      </c>
      <c r="R132" s="13" t="s">
        <v>5510</v>
      </c>
      <c r="S132" s="13" t="s">
        <v>5510</v>
      </c>
      <c r="T132" s="13" t="s">
        <v>8120</v>
      </c>
      <c r="U132" s="13" t="s">
        <v>8121</v>
      </c>
      <c r="V132" s="13" t="s">
        <v>8122</v>
      </c>
      <c r="W132" s="13" t="s">
        <v>8123</v>
      </c>
      <c r="X132" s="13" t="s">
        <v>8124</v>
      </c>
      <c r="Y132" s="13" t="s">
        <v>8125</v>
      </c>
      <c r="Z132" s="13" t="s">
        <v>8126</v>
      </c>
      <c r="AA132" s="13" t="s">
        <v>8127</v>
      </c>
      <c r="AB132" s="13" t="s">
        <v>8128</v>
      </c>
      <c r="AC132" s="13" t="s">
        <v>8129</v>
      </c>
      <c r="AD132" s="13" t="s">
        <v>8130</v>
      </c>
      <c r="AE132" s="13" t="s">
        <v>8131</v>
      </c>
      <c r="AF132" s="13" t="s">
        <v>5510</v>
      </c>
      <c r="AG132" s="13">
        <v>66.0</v>
      </c>
      <c r="AH132" s="13">
        <v>13.0</v>
      </c>
      <c r="AI132" s="13">
        <v>15.0</v>
      </c>
      <c r="AJ132" s="13">
        <v>0.0</v>
      </c>
      <c r="AK132" s="13">
        <v>68.0</v>
      </c>
      <c r="AL132" s="13" t="s">
        <v>5690</v>
      </c>
      <c r="AM132" s="13" t="s">
        <v>5691</v>
      </c>
      <c r="AN132" s="13" t="s">
        <v>5692</v>
      </c>
      <c r="AO132" s="13" t="s">
        <v>5693</v>
      </c>
      <c r="AP132" s="13" t="s">
        <v>5694</v>
      </c>
      <c r="AQ132" s="13" t="s">
        <v>5510</v>
      </c>
      <c r="AR132" s="13" t="s">
        <v>5695</v>
      </c>
      <c r="AS132" s="13" t="s">
        <v>5696</v>
      </c>
      <c r="AT132" s="13" t="s">
        <v>5978</v>
      </c>
      <c r="AU132" s="13">
        <v>2014.0</v>
      </c>
      <c r="AV132" s="13">
        <v>23.0</v>
      </c>
      <c r="AW132" s="13">
        <v>13.0</v>
      </c>
      <c r="AX132" s="13" t="s">
        <v>5510</v>
      </c>
      <c r="AY132" s="13" t="s">
        <v>5510</v>
      </c>
      <c r="AZ132" s="13" t="s">
        <v>5510</v>
      </c>
      <c r="BA132" s="13" t="s">
        <v>5510</v>
      </c>
      <c r="BB132" s="13">
        <v>3301.0</v>
      </c>
      <c r="BC132" s="13">
        <v>3317.0</v>
      </c>
      <c r="BD132" s="13" t="s">
        <v>5510</v>
      </c>
      <c r="BE132" s="13" t="s">
        <v>8132</v>
      </c>
      <c r="BF132" s="52" t="str">
        <f>HYPERLINK("http://dx.doi.org/10.1007/s10531-014-0784-5","http://dx.doi.org/10.1007/s10531-014-0784-5")</f>
        <v>http://dx.doi.org/10.1007/s10531-014-0784-5</v>
      </c>
      <c r="BG132" s="13" t="s">
        <v>5510</v>
      </c>
      <c r="BH132" s="13" t="s">
        <v>5510</v>
      </c>
      <c r="BI132" s="13">
        <v>17.0</v>
      </c>
      <c r="BJ132" s="13" t="s">
        <v>5698</v>
      </c>
      <c r="BK132" s="13" t="s">
        <v>5561</v>
      </c>
      <c r="BL132" s="13" t="s">
        <v>5699</v>
      </c>
      <c r="BM132" s="13" t="s">
        <v>8133</v>
      </c>
      <c r="BN132" s="13" t="s">
        <v>5510</v>
      </c>
      <c r="BO132" s="13" t="s">
        <v>5510</v>
      </c>
      <c r="BP132" s="13" t="s">
        <v>5510</v>
      </c>
      <c r="BQ132" s="13" t="s">
        <v>5510</v>
      </c>
      <c r="BR132" s="13" t="s">
        <v>5538</v>
      </c>
      <c r="BS132" s="13" t="s">
        <v>8134</v>
      </c>
      <c r="BT132" s="13">
        <v>25370.0</v>
      </c>
      <c r="BU132" s="13" t="s">
        <v>5540</v>
      </c>
      <c r="BV132" s="13" t="s">
        <v>4852</v>
      </c>
      <c r="BW132" s="13" t="str">
        <f>VLOOKUP($BT132,Enriched!$A$2:$E$1070,5,false)</f>
        <v>["Invasive &amp; other problematic species, genes &amp; diseases"]</v>
      </c>
      <c r="BX132" s="13" t="str">
        <f>VLOOKUP($BT132,Enriched!$A$2:$E$1070,4,false)</f>
        <v>["Invasive non-native/alien species/diseases"]</v>
      </c>
      <c r="BY132" s="13" t="b">
        <f>VLOOKUP(BT132,Enriched!$A$1:$AA$1070,27,falsE)</f>
        <v>0</v>
      </c>
      <c r="BZ132" s="2" t="str">
        <f>VLOOKUP(BT132,Enriched!$A$1:$AA$1070,14,falsE)</f>
        <v>level2</v>
      </c>
      <c r="CA132" s="13" t="str">
        <f>HYPERLINK("https%3A%2F%2Fwww.webofscience.com%2Fwos%2Fwoscc%2Ffull-record%2FWOS:000345090000009","View Full Record in Web of Science")</f>
        <v>View Full Record in Web of Science</v>
      </c>
    </row>
    <row r="133" ht="12.75" customHeight="1">
      <c r="A133" s="13" t="s">
        <v>5508</v>
      </c>
      <c r="B133" s="13" t="s">
        <v>8135</v>
      </c>
      <c r="C133" s="13" t="s">
        <v>5510</v>
      </c>
      <c r="D133" s="13" t="s">
        <v>5510</v>
      </c>
      <c r="E133" s="13" t="s">
        <v>5510</v>
      </c>
      <c r="F133" s="13" t="s">
        <v>8136</v>
      </c>
      <c r="G133" s="13" t="s">
        <v>5510</v>
      </c>
      <c r="H133" s="13" t="s">
        <v>5510</v>
      </c>
      <c r="I133" s="13" t="s">
        <v>2663</v>
      </c>
      <c r="J133" s="13" t="s">
        <v>8137</v>
      </c>
      <c r="K133" s="13" t="s">
        <v>5510</v>
      </c>
      <c r="L133" s="13" t="s">
        <v>5510</v>
      </c>
      <c r="M133" s="13" t="s">
        <v>5513</v>
      </c>
      <c r="N133" s="13" t="s">
        <v>5514</v>
      </c>
      <c r="O133" s="13" t="s">
        <v>5510</v>
      </c>
      <c r="P133" s="13" t="s">
        <v>5510</v>
      </c>
      <c r="Q133" s="13" t="s">
        <v>5510</v>
      </c>
      <c r="R133" s="13" t="s">
        <v>5510</v>
      </c>
      <c r="S133" s="13" t="s">
        <v>5510</v>
      </c>
      <c r="T133" s="13" t="s">
        <v>8138</v>
      </c>
      <c r="U133" s="13" t="s">
        <v>8139</v>
      </c>
      <c r="V133" s="13" t="s">
        <v>8140</v>
      </c>
      <c r="W133" s="13" t="s">
        <v>8141</v>
      </c>
      <c r="X133" s="13" t="s">
        <v>8142</v>
      </c>
      <c r="Y133" s="13" t="s">
        <v>8143</v>
      </c>
      <c r="Z133" s="13" t="s">
        <v>8144</v>
      </c>
      <c r="AA133" s="13" t="s">
        <v>8145</v>
      </c>
      <c r="AB133" s="13" t="s">
        <v>5510</v>
      </c>
      <c r="AC133" s="13" t="s">
        <v>8146</v>
      </c>
      <c r="AD133" s="13" t="s">
        <v>8147</v>
      </c>
      <c r="AE133" s="13" t="s">
        <v>8148</v>
      </c>
      <c r="AF133" s="13" t="s">
        <v>5510</v>
      </c>
      <c r="AG133" s="13">
        <v>51.0</v>
      </c>
      <c r="AH133" s="13">
        <v>7.0</v>
      </c>
      <c r="AI133" s="13">
        <v>9.0</v>
      </c>
      <c r="AJ133" s="13">
        <v>1.0</v>
      </c>
      <c r="AK133" s="13">
        <v>27.0</v>
      </c>
      <c r="AL133" s="13" t="s">
        <v>8149</v>
      </c>
      <c r="AM133" s="13" t="s">
        <v>8150</v>
      </c>
      <c r="AN133" s="13" t="s">
        <v>8151</v>
      </c>
      <c r="AO133" s="13" t="s">
        <v>8152</v>
      </c>
      <c r="AP133" s="13" t="s">
        <v>8153</v>
      </c>
      <c r="AQ133" s="13" t="s">
        <v>5510</v>
      </c>
      <c r="AR133" s="13" t="s">
        <v>8154</v>
      </c>
      <c r="AS133" s="13" t="s">
        <v>8155</v>
      </c>
      <c r="AT133" s="13" t="s">
        <v>7795</v>
      </c>
      <c r="AU133" s="13">
        <v>2018.0</v>
      </c>
      <c r="AV133" s="13">
        <v>48.0</v>
      </c>
      <c r="AW133" s="13">
        <v>4.0</v>
      </c>
      <c r="AX133" s="13" t="s">
        <v>5510</v>
      </c>
      <c r="AY133" s="13" t="s">
        <v>5510</v>
      </c>
      <c r="AZ133" s="13" t="s">
        <v>5510</v>
      </c>
      <c r="BA133" s="13" t="s">
        <v>5510</v>
      </c>
      <c r="BB133" s="13">
        <v>358.0</v>
      </c>
      <c r="BC133" s="13">
        <v>367.0</v>
      </c>
      <c r="BD133" s="13" t="s">
        <v>5510</v>
      </c>
      <c r="BE133" s="13" t="s">
        <v>8156</v>
      </c>
      <c r="BF133" s="52" t="str">
        <f>HYPERLINK("http://dx.doi.org/10.1590/1809-4392201704522","http://dx.doi.org/10.1590/1809-4392201704522")</f>
        <v>http://dx.doi.org/10.1590/1809-4392201704522</v>
      </c>
      <c r="BG133" s="13" t="s">
        <v>5510</v>
      </c>
      <c r="BH133" s="13" t="s">
        <v>5510</v>
      </c>
      <c r="BI133" s="13">
        <v>10.0</v>
      </c>
      <c r="BJ133" s="13" t="s">
        <v>8157</v>
      </c>
      <c r="BK133" s="13" t="s">
        <v>5561</v>
      </c>
      <c r="BL133" s="13" t="s">
        <v>8158</v>
      </c>
      <c r="BM133" s="13" t="s">
        <v>8159</v>
      </c>
      <c r="BN133" s="13" t="s">
        <v>5510</v>
      </c>
      <c r="BO133" s="13" t="s">
        <v>5564</v>
      </c>
      <c r="BP133" s="13" t="s">
        <v>5510</v>
      </c>
      <c r="BQ133" s="13" t="s">
        <v>5510</v>
      </c>
      <c r="BR133" s="13" t="s">
        <v>5538</v>
      </c>
      <c r="BS133" s="13" t="s">
        <v>8160</v>
      </c>
      <c r="BT133" s="13">
        <v>26001.0</v>
      </c>
      <c r="BU133" s="13" t="s">
        <v>5540</v>
      </c>
      <c r="BV133" s="13" t="s">
        <v>4856</v>
      </c>
      <c r="BW133" s="13" t="str">
        <f>VLOOKUP($BT133,Enriched!$A$2:$E$1070,5,false)</f>
        <v>["Natural System Modifications"]</v>
      </c>
      <c r="BX133" s="13" t="str">
        <f>VLOOKUP($BT133,Enriched!$A$2:$E$1070,4,false)</f>
        <v>["Fire &amp; fire suppression"]</v>
      </c>
      <c r="BY133" s="13" t="b">
        <f>VLOOKUP(BT133,Enriched!$A$1:$AA$1070,27,falsE)</f>
        <v>0</v>
      </c>
      <c r="BZ133" s="2" t="str">
        <f>VLOOKUP(BT133,Enriched!$A$1:$AA$1070,14,falsE)</f>
        <v>level2</v>
      </c>
      <c r="CA133" s="13" t="str">
        <f>HYPERLINK("https%3A%2F%2Fwww.webofscience.com%2Fwos%2Fwoscc%2Ffull-record%2FWOS:000447773900011","View Full Record in Web of Science")</f>
        <v>View Full Record in Web of Science</v>
      </c>
    </row>
    <row r="134" ht="12.75" customHeight="1">
      <c r="A134" s="13" t="s">
        <v>5508</v>
      </c>
      <c r="B134" s="13" t="s">
        <v>8161</v>
      </c>
      <c r="C134" s="13" t="s">
        <v>5510</v>
      </c>
      <c r="D134" s="13" t="s">
        <v>5510</v>
      </c>
      <c r="E134" s="13" t="s">
        <v>5510</v>
      </c>
      <c r="F134" s="13" t="s">
        <v>8162</v>
      </c>
      <c r="G134" s="13" t="s">
        <v>5510</v>
      </c>
      <c r="H134" s="13" t="s">
        <v>5510</v>
      </c>
      <c r="I134" s="13" t="s">
        <v>2661</v>
      </c>
      <c r="J134" s="13" t="s">
        <v>8163</v>
      </c>
      <c r="K134" s="13" t="s">
        <v>5510</v>
      </c>
      <c r="L134" s="13" t="s">
        <v>5510</v>
      </c>
      <c r="M134" s="13" t="s">
        <v>5513</v>
      </c>
      <c r="N134" s="13" t="s">
        <v>5514</v>
      </c>
      <c r="O134" s="13" t="s">
        <v>5510</v>
      </c>
      <c r="P134" s="13" t="s">
        <v>5510</v>
      </c>
      <c r="Q134" s="13" t="s">
        <v>5510</v>
      </c>
      <c r="R134" s="13" t="s">
        <v>5510</v>
      </c>
      <c r="S134" s="13" t="s">
        <v>5510</v>
      </c>
      <c r="T134" s="13" t="s">
        <v>8164</v>
      </c>
      <c r="U134" s="13" t="s">
        <v>8165</v>
      </c>
      <c r="V134" s="13" t="s">
        <v>8166</v>
      </c>
      <c r="W134" s="13" t="s">
        <v>8167</v>
      </c>
      <c r="X134" s="13" t="s">
        <v>8168</v>
      </c>
      <c r="Y134" s="13" t="s">
        <v>8169</v>
      </c>
      <c r="Z134" s="13" t="s">
        <v>8170</v>
      </c>
      <c r="AA134" s="13" t="s">
        <v>8171</v>
      </c>
      <c r="AB134" s="13" t="s">
        <v>8172</v>
      </c>
      <c r="AC134" s="13" t="s">
        <v>8173</v>
      </c>
      <c r="AD134" s="13" t="s">
        <v>8174</v>
      </c>
      <c r="AE134" s="13" t="s">
        <v>8175</v>
      </c>
      <c r="AF134" s="13" t="s">
        <v>5510</v>
      </c>
      <c r="AG134" s="13">
        <v>83.0</v>
      </c>
      <c r="AH134" s="13">
        <v>25.0</v>
      </c>
      <c r="AI134" s="13">
        <v>28.0</v>
      </c>
      <c r="AJ134" s="13">
        <v>1.0</v>
      </c>
      <c r="AK134" s="13">
        <v>29.0</v>
      </c>
      <c r="AL134" s="13" t="s">
        <v>5690</v>
      </c>
      <c r="AM134" s="13" t="s">
        <v>5691</v>
      </c>
      <c r="AN134" s="13" t="s">
        <v>5692</v>
      </c>
      <c r="AO134" s="13" t="s">
        <v>8176</v>
      </c>
      <c r="AP134" s="13" t="s">
        <v>8177</v>
      </c>
      <c r="AQ134" s="13" t="s">
        <v>5510</v>
      </c>
      <c r="AR134" s="13" t="s">
        <v>8178</v>
      </c>
      <c r="AS134" s="13" t="s">
        <v>8179</v>
      </c>
      <c r="AT134" s="13" t="s">
        <v>6828</v>
      </c>
      <c r="AU134" s="13">
        <v>2019.0</v>
      </c>
      <c r="AV134" s="13">
        <v>34.0</v>
      </c>
      <c r="AW134" s="13">
        <v>4.0</v>
      </c>
      <c r="AX134" s="13" t="s">
        <v>5510</v>
      </c>
      <c r="AY134" s="13" t="s">
        <v>5510</v>
      </c>
      <c r="AZ134" s="13" t="s">
        <v>5510</v>
      </c>
      <c r="BA134" s="13" t="s">
        <v>5510</v>
      </c>
      <c r="BB134" s="13">
        <v>717.0</v>
      </c>
      <c r="BC134" s="13">
        <v>735.0</v>
      </c>
      <c r="BD134" s="13" t="s">
        <v>5510</v>
      </c>
      <c r="BE134" s="13" t="s">
        <v>8180</v>
      </c>
      <c r="BF134" s="52" t="str">
        <f>HYPERLINK("http://dx.doi.org/10.1007/s10980-019-00807-w","http://dx.doi.org/10.1007/s10980-019-00807-w")</f>
        <v>http://dx.doi.org/10.1007/s10980-019-00807-w</v>
      </c>
      <c r="BG134" s="13" t="s">
        <v>5510</v>
      </c>
      <c r="BH134" s="13" t="s">
        <v>5510</v>
      </c>
      <c r="BI134" s="13">
        <v>19.0</v>
      </c>
      <c r="BJ134" s="13" t="s">
        <v>8181</v>
      </c>
      <c r="BK134" s="13" t="s">
        <v>5534</v>
      </c>
      <c r="BL134" s="13" t="s">
        <v>6551</v>
      </c>
      <c r="BM134" s="13" t="s">
        <v>8182</v>
      </c>
      <c r="BN134" s="13" t="s">
        <v>5510</v>
      </c>
      <c r="BO134" s="13" t="s">
        <v>5510</v>
      </c>
      <c r="BP134" s="13" t="s">
        <v>5510</v>
      </c>
      <c r="BQ134" s="13" t="s">
        <v>5510</v>
      </c>
      <c r="BR134" s="13" t="s">
        <v>5538</v>
      </c>
      <c r="BS134" s="13" t="s">
        <v>8183</v>
      </c>
      <c r="BT134" s="13">
        <v>24566.0</v>
      </c>
      <c r="BU134" s="13" t="s">
        <v>5540</v>
      </c>
      <c r="BV134" s="13" t="s">
        <v>4856</v>
      </c>
      <c r="BW134" s="13" t="str">
        <f>VLOOKUP($BT134,Enriched!$A$2:$E$1070,5,false)</f>
        <v>["Transportation &amp; Service Corridors"]</v>
      </c>
      <c r="BX134" s="13" t="str">
        <f>VLOOKUP($BT134,Enriched!$A$2:$E$1070,4,false)</f>
        <v>["Roads &amp; railroads"]</v>
      </c>
      <c r="BY134" s="13" t="b">
        <f>VLOOKUP(BT134,Enriched!$A$1:$AA$1070,27,falsE)</f>
        <v>0</v>
      </c>
      <c r="BZ134" s="2" t="str">
        <f>VLOOKUP(BT134,Enriched!$A$1:$AA$1070,14,falsE)</f>
        <v>level2</v>
      </c>
      <c r="CA134" s="13" t="str">
        <f>HYPERLINK("https%3A%2F%2Fwww.webofscience.com%2Fwos%2Fwoscc%2Ffull-record%2FWOS:000467558400002","View Full Record in Web of Science")</f>
        <v>View Full Record in Web of Science</v>
      </c>
    </row>
    <row r="135" ht="12.75" customHeight="1">
      <c r="A135" s="13" t="s">
        <v>5508</v>
      </c>
      <c r="B135" s="13" t="s">
        <v>8184</v>
      </c>
      <c r="C135" s="13" t="s">
        <v>5510</v>
      </c>
      <c r="D135" s="13" t="s">
        <v>5510</v>
      </c>
      <c r="E135" s="13" t="s">
        <v>5510</v>
      </c>
      <c r="F135" s="13" t="s">
        <v>8184</v>
      </c>
      <c r="G135" s="13" t="s">
        <v>5510</v>
      </c>
      <c r="H135" s="13" t="s">
        <v>5510</v>
      </c>
      <c r="I135" s="13" t="s">
        <v>2659</v>
      </c>
      <c r="J135" s="13" t="s">
        <v>8185</v>
      </c>
      <c r="K135" s="13" t="s">
        <v>5510</v>
      </c>
      <c r="L135" s="13" t="s">
        <v>5510</v>
      </c>
      <c r="M135" s="13" t="s">
        <v>5513</v>
      </c>
      <c r="N135" s="13" t="s">
        <v>5514</v>
      </c>
      <c r="O135" s="13" t="s">
        <v>5510</v>
      </c>
      <c r="P135" s="13" t="s">
        <v>5510</v>
      </c>
      <c r="Q135" s="13" t="s">
        <v>5510</v>
      </c>
      <c r="R135" s="13" t="s">
        <v>5510</v>
      </c>
      <c r="S135" s="13" t="s">
        <v>5510</v>
      </c>
      <c r="T135" s="13" t="s">
        <v>8186</v>
      </c>
      <c r="U135" s="13" t="s">
        <v>8187</v>
      </c>
      <c r="V135" s="13" t="s">
        <v>8188</v>
      </c>
      <c r="W135" s="13" t="s">
        <v>8189</v>
      </c>
      <c r="X135" s="13" t="s">
        <v>8190</v>
      </c>
      <c r="Y135" s="13" t="s">
        <v>8191</v>
      </c>
      <c r="Z135" s="13" t="s">
        <v>8192</v>
      </c>
      <c r="AA135" s="13" t="s">
        <v>8193</v>
      </c>
      <c r="AB135" s="13" t="s">
        <v>5510</v>
      </c>
      <c r="AC135" s="13" t="s">
        <v>5510</v>
      </c>
      <c r="AD135" s="13" t="s">
        <v>5510</v>
      </c>
      <c r="AE135" s="13" t="s">
        <v>5510</v>
      </c>
      <c r="AF135" s="13" t="s">
        <v>5510</v>
      </c>
      <c r="AG135" s="13">
        <v>55.0</v>
      </c>
      <c r="AH135" s="13">
        <v>22.0</v>
      </c>
      <c r="AI135" s="13">
        <v>26.0</v>
      </c>
      <c r="AJ135" s="13">
        <v>0.0</v>
      </c>
      <c r="AK135" s="13">
        <v>19.0</v>
      </c>
      <c r="AL135" s="13" t="s">
        <v>5527</v>
      </c>
      <c r="AM135" s="13" t="s">
        <v>5528</v>
      </c>
      <c r="AN135" s="13" t="s">
        <v>5529</v>
      </c>
      <c r="AO135" s="13" t="s">
        <v>8194</v>
      </c>
      <c r="AP135" s="13" t="s">
        <v>8195</v>
      </c>
      <c r="AQ135" s="13" t="s">
        <v>5510</v>
      </c>
      <c r="AR135" s="13" t="s">
        <v>8196</v>
      </c>
      <c r="AS135" s="13" t="s">
        <v>8197</v>
      </c>
      <c r="AT135" s="13" t="s">
        <v>6828</v>
      </c>
      <c r="AU135" s="13">
        <v>2005.0</v>
      </c>
      <c r="AV135" s="13">
        <v>69.0</v>
      </c>
      <c r="AW135" s="13">
        <v>2.0</v>
      </c>
      <c r="AX135" s="13" t="s">
        <v>5510</v>
      </c>
      <c r="AY135" s="13" t="s">
        <v>5510</v>
      </c>
      <c r="AZ135" s="13" t="s">
        <v>5510</v>
      </c>
      <c r="BA135" s="13" t="s">
        <v>5510</v>
      </c>
      <c r="BB135" s="13">
        <v>561.0</v>
      </c>
      <c r="BC135" s="13">
        <v>573.0</v>
      </c>
      <c r="BD135" s="13" t="s">
        <v>5510</v>
      </c>
      <c r="BE135" s="13" t="s">
        <v>8198</v>
      </c>
      <c r="BF135" s="52" t="str">
        <f>HYPERLINK("http://dx.doi.org/10.2193/0022-541X(2005)069[0561:SHOGSG]2.0.CO;2","http://dx.doi.org/10.2193/0022-541X(2005)069[0561:SHOGSG]2.0.CO;2")</f>
        <v>http://dx.doi.org/10.2193/0022-541X(2005)069[0561:SHOGSG]2.0.CO;2</v>
      </c>
      <c r="BG135" s="13" t="s">
        <v>5510</v>
      </c>
      <c r="BH135" s="13" t="s">
        <v>5510</v>
      </c>
      <c r="BI135" s="13">
        <v>13.0</v>
      </c>
      <c r="BJ135" s="13" t="s">
        <v>5584</v>
      </c>
      <c r="BK135" s="13" t="s">
        <v>5561</v>
      </c>
      <c r="BL135" s="13" t="s">
        <v>5585</v>
      </c>
      <c r="BM135" s="13" t="s">
        <v>8199</v>
      </c>
      <c r="BN135" s="13" t="s">
        <v>5510</v>
      </c>
      <c r="BO135" s="13" t="s">
        <v>5510</v>
      </c>
      <c r="BP135" s="13" t="s">
        <v>5510</v>
      </c>
      <c r="BQ135" s="13" t="s">
        <v>5510</v>
      </c>
      <c r="BR135" s="13" t="s">
        <v>5538</v>
      </c>
      <c r="BS135" s="13" t="s">
        <v>8200</v>
      </c>
      <c r="BT135" s="13">
        <v>23430.0</v>
      </c>
      <c r="BU135" s="13" t="s">
        <v>5540</v>
      </c>
      <c r="BV135" s="13" t="s">
        <v>4856</v>
      </c>
      <c r="BW135" s="13" t="str">
        <f>VLOOKUP($BT135,Enriched!$A$2:$E$1070,5,false)</f>
        <v>["Biological resource use"]</v>
      </c>
      <c r="BX135" s="13" t="str">
        <f>VLOOKUP($BT135,Enriched!$A$2:$E$1070,4,false)</f>
        <v>["Hunting &amp; collecting terrestrial animals"]</v>
      </c>
      <c r="BY135" s="13" t="b">
        <f>VLOOKUP(BT135,Enriched!$A$1:$AA$1070,27,falsE)</f>
        <v>0</v>
      </c>
      <c r="BZ135" s="2" t="str">
        <f>VLOOKUP(BT135,Enriched!$A$1:$AA$1070,14,falsE)</f>
        <v>level2</v>
      </c>
      <c r="CA135" s="13" t="str">
        <f>HYPERLINK("https%3A%2F%2Fwww.webofscience.com%2Fwos%2Fwoscc%2Ffull-record%2FWOS:000231203700010","View Full Record in Web of Science")</f>
        <v>View Full Record in Web of Science</v>
      </c>
    </row>
    <row r="136" ht="12.75" customHeight="1">
      <c r="A136" s="13" t="s">
        <v>5508</v>
      </c>
      <c r="B136" s="13" t="s">
        <v>8201</v>
      </c>
      <c r="C136" s="13" t="s">
        <v>5510</v>
      </c>
      <c r="D136" s="13" t="s">
        <v>5510</v>
      </c>
      <c r="E136" s="13" t="s">
        <v>5510</v>
      </c>
      <c r="F136" s="13" t="s">
        <v>8202</v>
      </c>
      <c r="G136" s="13" t="s">
        <v>5510</v>
      </c>
      <c r="H136" s="13" t="s">
        <v>5510</v>
      </c>
      <c r="I136" s="13" t="s">
        <v>2657</v>
      </c>
      <c r="J136" s="13" t="s">
        <v>6407</v>
      </c>
      <c r="K136" s="13" t="s">
        <v>5510</v>
      </c>
      <c r="L136" s="13" t="s">
        <v>5510</v>
      </c>
      <c r="M136" s="13" t="s">
        <v>5513</v>
      </c>
      <c r="N136" s="13" t="s">
        <v>5514</v>
      </c>
      <c r="O136" s="13" t="s">
        <v>5510</v>
      </c>
      <c r="P136" s="13" t="s">
        <v>5510</v>
      </c>
      <c r="Q136" s="13" t="s">
        <v>5510</v>
      </c>
      <c r="R136" s="13" t="s">
        <v>5510</v>
      </c>
      <c r="S136" s="13" t="s">
        <v>5510</v>
      </c>
      <c r="T136" s="13" t="s">
        <v>8203</v>
      </c>
      <c r="U136" s="13" t="s">
        <v>8204</v>
      </c>
      <c r="V136" s="13" t="s">
        <v>8205</v>
      </c>
      <c r="W136" s="13" t="s">
        <v>8206</v>
      </c>
      <c r="X136" s="13" t="s">
        <v>8207</v>
      </c>
      <c r="Y136" s="13" t="s">
        <v>8208</v>
      </c>
      <c r="Z136" s="13" t="s">
        <v>8209</v>
      </c>
      <c r="AA136" s="13" t="s">
        <v>8210</v>
      </c>
      <c r="AB136" s="13" t="s">
        <v>8211</v>
      </c>
      <c r="AC136" s="13" t="s">
        <v>8212</v>
      </c>
      <c r="AD136" s="13" t="s">
        <v>8213</v>
      </c>
      <c r="AE136" s="13" t="s">
        <v>8214</v>
      </c>
      <c r="AF136" s="13" t="s">
        <v>5510</v>
      </c>
      <c r="AG136" s="13">
        <v>65.0</v>
      </c>
      <c r="AH136" s="13">
        <v>107.0</v>
      </c>
      <c r="AI136" s="13">
        <v>120.0</v>
      </c>
      <c r="AJ136" s="13">
        <v>9.0</v>
      </c>
      <c r="AK136" s="13">
        <v>69.0</v>
      </c>
      <c r="AL136" s="13" t="s">
        <v>5759</v>
      </c>
      <c r="AM136" s="13" t="s">
        <v>5760</v>
      </c>
      <c r="AN136" s="13" t="s">
        <v>5761</v>
      </c>
      <c r="AO136" s="13" t="s">
        <v>6417</v>
      </c>
      <c r="AP136" s="13" t="s">
        <v>6418</v>
      </c>
      <c r="AQ136" s="13" t="s">
        <v>5510</v>
      </c>
      <c r="AR136" s="13" t="s">
        <v>6419</v>
      </c>
      <c r="AS136" s="13" t="s">
        <v>6420</v>
      </c>
      <c r="AT136" s="13" t="s">
        <v>2514</v>
      </c>
      <c r="AU136" s="13">
        <v>2020.0</v>
      </c>
      <c r="AV136" s="13">
        <v>117.0</v>
      </c>
      <c r="AW136" s="13" t="s">
        <v>5510</v>
      </c>
      <c r="AX136" s="13" t="s">
        <v>5510</v>
      </c>
      <c r="AY136" s="13" t="s">
        <v>5510</v>
      </c>
      <c r="AZ136" s="13" t="s">
        <v>5510</v>
      </c>
      <c r="BA136" s="13" t="s">
        <v>5510</v>
      </c>
      <c r="BB136" s="13" t="s">
        <v>5510</v>
      </c>
      <c r="BC136" s="13" t="s">
        <v>5510</v>
      </c>
      <c r="BD136" s="13">
        <v>106630.0</v>
      </c>
      <c r="BE136" s="13" t="s">
        <v>8215</v>
      </c>
      <c r="BF136" s="52" t="str">
        <f>HYPERLINK("http://dx.doi.org/10.1016/j.ecolind.2020.106630","http://dx.doi.org/10.1016/j.ecolind.2020.106630")</f>
        <v>http://dx.doi.org/10.1016/j.ecolind.2020.106630</v>
      </c>
      <c r="BG136" s="13" t="s">
        <v>5510</v>
      </c>
      <c r="BH136" s="13" t="s">
        <v>5510</v>
      </c>
      <c r="BI136" s="13">
        <v>10.0</v>
      </c>
      <c r="BJ136" s="13" t="s">
        <v>6422</v>
      </c>
      <c r="BK136" s="13" t="s">
        <v>5534</v>
      </c>
      <c r="BL136" s="13" t="s">
        <v>5699</v>
      </c>
      <c r="BM136" s="13" t="s">
        <v>8216</v>
      </c>
      <c r="BN136" s="13" t="s">
        <v>5510</v>
      </c>
      <c r="BO136" s="13" t="s">
        <v>6028</v>
      </c>
      <c r="BP136" s="13" t="s">
        <v>5510</v>
      </c>
      <c r="BQ136" s="13" t="s">
        <v>5510</v>
      </c>
      <c r="BR136" s="13" t="s">
        <v>5538</v>
      </c>
      <c r="BS136" s="13" t="s">
        <v>8217</v>
      </c>
      <c r="BT136" s="13">
        <v>23602.0</v>
      </c>
      <c r="BU136" s="13" t="s">
        <v>5540</v>
      </c>
      <c r="BV136" s="13" t="s">
        <v>4856</v>
      </c>
      <c r="BW136" s="13" t="str">
        <f>VLOOKUP($BT136,Enriched!$A$2:$E$1070,5,false)</f>
        <v>["Residential &amp; commercial development", "Transportation &amp; service corridors"]</v>
      </c>
      <c r="BX136" s="13" t="str">
        <f>VLOOKUP($BT136,Enriched!$A$2:$E$1070,4,false)</f>
        <v>["Housing &amp; urban area", "Roads &amp; railroads"]</v>
      </c>
      <c r="BY136" s="13" t="b">
        <f>VLOOKUP(BT136,Enriched!$A$1:$AA$1070,27,falsE)</f>
        <v>0</v>
      </c>
      <c r="BZ136" s="2" t="str">
        <f>VLOOKUP(BT136,Enriched!$A$1:$AA$1070,14,falsE)</f>
        <v>cumulative</v>
      </c>
      <c r="CA136" s="13" t="str">
        <f>HYPERLINK("https%3A%2F%2Fwww.webofscience.com%2Fwos%2Fwoscc%2Ffull-record%2FWOS:000555551000006","View Full Record in Web of Science")</f>
        <v>View Full Record in Web of Science</v>
      </c>
    </row>
    <row r="137" ht="12.75" customHeight="1">
      <c r="A137" s="13" t="s">
        <v>5508</v>
      </c>
      <c r="B137" s="13" t="s">
        <v>8218</v>
      </c>
      <c r="C137" s="13" t="s">
        <v>5510</v>
      </c>
      <c r="D137" s="13" t="s">
        <v>5510</v>
      </c>
      <c r="E137" s="13" t="s">
        <v>5510</v>
      </c>
      <c r="F137" s="13" t="s">
        <v>8219</v>
      </c>
      <c r="G137" s="13" t="s">
        <v>5510</v>
      </c>
      <c r="H137" s="13" t="s">
        <v>5510</v>
      </c>
      <c r="I137" s="13" t="s">
        <v>2655</v>
      </c>
      <c r="J137" s="13" t="s">
        <v>6469</v>
      </c>
      <c r="K137" s="13" t="s">
        <v>5510</v>
      </c>
      <c r="L137" s="13" t="s">
        <v>5510</v>
      </c>
      <c r="M137" s="13" t="s">
        <v>5513</v>
      </c>
      <c r="N137" s="13" t="s">
        <v>5514</v>
      </c>
      <c r="O137" s="13" t="s">
        <v>5510</v>
      </c>
      <c r="P137" s="13" t="s">
        <v>5510</v>
      </c>
      <c r="Q137" s="13" t="s">
        <v>5510</v>
      </c>
      <c r="R137" s="13" t="s">
        <v>5510</v>
      </c>
      <c r="S137" s="13" t="s">
        <v>5510</v>
      </c>
      <c r="T137" s="13" t="s">
        <v>8220</v>
      </c>
      <c r="U137" s="13" t="s">
        <v>8221</v>
      </c>
      <c r="V137" s="13" t="s">
        <v>8222</v>
      </c>
      <c r="W137" s="13" t="s">
        <v>8223</v>
      </c>
      <c r="X137" s="13" t="s">
        <v>8224</v>
      </c>
      <c r="Y137" s="13" t="s">
        <v>8225</v>
      </c>
      <c r="Z137" s="13" t="s">
        <v>8226</v>
      </c>
      <c r="AA137" s="13" t="s">
        <v>8227</v>
      </c>
      <c r="AB137" s="13" t="s">
        <v>8228</v>
      </c>
      <c r="AC137" s="13" t="s">
        <v>8229</v>
      </c>
      <c r="AD137" s="13" t="s">
        <v>8229</v>
      </c>
      <c r="AE137" s="13" t="s">
        <v>8230</v>
      </c>
      <c r="AF137" s="13" t="s">
        <v>5510</v>
      </c>
      <c r="AG137" s="13">
        <v>74.0</v>
      </c>
      <c r="AH137" s="13">
        <v>40.0</v>
      </c>
      <c r="AI137" s="13">
        <v>42.0</v>
      </c>
      <c r="AJ137" s="13">
        <v>0.0</v>
      </c>
      <c r="AK137" s="13">
        <v>11.0</v>
      </c>
      <c r="AL137" s="13" t="s">
        <v>5690</v>
      </c>
      <c r="AM137" s="13" t="s">
        <v>5691</v>
      </c>
      <c r="AN137" s="13" t="s">
        <v>5692</v>
      </c>
      <c r="AO137" s="13" t="s">
        <v>6482</v>
      </c>
      <c r="AP137" s="13" t="s">
        <v>6483</v>
      </c>
      <c r="AQ137" s="13" t="s">
        <v>5510</v>
      </c>
      <c r="AR137" s="13" t="s">
        <v>6484</v>
      </c>
      <c r="AS137" s="13" t="s">
        <v>6485</v>
      </c>
      <c r="AT137" s="13" t="s">
        <v>6089</v>
      </c>
      <c r="AU137" s="13">
        <v>2021.0</v>
      </c>
      <c r="AV137" s="13">
        <v>23.0</v>
      </c>
      <c r="AW137" s="13">
        <v>3.0</v>
      </c>
      <c r="AX137" s="13" t="s">
        <v>5510</v>
      </c>
      <c r="AY137" s="13" t="s">
        <v>5510</v>
      </c>
      <c r="AZ137" s="13" t="s">
        <v>5510</v>
      </c>
      <c r="BA137" s="13" t="s">
        <v>5510</v>
      </c>
      <c r="BB137" s="13">
        <v>3562.0</v>
      </c>
      <c r="BC137" s="13">
        <v>3577.0</v>
      </c>
      <c r="BD137" s="13" t="s">
        <v>5510</v>
      </c>
      <c r="BE137" s="13" t="s">
        <v>8231</v>
      </c>
      <c r="BF137" s="52" t="str">
        <f>HYPERLINK("http://dx.doi.org/10.1007/s10668-020-00733-x","http://dx.doi.org/10.1007/s10668-020-00733-x")</f>
        <v>http://dx.doi.org/10.1007/s10668-020-00733-x</v>
      </c>
      <c r="BG137" s="13" t="s">
        <v>5510</v>
      </c>
      <c r="BH137" s="13" t="s">
        <v>8232</v>
      </c>
      <c r="BI137" s="13">
        <v>16.0</v>
      </c>
      <c r="BJ137" s="13" t="s">
        <v>6487</v>
      </c>
      <c r="BK137" s="13" t="s">
        <v>5534</v>
      </c>
      <c r="BL137" s="13" t="s">
        <v>6488</v>
      </c>
      <c r="BM137" s="13" t="s">
        <v>8233</v>
      </c>
      <c r="BN137" s="13" t="s">
        <v>5510</v>
      </c>
      <c r="BO137" s="13" t="s">
        <v>5510</v>
      </c>
      <c r="BP137" s="13" t="s">
        <v>5510</v>
      </c>
      <c r="BQ137" s="13" t="s">
        <v>5510</v>
      </c>
      <c r="BR137" s="13" t="s">
        <v>5538</v>
      </c>
      <c r="BS137" s="13" t="s">
        <v>8234</v>
      </c>
      <c r="BT137" s="13">
        <v>25297.0</v>
      </c>
      <c r="BU137" s="13" t="s">
        <v>5540</v>
      </c>
      <c r="BV137" s="13" t="s">
        <v>4856</v>
      </c>
      <c r="BW137" s="13" t="str">
        <f>VLOOKUP($BT137,Enriched!$A$2:$E$1070,5,false)</f>
        <v>["Human Intrusions &amp; Disturbance"]</v>
      </c>
      <c r="BX137" s="13" t="str">
        <f>VLOOKUP($BT137,Enriched!$A$2:$E$1070,4,false)</f>
        <v>["War, civil unrest &amp; military exercises"]</v>
      </c>
      <c r="BY137" s="13" t="b">
        <f>VLOOKUP(BT137,Enriched!$A$1:$AA$1070,27,falsE)</f>
        <v>0</v>
      </c>
      <c r="BZ137" s="2" t="str">
        <f>VLOOKUP(BT137,Enriched!$A$1:$AA$1070,14,falsE)</f>
        <v>level2</v>
      </c>
      <c r="CA137" s="13" t="str">
        <f>HYPERLINK("https%3A%2F%2Fwww.webofscience.com%2Fwos%2Fwoscc%2Ffull-record%2FWOS:000528316800003","View Full Record in Web of Science")</f>
        <v>View Full Record in Web of Science</v>
      </c>
    </row>
    <row r="138" ht="12.75" customHeight="1">
      <c r="A138" s="13" t="s">
        <v>5508</v>
      </c>
      <c r="B138" s="13" t="s">
        <v>8235</v>
      </c>
      <c r="C138" s="13" t="s">
        <v>5510</v>
      </c>
      <c r="D138" s="13" t="s">
        <v>5510</v>
      </c>
      <c r="E138" s="13" t="s">
        <v>5510</v>
      </c>
      <c r="F138" s="13" t="s">
        <v>8236</v>
      </c>
      <c r="G138" s="13" t="s">
        <v>5510</v>
      </c>
      <c r="H138" s="13" t="s">
        <v>5510</v>
      </c>
      <c r="I138" s="2" t="s">
        <v>2653</v>
      </c>
      <c r="J138" s="13" t="s">
        <v>8237</v>
      </c>
      <c r="K138" s="13" t="s">
        <v>5510</v>
      </c>
      <c r="L138" s="13" t="s">
        <v>5510</v>
      </c>
      <c r="M138" s="13" t="s">
        <v>5513</v>
      </c>
      <c r="N138" s="13" t="s">
        <v>5514</v>
      </c>
      <c r="O138" s="13" t="s">
        <v>5510</v>
      </c>
      <c r="P138" s="13" t="s">
        <v>5510</v>
      </c>
      <c r="Q138" s="13" t="s">
        <v>5510</v>
      </c>
      <c r="R138" s="13" t="s">
        <v>5510</v>
      </c>
      <c r="S138" s="13" t="s">
        <v>5510</v>
      </c>
      <c r="T138" s="13" t="s">
        <v>8238</v>
      </c>
      <c r="U138" s="13" t="s">
        <v>8239</v>
      </c>
      <c r="V138" s="13" t="s">
        <v>8240</v>
      </c>
      <c r="W138" s="13" t="s">
        <v>8241</v>
      </c>
      <c r="X138" s="13" t="s">
        <v>8242</v>
      </c>
      <c r="Y138" s="13" t="s">
        <v>8243</v>
      </c>
      <c r="Z138" s="13" t="s">
        <v>8244</v>
      </c>
      <c r="AA138" s="13" t="s">
        <v>8245</v>
      </c>
      <c r="AB138" s="13" t="s">
        <v>8246</v>
      </c>
      <c r="AC138" s="13" t="s">
        <v>8247</v>
      </c>
      <c r="AD138" s="13" t="s">
        <v>8248</v>
      </c>
      <c r="AE138" s="13" t="s">
        <v>8249</v>
      </c>
      <c r="AF138" s="13" t="s">
        <v>5510</v>
      </c>
      <c r="AG138" s="13">
        <v>40.0</v>
      </c>
      <c r="AH138" s="13">
        <v>9.0</v>
      </c>
      <c r="AI138" s="13">
        <v>11.0</v>
      </c>
      <c r="AJ138" s="13">
        <v>0.0</v>
      </c>
      <c r="AK138" s="13">
        <v>13.0</v>
      </c>
      <c r="AL138" s="13" t="s">
        <v>5527</v>
      </c>
      <c r="AM138" s="13" t="s">
        <v>5528</v>
      </c>
      <c r="AN138" s="13" t="s">
        <v>5529</v>
      </c>
      <c r="AO138" s="13" t="s">
        <v>5510</v>
      </c>
      <c r="AP138" s="13" t="s">
        <v>8250</v>
      </c>
      <c r="AQ138" s="13" t="s">
        <v>5510</v>
      </c>
      <c r="AR138" s="13" t="s">
        <v>8251</v>
      </c>
      <c r="AS138" s="13" t="s">
        <v>8252</v>
      </c>
      <c r="AT138" s="13" t="s">
        <v>5582</v>
      </c>
      <c r="AU138" s="13">
        <v>2019.0</v>
      </c>
      <c r="AV138" s="13">
        <v>1.0</v>
      </c>
      <c r="AW138" s="13">
        <v>1.0</v>
      </c>
      <c r="AX138" s="13" t="s">
        <v>5510</v>
      </c>
      <c r="AY138" s="13" t="s">
        <v>5510</v>
      </c>
      <c r="AZ138" s="13" t="s">
        <v>5510</v>
      </c>
      <c r="BA138" s="13" t="s">
        <v>5510</v>
      </c>
      <c r="BB138" s="13" t="s">
        <v>5510</v>
      </c>
      <c r="BC138" s="13" t="s">
        <v>5510</v>
      </c>
      <c r="BD138" s="13" t="s">
        <v>8253</v>
      </c>
      <c r="BE138" s="13" t="s">
        <v>8254</v>
      </c>
      <c r="BF138" s="52" t="str">
        <f>HYPERLINK("http://dx.doi.org/10.1002/csp2.3","http://dx.doi.org/10.1002/csp2.3")</f>
        <v>http://dx.doi.org/10.1002/csp2.3</v>
      </c>
      <c r="BG138" s="13" t="s">
        <v>5510</v>
      </c>
      <c r="BH138" s="13" t="s">
        <v>5510</v>
      </c>
      <c r="BI138" s="13">
        <v>14.0</v>
      </c>
      <c r="BJ138" s="13" t="s">
        <v>5648</v>
      </c>
      <c r="BK138" s="13" t="s">
        <v>5561</v>
      </c>
      <c r="BL138" s="13" t="s">
        <v>5650</v>
      </c>
      <c r="BM138" s="13" t="s">
        <v>8255</v>
      </c>
      <c r="BN138" s="13" t="s">
        <v>5510</v>
      </c>
      <c r="BO138" s="13" t="s">
        <v>5537</v>
      </c>
      <c r="BP138" s="13" t="s">
        <v>5510</v>
      </c>
      <c r="BQ138" s="13" t="s">
        <v>5510</v>
      </c>
      <c r="BR138" s="13" t="s">
        <v>5538</v>
      </c>
      <c r="BS138" s="13" t="s">
        <v>8256</v>
      </c>
      <c r="BT138" s="13">
        <v>24262.0</v>
      </c>
      <c r="BU138" s="13" t="s">
        <v>5540</v>
      </c>
      <c r="BV138" s="13" t="s">
        <v>4864</v>
      </c>
      <c r="BW138" s="13" t="str">
        <f>VLOOKUP($BT138,Enriched!$A$2:$E$1070,5,false)</f>
        <v>["Biological resource use"]</v>
      </c>
      <c r="BX138" s="13" t="str">
        <f>VLOOKUP($BT138,Enriched!$A$2:$E$1070,4,false)</f>
        <v>["Fishing &amp; harvesting aquatic resources"]</v>
      </c>
      <c r="BY138" s="13" t="b">
        <f>VLOOKUP(BT138,Enriched!$A$1:$AA$1070,27,falsE)</f>
        <v>0</v>
      </c>
      <c r="BZ138" s="2" t="str">
        <f>VLOOKUP(BT138,Enriched!$A$1:$AA$1070,14,falsE)</f>
        <v>level2</v>
      </c>
      <c r="CA138" s="13" t="str">
        <f>HYPERLINK("https%3A%2F%2Fwww.webofscience.com%2Fwos%2Fwoscc%2Ffull-record%2FWOS:000576942100003","View Full Record in Web of Science")</f>
        <v>View Full Record in Web of Science</v>
      </c>
    </row>
    <row r="139" ht="12.75" customHeight="1">
      <c r="A139" s="13" t="s">
        <v>5508</v>
      </c>
      <c r="B139" s="13" t="s">
        <v>8257</v>
      </c>
      <c r="C139" s="13" t="s">
        <v>5510</v>
      </c>
      <c r="D139" s="13" t="s">
        <v>5510</v>
      </c>
      <c r="E139" s="13" t="s">
        <v>5510</v>
      </c>
      <c r="F139" s="13" t="s">
        <v>8258</v>
      </c>
      <c r="G139" s="13" t="s">
        <v>5510</v>
      </c>
      <c r="H139" s="13" t="s">
        <v>5510</v>
      </c>
      <c r="I139" s="13" t="s">
        <v>8259</v>
      </c>
      <c r="J139" s="13" t="s">
        <v>5963</v>
      </c>
      <c r="K139" s="13" t="s">
        <v>5510</v>
      </c>
      <c r="L139" s="13" t="s">
        <v>5510</v>
      </c>
      <c r="M139" s="13" t="s">
        <v>5513</v>
      </c>
      <c r="N139" s="13" t="s">
        <v>5514</v>
      </c>
      <c r="O139" s="13" t="s">
        <v>5510</v>
      </c>
      <c r="P139" s="13" t="s">
        <v>5510</v>
      </c>
      <c r="Q139" s="13" t="s">
        <v>5510</v>
      </c>
      <c r="R139" s="13" t="s">
        <v>5510</v>
      </c>
      <c r="S139" s="13" t="s">
        <v>5510</v>
      </c>
      <c r="T139" s="13" t="s">
        <v>8260</v>
      </c>
      <c r="U139" s="13" t="s">
        <v>8261</v>
      </c>
      <c r="V139" s="13" t="s">
        <v>8262</v>
      </c>
      <c r="W139" s="13" t="s">
        <v>8263</v>
      </c>
      <c r="X139" s="13" t="s">
        <v>8264</v>
      </c>
      <c r="Y139" s="13" t="s">
        <v>8265</v>
      </c>
      <c r="Z139" s="13" t="s">
        <v>8266</v>
      </c>
      <c r="AA139" s="13" t="s">
        <v>8267</v>
      </c>
      <c r="AB139" s="13" t="s">
        <v>8268</v>
      </c>
      <c r="AC139" s="13" t="s">
        <v>5510</v>
      </c>
      <c r="AD139" s="13" t="s">
        <v>5510</v>
      </c>
      <c r="AE139" s="13" t="s">
        <v>5510</v>
      </c>
      <c r="AF139" s="13" t="s">
        <v>5510</v>
      </c>
      <c r="AG139" s="13">
        <v>58.0</v>
      </c>
      <c r="AH139" s="13">
        <v>33.0</v>
      </c>
      <c r="AI139" s="13">
        <v>44.0</v>
      </c>
      <c r="AJ139" s="13">
        <v>1.0</v>
      </c>
      <c r="AK139" s="13">
        <v>55.0</v>
      </c>
      <c r="AL139" s="13" t="s">
        <v>5690</v>
      </c>
      <c r="AM139" s="13" t="s">
        <v>5691</v>
      </c>
      <c r="AN139" s="13" t="s">
        <v>5692</v>
      </c>
      <c r="AO139" s="13" t="s">
        <v>5975</v>
      </c>
      <c r="AP139" s="13" t="s">
        <v>8269</v>
      </c>
      <c r="AQ139" s="13" t="s">
        <v>5510</v>
      </c>
      <c r="AR139" s="13" t="s">
        <v>5976</v>
      </c>
      <c r="AS139" s="13" t="s">
        <v>5977</v>
      </c>
      <c r="AT139" s="13" t="s">
        <v>6828</v>
      </c>
      <c r="AU139" s="13">
        <v>2016.0</v>
      </c>
      <c r="AV139" s="13">
        <v>188.0</v>
      </c>
      <c r="AW139" s="13">
        <v>4.0</v>
      </c>
      <c r="AX139" s="13" t="s">
        <v>5510</v>
      </c>
      <c r="AY139" s="13" t="s">
        <v>5510</v>
      </c>
      <c r="AZ139" s="13" t="s">
        <v>5510</v>
      </c>
      <c r="BA139" s="13" t="s">
        <v>5510</v>
      </c>
      <c r="BB139" s="13" t="s">
        <v>5510</v>
      </c>
      <c r="BC139" s="13" t="s">
        <v>5510</v>
      </c>
      <c r="BD139" s="13">
        <v>203.0</v>
      </c>
      <c r="BE139" s="13" t="s">
        <v>8270</v>
      </c>
      <c r="BF139" s="52" t="str">
        <f>HYPERLINK("http://dx.doi.org/10.1007/s10661-016-5207-5","http://dx.doi.org/10.1007/s10661-016-5207-5")</f>
        <v>http://dx.doi.org/10.1007/s10661-016-5207-5</v>
      </c>
      <c r="BG139" s="13" t="s">
        <v>5510</v>
      </c>
      <c r="BH139" s="13" t="s">
        <v>5510</v>
      </c>
      <c r="BI139" s="13">
        <v>17.0</v>
      </c>
      <c r="BJ139" s="13" t="s">
        <v>5768</v>
      </c>
      <c r="BK139" s="13" t="s">
        <v>5561</v>
      </c>
      <c r="BL139" s="13" t="s">
        <v>5535</v>
      </c>
      <c r="BM139" s="13" t="s">
        <v>8271</v>
      </c>
      <c r="BN139" s="13">
        <v>2.6935734E7</v>
      </c>
      <c r="BO139" s="13" t="s">
        <v>5510</v>
      </c>
      <c r="BP139" s="13" t="s">
        <v>5510</v>
      </c>
      <c r="BQ139" s="13" t="s">
        <v>5510</v>
      </c>
      <c r="BR139" s="13" t="s">
        <v>5538</v>
      </c>
      <c r="BS139" s="13" t="s">
        <v>8272</v>
      </c>
      <c r="BT139" s="13">
        <v>24291.0</v>
      </c>
      <c r="BU139" s="13" t="s">
        <v>5540</v>
      </c>
      <c r="BV139" s="13" t="s">
        <v>4852</v>
      </c>
      <c r="BW139" s="13" t="str">
        <f>VLOOKUP($BT139,Enriched!$A$2:$E$1070,5,false)</f>
        <v>["Residential &amp; Commercial Development", "Agriculture &amp; Aquaculture"]</v>
      </c>
      <c r="BX139" s="13" t="str">
        <f>VLOOKUP($BT139,Enriched!$A$2:$E$1070,4,false)</f>
        <v>["Annual &amp; perennial non-timber crops"]</v>
      </c>
      <c r="BY139" s="13" t="b">
        <f>VLOOKUP(BT139,Enriched!$A$1:$AA$1070,27,falsE)</f>
        <v>1</v>
      </c>
      <c r="BZ139" s="2" t="str">
        <f>VLOOKUP(BT139,Enriched!$A$1:$AA$1070,14,falsE)</f>
        <v>level2</v>
      </c>
      <c r="CA139" s="13" t="str">
        <f>HYPERLINK("https%3A%2F%2Fwww.webofscience.com%2Fwos%2Fwoscc%2Ffull-record%2FWOS:000372750100002","View Full Record in Web of Science")</f>
        <v>View Full Record in Web of Science</v>
      </c>
    </row>
    <row r="140" ht="12.75" customHeight="1">
      <c r="A140" s="13" t="s">
        <v>5508</v>
      </c>
      <c r="B140" s="13" t="s">
        <v>8273</v>
      </c>
      <c r="C140" s="13" t="s">
        <v>5510</v>
      </c>
      <c r="D140" s="13" t="s">
        <v>5510</v>
      </c>
      <c r="E140" s="13" t="s">
        <v>5510</v>
      </c>
      <c r="F140" s="13" t="s">
        <v>8274</v>
      </c>
      <c r="G140" s="13" t="s">
        <v>5510</v>
      </c>
      <c r="H140" s="13" t="s">
        <v>5510</v>
      </c>
      <c r="I140" s="13" t="s">
        <v>2649</v>
      </c>
      <c r="J140" s="13" t="s">
        <v>8275</v>
      </c>
      <c r="K140" s="13" t="s">
        <v>5510</v>
      </c>
      <c r="L140" s="13" t="s">
        <v>5510</v>
      </c>
      <c r="M140" s="13" t="s">
        <v>5513</v>
      </c>
      <c r="N140" s="13" t="s">
        <v>5514</v>
      </c>
      <c r="O140" s="13" t="s">
        <v>5510</v>
      </c>
      <c r="P140" s="13" t="s">
        <v>5510</v>
      </c>
      <c r="Q140" s="13" t="s">
        <v>5510</v>
      </c>
      <c r="R140" s="13" t="s">
        <v>5510</v>
      </c>
      <c r="S140" s="13" t="s">
        <v>5510</v>
      </c>
      <c r="T140" s="13" t="s">
        <v>8276</v>
      </c>
      <c r="U140" s="13" t="s">
        <v>8277</v>
      </c>
      <c r="V140" s="13" t="s">
        <v>8278</v>
      </c>
      <c r="W140" s="13" t="s">
        <v>8279</v>
      </c>
      <c r="X140" s="13" t="s">
        <v>8280</v>
      </c>
      <c r="Y140" s="13" t="s">
        <v>8281</v>
      </c>
      <c r="Z140" s="13" t="s">
        <v>8282</v>
      </c>
      <c r="AA140" s="13" t="s">
        <v>8283</v>
      </c>
      <c r="AB140" s="13" t="s">
        <v>8284</v>
      </c>
      <c r="AC140" s="13" t="s">
        <v>8285</v>
      </c>
      <c r="AD140" s="13" t="s">
        <v>8285</v>
      </c>
      <c r="AE140" s="13" t="s">
        <v>8286</v>
      </c>
      <c r="AF140" s="13" t="s">
        <v>5510</v>
      </c>
      <c r="AG140" s="13">
        <v>56.0</v>
      </c>
      <c r="AH140" s="13">
        <v>5.0</v>
      </c>
      <c r="AI140" s="13">
        <v>5.0</v>
      </c>
      <c r="AJ140" s="13">
        <v>3.0</v>
      </c>
      <c r="AK140" s="13">
        <v>16.0</v>
      </c>
      <c r="AL140" s="13" t="s">
        <v>5759</v>
      </c>
      <c r="AM140" s="13" t="s">
        <v>5760</v>
      </c>
      <c r="AN140" s="13" t="s">
        <v>8287</v>
      </c>
      <c r="AO140" s="13" t="s">
        <v>8288</v>
      </c>
      <c r="AP140" s="13" t="s">
        <v>8289</v>
      </c>
      <c r="AQ140" s="13" t="s">
        <v>5510</v>
      </c>
      <c r="AR140" s="13" t="s">
        <v>8290</v>
      </c>
      <c r="AS140" s="13" t="s">
        <v>8291</v>
      </c>
      <c r="AT140" s="13" t="s">
        <v>8292</v>
      </c>
      <c r="AU140" s="13">
        <v>2020.0</v>
      </c>
      <c r="AV140" s="13">
        <v>465.0</v>
      </c>
      <c r="AW140" s="13" t="s">
        <v>5510</v>
      </c>
      <c r="AX140" s="13" t="s">
        <v>5510</v>
      </c>
      <c r="AY140" s="13" t="s">
        <v>5510</v>
      </c>
      <c r="AZ140" s="13" t="s">
        <v>5510</v>
      </c>
      <c r="BA140" s="13" t="s">
        <v>5510</v>
      </c>
      <c r="BB140" s="13" t="s">
        <v>5510</v>
      </c>
      <c r="BC140" s="13" t="s">
        <v>5510</v>
      </c>
      <c r="BD140" s="13">
        <v>118102.0</v>
      </c>
      <c r="BE140" s="13" t="s">
        <v>8293</v>
      </c>
      <c r="BF140" s="52" t="str">
        <f>HYPERLINK("http://dx.doi.org/10.1016/j.foreco.2020.118102","http://dx.doi.org/10.1016/j.foreco.2020.118102")</f>
        <v>http://dx.doi.org/10.1016/j.foreco.2020.118102</v>
      </c>
      <c r="BG140" s="13" t="s">
        <v>5510</v>
      </c>
      <c r="BH140" s="13" t="s">
        <v>5510</v>
      </c>
      <c r="BI140" s="13">
        <v>10.0</v>
      </c>
      <c r="BJ140" s="13" t="s">
        <v>8294</v>
      </c>
      <c r="BK140" s="13" t="s">
        <v>5561</v>
      </c>
      <c r="BL140" s="13" t="s">
        <v>8294</v>
      </c>
      <c r="BM140" s="13" t="s">
        <v>8295</v>
      </c>
      <c r="BN140" s="13" t="s">
        <v>5510</v>
      </c>
      <c r="BO140" s="13" t="s">
        <v>5510</v>
      </c>
      <c r="BP140" s="13" t="s">
        <v>5510</v>
      </c>
      <c r="BQ140" s="13" t="s">
        <v>5510</v>
      </c>
      <c r="BR140" s="13" t="s">
        <v>5538</v>
      </c>
      <c r="BS140" s="13" t="s">
        <v>8296</v>
      </c>
      <c r="BT140" s="13">
        <v>24913.0</v>
      </c>
      <c r="BU140" s="13" t="s">
        <v>5540</v>
      </c>
      <c r="BV140" s="13" t="s">
        <v>4856</v>
      </c>
      <c r="BW140" s="13" t="str">
        <f>VLOOKUP($BT140,Enriched!$A$2:$E$1070,5,false)</f>
        <v>["Invasive &amp; other problematic species, genes &amp; diseases"]</v>
      </c>
      <c r="BX140" s="13" t="str">
        <f>VLOOKUP($BT140,Enriched!$A$2:$E$1070,4,false)</f>
        <v>["Invasive non-native/alien species/diseases"]</v>
      </c>
      <c r="BY140" s="13" t="b">
        <f>VLOOKUP(BT140,Enriched!$A$1:$AA$1070,27,falsE)</f>
        <v>0</v>
      </c>
      <c r="BZ140" s="2" t="str">
        <f>VLOOKUP(BT140,Enriched!$A$1:$AA$1070,14,falsE)</f>
        <v>level2</v>
      </c>
      <c r="CA140" s="13" t="str">
        <f>HYPERLINK("https%3A%2F%2Fwww.webofscience.com%2Fwos%2Fwoscc%2Ffull-record%2FWOS:000528192200024","View Full Record in Web of Science")</f>
        <v>View Full Record in Web of Science</v>
      </c>
    </row>
    <row r="141" ht="12.75" customHeight="1">
      <c r="A141" s="13" t="s">
        <v>5508</v>
      </c>
      <c r="B141" s="13" t="s">
        <v>8297</v>
      </c>
      <c r="C141" s="13" t="s">
        <v>5510</v>
      </c>
      <c r="D141" s="13" t="s">
        <v>5510</v>
      </c>
      <c r="E141" s="13" t="s">
        <v>5510</v>
      </c>
      <c r="F141" s="13" t="s">
        <v>8298</v>
      </c>
      <c r="G141" s="13" t="s">
        <v>5510</v>
      </c>
      <c r="H141" s="13" t="s">
        <v>5510</v>
      </c>
      <c r="I141" s="13" t="s">
        <v>2647</v>
      </c>
      <c r="J141" s="13" t="s">
        <v>5543</v>
      </c>
      <c r="K141" s="13" t="s">
        <v>5510</v>
      </c>
      <c r="L141" s="13" t="s">
        <v>5510</v>
      </c>
      <c r="M141" s="13" t="s">
        <v>5513</v>
      </c>
      <c r="N141" s="13" t="s">
        <v>5514</v>
      </c>
      <c r="O141" s="13" t="s">
        <v>5510</v>
      </c>
      <c r="P141" s="13" t="s">
        <v>5510</v>
      </c>
      <c r="Q141" s="13" t="s">
        <v>5510</v>
      </c>
      <c r="R141" s="13" t="s">
        <v>5510</v>
      </c>
      <c r="S141" s="13" t="s">
        <v>5510</v>
      </c>
      <c r="T141" s="13" t="s">
        <v>5510</v>
      </c>
      <c r="U141" s="13" t="s">
        <v>8299</v>
      </c>
      <c r="V141" s="13" t="s">
        <v>8300</v>
      </c>
      <c r="W141" s="13" t="s">
        <v>8301</v>
      </c>
      <c r="X141" s="13" t="s">
        <v>8302</v>
      </c>
      <c r="Y141" s="13" t="s">
        <v>8303</v>
      </c>
      <c r="Z141" s="13" t="s">
        <v>8304</v>
      </c>
      <c r="AA141" s="13" t="s">
        <v>8305</v>
      </c>
      <c r="AB141" s="13" t="s">
        <v>8306</v>
      </c>
      <c r="AC141" s="13" t="s">
        <v>5510</v>
      </c>
      <c r="AD141" s="13" t="s">
        <v>5510</v>
      </c>
      <c r="AE141" s="13" t="s">
        <v>5510</v>
      </c>
      <c r="AF141" s="13" t="s">
        <v>5510</v>
      </c>
      <c r="AG141" s="13">
        <v>44.0</v>
      </c>
      <c r="AH141" s="13">
        <v>19.0</v>
      </c>
      <c r="AI141" s="13">
        <v>21.0</v>
      </c>
      <c r="AJ141" s="13">
        <v>1.0</v>
      </c>
      <c r="AK141" s="13">
        <v>27.0</v>
      </c>
      <c r="AL141" s="13" t="s">
        <v>5552</v>
      </c>
      <c r="AM141" s="13" t="s">
        <v>5553</v>
      </c>
      <c r="AN141" s="13" t="s">
        <v>5554</v>
      </c>
      <c r="AO141" s="13" t="s">
        <v>5555</v>
      </c>
      <c r="AP141" s="13" t="s">
        <v>5510</v>
      </c>
      <c r="AQ141" s="13" t="s">
        <v>5510</v>
      </c>
      <c r="AR141" s="13" t="s">
        <v>5543</v>
      </c>
      <c r="AS141" s="13" t="s">
        <v>5556</v>
      </c>
      <c r="AT141" s="13" t="s">
        <v>8307</v>
      </c>
      <c r="AU141" s="13">
        <v>2013.0</v>
      </c>
      <c r="AV141" s="13">
        <v>8.0</v>
      </c>
      <c r="AW141" s="13">
        <v>7.0</v>
      </c>
      <c r="AX141" s="13" t="s">
        <v>5510</v>
      </c>
      <c r="AY141" s="13" t="s">
        <v>5510</v>
      </c>
      <c r="AZ141" s="13" t="s">
        <v>5510</v>
      </c>
      <c r="BA141" s="13" t="s">
        <v>5510</v>
      </c>
      <c r="BB141" s="13" t="s">
        <v>5510</v>
      </c>
      <c r="BC141" s="13" t="s">
        <v>5510</v>
      </c>
      <c r="BD141" s="13" t="s">
        <v>8308</v>
      </c>
      <c r="BE141" s="13" t="s">
        <v>8309</v>
      </c>
      <c r="BF141" s="52" t="str">
        <f>HYPERLINK("http://dx.doi.org/10.1371/journal.pone.0071179","http://dx.doi.org/10.1371/journal.pone.0071179")</f>
        <v>http://dx.doi.org/10.1371/journal.pone.0071179</v>
      </c>
      <c r="BG141" s="13" t="s">
        <v>5510</v>
      </c>
      <c r="BH141" s="13" t="s">
        <v>5510</v>
      </c>
      <c r="BI141" s="13">
        <v>7.0</v>
      </c>
      <c r="BJ141" s="13" t="s">
        <v>5560</v>
      </c>
      <c r="BK141" s="13" t="s">
        <v>5561</v>
      </c>
      <c r="BL141" s="13" t="s">
        <v>5562</v>
      </c>
      <c r="BM141" s="13" t="s">
        <v>8310</v>
      </c>
      <c r="BN141" s="13">
        <v>2.3936262E7</v>
      </c>
      <c r="BO141" s="13" t="s">
        <v>5564</v>
      </c>
      <c r="BP141" s="13" t="s">
        <v>5510</v>
      </c>
      <c r="BQ141" s="13" t="s">
        <v>5510</v>
      </c>
      <c r="BR141" s="13" t="s">
        <v>5538</v>
      </c>
      <c r="BS141" s="13" t="s">
        <v>8311</v>
      </c>
      <c r="BT141" s="13">
        <v>24796.0</v>
      </c>
      <c r="BU141" s="13" t="s">
        <v>5540</v>
      </c>
      <c r="BV141" s="13" t="s">
        <v>4856</v>
      </c>
      <c r="BW141" s="13" t="str">
        <f>VLOOKUP($BT141,Enriched!$A$2:$E$1070,5,false)</f>
        <v>["Biological resource use"]</v>
      </c>
      <c r="BX141" s="13" t="str">
        <f>VLOOKUP($BT141,Enriched!$A$2:$E$1070,4,false)</f>
        <v>["Hunting &amp; collecting terrestrial animals"]</v>
      </c>
      <c r="BY141" s="13" t="b">
        <f>VLOOKUP(BT141,Enriched!$A$1:$AA$1070,27,falsE)</f>
        <v>0</v>
      </c>
      <c r="BZ141" s="2" t="str">
        <f>VLOOKUP(BT141,Enriched!$A$1:$AA$1070,14,falsE)</f>
        <v>level2</v>
      </c>
      <c r="CA141" s="13" t="str">
        <f>HYPERLINK("https%3A%2F%2Fwww.webofscience.com%2Fwos%2Fwoscc%2Ffull-record%2FWOS:000323114200115","View Full Record in Web of Science")</f>
        <v>View Full Record in Web of Science</v>
      </c>
    </row>
    <row r="142" ht="12.75" customHeight="1">
      <c r="A142" s="13" t="s">
        <v>5508</v>
      </c>
      <c r="B142" s="13" t="s">
        <v>8312</v>
      </c>
      <c r="C142" s="13" t="s">
        <v>5510</v>
      </c>
      <c r="D142" s="13" t="s">
        <v>5510</v>
      </c>
      <c r="E142" s="13" t="s">
        <v>5510</v>
      </c>
      <c r="F142" s="13" t="s">
        <v>8313</v>
      </c>
      <c r="G142" s="13" t="s">
        <v>5510</v>
      </c>
      <c r="H142" s="13" t="s">
        <v>5510</v>
      </c>
      <c r="I142" s="13" t="s">
        <v>2644</v>
      </c>
      <c r="J142" s="13" t="s">
        <v>5919</v>
      </c>
      <c r="K142" s="13" t="s">
        <v>5510</v>
      </c>
      <c r="L142" s="13" t="s">
        <v>5510</v>
      </c>
      <c r="M142" s="13" t="s">
        <v>5513</v>
      </c>
      <c r="N142" s="13" t="s">
        <v>5514</v>
      </c>
      <c r="O142" s="13" t="s">
        <v>5510</v>
      </c>
      <c r="P142" s="13" t="s">
        <v>5510</v>
      </c>
      <c r="Q142" s="13" t="s">
        <v>5510</v>
      </c>
      <c r="R142" s="13" t="s">
        <v>5510</v>
      </c>
      <c r="S142" s="13" t="s">
        <v>5510</v>
      </c>
      <c r="T142" s="13" t="s">
        <v>8314</v>
      </c>
      <c r="U142" s="13" t="s">
        <v>8315</v>
      </c>
      <c r="V142" s="13" t="s">
        <v>8316</v>
      </c>
      <c r="W142" s="13" t="s">
        <v>8317</v>
      </c>
      <c r="X142" s="13" t="s">
        <v>8318</v>
      </c>
      <c r="Y142" s="13" t="s">
        <v>8319</v>
      </c>
      <c r="Z142" s="13" t="s">
        <v>8320</v>
      </c>
      <c r="AA142" s="13" t="s">
        <v>8321</v>
      </c>
      <c r="AB142" s="13" t="s">
        <v>8322</v>
      </c>
      <c r="AC142" s="13" t="s">
        <v>8323</v>
      </c>
      <c r="AD142" s="13" t="s">
        <v>8324</v>
      </c>
      <c r="AE142" s="13" t="s">
        <v>8325</v>
      </c>
      <c r="AF142" s="13" t="s">
        <v>5510</v>
      </c>
      <c r="AG142" s="13">
        <v>62.0</v>
      </c>
      <c r="AH142" s="13">
        <v>35.0</v>
      </c>
      <c r="AI142" s="13">
        <v>38.0</v>
      </c>
      <c r="AJ142" s="13">
        <v>0.0</v>
      </c>
      <c r="AK142" s="13">
        <v>29.0</v>
      </c>
      <c r="AL142" s="13" t="s">
        <v>5931</v>
      </c>
      <c r="AM142" s="13" t="s">
        <v>5932</v>
      </c>
      <c r="AN142" s="13" t="s">
        <v>5933</v>
      </c>
      <c r="AO142" s="13" t="s">
        <v>5934</v>
      </c>
      <c r="AP142" s="13" t="s">
        <v>5935</v>
      </c>
      <c r="AQ142" s="13" t="s">
        <v>5510</v>
      </c>
      <c r="AR142" s="13" t="s">
        <v>5936</v>
      </c>
      <c r="AS142" s="13" t="s">
        <v>5937</v>
      </c>
      <c r="AT142" s="13" t="s">
        <v>5978</v>
      </c>
      <c r="AU142" s="13">
        <v>2009.0</v>
      </c>
      <c r="AV142" s="13">
        <v>142.0</v>
      </c>
      <c r="AW142" s="13">
        <v>12.0</v>
      </c>
      <c r="AX142" s="13" t="s">
        <v>5510</v>
      </c>
      <c r="AY142" s="13" t="s">
        <v>5510</v>
      </c>
      <c r="AZ142" s="13" t="s">
        <v>5510</v>
      </c>
      <c r="BA142" s="13" t="s">
        <v>5510</v>
      </c>
      <c r="BB142" s="13">
        <v>2962.0</v>
      </c>
      <c r="BC142" s="13">
        <v>2972.0</v>
      </c>
      <c r="BD142" s="13" t="s">
        <v>5510</v>
      </c>
      <c r="BE142" s="13" t="s">
        <v>8326</v>
      </c>
      <c r="BF142" s="52" t="str">
        <f>HYPERLINK("http://dx.doi.org/10.1016/j.biocon.2009.07.025","http://dx.doi.org/10.1016/j.biocon.2009.07.025")</f>
        <v>http://dx.doi.org/10.1016/j.biocon.2009.07.025</v>
      </c>
      <c r="BG142" s="13" t="s">
        <v>5510</v>
      </c>
      <c r="BH142" s="13" t="s">
        <v>5510</v>
      </c>
      <c r="BI142" s="13">
        <v>11.0</v>
      </c>
      <c r="BJ142" s="13" t="s">
        <v>5698</v>
      </c>
      <c r="BK142" s="13" t="s">
        <v>5561</v>
      </c>
      <c r="BL142" s="13" t="s">
        <v>5699</v>
      </c>
      <c r="BM142" s="13" t="s">
        <v>8327</v>
      </c>
      <c r="BN142" s="13" t="s">
        <v>5510</v>
      </c>
      <c r="BO142" s="13" t="s">
        <v>5510</v>
      </c>
      <c r="BP142" s="13" t="s">
        <v>5510</v>
      </c>
      <c r="BQ142" s="13" t="s">
        <v>5510</v>
      </c>
      <c r="BR142" s="13" t="s">
        <v>5538</v>
      </c>
      <c r="BS142" s="13" t="s">
        <v>8328</v>
      </c>
      <c r="BT142" s="13">
        <v>24206.0</v>
      </c>
      <c r="BU142" s="13" t="s">
        <v>5540</v>
      </c>
      <c r="BV142" s="13" t="s">
        <v>4864</v>
      </c>
      <c r="BW142" s="13" t="str">
        <f>VLOOKUP($BT142,Enriched!$A$2:$E$1070,5,false)</f>
        <v>["Biological resource use"]</v>
      </c>
      <c r="BX142" s="13" t="str">
        <f>VLOOKUP($BT142,Enriched!$A$2:$E$1070,4,false)</f>
        <v>["Fishing &amp; harvesting aquatic resources"]</v>
      </c>
      <c r="BY142" s="13" t="b">
        <f>VLOOKUP(BT142,Enriched!$A$1:$AA$1070,27,falsE)</f>
        <v>0</v>
      </c>
      <c r="BZ142" s="2" t="str">
        <f>VLOOKUP(BT142,Enriched!$A$1:$AA$1070,14,falsE)</f>
        <v>level2</v>
      </c>
      <c r="CA142" s="13" t="str">
        <f>HYPERLINK("https%3A%2F%2Fwww.webofscience.com%2Fwos%2Fwoscc%2Ffull-record%2FWOS:000272100100018","View Full Record in Web of Science")</f>
        <v>View Full Record in Web of Science</v>
      </c>
    </row>
    <row r="143" ht="12.75" customHeight="1">
      <c r="A143" s="13" t="s">
        <v>5508</v>
      </c>
      <c r="B143" s="13" t="s">
        <v>8329</v>
      </c>
      <c r="C143" s="13" t="s">
        <v>5510</v>
      </c>
      <c r="D143" s="13" t="s">
        <v>5510</v>
      </c>
      <c r="E143" s="13" t="s">
        <v>5510</v>
      </c>
      <c r="F143" s="13" t="s">
        <v>8330</v>
      </c>
      <c r="G143" s="13" t="s">
        <v>5510</v>
      </c>
      <c r="H143" s="13" t="s">
        <v>5510</v>
      </c>
      <c r="I143" s="13" t="s">
        <v>2641</v>
      </c>
      <c r="J143" s="13" t="s">
        <v>8331</v>
      </c>
      <c r="K143" s="13" t="s">
        <v>5510</v>
      </c>
      <c r="L143" s="13" t="s">
        <v>5510</v>
      </c>
      <c r="M143" s="13" t="s">
        <v>5513</v>
      </c>
      <c r="N143" s="13" t="s">
        <v>5514</v>
      </c>
      <c r="O143" s="13" t="s">
        <v>5510</v>
      </c>
      <c r="P143" s="13" t="s">
        <v>5510</v>
      </c>
      <c r="Q143" s="13" t="s">
        <v>5510</v>
      </c>
      <c r="R143" s="13" t="s">
        <v>5510</v>
      </c>
      <c r="S143" s="13" t="s">
        <v>5510</v>
      </c>
      <c r="T143" s="13" t="s">
        <v>8332</v>
      </c>
      <c r="U143" s="13" t="s">
        <v>8333</v>
      </c>
      <c r="V143" s="13" t="s">
        <v>8334</v>
      </c>
      <c r="W143" s="13" t="s">
        <v>8335</v>
      </c>
      <c r="X143" s="13" t="s">
        <v>8336</v>
      </c>
      <c r="Y143" s="13" t="s">
        <v>8337</v>
      </c>
      <c r="Z143" s="13" t="s">
        <v>8338</v>
      </c>
      <c r="AA143" s="13" t="s">
        <v>8339</v>
      </c>
      <c r="AB143" s="13" t="s">
        <v>5510</v>
      </c>
      <c r="AC143" s="13" t="s">
        <v>8340</v>
      </c>
      <c r="AD143" s="13" t="s">
        <v>8341</v>
      </c>
      <c r="AE143" s="13" t="s">
        <v>8342</v>
      </c>
      <c r="AF143" s="13" t="s">
        <v>5510</v>
      </c>
      <c r="AG143" s="13">
        <v>46.0</v>
      </c>
      <c r="AH143" s="13">
        <v>15.0</v>
      </c>
      <c r="AI143" s="13">
        <v>18.0</v>
      </c>
      <c r="AJ143" s="13">
        <v>5.0</v>
      </c>
      <c r="AK143" s="13">
        <v>109.0</v>
      </c>
      <c r="AL143" s="13" t="s">
        <v>8343</v>
      </c>
      <c r="AM143" s="13" t="s">
        <v>6293</v>
      </c>
      <c r="AN143" s="13" t="s">
        <v>8344</v>
      </c>
      <c r="AO143" s="13" t="s">
        <v>8345</v>
      </c>
      <c r="AP143" s="13" t="s">
        <v>8346</v>
      </c>
      <c r="AQ143" s="13" t="s">
        <v>5510</v>
      </c>
      <c r="AR143" s="13" t="s">
        <v>8347</v>
      </c>
      <c r="AS143" s="13" t="s">
        <v>8348</v>
      </c>
      <c r="AT143" s="13" t="s">
        <v>5667</v>
      </c>
      <c r="AU143" s="13">
        <v>2020.0</v>
      </c>
      <c r="AV143" s="13">
        <v>30.0</v>
      </c>
      <c r="AW143" s="13">
        <v>7.0</v>
      </c>
      <c r="AX143" s="13" t="s">
        <v>5510</v>
      </c>
      <c r="AY143" s="13" t="s">
        <v>5510</v>
      </c>
      <c r="AZ143" s="13" t="s">
        <v>5510</v>
      </c>
      <c r="BA143" s="13" t="s">
        <v>5510</v>
      </c>
      <c r="BB143" s="13">
        <v>1140.0</v>
      </c>
      <c r="BC143" s="13">
        <v>1154.0</v>
      </c>
      <c r="BD143" s="13" t="s">
        <v>5510</v>
      </c>
      <c r="BE143" s="13" t="s">
        <v>8349</v>
      </c>
      <c r="BF143" s="52" t="str">
        <f>HYPERLINK("http://dx.doi.org/10.1007/s11442-020-1774-z","http://dx.doi.org/10.1007/s11442-020-1774-z")</f>
        <v>http://dx.doi.org/10.1007/s11442-020-1774-z</v>
      </c>
      <c r="BG143" s="13" t="s">
        <v>5510</v>
      </c>
      <c r="BH143" s="13" t="s">
        <v>5510</v>
      </c>
      <c r="BI143" s="13">
        <v>15.0</v>
      </c>
      <c r="BJ143" s="13" t="s">
        <v>8350</v>
      </c>
      <c r="BK143" s="13" t="s">
        <v>5561</v>
      </c>
      <c r="BL143" s="13" t="s">
        <v>8351</v>
      </c>
      <c r="BM143" s="13" t="s">
        <v>8352</v>
      </c>
      <c r="BN143" s="13" t="s">
        <v>5510</v>
      </c>
      <c r="BO143" s="13" t="s">
        <v>5510</v>
      </c>
      <c r="BP143" s="13" t="s">
        <v>5510</v>
      </c>
      <c r="BQ143" s="13" t="s">
        <v>5510</v>
      </c>
      <c r="BR143" s="13" t="s">
        <v>5538</v>
      </c>
      <c r="BS143" s="13" t="s">
        <v>8353</v>
      </c>
      <c r="BT143" s="13">
        <v>26092.0</v>
      </c>
      <c r="BU143" s="13" t="s">
        <v>5540</v>
      </c>
      <c r="BV143" s="13" t="s">
        <v>4856</v>
      </c>
      <c r="BW143" s="13" t="str">
        <f>VLOOKUP($BT143,Enriched!$A$2:$E$1070,5,false)</f>
        <v>["Residential &amp; Commercial Development", "Agriculture &amp; Aquaculture", "Energy Production &amp; Mining", "Transportation &amp; Service Corridors", "Pollution"]</v>
      </c>
      <c r="BX143" s="13" t="str">
        <f>VLOOKUP($BT143,Enriched!$A$2:$E$1070,4,false)</f>
        <v>["Housing &amp; urban area", "Commercial &amp; industrial areas", "Livestock farming &amp; ranching", "Mining &amp; quarrying", "Roads &amp; railroads", "Excess energy"]</v>
      </c>
      <c r="BY143" s="13" t="b">
        <f>VLOOKUP(BT143,Enriched!$A$1:$AA$1070,27,falsE)</f>
        <v>0</v>
      </c>
      <c r="BZ143" s="2" t="str">
        <f>VLOOKUP(BT143,Enriched!$A$1:$AA$1070,14,falsE)</f>
        <v>cumulative</v>
      </c>
      <c r="CA143" s="13" t="str">
        <f>HYPERLINK("https%3A%2F%2Fwww.webofscience.com%2Fwos%2Fwoscc%2Ffull-record%2FWOS:000562447500006","View Full Record in Web of Science")</f>
        <v>View Full Record in Web of Science</v>
      </c>
    </row>
    <row r="144" ht="12.75" customHeight="1">
      <c r="A144" s="13" t="s">
        <v>5508</v>
      </c>
      <c r="B144" s="13" t="s">
        <v>8354</v>
      </c>
      <c r="C144" s="13" t="s">
        <v>5510</v>
      </c>
      <c r="D144" s="13" t="s">
        <v>5510</v>
      </c>
      <c r="E144" s="13" t="s">
        <v>5510</v>
      </c>
      <c r="F144" s="13" t="s">
        <v>8355</v>
      </c>
      <c r="G144" s="13" t="s">
        <v>5510</v>
      </c>
      <c r="H144" s="13" t="s">
        <v>5510</v>
      </c>
      <c r="I144" s="13" t="s">
        <v>2638</v>
      </c>
      <c r="J144" s="13" t="s">
        <v>8356</v>
      </c>
      <c r="K144" s="13" t="s">
        <v>5510</v>
      </c>
      <c r="L144" s="13" t="s">
        <v>5510</v>
      </c>
      <c r="M144" s="13" t="s">
        <v>5513</v>
      </c>
      <c r="N144" s="13" t="s">
        <v>5514</v>
      </c>
      <c r="O144" s="13" t="s">
        <v>5510</v>
      </c>
      <c r="P144" s="13" t="s">
        <v>5510</v>
      </c>
      <c r="Q144" s="13" t="s">
        <v>5510</v>
      </c>
      <c r="R144" s="13" t="s">
        <v>5510</v>
      </c>
      <c r="S144" s="13" t="s">
        <v>5510</v>
      </c>
      <c r="T144" s="13" t="s">
        <v>8357</v>
      </c>
      <c r="U144" s="13" t="s">
        <v>8358</v>
      </c>
      <c r="V144" s="13" t="s">
        <v>8359</v>
      </c>
      <c r="W144" s="13" t="s">
        <v>8360</v>
      </c>
      <c r="X144" s="13" t="s">
        <v>8361</v>
      </c>
      <c r="Y144" s="13" t="s">
        <v>8362</v>
      </c>
      <c r="Z144" s="13" t="s">
        <v>8363</v>
      </c>
      <c r="AA144" s="13" t="s">
        <v>8364</v>
      </c>
      <c r="AB144" s="13" t="s">
        <v>8365</v>
      </c>
      <c r="AC144" s="13" t="s">
        <v>8366</v>
      </c>
      <c r="AD144" s="13" t="s">
        <v>8367</v>
      </c>
      <c r="AE144" s="13" t="s">
        <v>8368</v>
      </c>
      <c r="AF144" s="13" t="s">
        <v>5510</v>
      </c>
      <c r="AG144" s="13">
        <v>61.0</v>
      </c>
      <c r="AH144" s="13">
        <v>58.0</v>
      </c>
      <c r="AI144" s="13">
        <v>68.0</v>
      </c>
      <c r="AJ144" s="13">
        <v>5.0</v>
      </c>
      <c r="AK144" s="13">
        <v>86.0</v>
      </c>
      <c r="AL144" s="13" t="s">
        <v>5931</v>
      </c>
      <c r="AM144" s="13" t="s">
        <v>5932</v>
      </c>
      <c r="AN144" s="13" t="s">
        <v>5933</v>
      </c>
      <c r="AO144" s="13" t="s">
        <v>8369</v>
      </c>
      <c r="AP144" s="13" t="s">
        <v>8370</v>
      </c>
      <c r="AQ144" s="13" t="s">
        <v>5510</v>
      </c>
      <c r="AR144" s="13" t="s">
        <v>8371</v>
      </c>
      <c r="AS144" s="13" t="s">
        <v>8372</v>
      </c>
      <c r="AT144" s="13" t="s">
        <v>5582</v>
      </c>
      <c r="AU144" s="13">
        <v>2017.0</v>
      </c>
      <c r="AV144" s="13">
        <v>78.0</v>
      </c>
      <c r="AW144" s="13" t="s">
        <v>5510</v>
      </c>
      <c r="AX144" s="13" t="s">
        <v>5510</v>
      </c>
      <c r="AY144" s="13" t="s">
        <v>5510</v>
      </c>
      <c r="AZ144" s="13" t="s">
        <v>5510</v>
      </c>
      <c r="BA144" s="13" t="s">
        <v>5510</v>
      </c>
      <c r="BB144" s="13">
        <v>22.0</v>
      </c>
      <c r="BC144" s="13">
        <v>32.0</v>
      </c>
      <c r="BD144" s="13" t="s">
        <v>5510</v>
      </c>
      <c r="BE144" s="13" t="s">
        <v>8373</v>
      </c>
      <c r="BF144" s="52" t="str">
        <f>HYPERLINK("http://dx.doi.org/10.1016/j.apgeog.2016.10.007","http://dx.doi.org/10.1016/j.apgeog.2016.10.007")</f>
        <v>http://dx.doi.org/10.1016/j.apgeog.2016.10.007</v>
      </c>
      <c r="BG144" s="13" t="s">
        <v>5510</v>
      </c>
      <c r="BH144" s="13" t="s">
        <v>5510</v>
      </c>
      <c r="BI144" s="13">
        <v>11.0</v>
      </c>
      <c r="BJ144" s="13" t="s">
        <v>8374</v>
      </c>
      <c r="BK144" s="13" t="s">
        <v>8375</v>
      </c>
      <c r="BL144" s="13" t="s">
        <v>8374</v>
      </c>
      <c r="BM144" s="13" t="s">
        <v>8376</v>
      </c>
      <c r="BN144" s="13" t="s">
        <v>5510</v>
      </c>
      <c r="BO144" s="13" t="s">
        <v>5537</v>
      </c>
      <c r="BP144" s="13" t="s">
        <v>5510</v>
      </c>
      <c r="BQ144" s="13" t="s">
        <v>5510</v>
      </c>
      <c r="BR144" s="13" t="s">
        <v>5538</v>
      </c>
      <c r="BS144" s="13" t="s">
        <v>8377</v>
      </c>
      <c r="BT144" s="13">
        <v>25734.0</v>
      </c>
      <c r="BU144" s="13" t="s">
        <v>5540</v>
      </c>
      <c r="BV144" s="13" t="s">
        <v>4856</v>
      </c>
      <c r="BW144" s="13" t="str">
        <f>VLOOKUP($BT144,Enriched!$A$2:$E$1070,5,false)</f>
        <v>["Residential &amp; Commercial Development", "Agriculture &amp; Aquaculture", "Transportation &amp; Service Corridors", "Pollution"]</v>
      </c>
      <c r="BX144" s="13" t="str">
        <f>VLOOKUP($BT144,Enriched!$A$2:$E$1070,4,false)</f>
        <v>["Housing &amp; urban area", "Commercial &amp; industrial areas", "Tourism &amp; recreation areas", "Annual &amp; perennial non-timber crops", "Livestock farming &amp; ranching", "Roads &amp; railroads", "Excess energy"]</v>
      </c>
      <c r="BY144" s="13" t="b">
        <f>VLOOKUP(BT144,Enriched!$A$1:$AA$1070,27,falsE)</f>
        <v>0</v>
      </c>
      <c r="BZ144" s="2" t="str">
        <f>VLOOKUP(BT144,Enriched!$A$1:$AA$1070,14,falsE)</f>
        <v>cumulative</v>
      </c>
      <c r="CA144" s="13" t="str">
        <f>HYPERLINK("https%3A%2F%2Fwww.webofscience.com%2Fwos%2Fwoscc%2Ffull-record%2FWOS:000392895900003","View Full Record in Web of Science")</f>
        <v>View Full Record in Web of Science</v>
      </c>
    </row>
    <row r="145" ht="12.75" customHeight="1">
      <c r="A145" s="13" t="s">
        <v>5508</v>
      </c>
      <c r="B145" s="13" t="s">
        <v>8378</v>
      </c>
      <c r="C145" s="13" t="s">
        <v>5510</v>
      </c>
      <c r="D145" s="13" t="s">
        <v>5510</v>
      </c>
      <c r="E145" s="13" t="s">
        <v>5510</v>
      </c>
      <c r="F145" s="13" t="s">
        <v>8379</v>
      </c>
      <c r="G145" s="13" t="s">
        <v>5510</v>
      </c>
      <c r="H145" s="13" t="s">
        <v>5510</v>
      </c>
      <c r="I145" s="13" t="s">
        <v>2635</v>
      </c>
      <c r="J145" s="13" t="s">
        <v>5677</v>
      </c>
      <c r="K145" s="13" t="s">
        <v>5510</v>
      </c>
      <c r="L145" s="13" t="s">
        <v>5510</v>
      </c>
      <c r="M145" s="13" t="s">
        <v>5513</v>
      </c>
      <c r="N145" s="13" t="s">
        <v>5514</v>
      </c>
      <c r="O145" s="13" t="s">
        <v>5510</v>
      </c>
      <c r="P145" s="13" t="s">
        <v>5510</v>
      </c>
      <c r="Q145" s="13" t="s">
        <v>5510</v>
      </c>
      <c r="R145" s="13" t="s">
        <v>5510</v>
      </c>
      <c r="S145" s="13" t="s">
        <v>5510</v>
      </c>
      <c r="T145" s="13" t="s">
        <v>8380</v>
      </c>
      <c r="U145" s="13" t="s">
        <v>8381</v>
      </c>
      <c r="V145" s="13" t="s">
        <v>8382</v>
      </c>
      <c r="W145" s="13" t="s">
        <v>8383</v>
      </c>
      <c r="X145" s="13" t="s">
        <v>8384</v>
      </c>
      <c r="Y145" s="13" t="s">
        <v>8385</v>
      </c>
      <c r="Z145" s="13" t="s">
        <v>8386</v>
      </c>
      <c r="AA145" s="13" t="s">
        <v>8387</v>
      </c>
      <c r="AB145" s="13" t="s">
        <v>8388</v>
      </c>
      <c r="AC145" s="13" t="s">
        <v>5510</v>
      </c>
      <c r="AD145" s="13" t="s">
        <v>5510</v>
      </c>
      <c r="AE145" s="13" t="s">
        <v>5510</v>
      </c>
      <c r="AF145" s="13" t="s">
        <v>5510</v>
      </c>
      <c r="AG145" s="13">
        <v>60.0</v>
      </c>
      <c r="AH145" s="13">
        <v>83.0</v>
      </c>
      <c r="AI145" s="13">
        <v>105.0</v>
      </c>
      <c r="AJ145" s="13">
        <v>2.0</v>
      </c>
      <c r="AK145" s="13">
        <v>99.0</v>
      </c>
      <c r="AL145" s="13" t="s">
        <v>5690</v>
      </c>
      <c r="AM145" s="13" t="s">
        <v>5691</v>
      </c>
      <c r="AN145" s="13" t="s">
        <v>5692</v>
      </c>
      <c r="AO145" s="13" t="s">
        <v>5693</v>
      </c>
      <c r="AP145" s="13" t="s">
        <v>5694</v>
      </c>
      <c r="AQ145" s="13" t="s">
        <v>5510</v>
      </c>
      <c r="AR145" s="13" t="s">
        <v>5695</v>
      </c>
      <c r="AS145" s="13" t="s">
        <v>5696</v>
      </c>
      <c r="AT145" s="13" t="s">
        <v>1925</v>
      </c>
      <c r="AU145" s="13">
        <v>2008.0</v>
      </c>
      <c r="AV145" s="13">
        <v>17.0</v>
      </c>
      <c r="AW145" s="13">
        <v>10.0</v>
      </c>
      <c r="AX145" s="13" t="s">
        <v>5510</v>
      </c>
      <c r="AY145" s="13" t="s">
        <v>5510</v>
      </c>
      <c r="AZ145" s="13" t="s">
        <v>5510</v>
      </c>
      <c r="BA145" s="13" t="s">
        <v>5510</v>
      </c>
      <c r="BB145" s="13">
        <v>2323.0</v>
      </c>
      <c r="BC145" s="13">
        <v>2338.0</v>
      </c>
      <c r="BD145" s="13" t="s">
        <v>5510</v>
      </c>
      <c r="BE145" s="13" t="s">
        <v>8389</v>
      </c>
      <c r="BF145" s="52" t="str">
        <f>HYPERLINK("http://dx.doi.org/10.1007/s10531-008-9377-5","http://dx.doi.org/10.1007/s10531-008-9377-5")</f>
        <v>http://dx.doi.org/10.1007/s10531-008-9377-5</v>
      </c>
      <c r="BG145" s="13" t="s">
        <v>5510</v>
      </c>
      <c r="BH145" s="13" t="s">
        <v>5510</v>
      </c>
      <c r="BI145" s="13">
        <v>16.0</v>
      </c>
      <c r="BJ145" s="13" t="s">
        <v>5698</v>
      </c>
      <c r="BK145" s="13" t="s">
        <v>5561</v>
      </c>
      <c r="BL145" s="13" t="s">
        <v>5699</v>
      </c>
      <c r="BM145" s="13" t="s">
        <v>8390</v>
      </c>
      <c r="BN145" s="13" t="s">
        <v>5510</v>
      </c>
      <c r="BO145" s="13" t="s">
        <v>5510</v>
      </c>
      <c r="BP145" s="13" t="s">
        <v>5510</v>
      </c>
      <c r="BQ145" s="13" t="s">
        <v>5510</v>
      </c>
      <c r="BR145" s="13" t="s">
        <v>5538</v>
      </c>
      <c r="BS145" s="13" t="s">
        <v>8391</v>
      </c>
      <c r="BT145" s="13">
        <v>24507.0</v>
      </c>
      <c r="BU145" s="13" t="s">
        <v>5540</v>
      </c>
      <c r="BV145" s="13" t="s">
        <v>4864</v>
      </c>
      <c r="BW145" s="13" t="str">
        <f>VLOOKUP($BT145,Enriched!$A$2:$E$1070,5,false)</f>
        <v>["Biological resource use"]</v>
      </c>
      <c r="BX145" s="13" t="str">
        <f>VLOOKUP($BT145,Enriched!$A$2:$E$1070,4,false)</f>
        <v>["Fishing &amp; harvesting aquatic resources"]</v>
      </c>
      <c r="BY145" s="13" t="b">
        <f>VLOOKUP(BT145,Enriched!$A$1:$AA$1070,27,falsE)</f>
        <v>0</v>
      </c>
      <c r="BZ145" s="2" t="str">
        <f>VLOOKUP(BT145,Enriched!$A$1:$AA$1070,14,falsE)</f>
        <v>level2</v>
      </c>
      <c r="CA145" s="13" t="str">
        <f>HYPERLINK("https%3A%2F%2Fwww.webofscience.com%2Fwos%2Fwoscc%2Ffull-record%2FWOS:000258085400002","View Full Record in Web of Science")</f>
        <v>View Full Record in Web of Science</v>
      </c>
    </row>
    <row r="146" ht="12.75" customHeight="1">
      <c r="A146" s="13" t="s">
        <v>5508</v>
      </c>
      <c r="B146" s="13" t="s">
        <v>5510</v>
      </c>
      <c r="C146" s="13" t="s">
        <v>5510</v>
      </c>
      <c r="D146" s="13" t="s">
        <v>5510</v>
      </c>
      <c r="E146" s="13" t="s">
        <v>5510</v>
      </c>
      <c r="F146" s="13" t="s">
        <v>5510</v>
      </c>
      <c r="G146" s="13" t="s">
        <v>5510</v>
      </c>
      <c r="H146" s="13" t="s">
        <v>8392</v>
      </c>
      <c r="I146" s="2" t="s">
        <v>2633</v>
      </c>
      <c r="J146" s="13" t="s">
        <v>5543</v>
      </c>
      <c r="K146" s="13" t="s">
        <v>5510</v>
      </c>
      <c r="L146" s="13" t="s">
        <v>5510</v>
      </c>
      <c r="M146" s="13" t="s">
        <v>5513</v>
      </c>
      <c r="N146" s="13" t="s">
        <v>6168</v>
      </c>
      <c r="O146" s="13" t="s">
        <v>5510</v>
      </c>
      <c r="P146" s="13" t="s">
        <v>5510</v>
      </c>
      <c r="Q146" s="13" t="s">
        <v>5510</v>
      </c>
      <c r="R146" s="13" t="s">
        <v>5510</v>
      </c>
      <c r="S146" s="13" t="s">
        <v>5510</v>
      </c>
      <c r="T146" s="13" t="s">
        <v>5510</v>
      </c>
      <c r="U146" s="13" t="s">
        <v>5510</v>
      </c>
      <c r="V146" s="13" t="s">
        <v>5510</v>
      </c>
      <c r="W146" s="13" t="s">
        <v>5510</v>
      </c>
      <c r="X146" s="13" t="s">
        <v>5510</v>
      </c>
      <c r="Y146" s="13" t="s">
        <v>5510</v>
      </c>
      <c r="Z146" s="13" t="s">
        <v>5510</v>
      </c>
      <c r="AA146" s="13" t="s">
        <v>5510</v>
      </c>
      <c r="AB146" s="13" t="s">
        <v>5510</v>
      </c>
      <c r="AC146" s="13" t="s">
        <v>5510</v>
      </c>
      <c r="AD146" s="13" t="s">
        <v>5510</v>
      </c>
      <c r="AE146" s="13" t="s">
        <v>5510</v>
      </c>
      <c r="AF146" s="13" t="s">
        <v>5510</v>
      </c>
      <c r="AG146" s="13">
        <v>1.0</v>
      </c>
      <c r="AH146" s="13">
        <v>0.0</v>
      </c>
      <c r="AI146" s="13">
        <v>0.0</v>
      </c>
      <c r="AJ146" s="13">
        <v>0.0</v>
      </c>
      <c r="AK146" s="13">
        <v>6.0</v>
      </c>
      <c r="AL146" s="13" t="s">
        <v>5552</v>
      </c>
      <c r="AM146" s="13" t="s">
        <v>5553</v>
      </c>
      <c r="AN146" s="13" t="s">
        <v>5554</v>
      </c>
      <c r="AO146" s="13" t="s">
        <v>5555</v>
      </c>
      <c r="AP146" s="13" t="s">
        <v>5510</v>
      </c>
      <c r="AQ146" s="13" t="s">
        <v>5510</v>
      </c>
      <c r="AR146" s="13" t="s">
        <v>5543</v>
      </c>
      <c r="AS146" s="13" t="s">
        <v>5556</v>
      </c>
      <c r="AT146" s="13" t="s">
        <v>8393</v>
      </c>
      <c r="AU146" s="13">
        <v>2015.0</v>
      </c>
      <c r="AV146" s="13">
        <v>10.0</v>
      </c>
      <c r="AW146" s="13">
        <v>3.0</v>
      </c>
      <c r="AX146" s="13" t="s">
        <v>5510</v>
      </c>
      <c r="AY146" s="13" t="s">
        <v>5510</v>
      </c>
      <c r="AZ146" s="13" t="s">
        <v>5510</v>
      </c>
      <c r="BA146" s="13" t="s">
        <v>5510</v>
      </c>
      <c r="BB146" s="13" t="s">
        <v>5510</v>
      </c>
      <c r="BC146" s="13" t="s">
        <v>5510</v>
      </c>
      <c r="BD146" s="13" t="s">
        <v>8394</v>
      </c>
      <c r="BE146" s="13" t="s">
        <v>8395</v>
      </c>
      <c r="BF146" s="52" t="str">
        <f>HYPERLINK("http://dx.doi.org/10.1371/journal.pone.0121040","http://dx.doi.org/10.1371/journal.pone.0121040")</f>
        <v>http://dx.doi.org/10.1371/journal.pone.0121040</v>
      </c>
      <c r="BG146" s="13" t="s">
        <v>5510</v>
      </c>
      <c r="BH146" s="13" t="s">
        <v>5510</v>
      </c>
      <c r="BI146" s="13">
        <v>1.0</v>
      </c>
      <c r="BJ146" s="13" t="s">
        <v>5560</v>
      </c>
      <c r="BK146" s="13" t="s">
        <v>5561</v>
      </c>
      <c r="BL146" s="13" t="s">
        <v>5562</v>
      </c>
      <c r="BM146" s="13" t="s">
        <v>8396</v>
      </c>
      <c r="BN146" s="13" t="s">
        <v>5510</v>
      </c>
      <c r="BO146" s="13" t="s">
        <v>5564</v>
      </c>
      <c r="BP146" s="13" t="s">
        <v>5510</v>
      </c>
      <c r="BQ146" s="13" t="s">
        <v>5510</v>
      </c>
      <c r="BR146" s="13" t="s">
        <v>5538</v>
      </c>
      <c r="BS146" s="13" t="s">
        <v>8397</v>
      </c>
      <c r="BT146" s="13">
        <v>25392.0</v>
      </c>
      <c r="BU146" s="13" t="s">
        <v>5540</v>
      </c>
      <c r="BV146" s="13" t="s">
        <v>4856</v>
      </c>
      <c r="BW146" s="13" t="str">
        <f>VLOOKUP($BT146,Enriched!$A$2:$E$1070,5,false)</f>
        <v>["Agriculture &amp; Aquaculture", "Biological Resource Use", "Invasive &amp; Other Problematic Species, Genes &amp; Diseases", "Climate Change &amp; Severe Weather"]</v>
      </c>
      <c r="BX146" s="13" t="str">
        <f>VLOOKUP($BT146,Enriched!$A$2:$E$1070,4,false)</f>
        <v>["Hunting &amp; collecting terrestrial animals", "Logging &amp; wood harvesting", "Fishing &amp; harvesting aquatic resources", "Invasive non-native/alien species/diseases", "Habitat shifting &amp; alteration"]</v>
      </c>
      <c r="BY146" s="13" t="b">
        <f>VLOOKUP(BT146,Enriched!$A$1:$AA$1070,27,falsE)</f>
        <v>1</v>
      </c>
      <c r="BZ146" s="2" t="str">
        <f>VLOOKUP(BT146,Enriched!$A$1:$AA$1070,14,falsE)</f>
        <v>level2</v>
      </c>
      <c r="CA146" s="13" t="str">
        <f>HYPERLINK("https%3A%2F%2Fwww.webofscience.com%2Fwos%2Fwoscc%2Ffull-record%2FWOS:000352083900098","View Full Record in Web of Science")</f>
        <v>View Full Record in Web of Science</v>
      </c>
    </row>
    <row r="147" ht="12.75" customHeight="1">
      <c r="A147" s="13" t="s">
        <v>5508</v>
      </c>
      <c r="B147" s="13" t="s">
        <v>8398</v>
      </c>
      <c r="C147" s="13" t="s">
        <v>5510</v>
      </c>
      <c r="D147" s="13" t="s">
        <v>5510</v>
      </c>
      <c r="E147" s="13" t="s">
        <v>5510</v>
      </c>
      <c r="F147" s="13" t="s">
        <v>8399</v>
      </c>
      <c r="G147" s="13" t="s">
        <v>5510</v>
      </c>
      <c r="H147" s="13" t="s">
        <v>5510</v>
      </c>
      <c r="I147" s="13" t="s">
        <v>8400</v>
      </c>
      <c r="J147" s="13" t="s">
        <v>5543</v>
      </c>
      <c r="K147" s="13" t="s">
        <v>5510</v>
      </c>
      <c r="L147" s="13" t="s">
        <v>5510</v>
      </c>
      <c r="M147" s="13" t="s">
        <v>5513</v>
      </c>
      <c r="N147" s="13" t="s">
        <v>5514</v>
      </c>
      <c r="O147" s="13" t="s">
        <v>5510</v>
      </c>
      <c r="P147" s="13" t="s">
        <v>5510</v>
      </c>
      <c r="Q147" s="13" t="s">
        <v>5510</v>
      </c>
      <c r="R147" s="13" t="s">
        <v>5510</v>
      </c>
      <c r="S147" s="13" t="s">
        <v>5510</v>
      </c>
      <c r="T147" s="13" t="s">
        <v>5510</v>
      </c>
      <c r="U147" s="13" t="s">
        <v>8401</v>
      </c>
      <c r="V147" s="13" t="s">
        <v>8402</v>
      </c>
      <c r="W147" s="13" t="s">
        <v>8403</v>
      </c>
      <c r="X147" s="13" t="s">
        <v>8404</v>
      </c>
      <c r="Y147" s="13" t="s">
        <v>8405</v>
      </c>
      <c r="Z147" s="13" t="s">
        <v>8406</v>
      </c>
      <c r="AA147" s="13" t="s">
        <v>8407</v>
      </c>
      <c r="AB147" s="13" t="s">
        <v>8408</v>
      </c>
      <c r="AC147" s="13" t="s">
        <v>8409</v>
      </c>
      <c r="AD147" s="13" t="s">
        <v>8410</v>
      </c>
      <c r="AE147" s="13" t="s">
        <v>8411</v>
      </c>
      <c r="AF147" s="13" t="s">
        <v>5510</v>
      </c>
      <c r="AG147" s="13">
        <v>38.0</v>
      </c>
      <c r="AH147" s="13">
        <v>73.0</v>
      </c>
      <c r="AI147" s="13">
        <v>80.0</v>
      </c>
      <c r="AJ147" s="13">
        <v>0.0</v>
      </c>
      <c r="AK147" s="13">
        <v>71.0</v>
      </c>
      <c r="AL147" s="13" t="s">
        <v>5552</v>
      </c>
      <c r="AM147" s="13" t="s">
        <v>5553</v>
      </c>
      <c r="AN147" s="13" t="s">
        <v>5554</v>
      </c>
      <c r="AO147" s="13" t="s">
        <v>5555</v>
      </c>
      <c r="AP147" s="13" t="s">
        <v>5510</v>
      </c>
      <c r="AQ147" s="13" t="s">
        <v>5510</v>
      </c>
      <c r="AR147" s="13" t="s">
        <v>5543</v>
      </c>
      <c r="AS147" s="13" t="s">
        <v>5556</v>
      </c>
      <c r="AT147" s="13" t="s">
        <v>6325</v>
      </c>
      <c r="AU147" s="13">
        <v>2014.0</v>
      </c>
      <c r="AV147" s="13">
        <v>9.0</v>
      </c>
      <c r="AW147" s="13">
        <v>11.0</v>
      </c>
      <c r="AX147" s="13" t="s">
        <v>5510</v>
      </c>
      <c r="AY147" s="13" t="s">
        <v>5510</v>
      </c>
      <c r="AZ147" s="13" t="s">
        <v>5510</v>
      </c>
      <c r="BA147" s="13" t="s">
        <v>5510</v>
      </c>
      <c r="BB147" s="13" t="s">
        <v>5510</v>
      </c>
      <c r="BC147" s="13" t="s">
        <v>5510</v>
      </c>
      <c r="BD147" s="13" t="s">
        <v>8412</v>
      </c>
      <c r="BE147" s="13" t="s">
        <v>8413</v>
      </c>
      <c r="BF147" s="52" t="str">
        <f>HYPERLINK("http://dx.doi.org/10.1371/journal.pone.0113934","http://dx.doi.org/10.1371/journal.pone.0113934")</f>
        <v>http://dx.doi.org/10.1371/journal.pone.0113934</v>
      </c>
      <c r="BG147" s="13" t="s">
        <v>5510</v>
      </c>
      <c r="BH147" s="13" t="s">
        <v>5510</v>
      </c>
      <c r="BI147" s="13">
        <v>17.0</v>
      </c>
      <c r="BJ147" s="13" t="s">
        <v>5560</v>
      </c>
      <c r="BK147" s="13" t="s">
        <v>5561</v>
      </c>
      <c r="BL147" s="13" t="s">
        <v>5562</v>
      </c>
      <c r="BM147" s="13" t="s">
        <v>8414</v>
      </c>
      <c r="BN147" s="13">
        <v>2.5426636E7</v>
      </c>
      <c r="BO147" s="13" t="s">
        <v>5564</v>
      </c>
      <c r="BP147" s="13" t="s">
        <v>5510</v>
      </c>
      <c r="BQ147" s="13" t="s">
        <v>5510</v>
      </c>
      <c r="BR147" s="13" t="s">
        <v>5538</v>
      </c>
      <c r="BS147" s="13" t="s">
        <v>8415</v>
      </c>
      <c r="BT147" s="13">
        <v>25392.0</v>
      </c>
      <c r="BU147" s="13" t="s">
        <v>5540</v>
      </c>
      <c r="BV147" s="13" t="s">
        <v>4856</v>
      </c>
      <c r="BW147" s="13" t="str">
        <f>VLOOKUP($BT147,Enriched!$A$2:$E$1070,5,false)</f>
        <v>["Agriculture &amp; Aquaculture", "Biological Resource Use", "Invasive &amp; Other Problematic Species, Genes &amp; Diseases", "Climate Change &amp; Severe Weather"]</v>
      </c>
      <c r="BX147" s="13" t="str">
        <f>VLOOKUP($BT147,Enriched!$A$2:$E$1070,4,false)</f>
        <v>["Hunting &amp; collecting terrestrial animals", "Logging &amp; wood harvesting", "Fishing &amp; harvesting aquatic resources", "Invasive non-native/alien species/diseases", "Habitat shifting &amp; alteration"]</v>
      </c>
      <c r="BY147" s="13" t="b">
        <f>VLOOKUP(BT147,Enriched!$A$1:$AA$1070,27,falsE)</f>
        <v>1</v>
      </c>
      <c r="BZ147" s="2" t="str">
        <f>VLOOKUP(BT147,Enriched!$A$1:$AA$1070,14,falsE)</f>
        <v>level2</v>
      </c>
      <c r="CA147" s="13" t="str">
        <f>HYPERLINK("https%3A%2F%2Fwww.webofscience.com%2Fwos%2Fwoscc%2Ffull-record%2FWOS:000349145400104","View Full Record in Web of Science")</f>
        <v>View Full Record in Web of Science</v>
      </c>
    </row>
    <row r="148" ht="12.75" customHeight="1">
      <c r="A148" s="13" t="s">
        <v>5508</v>
      </c>
      <c r="B148" s="13" t="s">
        <v>8416</v>
      </c>
      <c r="C148" s="13" t="s">
        <v>5510</v>
      </c>
      <c r="D148" s="13" t="s">
        <v>5510</v>
      </c>
      <c r="E148" s="13" t="s">
        <v>5510</v>
      </c>
      <c r="F148" s="13" t="s">
        <v>8417</v>
      </c>
      <c r="G148" s="13" t="s">
        <v>5510</v>
      </c>
      <c r="H148" s="13" t="s">
        <v>5510</v>
      </c>
      <c r="I148" s="13" t="s">
        <v>2632</v>
      </c>
      <c r="J148" s="13" t="s">
        <v>8418</v>
      </c>
      <c r="K148" s="13" t="s">
        <v>5510</v>
      </c>
      <c r="L148" s="13" t="s">
        <v>5510</v>
      </c>
      <c r="M148" s="13" t="s">
        <v>5513</v>
      </c>
      <c r="N148" s="13" t="s">
        <v>5514</v>
      </c>
      <c r="O148" s="13" t="s">
        <v>5510</v>
      </c>
      <c r="P148" s="13" t="s">
        <v>5510</v>
      </c>
      <c r="Q148" s="13" t="s">
        <v>5510</v>
      </c>
      <c r="R148" s="13" t="s">
        <v>5510</v>
      </c>
      <c r="S148" s="13" t="s">
        <v>5510</v>
      </c>
      <c r="T148" s="13" t="s">
        <v>8419</v>
      </c>
      <c r="U148" s="13" t="s">
        <v>8420</v>
      </c>
      <c r="V148" s="13" t="s">
        <v>8421</v>
      </c>
      <c r="W148" s="13" t="s">
        <v>8422</v>
      </c>
      <c r="X148" s="13" t="s">
        <v>8423</v>
      </c>
      <c r="Y148" s="13" t="s">
        <v>8424</v>
      </c>
      <c r="Z148" s="13" t="s">
        <v>8425</v>
      </c>
      <c r="AA148" s="13" t="s">
        <v>8426</v>
      </c>
      <c r="AB148" s="13" t="s">
        <v>8427</v>
      </c>
      <c r="AC148" s="13" t="s">
        <v>5510</v>
      </c>
      <c r="AD148" s="13" t="s">
        <v>5510</v>
      </c>
      <c r="AE148" s="13" t="s">
        <v>5510</v>
      </c>
      <c r="AF148" s="13" t="s">
        <v>5510</v>
      </c>
      <c r="AG148" s="13">
        <v>44.0</v>
      </c>
      <c r="AH148" s="13">
        <v>11.0</v>
      </c>
      <c r="AI148" s="13">
        <v>13.0</v>
      </c>
      <c r="AJ148" s="13">
        <v>1.0</v>
      </c>
      <c r="AK148" s="13">
        <v>11.0</v>
      </c>
      <c r="AL148" s="13" t="s">
        <v>5690</v>
      </c>
      <c r="AM148" s="13" t="s">
        <v>6503</v>
      </c>
      <c r="AN148" s="13" t="s">
        <v>6504</v>
      </c>
      <c r="AO148" s="13" t="s">
        <v>5510</v>
      </c>
      <c r="AP148" s="13" t="s">
        <v>8428</v>
      </c>
      <c r="AQ148" s="13" t="s">
        <v>5510</v>
      </c>
      <c r="AR148" s="13" t="s">
        <v>8429</v>
      </c>
      <c r="AS148" s="13" t="s">
        <v>8430</v>
      </c>
      <c r="AT148" s="13" t="s">
        <v>8431</v>
      </c>
      <c r="AU148" s="13">
        <v>2019.0</v>
      </c>
      <c r="AV148" s="13">
        <v>8.0</v>
      </c>
      <c r="AW148" s="13">
        <v>1.0</v>
      </c>
      <c r="AX148" s="13" t="s">
        <v>5510</v>
      </c>
      <c r="AY148" s="13" t="s">
        <v>5510</v>
      </c>
      <c r="AZ148" s="13" t="s">
        <v>5510</v>
      </c>
      <c r="BA148" s="13" t="s">
        <v>5510</v>
      </c>
      <c r="BB148" s="13" t="s">
        <v>5510</v>
      </c>
      <c r="BC148" s="13" t="s">
        <v>5510</v>
      </c>
      <c r="BD148" s="13">
        <v>46.0</v>
      </c>
      <c r="BE148" s="13" t="s">
        <v>8432</v>
      </c>
      <c r="BF148" s="52" t="str">
        <f>HYPERLINK("http://dx.doi.org/10.1186/s13717-019-0199-z","http://dx.doi.org/10.1186/s13717-019-0199-z")</f>
        <v>http://dx.doi.org/10.1186/s13717-019-0199-z</v>
      </c>
      <c r="BG148" s="13" t="s">
        <v>5510</v>
      </c>
      <c r="BH148" s="13" t="s">
        <v>5510</v>
      </c>
      <c r="BI148" s="13">
        <v>20.0</v>
      </c>
      <c r="BJ148" s="13" t="s">
        <v>6026</v>
      </c>
      <c r="BK148" s="13" t="s">
        <v>5561</v>
      </c>
      <c r="BL148" s="13" t="s">
        <v>5535</v>
      </c>
      <c r="BM148" s="13" t="s">
        <v>8433</v>
      </c>
      <c r="BN148" s="13" t="s">
        <v>5510</v>
      </c>
      <c r="BO148" s="13" t="s">
        <v>5537</v>
      </c>
      <c r="BP148" s="13" t="s">
        <v>5510</v>
      </c>
      <c r="BQ148" s="13" t="s">
        <v>5510</v>
      </c>
      <c r="BR148" s="13" t="s">
        <v>5538</v>
      </c>
      <c r="BS148" s="13" t="s">
        <v>8434</v>
      </c>
      <c r="BT148" s="13">
        <v>23713.0</v>
      </c>
      <c r="BU148" s="13" t="s">
        <v>5540</v>
      </c>
      <c r="BV148" s="13" t="s">
        <v>4856</v>
      </c>
      <c r="BW148" s="13" t="str">
        <f>VLOOKUP($BT148,Enriched!$A$2:$E$1070,5,false)</f>
        <v>["Agriculture &amp; Aquaculture"]</v>
      </c>
      <c r="BX148" s="13" t="str">
        <f>VLOOKUP($BT148,Enriched!$A$2:$E$1070,4,false)</f>
        <v>["Livestock farming &amp; ranching"]</v>
      </c>
      <c r="BY148" s="13" t="b">
        <f>VLOOKUP(BT148,Enriched!$A$1:$AA$1070,27,falsE)</f>
        <v>0</v>
      </c>
      <c r="BZ148" s="2" t="str">
        <f>VLOOKUP(BT148,Enriched!$A$1:$AA$1070,14,falsE)</f>
        <v>level1</v>
      </c>
      <c r="CA148" s="13" t="str">
        <f>HYPERLINK("https%3A%2F%2Fwww.webofscience.com%2Fwos%2Fwoscc%2Ffull-record%2FWOS:000519871100001","View Full Record in Web of Science")</f>
        <v>View Full Record in Web of Science</v>
      </c>
    </row>
    <row r="149" ht="12.75" customHeight="1">
      <c r="A149" s="13" t="s">
        <v>5508</v>
      </c>
      <c r="B149" s="13" t="s">
        <v>8435</v>
      </c>
      <c r="C149" s="13" t="s">
        <v>5510</v>
      </c>
      <c r="D149" s="13" t="s">
        <v>5510</v>
      </c>
      <c r="E149" s="13" t="s">
        <v>5510</v>
      </c>
      <c r="F149" s="13" t="s">
        <v>8436</v>
      </c>
      <c r="G149" s="13" t="s">
        <v>5510</v>
      </c>
      <c r="H149" s="13" t="s">
        <v>5510</v>
      </c>
      <c r="I149" s="13" t="s">
        <v>2629</v>
      </c>
      <c r="J149" s="13" t="s">
        <v>5746</v>
      </c>
      <c r="K149" s="13" t="s">
        <v>5510</v>
      </c>
      <c r="L149" s="13" t="s">
        <v>5510</v>
      </c>
      <c r="M149" s="13" t="s">
        <v>5513</v>
      </c>
      <c r="N149" s="13" t="s">
        <v>5514</v>
      </c>
      <c r="O149" s="13" t="s">
        <v>5510</v>
      </c>
      <c r="P149" s="13" t="s">
        <v>5510</v>
      </c>
      <c r="Q149" s="13" t="s">
        <v>5510</v>
      </c>
      <c r="R149" s="13" t="s">
        <v>5510</v>
      </c>
      <c r="S149" s="13" t="s">
        <v>5510</v>
      </c>
      <c r="T149" s="13" t="s">
        <v>8437</v>
      </c>
      <c r="U149" s="13" t="s">
        <v>8438</v>
      </c>
      <c r="V149" s="13" t="s">
        <v>8439</v>
      </c>
      <c r="W149" s="13" t="s">
        <v>8440</v>
      </c>
      <c r="X149" s="13" t="s">
        <v>8441</v>
      </c>
      <c r="Y149" s="13" t="s">
        <v>8442</v>
      </c>
      <c r="Z149" s="13" t="s">
        <v>8443</v>
      </c>
      <c r="AA149" s="13" t="s">
        <v>8444</v>
      </c>
      <c r="AB149" s="13" t="s">
        <v>8445</v>
      </c>
      <c r="AC149" s="13" t="s">
        <v>8446</v>
      </c>
      <c r="AD149" s="13" t="s">
        <v>8447</v>
      </c>
      <c r="AE149" s="13" t="s">
        <v>8448</v>
      </c>
      <c r="AF149" s="13" t="s">
        <v>5510</v>
      </c>
      <c r="AG149" s="13">
        <v>63.0</v>
      </c>
      <c r="AH149" s="13">
        <v>30.0</v>
      </c>
      <c r="AI149" s="13">
        <v>34.0</v>
      </c>
      <c r="AJ149" s="13">
        <v>0.0</v>
      </c>
      <c r="AK149" s="13">
        <v>78.0</v>
      </c>
      <c r="AL149" s="13" t="s">
        <v>5759</v>
      </c>
      <c r="AM149" s="13" t="s">
        <v>5760</v>
      </c>
      <c r="AN149" s="13" t="s">
        <v>5761</v>
      </c>
      <c r="AO149" s="13" t="s">
        <v>5762</v>
      </c>
      <c r="AP149" s="13" t="s">
        <v>5763</v>
      </c>
      <c r="AQ149" s="13" t="s">
        <v>5510</v>
      </c>
      <c r="AR149" s="13" t="s">
        <v>5764</v>
      </c>
      <c r="AS149" s="13" t="s">
        <v>5765</v>
      </c>
      <c r="AT149" s="13" t="s">
        <v>8449</v>
      </c>
      <c r="AU149" s="13">
        <v>2018.0</v>
      </c>
      <c r="AV149" s="13">
        <v>618.0</v>
      </c>
      <c r="AW149" s="13" t="s">
        <v>5510</v>
      </c>
      <c r="AX149" s="13" t="s">
        <v>5510</v>
      </c>
      <c r="AY149" s="13" t="s">
        <v>5510</v>
      </c>
      <c r="AZ149" s="13" t="s">
        <v>5510</v>
      </c>
      <c r="BA149" s="13" t="s">
        <v>5510</v>
      </c>
      <c r="BB149" s="13">
        <v>1008.0</v>
      </c>
      <c r="BC149" s="13">
        <v>1023.0</v>
      </c>
      <c r="BD149" s="13" t="s">
        <v>5510</v>
      </c>
      <c r="BE149" s="13" t="s">
        <v>8450</v>
      </c>
      <c r="BF149" s="52" t="str">
        <f>HYPERLINK("http://dx.doi.org/10.1016/j.scitotenv.2017.09.076","http://dx.doi.org/10.1016/j.scitotenv.2017.09.076")</f>
        <v>http://dx.doi.org/10.1016/j.scitotenv.2017.09.076</v>
      </c>
      <c r="BG149" s="13" t="s">
        <v>5510</v>
      </c>
      <c r="BH149" s="13" t="s">
        <v>5510</v>
      </c>
      <c r="BI149" s="13">
        <v>16.0</v>
      </c>
      <c r="BJ149" s="13" t="s">
        <v>5768</v>
      </c>
      <c r="BK149" s="13" t="s">
        <v>5561</v>
      </c>
      <c r="BL149" s="13" t="s">
        <v>5535</v>
      </c>
      <c r="BM149" s="13" t="s">
        <v>8451</v>
      </c>
      <c r="BN149" s="13">
        <v>2.9079085E7</v>
      </c>
      <c r="BO149" s="13" t="s">
        <v>6623</v>
      </c>
      <c r="BP149" s="13" t="s">
        <v>5510</v>
      </c>
      <c r="BQ149" s="13" t="s">
        <v>5510</v>
      </c>
      <c r="BR149" s="13" t="s">
        <v>5538</v>
      </c>
      <c r="BS149" s="13" t="s">
        <v>8452</v>
      </c>
      <c r="BT149" s="13">
        <v>23957.0</v>
      </c>
      <c r="BU149" s="13" t="s">
        <v>5540</v>
      </c>
      <c r="BV149" s="13" t="s">
        <v>4864</v>
      </c>
      <c r="BW149" s="13" t="str">
        <f>VLOOKUP($BT149,Enriched!$A$2:$E$1070,5,false)</f>
        <v>["Biological Resource Use", "Residential &amp; Commercial Development", "Energy Production &amp; Mining", "Transportation &amp; Service Corridors", "Pollution", "Invasive &amp; Other Problematic Species, Genes &amp; Diseases", "Climate Change &amp; Severe Weather"]</v>
      </c>
      <c r="BX149" s="13" t="str">
        <f>VLOOKUP($BT149,Enriched!$A$2:$E$1070,4,false)</f>
        <v>["Fishing &amp; harvesting aquatic resources", "Commercial &amp; industrial areas", "Oil &amp; gas drilling", "Utility &amp; service lines", "Shipping lanes", "Garbage &amp; solid waste", "Industrial &amp; military effluents", "Mining &amp; quarrying", "Invasive non-native/alien species/diseases", "Temperature extremes", "Habitat shifting &amp; alteration"]</v>
      </c>
      <c r="BY149" s="13" t="b">
        <f>VLOOKUP(BT149,Enriched!$A$1:$AA$1070,27,falsE)</f>
        <v>0</v>
      </c>
      <c r="BZ149" s="2" t="str">
        <f>VLOOKUP(BT149,Enriched!$A$1:$AA$1070,14,falsE)</f>
        <v>cumulative</v>
      </c>
      <c r="CA149" s="13" t="str">
        <f>HYPERLINK("https%3A%2F%2Fwww.webofscience.com%2Fwos%2Fwoscc%2Ffull-record%2FWOS:000424130500104","View Full Record in Web of Science")</f>
        <v>View Full Record in Web of Science</v>
      </c>
    </row>
    <row r="150" ht="12.75" customHeight="1">
      <c r="A150" s="13" t="s">
        <v>5508</v>
      </c>
      <c r="B150" s="13" t="s">
        <v>8453</v>
      </c>
      <c r="C150" s="13" t="s">
        <v>5510</v>
      </c>
      <c r="D150" s="13" t="s">
        <v>5510</v>
      </c>
      <c r="E150" s="13" t="s">
        <v>5510</v>
      </c>
      <c r="F150" s="13" t="s">
        <v>8454</v>
      </c>
      <c r="G150" s="13" t="s">
        <v>5510</v>
      </c>
      <c r="H150" s="13" t="s">
        <v>5510</v>
      </c>
      <c r="I150" s="2" t="s">
        <v>2628</v>
      </c>
      <c r="J150" s="13" t="s">
        <v>5543</v>
      </c>
      <c r="K150" s="13" t="s">
        <v>5510</v>
      </c>
      <c r="L150" s="13" t="s">
        <v>5510</v>
      </c>
      <c r="M150" s="13" t="s">
        <v>5513</v>
      </c>
      <c r="N150" s="13" t="s">
        <v>6168</v>
      </c>
      <c r="O150" s="13" t="s">
        <v>5510</v>
      </c>
      <c r="P150" s="13" t="s">
        <v>5510</v>
      </c>
      <c r="Q150" s="13" t="s">
        <v>5510</v>
      </c>
      <c r="R150" s="13" t="s">
        <v>5510</v>
      </c>
      <c r="S150" s="13" t="s">
        <v>5510</v>
      </c>
      <c r="T150" s="13" t="s">
        <v>5510</v>
      </c>
      <c r="U150" s="13" t="s">
        <v>5510</v>
      </c>
      <c r="V150" s="13" t="s">
        <v>5510</v>
      </c>
      <c r="W150" s="13" t="s">
        <v>5510</v>
      </c>
      <c r="X150" s="13" t="s">
        <v>5510</v>
      </c>
      <c r="Y150" s="13" t="s">
        <v>5510</v>
      </c>
      <c r="Z150" s="13" t="s">
        <v>5510</v>
      </c>
      <c r="AA150" s="13" t="s">
        <v>8455</v>
      </c>
      <c r="AB150" s="13" t="s">
        <v>5510</v>
      </c>
      <c r="AC150" s="13" t="s">
        <v>5510</v>
      </c>
      <c r="AD150" s="13" t="s">
        <v>5510</v>
      </c>
      <c r="AE150" s="13" t="s">
        <v>5510</v>
      </c>
      <c r="AF150" s="13" t="s">
        <v>5510</v>
      </c>
      <c r="AG150" s="13">
        <v>1.0</v>
      </c>
      <c r="AH150" s="13">
        <v>0.0</v>
      </c>
      <c r="AI150" s="13">
        <v>0.0</v>
      </c>
      <c r="AJ150" s="13">
        <v>0.0</v>
      </c>
      <c r="AK150" s="13">
        <v>0.0</v>
      </c>
      <c r="AL150" s="13" t="s">
        <v>5552</v>
      </c>
      <c r="AM150" s="13" t="s">
        <v>5553</v>
      </c>
      <c r="AN150" s="13" t="s">
        <v>5554</v>
      </c>
      <c r="AO150" s="13" t="s">
        <v>5555</v>
      </c>
      <c r="AP150" s="13" t="s">
        <v>5510</v>
      </c>
      <c r="AQ150" s="13" t="s">
        <v>5510</v>
      </c>
      <c r="AR150" s="13" t="s">
        <v>5543</v>
      </c>
      <c r="AS150" s="13" t="s">
        <v>5556</v>
      </c>
      <c r="AT150" s="13" t="s">
        <v>7392</v>
      </c>
      <c r="AU150" s="13">
        <v>2018.0</v>
      </c>
      <c r="AV150" s="13">
        <v>13.0</v>
      </c>
      <c r="AW150" s="13">
        <v>1.0</v>
      </c>
      <c r="AX150" s="13" t="s">
        <v>5510</v>
      </c>
      <c r="AY150" s="13" t="s">
        <v>5510</v>
      </c>
      <c r="AZ150" s="13" t="s">
        <v>5510</v>
      </c>
      <c r="BA150" s="13" t="s">
        <v>5510</v>
      </c>
      <c r="BB150" s="13" t="s">
        <v>5510</v>
      </c>
      <c r="BC150" s="13" t="s">
        <v>5510</v>
      </c>
      <c r="BD150" s="13" t="s">
        <v>8456</v>
      </c>
      <c r="BE150" s="13" t="s">
        <v>8457</v>
      </c>
      <c r="BF150" s="52" t="str">
        <f>HYPERLINK("http://dx.doi.org/10.1371/journal.pone.0190760","http://dx.doi.org/10.1371/journal.pone.0190760")</f>
        <v>http://dx.doi.org/10.1371/journal.pone.0190760</v>
      </c>
      <c r="BG150" s="13" t="s">
        <v>5510</v>
      </c>
      <c r="BH150" s="13" t="s">
        <v>5510</v>
      </c>
      <c r="BI150" s="13">
        <v>1.0</v>
      </c>
      <c r="BJ150" s="13" t="s">
        <v>5560</v>
      </c>
      <c r="BK150" s="13" t="s">
        <v>5561</v>
      </c>
      <c r="BL150" s="13" t="s">
        <v>5562</v>
      </c>
      <c r="BM150" s="13" t="s">
        <v>8458</v>
      </c>
      <c r="BN150" s="13" t="s">
        <v>5510</v>
      </c>
      <c r="BO150" s="13" t="s">
        <v>5564</v>
      </c>
      <c r="BP150" s="13" t="s">
        <v>5510</v>
      </c>
      <c r="BQ150" s="13" t="s">
        <v>5510</v>
      </c>
      <c r="BR150" s="13" t="s">
        <v>5538</v>
      </c>
      <c r="BS150" s="13" t="s">
        <v>8459</v>
      </c>
      <c r="BT150" s="13">
        <v>23968.0</v>
      </c>
      <c r="BU150" s="13" t="s">
        <v>5540</v>
      </c>
      <c r="BV150" s="13" t="s">
        <v>4856</v>
      </c>
      <c r="BW150" s="13" t="str">
        <f>VLOOKUP($BT150,Enriched!$A$2:$E$1070,5,false)</f>
        <v>["Biological Resource Use", "Agriculture &amp; Aquaculture", "Natural System Modifications", "Energy Production &amp; Mining", "Climate Change &amp; Severe Weather"]</v>
      </c>
      <c r="BX150" s="13" t="str">
        <f>VLOOKUP($BT150,Enriched!$A$2:$E$1070,4,false)</f>
        <v>["Gathering terrestrial plants", "Livestock farming &amp; ranching", "Fire &amp; fire suppression", "Annual &amp; perennial non-timber crops", "Mining &amp; quarrying", "Habitat shifting &amp; alteration"]</v>
      </c>
      <c r="BY150" s="13" t="b">
        <f>VLOOKUP(BT150,Enriched!$A$1:$AA$1070,27,falsE)</f>
        <v>0</v>
      </c>
      <c r="BZ150" s="2" t="str">
        <f>VLOOKUP(BT150,Enriched!$A$1:$AA$1070,14,falsE)</f>
        <v>level2</v>
      </c>
      <c r="CA150" s="13" t="str">
        <f>HYPERLINK("https%3A%2F%2Fwww.webofscience.com%2Fwos%2Fwoscc%2Ffull-record%2FWOS:000419101600174","View Full Record in Web of Science")</f>
        <v>View Full Record in Web of Science</v>
      </c>
    </row>
    <row r="151" ht="12.75" customHeight="1">
      <c r="A151" s="13" t="s">
        <v>5508</v>
      </c>
      <c r="B151" s="13" t="s">
        <v>8460</v>
      </c>
      <c r="C151" s="13" t="s">
        <v>5510</v>
      </c>
      <c r="D151" s="13" t="s">
        <v>5510</v>
      </c>
      <c r="E151" s="13" t="s">
        <v>5510</v>
      </c>
      <c r="F151" s="13" t="s">
        <v>8461</v>
      </c>
      <c r="G151" s="13" t="s">
        <v>5510</v>
      </c>
      <c r="H151" s="13" t="s">
        <v>5510</v>
      </c>
      <c r="I151" s="13" t="s">
        <v>2628</v>
      </c>
      <c r="J151" s="13" t="s">
        <v>5543</v>
      </c>
      <c r="K151" s="13" t="s">
        <v>5510</v>
      </c>
      <c r="L151" s="13" t="s">
        <v>5510</v>
      </c>
      <c r="M151" s="13" t="s">
        <v>5513</v>
      </c>
      <c r="N151" s="13" t="s">
        <v>5514</v>
      </c>
      <c r="O151" s="13" t="s">
        <v>5510</v>
      </c>
      <c r="P151" s="13" t="s">
        <v>5510</v>
      </c>
      <c r="Q151" s="13" t="s">
        <v>5510</v>
      </c>
      <c r="R151" s="13" t="s">
        <v>5510</v>
      </c>
      <c r="S151" s="13" t="s">
        <v>5510</v>
      </c>
      <c r="T151" s="13" t="s">
        <v>5510</v>
      </c>
      <c r="U151" s="13" t="s">
        <v>8462</v>
      </c>
      <c r="V151" s="13" t="s">
        <v>8463</v>
      </c>
      <c r="W151" s="13" t="s">
        <v>8464</v>
      </c>
      <c r="X151" s="13" t="s">
        <v>8465</v>
      </c>
      <c r="Y151" s="13" t="s">
        <v>8466</v>
      </c>
      <c r="Z151" s="13" t="s">
        <v>8467</v>
      </c>
      <c r="AA151" s="13" t="s">
        <v>8468</v>
      </c>
      <c r="AB151" s="13" t="s">
        <v>8469</v>
      </c>
      <c r="AC151" s="13" t="s">
        <v>8470</v>
      </c>
      <c r="AD151" s="13" t="s">
        <v>8471</v>
      </c>
      <c r="AE151" s="13" t="s">
        <v>8472</v>
      </c>
      <c r="AF151" s="13" t="s">
        <v>5510</v>
      </c>
      <c r="AG151" s="13">
        <v>58.0</v>
      </c>
      <c r="AH151" s="13">
        <v>51.0</v>
      </c>
      <c r="AI151" s="13">
        <v>55.0</v>
      </c>
      <c r="AJ151" s="13">
        <v>0.0</v>
      </c>
      <c r="AK151" s="13">
        <v>13.0</v>
      </c>
      <c r="AL151" s="13" t="s">
        <v>5552</v>
      </c>
      <c r="AM151" s="13" t="s">
        <v>5553</v>
      </c>
      <c r="AN151" s="13" t="s">
        <v>5554</v>
      </c>
      <c r="AO151" s="13" t="s">
        <v>5555</v>
      </c>
      <c r="AP151" s="13" t="s">
        <v>5510</v>
      </c>
      <c r="AQ151" s="13" t="s">
        <v>5510</v>
      </c>
      <c r="AR151" s="13" t="s">
        <v>5543</v>
      </c>
      <c r="AS151" s="13" t="s">
        <v>5556</v>
      </c>
      <c r="AT151" s="13" t="s">
        <v>8473</v>
      </c>
      <c r="AU151" s="13">
        <v>2017.0</v>
      </c>
      <c r="AV151" s="13">
        <v>12.0</v>
      </c>
      <c r="AW151" s="13">
        <v>9.0</v>
      </c>
      <c r="AX151" s="13" t="s">
        <v>5510</v>
      </c>
      <c r="AY151" s="13" t="s">
        <v>5510</v>
      </c>
      <c r="AZ151" s="13" t="s">
        <v>5510</v>
      </c>
      <c r="BA151" s="13" t="s">
        <v>5510</v>
      </c>
      <c r="BB151" s="13" t="s">
        <v>5510</v>
      </c>
      <c r="BC151" s="13" t="s">
        <v>5510</v>
      </c>
      <c r="BD151" s="13" t="s">
        <v>8474</v>
      </c>
      <c r="BE151" s="13" t="s">
        <v>8475</v>
      </c>
      <c r="BF151" s="52" t="str">
        <f>HYPERLINK("http://dx.doi.org/10.1371/journal.pone.0184457","http://dx.doi.org/10.1371/journal.pone.0184457")</f>
        <v>http://dx.doi.org/10.1371/journal.pone.0184457</v>
      </c>
      <c r="BG151" s="13" t="s">
        <v>5510</v>
      </c>
      <c r="BH151" s="13" t="s">
        <v>5510</v>
      </c>
      <c r="BI151" s="13">
        <v>26.0</v>
      </c>
      <c r="BJ151" s="13" t="s">
        <v>5560</v>
      </c>
      <c r="BK151" s="13" t="s">
        <v>5561</v>
      </c>
      <c r="BL151" s="13" t="s">
        <v>5562</v>
      </c>
      <c r="BM151" s="13" t="s">
        <v>8476</v>
      </c>
      <c r="BN151" s="13">
        <v>2.8880962E7</v>
      </c>
      <c r="BO151" s="13" t="s">
        <v>8477</v>
      </c>
      <c r="BP151" s="13" t="s">
        <v>5510</v>
      </c>
      <c r="BQ151" s="13" t="s">
        <v>5510</v>
      </c>
      <c r="BR151" s="13" t="s">
        <v>5538</v>
      </c>
      <c r="BS151" s="13" t="s">
        <v>8478</v>
      </c>
      <c r="BT151" s="13">
        <v>23968.0</v>
      </c>
      <c r="BU151" s="13" t="s">
        <v>5540</v>
      </c>
      <c r="BV151" s="13" t="s">
        <v>4856</v>
      </c>
      <c r="BW151" s="13" t="str">
        <f>VLOOKUP($BT151,Enriched!$A$2:$E$1070,5,false)</f>
        <v>["Biological Resource Use", "Agriculture &amp; Aquaculture", "Natural System Modifications", "Energy Production &amp; Mining", "Climate Change &amp; Severe Weather"]</v>
      </c>
      <c r="BX151" s="13" t="str">
        <f>VLOOKUP($BT151,Enriched!$A$2:$E$1070,4,false)</f>
        <v>["Gathering terrestrial plants", "Livestock farming &amp; ranching", "Fire &amp; fire suppression", "Annual &amp; perennial non-timber crops", "Mining &amp; quarrying", "Habitat shifting &amp; alteration"]</v>
      </c>
      <c r="BY151" s="13" t="b">
        <f>VLOOKUP(BT151,Enriched!$A$1:$AA$1070,27,falsE)</f>
        <v>0</v>
      </c>
      <c r="BZ151" s="2" t="str">
        <f>VLOOKUP(BT151,Enriched!$A$1:$AA$1070,14,falsE)</f>
        <v>level2</v>
      </c>
      <c r="CA151" s="13" t="str">
        <f>HYPERLINK("https%3A%2F%2Fwww.webofscience.com%2Fwos%2Fwoscc%2Ffull-record%2FWOS:000409467200072","View Full Record in Web of Science")</f>
        <v>View Full Record in Web of Science</v>
      </c>
    </row>
    <row r="152" ht="12.75" customHeight="1">
      <c r="A152" s="13" t="s">
        <v>5508</v>
      </c>
      <c r="B152" s="13" t="s">
        <v>8479</v>
      </c>
      <c r="C152" s="13" t="s">
        <v>5510</v>
      </c>
      <c r="D152" s="13" t="s">
        <v>5510</v>
      </c>
      <c r="E152" s="13" t="s">
        <v>5510</v>
      </c>
      <c r="F152" s="13" t="s">
        <v>8480</v>
      </c>
      <c r="G152" s="13" t="s">
        <v>5510</v>
      </c>
      <c r="H152" s="13" t="s">
        <v>5510</v>
      </c>
      <c r="I152" s="13" t="s">
        <v>8481</v>
      </c>
      <c r="J152" s="13" t="s">
        <v>6008</v>
      </c>
      <c r="K152" s="13" t="s">
        <v>5510</v>
      </c>
      <c r="L152" s="13" t="s">
        <v>5510</v>
      </c>
      <c r="M152" s="13" t="s">
        <v>5513</v>
      </c>
      <c r="N152" s="13" t="s">
        <v>5514</v>
      </c>
      <c r="O152" s="13" t="s">
        <v>5510</v>
      </c>
      <c r="P152" s="13" t="s">
        <v>5510</v>
      </c>
      <c r="Q152" s="13" t="s">
        <v>5510</v>
      </c>
      <c r="R152" s="13" t="s">
        <v>5510</v>
      </c>
      <c r="S152" s="13" t="s">
        <v>5510</v>
      </c>
      <c r="T152" s="13" t="s">
        <v>8482</v>
      </c>
      <c r="U152" s="13" t="s">
        <v>8483</v>
      </c>
      <c r="V152" s="13" t="s">
        <v>8484</v>
      </c>
      <c r="W152" s="13" t="s">
        <v>8485</v>
      </c>
      <c r="X152" s="13" t="s">
        <v>8486</v>
      </c>
      <c r="Y152" s="13" t="s">
        <v>8487</v>
      </c>
      <c r="Z152" s="13" t="s">
        <v>8488</v>
      </c>
      <c r="AA152" s="13" t="s">
        <v>8489</v>
      </c>
      <c r="AB152" s="13" t="s">
        <v>8490</v>
      </c>
      <c r="AC152" s="13" t="s">
        <v>8491</v>
      </c>
      <c r="AD152" s="13" t="s">
        <v>8492</v>
      </c>
      <c r="AE152" s="13" t="s">
        <v>8493</v>
      </c>
      <c r="AF152" s="13" t="s">
        <v>5510</v>
      </c>
      <c r="AG152" s="13">
        <v>53.0</v>
      </c>
      <c r="AH152" s="13">
        <v>77.0</v>
      </c>
      <c r="AI152" s="13">
        <v>89.0</v>
      </c>
      <c r="AJ152" s="13">
        <v>1.0</v>
      </c>
      <c r="AK152" s="13">
        <v>113.0</v>
      </c>
      <c r="AL152" s="13" t="s">
        <v>5527</v>
      </c>
      <c r="AM152" s="13" t="s">
        <v>5528</v>
      </c>
      <c r="AN152" s="13" t="s">
        <v>5529</v>
      </c>
      <c r="AO152" s="13" t="s">
        <v>6020</v>
      </c>
      <c r="AP152" s="13" t="s">
        <v>6021</v>
      </c>
      <c r="AQ152" s="13" t="s">
        <v>5510</v>
      </c>
      <c r="AR152" s="13" t="s">
        <v>6022</v>
      </c>
      <c r="AS152" s="13" t="s">
        <v>6023</v>
      </c>
      <c r="AT152" s="13" t="s">
        <v>6828</v>
      </c>
      <c r="AU152" s="13">
        <v>2011.0</v>
      </c>
      <c r="AV152" s="13">
        <v>21.0</v>
      </c>
      <c r="AW152" s="13">
        <v>3.0</v>
      </c>
      <c r="AX152" s="13" t="s">
        <v>5510</v>
      </c>
      <c r="AY152" s="13" t="s">
        <v>5510</v>
      </c>
      <c r="AZ152" s="13" t="s">
        <v>5510</v>
      </c>
      <c r="BA152" s="13" t="s">
        <v>5510</v>
      </c>
      <c r="BB152" s="13">
        <v>955.0</v>
      </c>
      <c r="BC152" s="13">
        <v>967.0</v>
      </c>
      <c r="BD152" s="13" t="s">
        <v>5510</v>
      </c>
      <c r="BE152" s="13" t="s">
        <v>8494</v>
      </c>
      <c r="BF152" s="52" t="str">
        <f>HYPERLINK("http://dx.doi.org/10.1890/09-2167.1","http://dx.doi.org/10.1890/09-2167.1")</f>
        <v>http://dx.doi.org/10.1890/09-2167.1</v>
      </c>
      <c r="BG152" s="13" t="s">
        <v>5510</v>
      </c>
      <c r="BH152" s="13" t="s">
        <v>5510</v>
      </c>
      <c r="BI152" s="13">
        <v>13.0</v>
      </c>
      <c r="BJ152" s="13" t="s">
        <v>6026</v>
      </c>
      <c r="BK152" s="13" t="s">
        <v>5561</v>
      </c>
      <c r="BL152" s="13" t="s">
        <v>5535</v>
      </c>
      <c r="BM152" s="13" t="s">
        <v>8495</v>
      </c>
      <c r="BN152" s="13">
        <v>2.1639058E7</v>
      </c>
      <c r="BO152" s="13" t="s">
        <v>5510</v>
      </c>
      <c r="BP152" s="13" t="s">
        <v>5510</v>
      </c>
      <c r="BQ152" s="13" t="s">
        <v>5510</v>
      </c>
      <c r="BR152" s="13" t="s">
        <v>5538</v>
      </c>
      <c r="BS152" s="13" t="s">
        <v>8496</v>
      </c>
      <c r="BT152" s="13">
        <v>23364.0</v>
      </c>
      <c r="BU152" s="13" t="s">
        <v>5540</v>
      </c>
      <c r="BV152" s="13" t="s">
        <v>4856</v>
      </c>
      <c r="BW152" s="13" t="str">
        <f>VLOOKUP($BT152,Enriched!$A$2:$E$1070,5,false)</f>
        <v>["Human Intrusions &amp; Disturbance", "Residential &amp; Commercial Development"]</v>
      </c>
      <c r="BX152" s="13" t="str">
        <f>VLOOKUP($BT152,Enriched!$A$2:$E$1070,4,false)</f>
        <v>["Recreational activities", "Commercial &amp; industrial areas"]</v>
      </c>
      <c r="BY152" s="13" t="b">
        <f>VLOOKUP(BT152,Enriched!$A$1:$AA$1070,27,falsE)</f>
        <v>0</v>
      </c>
      <c r="BZ152" s="2" t="str">
        <f>VLOOKUP(BT152,Enriched!$A$1:$AA$1070,14,falsE)</f>
        <v>level2</v>
      </c>
      <c r="CA152" s="13" t="str">
        <f>HYPERLINK("https%3A%2F%2Fwww.webofscience.com%2Fwos%2Fwoscc%2Ffull-record%2FWOS:000290661300026","View Full Record in Web of Science")</f>
        <v>View Full Record in Web of Science</v>
      </c>
    </row>
    <row r="153" ht="12.75" customHeight="1">
      <c r="A153" s="13" t="s">
        <v>5508</v>
      </c>
      <c r="B153" s="13" t="s">
        <v>8497</v>
      </c>
      <c r="C153" s="13" t="s">
        <v>5510</v>
      </c>
      <c r="D153" s="13" t="s">
        <v>5510</v>
      </c>
      <c r="E153" s="13" t="s">
        <v>5510</v>
      </c>
      <c r="F153" s="13" t="s">
        <v>8498</v>
      </c>
      <c r="G153" s="13" t="s">
        <v>5510</v>
      </c>
      <c r="H153" s="13" t="s">
        <v>5510</v>
      </c>
      <c r="I153" s="13" t="s">
        <v>2623</v>
      </c>
      <c r="J153" s="13" t="s">
        <v>5746</v>
      </c>
      <c r="K153" s="13" t="s">
        <v>5510</v>
      </c>
      <c r="L153" s="13" t="s">
        <v>5510</v>
      </c>
      <c r="M153" s="13" t="s">
        <v>5513</v>
      </c>
      <c r="N153" s="13" t="s">
        <v>5514</v>
      </c>
      <c r="O153" s="13" t="s">
        <v>5510</v>
      </c>
      <c r="P153" s="13" t="s">
        <v>5510</v>
      </c>
      <c r="Q153" s="13" t="s">
        <v>5510</v>
      </c>
      <c r="R153" s="13" t="s">
        <v>5510</v>
      </c>
      <c r="S153" s="13" t="s">
        <v>5510</v>
      </c>
      <c r="T153" s="13" t="s">
        <v>8499</v>
      </c>
      <c r="U153" s="13" t="s">
        <v>8500</v>
      </c>
      <c r="V153" s="13" t="s">
        <v>8501</v>
      </c>
      <c r="W153" s="13" t="s">
        <v>8502</v>
      </c>
      <c r="X153" s="13" t="s">
        <v>8503</v>
      </c>
      <c r="Y153" s="13" t="s">
        <v>8504</v>
      </c>
      <c r="Z153" s="13" t="s">
        <v>8505</v>
      </c>
      <c r="AA153" s="13" t="s">
        <v>8506</v>
      </c>
      <c r="AB153" s="13" t="s">
        <v>8507</v>
      </c>
      <c r="AC153" s="13" t="s">
        <v>8508</v>
      </c>
      <c r="AD153" s="13" t="s">
        <v>8509</v>
      </c>
      <c r="AE153" s="13" t="s">
        <v>8510</v>
      </c>
      <c r="AF153" s="13" t="s">
        <v>5510</v>
      </c>
      <c r="AG153" s="13">
        <v>41.0</v>
      </c>
      <c r="AH153" s="13">
        <v>37.0</v>
      </c>
      <c r="AI153" s="13">
        <v>39.0</v>
      </c>
      <c r="AJ153" s="13">
        <v>1.0</v>
      </c>
      <c r="AK153" s="13">
        <v>171.0</v>
      </c>
      <c r="AL153" s="13" t="s">
        <v>5759</v>
      </c>
      <c r="AM153" s="13" t="s">
        <v>5760</v>
      </c>
      <c r="AN153" s="13" t="s">
        <v>5761</v>
      </c>
      <c r="AO153" s="13" t="s">
        <v>5762</v>
      </c>
      <c r="AP153" s="13" t="s">
        <v>5763</v>
      </c>
      <c r="AQ153" s="13" t="s">
        <v>5510</v>
      </c>
      <c r="AR153" s="13" t="s">
        <v>5764</v>
      </c>
      <c r="AS153" s="13" t="s">
        <v>5765</v>
      </c>
      <c r="AT153" s="13" t="s">
        <v>8511</v>
      </c>
      <c r="AU153" s="13">
        <v>2019.0</v>
      </c>
      <c r="AV153" s="13">
        <v>651.0</v>
      </c>
      <c r="AW153" s="13" t="s">
        <v>5510</v>
      </c>
      <c r="AX153" s="13">
        <v>1.0</v>
      </c>
      <c r="AY153" s="13" t="s">
        <v>5510</v>
      </c>
      <c r="AZ153" s="13" t="s">
        <v>5510</v>
      </c>
      <c r="BA153" s="13" t="s">
        <v>5510</v>
      </c>
      <c r="BB153" s="13">
        <v>1505.0</v>
      </c>
      <c r="BC153" s="13">
        <v>1516.0</v>
      </c>
      <c r="BD153" s="13" t="s">
        <v>5510</v>
      </c>
      <c r="BE153" s="13" t="s">
        <v>8512</v>
      </c>
      <c r="BF153" s="52" t="str">
        <f>HYPERLINK("http://dx.doi.org/10.1016/j.scitotenv.2018.08.419","http://dx.doi.org/10.1016/j.scitotenv.2018.08.419")</f>
        <v>http://dx.doi.org/10.1016/j.scitotenv.2018.08.419</v>
      </c>
      <c r="BG153" s="13" t="s">
        <v>5510</v>
      </c>
      <c r="BH153" s="13" t="s">
        <v>5510</v>
      </c>
      <c r="BI153" s="13">
        <v>12.0</v>
      </c>
      <c r="BJ153" s="13" t="s">
        <v>5768</v>
      </c>
      <c r="BK153" s="13" t="s">
        <v>5534</v>
      </c>
      <c r="BL153" s="13" t="s">
        <v>5535</v>
      </c>
      <c r="BM153" s="13" t="s">
        <v>8513</v>
      </c>
      <c r="BN153" s="13">
        <v>3.036028E7</v>
      </c>
      <c r="BO153" s="13" t="s">
        <v>5587</v>
      </c>
      <c r="BP153" s="13" t="s">
        <v>5510</v>
      </c>
      <c r="BQ153" s="13" t="s">
        <v>5510</v>
      </c>
      <c r="BR153" s="13" t="s">
        <v>5538</v>
      </c>
      <c r="BS153" s="13" t="s">
        <v>8514</v>
      </c>
      <c r="BT153" s="13">
        <v>23722.0</v>
      </c>
      <c r="BU153" s="13" t="s">
        <v>5540</v>
      </c>
      <c r="BV153" s="13" t="s">
        <v>4856</v>
      </c>
      <c r="BW153" s="13" t="str">
        <f>VLOOKUP($BT153,Enriched!$A$2:$E$1070,5,false)</f>
        <v>["Agriculture &amp; Aquaculture", "Energy Production &amp; Mining"]</v>
      </c>
      <c r="BX153" s="13" t="str">
        <f>VLOOKUP($BT153,Enriched!$A$2:$E$1070,4,false)</f>
        <v>["Annual &amp; perennial non-timber crops", "Renewable energy"]</v>
      </c>
      <c r="BY153" s="13" t="b">
        <f>VLOOKUP(BT153,Enriched!$A$1:$AA$1070,27,falsE)</f>
        <v>0</v>
      </c>
      <c r="BZ153" s="2" t="str">
        <f>VLOOKUP(BT153,Enriched!$A$1:$AA$1070,14,falsE)</f>
        <v>level2</v>
      </c>
      <c r="CA153" s="13" t="str">
        <f>HYPERLINK("https%3A%2F%2Fwww.webofscience.com%2Fwos%2Fwoscc%2Ffull-record%2FWOS:000447915400146","View Full Record in Web of Science")</f>
        <v>View Full Record in Web of Science</v>
      </c>
    </row>
    <row r="154" ht="12.75" customHeight="1">
      <c r="A154" s="13" t="s">
        <v>5508</v>
      </c>
      <c r="B154" s="13" t="s">
        <v>8515</v>
      </c>
      <c r="C154" s="13" t="s">
        <v>5510</v>
      </c>
      <c r="D154" s="13" t="s">
        <v>5510</v>
      </c>
      <c r="E154" s="13" t="s">
        <v>5510</v>
      </c>
      <c r="F154" s="13" t="s">
        <v>8516</v>
      </c>
      <c r="G154" s="13" t="s">
        <v>5510</v>
      </c>
      <c r="H154" s="13" t="s">
        <v>5510</v>
      </c>
      <c r="I154" s="13" t="s">
        <v>8517</v>
      </c>
      <c r="J154" s="13" t="s">
        <v>6008</v>
      </c>
      <c r="K154" s="13" t="s">
        <v>5510</v>
      </c>
      <c r="L154" s="13" t="s">
        <v>5510</v>
      </c>
      <c r="M154" s="13" t="s">
        <v>5513</v>
      </c>
      <c r="N154" s="13" t="s">
        <v>5514</v>
      </c>
      <c r="O154" s="13" t="s">
        <v>5510</v>
      </c>
      <c r="P154" s="13" t="s">
        <v>5510</v>
      </c>
      <c r="Q154" s="13" t="s">
        <v>5510</v>
      </c>
      <c r="R154" s="13" t="s">
        <v>5510</v>
      </c>
      <c r="S154" s="13" t="s">
        <v>5510</v>
      </c>
      <c r="T154" s="13" t="s">
        <v>8518</v>
      </c>
      <c r="U154" s="13" t="s">
        <v>8519</v>
      </c>
      <c r="V154" s="13" t="s">
        <v>8520</v>
      </c>
      <c r="W154" s="13" t="s">
        <v>8521</v>
      </c>
      <c r="X154" s="13" t="s">
        <v>8522</v>
      </c>
      <c r="Y154" s="13" t="s">
        <v>8523</v>
      </c>
      <c r="Z154" s="13" t="s">
        <v>8524</v>
      </c>
      <c r="AA154" s="13" t="s">
        <v>5510</v>
      </c>
      <c r="AB154" s="13" t="s">
        <v>5510</v>
      </c>
      <c r="AC154" s="13" t="s">
        <v>5510</v>
      </c>
      <c r="AD154" s="13" t="s">
        <v>5510</v>
      </c>
      <c r="AE154" s="13" t="s">
        <v>5510</v>
      </c>
      <c r="AF154" s="13" t="s">
        <v>5510</v>
      </c>
      <c r="AG154" s="13">
        <v>51.0</v>
      </c>
      <c r="AH154" s="13">
        <v>3.0</v>
      </c>
      <c r="AI154" s="13">
        <v>3.0</v>
      </c>
      <c r="AJ154" s="13">
        <v>0.0</v>
      </c>
      <c r="AK154" s="13">
        <v>28.0</v>
      </c>
      <c r="AL154" s="13" t="s">
        <v>5527</v>
      </c>
      <c r="AM154" s="13" t="s">
        <v>5528</v>
      </c>
      <c r="AN154" s="13" t="s">
        <v>5529</v>
      </c>
      <c r="AO154" s="13" t="s">
        <v>6020</v>
      </c>
      <c r="AP154" s="13" t="s">
        <v>6021</v>
      </c>
      <c r="AQ154" s="13" t="s">
        <v>5510</v>
      </c>
      <c r="AR154" s="13" t="s">
        <v>6022</v>
      </c>
      <c r="AS154" s="13" t="s">
        <v>6023</v>
      </c>
      <c r="AT154" s="13" t="s">
        <v>1925</v>
      </c>
      <c r="AU154" s="13">
        <v>2016.0</v>
      </c>
      <c r="AV154" s="13">
        <v>26.0</v>
      </c>
      <c r="AW154" s="13">
        <v>6.0</v>
      </c>
      <c r="AX154" s="13" t="s">
        <v>5510</v>
      </c>
      <c r="AY154" s="13" t="s">
        <v>5510</v>
      </c>
      <c r="AZ154" s="13" t="s">
        <v>5510</v>
      </c>
      <c r="BA154" s="13" t="s">
        <v>5510</v>
      </c>
      <c r="BB154" s="13">
        <v>1708.0</v>
      </c>
      <c r="BC154" s="13">
        <v>1720.0</v>
      </c>
      <c r="BD154" s="13" t="s">
        <v>5510</v>
      </c>
      <c r="BE154" s="13" t="s">
        <v>8525</v>
      </c>
      <c r="BF154" s="52" t="str">
        <f>HYPERLINK("http://dx.doi.org/10.1890/15-1410.1","http://dx.doi.org/10.1890/15-1410.1")</f>
        <v>http://dx.doi.org/10.1890/15-1410.1</v>
      </c>
      <c r="BG154" s="13" t="s">
        <v>5510</v>
      </c>
      <c r="BH154" s="13" t="s">
        <v>5510</v>
      </c>
      <c r="BI154" s="13">
        <v>13.0</v>
      </c>
      <c r="BJ154" s="13" t="s">
        <v>6026</v>
      </c>
      <c r="BK154" s="13" t="s">
        <v>5561</v>
      </c>
      <c r="BL154" s="13" t="s">
        <v>5535</v>
      </c>
      <c r="BM154" s="13" t="s">
        <v>8526</v>
      </c>
      <c r="BN154" s="13">
        <v>2.7755711E7</v>
      </c>
      <c r="BO154" s="13" t="s">
        <v>5510</v>
      </c>
      <c r="BP154" s="13" t="s">
        <v>5510</v>
      </c>
      <c r="BQ154" s="13" t="s">
        <v>5510</v>
      </c>
      <c r="BR154" s="13" t="s">
        <v>5538</v>
      </c>
      <c r="BS154" s="13" t="s">
        <v>8527</v>
      </c>
      <c r="BT154" s="13">
        <v>23170.0</v>
      </c>
      <c r="BU154" s="13" t="s">
        <v>5540</v>
      </c>
      <c r="BV154" s="13" t="s">
        <v>4864</v>
      </c>
      <c r="BW154" s="13" t="str">
        <f>VLOOKUP($BT154,Enriched!$A$2:$E$1070,5,false)</f>
        <v>["Energy Production &amp; Mining"]</v>
      </c>
      <c r="BX154" s="13" t="str">
        <f>VLOOKUP($BT154,Enriched!$A$2:$E$1070,4,false)</f>
        <v>["Oil &amp; gas drilling"]</v>
      </c>
      <c r="BY154" s="13" t="b">
        <f>VLOOKUP(BT154,Enriched!$A$1:$AA$1070,27,falsE)</f>
        <v>0</v>
      </c>
      <c r="BZ154" s="2" t="str">
        <f>VLOOKUP(BT154,Enriched!$A$1:$AA$1070,14,falsE)</f>
        <v>level2</v>
      </c>
      <c r="CA154" s="13" t="str">
        <f>HYPERLINK("https%3A%2F%2Fwww.webofscience.com%2Fwos%2Fwoscc%2Ffull-record%2FWOS:000383358000009","View Full Record in Web of Science")</f>
        <v>View Full Record in Web of Science</v>
      </c>
    </row>
    <row r="155" ht="12.75" customHeight="1">
      <c r="A155" s="13" t="s">
        <v>5508</v>
      </c>
      <c r="B155" s="13" t="s">
        <v>8528</v>
      </c>
      <c r="C155" s="13" t="s">
        <v>5510</v>
      </c>
      <c r="D155" s="13" t="s">
        <v>5510</v>
      </c>
      <c r="E155" s="13" t="s">
        <v>5510</v>
      </c>
      <c r="F155" s="13" t="s">
        <v>8529</v>
      </c>
      <c r="G155" s="13" t="s">
        <v>5510</v>
      </c>
      <c r="H155" s="13" t="s">
        <v>5510</v>
      </c>
      <c r="I155" s="13" t="s">
        <v>2617</v>
      </c>
      <c r="J155" s="13" t="s">
        <v>5677</v>
      </c>
      <c r="K155" s="13" t="s">
        <v>5510</v>
      </c>
      <c r="L155" s="13" t="s">
        <v>5510</v>
      </c>
      <c r="M155" s="13" t="s">
        <v>5513</v>
      </c>
      <c r="N155" s="13" t="s">
        <v>5514</v>
      </c>
      <c r="O155" s="13" t="s">
        <v>5510</v>
      </c>
      <c r="P155" s="13" t="s">
        <v>5510</v>
      </c>
      <c r="Q155" s="13" t="s">
        <v>5510</v>
      </c>
      <c r="R155" s="13" t="s">
        <v>5510</v>
      </c>
      <c r="S155" s="13" t="s">
        <v>5510</v>
      </c>
      <c r="T155" s="13" t="s">
        <v>8530</v>
      </c>
      <c r="U155" s="13" t="s">
        <v>8531</v>
      </c>
      <c r="V155" s="13" t="s">
        <v>8532</v>
      </c>
      <c r="W155" s="13" t="s">
        <v>8533</v>
      </c>
      <c r="X155" s="13" t="s">
        <v>8534</v>
      </c>
      <c r="Y155" s="13" t="s">
        <v>8535</v>
      </c>
      <c r="Z155" s="13" t="s">
        <v>8536</v>
      </c>
      <c r="AA155" s="13" t="s">
        <v>8537</v>
      </c>
      <c r="AB155" s="13" t="s">
        <v>8538</v>
      </c>
      <c r="AC155" s="13" t="s">
        <v>8539</v>
      </c>
      <c r="AD155" s="13" t="s">
        <v>8540</v>
      </c>
      <c r="AE155" s="13" t="s">
        <v>8541</v>
      </c>
      <c r="AF155" s="13" t="s">
        <v>5510</v>
      </c>
      <c r="AG155" s="13">
        <v>87.0</v>
      </c>
      <c r="AH155" s="13">
        <v>16.0</v>
      </c>
      <c r="AI155" s="13">
        <v>18.0</v>
      </c>
      <c r="AJ155" s="13">
        <v>1.0</v>
      </c>
      <c r="AK155" s="13">
        <v>85.0</v>
      </c>
      <c r="AL155" s="13" t="s">
        <v>5690</v>
      </c>
      <c r="AM155" s="13" t="s">
        <v>5691</v>
      </c>
      <c r="AN155" s="13" t="s">
        <v>5692</v>
      </c>
      <c r="AO155" s="13" t="s">
        <v>5693</v>
      </c>
      <c r="AP155" s="13" t="s">
        <v>5694</v>
      </c>
      <c r="AQ155" s="13" t="s">
        <v>5510</v>
      </c>
      <c r="AR155" s="13" t="s">
        <v>5695</v>
      </c>
      <c r="AS155" s="13" t="s">
        <v>5696</v>
      </c>
      <c r="AT155" s="13" t="s">
        <v>5978</v>
      </c>
      <c r="AU155" s="13">
        <v>2017.0</v>
      </c>
      <c r="AV155" s="13">
        <v>26.0</v>
      </c>
      <c r="AW155" s="13">
        <v>13.0</v>
      </c>
      <c r="AX155" s="13" t="s">
        <v>5510</v>
      </c>
      <c r="AY155" s="13" t="s">
        <v>5510</v>
      </c>
      <c r="AZ155" s="13" t="s">
        <v>5646</v>
      </c>
      <c r="BA155" s="13" t="s">
        <v>5510</v>
      </c>
      <c r="BB155" s="13">
        <v>3213.0</v>
      </c>
      <c r="BC155" s="13">
        <v>3239.0</v>
      </c>
      <c r="BD155" s="13" t="s">
        <v>5510</v>
      </c>
      <c r="BE155" s="13" t="s">
        <v>8542</v>
      </c>
      <c r="BF155" s="52" t="str">
        <f>HYPERLINK("http://dx.doi.org/10.1007/s10531-016-1135-5","http://dx.doi.org/10.1007/s10531-016-1135-5")</f>
        <v>http://dx.doi.org/10.1007/s10531-016-1135-5</v>
      </c>
      <c r="BG155" s="13" t="s">
        <v>5510</v>
      </c>
      <c r="BH155" s="13" t="s">
        <v>5510</v>
      </c>
      <c r="BI155" s="13">
        <v>27.0</v>
      </c>
      <c r="BJ155" s="13" t="s">
        <v>5698</v>
      </c>
      <c r="BK155" s="13" t="s">
        <v>5534</v>
      </c>
      <c r="BL155" s="13" t="s">
        <v>5699</v>
      </c>
      <c r="BM155" s="13" t="s">
        <v>8543</v>
      </c>
      <c r="BN155" s="13" t="s">
        <v>5510</v>
      </c>
      <c r="BO155" s="13" t="s">
        <v>5510</v>
      </c>
      <c r="BP155" s="13" t="s">
        <v>5510</v>
      </c>
      <c r="BQ155" s="13" t="s">
        <v>5510</v>
      </c>
      <c r="BR155" s="13" t="s">
        <v>5538</v>
      </c>
      <c r="BS155" s="13" t="s">
        <v>8544</v>
      </c>
      <c r="BT155" s="13">
        <v>25878.0</v>
      </c>
      <c r="BU155" s="13" t="s">
        <v>5540</v>
      </c>
      <c r="BV155" s="13" t="s">
        <v>4856</v>
      </c>
      <c r="BW155" s="13" t="str">
        <f>VLOOKUP($BT155,Enriched!$A$2:$E$1070,5,false)</f>
        <v>["Human Intrusions &amp; Disturbance", "Agriculture &amp; Aquaculture"]</v>
      </c>
      <c r="BX155" s="13" t="str">
        <f>VLOOKUP($BT155,Enriched!$A$2:$E$1070,4,false)</f>
        <v>["Recreational activities", "Wood &amp; pulp plantations"]</v>
      </c>
      <c r="BY155" s="13" t="b">
        <f>VLOOKUP(BT155,Enriched!$A$1:$AA$1070,27,falsE)</f>
        <v>0</v>
      </c>
      <c r="BZ155" s="2" t="str">
        <f>VLOOKUP(BT155,Enriched!$A$1:$AA$1070,14,falsE)</f>
        <v>level2</v>
      </c>
      <c r="CA155" s="13" t="str">
        <f>HYPERLINK("https%3A%2F%2Fwww.webofscience.com%2Fwos%2Fwoscc%2Ffull-record%2FWOS:000415281200010","View Full Record in Web of Science")</f>
        <v>View Full Record in Web of Science</v>
      </c>
    </row>
    <row r="156" ht="12.75" customHeight="1">
      <c r="A156" s="13" t="s">
        <v>5508</v>
      </c>
      <c r="B156" s="13" t="s">
        <v>8545</v>
      </c>
      <c r="C156" s="13" t="s">
        <v>5510</v>
      </c>
      <c r="D156" s="13" t="s">
        <v>5510</v>
      </c>
      <c r="E156" s="13" t="s">
        <v>5510</v>
      </c>
      <c r="F156" s="13" t="s">
        <v>8546</v>
      </c>
      <c r="G156" s="13" t="s">
        <v>5510</v>
      </c>
      <c r="H156" s="13" t="s">
        <v>5510</v>
      </c>
      <c r="I156" s="13" t="s">
        <v>2615</v>
      </c>
      <c r="J156" s="13" t="s">
        <v>5543</v>
      </c>
      <c r="K156" s="13" t="s">
        <v>5510</v>
      </c>
      <c r="L156" s="13" t="s">
        <v>5510</v>
      </c>
      <c r="M156" s="13" t="s">
        <v>5513</v>
      </c>
      <c r="N156" s="13" t="s">
        <v>5514</v>
      </c>
      <c r="O156" s="13" t="s">
        <v>5510</v>
      </c>
      <c r="P156" s="13" t="s">
        <v>5510</v>
      </c>
      <c r="Q156" s="13" t="s">
        <v>5510</v>
      </c>
      <c r="R156" s="13" t="s">
        <v>5510</v>
      </c>
      <c r="S156" s="13" t="s">
        <v>5510</v>
      </c>
      <c r="T156" s="13" t="s">
        <v>5510</v>
      </c>
      <c r="U156" s="13" t="s">
        <v>8547</v>
      </c>
      <c r="V156" s="13" t="s">
        <v>8548</v>
      </c>
      <c r="W156" s="13" t="s">
        <v>8549</v>
      </c>
      <c r="X156" s="13" t="s">
        <v>8550</v>
      </c>
      <c r="Y156" s="13" t="s">
        <v>8551</v>
      </c>
      <c r="Z156" s="13" t="s">
        <v>8552</v>
      </c>
      <c r="AA156" s="13" t="s">
        <v>8553</v>
      </c>
      <c r="AB156" s="13" t="s">
        <v>8554</v>
      </c>
      <c r="AC156" s="13" t="s">
        <v>8555</v>
      </c>
      <c r="AD156" s="13" t="s">
        <v>8556</v>
      </c>
      <c r="AE156" s="13" t="s">
        <v>8557</v>
      </c>
      <c r="AF156" s="13" t="s">
        <v>5510</v>
      </c>
      <c r="AG156" s="13">
        <v>88.0</v>
      </c>
      <c r="AH156" s="13">
        <v>35.0</v>
      </c>
      <c r="AI156" s="13">
        <v>37.0</v>
      </c>
      <c r="AJ156" s="13">
        <v>4.0</v>
      </c>
      <c r="AK156" s="13">
        <v>24.0</v>
      </c>
      <c r="AL156" s="13" t="s">
        <v>5552</v>
      </c>
      <c r="AM156" s="13" t="s">
        <v>5553</v>
      </c>
      <c r="AN156" s="13" t="s">
        <v>5554</v>
      </c>
      <c r="AO156" s="13" t="s">
        <v>5555</v>
      </c>
      <c r="AP156" s="13" t="s">
        <v>5510</v>
      </c>
      <c r="AQ156" s="13" t="s">
        <v>5510</v>
      </c>
      <c r="AR156" s="13" t="s">
        <v>5543</v>
      </c>
      <c r="AS156" s="13" t="s">
        <v>5556</v>
      </c>
      <c r="AT156" s="13" t="s">
        <v>8558</v>
      </c>
      <c r="AU156" s="13">
        <v>2018.0</v>
      </c>
      <c r="AV156" s="13">
        <v>13.0</v>
      </c>
      <c r="AW156" s="13">
        <v>10.0</v>
      </c>
      <c r="AX156" s="13" t="s">
        <v>5510</v>
      </c>
      <c r="AY156" s="13" t="s">
        <v>5510</v>
      </c>
      <c r="AZ156" s="13" t="s">
        <v>5510</v>
      </c>
      <c r="BA156" s="13" t="s">
        <v>5510</v>
      </c>
      <c r="BB156" s="13" t="s">
        <v>5510</v>
      </c>
      <c r="BC156" s="13" t="s">
        <v>5510</v>
      </c>
      <c r="BD156" s="13" t="s">
        <v>8559</v>
      </c>
      <c r="BE156" s="13" t="s">
        <v>8560</v>
      </c>
      <c r="BF156" s="52" t="str">
        <f>HYPERLINK("http://dx.doi.org/10.1371/journal.pone.0204370","http://dx.doi.org/10.1371/journal.pone.0204370")</f>
        <v>http://dx.doi.org/10.1371/journal.pone.0204370</v>
      </c>
      <c r="BG156" s="13" t="s">
        <v>5510</v>
      </c>
      <c r="BH156" s="13" t="s">
        <v>5510</v>
      </c>
      <c r="BI156" s="13">
        <v>17.0</v>
      </c>
      <c r="BJ156" s="13" t="s">
        <v>5560</v>
      </c>
      <c r="BK156" s="13" t="s">
        <v>5561</v>
      </c>
      <c r="BL156" s="13" t="s">
        <v>5562</v>
      </c>
      <c r="BM156" s="13" t="s">
        <v>8561</v>
      </c>
      <c r="BN156" s="13">
        <v>3.030404E7</v>
      </c>
      <c r="BO156" s="13" t="s">
        <v>5564</v>
      </c>
      <c r="BP156" s="13" t="s">
        <v>5510</v>
      </c>
      <c r="BQ156" s="13" t="s">
        <v>5510</v>
      </c>
      <c r="BR156" s="13" t="s">
        <v>5538</v>
      </c>
      <c r="BS156" s="13" t="s">
        <v>8562</v>
      </c>
      <c r="BT156" s="13">
        <v>23013.0</v>
      </c>
      <c r="BU156" s="13" t="s">
        <v>5540</v>
      </c>
      <c r="BV156" s="13" t="s">
        <v>4856</v>
      </c>
      <c r="BW156" s="13" t="str">
        <f>VLOOKUP($BT156,Enriched!$A$2:$E$1070,5,false)</f>
        <v>["Agriculture &amp; Aquaculture", "Biological Resource Use", "Human Intrusions &amp; Disturbance"]</v>
      </c>
      <c r="BX156" s="13" t="str">
        <f>VLOOKUP($BT156,Enriched!$A$2:$E$1070,4,false)</f>
        <v>["Housing &amp; urban area", "Livestock farming &amp; ranching", "Hunting &amp; collecting terrestrial animals", "Work &amp; other activities"]</v>
      </c>
      <c r="BY156" s="13" t="b">
        <f>VLOOKUP(BT156,Enriched!$A$1:$AA$1070,27,falsE)</f>
        <v>0</v>
      </c>
      <c r="BZ156" s="2" t="str">
        <f>VLOOKUP(BT156,Enriched!$A$1:$AA$1070,14,falsE)</f>
        <v>cumulative</v>
      </c>
      <c r="CA156" s="13" t="str">
        <f>HYPERLINK("https%3A%2F%2Fwww.webofscience.com%2Fwos%2Fwoscc%2Ffull-record%2FWOS:000446921100046","View Full Record in Web of Science")</f>
        <v>View Full Record in Web of Science</v>
      </c>
    </row>
    <row r="157" ht="12.75" customHeight="1">
      <c r="A157" s="13" t="s">
        <v>5508</v>
      </c>
      <c r="B157" s="13" t="s">
        <v>8563</v>
      </c>
      <c r="C157" s="13" t="s">
        <v>5510</v>
      </c>
      <c r="D157" s="13" t="s">
        <v>5510</v>
      </c>
      <c r="E157" s="13" t="s">
        <v>5510</v>
      </c>
      <c r="F157" s="13" t="s">
        <v>8564</v>
      </c>
      <c r="G157" s="13" t="s">
        <v>5510</v>
      </c>
      <c r="H157" s="13" t="s">
        <v>5510</v>
      </c>
      <c r="I157" s="13" t="s">
        <v>2612</v>
      </c>
      <c r="J157" s="13" t="s">
        <v>7193</v>
      </c>
      <c r="K157" s="13" t="s">
        <v>5510</v>
      </c>
      <c r="L157" s="13" t="s">
        <v>5510</v>
      </c>
      <c r="M157" s="13" t="s">
        <v>5513</v>
      </c>
      <c r="N157" s="13" t="s">
        <v>5514</v>
      </c>
      <c r="O157" s="13" t="s">
        <v>5510</v>
      </c>
      <c r="P157" s="13" t="s">
        <v>5510</v>
      </c>
      <c r="Q157" s="13" t="s">
        <v>5510</v>
      </c>
      <c r="R157" s="13" t="s">
        <v>5510</v>
      </c>
      <c r="S157" s="13" t="s">
        <v>5510</v>
      </c>
      <c r="T157" s="13" t="s">
        <v>8565</v>
      </c>
      <c r="U157" s="13" t="s">
        <v>8566</v>
      </c>
      <c r="V157" s="13" t="s">
        <v>8567</v>
      </c>
      <c r="W157" s="13" t="s">
        <v>8568</v>
      </c>
      <c r="X157" s="13" t="s">
        <v>8569</v>
      </c>
      <c r="Y157" s="13" t="s">
        <v>8570</v>
      </c>
      <c r="Z157" s="13" t="s">
        <v>8571</v>
      </c>
      <c r="AA157" s="13" t="s">
        <v>5510</v>
      </c>
      <c r="AB157" s="13" t="s">
        <v>8572</v>
      </c>
      <c r="AC157" s="13" t="s">
        <v>8573</v>
      </c>
      <c r="AD157" s="13" t="s">
        <v>8574</v>
      </c>
      <c r="AE157" s="13" t="s">
        <v>8575</v>
      </c>
      <c r="AF157" s="13" t="s">
        <v>5510</v>
      </c>
      <c r="AG157" s="13">
        <v>41.0</v>
      </c>
      <c r="AH157" s="13">
        <v>68.0</v>
      </c>
      <c r="AI157" s="13">
        <v>86.0</v>
      </c>
      <c r="AJ157" s="13">
        <v>0.0</v>
      </c>
      <c r="AK157" s="13">
        <v>98.0</v>
      </c>
      <c r="AL157" s="13" t="s">
        <v>5690</v>
      </c>
      <c r="AM157" s="13" t="s">
        <v>5691</v>
      </c>
      <c r="AN157" s="13" t="s">
        <v>5692</v>
      </c>
      <c r="AO157" s="13" t="s">
        <v>7203</v>
      </c>
      <c r="AP157" s="13" t="s">
        <v>7204</v>
      </c>
      <c r="AQ157" s="13" t="s">
        <v>5510</v>
      </c>
      <c r="AR157" s="13" t="s">
        <v>7205</v>
      </c>
      <c r="AS157" s="13" t="s">
        <v>7206</v>
      </c>
      <c r="AT157" s="13" t="s">
        <v>2738</v>
      </c>
      <c r="AU157" s="13">
        <v>2011.0</v>
      </c>
      <c r="AV157" s="13">
        <v>13.0</v>
      </c>
      <c r="AW157" s="13">
        <v>2.0</v>
      </c>
      <c r="AX157" s="13" t="s">
        <v>5510</v>
      </c>
      <c r="AY157" s="13" t="s">
        <v>5510</v>
      </c>
      <c r="AZ157" s="13" t="s">
        <v>5510</v>
      </c>
      <c r="BA157" s="13" t="s">
        <v>5510</v>
      </c>
      <c r="BB157" s="13">
        <v>349.0</v>
      </c>
      <c r="BC157" s="13">
        <v>358.0</v>
      </c>
      <c r="BD157" s="13" t="s">
        <v>5510</v>
      </c>
      <c r="BE157" s="13" t="s">
        <v>8576</v>
      </c>
      <c r="BF157" s="52" t="str">
        <f>HYPERLINK("http://dx.doi.org/10.1007/s10530-010-9826-4","http://dx.doi.org/10.1007/s10530-010-9826-4")</f>
        <v>http://dx.doi.org/10.1007/s10530-010-9826-4</v>
      </c>
      <c r="BG157" s="13" t="s">
        <v>5510</v>
      </c>
      <c r="BH157" s="13" t="s">
        <v>5510</v>
      </c>
      <c r="BI157" s="13">
        <v>10.0</v>
      </c>
      <c r="BJ157" s="13" t="s">
        <v>5958</v>
      </c>
      <c r="BK157" s="13" t="s">
        <v>5561</v>
      </c>
      <c r="BL157" s="13" t="s">
        <v>5699</v>
      </c>
      <c r="BM157" s="13" t="s">
        <v>8577</v>
      </c>
      <c r="BN157" s="13" t="s">
        <v>5510</v>
      </c>
      <c r="BO157" s="13" t="s">
        <v>5510</v>
      </c>
      <c r="BP157" s="13" t="s">
        <v>5510</v>
      </c>
      <c r="BQ157" s="13" t="s">
        <v>5510</v>
      </c>
      <c r="BR157" s="13" t="s">
        <v>5538</v>
      </c>
      <c r="BS157" s="13" t="s">
        <v>8578</v>
      </c>
      <c r="BT157" s="13">
        <v>25630.0</v>
      </c>
      <c r="BU157" s="13" t="s">
        <v>5540</v>
      </c>
      <c r="BV157" s="13" t="s">
        <v>4856</v>
      </c>
      <c r="BW157" s="13" t="str">
        <f>VLOOKUP($BT157,Enriched!$A$2:$E$1070,5,false)</f>
        <v>["Invasive &amp; other problematic species, genes &amp; diseases"]</v>
      </c>
      <c r="BX157" s="13" t="str">
        <f>VLOOKUP($BT157,Enriched!$A$2:$E$1070,4,false)</f>
        <v>["Invasive non-native/alien species/diseases"]</v>
      </c>
      <c r="BY157" s="13" t="b">
        <f>VLOOKUP(BT157,Enriched!$A$1:$AA$1070,27,falsE)</f>
        <v>0</v>
      </c>
      <c r="BZ157" s="2" t="str">
        <f>VLOOKUP(BT157,Enriched!$A$1:$AA$1070,14,falsE)</f>
        <v>level2</v>
      </c>
      <c r="CA157" s="13" t="str">
        <f>HYPERLINK("https%3A%2F%2Fwww.webofscience.com%2Fwos%2Fwoscc%2Ffull-record%2FWOS:000285998700010","View Full Record in Web of Science")</f>
        <v>View Full Record in Web of Science</v>
      </c>
    </row>
    <row r="158" ht="12.75" customHeight="1">
      <c r="A158" s="13" t="s">
        <v>5508</v>
      </c>
      <c r="B158" s="13" t="s">
        <v>8579</v>
      </c>
      <c r="C158" s="13" t="s">
        <v>5510</v>
      </c>
      <c r="D158" s="13" t="s">
        <v>5510</v>
      </c>
      <c r="E158" s="13" t="s">
        <v>5510</v>
      </c>
      <c r="F158" s="13" t="s">
        <v>8580</v>
      </c>
      <c r="G158" s="13" t="s">
        <v>5510</v>
      </c>
      <c r="H158" s="13" t="s">
        <v>5510</v>
      </c>
      <c r="I158" s="13" t="s">
        <v>8581</v>
      </c>
      <c r="J158" s="13" t="s">
        <v>8582</v>
      </c>
      <c r="K158" s="13" t="s">
        <v>5510</v>
      </c>
      <c r="L158" s="13" t="s">
        <v>5510</v>
      </c>
      <c r="M158" s="13" t="s">
        <v>5513</v>
      </c>
      <c r="N158" s="13" t="s">
        <v>5514</v>
      </c>
      <c r="O158" s="13" t="s">
        <v>5510</v>
      </c>
      <c r="P158" s="13" t="s">
        <v>5510</v>
      </c>
      <c r="Q158" s="13" t="s">
        <v>5510</v>
      </c>
      <c r="R158" s="13" t="s">
        <v>5510</v>
      </c>
      <c r="S158" s="13" t="s">
        <v>5510</v>
      </c>
      <c r="T158" s="13" t="s">
        <v>8583</v>
      </c>
      <c r="U158" s="13" t="s">
        <v>8584</v>
      </c>
      <c r="V158" s="13" t="s">
        <v>8585</v>
      </c>
      <c r="W158" s="13" t="s">
        <v>8586</v>
      </c>
      <c r="X158" s="13" t="s">
        <v>8587</v>
      </c>
      <c r="Y158" s="13" t="s">
        <v>8588</v>
      </c>
      <c r="Z158" s="13" t="s">
        <v>8589</v>
      </c>
      <c r="AA158" s="13" t="s">
        <v>8590</v>
      </c>
      <c r="AB158" s="13" t="s">
        <v>8591</v>
      </c>
      <c r="AC158" s="13" t="s">
        <v>5510</v>
      </c>
      <c r="AD158" s="13" t="s">
        <v>5510</v>
      </c>
      <c r="AE158" s="13" t="s">
        <v>5510</v>
      </c>
      <c r="AF158" s="13" t="s">
        <v>5510</v>
      </c>
      <c r="AG158" s="13">
        <v>58.0</v>
      </c>
      <c r="AH158" s="13">
        <v>13.0</v>
      </c>
      <c r="AI158" s="13">
        <v>19.0</v>
      </c>
      <c r="AJ158" s="13">
        <v>0.0</v>
      </c>
      <c r="AK158" s="13">
        <v>51.0</v>
      </c>
      <c r="AL158" s="13" t="s">
        <v>5690</v>
      </c>
      <c r="AM158" s="13" t="s">
        <v>6503</v>
      </c>
      <c r="AN158" s="13" t="s">
        <v>6504</v>
      </c>
      <c r="AO158" s="13" t="s">
        <v>8592</v>
      </c>
      <c r="AP158" s="13" t="s">
        <v>8593</v>
      </c>
      <c r="AQ158" s="13" t="s">
        <v>5510</v>
      </c>
      <c r="AR158" s="13" t="s">
        <v>8594</v>
      </c>
      <c r="AS158" s="13" t="s">
        <v>8595</v>
      </c>
      <c r="AT158" s="13" t="s">
        <v>6089</v>
      </c>
      <c r="AU158" s="13">
        <v>2011.0</v>
      </c>
      <c r="AV158" s="13">
        <v>47.0</v>
      </c>
      <c r="AW158" s="13">
        <v>3.0</v>
      </c>
      <c r="AX158" s="13" t="s">
        <v>5510</v>
      </c>
      <c r="AY158" s="13" t="s">
        <v>5510</v>
      </c>
      <c r="AZ158" s="13" t="s">
        <v>5510</v>
      </c>
      <c r="BA158" s="13" t="s">
        <v>5510</v>
      </c>
      <c r="BB158" s="13">
        <v>368.0</v>
      </c>
      <c r="BC158" s="13">
        <v>383.0</v>
      </c>
      <c r="BD158" s="13" t="s">
        <v>5510</v>
      </c>
      <c r="BE158" s="13" t="s">
        <v>8596</v>
      </c>
      <c r="BF158" s="52" t="str">
        <f>HYPERLINK("http://dx.doi.org/10.1007/s00267-011-9613-8","http://dx.doi.org/10.1007/s00267-011-9613-8")</f>
        <v>http://dx.doi.org/10.1007/s00267-011-9613-8</v>
      </c>
      <c r="BG158" s="13" t="s">
        <v>5510</v>
      </c>
      <c r="BH158" s="13" t="s">
        <v>5510</v>
      </c>
      <c r="BI158" s="13">
        <v>16.0</v>
      </c>
      <c r="BJ158" s="13" t="s">
        <v>5768</v>
      </c>
      <c r="BK158" s="13" t="s">
        <v>5534</v>
      </c>
      <c r="BL158" s="13" t="s">
        <v>5535</v>
      </c>
      <c r="BM158" s="13" t="s">
        <v>8597</v>
      </c>
      <c r="BN158" s="13">
        <v>2.127453E7</v>
      </c>
      <c r="BO158" s="13" t="s">
        <v>5510</v>
      </c>
      <c r="BP158" s="13" t="s">
        <v>5510</v>
      </c>
      <c r="BQ158" s="13" t="s">
        <v>5510</v>
      </c>
      <c r="BR158" s="13" t="s">
        <v>5538</v>
      </c>
      <c r="BS158" s="13" t="s">
        <v>8598</v>
      </c>
      <c r="BT158" s="13">
        <v>25516.0</v>
      </c>
      <c r="BU158" s="13" t="s">
        <v>5540</v>
      </c>
      <c r="BV158" s="13" t="s">
        <v>4856</v>
      </c>
      <c r="BW158" s="13" t="str">
        <f>VLOOKUP($BT158,Enriched!$A$2:$E$1070,5,false)</f>
        <v>["Residential &amp; Commercial Development", "Agriculture &amp; Aquaculture"]</v>
      </c>
      <c r="BX158" s="13" t="str">
        <f>VLOOKUP($BT158,Enriched!$A$2:$E$1070,4,false)</f>
        <v>["Annual &amp; perennial non-timber crops"]</v>
      </c>
      <c r="BY158" s="13" t="b">
        <f>VLOOKUP(BT158,Enriched!$A$1:$AA$1070,27,falsE)</f>
        <v>1</v>
      </c>
      <c r="BZ158" s="2" t="str">
        <f>VLOOKUP(BT158,Enriched!$A$1:$AA$1070,14,falsE)</f>
        <v>level2</v>
      </c>
      <c r="CA158" s="13" t="str">
        <f>HYPERLINK("https%3A%2F%2Fwww.webofscience.com%2Fwos%2Fwoscc%2Ffull-record%2FWOS:000288257100005","View Full Record in Web of Science")</f>
        <v>View Full Record in Web of Science</v>
      </c>
    </row>
    <row r="159" ht="12.75" customHeight="1">
      <c r="A159" s="13" t="s">
        <v>5508</v>
      </c>
      <c r="B159" s="13" t="s">
        <v>8599</v>
      </c>
      <c r="C159" s="13" t="s">
        <v>5510</v>
      </c>
      <c r="D159" s="13" t="s">
        <v>5510</v>
      </c>
      <c r="E159" s="13" t="s">
        <v>5510</v>
      </c>
      <c r="F159" s="13" t="s">
        <v>8600</v>
      </c>
      <c r="G159" s="13" t="s">
        <v>5510</v>
      </c>
      <c r="H159" s="13" t="s">
        <v>5510</v>
      </c>
      <c r="I159" s="13" t="s">
        <v>2603</v>
      </c>
      <c r="J159" s="13" t="s">
        <v>5919</v>
      </c>
      <c r="K159" s="13" t="s">
        <v>5510</v>
      </c>
      <c r="L159" s="13" t="s">
        <v>5510</v>
      </c>
      <c r="M159" s="13" t="s">
        <v>5513</v>
      </c>
      <c r="N159" s="13" t="s">
        <v>5514</v>
      </c>
      <c r="O159" s="13" t="s">
        <v>5510</v>
      </c>
      <c r="P159" s="13" t="s">
        <v>5510</v>
      </c>
      <c r="Q159" s="13" t="s">
        <v>5510</v>
      </c>
      <c r="R159" s="13" t="s">
        <v>5510</v>
      </c>
      <c r="S159" s="13" t="s">
        <v>5510</v>
      </c>
      <c r="T159" s="13" t="s">
        <v>8601</v>
      </c>
      <c r="U159" s="13" t="s">
        <v>8602</v>
      </c>
      <c r="V159" s="13" t="s">
        <v>8603</v>
      </c>
      <c r="W159" s="13" t="s">
        <v>8604</v>
      </c>
      <c r="X159" s="13" t="s">
        <v>8605</v>
      </c>
      <c r="Y159" s="13" t="s">
        <v>8606</v>
      </c>
      <c r="Z159" s="13" t="s">
        <v>8607</v>
      </c>
      <c r="AA159" s="13" t="s">
        <v>8608</v>
      </c>
      <c r="AB159" s="13" t="s">
        <v>8609</v>
      </c>
      <c r="AC159" s="13" t="s">
        <v>8610</v>
      </c>
      <c r="AD159" s="13" t="s">
        <v>8611</v>
      </c>
      <c r="AE159" s="13" t="s">
        <v>8612</v>
      </c>
      <c r="AF159" s="13" t="s">
        <v>5510</v>
      </c>
      <c r="AG159" s="13">
        <v>75.0</v>
      </c>
      <c r="AH159" s="13">
        <v>52.0</v>
      </c>
      <c r="AI159" s="13">
        <v>54.0</v>
      </c>
      <c r="AJ159" s="13">
        <v>3.0</v>
      </c>
      <c r="AK159" s="13">
        <v>74.0</v>
      </c>
      <c r="AL159" s="13" t="s">
        <v>5931</v>
      </c>
      <c r="AM159" s="13" t="s">
        <v>5932</v>
      </c>
      <c r="AN159" s="13" t="s">
        <v>5933</v>
      </c>
      <c r="AO159" s="13" t="s">
        <v>5934</v>
      </c>
      <c r="AP159" s="13" t="s">
        <v>5935</v>
      </c>
      <c r="AQ159" s="13" t="s">
        <v>5510</v>
      </c>
      <c r="AR159" s="13" t="s">
        <v>5936</v>
      </c>
      <c r="AS159" s="13" t="s">
        <v>5937</v>
      </c>
      <c r="AT159" s="13" t="s">
        <v>6089</v>
      </c>
      <c r="AU159" s="13">
        <v>2019.0</v>
      </c>
      <c r="AV159" s="13">
        <v>231.0</v>
      </c>
      <c r="AW159" s="13" t="s">
        <v>5510</v>
      </c>
      <c r="AX159" s="13" t="s">
        <v>5510</v>
      </c>
      <c r="AY159" s="13" t="s">
        <v>5510</v>
      </c>
      <c r="AZ159" s="13" t="s">
        <v>5510</v>
      </c>
      <c r="BA159" s="13" t="s">
        <v>5510</v>
      </c>
      <c r="BB159" s="13">
        <v>150.0</v>
      </c>
      <c r="BC159" s="13">
        <v>160.0</v>
      </c>
      <c r="BD159" s="13" t="s">
        <v>5510</v>
      </c>
      <c r="BE159" s="13" t="s">
        <v>8613</v>
      </c>
      <c r="BF159" s="52" t="str">
        <f>HYPERLINK("http://dx.doi.org/10.1016/j.biocon.2019.01.008","http://dx.doi.org/10.1016/j.biocon.2019.01.008")</f>
        <v>http://dx.doi.org/10.1016/j.biocon.2019.01.008</v>
      </c>
      <c r="BG159" s="13" t="s">
        <v>5510</v>
      </c>
      <c r="BH159" s="13" t="s">
        <v>5510</v>
      </c>
      <c r="BI159" s="13">
        <v>11.0</v>
      </c>
      <c r="BJ159" s="13" t="s">
        <v>5698</v>
      </c>
      <c r="BK159" s="13" t="s">
        <v>5561</v>
      </c>
      <c r="BL159" s="13" t="s">
        <v>5699</v>
      </c>
      <c r="BM159" s="13" t="s">
        <v>8614</v>
      </c>
      <c r="BN159" s="13" t="s">
        <v>5510</v>
      </c>
      <c r="BO159" s="13" t="s">
        <v>5510</v>
      </c>
      <c r="BP159" s="13" t="s">
        <v>5510</v>
      </c>
      <c r="BQ159" s="13" t="s">
        <v>5510</v>
      </c>
      <c r="BR159" s="13" t="s">
        <v>5538</v>
      </c>
      <c r="BS159" s="13" t="s">
        <v>8615</v>
      </c>
      <c r="BT159" s="13">
        <v>24353.0</v>
      </c>
      <c r="BU159" s="13" t="s">
        <v>5540</v>
      </c>
      <c r="BV159" s="13" t="s">
        <v>4856</v>
      </c>
      <c r="BW159" s="13" t="str">
        <f>VLOOKUP($BT159,Enriched!$A$2:$E$1070,5,false)</f>
        <v>["Transportation &amp; Service Corridors"]</v>
      </c>
      <c r="BX159" s="13" t="str">
        <f>VLOOKUP($BT159,Enriched!$A$2:$E$1070,4,false)</f>
        <v>["Roads &amp; railroads"]</v>
      </c>
      <c r="BY159" s="13" t="b">
        <f>VLOOKUP(BT159,Enriched!$A$1:$AA$1070,27,falsE)</f>
        <v>0</v>
      </c>
      <c r="BZ159" s="2" t="str">
        <f>VLOOKUP(BT159,Enriched!$A$1:$AA$1070,14,falsE)</f>
        <v>level2</v>
      </c>
      <c r="CA159" s="13" t="str">
        <f>HYPERLINK("https%3A%2F%2Fwww.webofscience.com%2Fwos%2Fwoscc%2Ffull-record%2FWOS:000459357500017","View Full Record in Web of Science")</f>
        <v>View Full Record in Web of Science</v>
      </c>
    </row>
    <row r="160" ht="12.75" customHeight="1">
      <c r="A160" s="13" t="s">
        <v>8616</v>
      </c>
      <c r="B160" s="13" t="s">
        <v>8617</v>
      </c>
      <c r="C160" s="13" t="s">
        <v>8618</v>
      </c>
      <c r="D160" s="13" t="s">
        <v>5510</v>
      </c>
      <c r="E160" s="13" t="s">
        <v>5510</v>
      </c>
      <c r="F160" s="13" t="s">
        <v>8619</v>
      </c>
      <c r="G160" s="13" t="s">
        <v>8618</v>
      </c>
      <c r="H160" s="13" t="s">
        <v>5510</v>
      </c>
      <c r="I160" s="13" t="s">
        <v>8620</v>
      </c>
      <c r="J160" s="13" t="s">
        <v>8621</v>
      </c>
      <c r="K160" s="13" t="s">
        <v>5510</v>
      </c>
      <c r="L160" s="13" t="s">
        <v>5510</v>
      </c>
      <c r="M160" s="13" t="s">
        <v>5513</v>
      </c>
      <c r="N160" s="13" t="s">
        <v>8622</v>
      </c>
      <c r="O160" s="13" t="s">
        <v>5510</v>
      </c>
      <c r="P160" s="13" t="s">
        <v>5510</v>
      </c>
      <c r="Q160" s="13" t="s">
        <v>5510</v>
      </c>
      <c r="R160" s="13" t="s">
        <v>5510</v>
      </c>
      <c r="S160" s="13" t="s">
        <v>5510</v>
      </c>
      <c r="T160" s="13" t="s">
        <v>8623</v>
      </c>
      <c r="U160" s="13" t="s">
        <v>8624</v>
      </c>
      <c r="V160" s="13" t="s">
        <v>8625</v>
      </c>
      <c r="W160" s="13" t="s">
        <v>8626</v>
      </c>
      <c r="X160" s="13" t="s">
        <v>8627</v>
      </c>
      <c r="Y160" s="13" t="s">
        <v>8628</v>
      </c>
      <c r="Z160" s="13" t="s">
        <v>5510</v>
      </c>
      <c r="AA160" s="13" t="s">
        <v>5510</v>
      </c>
      <c r="AB160" s="13" t="s">
        <v>5510</v>
      </c>
      <c r="AC160" s="13" t="s">
        <v>5510</v>
      </c>
      <c r="AD160" s="13" t="s">
        <v>5510</v>
      </c>
      <c r="AE160" s="13" t="s">
        <v>5510</v>
      </c>
      <c r="AF160" s="13" t="s">
        <v>5510</v>
      </c>
      <c r="AG160" s="13">
        <v>15.0</v>
      </c>
      <c r="AH160" s="13">
        <v>0.0</v>
      </c>
      <c r="AI160" s="13">
        <v>0.0</v>
      </c>
      <c r="AJ160" s="13">
        <v>0.0</v>
      </c>
      <c r="AK160" s="13">
        <v>1.0</v>
      </c>
      <c r="AL160" s="13" t="s">
        <v>8629</v>
      </c>
      <c r="AM160" s="13" t="s">
        <v>8630</v>
      </c>
      <c r="AN160" s="13" t="s">
        <v>8631</v>
      </c>
      <c r="AO160" s="13" t="s">
        <v>5510</v>
      </c>
      <c r="AP160" s="13" t="s">
        <v>5510</v>
      </c>
      <c r="AQ160" s="13" t="s">
        <v>8632</v>
      </c>
      <c r="AR160" s="13" t="s">
        <v>5510</v>
      </c>
      <c r="AS160" s="13" t="s">
        <v>5510</v>
      </c>
      <c r="AT160" s="13" t="s">
        <v>5510</v>
      </c>
      <c r="AU160" s="13">
        <v>2015.0</v>
      </c>
      <c r="AV160" s="13" t="s">
        <v>5510</v>
      </c>
      <c r="AW160" s="13" t="s">
        <v>5510</v>
      </c>
      <c r="AX160" s="13" t="s">
        <v>5510</v>
      </c>
      <c r="AY160" s="13" t="s">
        <v>5510</v>
      </c>
      <c r="AZ160" s="13" t="s">
        <v>5510</v>
      </c>
      <c r="BA160" s="13" t="s">
        <v>5510</v>
      </c>
      <c r="BB160" s="13">
        <v>143.0</v>
      </c>
      <c r="BC160" s="13">
        <v>148.0</v>
      </c>
      <c r="BD160" s="13" t="s">
        <v>5510</v>
      </c>
      <c r="BE160" s="13" t="str">
        <f>#REF!</f>
        <v>#REF!</v>
      </c>
      <c r="BF160" s="13" t="s">
        <v>5510</v>
      </c>
      <c r="BG160" s="13" t="s">
        <v>8633</v>
      </c>
      <c r="BH160" s="13" t="s">
        <v>5510</v>
      </c>
      <c r="BI160" s="13">
        <v>6.0</v>
      </c>
      <c r="BJ160" s="13" t="s">
        <v>8634</v>
      </c>
      <c r="BK160" s="13" t="s">
        <v>8635</v>
      </c>
      <c r="BL160" s="13" t="s">
        <v>8636</v>
      </c>
      <c r="BM160" s="13" t="s">
        <v>8637</v>
      </c>
      <c r="BN160" s="13" t="s">
        <v>5510</v>
      </c>
      <c r="BO160" s="13" t="s">
        <v>5510</v>
      </c>
      <c r="BP160" s="13" t="s">
        <v>5510</v>
      </c>
      <c r="BQ160" s="13" t="s">
        <v>5510</v>
      </c>
      <c r="BR160" s="13" t="s">
        <v>5538</v>
      </c>
      <c r="BS160" s="13" t="s">
        <v>8638</v>
      </c>
      <c r="BT160" s="13">
        <v>23517.0</v>
      </c>
      <c r="BU160" s="13" t="s">
        <v>5540</v>
      </c>
      <c r="BV160" s="13" t="s">
        <v>4856</v>
      </c>
      <c r="BW160" s="13" t="str">
        <f>VLOOKUP($BT160,Enriched!$A$2:$E$1070,5,false)</f>
        <v>["Invasive &amp; other problematic species, genes &amp; diseases"]</v>
      </c>
      <c r="BX160" s="13" t="str">
        <f>VLOOKUP($BT160,Enriched!$A$2:$E$1070,4,false)</f>
        <v>["Invasive non-native/alien species/diseases"]</v>
      </c>
      <c r="BY160" s="13" t="b">
        <f>VLOOKUP(BT160,Enriched!$A$1:$AA$1070,27,falsE)</f>
        <v>0</v>
      </c>
      <c r="BZ160" s="2" t="str">
        <f>VLOOKUP(BT160,Enriched!$A$1:$AA$1070,14,falsE)</f>
        <v>level2</v>
      </c>
      <c r="CA160" s="13" t="str">
        <f>HYPERLINK("https%3A%2F%2Fwww.webofscience.com%2Fwos%2Fwoscc%2Ffull-record%2FWOS:000471137600019","View Full Record in Web of Science")</f>
        <v>View Full Record in Web of Science</v>
      </c>
    </row>
    <row r="161" ht="12.75" customHeight="1">
      <c r="A161" s="13" t="s">
        <v>5508</v>
      </c>
      <c r="B161" s="13" t="s">
        <v>8639</v>
      </c>
      <c r="C161" s="13" t="s">
        <v>5510</v>
      </c>
      <c r="D161" s="13" t="s">
        <v>5510</v>
      </c>
      <c r="E161" s="13" t="s">
        <v>5510</v>
      </c>
      <c r="F161" s="13" t="s">
        <v>8640</v>
      </c>
      <c r="G161" s="13" t="s">
        <v>5510</v>
      </c>
      <c r="H161" s="13" t="s">
        <v>5510</v>
      </c>
      <c r="I161" s="13" t="s">
        <v>2596</v>
      </c>
      <c r="J161" s="13" t="s">
        <v>7857</v>
      </c>
      <c r="K161" s="13" t="s">
        <v>5510</v>
      </c>
      <c r="L161" s="13" t="s">
        <v>5510</v>
      </c>
      <c r="M161" s="13" t="s">
        <v>5513</v>
      </c>
      <c r="N161" s="13" t="s">
        <v>5514</v>
      </c>
      <c r="O161" s="13" t="s">
        <v>5510</v>
      </c>
      <c r="P161" s="13" t="s">
        <v>5510</v>
      </c>
      <c r="Q161" s="13" t="s">
        <v>5510</v>
      </c>
      <c r="R161" s="13" t="s">
        <v>5510</v>
      </c>
      <c r="S161" s="13" t="s">
        <v>5510</v>
      </c>
      <c r="T161" s="13" t="s">
        <v>8641</v>
      </c>
      <c r="U161" s="13" t="s">
        <v>8642</v>
      </c>
      <c r="V161" s="13" t="s">
        <v>8643</v>
      </c>
      <c r="W161" s="13" t="s">
        <v>8644</v>
      </c>
      <c r="X161" s="13" t="s">
        <v>8645</v>
      </c>
      <c r="Y161" s="13" t="s">
        <v>8646</v>
      </c>
      <c r="Z161" s="13" t="s">
        <v>8647</v>
      </c>
      <c r="AA161" s="13" t="s">
        <v>8648</v>
      </c>
      <c r="AB161" s="13" t="s">
        <v>8649</v>
      </c>
      <c r="AC161" s="13" t="s">
        <v>8650</v>
      </c>
      <c r="AD161" s="13" t="s">
        <v>8651</v>
      </c>
      <c r="AE161" s="13" t="s">
        <v>8652</v>
      </c>
      <c r="AF161" s="13" t="s">
        <v>5510</v>
      </c>
      <c r="AG161" s="13">
        <v>75.0</v>
      </c>
      <c r="AH161" s="13">
        <v>116.0</v>
      </c>
      <c r="AI161" s="13">
        <v>121.0</v>
      </c>
      <c r="AJ161" s="13">
        <v>3.0</v>
      </c>
      <c r="AK161" s="13">
        <v>93.0</v>
      </c>
      <c r="AL161" s="13" t="s">
        <v>5527</v>
      </c>
      <c r="AM161" s="13" t="s">
        <v>5528</v>
      </c>
      <c r="AN161" s="13" t="s">
        <v>5529</v>
      </c>
      <c r="AO161" s="13" t="s">
        <v>7870</v>
      </c>
      <c r="AP161" s="13" t="s">
        <v>7871</v>
      </c>
      <c r="AQ161" s="13" t="s">
        <v>5510</v>
      </c>
      <c r="AR161" s="13" t="s">
        <v>7872</v>
      </c>
      <c r="AS161" s="13" t="s">
        <v>7873</v>
      </c>
      <c r="AT161" s="13" t="s">
        <v>5667</v>
      </c>
      <c r="AU161" s="13">
        <v>2019.0</v>
      </c>
      <c r="AV161" s="13">
        <v>25.0</v>
      </c>
      <c r="AW161" s="13">
        <v>7.0</v>
      </c>
      <c r="AX161" s="13" t="s">
        <v>5510</v>
      </c>
      <c r="AY161" s="13" t="s">
        <v>5510</v>
      </c>
      <c r="AZ161" s="13" t="s">
        <v>5510</v>
      </c>
      <c r="BA161" s="13" t="s">
        <v>5510</v>
      </c>
      <c r="BB161" s="13">
        <v>2431.0</v>
      </c>
      <c r="BC161" s="13">
        <v>2445.0</v>
      </c>
      <c r="BD161" s="13" t="s">
        <v>5510</v>
      </c>
      <c r="BE161" s="13" t="s">
        <v>8653</v>
      </c>
      <c r="BF161" s="52" t="str">
        <f>HYPERLINK("http://dx.doi.org/10.1111/gcb.14625","http://dx.doi.org/10.1111/gcb.14625")</f>
        <v>http://dx.doi.org/10.1111/gcb.14625</v>
      </c>
      <c r="BG161" s="13" t="s">
        <v>5510</v>
      </c>
      <c r="BH161" s="13" t="s">
        <v>5510</v>
      </c>
      <c r="BI161" s="13">
        <v>15.0</v>
      </c>
      <c r="BJ161" s="13" t="s">
        <v>5698</v>
      </c>
      <c r="BK161" s="13" t="s">
        <v>5561</v>
      </c>
      <c r="BL161" s="13" t="s">
        <v>5699</v>
      </c>
      <c r="BM161" s="13" t="s">
        <v>8654</v>
      </c>
      <c r="BN161" s="13">
        <v>3.090079E7</v>
      </c>
      <c r="BO161" s="13" t="s">
        <v>5510</v>
      </c>
      <c r="BP161" s="13" t="s">
        <v>5510</v>
      </c>
      <c r="BQ161" s="13" t="s">
        <v>5510</v>
      </c>
      <c r="BR161" s="13" t="s">
        <v>5538</v>
      </c>
      <c r="BS161" s="13" t="s">
        <v>8655</v>
      </c>
      <c r="BT161" s="13">
        <v>24773.0</v>
      </c>
      <c r="BU161" s="13" t="s">
        <v>5540</v>
      </c>
      <c r="BV161" s="13" t="s">
        <v>4864</v>
      </c>
      <c r="BW161" s="13" t="str">
        <f>VLOOKUP($BT161,Enriched!$A$2:$E$1070,5,false)</f>
        <v>["Climate Change &amp; Severe Weather", "Invasive &amp; Other Problematic Species, Genes &amp; Diseases"]</v>
      </c>
      <c r="BX161" s="13" t="str">
        <f>VLOOKUP($BT161,Enriched!$A$2:$E$1070,4,false)</f>
        <v>["Temperature extremes", "Storms &amp; flooding", "Problematic native species/diseases"]</v>
      </c>
      <c r="BY161" s="13" t="b">
        <f>VLOOKUP(BT161,Enriched!$A$1:$AA$1070,27,falsE)</f>
        <v>0</v>
      </c>
      <c r="BZ161" s="2" t="str">
        <f>VLOOKUP(BT161,Enriched!$A$1:$AA$1070,14,falsE)</f>
        <v>level2</v>
      </c>
      <c r="CA161" s="13" t="str">
        <f>HYPERLINK("https%3A%2F%2Fwww.webofscience.com%2Fwos%2Fwoscc%2Ffull-record%2FWOS:000477087100020","View Full Record in Web of Science")</f>
        <v>View Full Record in Web of Science</v>
      </c>
    </row>
    <row r="162" ht="12.75" customHeight="1">
      <c r="A162" s="13" t="s">
        <v>5508</v>
      </c>
      <c r="B162" s="13" t="s">
        <v>8656</v>
      </c>
      <c r="C162" s="13" t="s">
        <v>5510</v>
      </c>
      <c r="D162" s="13" t="s">
        <v>5510</v>
      </c>
      <c r="E162" s="13" t="s">
        <v>5510</v>
      </c>
      <c r="F162" s="13" t="s">
        <v>8657</v>
      </c>
      <c r="G162" s="13" t="s">
        <v>5510</v>
      </c>
      <c r="H162" s="13" t="s">
        <v>5510</v>
      </c>
      <c r="I162" s="13" t="s">
        <v>2590</v>
      </c>
      <c r="J162" s="13" t="s">
        <v>7670</v>
      </c>
      <c r="K162" s="13" t="s">
        <v>5510</v>
      </c>
      <c r="L162" s="13" t="s">
        <v>5510</v>
      </c>
      <c r="M162" s="13" t="s">
        <v>5513</v>
      </c>
      <c r="N162" s="13" t="s">
        <v>5514</v>
      </c>
      <c r="O162" s="13" t="s">
        <v>5510</v>
      </c>
      <c r="P162" s="13" t="s">
        <v>5510</v>
      </c>
      <c r="Q162" s="13" t="s">
        <v>5510</v>
      </c>
      <c r="R162" s="13" t="s">
        <v>5510</v>
      </c>
      <c r="S162" s="13" t="s">
        <v>5510</v>
      </c>
      <c r="T162" s="13" t="s">
        <v>8658</v>
      </c>
      <c r="U162" s="13" t="s">
        <v>8659</v>
      </c>
      <c r="V162" s="13" t="s">
        <v>8660</v>
      </c>
      <c r="W162" s="13" t="s">
        <v>8661</v>
      </c>
      <c r="X162" s="13" t="s">
        <v>8662</v>
      </c>
      <c r="Y162" s="13" t="s">
        <v>8663</v>
      </c>
      <c r="Z162" s="13" t="s">
        <v>8664</v>
      </c>
      <c r="AA162" s="13" t="s">
        <v>8665</v>
      </c>
      <c r="AB162" s="13" t="s">
        <v>8666</v>
      </c>
      <c r="AC162" s="13" t="s">
        <v>5510</v>
      </c>
      <c r="AD162" s="13" t="s">
        <v>5510</v>
      </c>
      <c r="AE162" s="13" t="s">
        <v>5510</v>
      </c>
      <c r="AF162" s="13" t="s">
        <v>5510</v>
      </c>
      <c r="AG162" s="13">
        <v>57.0</v>
      </c>
      <c r="AH162" s="13">
        <v>29.0</v>
      </c>
      <c r="AI162" s="13">
        <v>36.0</v>
      </c>
      <c r="AJ162" s="13">
        <v>0.0</v>
      </c>
      <c r="AK162" s="13">
        <v>10.0</v>
      </c>
      <c r="AL162" s="13" t="s">
        <v>5690</v>
      </c>
      <c r="AM162" s="13" t="s">
        <v>6503</v>
      </c>
      <c r="AN162" s="13" t="s">
        <v>6504</v>
      </c>
      <c r="AO162" s="13" t="s">
        <v>7682</v>
      </c>
      <c r="AP162" s="13" t="s">
        <v>7683</v>
      </c>
      <c r="AQ162" s="13" t="s">
        <v>5510</v>
      </c>
      <c r="AR162" s="13" t="s">
        <v>7684</v>
      </c>
      <c r="AS162" s="13" t="s">
        <v>7685</v>
      </c>
      <c r="AT162" s="13" t="s">
        <v>6175</v>
      </c>
      <c r="AU162" s="13">
        <v>2018.0</v>
      </c>
      <c r="AV162" s="13">
        <v>39.0</v>
      </c>
      <c r="AW162" s="13">
        <v>4.0</v>
      </c>
      <c r="AX162" s="13" t="s">
        <v>5510</v>
      </c>
      <c r="AY162" s="13" t="s">
        <v>5510</v>
      </c>
      <c r="AZ162" s="13" t="s">
        <v>5510</v>
      </c>
      <c r="BA162" s="13" t="s">
        <v>5510</v>
      </c>
      <c r="BB162" s="13">
        <v>493.0</v>
      </c>
      <c r="BC162" s="13">
        <v>510.0</v>
      </c>
      <c r="BD162" s="13" t="s">
        <v>5510</v>
      </c>
      <c r="BE162" s="13" t="s">
        <v>8667</v>
      </c>
      <c r="BF162" s="52" t="str">
        <f>HYPERLINK("http://dx.doi.org/10.1007/s10764-018-0046-6","http://dx.doi.org/10.1007/s10764-018-0046-6")</f>
        <v>http://dx.doi.org/10.1007/s10764-018-0046-6</v>
      </c>
      <c r="BG162" s="13" t="s">
        <v>5510</v>
      </c>
      <c r="BH162" s="13" t="s">
        <v>5510</v>
      </c>
      <c r="BI162" s="13">
        <v>18.0</v>
      </c>
      <c r="BJ162" s="13" t="s">
        <v>6899</v>
      </c>
      <c r="BK162" s="13" t="s">
        <v>5534</v>
      </c>
      <c r="BL162" s="13" t="s">
        <v>6899</v>
      </c>
      <c r="BM162" s="13" t="s">
        <v>8668</v>
      </c>
      <c r="BN162" s="13">
        <v>3.0369684E7</v>
      </c>
      <c r="BO162" s="13" t="s">
        <v>6028</v>
      </c>
      <c r="BP162" s="13" t="s">
        <v>5510</v>
      </c>
      <c r="BQ162" s="13" t="s">
        <v>5510</v>
      </c>
      <c r="BR162" s="13" t="s">
        <v>5538</v>
      </c>
      <c r="BS162" s="13" t="s">
        <v>8669</v>
      </c>
      <c r="BT162" s="13">
        <v>24364.0</v>
      </c>
      <c r="BU162" s="13" t="s">
        <v>5540</v>
      </c>
      <c r="BV162" s="13" t="s">
        <v>4856</v>
      </c>
      <c r="BW162" s="13" t="str">
        <f>VLOOKUP($BT162,Enriched!$A$2:$E$1070,5,false)</f>
        <v>["Transportation &amp; Service Corridors"]</v>
      </c>
      <c r="BX162" s="13" t="str">
        <f>VLOOKUP($BT162,Enriched!$A$2:$E$1070,4,false)</f>
        <v>["Utility &amp; service lines"]</v>
      </c>
      <c r="BY162" s="13" t="b">
        <f>VLOOKUP(BT162,Enriched!$A$1:$AA$1070,27,falsE)</f>
        <v>0</v>
      </c>
      <c r="BZ162" s="2" t="str">
        <f>VLOOKUP(BT162,Enriched!$A$1:$AA$1070,14,falsE)</f>
        <v>level2</v>
      </c>
      <c r="CA162" s="13" t="str">
        <f>HYPERLINK("https%3A%2F%2Fwww.webofscience.com%2Fwos%2Fwoscc%2Ffull-record%2FWOS:000446382800001","View Full Record in Web of Science")</f>
        <v>View Full Record in Web of Science</v>
      </c>
    </row>
    <row r="163" ht="12.75" customHeight="1">
      <c r="A163" s="13" t="s">
        <v>5508</v>
      </c>
      <c r="B163" s="13" t="s">
        <v>8670</v>
      </c>
      <c r="C163" s="13" t="s">
        <v>5510</v>
      </c>
      <c r="D163" s="13" t="s">
        <v>5510</v>
      </c>
      <c r="E163" s="13" t="s">
        <v>5510</v>
      </c>
      <c r="F163" s="13" t="s">
        <v>8671</v>
      </c>
      <c r="G163" s="13" t="s">
        <v>5510</v>
      </c>
      <c r="H163" s="13" t="s">
        <v>5510</v>
      </c>
      <c r="I163" s="13" t="s">
        <v>8672</v>
      </c>
      <c r="J163" s="13" t="s">
        <v>6008</v>
      </c>
      <c r="K163" s="13" t="s">
        <v>5510</v>
      </c>
      <c r="L163" s="13" t="s">
        <v>5510</v>
      </c>
      <c r="M163" s="13" t="s">
        <v>5513</v>
      </c>
      <c r="N163" s="13" t="s">
        <v>5514</v>
      </c>
      <c r="O163" s="13" t="s">
        <v>5510</v>
      </c>
      <c r="P163" s="13" t="s">
        <v>5510</v>
      </c>
      <c r="Q163" s="13" t="s">
        <v>5510</v>
      </c>
      <c r="R163" s="13" t="s">
        <v>5510</v>
      </c>
      <c r="S163" s="13" t="s">
        <v>5510</v>
      </c>
      <c r="T163" s="13" t="s">
        <v>8673</v>
      </c>
      <c r="U163" s="13" t="s">
        <v>8674</v>
      </c>
      <c r="V163" s="13" t="s">
        <v>8675</v>
      </c>
      <c r="W163" s="13" t="s">
        <v>8676</v>
      </c>
      <c r="X163" s="13" t="s">
        <v>8677</v>
      </c>
      <c r="Y163" s="13" t="s">
        <v>8678</v>
      </c>
      <c r="Z163" s="13" t="s">
        <v>8679</v>
      </c>
      <c r="AA163" s="13" t="s">
        <v>5510</v>
      </c>
      <c r="AB163" s="13" t="s">
        <v>5510</v>
      </c>
      <c r="AC163" s="13" t="s">
        <v>8680</v>
      </c>
      <c r="AD163" s="13" t="s">
        <v>8680</v>
      </c>
      <c r="AE163" s="13" t="s">
        <v>8681</v>
      </c>
      <c r="AF163" s="13" t="s">
        <v>5510</v>
      </c>
      <c r="AG163" s="13">
        <v>44.0</v>
      </c>
      <c r="AH163" s="13">
        <v>67.0</v>
      </c>
      <c r="AI163" s="13">
        <v>80.0</v>
      </c>
      <c r="AJ163" s="13">
        <v>0.0</v>
      </c>
      <c r="AK163" s="13">
        <v>40.0</v>
      </c>
      <c r="AL163" s="13" t="s">
        <v>6107</v>
      </c>
      <c r="AM163" s="13" t="s">
        <v>5908</v>
      </c>
      <c r="AN163" s="13" t="s">
        <v>6108</v>
      </c>
      <c r="AO163" s="13" t="s">
        <v>6020</v>
      </c>
      <c r="AP163" s="13" t="s">
        <v>6021</v>
      </c>
      <c r="AQ163" s="13" t="s">
        <v>5510</v>
      </c>
      <c r="AR163" s="13" t="s">
        <v>6022</v>
      </c>
      <c r="AS163" s="13" t="s">
        <v>6023</v>
      </c>
      <c r="AT163" s="13" t="s">
        <v>5978</v>
      </c>
      <c r="AU163" s="13">
        <v>2010.0</v>
      </c>
      <c r="AV163" s="13">
        <v>20.0</v>
      </c>
      <c r="AW163" s="13">
        <v>8.0</v>
      </c>
      <c r="AX163" s="13" t="s">
        <v>5510</v>
      </c>
      <c r="AY163" s="13" t="s">
        <v>5510</v>
      </c>
      <c r="AZ163" s="13" t="s">
        <v>5510</v>
      </c>
      <c r="BA163" s="13" t="s">
        <v>5510</v>
      </c>
      <c r="BB163" s="13">
        <v>2203.0</v>
      </c>
      <c r="BC163" s="13">
        <v>2222.0</v>
      </c>
      <c r="BD163" s="13" t="s">
        <v>5510</v>
      </c>
      <c r="BE163" s="13" t="s">
        <v>8682</v>
      </c>
      <c r="BF163" s="52" t="str">
        <f>HYPERLINK("http://dx.doi.org/10.1890/09-1543.1","http://dx.doi.org/10.1890/09-1543.1")</f>
        <v>http://dx.doi.org/10.1890/09-1543.1</v>
      </c>
      <c r="BG163" s="13" t="s">
        <v>5510</v>
      </c>
      <c r="BH163" s="13" t="s">
        <v>5510</v>
      </c>
      <c r="BI163" s="13">
        <v>20.0</v>
      </c>
      <c r="BJ163" s="13" t="s">
        <v>6026</v>
      </c>
      <c r="BK163" s="13" t="s">
        <v>5561</v>
      </c>
      <c r="BL163" s="13" t="s">
        <v>5535</v>
      </c>
      <c r="BM163" s="13" t="s">
        <v>8683</v>
      </c>
      <c r="BN163" s="13">
        <v>2.1265452E7</v>
      </c>
      <c r="BO163" s="13" t="s">
        <v>5510</v>
      </c>
      <c r="BP163" s="13" t="s">
        <v>5510</v>
      </c>
      <c r="BQ163" s="13" t="s">
        <v>5510</v>
      </c>
      <c r="BR163" s="13" t="s">
        <v>5538</v>
      </c>
      <c r="BS163" s="13" t="s">
        <v>8684</v>
      </c>
      <c r="BT163" s="13">
        <v>25066.0</v>
      </c>
      <c r="BU163" s="13" t="s">
        <v>5540</v>
      </c>
      <c r="BV163" s="13" t="s">
        <v>4864</v>
      </c>
      <c r="BW163" s="13" t="str">
        <f>VLOOKUP($BT163,Enriched!$A$2:$E$1070,5,false)</f>
        <v>["Biological resource use"]</v>
      </c>
      <c r="BX163" s="13" t="str">
        <f>VLOOKUP($BT163,Enriched!$A$2:$E$1070,4,false)</f>
        <v>["Fishing &amp; harvesting aquatic resources"]</v>
      </c>
      <c r="BY163" s="13" t="b">
        <f>VLOOKUP(BT163,Enriched!$A$1:$AA$1070,27,falsE)</f>
        <v>0</v>
      </c>
      <c r="BZ163" s="2" t="str">
        <f>VLOOKUP(BT163,Enriched!$A$1:$AA$1070,14,falsE)</f>
        <v>level2</v>
      </c>
      <c r="CA163" s="13" t="str">
        <f>HYPERLINK("https%3A%2F%2Fwww.webofscience.com%2Fwos%2Fwoscc%2Ffull-record%2FWOS:000284996600012","View Full Record in Web of Science")</f>
        <v>View Full Record in Web of Science</v>
      </c>
    </row>
    <row r="164" ht="12.75" customHeight="1">
      <c r="A164" s="13" t="s">
        <v>5508</v>
      </c>
      <c r="B164" s="13" t="s">
        <v>8685</v>
      </c>
      <c r="C164" s="13" t="s">
        <v>5510</v>
      </c>
      <c r="D164" s="13" t="s">
        <v>5510</v>
      </c>
      <c r="E164" s="13" t="s">
        <v>5510</v>
      </c>
      <c r="F164" s="13" t="s">
        <v>8686</v>
      </c>
      <c r="G164" s="13" t="s">
        <v>5510</v>
      </c>
      <c r="H164" s="13" t="s">
        <v>5510</v>
      </c>
      <c r="I164" s="13" t="s">
        <v>2582</v>
      </c>
      <c r="J164" s="13" t="s">
        <v>7990</v>
      </c>
      <c r="K164" s="13" t="s">
        <v>5510</v>
      </c>
      <c r="L164" s="13" t="s">
        <v>5510</v>
      </c>
      <c r="M164" s="13" t="s">
        <v>5513</v>
      </c>
      <c r="N164" s="13" t="s">
        <v>5514</v>
      </c>
      <c r="O164" s="13" t="s">
        <v>5510</v>
      </c>
      <c r="P164" s="13" t="s">
        <v>5510</v>
      </c>
      <c r="Q164" s="13" t="s">
        <v>5510</v>
      </c>
      <c r="R164" s="13" t="s">
        <v>5510</v>
      </c>
      <c r="S164" s="13" t="s">
        <v>5510</v>
      </c>
      <c r="T164" s="13" t="s">
        <v>8687</v>
      </c>
      <c r="U164" s="13" t="s">
        <v>8688</v>
      </c>
      <c r="V164" s="13" t="s">
        <v>8689</v>
      </c>
      <c r="W164" s="13" t="s">
        <v>8690</v>
      </c>
      <c r="X164" s="13" t="s">
        <v>8691</v>
      </c>
      <c r="Y164" s="13" t="s">
        <v>8692</v>
      </c>
      <c r="Z164" s="13" t="s">
        <v>8693</v>
      </c>
      <c r="AA164" s="13" t="s">
        <v>5510</v>
      </c>
      <c r="AB164" s="13" t="s">
        <v>8694</v>
      </c>
      <c r="AC164" s="13" t="s">
        <v>5510</v>
      </c>
      <c r="AD164" s="13" t="s">
        <v>5510</v>
      </c>
      <c r="AE164" s="13" t="s">
        <v>5510</v>
      </c>
      <c r="AF164" s="13" t="s">
        <v>5510</v>
      </c>
      <c r="AG164" s="13">
        <v>40.0</v>
      </c>
      <c r="AH164" s="13">
        <v>7.0</v>
      </c>
      <c r="AI164" s="13">
        <v>10.0</v>
      </c>
      <c r="AJ164" s="13">
        <v>1.0</v>
      </c>
      <c r="AK164" s="13">
        <v>21.0</v>
      </c>
      <c r="AL164" s="13" t="s">
        <v>8003</v>
      </c>
      <c r="AM164" s="13" t="s">
        <v>8004</v>
      </c>
      <c r="AN164" s="13" t="s">
        <v>8005</v>
      </c>
      <c r="AO164" s="13" t="s">
        <v>8006</v>
      </c>
      <c r="AP164" s="13" t="s">
        <v>8007</v>
      </c>
      <c r="AQ164" s="13" t="s">
        <v>5510</v>
      </c>
      <c r="AR164" s="13" t="s">
        <v>8008</v>
      </c>
      <c r="AS164" s="13" t="s">
        <v>8009</v>
      </c>
      <c r="AT164" s="13" t="s">
        <v>6828</v>
      </c>
      <c r="AU164" s="13">
        <v>2017.0</v>
      </c>
      <c r="AV164" s="13">
        <v>36.0</v>
      </c>
      <c r="AW164" s="13" t="s">
        <v>5510</v>
      </c>
      <c r="AX164" s="13" t="s">
        <v>5510</v>
      </c>
      <c r="AY164" s="13" t="s">
        <v>5510</v>
      </c>
      <c r="AZ164" s="13" t="s">
        <v>5510</v>
      </c>
      <c r="BA164" s="13" t="s">
        <v>5510</v>
      </c>
      <c r="BB164" s="13">
        <v>29.0</v>
      </c>
      <c r="BC164" s="13">
        <v>37.0</v>
      </c>
      <c r="BD164" s="13" t="s">
        <v>5510</v>
      </c>
      <c r="BE164" s="13" t="s">
        <v>8695</v>
      </c>
      <c r="BF164" s="52" t="str">
        <f>HYPERLINK("http://dx.doi.org/10.1016/j.jnc.2017.02.001","http://dx.doi.org/10.1016/j.jnc.2017.02.001")</f>
        <v>http://dx.doi.org/10.1016/j.jnc.2017.02.001</v>
      </c>
      <c r="BG164" s="13" t="s">
        <v>5510</v>
      </c>
      <c r="BH164" s="13" t="s">
        <v>5510</v>
      </c>
      <c r="BI164" s="13">
        <v>9.0</v>
      </c>
      <c r="BJ164" s="13" t="s">
        <v>5958</v>
      </c>
      <c r="BK164" s="13" t="s">
        <v>5561</v>
      </c>
      <c r="BL164" s="13" t="s">
        <v>5699</v>
      </c>
      <c r="BM164" s="13" t="s">
        <v>8696</v>
      </c>
      <c r="BN164" s="13" t="s">
        <v>5510</v>
      </c>
      <c r="BO164" s="13" t="s">
        <v>5510</v>
      </c>
      <c r="BP164" s="13" t="s">
        <v>5510</v>
      </c>
      <c r="BQ164" s="13" t="s">
        <v>5510</v>
      </c>
      <c r="BR164" s="13" t="s">
        <v>5538</v>
      </c>
      <c r="BS164" s="13" t="s">
        <v>8697</v>
      </c>
      <c r="BT164" s="13">
        <v>25049.0</v>
      </c>
      <c r="BU164" s="13" t="s">
        <v>5540</v>
      </c>
      <c r="BV164" s="13" t="s">
        <v>4856</v>
      </c>
      <c r="BW164" s="13" t="str">
        <f>VLOOKUP($BT164,Enriched!$A$2:$E$1070,5,false)</f>
        <v>["Invasive &amp; other problematic species, genes &amp; diseases"]</v>
      </c>
      <c r="BX164" s="13" t="str">
        <f>VLOOKUP($BT164,Enriched!$A$2:$E$1070,4,false)</f>
        <v>["Invasive non-native/alien species/diseases"]</v>
      </c>
      <c r="BY164" s="13" t="b">
        <f>VLOOKUP(BT164,Enriched!$A$1:$AA$1070,27,falsE)</f>
        <v>0</v>
      </c>
      <c r="BZ164" s="2" t="str">
        <f>VLOOKUP(BT164,Enriched!$A$1:$AA$1070,14,falsE)</f>
        <v>level2</v>
      </c>
      <c r="CA164" s="13" t="str">
        <f>HYPERLINK("https%3A%2F%2Fwww.webofscience.com%2Fwos%2Fwoscc%2Ffull-record%2FWOS:000400593400005","View Full Record in Web of Science")</f>
        <v>View Full Record in Web of Science</v>
      </c>
    </row>
    <row r="165" ht="12.75" customHeight="1">
      <c r="A165" s="13" t="s">
        <v>5508</v>
      </c>
      <c r="B165" s="13" t="s">
        <v>8698</v>
      </c>
      <c r="C165" s="13" t="s">
        <v>5510</v>
      </c>
      <c r="D165" s="13" t="s">
        <v>5510</v>
      </c>
      <c r="E165" s="13" t="s">
        <v>5510</v>
      </c>
      <c r="F165" s="13" t="s">
        <v>8699</v>
      </c>
      <c r="G165" s="13" t="s">
        <v>5510</v>
      </c>
      <c r="H165" s="13" t="s">
        <v>5510</v>
      </c>
      <c r="I165" s="13" t="s">
        <v>2579</v>
      </c>
      <c r="J165" s="13" t="s">
        <v>5919</v>
      </c>
      <c r="K165" s="13" t="s">
        <v>5510</v>
      </c>
      <c r="L165" s="13" t="s">
        <v>5510</v>
      </c>
      <c r="M165" s="13" t="s">
        <v>5513</v>
      </c>
      <c r="N165" s="13" t="s">
        <v>4904</v>
      </c>
      <c r="O165" s="13" t="s">
        <v>5510</v>
      </c>
      <c r="P165" s="13" t="s">
        <v>5510</v>
      </c>
      <c r="Q165" s="13" t="s">
        <v>5510</v>
      </c>
      <c r="R165" s="13" t="s">
        <v>5510</v>
      </c>
      <c r="S165" s="13" t="s">
        <v>5510</v>
      </c>
      <c r="T165" s="13" t="s">
        <v>8700</v>
      </c>
      <c r="U165" s="13" t="s">
        <v>8701</v>
      </c>
      <c r="V165" s="13" t="s">
        <v>8702</v>
      </c>
      <c r="W165" s="13" t="s">
        <v>8703</v>
      </c>
      <c r="X165" s="13" t="s">
        <v>8704</v>
      </c>
      <c r="Y165" s="13" t="s">
        <v>8705</v>
      </c>
      <c r="Z165" s="13" t="s">
        <v>8706</v>
      </c>
      <c r="AA165" s="13" t="s">
        <v>8707</v>
      </c>
      <c r="AB165" s="13" t="s">
        <v>8708</v>
      </c>
      <c r="AC165" s="13" t="s">
        <v>8709</v>
      </c>
      <c r="AD165" s="13" t="s">
        <v>8709</v>
      </c>
      <c r="AE165" s="13" t="s">
        <v>8710</v>
      </c>
      <c r="AF165" s="13" t="s">
        <v>5510</v>
      </c>
      <c r="AG165" s="13">
        <v>52.0</v>
      </c>
      <c r="AH165" s="13">
        <v>11.0</v>
      </c>
      <c r="AI165" s="13">
        <v>11.0</v>
      </c>
      <c r="AJ165" s="13">
        <v>2.0</v>
      </c>
      <c r="AK165" s="13">
        <v>41.0</v>
      </c>
      <c r="AL165" s="13" t="s">
        <v>5931</v>
      </c>
      <c r="AM165" s="13" t="s">
        <v>5932</v>
      </c>
      <c r="AN165" s="13" t="s">
        <v>5933</v>
      </c>
      <c r="AO165" s="13" t="s">
        <v>5934</v>
      </c>
      <c r="AP165" s="13" t="s">
        <v>5935</v>
      </c>
      <c r="AQ165" s="13" t="s">
        <v>5510</v>
      </c>
      <c r="AR165" s="13" t="s">
        <v>5936</v>
      </c>
      <c r="AS165" s="13" t="s">
        <v>5937</v>
      </c>
      <c r="AT165" s="13" t="s">
        <v>2738</v>
      </c>
      <c r="AU165" s="13">
        <v>2019.0</v>
      </c>
      <c r="AV165" s="13">
        <v>230.0</v>
      </c>
      <c r="AW165" s="13" t="s">
        <v>5510</v>
      </c>
      <c r="AX165" s="13" t="s">
        <v>5510</v>
      </c>
      <c r="AY165" s="13" t="s">
        <v>5510</v>
      </c>
      <c r="AZ165" s="13" t="s">
        <v>5510</v>
      </c>
      <c r="BA165" s="13" t="s">
        <v>5510</v>
      </c>
      <c r="BB165" s="13">
        <v>104.0</v>
      </c>
      <c r="BC165" s="13">
        <v>112.0</v>
      </c>
      <c r="BD165" s="13" t="s">
        <v>5510</v>
      </c>
      <c r="BE165" s="13" t="s">
        <v>8711</v>
      </c>
      <c r="BF165" s="52" t="str">
        <f>HYPERLINK("http://dx.doi.org/10.1016/j.biocon.2018.12.015","http://dx.doi.org/10.1016/j.biocon.2018.12.015")</f>
        <v>http://dx.doi.org/10.1016/j.biocon.2018.12.015</v>
      </c>
      <c r="BG165" s="13" t="s">
        <v>5510</v>
      </c>
      <c r="BH165" s="13" t="s">
        <v>5510</v>
      </c>
      <c r="BI165" s="13">
        <v>9.0</v>
      </c>
      <c r="BJ165" s="13" t="s">
        <v>5698</v>
      </c>
      <c r="BK165" s="13" t="s">
        <v>5561</v>
      </c>
      <c r="BL165" s="13" t="s">
        <v>5699</v>
      </c>
      <c r="BM165" s="13" t="s">
        <v>8712</v>
      </c>
      <c r="BN165" s="13" t="s">
        <v>5510</v>
      </c>
      <c r="BO165" s="13" t="s">
        <v>5587</v>
      </c>
      <c r="BP165" s="13" t="s">
        <v>5510</v>
      </c>
      <c r="BQ165" s="13" t="s">
        <v>5510</v>
      </c>
      <c r="BR165" s="13" t="s">
        <v>5538</v>
      </c>
      <c r="BS165" s="13" t="s">
        <v>8713</v>
      </c>
      <c r="BT165" s="13">
        <v>23865.0</v>
      </c>
      <c r="BU165" s="13" t="s">
        <v>5540</v>
      </c>
      <c r="BV165" s="13" t="s">
        <v>4856</v>
      </c>
      <c r="BW165" s="13" t="str">
        <f>VLOOKUP($BT165,Enriched!$A$2:$E$1070,5,false)</f>
        <v>["Biological Resource Use", "Natural System Modifications"]</v>
      </c>
      <c r="BX165" s="13" t="str">
        <f>VLOOKUP($BT165,Enriched!$A$2:$E$1070,4,false)</f>
        <v>["Hunting &amp; collecting terrestrial animals", "Fire &amp; fire suppression"]</v>
      </c>
      <c r="BY165" s="13" t="b">
        <f>VLOOKUP(BT165,Enriched!$A$1:$AA$1070,27,falsE)</f>
        <v>0</v>
      </c>
      <c r="BZ165" s="2" t="str">
        <f>VLOOKUP(BT165,Enriched!$A$1:$AA$1070,14,falsE)</f>
        <v>level2</v>
      </c>
      <c r="CA165" s="13" t="str">
        <f>HYPERLINK("https%3A%2F%2Fwww.webofscience.com%2Fwos%2Fwoscc%2Ffull-record%2FWOS:000468703700014","View Full Record in Web of Science")</f>
        <v>View Full Record in Web of Science</v>
      </c>
    </row>
    <row r="166" ht="12.75" customHeight="1">
      <c r="A166" s="13" t="s">
        <v>5508</v>
      </c>
      <c r="B166" s="13" t="s">
        <v>8714</v>
      </c>
      <c r="C166" s="13" t="s">
        <v>5510</v>
      </c>
      <c r="D166" s="13" t="s">
        <v>5510</v>
      </c>
      <c r="E166" s="13" t="s">
        <v>5510</v>
      </c>
      <c r="F166" s="13" t="s">
        <v>8715</v>
      </c>
      <c r="G166" s="13" t="s">
        <v>5510</v>
      </c>
      <c r="H166" s="13" t="s">
        <v>5510</v>
      </c>
      <c r="I166" s="13" t="s">
        <v>8716</v>
      </c>
      <c r="J166" s="13" t="s">
        <v>8717</v>
      </c>
      <c r="K166" s="13" t="s">
        <v>5510</v>
      </c>
      <c r="L166" s="13" t="s">
        <v>5510</v>
      </c>
      <c r="M166" s="13" t="s">
        <v>5513</v>
      </c>
      <c r="N166" s="13" t="s">
        <v>5626</v>
      </c>
      <c r="O166" s="13" t="s">
        <v>8718</v>
      </c>
      <c r="P166" s="13" t="s">
        <v>8719</v>
      </c>
      <c r="Q166" s="13" t="s">
        <v>8720</v>
      </c>
      <c r="R166" s="13" t="s">
        <v>8721</v>
      </c>
      <c r="S166" s="13" t="s">
        <v>8722</v>
      </c>
      <c r="T166" s="13" t="s">
        <v>8723</v>
      </c>
      <c r="U166" s="13" t="s">
        <v>8724</v>
      </c>
      <c r="V166" s="13" t="s">
        <v>8725</v>
      </c>
      <c r="W166" s="13" t="s">
        <v>8726</v>
      </c>
      <c r="X166" s="13" t="s">
        <v>8727</v>
      </c>
      <c r="Y166" s="13" t="s">
        <v>8728</v>
      </c>
      <c r="Z166" s="13" t="s">
        <v>8729</v>
      </c>
      <c r="AA166" s="13" t="s">
        <v>8730</v>
      </c>
      <c r="AB166" s="13" t="s">
        <v>8731</v>
      </c>
      <c r="AC166" s="13" t="s">
        <v>5510</v>
      </c>
      <c r="AD166" s="13" t="s">
        <v>5510</v>
      </c>
      <c r="AE166" s="13" t="s">
        <v>5510</v>
      </c>
      <c r="AF166" s="13" t="s">
        <v>5510</v>
      </c>
      <c r="AG166" s="13">
        <v>40.0</v>
      </c>
      <c r="AH166" s="13">
        <v>15.0</v>
      </c>
      <c r="AI166" s="13">
        <v>18.0</v>
      </c>
      <c r="AJ166" s="13">
        <v>0.0</v>
      </c>
      <c r="AK166" s="13">
        <v>17.0</v>
      </c>
      <c r="AL166" s="13" t="s">
        <v>8732</v>
      </c>
      <c r="AM166" s="13" t="s">
        <v>8733</v>
      </c>
      <c r="AN166" s="13" t="s">
        <v>8734</v>
      </c>
      <c r="AO166" s="13" t="s">
        <v>8735</v>
      </c>
      <c r="AP166" s="13" t="s">
        <v>8736</v>
      </c>
      <c r="AQ166" s="13" t="s">
        <v>5510</v>
      </c>
      <c r="AR166" s="13" t="s">
        <v>8737</v>
      </c>
      <c r="AS166" s="13" t="s">
        <v>8738</v>
      </c>
      <c r="AT166" s="13" t="s">
        <v>5866</v>
      </c>
      <c r="AU166" s="13">
        <v>2016.0</v>
      </c>
      <c r="AV166" s="13">
        <v>60.0</v>
      </c>
      <c r="AW166" s="13">
        <v>1.0</v>
      </c>
      <c r="AX166" s="13" t="s">
        <v>5510</v>
      </c>
      <c r="AY166" s="13" t="s">
        <v>8739</v>
      </c>
      <c r="AZ166" s="13" t="s">
        <v>5510</v>
      </c>
      <c r="BA166" s="13" t="s">
        <v>5510</v>
      </c>
      <c r="BB166" s="13">
        <v>329.0</v>
      </c>
      <c r="BC166" s="13">
        <v>336.0</v>
      </c>
      <c r="BD166" s="13" t="s">
        <v>5510</v>
      </c>
      <c r="BE166" s="13" t="str">
        <f>#REF!</f>
        <v>#REF!</v>
      </c>
      <c r="BF166" s="13" t="s">
        <v>5510</v>
      </c>
      <c r="BG166" s="13" t="s">
        <v>5510</v>
      </c>
      <c r="BH166" s="13" t="s">
        <v>5510</v>
      </c>
      <c r="BI166" s="13">
        <v>8.0</v>
      </c>
      <c r="BJ166" s="13" t="s">
        <v>8740</v>
      </c>
      <c r="BK166" s="13" t="s">
        <v>5649</v>
      </c>
      <c r="BL166" s="13" t="s">
        <v>8740</v>
      </c>
      <c r="BM166" s="13" t="s">
        <v>8741</v>
      </c>
      <c r="BN166" s="13">
        <v>2.7309075E7</v>
      </c>
      <c r="BO166" s="13" t="s">
        <v>5510</v>
      </c>
      <c r="BP166" s="13" t="s">
        <v>5510</v>
      </c>
      <c r="BQ166" s="13" t="s">
        <v>5510</v>
      </c>
      <c r="BR166" s="13" t="s">
        <v>5538</v>
      </c>
      <c r="BS166" s="13" t="s">
        <v>8742</v>
      </c>
      <c r="BT166" s="13">
        <v>25225.0</v>
      </c>
      <c r="BU166" s="13" t="s">
        <v>5540</v>
      </c>
      <c r="BV166" s="13" t="s">
        <v>4856</v>
      </c>
      <c r="BW166" s="13" t="str">
        <f>VLOOKUP($BT166,Enriched!$A$2:$E$1070,5,false)</f>
        <v>["Invasive &amp; other problematic species, genes &amp; diseases"]</v>
      </c>
      <c r="BX166" s="13" t="str">
        <f>VLOOKUP($BT166,Enriched!$A$2:$E$1070,4,false)</f>
        <v>["Invasive non-native/alien species/diseases"]</v>
      </c>
      <c r="BY166" s="13" t="b">
        <f>VLOOKUP(BT166,Enriched!$A$1:$AA$1070,27,falsE)</f>
        <v>0</v>
      </c>
      <c r="BZ166" s="2" t="str">
        <f>VLOOKUP(BT166,Enriched!$A$1:$AA$1070,14,falsE)</f>
        <v>level2</v>
      </c>
      <c r="CA166" s="13" t="str">
        <f>HYPERLINK("https%3A%2F%2Fwww.webofscience.com%2Fwos%2Fwoscc%2Ffull-record%2FWOS:000378085900033","View Full Record in Web of Science")</f>
        <v>View Full Record in Web of Science</v>
      </c>
    </row>
    <row r="167" ht="12.75" customHeight="1">
      <c r="A167" s="13" t="s">
        <v>5508</v>
      </c>
      <c r="B167" s="13" t="s">
        <v>8743</v>
      </c>
      <c r="C167" s="13" t="s">
        <v>5510</v>
      </c>
      <c r="D167" s="13" t="s">
        <v>5510</v>
      </c>
      <c r="E167" s="13" t="s">
        <v>5510</v>
      </c>
      <c r="F167" s="13" t="s">
        <v>8744</v>
      </c>
      <c r="G167" s="13" t="s">
        <v>5510</v>
      </c>
      <c r="H167" s="13" t="s">
        <v>5510</v>
      </c>
      <c r="I167" s="13" t="s">
        <v>2573</v>
      </c>
      <c r="J167" s="13" t="s">
        <v>5677</v>
      </c>
      <c r="K167" s="13" t="s">
        <v>5510</v>
      </c>
      <c r="L167" s="13" t="s">
        <v>5510</v>
      </c>
      <c r="M167" s="13" t="s">
        <v>5513</v>
      </c>
      <c r="N167" s="13" t="s">
        <v>5514</v>
      </c>
      <c r="O167" s="13" t="s">
        <v>5510</v>
      </c>
      <c r="P167" s="13" t="s">
        <v>5510</v>
      </c>
      <c r="Q167" s="13" t="s">
        <v>5510</v>
      </c>
      <c r="R167" s="13" t="s">
        <v>5510</v>
      </c>
      <c r="S167" s="13" t="s">
        <v>5510</v>
      </c>
      <c r="T167" s="13" t="s">
        <v>8745</v>
      </c>
      <c r="U167" s="13" t="s">
        <v>8746</v>
      </c>
      <c r="V167" s="13" t="s">
        <v>8747</v>
      </c>
      <c r="W167" s="13" t="s">
        <v>8748</v>
      </c>
      <c r="X167" s="13" t="s">
        <v>8749</v>
      </c>
      <c r="Y167" s="13" t="s">
        <v>8750</v>
      </c>
      <c r="Z167" s="13" t="s">
        <v>8751</v>
      </c>
      <c r="AA167" s="13" t="s">
        <v>8752</v>
      </c>
      <c r="AB167" s="13" t="s">
        <v>5510</v>
      </c>
      <c r="AC167" s="13" t="s">
        <v>8753</v>
      </c>
      <c r="AD167" s="13" t="s">
        <v>8753</v>
      </c>
      <c r="AE167" s="13" t="s">
        <v>8754</v>
      </c>
      <c r="AF167" s="13" t="s">
        <v>5510</v>
      </c>
      <c r="AG167" s="13">
        <v>82.0</v>
      </c>
      <c r="AH167" s="13">
        <v>41.0</v>
      </c>
      <c r="AI167" s="13">
        <v>55.0</v>
      </c>
      <c r="AJ167" s="13">
        <v>3.0</v>
      </c>
      <c r="AK167" s="13">
        <v>178.0</v>
      </c>
      <c r="AL167" s="13" t="s">
        <v>5690</v>
      </c>
      <c r="AM167" s="13" t="s">
        <v>5691</v>
      </c>
      <c r="AN167" s="13" t="s">
        <v>5692</v>
      </c>
      <c r="AO167" s="13" t="s">
        <v>5693</v>
      </c>
      <c r="AP167" s="13" t="s">
        <v>5694</v>
      </c>
      <c r="AQ167" s="13" t="s">
        <v>5510</v>
      </c>
      <c r="AR167" s="13" t="s">
        <v>5695</v>
      </c>
      <c r="AS167" s="13" t="s">
        <v>5696</v>
      </c>
      <c r="AT167" s="13" t="s">
        <v>1925</v>
      </c>
      <c r="AU167" s="13">
        <v>2014.0</v>
      </c>
      <c r="AV167" s="13">
        <v>23.0</v>
      </c>
      <c r="AW167" s="13">
        <v>10.0</v>
      </c>
      <c r="AX167" s="13" t="s">
        <v>5510</v>
      </c>
      <c r="AY167" s="13" t="s">
        <v>5510</v>
      </c>
      <c r="AZ167" s="13" t="s">
        <v>5510</v>
      </c>
      <c r="BA167" s="13" t="s">
        <v>5510</v>
      </c>
      <c r="BB167" s="13">
        <v>2491.0</v>
      </c>
      <c r="BC167" s="13">
        <v>2514.0</v>
      </c>
      <c r="BD167" s="13" t="s">
        <v>5510</v>
      </c>
      <c r="BE167" s="13" t="s">
        <v>8755</v>
      </c>
      <c r="BF167" s="52" t="str">
        <f>HYPERLINK("http://dx.doi.org/10.1007/s10531-014-0734-2","http://dx.doi.org/10.1007/s10531-014-0734-2")</f>
        <v>http://dx.doi.org/10.1007/s10531-014-0734-2</v>
      </c>
      <c r="BG167" s="13" t="s">
        <v>5510</v>
      </c>
      <c r="BH167" s="13" t="s">
        <v>5510</v>
      </c>
      <c r="BI167" s="13">
        <v>24.0</v>
      </c>
      <c r="BJ167" s="13" t="s">
        <v>5698</v>
      </c>
      <c r="BK167" s="13" t="s">
        <v>5561</v>
      </c>
      <c r="BL167" s="13" t="s">
        <v>5699</v>
      </c>
      <c r="BM167" s="13" t="s">
        <v>8756</v>
      </c>
      <c r="BN167" s="13" t="s">
        <v>5510</v>
      </c>
      <c r="BO167" s="13" t="s">
        <v>5510</v>
      </c>
      <c r="BP167" s="13" t="s">
        <v>5510</v>
      </c>
      <c r="BQ167" s="13" t="s">
        <v>5510</v>
      </c>
      <c r="BR167" s="13" t="s">
        <v>5538</v>
      </c>
      <c r="BS167" s="13" t="s">
        <v>8757</v>
      </c>
      <c r="BT167" s="13">
        <v>23232.0</v>
      </c>
      <c r="BU167" s="13" t="s">
        <v>5540</v>
      </c>
      <c r="BV167" s="13" t="s">
        <v>4856</v>
      </c>
      <c r="BW167" s="13" t="str">
        <f>VLOOKUP($BT167,Enriched!$A$2:$E$1070,5,false)</f>
        <v>["Transportation &amp; Service Corridors"]</v>
      </c>
      <c r="BX167" s="13" t="str">
        <f>VLOOKUP($BT167,Enriched!$A$2:$E$1070,4,false)</f>
        <v>["Roads &amp; railroads"]</v>
      </c>
      <c r="BY167" s="13" t="b">
        <f>VLOOKUP(BT167,Enriched!$A$1:$AA$1070,27,falsE)</f>
        <v>0</v>
      </c>
      <c r="BZ167" s="2" t="str">
        <f>VLOOKUP(BT167,Enriched!$A$1:$AA$1070,14,falsE)</f>
        <v>level2</v>
      </c>
      <c r="CA167" s="13" t="str">
        <f>HYPERLINK("https%3A%2F%2Fwww.webofscience.com%2Fwos%2Fwoscc%2Ffull-record%2FWOS:000339937300006","View Full Record in Web of Science")</f>
        <v>View Full Record in Web of Science</v>
      </c>
    </row>
    <row r="168" ht="12.75" customHeight="1">
      <c r="A168" s="13" t="s">
        <v>5508</v>
      </c>
      <c r="B168" s="13" t="s">
        <v>8758</v>
      </c>
      <c r="C168" s="13" t="s">
        <v>5510</v>
      </c>
      <c r="D168" s="13" t="s">
        <v>5510</v>
      </c>
      <c r="E168" s="13" t="s">
        <v>5510</v>
      </c>
      <c r="F168" s="13" t="s">
        <v>8759</v>
      </c>
      <c r="G168" s="13" t="s">
        <v>5510</v>
      </c>
      <c r="H168" s="13" t="s">
        <v>5510</v>
      </c>
      <c r="I168" s="13" t="s">
        <v>8760</v>
      </c>
      <c r="J168" s="13" t="s">
        <v>5543</v>
      </c>
      <c r="K168" s="13" t="s">
        <v>5510</v>
      </c>
      <c r="L168" s="13" t="s">
        <v>5510</v>
      </c>
      <c r="M168" s="13" t="s">
        <v>5513</v>
      </c>
      <c r="N168" s="13" t="s">
        <v>5514</v>
      </c>
      <c r="O168" s="13" t="s">
        <v>5510</v>
      </c>
      <c r="P168" s="13" t="s">
        <v>5510</v>
      </c>
      <c r="Q168" s="13" t="s">
        <v>5510</v>
      </c>
      <c r="R168" s="13" t="s">
        <v>5510</v>
      </c>
      <c r="S168" s="13" t="s">
        <v>5510</v>
      </c>
      <c r="T168" s="13" t="s">
        <v>5510</v>
      </c>
      <c r="U168" s="13" t="s">
        <v>8761</v>
      </c>
      <c r="V168" s="13" t="s">
        <v>8762</v>
      </c>
      <c r="W168" s="13" t="s">
        <v>8763</v>
      </c>
      <c r="X168" s="13" t="s">
        <v>8764</v>
      </c>
      <c r="Y168" s="13" t="s">
        <v>8765</v>
      </c>
      <c r="Z168" s="13" t="s">
        <v>8766</v>
      </c>
      <c r="AA168" s="13" t="s">
        <v>8767</v>
      </c>
      <c r="AB168" s="13" t="s">
        <v>8768</v>
      </c>
      <c r="AC168" s="13" t="s">
        <v>8769</v>
      </c>
      <c r="AD168" s="13" t="s">
        <v>8769</v>
      </c>
      <c r="AE168" s="13" t="s">
        <v>8770</v>
      </c>
      <c r="AF168" s="13" t="s">
        <v>5510</v>
      </c>
      <c r="AG168" s="13">
        <v>81.0</v>
      </c>
      <c r="AH168" s="13">
        <v>11.0</v>
      </c>
      <c r="AI168" s="13">
        <v>17.0</v>
      </c>
      <c r="AJ168" s="13">
        <v>1.0</v>
      </c>
      <c r="AK168" s="13">
        <v>44.0</v>
      </c>
      <c r="AL168" s="13" t="s">
        <v>5552</v>
      </c>
      <c r="AM168" s="13" t="s">
        <v>5553</v>
      </c>
      <c r="AN168" s="13" t="s">
        <v>5554</v>
      </c>
      <c r="AO168" s="13" t="s">
        <v>5555</v>
      </c>
      <c r="AP168" s="13" t="s">
        <v>5510</v>
      </c>
      <c r="AQ168" s="13" t="s">
        <v>5510</v>
      </c>
      <c r="AR168" s="13" t="s">
        <v>5543</v>
      </c>
      <c r="AS168" s="13" t="s">
        <v>5556</v>
      </c>
      <c r="AT168" s="13" t="s">
        <v>8771</v>
      </c>
      <c r="AU168" s="13">
        <v>2016.0</v>
      </c>
      <c r="AV168" s="13">
        <v>11.0</v>
      </c>
      <c r="AW168" s="13">
        <v>4.0</v>
      </c>
      <c r="AX168" s="13" t="s">
        <v>5510</v>
      </c>
      <c r="AY168" s="13" t="s">
        <v>5510</v>
      </c>
      <c r="AZ168" s="13" t="s">
        <v>5510</v>
      </c>
      <c r="BA168" s="13" t="s">
        <v>5510</v>
      </c>
      <c r="BB168" s="13" t="s">
        <v>5510</v>
      </c>
      <c r="BC168" s="13" t="s">
        <v>5510</v>
      </c>
      <c r="BD168" s="13" t="s">
        <v>8772</v>
      </c>
      <c r="BE168" s="13" t="s">
        <v>8773</v>
      </c>
      <c r="BF168" s="52" t="str">
        <f>HYPERLINK("http://dx.doi.org/10.1371/journal.pone.0154474","http://dx.doi.org/10.1371/journal.pone.0154474")</f>
        <v>http://dx.doi.org/10.1371/journal.pone.0154474</v>
      </c>
      <c r="BG168" s="13" t="s">
        <v>5510</v>
      </c>
      <c r="BH168" s="13" t="s">
        <v>5510</v>
      </c>
      <c r="BI168" s="13">
        <v>17.0</v>
      </c>
      <c r="BJ168" s="13" t="s">
        <v>5560</v>
      </c>
      <c r="BK168" s="13" t="s">
        <v>5561</v>
      </c>
      <c r="BL168" s="13" t="s">
        <v>5562</v>
      </c>
      <c r="BM168" s="13" t="s">
        <v>8774</v>
      </c>
      <c r="BN168" s="13">
        <v>2.7119344E7</v>
      </c>
      <c r="BO168" s="13" t="s">
        <v>5564</v>
      </c>
      <c r="BP168" s="13" t="s">
        <v>5510</v>
      </c>
      <c r="BQ168" s="13" t="s">
        <v>5510</v>
      </c>
      <c r="BR168" s="13" t="s">
        <v>5538</v>
      </c>
      <c r="BS168" s="13" t="s">
        <v>8775</v>
      </c>
      <c r="BT168" s="13">
        <v>24750.0</v>
      </c>
      <c r="BU168" s="13" t="s">
        <v>5540</v>
      </c>
      <c r="BV168" s="13" t="s">
        <v>4856</v>
      </c>
      <c r="BW168" s="13" t="str">
        <f>VLOOKUP($BT168,Enriched!$A$2:$E$1070,5,false)</f>
        <v>["Transportation &amp; Service Corridors"]</v>
      </c>
      <c r="BX168" s="13" t="str">
        <f>VLOOKUP($BT168,Enriched!$A$2:$E$1070,4,false)</f>
        <v>["Roads &amp; railroads"]</v>
      </c>
      <c r="BY168" s="13" t="b">
        <f>VLOOKUP(BT168,Enriched!$A$1:$AA$1070,27,falsE)</f>
        <v>0</v>
      </c>
      <c r="BZ168" s="2" t="str">
        <f>VLOOKUP(BT168,Enriched!$A$1:$AA$1070,14,falsE)</f>
        <v>cumulative</v>
      </c>
      <c r="CA168" s="13" t="str">
        <f>HYPERLINK("https%3A%2F%2Fwww.webofscience.com%2Fwos%2Fwoscc%2Ffull-record%2FWOS:000374976200081","View Full Record in Web of Science")</f>
        <v>View Full Record in Web of Science</v>
      </c>
    </row>
    <row r="169" ht="12.75" customHeight="1">
      <c r="A169" s="13" t="s">
        <v>5508</v>
      </c>
      <c r="B169" s="13" t="s">
        <v>8776</v>
      </c>
      <c r="C169" s="13" t="s">
        <v>5510</v>
      </c>
      <c r="D169" s="13" t="s">
        <v>5510</v>
      </c>
      <c r="E169" s="13" t="s">
        <v>5510</v>
      </c>
      <c r="F169" s="13" t="s">
        <v>8777</v>
      </c>
      <c r="G169" s="13" t="s">
        <v>5510</v>
      </c>
      <c r="H169" s="13" t="s">
        <v>5510</v>
      </c>
      <c r="I169" s="13" t="s">
        <v>2569</v>
      </c>
      <c r="J169" s="13" t="s">
        <v>5919</v>
      </c>
      <c r="K169" s="13" t="s">
        <v>5510</v>
      </c>
      <c r="L169" s="13" t="s">
        <v>5510</v>
      </c>
      <c r="M169" s="13" t="s">
        <v>5513</v>
      </c>
      <c r="N169" s="13" t="s">
        <v>5514</v>
      </c>
      <c r="O169" s="13" t="s">
        <v>5510</v>
      </c>
      <c r="P169" s="13" t="s">
        <v>5510</v>
      </c>
      <c r="Q169" s="13" t="s">
        <v>5510</v>
      </c>
      <c r="R169" s="13" t="s">
        <v>5510</v>
      </c>
      <c r="S169" s="13" t="s">
        <v>5510</v>
      </c>
      <c r="T169" s="13" t="s">
        <v>8778</v>
      </c>
      <c r="U169" s="13" t="s">
        <v>8779</v>
      </c>
      <c r="V169" s="13" t="s">
        <v>8780</v>
      </c>
      <c r="W169" s="13" t="s">
        <v>8781</v>
      </c>
      <c r="X169" s="13" t="s">
        <v>8782</v>
      </c>
      <c r="Y169" s="13" t="s">
        <v>8783</v>
      </c>
      <c r="Z169" s="13" t="s">
        <v>8784</v>
      </c>
      <c r="AA169" s="13" t="s">
        <v>8785</v>
      </c>
      <c r="AB169" s="13" t="s">
        <v>8786</v>
      </c>
      <c r="AC169" s="13" t="s">
        <v>8787</v>
      </c>
      <c r="AD169" s="13" t="s">
        <v>8788</v>
      </c>
      <c r="AE169" s="13" t="s">
        <v>8789</v>
      </c>
      <c r="AF169" s="13" t="s">
        <v>5510</v>
      </c>
      <c r="AG169" s="13">
        <v>83.0</v>
      </c>
      <c r="AH169" s="13">
        <v>67.0</v>
      </c>
      <c r="AI169" s="13">
        <v>83.0</v>
      </c>
      <c r="AJ169" s="13">
        <v>2.0</v>
      </c>
      <c r="AK169" s="13">
        <v>165.0</v>
      </c>
      <c r="AL169" s="13" t="s">
        <v>5931</v>
      </c>
      <c r="AM169" s="13" t="s">
        <v>5932</v>
      </c>
      <c r="AN169" s="13" t="s">
        <v>5933</v>
      </c>
      <c r="AO169" s="13" t="s">
        <v>5934</v>
      </c>
      <c r="AP169" s="13" t="s">
        <v>5935</v>
      </c>
      <c r="AQ169" s="13" t="s">
        <v>5510</v>
      </c>
      <c r="AR169" s="13" t="s">
        <v>5936</v>
      </c>
      <c r="AS169" s="13" t="s">
        <v>5937</v>
      </c>
      <c r="AT169" s="13" t="s">
        <v>5582</v>
      </c>
      <c r="AU169" s="13">
        <v>2014.0</v>
      </c>
      <c r="AV169" s="13">
        <v>169.0</v>
      </c>
      <c r="AW169" s="13" t="s">
        <v>5510</v>
      </c>
      <c r="AX169" s="13" t="s">
        <v>5510</v>
      </c>
      <c r="AY169" s="13" t="s">
        <v>5510</v>
      </c>
      <c r="AZ169" s="13" t="s">
        <v>5510</v>
      </c>
      <c r="BA169" s="13" t="s">
        <v>5510</v>
      </c>
      <c r="BB169" s="13">
        <v>117.0</v>
      </c>
      <c r="BC169" s="13">
        <v>127.0</v>
      </c>
      <c r="BD169" s="13" t="s">
        <v>5510</v>
      </c>
      <c r="BE169" s="13" t="s">
        <v>8790</v>
      </c>
      <c r="BF169" s="52" t="str">
        <f>HYPERLINK("http://dx.doi.org/10.1016/j.biocon.2013.10.011","http://dx.doi.org/10.1016/j.biocon.2013.10.011")</f>
        <v>http://dx.doi.org/10.1016/j.biocon.2013.10.011</v>
      </c>
      <c r="BG169" s="13" t="s">
        <v>5510</v>
      </c>
      <c r="BH169" s="13" t="s">
        <v>5510</v>
      </c>
      <c r="BI169" s="13">
        <v>11.0</v>
      </c>
      <c r="BJ169" s="13" t="s">
        <v>5698</v>
      </c>
      <c r="BK169" s="13" t="s">
        <v>5561</v>
      </c>
      <c r="BL169" s="13" t="s">
        <v>5699</v>
      </c>
      <c r="BM169" s="13" t="s">
        <v>8791</v>
      </c>
      <c r="BN169" s="13" t="s">
        <v>5510</v>
      </c>
      <c r="BO169" s="13" t="s">
        <v>6623</v>
      </c>
      <c r="BP169" s="13" t="s">
        <v>5510</v>
      </c>
      <c r="BQ169" s="13" t="s">
        <v>5510</v>
      </c>
      <c r="BR169" s="13" t="s">
        <v>5538</v>
      </c>
      <c r="BS169" s="13" t="s">
        <v>8792</v>
      </c>
      <c r="BT169" s="13">
        <v>25633.0</v>
      </c>
      <c r="BU169" s="13" t="s">
        <v>5540</v>
      </c>
      <c r="BV169" s="13" t="s">
        <v>4856</v>
      </c>
      <c r="BW169" s="13" t="str">
        <f>VLOOKUP($BT169,Enriched!$A$2:$E$1070,5,false)</f>
        <v>["Biological resource use"]</v>
      </c>
      <c r="BX169" s="13" t="str">
        <f>VLOOKUP($BT169,Enriched!$A$2:$E$1070,4,false)</f>
        <v>["Hunting &amp; collecting terrestrial animals"]</v>
      </c>
      <c r="BY169" s="13" t="b">
        <f>VLOOKUP(BT169,Enriched!$A$1:$AA$1070,27,falsE)</f>
        <v>0</v>
      </c>
      <c r="BZ169" s="2" t="str">
        <f>VLOOKUP(BT169,Enriched!$A$1:$AA$1070,14,falsE)</f>
        <v>level2</v>
      </c>
      <c r="CA169" s="13" t="str">
        <f>HYPERLINK("https%3A%2F%2Fwww.webofscience.com%2Fwos%2Fwoscc%2Ffull-record%2FWOS:000333574400014","View Full Record in Web of Science")</f>
        <v>View Full Record in Web of Science</v>
      </c>
    </row>
    <row r="170" ht="12.75" customHeight="1">
      <c r="A170" s="13" t="s">
        <v>5508</v>
      </c>
      <c r="B170" s="13" t="s">
        <v>8793</v>
      </c>
      <c r="C170" s="13" t="s">
        <v>5510</v>
      </c>
      <c r="D170" s="13" t="s">
        <v>5510</v>
      </c>
      <c r="E170" s="13" t="s">
        <v>5510</v>
      </c>
      <c r="F170" s="13" t="s">
        <v>8794</v>
      </c>
      <c r="G170" s="13" t="s">
        <v>5510</v>
      </c>
      <c r="H170" s="13" t="s">
        <v>5510</v>
      </c>
      <c r="I170" s="13" t="s">
        <v>2567</v>
      </c>
      <c r="J170" s="13" t="s">
        <v>8795</v>
      </c>
      <c r="K170" s="13" t="s">
        <v>5510</v>
      </c>
      <c r="L170" s="13" t="s">
        <v>5510</v>
      </c>
      <c r="M170" s="13" t="s">
        <v>5513</v>
      </c>
      <c r="N170" s="13" t="s">
        <v>5514</v>
      </c>
      <c r="O170" s="13" t="s">
        <v>5510</v>
      </c>
      <c r="P170" s="13" t="s">
        <v>5510</v>
      </c>
      <c r="Q170" s="13" t="s">
        <v>5510</v>
      </c>
      <c r="R170" s="13" t="s">
        <v>5510</v>
      </c>
      <c r="S170" s="13" t="s">
        <v>5510</v>
      </c>
      <c r="T170" s="13" t="s">
        <v>5510</v>
      </c>
      <c r="U170" s="13" t="s">
        <v>8796</v>
      </c>
      <c r="V170" s="13" t="s">
        <v>8797</v>
      </c>
      <c r="W170" s="13" t="s">
        <v>8798</v>
      </c>
      <c r="X170" s="13" t="s">
        <v>8799</v>
      </c>
      <c r="Y170" s="13" t="s">
        <v>8800</v>
      </c>
      <c r="Z170" s="13" t="s">
        <v>8801</v>
      </c>
      <c r="AA170" s="13" t="s">
        <v>8802</v>
      </c>
      <c r="AB170" s="13" t="s">
        <v>8803</v>
      </c>
      <c r="AC170" s="13" t="s">
        <v>8804</v>
      </c>
      <c r="AD170" s="13" t="s">
        <v>8805</v>
      </c>
      <c r="AE170" s="13" t="s">
        <v>8806</v>
      </c>
      <c r="AF170" s="13" t="s">
        <v>5510</v>
      </c>
      <c r="AG170" s="13">
        <v>46.0</v>
      </c>
      <c r="AH170" s="13">
        <v>69.0</v>
      </c>
      <c r="AI170" s="13">
        <v>72.0</v>
      </c>
      <c r="AJ170" s="13">
        <v>1.0</v>
      </c>
      <c r="AK170" s="13">
        <v>22.0</v>
      </c>
      <c r="AL170" s="13" t="s">
        <v>8807</v>
      </c>
      <c r="AM170" s="13" t="s">
        <v>8808</v>
      </c>
      <c r="AN170" s="13" t="s">
        <v>8809</v>
      </c>
      <c r="AO170" s="13" t="s">
        <v>8810</v>
      </c>
      <c r="AP170" s="13" t="s">
        <v>5510</v>
      </c>
      <c r="AQ170" s="13" t="s">
        <v>5510</v>
      </c>
      <c r="AR170" s="13" t="s">
        <v>8811</v>
      </c>
      <c r="AS170" s="13" t="s">
        <v>8812</v>
      </c>
      <c r="AT170" s="13" t="s">
        <v>8813</v>
      </c>
      <c r="AU170" s="13">
        <v>2018.0</v>
      </c>
      <c r="AV170" s="13">
        <v>8.0</v>
      </c>
      <c r="AW170" s="13" t="s">
        <v>5510</v>
      </c>
      <c r="AX170" s="13" t="s">
        <v>5510</v>
      </c>
      <c r="AY170" s="13" t="s">
        <v>5510</v>
      </c>
      <c r="AZ170" s="13" t="s">
        <v>5510</v>
      </c>
      <c r="BA170" s="13" t="s">
        <v>5510</v>
      </c>
      <c r="BB170" s="13" t="s">
        <v>5510</v>
      </c>
      <c r="BC170" s="13" t="s">
        <v>5510</v>
      </c>
      <c r="BD170" s="13">
        <v>14871.0</v>
      </c>
      <c r="BE170" s="13" t="s">
        <v>8814</v>
      </c>
      <c r="BF170" s="52" t="str">
        <f>HYPERLINK("http://dx.doi.org/10.1038/s41598-018-33237-w","http://dx.doi.org/10.1038/s41598-018-33237-w")</f>
        <v>http://dx.doi.org/10.1038/s41598-018-33237-w</v>
      </c>
      <c r="BG170" s="13" t="s">
        <v>5510</v>
      </c>
      <c r="BH170" s="13" t="s">
        <v>5510</v>
      </c>
      <c r="BI170" s="13">
        <v>8.0</v>
      </c>
      <c r="BJ170" s="13" t="s">
        <v>5560</v>
      </c>
      <c r="BK170" s="13" t="s">
        <v>5561</v>
      </c>
      <c r="BL170" s="13" t="s">
        <v>5562</v>
      </c>
      <c r="BM170" s="13" t="s">
        <v>8815</v>
      </c>
      <c r="BN170" s="13">
        <v>3.0291298E7</v>
      </c>
      <c r="BO170" s="13" t="s">
        <v>5564</v>
      </c>
      <c r="BP170" s="13" t="s">
        <v>5510</v>
      </c>
      <c r="BQ170" s="13" t="s">
        <v>5510</v>
      </c>
      <c r="BR170" s="13" t="s">
        <v>5538</v>
      </c>
      <c r="BS170" s="13" t="s">
        <v>8816</v>
      </c>
      <c r="BT170" s="13">
        <v>25278.0</v>
      </c>
      <c r="BU170" s="13" t="s">
        <v>5540</v>
      </c>
      <c r="BV170" s="13" t="s">
        <v>4864</v>
      </c>
      <c r="BW170" s="13" t="str">
        <f>VLOOKUP($BT170,Enriched!$A$2:$E$1070,5,false)</f>
        <v>["Climate Change &amp; Severe Weather", "Pollution", "Biological Resource Use"]</v>
      </c>
      <c r="BX170" s="13" t="str">
        <f>VLOOKUP($BT170,Enriched!$A$2:$E$1070,4,false)</f>
        <v>["Habitat shifting &amp; alteration", "Fishing &amp; harvesting aquatic resources"]</v>
      </c>
      <c r="BY170" s="13" t="b">
        <f>VLOOKUP(BT170,Enriched!$A$1:$AA$1070,27,falsE)</f>
        <v>1</v>
      </c>
      <c r="BZ170" s="2" t="str">
        <f>VLOOKUP(BT170,Enriched!$A$1:$AA$1070,14,falsE)</f>
        <v>level2</v>
      </c>
      <c r="CA170" s="13" t="str">
        <f>HYPERLINK("https%3A%2F%2Fwww.webofscience.com%2Fwos%2Fwoscc%2Ffull-record%2FWOS:000446501400021","View Full Record in Web of Science")</f>
        <v>View Full Record in Web of Science</v>
      </c>
    </row>
    <row r="171" ht="12.75" customHeight="1">
      <c r="A171" s="13" t="s">
        <v>5508</v>
      </c>
      <c r="B171" s="13" t="s">
        <v>8817</v>
      </c>
      <c r="C171" s="13" t="s">
        <v>5510</v>
      </c>
      <c r="D171" s="13" t="s">
        <v>5510</v>
      </c>
      <c r="E171" s="13" t="s">
        <v>5510</v>
      </c>
      <c r="F171" s="13" t="s">
        <v>8818</v>
      </c>
      <c r="G171" s="13" t="s">
        <v>5510</v>
      </c>
      <c r="H171" s="13" t="s">
        <v>5510</v>
      </c>
      <c r="I171" s="13" t="s">
        <v>2565</v>
      </c>
      <c r="J171" s="13" t="s">
        <v>5919</v>
      </c>
      <c r="K171" s="13" t="s">
        <v>5510</v>
      </c>
      <c r="L171" s="13" t="s">
        <v>5510</v>
      </c>
      <c r="M171" s="13" t="s">
        <v>5513</v>
      </c>
      <c r="N171" s="13" t="s">
        <v>5514</v>
      </c>
      <c r="O171" s="13" t="s">
        <v>5510</v>
      </c>
      <c r="P171" s="13" t="s">
        <v>5510</v>
      </c>
      <c r="Q171" s="13" t="s">
        <v>5510</v>
      </c>
      <c r="R171" s="13" t="s">
        <v>5510</v>
      </c>
      <c r="S171" s="13" t="s">
        <v>5510</v>
      </c>
      <c r="T171" s="13" t="s">
        <v>8819</v>
      </c>
      <c r="U171" s="13" t="s">
        <v>8820</v>
      </c>
      <c r="V171" s="13" t="s">
        <v>8821</v>
      </c>
      <c r="W171" s="13" t="s">
        <v>8822</v>
      </c>
      <c r="X171" s="13" t="s">
        <v>8823</v>
      </c>
      <c r="Y171" s="13" t="s">
        <v>8824</v>
      </c>
      <c r="Z171" s="13" t="s">
        <v>8825</v>
      </c>
      <c r="AA171" s="13" t="s">
        <v>8826</v>
      </c>
      <c r="AB171" s="13" t="s">
        <v>8827</v>
      </c>
      <c r="AC171" s="13" t="s">
        <v>8828</v>
      </c>
      <c r="AD171" s="13" t="s">
        <v>8829</v>
      </c>
      <c r="AE171" s="13" t="s">
        <v>8830</v>
      </c>
      <c r="AF171" s="13" t="s">
        <v>5510</v>
      </c>
      <c r="AG171" s="13">
        <v>81.0</v>
      </c>
      <c r="AH171" s="13">
        <v>25.0</v>
      </c>
      <c r="AI171" s="13">
        <v>34.0</v>
      </c>
      <c r="AJ171" s="13">
        <v>3.0</v>
      </c>
      <c r="AK171" s="13">
        <v>85.0</v>
      </c>
      <c r="AL171" s="13" t="s">
        <v>5931</v>
      </c>
      <c r="AM171" s="13" t="s">
        <v>5932</v>
      </c>
      <c r="AN171" s="13" t="s">
        <v>5933</v>
      </c>
      <c r="AO171" s="13" t="s">
        <v>5934</v>
      </c>
      <c r="AP171" s="13" t="s">
        <v>5935</v>
      </c>
      <c r="AQ171" s="13" t="s">
        <v>5510</v>
      </c>
      <c r="AR171" s="13" t="s">
        <v>5936</v>
      </c>
      <c r="AS171" s="13" t="s">
        <v>5937</v>
      </c>
      <c r="AT171" s="13" t="s">
        <v>5667</v>
      </c>
      <c r="AU171" s="13">
        <v>2020.0</v>
      </c>
      <c r="AV171" s="13">
        <v>247.0</v>
      </c>
      <c r="AW171" s="13" t="s">
        <v>5510</v>
      </c>
      <c r="AX171" s="13" t="s">
        <v>5510</v>
      </c>
      <c r="AY171" s="13" t="s">
        <v>5510</v>
      </c>
      <c r="AZ171" s="13" t="s">
        <v>5510</v>
      </c>
      <c r="BA171" s="13" t="s">
        <v>5510</v>
      </c>
      <c r="BB171" s="13" t="s">
        <v>5510</v>
      </c>
      <c r="BC171" s="13" t="s">
        <v>5510</v>
      </c>
      <c r="BD171" s="13">
        <v>108600.0</v>
      </c>
      <c r="BE171" s="13" t="s">
        <v>8831</v>
      </c>
      <c r="BF171" s="52" t="str">
        <f>HYPERLINK("http://dx.doi.org/10.1016/j.biocon.2020.108600","http://dx.doi.org/10.1016/j.biocon.2020.108600")</f>
        <v>http://dx.doi.org/10.1016/j.biocon.2020.108600</v>
      </c>
      <c r="BG171" s="13" t="s">
        <v>5510</v>
      </c>
      <c r="BH171" s="13" t="s">
        <v>5510</v>
      </c>
      <c r="BI171" s="13">
        <v>11.0</v>
      </c>
      <c r="BJ171" s="13" t="s">
        <v>5698</v>
      </c>
      <c r="BK171" s="13" t="s">
        <v>5534</v>
      </c>
      <c r="BL171" s="13" t="s">
        <v>5699</v>
      </c>
      <c r="BM171" s="13" t="s">
        <v>8832</v>
      </c>
      <c r="BN171" s="13" t="s">
        <v>5510</v>
      </c>
      <c r="BO171" s="13" t="s">
        <v>5510</v>
      </c>
      <c r="BP171" s="13" t="s">
        <v>5510</v>
      </c>
      <c r="BQ171" s="13" t="s">
        <v>5510</v>
      </c>
      <c r="BR171" s="13" t="s">
        <v>5538</v>
      </c>
      <c r="BS171" s="13" t="s">
        <v>8833</v>
      </c>
      <c r="BT171" s="13">
        <v>25973.0</v>
      </c>
      <c r="BU171" s="13" t="s">
        <v>5540</v>
      </c>
      <c r="BV171" s="13" t="s">
        <v>4856</v>
      </c>
      <c r="BW171" s="13" t="str">
        <f>VLOOKUP($BT171,Enriched!$A$2:$E$1070,5,false)</f>
        <v>["Energy Production &amp; Mining"]</v>
      </c>
      <c r="BX171" s="13" t="str">
        <f>VLOOKUP($BT171,Enriched!$A$2:$E$1070,4,false)</f>
        <v>["Mining &amp; quarrying"]</v>
      </c>
      <c r="BY171" s="13" t="b">
        <f>VLOOKUP(BT171,Enriched!$A$1:$AA$1070,27,falsE)</f>
        <v>0</v>
      </c>
      <c r="BZ171" s="2" t="str">
        <f>VLOOKUP(BT171,Enriched!$A$1:$AA$1070,14,falsE)</f>
        <v>level2</v>
      </c>
      <c r="CA171" s="13" t="str">
        <f>HYPERLINK("https%3A%2F%2Fwww.webofscience.com%2Fwos%2Fwoscc%2Ffull-record%2FWOS:000540247600015","View Full Record in Web of Science")</f>
        <v>View Full Record in Web of Science</v>
      </c>
    </row>
    <row r="172" ht="12.75" customHeight="1">
      <c r="A172" s="13" t="s">
        <v>5508</v>
      </c>
      <c r="B172" s="13" t="s">
        <v>8834</v>
      </c>
      <c r="C172" s="13" t="s">
        <v>5510</v>
      </c>
      <c r="D172" s="13" t="s">
        <v>5510</v>
      </c>
      <c r="E172" s="13" t="s">
        <v>5510</v>
      </c>
      <c r="F172" s="13" t="s">
        <v>8835</v>
      </c>
      <c r="G172" s="13" t="s">
        <v>5510</v>
      </c>
      <c r="H172" s="13" t="s">
        <v>5510</v>
      </c>
      <c r="I172" s="13" t="s">
        <v>8836</v>
      </c>
      <c r="J172" s="13" t="s">
        <v>8837</v>
      </c>
      <c r="K172" s="13" t="s">
        <v>5510</v>
      </c>
      <c r="L172" s="13" t="s">
        <v>5510</v>
      </c>
      <c r="M172" s="13" t="s">
        <v>5513</v>
      </c>
      <c r="N172" s="13" t="s">
        <v>5514</v>
      </c>
      <c r="O172" s="13" t="s">
        <v>5510</v>
      </c>
      <c r="P172" s="13" t="s">
        <v>5510</v>
      </c>
      <c r="Q172" s="13" t="s">
        <v>5510</v>
      </c>
      <c r="R172" s="13" t="s">
        <v>5510</v>
      </c>
      <c r="S172" s="13" t="s">
        <v>5510</v>
      </c>
      <c r="T172" s="13" t="s">
        <v>8838</v>
      </c>
      <c r="U172" s="13" t="s">
        <v>8839</v>
      </c>
      <c r="V172" s="13" t="s">
        <v>8840</v>
      </c>
      <c r="W172" s="13" t="s">
        <v>8841</v>
      </c>
      <c r="X172" s="13" t="s">
        <v>8842</v>
      </c>
      <c r="Y172" s="13" t="s">
        <v>8843</v>
      </c>
      <c r="Z172" s="13" t="s">
        <v>8844</v>
      </c>
      <c r="AA172" s="13" t="s">
        <v>8845</v>
      </c>
      <c r="AB172" s="13" t="s">
        <v>8846</v>
      </c>
      <c r="AC172" s="13" t="s">
        <v>8847</v>
      </c>
      <c r="AD172" s="13" t="s">
        <v>8848</v>
      </c>
      <c r="AE172" s="13" t="s">
        <v>8849</v>
      </c>
      <c r="AF172" s="13" t="s">
        <v>5510</v>
      </c>
      <c r="AG172" s="13">
        <v>48.0</v>
      </c>
      <c r="AH172" s="13">
        <v>21.0</v>
      </c>
      <c r="AI172" s="13">
        <v>24.0</v>
      </c>
      <c r="AJ172" s="13">
        <v>2.0</v>
      </c>
      <c r="AK172" s="13">
        <v>26.0</v>
      </c>
      <c r="AL172" s="13" t="s">
        <v>6849</v>
      </c>
      <c r="AM172" s="13" t="s">
        <v>6850</v>
      </c>
      <c r="AN172" s="13" t="s">
        <v>6851</v>
      </c>
      <c r="AO172" s="13" t="s">
        <v>5510</v>
      </c>
      <c r="AP172" s="13" t="s">
        <v>8850</v>
      </c>
      <c r="AQ172" s="13" t="s">
        <v>5510</v>
      </c>
      <c r="AR172" s="13" t="s">
        <v>8851</v>
      </c>
      <c r="AS172" s="13" t="s">
        <v>8852</v>
      </c>
      <c r="AT172" s="13" t="s">
        <v>1925</v>
      </c>
      <c r="AU172" s="13">
        <v>2018.0</v>
      </c>
      <c r="AV172" s="13">
        <v>7.0</v>
      </c>
      <c r="AW172" s="13">
        <v>9.0</v>
      </c>
      <c r="AX172" s="13" t="s">
        <v>5510</v>
      </c>
      <c r="AY172" s="13" t="s">
        <v>5510</v>
      </c>
      <c r="AZ172" s="13" t="s">
        <v>5510</v>
      </c>
      <c r="BA172" s="13" t="s">
        <v>5510</v>
      </c>
      <c r="BB172" s="13" t="s">
        <v>5510</v>
      </c>
      <c r="BC172" s="13" t="s">
        <v>5510</v>
      </c>
      <c r="BD172" s="13">
        <v>365.0</v>
      </c>
      <c r="BE172" s="13" t="s">
        <v>8853</v>
      </c>
      <c r="BF172" s="52" t="str">
        <f>HYPERLINK("http://dx.doi.org/10.3390/ijgi7090365","http://dx.doi.org/10.3390/ijgi7090365")</f>
        <v>http://dx.doi.org/10.3390/ijgi7090365</v>
      </c>
      <c r="BG172" s="13" t="s">
        <v>5510</v>
      </c>
      <c r="BH172" s="13" t="s">
        <v>5510</v>
      </c>
      <c r="BI172" s="13">
        <v>13.0</v>
      </c>
      <c r="BJ172" s="13" t="s">
        <v>8854</v>
      </c>
      <c r="BK172" s="13" t="s">
        <v>5534</v>
      </c>
      <c r="BL172" s="13" t="s">
        <v>8855</v>
      </c>
      <c r="BM172" s="13" t="s">
        <v>8856</v>
      </c>
      <c r="BN172" s="13" t="s">
        <v>5510</v>
      </c>
      <c r="BO172" s="13" t="s">
        <v>5564</v>
      </c>
      <c r="BP172" s="13" t="s">
        <v>5510</v>
      </c>
      <c r="BQ172" s="13" t="s">
        <v>5510</v>
      </c>
      <c r="BR172" s="13" t="s">
        <v>5538</v>
      </c>
      <c r="BS172" s="13" t="s">
        <v>8857</v>
      </c>
      <c r="BT172" s="13">
        <v>25559.0</v>
      </c>
      <c r="BU172" s="13" t="s">
        <v>5540</v>
      </c>
      <c r="BV172" s="13" t="s">
        <v>4856</v>
      </c>
      <c r="BW172" s="13" t="str">
        <f>VLOOKUP($BT172,Enriched!$A$2:$E$1070,5,false)</f>
        <v>["Transportation &amp; Service Corridors", "Agriculture &amp; aquaculture"]</v>
      </c>
      <c r="BX172" s="13" t="str">
        <f>VLOOKUP($BT172,Enriched!$A$2:$E$1070,4,false)</f>
        <v>["Housing &amp; urban area",  "Roads &amp; railroads"]</v>
      </c>
      <c r="BY172" s="13" t="b">
        <f>VLOOKUP(BT172,Enriched!$A$1:$AA$1070,27,falsE)</f>
        <v>1</v>
      </c>
      <c r="BZ172" s="2" t="str">
        <f>VLOOKUP(BT172,Enriched!$A$1:$AA$1070,14,falsE)</f>
        <v>level2</v>
      </c>
      <c r="CA172" s="13" t="str">
        <f>HYPERLINK("https%3A%2F%2Fwww.webofscience.com%2Fwos%2Fwoscc%2Ffull-record%2FWOS:000445767900033","View Full Record in Web of Science")</f>
        <v>View Full Record in Web of Science</v>
      </c>
    </row>
    <row r="173" ht="12.75" customHeight="1">
      <c r="A173" s="13" t="s">
        <v>5508</v>
      </c>
      <c r="B173" s="13" t="s">
        <v>8858</v>
      </c>
      <c r="C173" s="13" t="s">
        <v>5510</v>
      </c>
      <c r="D173" s="13" t="s">
        <v>5510</v>
      </c>
      <c r="E173" s="13" t="s">
        <v>5510</v>
      </c>
      <c r="F173" s="13" t="s">
        <v>8859</v>
      </c>
      <c r="G173" s="13" t="s">
        <v>5510</v>
      </c>
      <c r="H173" s="13" t="s">
        <v>5510</v>
      </c>
      <c r="I173" s="13" t="s">
        <v>2555</v>
      </c>
      <c r="J173" s="13" t="s">
        <v>8860</v>
      </c>
      <c r="K173" s="13" t="s">
        <v>5510</v>
      </c>
      <c r="L173" s="13" t="s">
        <v>5510</v>
      </c>
      <c r="M173" s="13" t="s">
        <v>5513</v>
      </c>
      <c r="N173" s="13" t="s">
        <v>5514</v>
      </c>
      <c r="O173" s="13" t="s">
        <v>5510</v>
      </c>
      <c r="P173" s="13" t="s">
        <v>5510</v>
      </c>
      <c r="Q173" s="13" t="s">
        <v>5510</v>
      </c>
      <c r="R173" s="13" t="s">
        <v>5510</v>
      </c>
      <c r="S173" s="13" t="s">
        <v>5510</v>
      </c>
      <c r="T173" s="13" t="s">
        <v>8861</v>
      </c>
      <c r="U173" s="13" t="s">
        <v>8862</v>
      </c>
      <c r="V173" s="13" t="s">
        <v>8863</v>
      </c>
      <c r="W173" s="13" t="s">
        <v>8864</v>
      </c>
      <c r="X173" s="13" t="s">
        <v>8865</v>
      </c>
      <c r="Y173" s="13" t="s">
        <v>8866</v>
      </c>
      <c r="Z173" s="13" t="s">
        <v>8867</v>
      </c>
      <c r="AA173" s="13" t="s">
        <v>8868</v>
      </c>
      <c r="AB173" s="13" t="s">
        <v>8869</v>
      </c>
      <c r="AC173" s="13" t="s">
        <v>8870</v>
      </c>
      <c r="AD173" s="13" t="s">
        <v>8871</v>
      </c>
      <c r="AE173" s="13" t="s">
        <v>8872</v>
      </c>
      <c r="AF173" s="13" t="s">
        <v>5510</v>
      </c>
      <c r="AG173" s="13">
        <v>55.0</v>
      </c>
      <c r="AH173" s="13">
        <v>18.0</v>
      </c>
      <c r="AI173" s="13">
        <v>19.0</v>
      </c>
      <c r="AJ173" s="13">
        <v>0.0</v>
      </c>
      <c r="AK173" s="13">
        <v>56.0</v>
      </c>
      <c r="AL173" s="13" t="s">
        <v>8873</v>
      </c>
      <c r="AM173" s="13" t="s">
        <v>8874</v>
      </c>
      <c r="AN173" s="13" t="s">
        <v>8875</v>
      </c>
      <c r="AO173" s="13" t="s">
        <v>8876</v>
      </c>
      <c r="AP173" s="13" t="s">
        <v>8877</v>
      </c>
      <c r="AQ173" s="13" t="s">
        <v>5510</v>
      </c>
      <c r="AR173" s="13" t="s">
        <v>8878</v>
      </c>
      <c r="AS173" s="13" t="s">
        <v>8879</v>
      </c>
      <c r="AT173" s="13" t="s">
        <v>5978</v>
      </c>
      <c r="AU173" s="13">
        <v>2014.0</v>
      </c>
      <c r="AV173" s="13">
        <v>78.0</v>
      </c>
      <c r="AW173" s="13">
        <v>4.0</v>
      </c>
      <c r="AX173" s="13" t="s">
        <v>5510</v>
      </c>
      <c r="AY173" s="13" t="s">
        <v>5510</v>
      </c>
      <c r="AZ173" s="13" t="s">
        <v>5510</v>
      </c>
      <c r="BA173" s="13" t="s">
        <v>5510</v>
      </c>
      <c r="BB173" s="13">
        <v>449.0</v>
      </c>
      <c r="BC173" s="13">
        <v>459.0</v>
      </c>
      <c r="BD173" s="13" t="s">
        <v>5510</v>
      </c>
      <c r="BE173" s="13" t="s">
        <v>8880</v>
      </c>
      <c r="BF173" s="52" t="str">
        <f>HYPERLINK("http://dx.doi.org/10.3989/scimar.04000.21A","http://dx.doi.org/10.3989/scimar.04000.21A")</f>
        <v>http://dx.doi.org/10.3989/scimar.04000.21A</v>
      </c>
      <c r="BG173" s="13" t="s">
        <v>5510</v>
      </c>
      <c r="BH173" s="13" t="s">
        <v>5510</v>
      </c>
      <c r="BI173" s="13">
        <v>11.0</v>
      </c>
      <c r="BJ173" s="13" t="s">
        <v>6508</v>
      </c>
      <c r="BK173" s="13" t="s">
        <v>5561</v>
      </c>
      <c r="BL173" s="13" t="s">
        <v>6508</v>
      </c>
      <c r="BM173" s="13" t="s">
        <v>8881</v>
      </c>
      <c r="BN173" s="13" t="s">
        <v>5510</v>
      </c>
      <c r="BO173" s="13" t="s">
        <v>5564</v>
      </c>
      <c r="BP173" s="13" t="s">
        <v>5510</v>
      </c>
      <c r="BQ173" s="13" t="s">
        <v>5510</v>
      </c>
      <c r="BR173" s="13" t="s">
        <v>5538</v>
      </c>
      <c r="BS173" s="13" t="s">
        <v>8882</v>
      </c>
      <c r="BT173" s="13">
        <v>25233.0</v>
      </c>
      <c r="BU173" s="13" t="s">
        <v>5540</v>
      </c>
      <c r="BV173" s="13" t="s">
        <v>4864</v>
      </c>
      <c r="BW173" s="13" t="str">
        <f>VLOOKUP($BT173,Enriched!$A$2:$E$1070,5,false)</f>
        <v>["Biological resource use"]</v>
      </c>
      <c r="BX173" s="13" t="str">
        <f>VLOOKUP($BT173,Enriched!$A$2:$E$1070,4,false)</f>
        <v>["Fishing &amp; harvesting aquatic resources"]</v>
      </c>
      <c r="BY173" s="13" t="b">
        <f>VLOOKUP(BT173,Enriched!$A$1:$AA$1070,27,falsE)</f>
        <v>0</v>
      </c>
      <c r="BZ173" s="2" t="str">
        <f>VLOOKUP(BT173,Enriched!$A$1:$AA$1070,14,falsE)</f>
        <v>level2</v>
      </c>
      <c r="CA173" s="13" t="str">
        <f>HYPERLINK("https%3A%2F%2Fwww.webofscience.com%2Fwos%2Fwoscc%2Ffull-record%2FWOS:000346153200001","View Full Record in Web of Science")</f>
        <v>View Full Record in Web of Science</v>
      </c>
    </row>
    <row r="174" ht="12.75" customHeight="1">
      <c r="A174" s="13" t="s">
        <v>5508</v>
      </c>
      <c r="B174" s="13" t="s">
        <v>8883</v>
      </c>
      <c r="C174" s="13" t="s">
        <v>5510</v>
      </c>
      <c r="D174" s="13" t="s">
        <v>5510</v>
      </c>
      <c r="E174" s="13" t="s">
        <v>5510</v>
      </c>
      <c r="F174" s="13" t="s">
        <v>8884</v>
      </c>
      <c r="G174" s="13" t="s">
        <v>5510</v>
      </c>
      <c r="H174" s="13" t="s">
        <v>5510</v>
      </c>
      <c r="I174" s="13" t="s">
        <v>2553</v>
      </c>
      <c r="J174" s="13" t="s">
        <v>5543</v>
      </c>
      <c r="K174" s="13" t="s">
        <v>5510</v>
      </c>
      <c r="L174" s="13" t="s">
        <v>5510</v>
      </c>
      <c r="M174" s="13" t="s">
        <v>5513</v>
      </c>
      <c r="N174" s="13" t="s">
        <v>5514</v>
      </c>
      <c r="O174" s="13" t="s">
        <v>5510</v>
      </c>
      <c r="P174" s="13" t="s">
        <v>5510</v>
      </c>
      <c r="Q174" s="13" t="s">
        <v>5510</v>
      </c>
      <c r="R174" s="13" t="s">
        <v>5510</v>
      </c>
      <c r="S174" s="13" t="s">
        <v>5510</v>
      </c>
      <c r="T174" s="13" t="s">
        <v>5510</v>
      </c>
      <c r="U174" s="13" t="s">
        <v>8885</v>
      </c>
      <c r="V174" s="13" t="s">
        <v>8886</v>
      </c>
      <c r="W174" s="13" t="s">
        <v>8887</v>
      </c>
      <c r="X174" s="13" t="s">
        <v>8888</v>
      </c>
      <c r="Y174" s="13" t="s">
        <v>8889</v>
      </c>
      <c r="Z174" s="13" t="s">
        <v>8890</v>
      </c>
      <c r="AA174" s="13" t="s">
        <v>8891</v>
      </c>
      <c r="AB174" s="13" t="s">
        <v>8892</v>
      </c>
      <c r="AC174" s="13" t="s">
        <v>8893</v>
      </c>
      <c r="AD174" s="13" t="s">
        <v>8894</v>
      </c>
      <c r="AE174" s="13" t="s">
        <v>8895</v>
      </c>
      <c r="AF174" s="13" t="s">
        <v>5510</v>
      </c>
      <c r="AG174" s="13">
        <v>79.0</v>
      </c>
      <c r="AH174" s="13">
        <v>23.0</v>
      </c>
      <c r="AI174" s="13">
        <v>29.0</v>
      </c>
      <c r="AJ174" s="13">
        <v>0.0</v>
      </c>
      <c r="AK174" s="13">
        <v>77.0</v>
      </c>
      <c r="AL174" s="13" t="s">
        <v>5552</v>
      </c>
      <c r="AM174" s="13" t="s">
        <v>5553</v>
      </c>
      <c r="AN174" s="13" t="s">
        <v>5554</v>
      </c>
      <c r="AO174" s="13" t="s">
        <v>5555</v>
      </c>
      <c r="AP174" s="13" t="s">
        <v>5510</v>
      </c>
      <c r="AQ174" s="13" t="s">
        <v>5510</v>
      </c>
      <c r="AR174" s="13" t="s">
        <v>5543</v>
      </c>
      <c r="AS174" s="13" t="s">
        <v>5556</v>
      </c>
      <c r="AT174" s="13" t="s">
        <v>8896</v>
      </c>
      <c r="AU174" s="13">
        <v>2013.0</v>
      </c>
      <c r="AV174" s="13">
        <v>8.0</v>
      </c>
      <c r="AW174" s="13">
        <v>7.0</v>
      </c>
      <c r="AX174" s="13" t="s">
        <v>5510</v>
      </c>
      <c r="AY174" s="13" t="s">
        <v>5510</v>
      </c>
      <c r="AZ174" s="13" t="s">
        <v>5510</v>
      </c>
      <c r="BA174" s="13" t="s">
        <v>5510</v>
      </c>
      <c r="BB174" s="13" t="s">
        <v>5510</v>
      </c>
      <c r="BC174" s="13" t="s">
        <v>5510</v>
      </c>
      <c r="BD174" s="13" t="s">
        <v>8897</v>
      </c>
      <c r="BE174" s="13" t="s">
        <v>8898</v>
      </c>
      <c r="BF174" s="52" t="str">
        <f>HYPERLINK("http://dx.doi.org/10.1371/journal.pone.0069591","http://dx.doi.org/10.1371/journal.pone.0069591")</f>
        <v>http://dx.doi.org/10.1371/journal.pone.0069591</v>
      </c>
      <c r="BG174" s="13" t="s">
        <v>5510</v>
      </c>
      <c r="BH174" s="13" t="s">
        <v>5510</v>
      </c>
      <c r="BI174" s="13">
        <v>9.0</v>
      </c>
      <c r="BJ174" s="13" t="s">
        <v>5560</v>
      </c>
      <c r="BK174" s="13" t="s">
        <v>5561</v>
      </c>
      <c r="BL174" s="13" t="s">
        <v>5562</v>
      </c>
      <c r="BM174" s="13" t="s">
        <v>8899</v>
      </c>
      <c r="BN174" s="13">
        <v>2.3894506E7</v>
      </c>
      <c r="BO174" s="13" t="s">
        <v>5564</v>
      </c>
      <c r="BP174" s="13" t="s">
        <v>5510</v>
      </c>
      <c r="BQ174" s="13" t="s">
        <v>5510</v>
      </c>
      <c r="BR174" s="13" t="s">
        <v>5538</v>
      </c>
      <c r="BS174" s="13" t="s">
        <v>8900</v>
      </c>
      <c r="BT174" s="13">
        <v>25737.0</v>
      </c>
      <c r="BU174" s="13" t="s">
        <v>5540</v>
      </c>
      <c r="BV174" s="13" t="s">
        <v>4886</v>
      </c>
      <c r="BW174" s="13" t="str">
        <f>VLOOKUP($BT174,Enriched!$A$2:$E$1070,5,false)</f>
        <v>["Invasive &amp; other problematic species, genes &amp; diseases"]</v>
      </c>
      <c r="BX174" s="13" t="str">
        <f>VLOOKUP($BT174,Enriched!$A$2:$E$1070,4,false)</f>
        <v>["Invasive non-native/alien species/diseases"]</v>
      </c>
      <c r="BY174" s="13" t="b">
        <f>VLOOKUP(BT174,Enriched!$A$1:$AA$1070,27,falsE)</f>
        <v>0</v>
      </c>
      <c r="BZ174" s="2" t="str">
        <f>VLOOKUP(BT174,Enriched!$A$1:$AA$1070,14,falsE)</f>
        <v>level2</v>
      </c>
      <c r="CA174" s="13" t="str">
        <f>HYPERLINK("https%3A%2F%2Fwww.webofscience.com%2Fwos%2Fwoscc%2Ffull-record%2FWOS:000322132100070","View Full Record in Web of Science")</f>
        <v>View Full Record in Web of Science</v>
      </c>
    </row>
    <row r="175" ht="12.75" customHeight="1">
      <c r="A175" s="13" t="s">
        <v>5508</v>
      </c>
      <c r="B175" s="13" t="s">
        <v>8901</v>
      </c>
      <c r="C175" s="13" t="s">
        <v>5510</v>
      </c>
      <c r="D175" s="13" t="s">
        <v>5510</v>
      </c>
      <c r="E175" s="13" t="s">
        <v>5510</v>
      </c>
      <c r="F175" s="13" t="s">
        <v>8902</v>
      </c>
      <c r="G175" s="13" t="s">
        <v>5510</v>
      </c>
      <c r="H175" s="13" t="s">
        <v>5510</v>
      </c>
      <c r="I175" s="13" t="s">
        <v>2550</v>
      </c>
      <c r="J175" s="13" t="s">
        <v>8903</v>
      </c>
      <c r="K175" s="13" t="s">
        <v>5510</v>
      </c>
      <c r="L175" s="13" t="s">
        <v>5510</v>
      </c>
      <c r="M175" s="13" t="s">
        <v>5513</v>
      </c>
      <c r="N175" s="13" t="s">
        <v>5514</v>
      </c>
      <c r="O175" s="13" t="s">
        <v>5510</v>
      </c>
      <c r="P175" s="13" t="s">
        <v>5510</v>
      </c>
      <c r="Q175" s="13" t="s">
        <v>5510</v>
      </c>
      <c r="R175" s="13" t="s">
        <v>5510</v>
      </c>
      <c r="S175" s="13" t="s">
        <v>5510</v>
      </c>
      <c r="T175" s="13" t="s">
        <v>8904</v>
      </c>
      <c r="U175" s="13" t="s">
        <v>8905</v>
      </c>
      <c r="V175" s="13" t="s">
        <v>8906</v>
      </c>
      <c r="W175" s="13" t="s">
        <v>8907</v>
      </c>
      <c r="X175" s="13" t="s">
        <v>8908</v>
      </c>
      <c r="Y175" s="13" t="s">
        <v>8909</v>
      </c>
      <c r="Z175" s="13" t="s">
        <v>8910</v>
      </c>
      <c r="AA175" s="13" t="s">
        <v>5510</v>
      </c>
      <c r="AB175" s="13" t="s">
        <v>8911</v>
      </c>
      <c r="AC175" s="13" t="s">
        <v>8912</v>
      </c>
      <c r="AD175" s="13" t="s">
        <v>8912</v>
      </c>
      <c r="AE175" s="13" t="s">
        <v>8913</v>
      </c>
      <c r="AF175" s="13" t="s">
        <v>5510</v>
      </c>
      <c r="AG175" s="13">
        <v>96.0</v>
      </c>
      <c r="AH175" s="13">
        <v>8.0</v>
      </c>
      <c r="AI175" s="13">
        <v>8.0</v>
      </c>
      <c r="AJ175" s="13">
        <v>0.0</v>
      </c>
      <c r="AK175" s="13">
        <v>28.0</v>
      </c>
      <c r="AL175" s="13" t="s">
        <v>7088</v>
      </c>
      <c r="AM175" s="13" t="s">
        <v>5932</v>
      </c>
      <c r="AN175" s="13" t="s">
        <v>7089</v>
      </c>
      <c r="AO175" s="13" t="s">
        <v>8914</v>
      </c>
      <c r="AP175" s="13" t="s">
        <v>8915</v>
      </c>
      <c r="AQ175" s="13" t="s">
        <v>5510</v>
      </c>
      <c r="AR175" s="13" t="s">
        <v>8916</v>
      </c>
      <c r="AS175" s="13" t="s">
        <v>8917</v>
      </c>
      <c r="AT175" s="13" t="s">
        <v>8918</v>
      </c>
      <c r="AU175" s="13">
        <v>2017.0</v>
      </c>
      <c r="AV175" s="13">
        <v>74.0</v>
      </c>
      <c r="AW175" s="13">
        <v>8.0</v>
      </c>
      <c r="AX175" s="13" t="s">
        <v>5510</v>
      </c>
      <c r="AY175" s="13" t="s">
        <v>5510</v>
      </c>
      <c r="AZ175" s="13" t="s">
        <v>5510</v>
      </c>
      <c r="BA175" s="13" t="s">
        <v>5510</v>
      </c>
      <c r="BB175" s="13">
        <v>2201.0</v>
      </c>
      <c r="BC175" s="13">
        <v>2212.0</v>
      </c>
      <c r="BD175" s="13" t="s">
        <v>5510</v>
      </c>
      <c r="BE175" s="13" t="s">
        <v>8919</v>
      </c>
      <c r="BF175" s="52" t="str">
        <f>HYPERLINK("http://dx.doi.org/10.1093/icesjms/fsx051","http://dx.doi.org/10.1093/icesjms/fsx051")</f>
        <v>http://dx.doi.org/10.1093/icesjms/fsx051</v>
      </c>
      <c r="BG175" s="13" t="s">
        <v>5510</v>
      </c>
      <c r="BH175" s="13" t="s">
        <v>5510</v>
      </c>
      <c r="BI175" s="13">
        <v>12.0</v>
      </c>
      <c r="BJ175" s="13" t="s">
        <v>8920</v>
      </c>
      <c r="BK175" s="13" t="s">
        <v>5534</v>
      </c>
      <c r="BL175" s="13" t="s">
        <v>8920</v>
      </c>
      <c r="BM175" s="13" t="s">
        <v>8921</v>
      </c>
      <c r="BN175" s="13" t="s">
        <v>5510</v>
      </c>
      <c r="BO175" s="13" t="s">
        <v>5510</v>
      </c>
      <c r="BP175" s="13" t="s">
        <v>5510</v>
      </c>
      <c r="BQ175" s="13" t="s">
        <v>5510</v>
      </c>
      <c r="BR175" s="13" t="s">
        <v>5538</v>
      </c>
      <c r="BS175" s="13" t="s">
        <v>8922</v>
      </c>
      <c r="BT175" s="13">
        <v>25680.0</v>
      </c>
      <c r="BU175" s="13" t="s">
        <v>5540</v>
      </c>
      <c r="BV175" s="13" t="s">
        <v>4864</v>
      </c>
      <c r="BW175" s="13" t="str">
        <f>VLOOKUP($BT175,Enriched!$A$2:$E$1070,5,false)</f>
        <v>["Biological resource use"]</v>
      </c>
      <c r="BX175" s="13" t="str">
        <f>VLOOKUP($BT175,Enriched!$A$2:$E$1070,4,false)</f>
        <v>["Fishing &amp; harvesting aquatic resources"]</v>
      </c>
      <c r="BY175" s="13" t="b">
        <f>VLOOKUP(BT175,Enriched!$A$1:$AA$1070,27,falsE)</f>
        <v>0</v>
      </c>
      <c r="BZ175" s="2" t="str">
        <f>VLOOKUP(BT175,Enriched!$A$1:$AA$1070,14,falsE)</f>
        <v>level2</v>
      </c>
      <c r="CA175" s="13" t="str">
        <f>HYPERLINK("https%3A%2F%2Fwww.webofscience.com%2Fwos%2Fwoscc%2Ffull-record%2FWOS:000412707000014","View Full Record in Web of Science")</f>
        <v>View Full Record in Web of Science</v>
      </c>
    </row>
    <row r="176" ht="12.75" customHeight="1">
      <c r="A176" s="13" t="s">
        <v>5508</v>
      </c>
      <c r="B176" s="13" t="s">
        <v>8923</v>
      </c>
      <c r="C176" s="13" t="s">
        <v>5510</v>
      </c>
      <c r="D176" s="13" t="s">
        <v>5510</v>
      </c>
      <c r="E176" s="13" t="s">
        <v>5510</v>
      </c>
      <c r="F176" s="13" t="s">
        <v>8924</v>
      </c>
      <c r="G176" s="13" t="s">
        <v>5510</v>
      </c>
      <c r="H176" s="13" t="s">
        <v>5510</v>
      </c>
      <c r="I176" s="13" t="s">
        <v>2548</v>
      </c>
      <c r="J176" s="13" t="s">
        <v>8925</v>
      </c>
      <c r="K176" s="13" t="s">
        <v>5510</v>
      </c>
      <c r="L176" s="13" t="s">
        <v>5510</v>
      </c>
      <c r="M176" s="13" t="s">
        <v>5513</v>
      </c>
      <c r="N176" s="13" t="s">
        <v>5514</v>
      </c>
      <c r="O176" s="13" t="s">
        <v>5510</v>
      </c>
      <c r="P176" s="13" t="s">
        <v>5510</v>
      </c>
      <c r="Q176" s="13" t="s">
        <v>5510</v>
      </c>
      <c r="R176" s="13" t="s">
        <v>5510</v>
      </c>
      <c r="S176" s="13" t="s">
        <v>5510</v>
      </c>
      <c r="T176" s="13" t="s">
        <v>5510</v>
      </c>
      <c r="U176" s="13" t="s">
        <v>8926</v>
      </c>
      <c r="V176" s="13" t="s">
        <v>8927</v>
      </c>
      <c r="W176" s="13" t="s">
        <v>8928</v>
      </c>
      <c r="X176" s="13" t="s">
        <v>8929</v>
      </c>
      <c r="Y176" s="13" t="s">
        <v>8930</v>
      </c>
      <c r="Z176" s="13" t="s">
        <v>8931</v>
      </c>
      <c r="AA176" s="13" t="s">
        <v>8932</v>
      </c>
      <c r="AB176" s="13" t="s">
        <v>8933</v>
      </c>
      <c r="AC176" s="13" t="s">
        <v>8934</v>
      </c>
      <c r="AD176" s="13" t="s">
        <v>8935</v>
      </c>
      <c r="AE176" s="13" t="s">
        <v>8936</v>
      </c>
      <c r="AF176" s="13" t="s">
        <v>5510</v>
      </c>
      <c r="AG176" s="13">
        <v>29.0</v>
      </c>
      <c r="AH176" s="13">
        <v>1165.0</v>
      </c>
      <c r="AI176" s="13">
        <v>1279.0</v>
      </c>
      <c r="AJ176" s="13">
        <v>15.0</v>
      </c>
      <c r="AK176" s="13">
        <v>406.0</v>
      </c>
      <c r="AL176" s="13" t="s">
        <v>8937</v>
      </c>
      <c r="AM176" s="13" t="s">
        <v>6046</v>
      </c>
      <c r="AN176" s="13" t="s">
        <v>8938</v>
      </c>
      <c r="AO176" s="13" t="s">
        <v>8939</v>
      </c>
      <c r="AP176" s="13" t="s">
        <v>5510</v>
      </c>
      <c r="AQ176" s="13" t="s">
        <v>5510</v>
      </c>
      <c r="AR176" s="13" t="s">
        <v>8940</v>
      </c>
      <c r="AS176" s="13" t="s">
        <v>8941</v>
      </c>
      <c r="AT176" s="13" t="s">
        <v>5667</v>
      </c>
      <c r="AU176" s="13">
        <v>2015.0</v>
      </c>
      <c r="AV176" s="13">
        <v>6.0</v>
      </c>
      <c r="AW176" s="13" t="s">
        <v>5510</v>
      </c>
      <c r="AX176" s="13" t="s">
        <v>5510</v>
      </c>
      <c r="AY176" s="13" t="s">
        <v>5510</v>
      </c>
      <c r="AZ176" s="13" t="s">
        <v>5510</v>
      </c>
      <c r="BA176" s="13" t="s">
        <v>5510</v>
      </c>
      <c r="BB176" s="13" t="s">
        <v>5510</v>
      </c>
      <c r="BC176" s="13" t="s">
        <v>5510</v>
      </c>
      <c r="BD176" s="13">
        <v>7615.0</v>
      </c>
      <c r="BE176" s="13" t="s">
        <v>8942</v>
      </c>
      <c r="BF176" s="52" t="str">
        <f>HYPERLINK("http://dx.doi.org/10.1038/ncomms8615","http://dx.doi.org/10.1038/ncomms8615")</f>
        <v>http://dx.doi.org/10.1038/ncomms8615</v>
      </c>
      <c r="BG176" s="13" t="s">
        <v>5510</v>
      </c>
      <c r="BH176" s="13" t="s">
        <v>5510</v>
      </c>
      <c r="BI176" s="13">
        <v>7.0</v>
      </c>
      <c r="BJ176" s="13" t="s">
        <v>5560</v>
      </c>
      <c r="BK176" s="13" t="s">
        <v>5561</v>
      </c>
      <c r="BL176" s="13" t="s">
        <v>5562</v>
      </c>
      <c r="BM176" s="13" t="s">
        <v>8943</v>
      </c>
      <c r="BN176" s="13">
        <v>2.617298E7</v>
      </c>
      <c r="BO176" s="13" t="s">
        <v>5564</v>
      </c>
      <c r="BP176" s="13" t="s">
        <v>5510</v>
      </c>
      <c r="BQ176" s="13" t="s">
        <v>5510</v>
      </c>
      <c r="BR176" s="13" t="s">
        <v>5538</v>
      </c>
      <c r="BS176" s="13" t="s">
        <v>8944</v>
      </c>
      <c r="BT176" s="13">
        <v>24128.0</v>
      </c>
      <c r="BU176" s="13" t="s">
        <v>5540</v>
      </c>
      <c r="BV176" s="13" t="s">
        <v>4864</v>
      </c>
      <c r="BW176" s="13" t="str">
        <f>VLOOKUP($BT176,Enriched!$A$2:$E$1070,5,false)</f>
        <v>["Biological Resource Use", "Climate Change &amp; Severe Weather", "Residential &amp; Commercial Development", "Energy Production &amp; Mining", "Pollution", "Transportation &amp; Service Corridors", "Invasive &amp; Other Problematic Species, Genes &amp; Diseases"]</v>
      </c>
      <c r="BX176" s="13" t="str">
        <f>VLOOKUP($BT176,Enriched!$A$2:$E$1070,4,false)</f>
        <v>["Fishing &amp; harvesting aquatic resources", "Temperature extremes", "Other impacts", "Oil &amp; gas drilling", "Domestic &amp; urban waste water", "Industrial &amp; military effluents", "Agricultural &amp; forestry effluents", "Shipping lanes", "Commercial &amp; industrial areas", "Invasive non-native/alien species/diseases", "Habitat shifting &amp; alteration"]</v>
      </c>
      <c r="BY176" s="13" t="b">
        <f>VLOOKUP(BT176,Enriched!$A$1:$AA$1070,27,falsE)</f>
        <v>1</v>
      </c>
      <c r="BZ176" s="2" t="str">
        <f>VLOOKUP(BT176,Enriched!$A$1:$AA$1070,14,falsE)</f>
        <v>level2</v>
      </c>
      <c r="CA176" s="13" t="str">
        <f>HYPERLINK("https%3A%2F%2Fwww.webofscience.com%2Fwos%2Fwoscc%2Ffull-record%2FWOS:000358857000008","View Full Record in Web of Science")</f>
        <v>View Full Record in Web of Science</v>
      </c>
    </row>
    <row r="177" ht="12.75" customHeight="1">
      <c r="A177" s="13" t="s">
        <v>5508</v>
      </c>
      <c r="B177" s="13" t="s">
        <v>8945</v>
      </c>
      <c r="C177" s="13" t="s">
        <v>5510</v>
      </c>
      <c r="D177" s="13" t="s">
        <v>5510</v>
      </c>
      <c r="E177" s="13" t="s">
        <v>5510</v>
      </c>
      <c r="F177" s="13" t="s">
        <v>8946</v>
      </c>
      <c r="G177" s="13" t="s">
        <v>5510</v>
      </c>
      <c r="H177" s="13" t="s">
        <v>5510</v>
      </c>
      <c r="I177" s="13" t="s">
        <v>2546</v>
      </c>
      <c r="J177" s="13" t="s">
        <v>7213</v>
      </c>
      <c r="K177" s="13" t="s">
        <v>5510</v>
      </c>
      <c r="L177" s="13" t="s">
        <v>5510</v>
      </c>
      <c r="M177" s="13" t="s">
        <v>5513</v>
      </c>
      <c r="N177" s="13" t="s">
        <v>5514</v>
      </c>
      <c r="O177" s="13" t="s">
        <v>5510</v>
      </c>
      <c r="P177" s="13" t="s">
        <v>5510</v>
      </c>
      <c r="Q177" s="13" t="s">
        <v>5510</v>
      </c>
      <c r="R177" s="13" t="s">
        <v>5510</v>
      </c>
      <c r="S177" s="13" t="s">
        <v>5510</v>
      </c>
      <c r="T177" s="13" t="s">
        <v>8947</v>
      </c>
      <c r="U177" s="13" t="s">
        <v>8948</v>
      </c>
      <c r="V177" s="13" t="s">
        <v>8949</v>
      </c>
      <c r="W177" s="13" t="s">
        <v>8950</v>
      </c>
      <c r="X177" s="13" t="s">
        <v>8951</v>
      </c>
      <c r="Y177" s="13" t="s">
        <v>8952</v>
      </c>
      <c r="Z177" s="13" t="s">
        <v>8953</v>
      </c>
      <c r="AA177" s="13" t="s">
        <v>8954</v>
      </c>
      <c r="AB177" s="13" t="s">
        <v>8955</v>
      </c>
      <c r="AC177" s="13" t="s">
        <v>8956</v>
      </c>
      <c r="AD177" s="13" t="s">
        <v>8957</v>
      </c>
      <c r="AE177" s="13" t="s">
        <v>8958</v>
      </c>
      <c r="AF177" s="13" t="s">
        <v>5510</v>
      </c>
      <c r="AG177" s="13">
        <v>53.0</v>
      </c>
      <c r="AH177" s="13">
        <v>80.0</v>
      </c>
      <c r="AI177" s="13">
        <v>85.0</v>
      </c>
      <c r="AJ177" s="13">
        <v>2.0</v>
      </c>
      <c r="AK177" s="13">
        <v>45.0</v>
      </c>
      <c r="AL177" s="13" t="s">
        <v>5527</v>
      </c>
      <c r="AM177" s="13" t="s">
        <v>5528</v>
      </c>
      <c r="AN177" s="13" t="s">
        <v>5529</v>
      </c>
      <c r="AO177" s="13" t="s">
        <v>7226</v>
      </c>
      <c r="AP177" s="13" t="s">
        <v>7227</v>
      </c>
      <c r="AQ177" s="13" t="s">
        <v>5510</v>
      </c>
      <c r="AR177" s="13" t="s">
        <v>7228</v>
      </c>
      <c r="AS177" s="13" t="s">
        <v>7229</v>
      </c>
      <c r="AT177" s="13" t="s">
        <v>1925</v>
      </c>
      <c r="AU177" s="13">
        <v>2018.0</v>
      </c>
      <c r="AV177" s="13">
        <v>27.0</v>
      </c>
      <c r="AW177" s="13">
        <v>9.0</v>
      </c>
      <c r="AX177" s="13" t="s">
        <v>5510</v>
      </c>
      <c r="AY177" s="13" t="s">
        <v>5510</v>
      </c>
      <c r="AZ177" s="13" t="s">
        <v>5510</v>
      </c>
      <c r="BA177" s="13" t="s">
        <v>5510</v>
      </c>
      <c r="BB177" s="13">
        <v>1093.0</v>
      </c>
      <c r="BC177" s="13">
        <v>1105.0</v>
      </c>
      <c r="BD177" s="13" t="s">
        <v>5510</v>
      </c>
      <c r="BE177" s="13" t="s">
        <v>8959</v>
      </c>
      <c r="BF177" s="52" t="str">
        <f>HYPERLINK("http://dx.doi.org/10.1111/geb.12769","http://dx.doi.org/10.1111/geb.12769")</f>
        <v>http://dx.doi.org/10.1111/geb.12769</v>
      </c>
      <c r="BG177" s="13" t="s">
        <v>5510</v>
      </c>
      <c r="BH177" s="13" t="s">
        <v>5510</v>
      </c>
      <c r="BI177" s="13">
        <v>13.0</v>
      </c>
      <c r="BJ177" s="13" t="s">
        <v>6463</v>
      </c>
      <c r="BK177" s="13" t="s">
        <v>5561</v>
      </c>
      <c r="BL177" s="13" t="s">
        <v>6464</v>
      </c>
      <c r="BM177" s="13" t="s">
        <v>8960</v>
      </c>
      <c r="BN177" s="13" t="s">
        <v>5510</v>
      </c>
      <c r="BO177" s="13" t="s">
        <v>5510</v>
      </c>
      <c r="BP177" s="13" t="s">
        <v>5510</v>
      </c>
      <c r="BQ177" s="13" t="s">
        <v>5510</v>
      </c>
      <c r="BR177" s="13" t="s">
        <v>5538</v>
      </c>
      <c r="BS177" s="13" t="s">
        <v>8961</v>
      </c>
      <c r="BT177" s="13">
        <v>24065.0</v>
      </c>
      <c r="BU177" s="13" t="s">
        <v>5540</v>
      </c>
      <c r="BV177" s="13" t="s">
        <v>4856</v>
      </c>
      <c r="BW177" s="13" t="str">
        <f>VLOOKUP($BT177,Enriched!$A$2:$E$1070,5,false)</f>
        <v>["Transportation &amp; Service Corridors"]</v>
      </c>
      <c r="BX177" s="13" t="str">
        <f>VLOOKUP($BT177,Enriched!$A$2:$E$1070,4,false)</f>
        <v>["Roads &amp; railroads"]</v>
      </c>
      <c r="BY177" s="13" t="b">
        <f>VLOOKUP(BT177,Enriched!$A$1:$AA$1070,27,falsE)</f>
        <v>0</v>
      </c>
      <c r="BZ177" s="2" t="str">
        <f>VLOOKUP(BT177,Enriched!$A$1:$AA$1070,14,falsE)</f>
        <v>level2</v>
      </c>
      <c r="CA177" s="13" t="str">
        <f>HYPERLINK("https%3A%2F%2Fwww.webofscience.com%2Fwos%2Fwoscc%2Ffull-record%2FWOS:000448647200008","View Full Record in Web of Science")</f>
        <v>View Full Record in Web of Science</v>
      </c>
    </row>
    <row r="178" ht="12.75" customHeight="1">
      <c r="A178" s="13" t="s">
        <v>5508</v>
      </c>
      <c r="B178" s="13" t="s">
        <v>8962</v>
      </c>
      <c r="C178" s="13" t="s">
        <v>5510</v>
      </c>
      <c r="D178" s="13" t="s">
        <v>5510</v>
      </c>
      <c r="E178" s="13" t="s">
        <v>5510</v>
      </c>
      <c r="F178" s="13" t="s">
        <v>8963</v>
      </c>
      <c r="G178" s="13" t="s">
        <v>5510</v>
      </c>
      <c r="H178" s="13" t="s">
        <v>5510</v>
      </c>
      <c r="I178" s="13" t="s">
        <v>2543</v>
      </c>
      <c r="J178" s="13" t="s">
        <v>8964</v>
      </c>
      <c r="K178" s="13" t="s">
        <v>5510</v>
      </c>
      <c r="L178" s="13" t="s">
        <v>5510</v>
      </c>
      <c r="M178" s="13" t="s">
        <v>5513</v>
      </c>
      <c r="N178" s="13" t="s">
        <v>5514</v>
      </c>
      <c r="O178" s="13" t="s">
        <v>5510</v>
      </c>
      <c r="P178" s="13" t="s">
        <v>5510</v>
      </c>
      <c r="Q178" s="13" t="s">
        <v>5510</v>
      </c>
      <c r="R178" s="13" t="s">
        <v>5510</v>
      </c>
      <c r="S178" s="13" t="s">
        <v>5510</v>
      </c>
      <c r="T178" s="13" t="s">
        <v>8965</v>
      </c>
      <c r="U178" s="13" t="s">
        <v>8966</v>
      </c>
      <c r="V178" s="13" t="s">
        <v>8967</v>
      </c>
      <c r="W178" s="13" t="s">
        <v>8968</v>
      </c>
      <c r="X178" s="13" t="s">
        <v>5510</v>
      </c>
      <c r="Y178" s="13" t="s">
        <v>8969</v>
      </c>
      <c r="Z178" s="13" t="s">
        <v>8970</v>
      </c>
      <c r="AA178" s="13" t="s">
        <v>8971</v>
      </c>
      <c r="AB178" s="13" t="s">
        <v>8972</v>
      </c>
      <c r="AC178" s="13" t="s">
        <v>5510</v>
      </c>
      <c r="AD178" s="13" t="s">
        <v>5510</v>
      </c>
      <c r="AE178" s="13" t="s">
        <v>5510</v>
      </c>
      <c r="AF178" s="13" t="s">
        <v>5510</v>
      </c>
      <c r="AG178" s="13">
        <v>57.0</v>
      </c>
      <c r="AH178" s="13">
        <v>17.0</v>
      </c>
      <c r="AI178" s="13">
        <v>27.0</v>
      </c>
      <c r="AJ178" s="13">
        <v>1.0</v>
      </c>
      <c r="AK178" s="13">
        <v>37.0</v>
      </c>
      <c r="AL178" s="13" t="s">
        <v>8003</v>
      </c>
      <c r="AM178" s="13" t="s">
        <v>8004</v>
      </c>
      <c r="AN178" s="13" t="s">
        <v>8005</v>
      </c>
      <c r="AO178" s="13" t="s">
        <v>8973</v>
      </c>
      <c r="AP178" s="13" t="s">
        <v>8974</v>
      </c>
      <c r="AQ178" s="13" t="s">
        <v>5510</v>
      </c>
      <c r="AR178" s="13" t="s">
        <v>8975</v>
      </c>
      <c r="AS178" s="13" t="s">
        <v>8976</v>
      </c>
      <c r="AT178" s="13" t="s">
        <v>5866</v>
      </c>
      <c r="AU178" s="13">
        <v>2016.0</v>
      </c>
      <c r="AV178" s="13">
        <v>81.0</v>
      </c>
      <c r="AW178" s="13">
        <v>3.0</v>
      </c>
      <c r="AX178" s="13" t="s">
        <v>5510</v>
      </c>
      <c r="AY178" s="13" t="s">
        <v>5510</v>
      </c>
      <c r="AZ178" s="13" t="s">
        <v>5510</v>
      </c>
      <c r="BA178" s="13" t="s">
        <v>5510</v>
      </c>
      <c r="BB178" s="13">
        <v>295.0</v>
      </c>
      <c r="BC178" s="13">
        <v>302.0</v>
      </c>
      <c r="BD178" s="13" t="s">
        <v>5510</v>
      </c>
      <c r="BE178" s="13" t="s">
        <v>8977</v>
      </c>
      <c r="BF178" s="52" t="str">
        <f>HYPERLINK("http://dx.doi.org/10.1016/j.mambio.2016.02.004","http://dx.doi.org/10.1016/j.mambio.2016.02.004")</f>
        <v>http://dx.doi.org/10.1016/j.mambio.2016.02.004</v>
      </c>
      <c r="BG178" s="13" t="s">
        <v>5510</v>
      </c>
      <c r="BH178" s="13" t="s">
        <v>5510</v>
      </c>
      <c r="BI178" s="13">
        <v>8.0</v>
      </c>
      <c r="BJ178" s="13" t="s">
        <v>6899</v>
      </c>
      <c r="BK178" s="13" t="s">
        <v>5561</v>
      </c>
      <c r="BL178" s="13" t="s">
        <v>6899</v>
      </c>
      <c r="BM178" s="13" t="s">
        <v>8978</v>
      </c>
      <c r="BN178" s="13" t="s">
        <v>5510</v>
      </c>
      <c r="BO178" s="13" t="s">
        <v>5510</v>
      </c>
      <c r="BP178" s="13" t="s">
        <v>5510</v>
      </c>
      <c r="BQ178" s="13" t="s">
        <v>5510</v>
      </c>
      <c r="BR178" s="13" t="s">
        <v>5538</v>
      </c>
      <c r="BS178" s="13" t="s">
        <v>8979</v>
      </c>
      <c r="BT178" s="13">
        <v>24920.0</v>
      </c>
      <c r="BU178" s="13" t="s">
        <v>5540</v>
      </c>
      <c r="BV178" s="13" t="s">
        <v>4856</v>
      </c>
      <c r="BW178" s="13" t="str">
        <f>VLOOKUP($BT178,Enriched!$A$2:$E$1070,5,false)</f>
        <v>["Invasive &amp; other problematic species, genes &amp; diseases"]</v>
      </c>
      <c r="BX178" s="13" t="str">
        <f>VLOOKUP($BT178,Enriched!$A$2:$E$1070,4,false)</f>
        <v>["Invasive non-native/alien species/diseases"]</v>
      </c>
      <c r="BY178" s="13" t="b">
        <f>VLOOKUP(BT178,Enriched!$A$1:$AA$1070,27,falsE)</f>
        <v>0</v>
      </c>
      <c r="BZ178" s="2" t="str">
        <f>VLOOKUP(BT178,Enriched!$A$1:$AA$1070,14,falsE)</f>
        <v>level2</v>
      </c>
      <c r="CA178" s="13" t="str">
        <f>HYPERLINK("https%3A%2F%2Fwww.webofscience.com%2Fwos%2Fwoscc%2Ffull-record%2FWOS:000376804800009","View Full Record in Web of Science")</f>
        <v>View Full Record in Web of Science</v>
      </c>
    </row>
    <row r="179" ht="12.75" customHeight="1">
      <c r="A179" s="13" t="s">
        <v>5508</v>
      </c>
      <c r="B179" s="13" t="s">
        <v>8980</v>
      </c>
      <c r="C179" s="13" t="s">
        <v>5510</v>
      </c>
      <c r="D179" s="13" t="s">
        <v>5510</v>
      </c>
      <c r="E179" s="13" t="s">
        <v>5510</v>
      </c>
      <c r="F179" s="13" t="s">
        <v>8981</v>
      </c>
      <c r="G179" s="13" t="s">
        <v>5510</v>
      </c>
      <c r="H179" s="13" t="s">
        <v>5510</v>
      </c>
      <c r="I179" s="13" t="s">
        <v>2539</v>
      </c>
      <c r="J179" s="13" t="s">
        <v>8982</v>
      </c>
      <c r="K179" s="13" t="s">
        <v>5510</v>
      </c>
      <c r="L179" s="13" t="s">
        <v>5510</v>
      </c>
      <c r="M179" s="13" t="s">
        <v>5513</v>
      </c>
      <c r="N179" s="13" t="s">
        <v>5514</v>
      </c>
      <c r="O179" s="13" t="s">
        <v>5510</v>
      </c>
      <c r="P179" s="13" t="s">
        <v>5510</v>
      </c>
      <c r="Q179" s="13" t="s">
        <v>5510</v>
      </c>
      <c r="R179" s="13" t="s">
        <v>5510</v>
      </c>
      <c r="S179" s="13" t="s">
        <v>5510</v>
      </c>
      <c r="T179" s="13" t="s">
        <v>8983</v>
      </c>
      <c r="U179" s="13" t="s">
        <v>5510</v>
      </c>
      <c r="V179" s="13" t="s">
        <v>8984</v>
      </c>
      <c r="W179" s="13" t="s">
        <v>8985</v>
      </c>
      <c r="X179" s="13" t="s">
        <v>8986</v>
      </c>
      <c r="Y179" s="13" t="s">
        <v>8987</v>
      </c>
      <c r="Z179" s="13" t="s">
        <v>5510</v>
      </c>
      <c r="AA179" s="13" t="s">
        <v>5510</v>
      </c>
      <c r="AB179" s="13" t="s">
        <v>5510</v>
      </c>
      <c r="AC179" s="13" t="s">
        <v>5510</v>
      </c>
      <c r="AD179" s="13" t="s">
        <v>5510</v>
      </c>
      <c r="AE179" s="13" t="s">
        <v>5510</v>
      </c>
      <c r="AF179" s="13" t="s">
        <v>5510</v>
      </c>
      <c r="AG179" s="13">
        <v>29.0</v>
      </c>
      <c r="AH179" s="13">
        <v>7.0</v>
      </c>
      <c r="AI179" s="13">
        <v>8.0</v>
      </c>
      <c r="AJ179" s="13">
        <v>0.0</v>
      </c>
      <c r="AK179" s="13">
        <v>13.0</v>
      </c>
      <c r="AL179" s="13" t="s">
        <v>8988</v>
      </c>
      <c r="AM179" s="13" t="s">
        <v>8989</v>
      </c>
      <c r="AN179" s="13" t="s">
        <v>8990</v>
      </c>
      <c r="AO179" s="13" t="s">
        <v>8991</v>
      </c>
      <c r="AP179" s="13" t="s">
        <v>5510</v>
      </c>
      <c r="AQ179" s="13" t="s">
        <v>5510</v>
      </c>
      <c r="AR179" s="13" t="s">
        <v>8992</v>
      </c>
      <c r="AS179" s="13" t="s">
        <v>8993</v>
      </c>
      <c r="AT179" s="13" t="s">
        <v>5510</v>
      </c>
      <c r="AU179" s="13">
        <v>2012.0</v>
      </c>
      <c r="AV179" s="13">
        <v>134.0</v>
      </c>
      <c r="AW179" s="13" t="s">
        <v>5510</v>
      </c>
      <c r="AX179" s="13" t="s">
        <v>5510</v>
      </c>
      <c r="AY179" s="13" t="s">
        <v>5510</v>
      </c>
      <c r="AZ179" s="13" t="s">
        <v>5510</v>
      </c>
      <c r="BA179" s="13" t="s">
        <v>5510</v>
      </c>
      <c r="BB179" s="13" t="s">
        <v>8994</v>
      </c>
      <c r="BC179" s="13" t="s">
        <v>8995</v>
      </c>
      <c r="BD179" s="13" t="s">
        <v>5510</v>
      </c>
      <c r="BE179" s="13" t="str">
        <f>#REF!</f>
        <v>#REF!</v>
      </c>
      <c r="BF179" s="13" t="s">
        <v>5510</v>
      </c>
      <c r="BG179" s="13" t="s">
        <v>5510</v>
      </c>
      <c r="BH179" s="13" t="s">
        <v>5510</v>
      </c>
      <c r="BI179" s="13">
        <v>33.0</v>
      </c>
      <c r="BJ179" s="13" t="s">
        <v>5958</v>
      </c>
      <c r="BK179" s="13" t="s">
        <v>5561</v>
      </c>
      <c r="BL179" s="13" t="s">
        <v>5699</v>
      </c>
      <c r="BM179" s="13" t="s">
        <v>8996</v>
      </c>
      <c r="BN179" s="13" t="s">
        <v>5510</v>
      </c>
      <c r="BO179" s="13" t="s">
        <v>5510</v>
      </c>
      <c r="BP179" s="13" t="s">
        <v>5510</v>
      </c>
      <c r="BQ179" s="13" t="s">
        <v>5510</v>
      </c>
      <c r="BR179" s="13" t="s">
        <v>5538</v>
      </c>
      <c r="BS179" s="13" t="s">
        <v>8997</v>
      </c>
      <c r="BT179" s="13">
        <v>24372.0</v>
      </c>
      <c r="BU179" s="13" t="s">
        <v>5540</v>
      </c>
      <c r="BV179" s="13" t="s">
        <v>4856</v>
      </c>
      <c r="BW179" s="13" t="str">
        <f>VLOOKUP($BT179,Enriched!$A$2:$E$1070,5,false)</f>
        <v>["Invasive &amp; other problematic species, genes &amp; diseases"]</v>
      </c>
      <c r="BX179" s="13" t="str">
        <f>VLOOKUP($BT179,Enriched!$A$2:$E$1070,4,false)</f>
        <v>["Invasive non-native/alien species/diseases"]</v>
      </c>
      <c r="BY179" s="13" t="b">
        <f>VLOOKUP(BT179,Enriched!$A$1:$AA$1070,27,falsE)</f>
        <v>0</v>
      </c>
      <c r="BZ179" s="2" t="str">
        <f>VLOOKUP(BT179,Enriched!$A$1:$AA$1070,14,falsE)</f>
        <v>level2</v>
      </c>
      <c r="CA179" s="13" t="str">
        <f>HYPERLINK("https%3A%2F%2Fwww.webofscience.com%2Fwos%2Fwoscc%2Ffull-record%2FWOS:000208848900020","View Full Record in Web of Science")</f>
        <v>View Full Record in Web of Science</v>
      </c>
    </row>
    <row r="180" ht="12.75" customHeight="1">
      <c r="A180" s="13" t="s">
        <v>5508</v>
      </c>
      <c r="B180" s="13" t="s">
        <v>8998</v>
      </c>
      <c r="C180" s="13" t="s">
        <v>5510</v>
      </c>
      <c r="D180" s="13" t="s">
        <v>5510</v>
      </c>
      <c r="E180" s="13" t="s">
        <v>5510</v>
      </c>
      <c r="F180" s="13" t="s">
        <v>8999</v>
      </c>
      <c r="G180" s="13" t="s">
        <v>5510</v>
      </c>
      <c r="H180" s="13" t="s">
        <v>5510</v>
      </c>
      <c r="I180" s="13" t="s">
        <v>2536</v>
      </c>
      <c r="J180" s="13" t="s">
        <v>9000</v>
      </c>
      <c r="K180" s="13" t="s">
        <v>5510</v>
      </c>
      <c r="L180" s="13" t="s">
        <v>5510</v>
      </c>
      <c r="M180" s="13" t="s">
        <v>5513</v>
      </c>
      <c r="N180" s="13" t="s">
        <v>5514</v>
      </c>
      <c r="O180" s="13" t="s">
        <v>5510</v>
      </c>
      <c r="P180" s="13" t="s">
        <v>5510</v>
      </c>
      <c r="Q180" s="13" t="s">
        <v>5510</v>
      </c>
      <c r="R180" s="13" t="s">
        <v>5510</v>
      </c>
      <c r="S180" s="13" t="s">
        <v>5510</v>
      </c>
      <c r="T180" s="13" t="s">
        <v>9001</v>
      </c>
      <c r="U180" s="13" t="s">
        <v>9002</v>
      </c>
      <c r="V180" s="13" t="s">
        <v>9003</v>
      </c>
      <c r="W180" s="13" t="s">
        <v>9004</v>
      </c>
      <c r="X180" s="13" t="s">
        <v>9005</v>
      </c>
      <c r="Y180" s="13" t="s">
        <v>9006</v>
      </c>
      <c r="Z180" s="13" t="s">
        <v>9007</v>
      </c>
      <c r="AA180" s="13" t="s">
        <v>9008</v>
      </c>
      <c r="AB180" s="13" t="s">
        <v>5510</v>
      </c>
      <c r="AC180" s="13" t="s">
        <v>9009</v>
      </c>
      <c r="AD180" s="13" t="s">
        <v>9009</v>
      </c>
      <c r="AE180" s="13" t="s">
        <v>9010</v>
      </c>
      <c r="AF180" s="13" t="s">
        <v>5510</v>
      </c>
      <c r="AG180" s="13">
        <v>76.0</v>
      </c>
      <c r="AH180" s="13">
        <v>13.0</v>
      </c>
      <c r="AI180" s="13">
        <v>19.0</v>
      </c>
      <c r="AJ180" s="13">
        <v>0.0</v>
      </c>
      <c r="AK180" s="13">
        <v>46.0</v>
      </c>
      <c r="AL180" s="13" t="s">
        <v>5690</v>
      </c>
      <c r="AM180" s="13" t="s">
        <v>6503</v>
      </c>
      <c r="AN180" s="13" t="s">
        <v>7040</v>
      </c>
      <c r="AO180" s="13" t="s">
        <v>9011</v>
      </c>
      <c r="AP180" s="13" t="s">
        <v>9012</v>
      </c>
      <c r="AQ180" s="13" t="s">
        <v>5510</v>
      </c>
      <c r="AR180" s="13" t="s">
        <v>9013</v>
      </c>
      <c r="AS180" s="13" t="s">
        <v>9014</v>
      </c>
      <c r="AT180" s="13" t="s">
        <v>6089</v>
      </c>
      <c r="AU180" s="13">
        <v>2010.0</v>
      </c>
      <c r="AV180" s="13">
        <v>38.0</v>
      </c>
      <c r="AW180" s="13">
        <v>1.0</v>
      </c>
      <c r="AX180" s="13" t="s">
        <v>5510</v>
      </c>
      <c r="AY180" s="13" t="s">
        <v>5510</v>
      </c>
      <c r="AZ180" s="13" t="s">
        <v>5510</v>
      </c>
      <c r="BA180" s="13" t="s">
        <v>5510</v>
      </c>
      <c r="BB180" s="13">
        <v>67.0</v>
      </c>
      <c r="BC180" s="13">
        <v>83.0</v>
      </c>
      <c r="BD180" s="13" t="s">
        <v>5510</v>
      </c>
      <c r="BE180" s="13" t="s">
        <v>9015</v>
      </c>
      <c r="BF180" s="52" t="str">
        <f>HYPERLINK("http://dx.doi.org/10.1007/s12524-010-0013-y","http://dx.doi.org/10.1007/s12524-010-0013-y")</f>
        <v>http://dx.doi.org/10.1007/s12524-010-0013-y</v>
      </c>
      <c r="BG180" s="13" t="s">
        <v>5510</v>
      </c>
      <c r="BH180" s="13" t="s">
        <v>5510</v>
      </c>
      <c r="BI180" s="13">
        <v>17.0</v>
      </c>
      <c r="BJ180" s="13" t="s">
        <v>9016</v>
      </c>
      <c r="BK180" s="13" t="s">
        <v>5561</v>
      </c>
      <c r="BL180" s="13" t="s">
        <v>9017</v>
      </c>
      <c r="BM180" s="13" t="s">
        <v>9018</v>
      </c>
      <c r="BN180" s="13" t="s">
        <v>5510</v>
      </c>
      <c r="BO180" s="13" t="s">
        <v>5510</v>
      </c>
      <c r="BP180" s="13" t="s">
        <v>5510</v>
      </c>
      <c r="BQ180" s="13" t="s">
        <v>5510</v>
      </c>
      <c r="BR180" s="13" t="s">
        <v>5538</v>
      </c>
      <c r="BS180" s="13" t="s">
        <v>9019</v>
      </c>
      <c r="BT180" s="13">
        <v>23091.0</v>
      </c>
      <c r="BU180" s="13" t="s">
        <v>5540</v>
      </c>
      <c r="BV180" s="13" t="s">
        <v>4856</v>
      </c>
      <c r="BW180" s="13" t="str">
        <f>VLOOKUP($BT180,Enriched!$A$2:$E$1070,5,false)</f>
        <v>["Agriculture &amp; Aquaculture"]</v>
      </c>
      <c r="BX180" s="13" t="str">
        <f>VLOOKUP($BT180,Enriched!$A$2:$E$1070,4,false)</f>
        <v>["Housing &amp; urban area", "Marine &amp; freshwater aquaculture"]</v>
      </c>
      <c r="BY180" s="13" t="b">
        <f>VLOOKUP(BT180,Enriched!$A$1:$AA$1070,27,falsE)</f>
        <v>1</v>
      </c>
      <c r="BZ180" s="2" t="str">
        <f>VLOOKUP(BT180,Enriched!$A$1:$AA$1070,14,falsE)</f>
        <v>level2</v>
      </c>
      <c r="CA180" s="13" t="str">
        <f>HYPERLINK("https%3A%2F%2Fwww.webofscience.com%2Fwos%2Fwoscc%2Ffull-record%2FWOS:000281393500007","View Full Record in Web of Science")</f>
        <v>View Full Record in Web of Science</v>
      </c>
    </row>
    <row r="181" ht="12.75" customHeight="1">
      <c r="A181" s="13" t="s">
        <v>5508</v>
      </c>
      <c r="B181" s="13" t="s">
        <v>9020</v>
      </c>
      <c r="C181" s="13" t="s">
        <v>5510</v>
      </c>
      <c r="D181" s="13" t="s">
        <v>5510</v>
      </c>
      <c r="E181" s="13" t="s">
        <v>5510</v>
      </c>
      <c r="F181" s="13" t="s">
        <v>9021</v>
      </c>
      <c r="G181" s="13" t="s">
        <v>5510</v>
      </c>
      <c r="H181" s="13" t="s">
        <v>5510</v>
      </c>
      <c r="I181" s="13" t="s">
        <v>9022</v>
      </c>
      <c r="J181" s="13" t="s">
        <v>6836</v>
      </c>
      <c r="K181" s="13" t="s">
        <v>5510</v>
      </c>
      <c r="L181" s="13" t="s">
        <v>5510</v>
      </c>
      <c r="M181" s="13" t="s">
        <v>5513</v>
      </c>
      <c r="N181" s="13" t="s">
        <v>5514</v>
      </c>
      <c r="O181" s="13" t="s">
        <v>5510</v>
      </c>
      <c r="P181" s="13" t="s">
        <v>5510</v>
      </c>
      <c r="Q181" s="13" t="s">
        <v>5510</v>
      </c>
      <c r="R181" s="13" t="s">
        <v>5510</v>
      </c>
      <c r="S181" s="13" t="s">
        <v>5510</v>
      </c>
      <c r="T181" s="13" t="s">
        <v>9023</v>
      </c>
      <c r="U181" s="13" t="s">
        <v>9024</v>
      </c>
      <c r="V181" s="13" t="s">
        <v>9025</v>
      </c>
      <c r="W181" s="13" t="s">
        <v>9026</v>
      </c>
      <c r="X181" s="13" t="s">
        <v>9027</v>
      </c>
      <c r="Y181" s="13" t="s">
        <v>9028</v>
      </c>
      <c r="Z181" s="13" t="s">
        <v>9029</v>
      </c>
      <c r="AA181" s="13" t="s">
        <v>9030</v>
      </c>
      <c r="AB181" s="13" t="s">
        <v>9031</v>
      </c>
      <c r="AC181" s="13" t="s">
        <v>9032</v>
      </c>
      <c r="AD181" s="13" t="s">
        <v>9033</v>
      </c>
      <c r="AE181" s="13" t="s">
        <v>9034</v>
      </c>
      <c r="AF181" s="13" t="s">
        <v>5510</v>
      </c>
      <c r="AG181" s="13">
        <v>43.0</v>
      </c>
      <c r="AH181" s="13">
        <v>21.0</v>
      </c>
      <c r="AI181" s="13">
        <v>22.0</v>
      </c>
      <c r="AJ181" s="13">
        <v>0.0</v>
      </c>
      <c r="AK181" s="13">
        <v>7.0</v>
      </c>
      <c r="AL181" s="13" t="s">
        <v>6849</v>
      </c>
      <c r="AM181" s="13" t="s">
        <v>6850</v>
      </c>
      <c r="AN181" s="13" t="s">
        <v>6851</v>
      </c>
      <c r="AO181" s="13" t="s">
        <v>5510</v>
      </c>
      <c r="AP181" s="13" t="s">
        <v>6852</v>
      </c>
      <c r="AQ181" s="13" t="s">
        <v>5510</v>
      </c>
      <c r="AR181" s="13" t="s">
        <v>6853</v>
      </c>
      <c r="AS181" s="13" t="s">
        <v>1596</v>
      </c>
      <c r="AT181" s="13" t="s">
        <v>5978</v>
      </c>
      <c r="AU181" s="13">
        <v>2018.0</v>
      </c>
      <c r="AV181" s="13">
        <v>10.0</v>
      </c>
      <c r="AW181" s="13">
        <v>12.0</v>
      </c>
      <c r="AX181" s="13" t="s">
        <v>5510</v>
      </c>
      <c r="AY181" s="13" t="s">
        <v>5510</v>
      </c>
      <c r="AZ181" s="13" t="s">
        <v>5510</v>
      </c>
      <c r="BA181" s="13" t="s">
        <v>5510</v>
      </c>
      <c r="BB181" s="13" t="s">
        <v>5510</v>
      </c>
      <c r="BC181" s="13" t="s">
        <v>5510</v>
      </c>
      <c r="BD181" s="13">
        <v>4719.0</v>
      </c>
      <c r="BE181" s="13" t="s">
        <v>9035</v>
      </c>
      <c r="BF181" s="52" t="str">
        <f>HYPERLINK("http://dx.doi.org/10.3390/su10124719","http://dx.doi.org/10.3390/su10124719")</f>
        <v>http://dx.doi.org/10.3390/su10124719</v>
      </c>
      <c r="BG181" s="13" t="s">
        <v>5510</v>
      </c>
      <c r="BH181" s="13" t="s">
        <v>5510</v>
      </c>
      <c r="BI181" s="13">
        <v>13.0</v>
      </c>
      <c r="BJ181" s="13" t="s">
        <v>6855</v>
      </c>
      <c r="BK181" s="13" t="s">
        <v>5534</v>
      </c>
      <c r="BL181" s="13" t="s">
        <v>6488</v>
      </c>
      <c r="BM181" s="13" t="s">
        <v>9036</v>
      </c>
      <c r="BN181" s="13" t="s">
        <v>5510</v>
      </c>
      <c r="BO181" s="13" t="s">
        <v>5564</v>
      </c>
      <c r="BP181" s="13" t="s">
        <v>5510</v>
      </c>
      <c r="BQ181" s="13" t="s">
        <v>5510</v>
      </c>
      <c r="BR181" s="13" t="s">
        <v>5538</v>
      </c>
      <c r="BS181" s="13" t="s">
        <v>9037</v>
      </c>
      <c r="BT181" s="13">
        <v>23787.0</v>
      </c>
      <c r="BU181" s="13" t="s">
        <v>5540</v>
      </c>
      <c r="BV181" s="13" t="s">
        <v>4886</v>
      </c>
      <c r="BW181" s="13" t="str">
        <f>VLOOKUP($BT181,Enriched!$A$2:$E$1070,5,false)</f>
        <v>["Energy Production &amp; Mining"]</v>
      </c>
      <c r="BX181" s="13" t="str">
        <f>VLOOKUP($BT181,Enriched!$A$2:$E$1070,4,false)</f>
        <v>["Oil &amp; gas drilling"]</v>
      </c>
      <c r="BY181" s="13" t="b">
        <f>VLOOKUP(BT181,Enriched!$A$1:$AA$1070,27,falsE)</f>
        <v>0</v>
      </c>
      <c r="BZ181" s="2" t="str">
        <f>VLOOKUP(BT181,Enriched!$A$1:$AA$1070,14,falsE)</f>
        <v>level2</v>
      </c>
      <c r="CA181" s="13" t="str">
        <f>HYPERLINK("https%3A%2F%2Fwww.webofscience.com%2Fwos%2Fwoscc%2Ffull-record%2FWOS:000455338100385","View Full Record in Web of Science")</f>
        <v>View Full Record in Web of Science</v>
      </c>
    </row>
    <row r="182" ht="12.75" customHeight="1">
      <c r="A182" s="13" t="s">
        <v>5508</v>
      </c>
      <c r="B182" s="13" t="s">
        <v>9038</v>
      </c>
      <c r="C182" s="13" t="s">
        <v>5510</v>
      </c>
      <c r="D182" s="13" t="s">
        <v>5510</v>
      </c>
      <c r="E182" s="13" t="s">
        <v>5510</v>
      </c>
      <c r="F182" s="13" t="s">
        <v>9039</v>
      </c>
      <c r="G182" s="13" t="s">
        <v>5510</v>
      </c>
      <c r="H182" s="13" t="s">
        <v>5510</v>
      </c>
      <c r="I182" s="13" t="s">
        <v>2527</v>
      </c>
      <c r="J182" s="13" t="s">
        <v>6764</v>
      </c>
      <c r="K182" s="13" t="s">
        <v>5510</v>
      </c>
      <c r="L182" s="13" t="s">
        <v>5510</v>
      </c>
      <c r="M182" s="13" t="s">
        <v>5513</v>
      </c>
      <c r="N182" s="13" t="s">
        <v>5514</v>
      </c>
      <c r="O182" s="13" t="s">
        <v>5510</v>
      </c>
      <c r="P182" s="13" t="s">
        <v>5510</v>
      </c>
      <c r="Q182" s="13" t="s">
        <v>5510</v>
      </c>
      <c r="R182" s="13" t="s">
        <v>5510</v>
      </c>
      <c r="S182" s="13" t="s">
        <v>5510</v>
      </c>
      <c r="T182" s="13" t="s">
        <v>9040</v>
      </c>
      <c r="U182" s="13" t="s">
        <v>9041</v>
      </c>
      <c r="V182" s="13" t="s">
        <v>9042</v>
      </c>
      <c r="W182" s="13" t="s">
        <v>9043</v>
      </c>
      <c r="X182" s="13" t="s">
        <v>9044</v>
      </c>
      <c r="Y182" s="13" t="s">
        <v>9045</v>
      </c>
      <c r="Z182" s="13" t="s">
        <v>9046</v>
      </c>
      <c r="AA182" s="13" t="s">
        <v>9047</v>
      </c>
      <c r="AB182" s="13" t="s">
        <v>9048</v>
      </c>
      <c r="AC182" s="13" t="s">
        <v>5510</v>
      </c>
      <c r="AD182" s="13" t="s">
        <v>5510</v>
      </c>
      <c r="AE182" s="13" t="s">
        <v>5510</v>
      </c>
      <c r="AF182" s="13" t="s">
        <v>5510</v>
      </c>
      <c r="AG182" s="13">
        <v>53.0</v>
      </c>
      <c r="AH182" s="13">
        <v>88.0</v>
      </c>
      <c r="AI182" s="13">
        <v>110.0</v>
      </c>
      <c r="AJ182" s="13">
        <v>0.0</v>
      </c>
      <c r="AK182" s="13">
        <v>58.0</v>
      </c>
      <c r="AL182" s="13" t="s">
        <v>5931</v>
      </c>
      <c r="AM182" s="13" t="s">
        <v>5932</v>
      </c>
      <c r="AN182" s="13" t="s">
        <v>5933</v>
      </c>
      <c r="AO182" s="13" t="s">
        <v>6777</v>
      </c>
      <c r="AP182" s="13" t="s">
        <v>6778</v>
      </c>
      <c r="AQ182" s="13" t="s">
        <v>5510</v>
      </c>
      <c r="AR182" s="13" t="s">
        <v>6779</v>
      </c>
      <c r="AS182" s="13" t="s">
        <v>6780</v>
      </c>
      <c r="AT182" s="13" t="s">
        <v>5866</v>
      </c>
      <c r="AU182" s="13">
        <v>2008.0</v>
      </c>
      <c r="AV182" s="13">
        <v>153.0</v>
      </c>
      <c r="AW182" s="13">
        <v>2.0</v>
      </c>
      <c r="AX182" s="13" t="s">
        <v>5510</v>
      </c>
      <c r="AY182" s="13" t="s">
        <v>5510</v>
      </c>
      <c r="AZ182" s="13" t="s">
        <v>5510</v>
      </c>
      <c r="BA182" s="13" t="s">
        <v>5510</v>
      </c>
      <c r="BB182" s="13">
        <v>351.0</v>
      </c>
      <c r="BC182" s="13">
        <v>361.0</v>
      </c>
      <c r="BD182" s="13" t="s">
        <v>5510</v>
      </c>
      <c r="BE182" s="13" t="s">
        <v>9049</v>
      </c>
      <c r="BF182" s="52" t="str">
        <f>HYPERLINK("http://dx.doi.org/10.1016/j.envpol.2007.08.011","http://dx.doi.org/10.1016/j.envpol.2007.08.011")</f>
        <v>http://dx.doi.org/10.1016/j.envpol.2007.08.011</v>
      </c>
      <c r="BG182" s="13" t="s">
        <v>5510</v>
      </c>
      <c r="BH182" s="13" t="s">
        <v>5510</v>
      </c>
      <c r="BI182" s="13">
        <v>11.0</v>
      </c>
      <c r="BJ182" s="13" t="s">
        <v>5768</v>
      </c>
      <c r="BK182" s="13" t="s">
        <v>5561</v>
      </c>
      <c r="BL182" s="13" t="s">
        <v>5535</v>
      </c>
      <c r="BM182" s="13" t="s">
        <v>9050</v>
      </c>
      <c r="BN182" s="13">
        <v>1.7900771E7</v>
      </c>
      <c r="BO182" s="13" t="s">
        <v>5510</v>
      </c>
      <c r="BP182" s="13" t="s">
        <v>5510</v>
      </c>
      <c r="BQ182" s="13" t="s">
        <v>5510</v>
      </c>
      <c r="BR182" s="13" t="s">
        <v>5538</v>
      </c>
      <c r="BS182" s="13" t="s">
        <v>9051</v>
      </c>
      <c r="BT182" s="13">
        <v>23975.0</v>
      </c>
      <c r="BU182" s="13" t="s">
        <v>5540</v>
      </c>
      <c r="BV182" s="13" t="s">
        <v>4856</v>
      </c>
      <c r="BW182" s="13" t="str">
        <f>VLOOKUP($BT182,Enriched!$A$2:$E$1070,5,false)</f>
        <v>["Pollution"]</v>
      </c>
      <c r="BX182" s="13" t="str">
        <f>VLOOKUP($BT182,Enriched!$A$2:$E$1070,4,false)</f>
        <v>["Industrial &amp; military effluents"]</v>
      </c>
      <c r="BY182" s="13" t="b">
        <f>VLOOKUP(BT182,Enriched!$A$1:$AA$1070,27,falsE)</f>
        <v>0</v>
      </c>
      <c r="BZ182" s="2" t="str">
        <f>VLOOKUP(BT182,Enriched!$A$1:$AA$1070,14,falsE)</f>
        <v>level2</v>
      </c>
      <c r="CA182" s="13" t="str">
        <f>HYPERLINK("https%3A%2F%2Fwww.webofscience.com%2Fwos%2Fwoscc%2Ffull-record%2FWOS:000255931000012","View Full Record in Web of Science")</f>
        <v>View Full Record in Web of Science</v>
      </c>
    </row>
    <row r="183" ht="12.75" customHeight="1">
      <c r="A183" s="13" t="s">
        <v>5508</v>
      </c>
      <c r="B183" s="13" t="s">
        <v>9052</v>
      </c>
      <c r="C183" s="13" t="s">
        <v>5510</v>
      </c>
      <c r="D183" s="13" t="s">
        <v>5510</v>
      </c>
      <c r="E183" s="13" t="s">
        <v>5510</v>
      </c>
      <c r="F183" s="13" t="s">
        <v>9053</v>
      </c>
      <c r="G183" s="13" t="s">
        <v>5510</v>
      </c>
      <c r="H183" s="13" t="s">
        <v>5510</v>
      </c>
      <c r="I183" s="13" t="s">
        <v>2526</v>
      </c>
      <c r="J183" s="13" t="s">
        <v>7990</v>
      </c>
      <c r="K183" s="13" t="s">
        <v>5510</v>
      </c>
      <c r="L183" s="13" t="s">
        <v>5510</v>
      </c>
      <c r="M183" s="13" t="s">
        <v>5513</v>
      </c>
      <c r="N183" s="13" t="s">
        <v>5514</v>
      </c>
      <c r="O183" s="13" t="s">
        <v>5510</v>
      </c>
      <c r="P183" s="13" t="s">
        <v>5510</v>
      </c>
      <c r="Q183" s="13" t="s">
        <v>5510</v>
      </c>
      <c r="R183" s="13" t="s">
        <v>5510</v>
      </c>
      <c r="S183" s="13" t="s">
        <v>5510</v>
      </c>
      <c r="T183" s="13" t="s">
        <v>9054</v>
      </c>
      <c r="U183" s="13" t="s">
        <v>9055</v>
      </c>
      <c r="V183" s="13" t="s">
        <v>9056</v>
      </c>
      <c r="W183" s="13" t="s">
        <v>9057</v>
      </c>
      <c r="X183" s="13" t="s">
        <v>9058</v>
      </c>
      <c r="Y183" s="13" t="s">
        <v>9059</v>
      </c>
      <c r="Z183" s="13" t="s">
        <v>9060</v>
      </c>
      <c r="AA183" s="13" t="s">
        <v>9061</v>
      </c>
      <c r="AB183" s="13" t="s">
        <v>9062</v>
      </c>
      <c r="AC183" s="13" t="s">
        <v>9063</v>
      </c>
      <c r="AD183" s="13" t="s">
        <v>9063</v>
      </c>
      <c r="AE183" s="13" t="s">
        <v>9064</v>
      </c>
      <c r="AF183" s="13" t="s">
        <v>5510</v>
      </c>
      <c r="AG183" s="13">
        <v>72.0</v>
      </c>
      <c r="AH183" s="13">
        <v>17.0</v>
      </c>
      <c r="AI183" s="13">
        <v>21.0</v>
      </c>
      <c r="AJ183" s="13">
        <v>0.0</v>
      </c>
      <c r="AK183" s="13">
        <v>13.0</v>
      </c>
      <c r="AL183" s="13" t="s">
        <v>8003</v>
      </c>
      <c r="AM183" s="13" t="s">
        <v>8004</v>
      </c>
      <c r="AN183" s="13" t="s">
        <v>8005</v>
      </c>
      <c r="AO183" s="13" t="s">
        <v>8006</v>
      </c>
      <c r="AP183" s="13" t="s">
        <v>8007</v>
      </c>
      <c r="AQ183" s="13" t="s">
        <v>5510</v>
      </c>
      <c r="AR183" s="13" t="s">
        <v>8008</v>
      </c>
      <c r="AS183" s="13" t="s">
        <v>8009</v>
      </c>
      <c r="AT183" s="13" t="s">
        <v>5978</v>
      </c>
      <c r="AU183" s="13">
        <v>2019.0</v>
      </c>
      <c r="AV183" s="13">
        <v>52.0</v>
      </c>
      <c r="AW183" s="13" t="s">
        <v>5510</v>
      </c>
      <c r="AX183" s="13" t="s">
        <v>5510</v>
      </c>
      <c r="AY183" s="13" t="s">
        <v>5510</v>
      </c>
      <c r="AZ183" s="13" t="s">
        <v>5510</v>
      </c>
      <c r="BA183" s="13" t="s">
        <v>5510</v>
      </c>
      <c r="BB183" s="13" t="s">
        <v>5510</v>
      </c>
      <c r="BC183" s="13" t="s">
        <v>5510</v>
      </c>
      <c r="BD183" s="13">
        <v>125738.0</v>
      </c>
      <c r="BE183" s="13" t="s">
        <v>9065</v>
      </c>
      <c r="BF183" s="52" t="str">
        <f>HYPERLINK("http://dx.doi.org/10.1016/j.jnc.2019.125738","http://dx.doi.org/10.1016/j.jnc.2019.125738")</f>
        <v>http://dx.doi.org/10.1016/j.jnc.2019.125738</v>
      </c>
      <c r="BG183" s="13" t="s">
        <v>5510</v>
      </c>
      <c r="BH183" s="13" t="s">
        <v>5510</v>
      </c>
      <c r="BI183" s="13">
        <v>8.0</v>
      </c>
      <c r="BJ183" s="13" t="s">
        <v>5958</v>
      </c>
      <c r="BK183" s="13" t="s">
        <v>5534</v>
      </c>
      <c r="BL183" s="13" t="s">
        <v>5699</v>
      </c>
      <c r="BM183" s="13" t="s">
        <v>8011</v>
      </c>
      <c r="BN183" s="13" t="s">
        <v>5510</v>
      </c>
      <c r="BO183" s="13" t="s">
        <v>5510</v>
      </c>
      <c r="BP183" s="13" t="s">
        <v>5510</v>
      </c>
      <c r="BQ183" s="13" t="s">
        <v>5510</v>
      </c>
      <c r="BR183" s="13" t="s">
        <v>5538</v>
      </c>
      <c r="BS183" s="13" t="s">
        <v>9066</v>
      </c>
      <c r="BT183" s="13">
        <v>24966.0</v>
      </c>
      <c r="BU183" s="13" t="s">
        <v>5540</v>
      </c>
      <c r="BV183" s="13" t="s">
        <v>4856</v>
      </c>
      <c r="BW183" s="13" t="str">
        <f>VLOOKUP($BT183,Enriched!$A$2:$E$1070,5,false)</f>
        <v>["Biological resource use"]</v>
      </c>
      <c r="BX183" s="13" t="str">
        <f>VLOOKUP($BT183,Enriched!$A$2:$E$1070,4,false)</f>
        <v>["Hunting &amp; collecting terrestrial animals"]</v>
      </c>
      <c r="BY183" s="13" t="b">
        <f>VLOOKUP(BT183,Enriched!$A$1:$AA$1070,27,falsE)</f>
        <v>0</v>
      </c>
      <c r="BZ183" s="2" t="str">
        <f>VLOOKUP(BT183,Enriched!$A$1:$AA$1070,14,falsE)</f>
        <v>level2</v>
      </c>
      <c r="CA183" s="13" t="str">
        <f>HYPERLINK("https%3A%2F%2Fwww.webofscience.com%2Fwos%2Fwoscc%2Ffull-record%2FWOS:000497781700004","View Full Record in Web of Science")</f>
        <v>View Full Record in Web of Science</v>
      </c>
    </row>
    <row r="184" ht="12.75" customHeight="1">
      <c r="A184" s="13" t="s">
        <v>5508</v>
      </c>
      <c r="B184" s="13" t="s">
        <v>9067</v>
      </c>
      <c r="C184" s="13" t="s">
        <v>5510</v>
      </c>
      <c r="D184" s="13" t="s">
        <v>5510</v>
      </c>
      <c r="E184" s="13" t="s">
        <v>5510</v>
      </c>
      <c r="F184" s="13" t="s">
        <v>9068</v>
      </c>
      <c r="G184" s="13" t="s">
        <v>5510</v>
      </c>
      <c r="H184" s="13" t="s">
        <v>5510</v>
      </c>
      <c r="I184" s="13" t="s">
        <v>2523</v>
      </c>
      <c r="J184" s="13" t="s">
        <v>7741</v>
      </c>
      <c r="K184" s="13" t="s">
        <v>5510</v>
      </c>
      <c r="L184" s="13" t="s">
        <v>5510</v>
      </c>
      <c r="M184" s="13" t="s">
        <v>5513</v>
      </c>
      <c r="N184" s="13" t="s">
        <v>5514</v>
      </c>
      <c r="O184" s="13" t="s">
        <v>5510</v>
      </c>
      <c r="P184" s="13" t="s">
        <v>5510</v>
      </c>
      <c r="Q184" s="13" t="s">
        <v>5510</v>
      </c>
      <c r="R184" s="13" t="s">
        <v>5510</v>
      </c>
      <c r="S184" s="13" t="s">
        <v>5510</v>
      </c>
      <c r="T184" s="13" t="s">
        <v>9069</v>
      </c>
      <c r="U184" s="13" t="s">
        <v>9070</v>
      </c>
      <c r="V184" s="13" t="s">
        <v>9071</v>
      </c>
      <c r="W184" s="13" t="s">
        <v>9072</v>
      </c>
      <c r="X184" s="13" t="s">
        <v>9073</v>
      </c>
      <c r="Y184" s="13" t="s">
        <v>9074</v>
      </c>
      <c r="Z184" s="13" t="s">
        <v>9075</v>
      </c>
      <c r="AA184" s="13" t="s">
        <v>9076</v>
      </c>
      <c r="AB184" s="13" t="s">
        <v>9077</v>
      </c>
      <c r="AC184" s="13" t="s">
        <v>5510</v>
      </c>
      <c r="AD184" s="13" t="s">
        <v>5510</v>
      </c>
      <c r="AE184" s="13" t="s">
        <v>5510</v>
      </c>
      <c r="AF184" s="13" t="s">
        <v>5510</v>
      </c>
      <c r="AG184" s="13">
        <v>59.0</v>
      </c>
      <c r="AH184" s="13">
        <v>34.0</v>
      </c>
      <c r="AI184" s="13">
        <v>42.0</v>
      </c>
      <c r="AJ184" s="13">
        <v>1.0</v>
      </c>
      <c r="AK184" s="13">
        <v>40.0</v>
      </c>
      <c r="AL184" s="13" t="s">
        <v>6717</v>
      </c>
      <c r="AM184" s="13" t="s">
        <v>5932</v>
      </c>
      <c r="AN184" s="13" t="s">
        <v>6718</v>
      </c>
      <c r="AO184" s="13" t="s">
        <v>7752</v>
      </c>
      <c r="AP184" s="13" t="s">
        <v>7753</v>
      </c>
      <c r="AQ184" s="13" t="s">
        <v>5510</v>
      </c>
      <c r="AR184" s="13" t="s">
        <v>7754</v>
      </c>
      <c r="AS184" s="13" t="s">
        <v>7755</v>
      </c>
      <c r="AT184" s="13" t="s">
        <v>6089</v>
      </c>
      <c r="AU184" s="13">
        <v>2019.0</v>
      </c>
      <c r="AV184" s="13">
        <v>140.0</v>
      </c>
      <c r="AW184" s="13" t="s">
        <v>5510</v>
      </c>
      <c r="AX184" s="13" t="s">
        <v>5510</v>
      </c>
      <c r="AY184" s="13" t="s">
        <v>5510</v>
      </c>
      <c r="AZ184" s="13" t="s">
        <v>5510</v>
      </c>
      <c r="BA184" s="13" t="s">
        <v>5510</v>
      </c>
      <c r="BB184" s="13">
        <v>51.0</v>
      </c>
      <c r="BC184" s="13">
        <v>59.0</v>
      </c>
      <c r="BD184" s="13" t="s">
        <v>5510</v>
      </c>
      <c r="BE184" s="13" t="s">
        <v>9078</v>
      </c>
      <c r="BF184" s="52" t="str">
        <f>HYPERLINK("http://dx.doi.org/10.1016/j.marpolbul.2019.01.030","http://dx.doi.org/10.1016/j.marpolbul.2019.01.030")</f>
        <v>http://dx.doi.org/10.1016/j.marpolbul.2019.01.030</v>
      </c>
      <c r="BG184" s="13" t="s">
        <v>5510</v>
      </c>
      <c r="BH184" s="13" t="s">
        <v>5510</v>
      </c>
      <c r="BI184" s="13">
        <v>9.0</v>
      </c>
      <c r="BJ184" s="13" t="s">
        <v>6327</v>
      </c>
      <c r="BK184" s="13" t="s">
        <v>5534</v>
      </c>
      <c r="BL184" s="13" t="s">
        <v>6328</v>
      </c>
      <c r="BM184" s="13" t="s">
        <v>9079</v>
      </c>
      <c r="BN184" s="13">
        <v>3.0803673E7</v>
      </c>
      <c r="BO184" s="13" t="s">
        <v>5510</v>
      </c>
      <c r="BP184" s="13" t="s">
        <v>5510</v>
      </c>
      <c r="BQ184" s="13" t="s">
        <v>5510</v>
      </c>
      <c r="BR184" s="13" t="s">
        <v>5538</v>
      </c>
      <c r="BS184" s="13" t="s">
        <v>9080</v>
      </c>
      <c r="BT184" s="13">
        <v>23020.0</v>
      </c>
      <c r="BU184" s="13" t="s">
        <v>5540</v>
      </c>
      <c r="BV184" s="13" t="s">
        <v>4864</v>
      </c>
      <c r="BW184" s="13" t="str">
        <f>VLOOKUP($BT184,Enriched!$A$2:$E$1070,5,false)</f>
        <v>["Pollution"]</v>
      </c>
      <c r="BX184" s="13" t="str">
        <f>VLOOKUP($BT184,Enriched!$A$2:$E$1070,4,false)</f>
        <v>["Garbage &amp; solid waste"]</v>
      </c>
      <c r="BY184" s="13" t="b">
        <f>VLOOKUP(BT184,Enriched!$A$1:$AA$1070,27,falsE)</f>
        <v>0</v>
      </c>
      <c r="BZ184" s="2" t="str">
        <f>VLOOKUP(BT184,Enriched!$A$1:$AA$1070,14,falsE)</f>
        <v>level2</v>
      </c>
      <c r="CA184" s="13" t="str">
        <f>HYPERLINK("https%3A%2F%2Fwww.webofscience.com%2Fwos%2Fwoscc%2Ffull-record%2FWOS:000461402300007","View Full Record in Web of Science")</f>
        <v>View Full Record in Web of Science</v>
      </c>
    </row>
    <row r="185" ht="12.75" customHeight="1">
      <c r="A185" s="13" t="s">
        <v>5508</v>
      </c>
      <c r="B185" s="13" t="s">
        <v>9081</v>
      </c>
      <c r="C185" s="13" t="s">
        <v>5510</v>
      </c>
      <c r="D185" s="13" t="s">
        <v>5510</v>
      </c>
      <c r="E185" s="13" t="s">
        <v>5510</v>
      </c>
      <c r="F185" s="13" t="s">
        <v>9082</v>
      </c>
      <c r="G185" s="13" t="s">
        <v>5510</v>
      </c>
      <c r="H185" s="13" t="s">
        <v>5510</v>
      </c>
      <c r="I185" s="13" t="s">
        <v>2520</v>
      </c>
      <c r="J185" s="13" t="s">
        <v>9083</v>
      </c>
      <c r="K185" s="13" t="s">
        <v>5510</v>
      </c>
      <c r="L185" s="13" t="s">
        <v>5510</v>
      </c>
      <c r="M185" s="13" t="s">
        <v>5513</v>
      </c>
      <c r="N185" s="13" t="s">
        <v>5514</v>
      </c>
      <c r="O185" s="13" t="s">
        <v>5510</v>
      </c>
      <c r="P185" s="13" t="s">
        <v>5510</v>
      </c>
      <c r="Q185" s="13" t="s">
        <v>5510</v>
      </c>
      <c r="R185" s="13" t="s">
        <v>5510</v>
      </c>
      <c r="S185" s="13" t="s">
        <v>5510</v>
      </c>
      <c r="T185" s="13" t="s">
        <v>9084</v>
      </c>
      <c r="U185" s="13" t="s">
        <v>9085</v>
      </c>
      <c r="V185" s="13" t="s">
        <v>9086</v>
      </c>
      <c r="W185" s="13" t="s">
        <v>9087</v>
      </c>
      <c r="X185" s="13" t="s">
        <v>9088</v>
      </c>
      <c r="Y185" s="13" t="s">
        <v>9089</v>
      </c>
      <c r="Z185" s="13" t="s">
        <v>9090</v>
      </c>
      <c r="AA185" s="13" t="s">
        <v>5510</v>
      </c>
      <c r="AB185" s="13" t="s">
        <v>5510</v>
      </c>
      <c r="AC185" s="13" t="s">
        <v>9091</v>
      </c>
      <c r="AD185" s="13" t="s">
        <v>9092</v>
      </c>
      <c r="AE185" s="13" t="s">
        <v>9093</v>
      </c>
      <c r="AF185" s="13" t="s">
        <v>5510</v>
      </c>
      <c r="AG185" s="13">
        <v>63.0</v>
      </c>
      <c r="AH185" s="13">
        <v>52.0</v>
      </c>
      <c r="AI185" s="13">
        <v>70.0</v>
      </c>
      <c r="AJ185" s="13">
        <v>15.0</v>
      </c>
      <c r="AK185" s="13">
        <v>228.0</v>
      </c>
      <c r="AL185" s="13" t="s">
        <v>5931</v>
      </c>
      <c r="AM185" s="13" t="s">
        <v>7486</v>
      </c>
      <c r="AN185" s="13" t="s">
        <v>7487</v>
      </c>
      <c r="AO185" s="13" t="s">
        <v>9094</v>
      </c>
      <c r="AP185" s="13" t="s">
        <v>9095</v>
      </c>
      <c r="AQ185" s="13" t="s">
        <v>5510</v>
      </c>
      <c r="AR185" s="13" t="s">
        <v>9096</v>
      </c>
      <c r="AS185" s="13" t="s">
        <v>9097</v>
      </c>
      <c r="AT185" s="13" t="s">
        <v>5978</v>
      </c>
      <c r="AU185" s="13">
        <v>2020.0</v>
      </c>
      <c r="AV185" s="13">
        <v>81.0</v>
      </c>
      <c r="AW185" s="13" t="s">
        <v>5510</v>
      </c>
      <c r="AX185" s="13" t="s">
        <v>5510</v>
      </c>
      <c r="AY185" s="13" t="s">
        <v>5510</v>
      </c>
      <c r="AZ185" s="13" t="s">
        <v>5510</v>
      </c>
      <c r="BA185" s="13" t="s">
        <v>5510</v>
      </c>
      <c r="BB185" s="13" t="s">
        <v>5510</v>
      </c>
      <c r="BC185" s="13" t="s">
        <v>5510</v>
      </c>
      <c r="BD185" s="13">
        <v>104136.0</v>
      </c>
      <c r="BE185" s="13" t="s">
        <v>9098</v>
      </c>
      <c r="BF185" s="52" t="str">
        <f>HYPERLINK("http://dx.doi.org/10.1016/j.tourman.2020.104136","http://dx.doi.org/10.1016/j.tourman.2020.104136")</f>
        <v>http://dx.doi.org/10.1016/j.tourman.2020.104136</v>
      </c>
      <c r="BG185" s="13" t="s">
        <v>5510</v>
      </c>
      <c r="BH185" s="13" t="s">
        <v>5510</v>
      </c>
      <c r="BI185" s="13">
        <v>16.0</v>
      </c>
      <c r="BJ185" s="13" t="s">
        <v>9099</v>
      </c>
      <c r="BK185" s="13" t="s">
        <v>8375</v>
      </c>
      <c r="BL185" s="13" t="s">
        <v>9100</v>
      </c>
      <c r="BM185" s="13" t="s">
        <v>9101</v>
      </c>
      <c r="BN185" s="13" t="s">
        <v>5510</v>
      </c>
      <c r="BO185" s="13" t="s">
        <v>6586</v>
      </c>
      <c r="BP185" s="13" t="s">
        <v>5510</v>
      </c>
      <c r="BQ185" s="13" t="s">
        <v>5510</v>
      </c>
      <c r="BR185" s="13" t="s">
        <v>5538</v>
      </c>
      <c r="BS185" s="13" t="s">
        <v>9102</v>
      </c>
      <c r="BT185" s="13">
        <v>23547.0</v>
      </c>
      <c r="BU185" s="13" t="s">
        <v>5540</v>
      </c>
      <c r="BV185" s="13" t="s">
        <v>4856</v>
      </c>
      <c r="BW185" s="13" t="str">
        <f>VLOOKUP($BT185,Enriched!$A$2:$E$1070,5,false)</f>
        <v>["Human Intrusions &amp; Disturbance"]</v>
      </c>
      <c r="BX185" s="13" t="str">
        <f>VLOOKUP($BT185,Enriched!$A$2:$E$1070,4,false)</f>
        <v>["Recreational activities"]</v>
      </c>
      <c r="BY185" s="13" t="b">
        <f>VLOOKUP(BT185,Enriched!$A$1:$AA$1070,27,falsE)</f>
        <v>0</v>
      </c>
      <c r="BZ185" s="2" t="str">
        <f>VLOOKUP(BT185,Enriched!$A$1:$AA$1070,14,falsE)</f>
        <v>level2</v>
      </c>
      <c r="CA185" s="13" t="str">
        <f>HYPERLINK("https%3A%2F%2Fwww.webofscience.com%2Fwos%2Fwoscc%2Ffull-record%2FWOS:000550153800007","View Full Record in Web of Science")</f>
        <v>View Full Record in Web of Science</v>
      </c>
    </row>
    <row r="186" ht="12.75" customHeight="1">
      <c r="A186" s="13" t="s">
        <v>5508</v>
      </c>
      <c r="B186" s="13" t="s">
        <v>9103</v>
      </c>
      <c r="C186" s="13" t="s">
        <v>5510</v>
      </c>
      <c r="D186" s="13" t="s">
        <v>5510</v>
      </c>
      <c r="E186" s="13" t="s">
        <v>5510</v>
      </c>
      <c r="F186" s="13" t="s">
        <v>9104</v>
      </c>
      <c r="G186" s="13" t="s">
        <v>5510</v>
      </c>
      <c r="H186" s="13" t="s">
        <v>5510</v>
      </c>
      <c r="I186" s="13" t="s">
        <v>2517</v>
      </c>
      <c r="J186" s="13" t="s">
        <v>6627</v>
      </c>
      <c r="K186" s="13" t="s">
        <v>5510</v>
      </c>
      <c r="L186" s="13" t="s">
        <v>5510</v>
      </c>
      <c r="M186" s="13" t="s">
        <v>5513</v>
      </c>
      <c r="N186" s="13" t="s">
        <v>5514</v>
      </c>
      <c r="O186" s="13" t="s">
        <v>5510</v>
      </c>
      <c r="P186" s="13" t="s">
        <v>5510</v>
      </c>
      <c r="Q186" s="13" t="s">
        <v>5510</v>
      </c>
      <c r="R186" s="13" t="s">
        <v>5510</v>
      </c>
      <c r="S186" s="13" t="s">
        <v>5510</v>
      </c>
      <c r="T186" s="13" t="s">
        <v>9105</v>
      </c>
      <c r="U186" s="13" t="s">
        <v>9106</v>
      </c>
      <c r="V186" s="13" t="s">
        <v>9107</v>
      </c>
      <c r="W186" s="13" t="s">
        <v>9108</v>
      </c>
      <c r="X186" s="13" t="s">
        <v>8384</v>
      </c>
      <c r="Y186" s="13" t="s">
        <v>9109</v>
      </c>
      <c r="Z186" s="13" t="s">
        <v>9110</v>
      </c>
      <c r="AA186" s="13" t="s">
        <v>9111</v>
      </c>
      <c r="AB186" s="13" t="s">
        <v>9112</v>
      </c>
      <c r="AC186" s="13" t="s">
        <v>9113</v>
      </c>
      <c r="AD186" s="13" t="s">
        <v>9113</v>
      </c>
      <c r="AE186" s="13" t="s">
        <v>9114</v>
      </c>
      <c r="AF186" s="13" t="s">
        <v>5510</v>
      </c>
      <c r="AG186" s="13">
        <v>81.0</v>
      </c>
      <c r="AH186" s="13">
        <v>69.0</v>
      </c>
      <c r="AI186" s="13">
        <v>85.0</v>
      </c>
      <c r="AJ186" s="13">
        <v>1.0</v>
      </c>
      <c r="AK186" s="13">
        <v>44.0</v>
      </c>
      <c r="AL186" s="13" t="s">
        <v>5527</v>
      </c>
      <c r="AM186" s="13" t="s">
        <v>5528</v>
      </c>
      <c r="AN186" s="13" t="s">
        <v>5529</v>
      </c>
      <c r="AO186" s="13" t="s">
        <v>6640</v>
      </c>
      <c r="AP186" s="13" t="s">
        <v>6641</v>
      </c>
      <c r="AQ186" s="13" t="s">
        <v>5510</v>
      </c>
      <c r="AR186" s="13" t="s">
        <v>6642</v>
      </c>
      <c r="AS186" s="13" t="s">
        <v>6643</v>
      </c>
      <c r="AT186" s="13" t="s">
        <v>5866</v>
      </c>
      <c r="AU186" s="13">
        <v>2014.0</v>
      </c>
      <c r="AV186" s="13">
        <v>20.0</v>
      </c>
      <c r="AW186" s="13">
        <v>5.0</v>
      </c>
      <c r="AX186" s="13" t="s">
        <v>5510</v>
      </c>
      <c r="AY186" s="13" t="s">
        <v>5510</v>
      </c>
      <c r="AZ186" s="13" t="s">
        <v>5510</v>
      </c>
      <c r="BA186" s="13" t="s">
        <v>5510</v>
      </c>
      <c r="BB186" s="13">
        <v>579.0</v>
      </c>
      <c r="BC186" s="13">
        <v>590.0</v>
      </c>
      <c r="BD186" s="13" t="s">
        <v>5510</v>
      </c>
      <c r="BE186" s="13" t="s">
        <v>9115</v>
      </c>
      <c r="BF186" s="52" t="str">
        <f>HYPERLINK("http://dx.doi.org/10.1111/ddi.12183","http://dx.doi.org/10.1111/ddi.12183")</f>
        <v>http://dx.doi.org/10.1111/ddi.12183</v>
      </c>
      <c r="BG186" s="13" t="s">
        <v>5510</v>
      </c>
      <c r="BH186" s="13" t="s">
        <v>5510</v>
      </c>
      <c r="BI186" s="13">
        <v>12.0</v>
      </c>
      <c r="BJ186" s="13" t="s">
        <v>5958</v>
      </c>
      <c r="BK186" s="13" t="s">
        <v>5534</v>
      </c>
      <c r="BL186" s="13" t="s">
        <v>5699</v>
      </c>
      <c r="BM186" s="13" t="s">
        <v>9116</v>
      </c>
      <c r="BN186" s="13" t="s">
        <v>5510</v>
      </c>
      <c r="BO186" s="13" t="s">
        <v>5809</v>
      </c>
      <c r="BP186" s="13" t="s">
        <v>5510</v>
      </c>
      <c r="BQ186" s="13" t="s">
        <v>5510</v>
      </c>
      <c r="BR186" s="13" t="s">
        <v>5538</v>
      </c>
      <c r="BS186" s="13" t="s">
        <v>9117</v>
      </c>
      <c r="BT186" s="13" t="s">
        <v>2515</v>
      </c>
      <c r="BU186" s="13" t="s">
        <v>9118</v>
      </c>
      <c r="BV186" s="13" t="s">
        <v>4864</v>
      </c>
      <c r="BW186" s="13" t="str">
        <f>VLOOKUP($BT186,Enriched!$A$2:$E$1070,5,false)</f>
        <v>["Biological resource use"]</v>
      </c>
      <c r="BX186" s="13" t="str">
        <f>VLOOKUP($BT186,Enriched!$A$2:$E$1070,4,false)</f>
        <v>["Fishing &amp; harvesting aquatic resources"]</v>
      </c>
      <c r="BY186" s="13" t="b">
        <f>VLOOKUP(BT186,Enriched!$A$1:$AA$1070,27,falsE)</f>
        <v>0</v>
      </c>
      <c r="BZ186" s="2" t="str">
        <f>VLOOKUP(BT186,Enriched!$A$1:$AA$1070,14,falsE)</f>
        <v>level2</v>
      </c>
      <c r="CA186" s="13" t="str">
        <f>HYPERLINK("https%3A%2F%2Fwww.webofscience.com%2Fwos%2Fwoscc%2Ffull-record%2FWOS:000333926300009","View Full Record in Web of Science")</f>
        <v>View Full Record in Web of Science</v>
      </c>
    </row>
    <row r="187" ht="12.75" customHeight="1">
      <c r="A187" s="13" t="s">
        <v>5508</v>
      </c>
      <c r="B187" s="13" t="s">
        <v>9119</v>
      </c>
      <c r="C187" s="13" t="s">
        <v>5510</v>
      </c>
      <c r="D187" s="13" t="s">
        <v>5510</v>
      </c>
      <c r="E187" s="13" t="s">
        <v>5510</v>
      </c>
      <c r="F187" s="13" t="s">
        <v>9120</v>
      </c>
      <c r="G187" s="13" t="s">
        <v>5510</v>
      </c>
      <c r="H187" s="13" t="s">
        <v>5510</v>
      </c>
      <c r="I187" s="13" t="s">
        <v>9121</v>
      </c>
      <c r="J187" s="13" t="s">
        <v>6306</v>
      </c>
      <c r="K187" s="13" t="s">
        <v>5510</v>
      </c>
      <c r="L187" s="13" t="s">
        <v>5510</v>
      </c>
      <c r="M187" s="13" t="s">
        <v>5513</v>
      </c>
      <c r="N187" s="13" t="s">
        <v>5514</v>
      </c>
      <c r="O187" s="13" t="s">
        <v>5510</v>
      </c>
      <c r="P187" s="13" t="s">
        <v>5510</v>
      </c>
      <c r="Q187" s="13" t="s">
        <v>5510</v>
      </c>
      <c r="R187" s="13" t="s">
        <v>5510</v>
      </c>
      <c r="S187" s="13" t="s">
        <v>5510</v>
      </c>
      <c r="T187" s="13" t="s">
        <v>9122</v>
      </c>
      <c r="U187" s="13" t="s">
        <v>9123</v>
      </c>
      <c r="V187" s="13" t="s">
        <v>9124</v>
      </c>
      <c r="W187" s="13" t="s">
        <v>9125</v>
      </c>
      <c r="X187" s="13" t="s">
        <v>9126</v>
      </c>
      <c r="Y187" s="13" t="s">
        <v>9127</v>
      </c>
      <c r="Z187" s="13" t="s">
        <v>9128</v>
      </c>
      <c r="AA187" s="13" t="s">
        <v>9129</v>
      </c>
      <c r="AB187" s="13" t="s">
        <v>9130</v>
      </c>
      <c r="AC187" s="13" t="s">
        <v>9131</v>
      </c>
      <c r="AD187" s="13" t="s">
        <v>9132</v>
      </c>
      <c r="AE187" s="13" t="s">
        <v>9133</v>
      </c>
      <c r="AF187" s="13" t="s">
        <v>5510</v>
      </c>
      <c r="AG187" s="13">
        <v>77.0</v>
      </c>
      <c r="AH187" s="13">
        <v>22.0</v>
      </c>
      <c r="AI187" s="13">
        <v>23.0</v>
      </c>
      <c r="AJ187" s="13">
        <v>0.0</v>
      </c>
      <c r="AK187" s="13">
        <v>10.0</v>
      </c>
      <c r="AL187" s="13" t="s">
        <v>6319</v>
      </c>
      <c r="AM187" s="13" t="s">
        <v>6320</v>
      </c>
      <c r="AN187" s="13" t="s">
        <v>6321</v>
      </c>
      <c r="AO187" s="13" t="s">
        <v>5510</v>
      </c>
      <c r="AP187" s="13" t="s">
        <v>6322</v>
      </c>
      <c r="AQ187" s="13" t="s">
        <v>5510</v>
      </c>
      <c r="AR187" s="13" t="s">
        <v>6323</v>
      </c>
      <c r="AS187" s="13" t="s">
        <v>6324</v>
      </c>
      <c r="AT187" s="13" t="s">
        <v>7186</v>
      </c>
      <c r="AU187" s="13">
        <v>2019.0</v>
      </c>
      <c r="AV187" s="13">
        <v>6.0</v>
      </c>
      <c r="AW187" s="13" t="s">
        <v>5510</v>
      </c>
      <c r="AX187" s="13" t="s">
        <v>5510</v>
      </c>
      <c r="AY187" s="13" t="s">
        <v>5510</v>
      </c>
      <c r="AZ187" s="13" t="s">
        <v>5510</v>
      </c>
      <c r="BA187" s="13" t="s">
        <v>5510</v>
      </c>
      <c r="BB187" s="13" t="s">
        <v>5510</v>
      </c>
      <c r="BC187" s="13" t="s">
        <v>5510</v>
      </c>
      <c r="BD187" s="13">
        <v>599.0</v>
      </c>
      <c r="BE187" s="13" t="s">
        <v>9134</v>
      </c>
      <c r="BF187" s="52" t="str">
        <f>HYPERLINK("http://dx.doi.org/10.3389/fmars.2019.00599","http://dx.doi.org/10.3389/fmars.2019.00599")</f>
        <v>http://dx.doi.org/10.3389/fmars.2019.00599</v>
      </c>
      <c r="BG187" s="13" t="s">
        <v>5510</v>
      </c>
      <c r="BH187" s="13" t="s">
        <v>5510</v>
      </c>
      <c r="BI187" s="13">
        <v>15.0</v>
      </c>
      <c r="BJ187" s="13" t="s">
        <v>6327</v>
      </c>
      <c r="BK187" s="13" t="s">
        <v>5561</v>
      </c>
      <c r="BL187" s="13" t="s">
        <v>6328</v>
      </c>
      <c r="BM187" s="13" t="s">
        <v>9135</v>
      </c>
      <c r="BN187" s="13" t="s">
        <v>5510</v>
      </c>
      <c r="BO187" s="13" t="s">
        <v>5564</v>
      </c>
      <c r="BP187" s="13" t="s">
        <v>5510</v>
      </c>
      <c r="BQ187" s="13" t="s">
        <v>5510</v>
      </c>
      <c r="BR187" s="13" t="s">
        <v>5538</v>
      </c>
      <c r="BS187" s="13" t="s">
        <v>9136</v>
      </c>
      <c r="BT187" s="13">
        <v>25607.0</v>
      </c>
      <c r="BU187" s="13" t="s">
        <v>5540</v>
      </c>
      <c r="BV187" s="13" t="s">
        <v>4864</v>
      </c>
      <c r="BW187" s="13" t="str">
        <f>VLOOKUP($BT187,Enriched!$A$2:$E$1070,5,false)</f>
        <v>["Biological resource use"]</v>
      </c>
      <c r="BX187" s="13" t="str">
        <f>VLOOKUP($BT187,Enriched!$A$2:$E$1070,4,false)</f>
        <v>["Fishing &amp; harvesting aquatic resources"]</v>
      </c>
      <c r="BY187" s="13" t="b">
        <f>VLOOKUP(BT187,Enriched!$A$1:$AA$1070,27,falsE)</f>
        <v>0</v>
      </c>
      <c r="BZ187" s="2" t="str">
        <f>VLOOKUP(BT187,Enriched!$A$1:$AA$1070,14,falsE)</f>
        <v>level2</v>
      </c>
      <c r="CA187" s="13" t="str">
        <f>HYPERLINK("https%3A%2F%2Fwww.webofscience.com%2Fwos%2Fwoscc%2Ffull-record%2FWOS:000490153800001","View Full Record in Web of Science")</f>
        <v>View Full Record in Web of Science</v>
      </c>
    </row>
    <row r="188" ht="12.75" customHeight="1">
      <c r="A188" s="13" t="s">
        <v>5508</v>
      </c>
      <c r="B188" s="13" t="s">
        <v>9137</v>
      </c>
      <c r="C188" s="13" t="s">
        <v>5510</v>
      </c>
      <c r="D188" s="13" t="s">
        <v>5510</v>
      </c>
      <c r="E188" s="13" t="s">
        <v>5510</v>
      </c>
      <c r="F188" s="13" t="s">
        <v>9138</v>
      </c>
      <c r="G188" s="13" t="s">
        <v>5510</v>
      </c>
      <c r="H188" s="13" t="s">
        <v>5510</v>
      </c>
      <c r="I188" s="13" t="s">
        <v>2504</v>
      </c>
      <c r="J188" s="13" t="s">
        <v>5943</v>
      </c>
      <c r="K188" s="13" t="s">
        <v>5510</v>
      </c>
      <c r="L188" s="13" t="s">
        <v>5510</v>
      </c>
      <c r="M188" s="13" t="s">
        <v>5513</v>
      </c>
      <c r="N188" s="13" t="s">
        <v>5514</v>
      </c>
      <c r="O188" s="13" t="s">
        <v>5510</v>
      </c>
      <c r="P188" s="13" t="s">
        <v>5510</v>
      </c>
      <c r="Q188" s="13" t="s">
        <v>5510</v>
      </c>
      <c r="R188" s="13" t="s">
        <v>5510</v>
      </c>
      <c r="S188" s="13" t="s">
        <v>5510</v>
      </c>
      <c r="T188" s="13" t="s">
        <v>9139</v>
      </c>
      <c r="U188" s="13" t="s">
        <v>9140</v>
      </c>
      <c r="V188" s="13" t="s">
        <v>9141</v>
      </c>
      <c r="W188" s="13" t="s">
        <v>9142</v>
      </c>
      <c r="X188" s="13" t="s">
        <v>9143</v>
      </c>
      <c r="Y188" s="13" t="s">
        <v>9144</v>
      </c>
      <c r="Z188" s="13" t="s">
        <v>9145</v>
      </c>
      <c r="AA188" s="13" t="s">
        <v>9146</v>
      </c>
      <c r="AB188" s="13" t="s">
        <v>9147</v>
      </c>
      <c r="AC188" s="13" t="s">
        <v>9148</v>
      </c>
      <c r="AD188" s="13" t="s">
        <v>9149</v>
      </c>
      <c r="AE188" s="13" t="s">
        <v>9148</v>
      </c>
      <c r="AF188" s="13" t="s">
        <v>5510</v>
      </c>
      <c r="AG188" s="13">
        <v>43.0</v>
      </c>
      <c r="AH188" s="13">
        <v>47.0</v>
      </c>
      <c r="AI188" s="13">
        <v>48.0</v>
      </c>
      <c r="AJ188" s="13">
        <v>2.0</v>
      </c>
      <c r="AK188" s="13">
        <v>43.0</v>
      </c>
      <c r="AL188" s="13" t="s">
        <v>5527</v>
      </c>
      <c r="AM188" s="13" t="s">
        <v>5528</v>
      </c>
      <c r="AN188" s="13" t="s">
        <v>5529</v>
      </c>
      <c r="AO188" s="13" t="s">
        <v>5953</v>
      </c>
      <c r="AP188" s="13" t="s">
        <v>5954</v>
      </c>
      <c r="AQ188" s="13" t="s">
        <v>5510</v>
      </c>
      <c r="AR188" s="13" t="s">
        <v>5955</v>
      </c>
      <c r="AS188" s="13" t="s">
        <v>5956</v>
      </c>
      <c r="AT188" s="13" t="s">
        <v>1925</v>
      </c>
      <c r="AU188" s="13">
        <v>2020.0</v>
      </c>
      <c r="AV188" s="13">
        <v>57.0</v>
      </c>
      <c r="AW188" s="13">
        <v>9.0</v>
      </c>
      <c r="AX188" s="13" t="s">
        <v>5510</v>
      </c>
      <c r="AY188" s="13" t="s">
        <v>5510</v>
      </c>
      <c r="AZ188" s="13" t="s">
        <v>5510</v>
      </c>
      <c r="BA188" s="13" t="s">
        <v>5510</v>
      </c>
      <c r="BB188" s="13">
        <v>1782.0</v>
      </c>
      <c r="BC188" s="13">
        <v>1792.0</v>
      </c>
      <c r="BD188" s="13" t="s">
        <v>5510</v>
      </c>
      <c r="BE188" s="13" t="s">
        <v>9150</v>
      </c>
      <c r="BF188" s="52" t="str">
        <f>HYPERLINK("http://dx.doi.org/10.1111/1365-2664.13654","http://dx.doi.org/10.1111/1365-2664.13654")</f>
        <v>http://dx.doi.org/10.1111/1365-2664.13654</v>
      </c>
      <c r="BG188" s="13" t="s">
        <v>5510</v>
      </c>
      <c r="BH188" s="13" t="s">
        <v>5669</v>
      </c>
      <c r="BI188" s="13">
        <v>11.0</v>
      </c>
      <c r="BJ188" s="13" t="s">
        <v>5958</v>
      </c>
      <c r="BK188" s="13" t="s">
        <v>5561</v>
      </c>
      <c r="BL188" s="13" t="s">
        <v>5699</v>
      </c>
      <c r="BM188" s="13" t="s">
        <v>9151</v>
      </c>
      <c r="BN188" s="13" t="s">
        <v>5510</v>
      </c>
      <c r="BO188" s="13" t="s">
        <v>6028</v>
      </c>
      <c r="BP188" s="13" t="s">
        <v>5510</v>
      </c>
      <c r="BQ188" s="13" t="s">
        <v>5510</v>
      </c>
      <c r="BR188" s="13" t="s">
        <v>5538</v>
      </c>
      <c r="BS188" s="13" t="s">
        <v>9152</v>
      </c>
      <c r="BT188" s="13">
        <v>25557.0</v>
      </c>
      <c r="BU188" s="13" t="s">
        <v>5540</v>
      </c>
      <c r="BV188" s="13" t="s">
        <v>4864</v>
      </c>
      <c r="BW188" s="13" t="str">
        <f>VLOOKUP($BT188,Enriched!$A$2:$E$1070,5,false)</f>
        <v>["Biological resource use"]</v>
      </c>
      <c r="BX188" s="13" t="str">
        <f>VLOOKUP($BT188,Enriched!$A$2:$E$1070,4,false)</f>
        <v>["Fishing &amp; harvesting aquatic resources"]</v>
      </c>
      <c r="BY188" s="13" t="b">
        <f>VLOOKUP(BT188,Enriched!$A$1:$AA$1070,27,falsE)</f>
        <v>0</v>
      </c>
      <c r="BZ188" s="2" t="str">
        <f>VLOOKUP(BT188,Enriched!$A$1:$AA$1070,14,falsE)</f>
        <v>level2</v>
      </c>
      <c r="CA188" s="13" t="str">
        <f>HYPERLINK("https%3A%2F%2Fwww.webofscience.com%2Fwos%2Fwoscc%2Ffull-record%2FWOS:000539474400001","View Full Record in Web of Science")</f>
        <v>View Full Record in Web of Science</v>
      </c>
    </row>
    <row r="189" ht="12.75" customHeight="1">
      <c r="A189" s="13" t="s">
        <v>5508</v>
      </c>
      <c r="B189" s="13" t="s">
        <v>9153</v>
      </c>
      <c r="C189" s="13" t="s">
        <v>5510</v>
      </c>
      <c r="D189" s="13" t="s">
        <v>5510</v>
      </c>
      <c r="E189" s="13" t="s">
        <v>5510</v>
      </c>
      <c r="F189" s="13" t="s">
        <v>9154</v>
      </c>
      <c r="G189" s="13" t="s">
        <v>5510</v>
      </c>
      <c r="H189" s="13" t="s">
        <v>5510</v>
      </c>
      <c r="I189" s="13" t="s">
        <v>2502</v>
      </c>
      <c r="J189" s="13" t="s">
        <v>6212</v>
      </c>
      <c r="K189" s="13" t="s">
        <v>5510</v>
      </c>
      <c r="L189" s="13" t="s">
        <v>5510</v>
      </c>
      <c r="M189" s="13" t="s">
        <v>5513</v>
      </c>
      <c r="N189" s="13" t="s">
        <v>5514</v>
      </c>
      <c r="O189" s="13" t="s">
        <v>5510</v>
      </c>
      <c r="P189" s="13" t="s">
        <v>5510</v>
      </c>
      <c r="Q189" s="13" t="s">
        <v>5510</v>
      </c>
      <c r="R189" s="13" t="s">
        <v>5510</v>
      </c>
      <c r="S189" s="13" t="s">
        <v>5510</v>
      </c>
      <c r="T189" s="13" t="s">
        <v>9155</v>
      </c>
      <c r="U189" s="13" t="s">
        <v>9156</v>
      </c>
      <c r="V189" s="13" t="s">
        <v>9157</v>
      </c>
      <c r="W189" s="13" t="s">
        <v>9158</v>
      </c>
      <c r="X189" s="13" t="s">
        <v>9159</v>
      </c>
      <c r="Y189" s="13" t="s">
        <v>9160</v>
      </c>
      <c r="Z189" s="13" t="s">
        <v>9161</v>
      </c>
      <c r="AA189" s="13" t="s">
        <v>9162</v>
      </c>
      <c r="AB189" s="13" t="s">
        <v>9163</v>
      </c>
      <c r="AC189" s="13" t="s">
        <v>9164</v>
      </c>
      <c r="AD189" s="13" t="s">
        <v>9165</v>
      </c>
      <c r="AE189" s="13" t="s">
        <v>9166</v>
      </c>
      <c r="AF189" s="13" t="s">
        <v>5510</v>
      </c>
      <c r="AG189" s="13">
        <v>88.0</v>
      </c>
      <c r="AH189" s="13">
        <v>38.0</v>
      </c>
      <c r="AI189" s="13">
        <v>46.0</v>
      </c>
      <c r="AJ189" s="13">
        <v>3.0</v>
      </c>
      <c r="AK189" s="13">
        <v>41.0</v>
      </c>
      <c r="AL189" s="13" t="s">
        <v>5759</v>
      </c>
      <c r="AM189" s="13" t="s">
        <v>5760</v>
      </c>
      <c r="AN189" s="13" t="s">
        <v>5761</v>
      </c>
      <c r="AO189" s="13" t="s">
        <v>5510</v>
      </c>
      <c r="AP189" s="13" t="s">
        <v>6225</v>
      </c>
      <c r="AQ189" s="13" t="s">
        <v>5510</v>
      </c>
      <c r="AR189" s="13" t="s">
        <v>6226</v>
      </c>
      <c r="AS189" s="13" t="s">
        <v>6227</v>
      </c>
      <c r="AT189" s="13" t="s">
        <v>6089</v>
      </c>
      <c r="AU189" s="13">
        <v>2020.0</v>
      </c>
      <c r="AV189" s="13">
        <v>21.0</v>
      </c>
      <c r="AW189" s="13" t="s">
        <v>5510</v>
      </c>
      <c r="AX189" s="13" t="s">
        <v>5510</v>
      </c>
      <c r="AY189" s="13" t="s">
        <v>5510</v>
      </c>
      <c r="AZ189" s="13" t="s">
        <v>5510</v>
      </c>
      <c r="BA189" s="13" t="s">
        <v>5510</v>
      </c>
      <c r="BB189" s="13" t="s">
        <v>5510</v>
      </c>
      <c r="BC189" s="13" t="s">
        <v>5510</v>
      </c>
      <c r="BD189" s="13" t="s">
        <v>9167</v>
      </c>
      <c r="BE189" s="13" t="s">
        <v>9168</v>
      </c>
      <c r="BF189" s="52" t="str">
        <f>HYPERLINK("http://dx.doi.org/10.1016/j.gecco.2019.e00862","http://dx.doi.org/10.1016/j.gecco.2019.e00862")</f>
        <v>http://dx.doi.org/10.1016/j.gecco.2019.e00862</v>
      </c>
      <c r="BG189" s="13" t="s">
        <v>5510</v>
      </c>
      <c r="BH189" s="13" t="s">
        <v>5510</v>
      </c>
      <c r="BI189" s="13">
        <v>10.0</v>
      </c>
      <c r="BJ189" s="13" t="s">
        <v>5958</v>
      </c>
      <c r="BK189" s="13" t="s">
        <v>5561</v>
      </c>
      <c r="BL189" s="13" t="s">
        <v>5699</v>
      </c>
      <c r="BM189" s="13" t="s">
        <v>9169</v>
      </c>
      <c r="BN189" s="13" t="s">
        <v>5510</v>
      </c>
      <c r="BO189" s="13" t="s">
        <v>5564</v>
      </c>
      <c r="BP189" s="13" t="s">
        <v>5510</v>
      </c>
      <c r="BQ189" s="13" t="s">
        <v>5510</v>
      </c>
      <c r="BR189" s="13" t="s">
        <v>5538</v>
      </c>
      <c r="BS189" s="13" t="s">
        <v>9170</v>
      </c>
      <c r="BT189" s="13">
        <v>23315.0</v>
      </c>
      <c r="BU189" s="13" t="s">
        <v>5540</v>
      </c>
      <c r="BV189" s="13" t="s">
        <v>4864</v>
      </c>
      <c r="BW189" s="13" t="str">
        <f>VLOOKUP($BT189,Enriched!$A$2:$E$1070,5,false)</f>
        <v>["Biological resource use"]</v>
      </c>
      <c r="BX189" s="13" t="str">
        <f>VLOOKUP($BT189,Enriched!$A$2:$E$1070,4,false)</f>
        <v>["Hunting &amp; collecting terrestrial animals"]</v>
      </c>
      <c r="BY189" s="13" t="b">
        <f>VLOOKUP(BT189,Enriched!$A$1:$AA$1070,27,falsE)</f>
        <v>0</v>
      </c>
      <c r="BZ189" s="2" t="str">
        <f>VLOOKUP(BT189,Enriched!$A$1:$AA$1070,14,falsE)</f>
        <v>level2</v>
      </c>
      <c r="CA189" s="13" t="str">
        <f>HYPERLINK("https%3A%2F%2Fwww.webofscience.com%2Fwos%2Fwoscc%2Ffull-record%2FWOS:000517814100065","View Full Record in Web of Science")</f>
        <v>View Full Record in Web of Science</v>
      </c>
    </row>
    <row r="190" ht="12.75" customHeight="1">
      <c r="A190" s="13" t="s">
        <v>5508</v>
      </c>
      <c r="B190" s="13" t="s">
        <v>9171</v>
      </c>
      <c r="C190" s="13" t="s">
        <v>5510</v>
      </c>
      <c r="D190" s="13" t="s">
        <v>5510</v>
      </c>
      <c r="E190" s="13" t="s">
        <v>5510</v>
      </c>
      <c r="F190" s="13" t="s">
        <v>9172</v>
      </c>
      <c r="G190" s="13" t="s">
        <v>5510</v>
      </c>
      <c r="H190" s="13" t="s">
        <v>5510</v>
      </c>
      <c r="I190" s="13" t="s">
        <v>2498</v>
      </c>
      <c r="J190" s="13" t="s">
        <v>9173</v>
      </c>
      <c r="K190" s="13" t="s">
        <v>5510</v>
      </c>
      <c r="L190" s="13" t="s">
        <v>5510</v>
      </c>
      <c r="M190" s="13" t="s">
        <v>5513</v>
      </c>
      <c r="N190" s="13" t="s">
        <v>5514</v>
      </c>
      <c r="O190" s="13" t="s">
        <v>5510</v>
      </c>
      <c r="P190" s="13" t="s">
        <v>5510</v>
      </c>
      <c r="Q190" s="13" t="s">
        <v>5510</v>
      </c>
      <c r="R190" s="13" t="s">
        <v>5510</v>
      </c>
      <c r="S190" s="13" t="s">
        <v>5510</v>
      </c>
      <c r="T190" s="13" t="s">
        <v>9174</v>
      </c>
      <c r="U190" s="13" t="s">
        <v>9175</v>
      </c>
      <c r="V190" s="13" t="s">
        <v>9176</v>
      </c>
      <c r="W190" s="13" t="s">
        <v>9177</v>
      </c>
      <c r="X190" s="13" t="s">
        <v>9178</v>
      </c>
      <c r="Y190" s="13" t="s">
        <v>9179</v>
      </c>
      <c r="Z190" s="13" t="s">
        <v>9180</v>
      </c>
      <c r="AA190" s="13" t="s">
        <v>9181</v>
      </c>
      <c r="AB190" s="13" t="s">
        <v>9182</v>
      </c>
      <c r="AC190" s="13" t="s">
        <v>9183</v>
      </c>
      <c r="AD190" s="13" t="s">
        <v>9184</v>
      </c>
      <c r="AE190" s="13" t="s">
        <v>9185</v>
      </c>
      <c r="AF190" s="13" t="s">
        <v>5510</v>
      </c>
      <c r="AG190" s="13">
        <v>17.0</v>
      </c>
      <c r="AH190" s="13">
        <v>179.0</v>
      </c>
      <c r="AI190" s="13">
        <v>203.0</v>
      </c>
      <c r="AJ190" s="13">
        <v>0.0</v>
      </c>
      <c r="AK190" s="13">
        <v>62.0</v>
      </c>
      <c r="AL190" s="13" t="s">
        <v>9186</v>
      </c>
      <c r="AM190" s="13" t="s">
        <v>6046</v>
      </c>
      <c r="AN190" s="13" t="s">
        <v>9187</v>
      </c>
      <c r="AO190" s="13" t="s">
        <v>9188</v>
      </c>
      <c r="AP190" s="13" t="s">
        <v>9189</v>
      </c>
      <c r="AQ190" s="13" t="s">
        <v>5510</v>
      </c>
      <c r="AR190" s="13" t="s">
        <v>9190</v>
      </c>
      <c r="AS190" s="13" t="s">
        <v>9191</v>
      </c>
      <c r="AT190" s="13" t="s">
        <v>9192</v>
      </c>
      <c r="AU190" s="13">
        <v>2009.0</v>
      </c>
      <c r="AV190" s="13">
        <v>5.0</v>
      </c>
      <c r="AW190" s="13">
        <v>2.0</v>
      </c>
      <c r="AX190" s="13" t="s">
        <v>5510</v>
      </c>
      <c r="AY190" s="13" t="s">
        <v>5510</v>
      </c>
      <c r="AZ190" s="13" t="s">
        <v>5510</v>
      </c>
      <c r="BA190" s="13" t="s">
        <v>5510</v>
      </c>
      <c r="BB190" s="13">
        <v>156.0</v>
      </c>
      <c r="BC190" s="13">
        <v>159.0</v>
      </c>
      <c r="BD190" s="13" t="s">
        <v>5510</v>
      </c>
      <c r="BE190" s="13" t="s">
        <v>9193</v>
      </c>
      <c r="BF190" s="52" t="str">
        <f>HYPERLINK("http://dx.doi.org/10.1098/rsbl.2008.0761","http://dx.doi.org/10.1098/rsbl.2008.0761")</f>
        <v>http://dx.doi.org/10.1098/rsbl.2008.0761</v>
      </c>
      <c r="BG190" s="13" t="s">
        <v>5510</v>
      </c>
      <c r="BH190" s="13" t="s">
        <v>5510</v>
      </c>
      <c r="BI190" s="13">
        <v>4.0</v>
      </c>
      <c r="BJ190" s="13" t="s">
        <v>9194</v>
      </c>
      <c r="BK190" s="13" t="s">
        <v>5561</v>
      </c>
      <c r="BL190" s="13" t="s">
        <v>9195</v>
      </c>
      <c r="BM190" s="13" t="s">
        <v>9196</v>
      </c>
      <c r="BN190" s="13">
        <v>1.9324655E7</v>
      </c>
      <c r="BO190" s="13" t="s">
        <v>6623</v>
      </c>
      <c r="BP190" s="13" t="s">
        <v>5510</v>
      </c>
      <c r="BQ190" s="13" t="s">
        <v>5510</v>
      </c>
      <c r="BR190" s="13" t="s">
        <v>5538</v>
      </c>
      <c r="BS190" s="13" t="s">
        <v>9197</v>
      </c>
      <c r="BT190" s="13">
        <v>24885.0</v>
      </c>
      <c r="BU190" s="13" t="s">
        <v>5540</v>
      </c>
      <c r="BV190" s="13" t="s">
        <v>4864</v>
      </c>
      <c r="BW190" s="13" t="str">
        <f>VLOOKUP($BT190,Enriched!$A$2:$E$1070,5,false)</f>
        <v>["Biological resource use"]</v>
      </c>
      <c r="BX190" s="13" t="str">
        <f>VLOOKUP($BT190,Enriched!$A$2:$E$1070,4,false)</f>
        <v>["Fishing &amp; harvesting aquatic resources"]</v>
      </c>
      <c r="BY190" s="13" t="b">
        <f>VLOOKUP(BT190,Enriched!$A$1:$AA$1070,27,falsE)</f>
        <v>0</v>
      </c>
      <c r="BZ190" s="2" t="str">
        <f>VLOOKUP(BT190,Enriched!$A$1:$AA$1070,14,falsE)</f>
        <v>level2</v>
      </c>
      <c r="CA190" s="13" t="str">
        <f>HYPERLINK("https%3A%2F%2Fwww.webofscience.com%2Fwos%2Fwoscc%2Ffull-record%2FWOS:000264371900004","View Full Record in Web of Science")</f>
        <v>View Full Record in Web of Science</v>
      </c>
    </row>
    <row r="191" ht="12.75" customHeight="1">
      <c r="A191" s="13" t="s">
        <v>5508</v>
      </c>
      <c r="B191" s="13" t="s">
        <v>9198</v>
      </c>
      <c r="C191" s="13" t="s">
        <v>5510</v>
      </c>
      <c r="D191" s="13" t="s">
        <v>5510</v>
      </c>
      <c r="E191" s="13" t="s">
        <v>5510</v>
      </c>
      <c r="F191" s="13" t="s">
        <v>9199</v>
      </c>
      <c r="G191" s="13" t="s">
        <v>5510</v>
      </c>
      <c r="H191" s="13" t="s">
        <v>5510</v>
      </c>
      <c r="I191" s="13" t="s">
        <v>2495</v>
      </c>
      <c r="J191" s="13" t="s">
        <v>5895</v>
      </c>
      <c r="K191" s="13" t="s">
        <v>5510</v>
      </c>
      <c r="L191" s="13" t="s">
        <v>5510</v>
      </c>
      <c r="M191" s="13" t="s">
        <v>5513</v>
      </c>
      <c r="N191" s="13" t="s">
        <v>5514</v>
      </c>
      <c r="O191" s="13" t="s">
        <v>5510</v>
      </c>
      <c r="P191" s="13" t="s">
        <v>5510</v>
      </c>
      <c r="Q191" s="13" t="s">
        <v>5510</v>
      </c>
      <c r="R191" s="13" t="s">
        <v>5510</v>
      </c>
      <c r="S191" s="13" t="s">
        <v>5510</v>
      </c>
      <c r="T191" s="13" t="s">
        <v>9200</v>
      </c>
      <c r="U191" s="13" t="s">
        <v>9201</v>
      </c>
      <c r="V191" s="13" t="s">
        <v>9202</v>
      </c>
      <c r="W191" s="13" t="s">
        <v>9203</v>
      </c>
      <c r="X191" s="13" t="s">
        <v>9204</v>
      </c>
      <c r="Y191" s="13" t="s">
        <v>9205</v>
      </c>
      <c r="Z191" s="13" t="s">
        <v>9206</v>
      </c>
      <c r="AA191" s="13" t="s">
        <v>9207</v>
      </c>
      <c r="AB191" s="13" t="s">
        <v>9208</v>
      </c>
      <c r="AC191" s="13" t="s">
        <v>9209</v>
      </c>
      <c r="AD191" s="13" t="s">
        <v>9210</v>
      </c>
      <c r="AE191" s="13" t="s">
        <v>9211</v>
      </c>
      <c r="AF191" s="13" t="s">
        <v>5510</v>
      </c>
      <c r="AG191" s="13">
        <v>43.0</v>
      </c>
      <c r="AH191" s="13">
        <v>271.0</v>
      </c>
      <c r="AI191" s="13">
        <v>337.0</v>
      </c>
      <c r="AJ191" s="13">
        <v>9.0</v>
      </c>
      <c r="AK191" s="13">
        <v>709.0</v>
      </c>
      <c r="AL191" s="13" t="s">
        <v>5907</v>
      </c>
      <c r="AM191" s="13" t="s">
        <v>5908</v>
      </c>
      <c r="AN191" s="13" t="s">
        <v>5909</v>
      </c>
      <c r="AO191" s="13" t="s">
        <v>5910</v>
      </c>
      <c r="AP191" s="13" t="s">
        <v>5510</v>
      </c>
      <c r="AQ191" s="13" t="s">
        <v>5510</v>
      </c>
      <c r="AR191" s="13" t="s">
        <v>5911</v>
      </c>
      <c r="AS191" s="13" t="s">
        <v>5912</v>
      </c>
      <c r="AT191" s="13" t="s">
        <v>9212</v>
      </c>
      <c r="AU191" s="13">
        <v>2012.0</v>
      </c>
      <c r="AV191" s="13">
        <v>109.0</v>
      </c>
      <c r="AW191" s="13">
        <v>7.0</v>
      </c>
      <c r="AX191" s="13" t="s">
        <v>5510</v>
      </c>
      <c r="AY191" s="13" t="s">
        <v>5510</v>
      </c>
      <c r="AZ191" s="13" t="s">
        <v>5510</v>
      </c>
      <c r="BA191" s="13" t="s">
        <v>5510</v>
      </c>
      <c r="BB191" s="13">
        <v>2418.0</v>
      </c>
      <c r="BC191" s="13">
        <v>2422.0</v>
      </c>
      <c r="BD191" s="13" t="s">
        <v>5510</v>
      </c>
      <c r="BE191" s="13" t="s">
        <v>9213</v>
      </c>
      <c r="BF191" s="52" t="str">
        <f>HYPERLINK("http://dx.doi.org/10.1073/pnas.1115226109","http://dx.doi.org/10.1073/pnas.1115226109")</f>
        <v>http://dx.doi.org/10.1073/pnas.1115226109</v>
      </c>
      <c r="BG191" s="13" t="s">
        <v>5510</v>
      </c>
      <c r="BH191" s="13" t="s">
        <v>5510</v>
      </c>
      <c r="BI191" s="13">
        <v>5.0</v>
      </c>
      <c r="BJ191" s="13" t="s">
        <v>5560</v>
      </c>
      <c r="BK191" s="13" t="s">
        <v>5561</v>
      </c>
      <c r="BL191" s="13" t="s">
        <v>5562</v>
      </c>
      <c r="BM191" s="13" t="s">
        <v>9214</v>
      </c>
      <c r="BN191" s="13">
        <v>2.2308381E7</v>
      </c>
      <c r="BO191" s="13" t="s">
        <v>5587</v>
      </c>
      <c r="BP191" s="13" t="s">
        <v>5510</v>
      </c>
      <c r="BQ191" s="13" t="s">
        <v>5510</v>
      </c>
      <c r="BR191" s="13" t="s">
        <v>5538</v>
      </c>
      <c r="BS191" s="13" t="s">
        <v>9215</v>
      </c>
      <c r="BT191" s="13">
        <v>23760.0</v>
      </c>
      <c r="BU191" s="13" t="s">
        <v>5540</v>
      </c>
      <c r="BV191" s="13" t="s">
        <v>4856</v>
      </c>
      <c r="BW191" s="13" t="str">
        <f>VLOOKUP($BT191,Enriched!$A$2:$E$1070,5,false)</f>
        <v>["Invasive &amp; other problematic species, genes &amp; diseases"]</v>
      </c>
      <c r="BX191" s="13" t="str">
        <f>VLOOKUP($BT191,Enriched!$A$2:$E$1070,4,false)</f>
        <v>["Invasive non-native/alien species/diseases"]</v>
      </c>
      <c r="BY191" s="13" t="b">
        <f>VLOOKUP(BT191,Enriched!$A$1:$AA$1070,27,falsE)</f>
        <v>0</v>
      </c>
      <c r="BZ191" s="2" t="str">
        <f>VLOOKUP(BT191,Enriched!$A$1:$AA$1070,14,falsE)</f>
        <v>level2</v>
      </c>
      <c r="CA191" s="13" t="str">
        <f>HYPERLINK("https%3A%2F%2Fwww.webofscience.com%2Fwos%2Fwoscc%2Ffull-record%2FWOS:000300489200054","View Full Record in Web of Science")</f>
        <v>View Full Record in Web of Science</v>
      </c>
    </row>
    <row r="192" ht="12.75" customHeight="1">
      <c r="A192" s="13" t="s">
        <v>5508</v>
      </c>
      <c r="B192" s="13" t="s">
        <v>9216</v>
      </c>
      <c r="C192" s="13" t="s">
        <v>5510</v>
      </c>
      <c r="D192" s="13" t="s">
        <v>5510</v>
      </c>
      <c r="E192" s="13" t="s">
        <v>5510</v>
      </c>
      <c r="F192" s="13" t="s">
        <v>9216</v>
      </c>
      <c r="G192" s="13" t="s">
        <v>5510</v>
      </c>
      <c r="H192" s="13" t="s">
        <v>5510</v>
      </c>
      <c r="I192" s="13" t="s">
        <v>9217</v>
      </c>
      <c r="J192" s="13" t="s">
        <v>6333</v>
      </c>
      <c r="K192" s="13" t="s">
        <v>5510</v>
      </c>
      <c r="L192" s="13" t="s">
        <v>5510</v>
      </c>
      <c r="M192" s="13" t="s">
        <v>5513</v>
      </c>
      <c r="N192" s="13" t="s">
        <v>5514</v>
      </c>
      <c r="O192" s="13" t="s">
        <v>5510</v>
      </c>
      <c r="P192" s="13" t="s">
        <v>5510</v>
      </c>
      <c r="Q192" s="13" t="s">
        <v>5510</v>
      </c>
      <c r="R192" s="13" t="s">
        <v>5510</v>
      </c>
      <c r="S192" s="13" t="s">
        <v>5510</v>
      </c>
      <c r="T192" s="13" t="s">
        <v>9218</v>
      </c>
      <c r="U192" s="13" t="s">
        <v>9219</v>
      </c>
      <c r="V192" s="13" t="s">
        <v>9220</v>
      </c>
      <c r="W192" s="13" t="s">
        <v>9221</v>
      </c>
      <c r="X192" s="13" t="s">
        <v>9222</v>
      </c>
      <c r="Y192" s="13" t="s">
        <v>9223</v>
      </c>
      <c r="Z192" s="13" t="s">
        <v>9224</v>
      </c>
      <c r="AA192" s="13" t="s">
        <v>5510</v>
      </c>
      <c r="AB192" s="13" t="s">
        <v>5510</v>
      </c>
      <c r="AC192" s="13" t="s">
        <v>5510</v>
      </c>
      <c r="AD192" s="13" t="s">
        <v>5510</v>
      </c>
      <c r="AE192" s="13" t="s">
        <v>5510</v>
      </c>
      <c r="AF192" s="13" t="s">
        <v>5510</v>
      </c>
      <c r="AG192" s="13">
        <v>39.0</v>
      </c>
      <c r="AH192" s="13">
        <v>104.0</v>
      </c>
      <c r="AI192" s="13">
        <v>118.0</v>
      </c>
      <c r="AJ192" s="13">
        <v>1.0</v>
      </c>
      <c r="AK192" s="13">
        <v>60.0</v>
      </c>
      <c r="AL192" s="13" t="s">
        <v>9225</v>
      </c>
      <c r="AM192" s="13" t="s">
        <v>9226</v>
      </c>
      <c r="AN192" s="13" t="s">
        <v>9227</v>
      </c>
      <c r="AO192" s="13" t="s">
        <v>6342</v>
      </c>
      <c r="AP192" s="13" t="s">
        <v>5510</v>
      </c>
      <c r="AQ192" s="13" t="s">
        <v>5510</v>
      </c>
      <c r="AR192" s="13" t="s">
        <v>6344</v>
      </c>
      <c r="AS192" s="13" t="s">
        <v>6345</v>
      </c>
      <c r="AT192" s="13" t="s">
        <v>2738</v>
      </c>
      <c r="AU192" s="13">
        <v>2005.0</v>
      </c>
      <c r="AV192" s="13">
        <v>19.0</v>
      </c>
      <c r="AW192" s="13">
        <v>1.0</v>
      </c>
      <c r="AX192" s="13" t="s">
        <v>5510</v>
      </c>
      <c r="AY192" s="13" t="s">
        <v>5510</v>
      </c>
      <c r="AZ192" s="13" t="s">
        <v>5510</v>
      </c>
      <c r="BA192" s="13" t="s">
        <v>5510</v>
      </c>
      <c r="BB192" s="13">
        <v>86.0</v>
      </c>
      <c r="BC192" s="13">
        <v>97.0</v>
      </c>
      <c r="BD192" s="13" t="s">
        <v>5510</v>
      </c>
      <c r="BE192" s="13" t="s">
        <v>9228</v>
      </c>
      <c r="BF192" s="52" t="str">
        <f>HYPERLINK("http://dx.doi.org/10.1111/j.1523-1739.2005.00148.x","http://dx.doi.org/10.1111/j.1523-1739.2005.00148.x")</f>
        <v>http://dx.doi.org/10.1111/j.1523-1739.2005.00148.x</v>
      </c>
      <c r="BG192" s="13" t="s">
        <v>5510</v>
      </c>
      <c r="BH192" s="13" t="s">
        <v>5510</v>
      </c>
      <c r="BI192" s="13">
        <v>12.0</v>
      </c>
      <c r="BJ192" s="13" t="s">
        <v>5698</v>
      </c>
      <c r="BK192" s="13" t="s">
        <v>5561</v>
      </c>
      <c r="BL192" s="13" t="s">
        <v>5699</v>
      </c>
      <c r="BM192" s="13" t="s">
        <v>9229</v>
      </c>
      <c r="BN192" s="13" t="s">
        <v>5510</v>
      </c>
      <c r="BO192" s="13" t="s">
        <v>5510</v>
      </c>
      <c r="BP192" s="13" t="s">
        <v>5510</v>
      </c>
      <c r="BQ192" s="13" t="s">
        <v>5510</v>
      </c>
      <c r="BR192" s="13" t="s">
        <v>5538</v>
      </c>
      <c r="BS192" s="13" t="s">
        <v>9230</v>
      </c>
      <c r="BT192" s="13">
        <v>26103.0</v>
      </c>
      <c r="BU192" s="13" t="s">
        <v>5540</v>
      </c>
      <c r="BV192" s="13" t="s">
        <v>4864</v>
      </c>
      <c r="BW192" s="13" t="str">
        <f>VLOOKUP($BT192,Enriched!$A$2:$E$1070,5,false)</f>
        <v>["Transportation &amp; Service Corridors", "Energy Production &amp; Mining", "Human Intrusions &amp; Disturbance"]</v>
      </c>
      <c r="BX192" s="13" t="str">
        <f>VLOOKUP($BT192,Enriched!$A$2:$E$1070,4,false)</f>
        <v>["Shipping lanes", "Oil &amp; gas drilling", "Recreational activities"]</v>
      </c>
      <c r="BY192" s="13" t="b">
        <f>VLOOKUP(BT192,Enriched!$A$1:$AA$1070,27,falsE)</f>
        <v>0</v>
      </c>
      <c r="BZ192" s="2" t="str">
        <f>VLOOKUP(BT192,Enriched!$A$1:$AA$1070,14,falsE)</f>
        <v>level2</v>
      </c>
      <c r="CA192" s="13" t="str">
        <f>HYPERLINK("https%3A%2F%2Fwww.webofscience.com%2Fwos%2Fwoscc%2Ffull-record%2FWOS:000226438600015","View Full Record in Web of Science")</f>
        <v>View Full Record in Web of Science</v>
      </c>
    </row>
    <row r="193" ht="12.75" customHeight="1">
      <c r="A193" s="13" t="s">
        <v>5508</v>
      </c>
      <c r="B193" s="13" t="s">
        <v>9231</v>
      </c>
      <c r="C193" s="13" t="s">
        <v>5510</v>
      </c>
      <c r="D193" s="13" t="s">
        <v>5510</v>
      </c>
      <c r="E193" s="13" t="s">
        <v>5510</v>
      </c>
      <c r="F193" s="13" t="s">
        <v>9232</v>
      </c>
      <c r="G193" s="13" t="s">
        <v>5510</v>
      </c>
      <c r="H193" s="13" t="s">
        <v>5510</v>
      </c>
      <c r="I193" s="13" t="s">
        <v>2489</v>
      </c>
      <c r="J193" s="13" t="s">
        <v>5677</v>
      </c>
      <c r="K193" s="13" t="s">
        <v>5510</v>
      </c>
      <c r="L193" s="13" t="s">
        <v>5510</v>
      </c>
      <c r="M193" s="13" t="s">
        <v>5513</v>
      </c>
      <c r="N193" s="13" t="s">
        <v>5514</v>
      </c>
      <c r="O193" s="13" t="s">
        <v>5510</v>
      </c>
      <c r="P193" s="13" t="s">
        <v>5510</v>
      </c>
      <c r="Q193" s="13" t="s">
        <v>5510</v>
      </c>
      <c r="R193" s="13" t="s">
        <v>5510</v>
      </c>
      <c r="S193" s="13" t="s">
        <v>5510</v>
      </c>
      <c r="T193" s="13" t="s">
        <v>9233</v>
      </c>
      <c r="U193" s="13" t="s">
        <v>9234</v>
      </c>
      <c r="V193" s="13" t="s">
        <v>9235</v>
      </c>
      <c r="W193" s="13" t="s">
        <v>9236</v>
      </c>
      <c r="X193" s="13" t="s">
        <v>9237</v>
      </c>
      <c r="Y193" s="13" t="s">
        <v>9238</v>
      </c>
      <c r="Z193" s="13" t="s">
        <v>9239</v>
      </c>
      <c r="AA193" s="13" t="s">
        <v>9240</v>
      </c>
      <c r="AB193" s="13" t="s">
        <v>9241</v>
      </c>
      <c r="AC193" s="13" t="s">
        <v>9242</v>
      </c>
      <c r="AD193" s="13" t="s">
        <v>9242</v>
      </c>
      <c r="AE193" s="13" t="s">
        <v>9243</v>
      </c>
      <c r="AF193" s="13" t="s">
        <v>5510</v>
      </c>
      <c r="AG193" s="13">
        <v>76.0</v>
      </c>
      <c r="AH193" s="13">
        <v>20.0</v>
      </c>
      <c r="AI193" s="13">
        <v>22.0</v>
      </c>
      <c r="AJ193" s="13">
        <v>0.0</v>
      </c>
      <c r="AK193" s="13">
        <v>69.0</v>
      </c>
      <c r="AL193" s="13" t="s">
        <v>5690</v>
      </c>
      <c r="AM193" s="13" t="s">
        <v>5691</v>
      </c>
      <c r="AN193" s="13" t="s">
        <v>5692</v>
      </c>
      <c r="AO193" s="13" t="s">
        <v>5693</v>
      </c>
      <c r="AP193" s="13" t="s">
        <v>5694</v>
      </c>
      <c r="AQ193" s="13" t="s">
        <v>5510</v>
      </c>
      <c r="AR193" s="13" t="s">
        <v>5695</v>
      </c>
      <c r="AS193" s="13" t="s">
        <v>5696</v>
      </c>
      <c r="AT193" s="13" t="s">
        <v>5866</v>
      </c>
      <c r="AU193" s="13">
        <v>2020.0</v>
      </c>
      <c r="AV193" s="13">
        <v>29.0</v>
      </c>
      <c r="AW193" s="13">
        <v>6.0</v>
      </c>
      <c r="AX193" s="13" t="s">
        <v>5510</v>
      </c>
      <c r="AY193" s="13" t="s">
        <v>5510</v>
      </c>
      <c r="AZ193" s="13" t="s">
        <v>5510</v>
      </c>
      <c r="BA193" s="13" t="s">
        <v>5510</v>
      </c>
      <c r="BB193" s="13">
        <v>1841.0</v>
      </c>
      <c r="BC193" s="13">
        <v>1854.0</v>
      </c>
      <c r="BD193" s="13" t="s">
        <v>5510</v>
      </c>
      <c r="BE193" s="13" t="s">
        <v>9244</v>
      </c>
      <c r="BF193" s="52" t="str">
        <f>HYPERLINK("http://dx.doi.org/10.1007/s10531-020-01947-1","http://dx.doi.org/10.1007/s10531-020-01947-1")</f>
        <v>http://dx.doi.org/10.1007/s10531-020-01947-1</v>
      </c>
      <c r="BG193" s="13" t="s">
        <v>5510</v>
      </c>
      <c r="BH193" s="13" t="s">
        <v>9245</v>
      </c>
      <c r="BI193" s="13">
        <v>14.0</v>
      </c>
      <c r="BJ193" s="13" t="s">
        <v>5698</v>
      </c>
      <c r="BK193" s="13" t="s">
        <v>5561</v>
      </c>
      <c r="BL193" s="13" t="s">
        <v>5699</v>
      </c>
      <c r="BM193" s="13" t="s">
        <v>9246</v>
      </c>
      <c r="BN193" s="13" t="s">
        <v>5510</v>
      </c>
      <c r="BO193" s="13" t="s">
        <v>5510</v>
      </c>
      <c r="BP193" s="13" t="s">
        <v>5510</v>
      </c>
      <c r="BQ193" s="13" t="s">
        <v>5510</v>
      </c>
      <c r="BR193" s="13" t="s">
        <v>5538</v>
      </c>
      <c r="BS193" s="13" t="s">
        <v>9247</v>
      </c>
      <c r="BT193" s="13">
        <v>23464.0</v>
      </c>
      <c r="BU193" s="13" t="s">
        <v>5540</v>
      </c>
      <c r="BV193" s="13" t="s">
        <v>4856</v>
      </c>
      <c r="BW193" s="13" t="str">
        <f>VLOOKUP($BT193,Enriched!$A$2:$E$1070,5,false)</f>
        <v>["Biological Resource Use", "Residential &amp; commercial development", "Agriculture &amp; aquaculture"]</v>
      </c>
      <c r="BX193" s="13" t="str">
        <f>VLOOKUP($BT193,Enriched!$A$2:$E$1070,4,false)</f>
        <v>["Logging &amp; wood harvesting"]</v>
      </c>
      <c r="BY193" s="13" t="b">
        <f>VLOOKUP(BT193,Enriched!$A$1:$AA$1070,27,falsE)</f>
        <v>1</v>
      </c>
      <c r="BZ193" s="2" t="str">
        <f>VLOOKUP(BT193,Enriched!$A$1:$AA$1070,14,falsE)</f>
        <v>level1</v>
      </c>
      <c r="CA193" s="13" t="str">
        <f>HYPERLINK("https%3A%2F%2Fwww.webofscience.com%2Fwos%2Fwoscc%2Ffull-record%2FWOS:000516060900001","View Full Record in Web of Science")</f>
        <v>View Full Record in Web of Science</v>
      </c>
    </row>
    <row r="194" ht="12.75" customHeight="1">
      <c r="A194" s="13" t="s">
        <v>5508</v>
      </c>
      <c r="B194" s="13" t="s">
        <v>9248</v>
      </c>
      <c r="C194" s="13" t="s">
        <v>5510</v>
      </c>
      <c r="D194" s="13" t="s">
        <v>5510</v>
      </c>
      <c r="E194" s="13" t="s">
        <v>5510</v>
      </c>
      <c r="F194" s="13" t="s">
        <v>9249</v>
      </c>
      <c r="G194" s="13" t="s">
        <v>5510</v>
      </c>
      <c r="H194" s="13" t="s">
        <v>5510</v>
      </c>
      <c r="I194" s="13" t="s">
        <v>9250</v>
      </c>
      <c r="J194" s="13" t="s">
        <v>7193</v>
      </c>
      <c r="K194" s="13" t="s">
        <v>5510</v>
      </c>
      <c r="L194" s="13" t="s">
        <v>5510</v>
      </c>
      <c r="M194" s="13" t="s">
        <v>5513</v>
      </c>
      <c r="N194" s="13" t="s">
        <v>5514</v>
      </c>
      <c r="O194" s="13" t="s">
        <v>5510</v>
      </c>
      <c r="P194" s="13" t="s">
        <v>5510</v>
      </c>
      <c r="Q194" s="13" t="s">
        <v>5510</v>
      </c>
      <c r="R194" s="13" t="s">
        <v>5510</v>
      </c>
      <c r="S194" s="13" t="s">
        <v>5510</v>
      </c>
      <c r="T194" s="13" t="s">
        <v>9251</v>
      </c>
      <c r="U194" s="13" t="s">
        <v>9252</v>
      </c>
      <c r="V194" s="13" t="s">
        <v>9253</v>
      </c>
      <c r="W194" s="13" t="s">
        <v>9254</v>
      </c>
      <c r="X194" s="13" t="s">
        <v>9255</v>
      </c>
      <c r="Y194" s="13" t="s">
        <v>9256</v>
      </c>
      <c r="Z194" s="13" t="s">
        <v>9257</v>
      </c>
      <c r="AA194" s="13" t="s">
        <v>9258</v>
      </c>
      <c r="AB194" s="13" t="s">
        <v>9259</v>
      </c>
      <c r="AC194" s="13" t="s">
        <v>9260</v>
      </c>
      <c r="AD194" s="13" t="s">
        <v>9261</v>
      </c>
      <c r="AE194" s="13" t="s">
        <v>9262</v>
      </c>
      <c r="AF194" s="13" t="s">
        <v>5510</v>
      </c>
      <c r="AG194" s="13">
        <v>81.0</v>
      </c>
      <c r="AH194" s="13">
        <v>108.0</v>
      </c>
      <c r="AI194" s="13">
        <v>120.0</v>
      </c>
      <c r="AJ194" s="13">
        <v>3.0</v>
      </c>
      <c r="AK194" s="13">
        <v>117.0</v>
      </c>
      <c r="AL194" s="13" t="s">
        <v>5690</v>
      </c>
      <c r="AM194" s="13" t="s">
        <v>5691</v>
      </c>
      <c r="AN194" s="13" t="s">
        <v>5692</v>
      </c>
      <c r="AO194" s="13" t="s">
        <v>7203</v>
      </c>
      <c r="AP194" s="13" t="s">
        <v>7204</v>
      </c>
      <c r="AQ194" s="13" t="s">
        <v>5510</v>
      </c>
      <c r="AR194" s="13" t="s">
        <v>7205</v>
      </c>
      <c r="AS194" s="13" t="s">
        <v>7206</v>
      </c>
      <c r="AT194" s="13" t="s">
        <v>5866</v>
      </c>
      <c r="AU194" s="13">
        <v>2010.0</v>
      </c>
      <c r="AV194" s="13">
        <v>12.0</v>
      </c>
      <c r="AW194" s="13">
        <v>5.0</v>
      </c>
      <c r="AX194" s="13" t="s">
        <v>5510</v>
      </c>
      <c r="AY194" s="13" t="s">
        <v>5510</v>
      </c>
      <c r="AZ194" s="13" t="s">
        <v>5510</v>
      </c>
      <c r="BA194" s="13" t="s">
        <v>5510</v>
      </c>
      <c r="BB194" s="13">
        <v>1269.0</v>
      </c>
      <c r="BC194" s="13">
        <v>1284.0</v>
      </c>
      <c r="BD194" s="13" t="s">
        <v>5510</v>
      </c>
      <c r="BE194" s="13" t="s">
        <v>9263</v>
      </c>
      <c r="BF194" s="52" t="str">
        <f>HYPERLINK("http://dx.doi.org/10.1007/s10530-009-9545-x","http://dx.doi.org/10.1007/s10530-009-9545-x")</f>
        <v>http://dx.doi.org/10.1007/s10530-009-9545-x</v>
      </c>
      <c r="BG194" s="13" t="s">
        <v>5510</v>
      </c>
      <c r="BH194" s="13" t="s">
        <v>5510</v>
      </c>
      <c r="BI194" s="13">
        <v>16.0</v>
      </c>
      <c r="BJ194" s="13" t="s">
        <v>5958</v>
      </c>
      <c r="BK194" s="13" t="s">
        <v>5561</v>
      </c>
      <c r="BL194" s="13" t="s">
        <v>5699</v>
      </c>
      <c r="BM194" s="13" t="s">
        <v>9264</v>
      </c>
      <c r="BN194" s="13" t="s">
        <v>5510</v>
      </c>
      <c r="BO194" s="13" t="s">
        <v>5510</v>
      </c>
      <c r="BP194" s="13" t="s">
        <v>5510</v>
      </c>
      <c r="BQ194" s="13" t="s">
        <v>5510</v>
      </c>
      <c r="BR194" s="13" t="s">
        <v>5538</v>
      </c>
      <c r="BS194" s="13" t="s">
        <v>9265</v>
      </c>
      <c r="BT194" s="13">
        <v>25191.0</v>
      </c>
      <c r="BU194" s="13" t="s">
        <v>5540</v>
      </c>
      <c r="BV194" s="13" t="s">
        <v>4852</v>
      </c>
      <c r="BW194" s="13" t="str">
        <f>VLOOKUP($BT194,Enriched!$A$2:$E$1070,5,false)</f>
        <v>["Invasive &amp; other problematic species, genes &amp; diseases"]</v>
      </c>
      <c r="BX194" s="13" t="str">
        <f>VLOOKUP($BT194,Enriched!$A$2:$E$1070,4,false)</f>
        <v>["Invasive non-native/alien species/diseases"]</v>
      </c>
      <c r="BY194" s="13" t="b">
        <f>VLOOKUP(BT194,Enriched!$A$1:$AA$1070,27,falsE)</f>
        <v>0</v>
      </c>
      <c r="BZ194" s="2" t="str">
        <f>VLOOKUP(BT194,Enriched!$A$1:$AA$1070,14,falsE)</f>
        <v>level2</v>
      </c>
      <c r="CA194" s="13" t="str">
        <f>HYPERLINK("https%3A%2F%2Fwww.webofscience.com%2Fwos%2Fwoscc%2Ffull-record%2FWOS:000276509400028","View Full Record in Web of Science")</f>
        <v>View Full Record in Web of Science</v>
      </c>
    </row>
    <row r="195" ht="12.75" customHeight="1">
      <c r="A195" s="13" t="s">
        <v>5508</v>
      </c>
      <c r="B195" s="13" t="s">
        <v>9266</v>
      </c>
      <c r="C195" s="13" t="s">
        <v>5510</v>
      </c>
      <c r="D195" s="13" t="s">
        <v>5510</v>
      </c>
      <c r="E195" s="13" t="s">
        <v>5510</v>
      </c>
      <c r="F195" s="13" t="s">
        <v>9267</v>
      </c>
      <c r="G195" s="13" t="s">
        <v>5510</v>
      </c>
      <c r="H195" s="13" t="s">
        <v>5510</v>
      </c>
      <c r="I195" s="13" t="s">
        <v>2484</v>
      </c>
      <c r="J195" s="13" t="s">
        <v>5543</v>
      </c>
      <c r="K195" s="13" t="s">
        <v>5510</v>
      </c>
      <c r="L195" s="13" t="s">
        <v>5510</v>
      </c>
      <c r="M195" s="13" t="s">
        <v>5513</v>
      </c>
      <c r="N195" s="13" t="s">
        <v>5514</v>
      </c>
      <c r="O195" s="13" t="s">
        <v>5510</v>
      </c>
      <c r="P195" s="13" t="s">
        <v>5510</v>
      </c>
      <c r="Q195" s="13" t="s">
        <v>5510</v>
      </c>
      <c r="R195" s="13" t="s">
        <v>5510</v>
      </c>
      <c r="S195" s="13" t="s">
        <v>5510</v>
      </c>
      <c r="T195" s="13" t="s">
        <v>5510</v>
      </c>
      <c r="U195" s="13" t="s">
        <v>9268</v>
      </c>
      <c r="V195" s="13" t="s">
        <v>9269</v>
      </c>
      <c r="W195" s="13" t="s">
        <v>9270</v>
      </c>
      <c r="X195" s="13" t="s">
        <v>9271</v>
      </c>
      <c r="Y195" s="13" t="s">
        <v>9272</v>
      </c>
      <c r="Z195" s="13" t="s">
        <v>9273</v>
      </c>
      <c r="AA195" s="13" t="s">
        <v>5510</v>
      </c>
      <c r="AB195" s="13" t="s">
        <v>9274</v>
      </c>
      <c r="AC195" s="13" t="s">
        <v>9275</v>
      </c>
      <c r="AD195" s="13" t="s">
        <v>9276</v>
      </c>
      <c r="AE195" s="13" t="s">
        <v>9277</v>
      </c>
      <c r="AF195" s="13" t="s">
        <v>5510</v>
      </c>
      <c r="AG195" s="13">
        <v>84.0</v>
      </c>
      <c r="AH195" s="13">
        <v>53.0</v>
      </c>
      <c r="AI195" s="13">
        <v>60.0</v>
      </c>
      <c r="AJ195" s="13">
        <v>1.0</v>
      </c>
      <c r="AK195" s="13">
        <v>89.0</v>
      </c>
      <c r="AL195" s="13" t="s">
        <v>5552</v>
      </c>
      <c r="AM195" s="13" t="s">
        <v>5553</v>
      </c>
      <c r="AN195" s="13" t="s">
        <v>5554</v>
      </c>
      <c r="AO195" s="13" t="s">
        <v>5555</v>
      </c>
      <c r="AP195" s="13" t="s">
        <v>5510</v>
      </c>
      <c r="AQ195" s="13" t="s">
        <v>5510</v>
      </c>
      <c r="AR195" s="13" t="s">
        <v>5543</v>
      </c>
      <c r="AS195" s="13" t="s">
        <v>5556</v>
      </c>
      <c r="AT195" s="13" t="s">
        <v>9278</v>
      </c>
      <c r="AU195" s="13">
        <v>2015.0</v>
      </c>
      <c r="AV195" s="13">
        <v>10.0</v>
      </c>
      <c r="AW195" s="13">
        <v>7.0</v>
      </c>
      <c r="AX195" s="13" t="s">
        <v>5510</v>
      </c>
      <c r="AY195" s="13" t="s">
        <v>5510</v>
      </c>
      <c r="AZ195" s="13" t="s">
        <v>5510</v>
      </c>
      <c r="BA195" s="13" t="s">
        <v>5510</v>
      </c>
      <c r="BB195" s="13" t="s">
        <v>5510</v>
      </c>
      <c r="BC195" s="13" t="s">
        <v>5510</v>
      </c>
      <c r="BD195" s="13" t="s">
        <v>9279</v>
      </c>
      <c r="BE195" s="13" t="s">
        <v>9280</v>
      </c>
      <c r="BF195" s="52" t="str">
        <f>HYPERLINK("http://dx.doi.org/10.1371/journal.pone.0132599","http://dx.doi.org/10.1371/journal.pone.0132599")</f>
        <v>http://dx.doi.org/10.1371/journal.pone.0132599</v>
      </c>
      <c r="BG195" s="13" t="s">
        <v>5510</v>
      </c>
      <c r="BH195" s="13" t="s">
        <v>5510</v>
      </c>
      <c r="BI195" s="13">
        <v>20.0</v>
      </c>
      <c r="BJ195" s="13" t="s">
        <v>5560</v>
      </c>
      <c r="BK195" s="13" t="s">
        <v>5561</v>
      </c>
      <c r="BL195" s="13" t="s">
        <v>5562</v>
      </c>
      <c r="BM195" s="13" t="s">
        <v>9281</v>
      </c>
      <c r="BN195" s="13">
        <v>2.6208098E7</v>
      </c>
      <c r="BO195" s="13" t="s">
        <v>5564</v>
      </c>
      <c r="BP195" s="13" t="s">
        <v>5510</v>
      </c>
      <c r="BQ195" s="13" t="s">
        <v>5510</v>
      </c>
      <c r="BR195" s="13" t="s">
        <v>5538</v>
      </c>
      <c r="BS195" s="13" t="s">
        <v>9282</v>
      </c>
      <c r="BT195" s="13">
        <v>24169.0</v>
      </c>
      <c r="BU195" s="13" t="s">
        <v>5540</v>
      </c>
      <c r="BV195" s="13" t="s">
        <v>4856</v>
      </c>
      <c r="BW195" s="13" t="str">
        <f>VLOOKUP($BT195,Enriched!$A$2:$E$1070,5,false)</f>
        <v>["Energy Production &amp; Mining"]</v>
      </c>
      <c r="BX195" s="13" t="str">
        <f>VLOOKUP($BT195,Enriched!$A$2:$E$1070,4,false)</f>
        <v>["Renewable energy"]</v>
      </c>
      <c r="BY195" s="13" t="b">
        <f>VLOOKUP(BT195,Enriched!$A$1:$AA$1070,27,falsE)</f>
        <v>0</v>
      </c>
      <c r="BZ195" s="2" t="str">
        <f>VLOOKUP(BT195,Enriched!$A$1:$AA$1070,14,falsE)</f>
        <v>level2</v>
      </c>
      <c r="CA195" s="13" t="str">
        <f>HYPERLINK("https%3A%2F%2Fwww.webofscience.com%2Fwos%2Fwoscc%2Ffull-record%2FWOS:000358622000034","View Full Record in Web of Science")</f>
        <v>View Full Record in Web of Science</v>
      </c>
    </row>
    <row r="196" ht="12.75" customHeight="1">
      <c r="A196" s="13" t="s">
        <v>5508</v>
      </c>
      <c r="B196" s="13" t="s">
        <v>9283</v>
      </c>
      <c r="C196" s="13" t="s">
        <v>5510</v>
      </c>
      <c r="D196" s="13" t="s">
        <v>5510</v>
      </c>
      <c r="E196" s="13" t="s">
        <v>5510</v>
      </c>
      <c r="F196" s="13" t="s">
        <v>9284</v>
      </c>
      <c r="G196" s="13" t="s">
        <v>5510</v>
      </c>
      <c r="H196" s="13" t="s">
        <v>5510</v>
      </c>
      <c r="I196" s="13" t="s">
        <v>2481</v>
      </c>
      <c r="J196" s="13" t="s">
        <v>6114</v>
      </c>
      <c r="K196" s="13" t="s">
        <v>5510</v>
      </c>
      <c r="L196" s="13" t="s">
        <v>5510</v>
      </c>
      <c r="M196" s="13" t="s">
        <v>5513</v>
      </c>
      <c r="N196" s="13" t="s">
        <v>5514</v>
      </c>
      <c r="O196" s="13" t="s">
        <v>5510</v>
      </c>
      <c r="P196" s="13" t="s">
        <v>5510</v>
      </c>
      <c r="Q196" s="13" t="s">
        <v>5510</v>
      </c>
      <c r="R196" s="13" t="s">
        <v>5510</v>
      </c>
      <c r="S196" s="13" t="s">
        <v>5510</v>
      </c>
      <c r="T196" s="13" t="s">
        <v>9285</v>
      </c>
      <c r="U196" s="13" t="s">
        <v>9286</v>
      </c>
      <c r="V196" s="13" t="s">
        <v>9287</v>
      </c>
      <c r="W196" s="13" t="s">
        <v>9288</v>
      </c>
      <c r="X196" s="13" t="s">
        <v>9289</v>
      </c>
      <c r="Y196" s="13" t="s">
        <v>9290</v>
      </c>
      <c r="Z196" s="13" t="s">
        <v>9291</v>
      </c>
      <c r="AA196" s="13" t="s">
        <v>9292</v>
      </c>
      <c r="AB196" s="13" t="s">
        <v>9293</v>
      </c>
      <c r="AC196" s="13" t="s">
        <v>9294</v>
      </c>
      <c r="AD196" s="13" t="s">
        <v>9294</v>
      </c>
      <c r="AE196" s="13" t="s">
        <v>9295</v>
      </c>
      <c r="AF196" s="13" t="s">
        <v>5510</v>
      </c>
      <c r="AG196" s="13">
        <v>76.0</v>
      </c>
      <c r="AH196" s="13">
        <v>20.0</v>
      </c>
      <c r="AI196" s="13">
        <v>21.0</v>
      </c>
      <c r="AJ196" s="13">
        <v>1.0</v>
      </c>
      <c r="AK196" s="13">
        <v>25.0</v>
      </c>
      <c r="AL196" s="13" t="s">
        <v>5931</v>
      </c>
      <c r="AM196" s="13" t="s">
        <v>7486</v>
      </c>
      <c r="AN196" s="13" t="s">
        <v>7487</v>
      </c>
      <c r="AO196" s="13" t="s">
        <v>6127</v>
      </c>
      <c r="AP196" s="13" t="s">
        <v>6128</v>
      </c>
      <c r="AQ196" s="13" t="s">
        <v>5510</v>
      </c>
      <c r="AR196" s="13" t="s">
        <v>6129</v>
      </c>
      <c r="AS196" s="13" t="s">
        <v>6130</v>
      </c>
      <c r="AT196" s="13" t="s">
        <v>9296</v>
      </c>
      <c r="AU196" s="13">
        <v>2018.0</v>
      </c>
      <c r="AV196" s="13">
        <v>163.0</v>
      </c>
      <c r="AW196" s="13" t="s">
        <v>5510</v>
      </c>
      <c r="AX196" s="13" t="s">
        <v>5510</v>
      </c>
      <c r="AY196" s="13" t="s">
        <v>5510</v>
      </c>
      <c r="AZ196" s="13" t="s">
        <v>5510</v>
      </c>
      <c r="BA196" s="13" t="s">
        <v>5510</v>
      </c>
      <c r="BB196" s="13">
        <v>339.0</v>
      </c>
      <c r="BC196" s="13">
        <v>351.0</v>
      </c>
      <c r="BD196" s="13" t="s">
        <v>5510</v>
      </c>
      <c r="BE196" s="13" t="s">
        <v>9297</v>
      </c>
      <c r="BF196" s="52" t="str">
        <f>HYPERLINK("http://dx.doi.org/10.1016/j.ocecoaman.2018.07.004","http://dx.doi.org/10.1016/j.ocecoaman.2018.07.004")</f>
        <v>http://dx.doi.org/10.1016/j.ocecoaman.2018.07.004</v>
      </c>
      <c r="BG196" s="13" t="s">
        <v>5510</v>
      </c>
      <c r="BH196" s="13" t="s">
        <v>5510</v>
      </c>
      <c r="BI196" s="13">
        <v>13.0</v>
      </c>
      <c r="BJ196" s="13" t="s">
        <v>6133</v>
      </c>
      <c r="BK196" s="13" t="s">
        <v>5561</v>
      </c>
      <c r="BL196" s="13" t="s">
        <v>6133</v>
      </c>
      <c r="BM196" s="13" t="s">
        <v>9298</v>
      </c>
      <c r="BN196" s="13" t="s">
        <v>5510</v>
      </c>
      <c r="BO196" s="13" t="s">
        <v>5510</v>
      </c>
      <c r="BP196" s="13" t="s">
        <v>5510</v>
      </c>
      <c r="BQ196" s="13" t="s">
        <v>5510</v>
      </c>
      <c r="BR196" s="13" t="s">
        <v>5538</v>
      </c>
      <c r="BS196" s="13" t="s">
        <v>9299</v>
      </c>
      <c r="BT196" s="13">
        <v>26053.0</v>
      </c>
      <c r="BU196" s="13" t="s">
        <v>5540</v>
      </c>
      <c r="BV196" s="13" t="s">
        <v>4864</v>
      </c>
      <c r="BW196" s="13" t="str">
        <f>VLOOKUP($BT196,Enriched!$A$2:$E$1070,5,false)</f>
        <v>["Transportation &amp; Service Corridors"]</v>
      </c>
      <c r="BX196" s="13" t="str">
        <f>VLOOKUP($BT196,Enriched!$A$2:$E$1070,4,false)</f>
        <v>["Shipping lanes"]</v>
      </c>
      <c r="BY196" s="13" t="b">
        <f>VLOOKUP(BT196,Enriched!$A$1:$AA$1070,27,falsE)</f>
        <v>0</v>
      </c>
      <c r="BZ196" s="2" t="str">
        <f>VLOOKUP(BT196,Enriched!$A$1:$AA$1070,14,falsE)</f>
        <v>level2</v>
      </c>
      <c r="CA196" s="13" t="str">
        <f>HYPERLINK("https%3A%2F%2Fwww.webofscience.com%2Fwos%2Fwoscc%2Ffull-record%2FWOS:000444793600032","View Full Record in Web of Science")</f>
        <v>View Full Record in Web of Science</v>
      </c>
    </row>
    <row r="197" ht="12.75" customHeight="1">
      <c r="A197" s="13" t="s">
        <v>5508</v>
      </c>
      <c r="B197" s="13" t="s">
        <v>9300</v>
      </c>
      <c r="C197" s="13" t="s">
        <v>5510</v>
      </c>
      <c r="D197" s="13" t="s">
        <v>5510</v>
      </c>
      <c r="E197" s="13" t="s">
        <v>5510</v>
      </c>
      <c r="F197" s="13" t="s">
        <v>9301</v>
      </c>
      <c r="G197" s="13" t="s">
        <v>5510</v>
      </c>
      <c r="H197" s="13" t="s">
        <v>5510</v>
      </c>
      <c r="I197" s="13" t="s">
        <v>2477</v>
      </c>
      <c r="J197" s="13" t="s">
        <v>9302</v>
      </c>
      <c r="K197" s="13" t="s">
        <v>5510</v>
      </c>
      <c r="L197" s="13" t="s">
        <v>5510</v>
      </c>
      <c r="M197" s="13" t="s">
        <v>5513</v>
      </c>
      <c r="N197" s="13" t="s">
        <v>5514</v>
      </c>
      <c r="O197" s="13" t="s">
        <v>5510</v>
      </c>
      <c r="P197" s="13" t="s">
        <v>5510</v>
      </c>
      <c r="Q197" s="13" t="s">
        <v>5510</v>
      </c>
      <c r="R197" s="13" t="s">
        <v>5510</v>
      </c>
      <c r="S197" s="13" t="s">
        <v>5510</v>
      </c>
      <c r="T197" s="13" t="s">
        <v>9303</v>
      </c>
      <c r="U197" s="13" t="s">
        <v>9304</v>
      </c>
      <c r="V197" s="13" t="s">
        <v>9305</v>
      </c>
      <c r="W197" s="13" t="s">
        <v>9306</v>
      </c>
      <c r="X197" s="13" t="s">
        <v>9307</v>
      </c>
      <c r="Y197" s="13" t="s">
        <v>9308</v>
      </c>
      <c r="Z197" s="13" t="s">
        <v>9309</v>
      </c>
      <c r="AA197" s="13" t="s">
        <v>9310</v>
      </c>
      <c r="AB197" s="13" t="s">
        <v>9311</v>
      </c>
      <c r="AC197" s="13" t="s">
        <v>5510</v>
      </c>
      <c r="AD197" s="13" t="s">
        <v>5510</v>
      </c>
      <c r="AE197" s="13" t="s">
        <v>5510</v>
      </c>
      <c r="AF197" s="13" t="s">
        <v>5510</v>
      </c>
      <c r="AG197" s="13">
        <v>97.0</v>
      </c>
      <c r="AH197" s="13">
        <v>40.0</v>
      </c>
      <c r="AI197" s="13">
        <v>42.0</v>
      </c>
      <c r="AJ197" s="13">
        <v>0.0</v>
      </c>
      <c r="AK197" s="13">
        <v>41.0</v>
      </c>
      <c r="AL197" s="13" t="s">
        <v>9312</v>
      </c>
      <c r="AM197" s="13" t="s">
        <v>9313</v>
      </c>
      <c r="AN197" s="13" t="s">
        <v>9314</v>
      </c>
      <c r="AO197" s="13" t="s">
        <v>9315</v>
      </c>
      <c r="AP197" s="13" t="s">
        <v>9316</v>
      </c>
      <c r="AQ197" s="13" t="s">
        <v>5510</v>
      </c>
      <c r="AR197" s="13" t="s">
        <v>9317</v>
      </c>
      <c r="AS197" s="13" t="s">
        <v>9318</v>
      </c>
      <c r="AT197" s="13" t="s">
        <v>5720</v>
      </c>
      <c r="AU197" s="13">
        <v>2018.0</v>
      </c>
      <c r="AV197" s="13">
        <v>29.0</v>
      </c>
      <c r="AW197" s="13">
        <v>2.0</v>
      </c>
      <c r="AX197" s="13" t="s">
        <v>5510</v>
      </c>
      <c r="AY197" s="13" t="s">
        <v>5510</v>
      </c>
      <c r="AZ197" s="13" t="s">
        <v>5510</v>
      </c>
      <c r="BA197" s="13" t="s">
        <v>5510</v>
      </c>
      <c r="BB197" s="13">
        <v>453.0</v>
      </c>
      <c r="BC197" s="13">
        <v>467.0</v>
      </c>
      <c r="BD197" s="13" t="s">
        <v>5510</v>
      </c>
      <c r="BE197" s="13" t="s">
        <v>9319</v>
      </c>
      <c r="BF197" s="52" t="str">
        <f>HYPERLINK("http://dx.doi.org/10.1007/s12210-018-0680-0","http://dx.doi.org/10.1007/s12210-018-0680-0")</f>
        <v>http://dx.doi.org/10.1007/s12210-018-0680-0</v>
      </c>
      <c r="BG197" s="13" t="s">
        <v>5510</v>
      </c>
      <c r="BH197" s="13" t="s">
        <v>5510</v>
      </c>
      <c r="BI197" s="13">
        <v>15.0</v>
      </c>
      <c r="BJ197" s="13" t="s">
        <v>5560</v>
      </c>
      <c r="BK197" s="13" t="s">
        <v>5561</v>
      </c>
      <c r="BL197" s="13" t="s">
        <v>5562</v>
      </c>
      <c r="BM197" s="13" t="s">
        <v>9320</v>
      </c>
      <c r="BN197" s="13" t="s">
        <v>5510</v>
      </c>
      <c r="BO197" s="13" t="s">
        <v>5510</v>
      </c>
      <c r="BP197" s="13" t="s">
        <v>5510</v>
      </c>
      <c r="BQ197" s="13" t="s">
        <v>5510</v>
      </c>
      <c r="BR197" s="13" t="s">
        <v>5538</v>
      </c>
      <c r="BS197" s="13" t="s">
        <v>9321</v>
      </c>
      <c r="BT197" s="13">
        <v>23438.0</v>
      </c>
      <c r="BU197" s="13" t="s">
        <v>5540</v>
      </c>
      <c r="BV197" s="13" t="s">
        <v>4864</v>
      </c>
      <c r="BW197" s="13" t="str">
        <f>VLOOKUP($BT197,Enriched!$A$2:$E$1070,5,false)</f>
        <v>["Pollution"]</v>
      </c>
      <c r="BX197" s="13" t="str">
        <f>VLOOKUP($BT197,Enriched!$A$2:$E$1070,4,false)</f>
        <v>["Garbage &amp; solid waste"]</v>
      </c>
      <c r="BY197" s="13" t="b">
        <f>VLOOKUP(BT197,Enriched!$A$1:$AA$1070,27,falsE)</f>
        <v>0</v>
      </c>
      <c r="BZ197" s="2" t="str">
        <f>VLOOKUP(BT197,Enriched!$A$1:$AA$1070,14,falsE)</f>
        <v>level2</v>
      </c>
      <c r="CA197" s="13" t="str">
        <f>HYPERLINK("https%3A%2F%2Fwww.webofscience.com%2Fwos%2Fwoscc%2Ffull-record%2FWOS:000434728500021","View Full Record in Web of Science")</f>
        <v>View Full Record in Web of Science</v>
      </c>
    </row>
    <row r="198" ht="12.75" customHeight="1">
      <c r="A198" s="13" t="s">
        <v>5508</v>
      </c>
      <c r="B198" s="13" t="s">
        <v>9322</v>
      </c>
      <c r="C198" s="13" t="s">
        <v>5510</v>
      </c>
      <c r="D198" s="13" t="s">
        <v>5510</v>
      </c>
      <c r="E198" s="13" t="s">
        <v>5510</v>
      </c>
      <c r="F198" s="13" t="s">
        <v>9323</v>
      </c>
      <c r="G198" s="13" t="s">
        <v>5510</v>
      </c>
      <c r="H198" s="13" t="s">
        <v>5510</v>
      </c>
      <c r="I198" s="2" t="s">
        <v>2474</v>
      </c>
      <c r="J198" s="13" t="s">
        <v>5943</v>
      </c>
      <c r="K198" s="13" t="s">
        <v>5510</v>
      </c>
      <c r="L198" s="13" t="s">
        <v>5510</v>
      </c>
      <c r="M198" s="13" t="s">
        <v>5513</v>
      </c>
      <c r="N198" s="13" t="s">
        <v>6168</v>
      </c>
      <c r="O198" s="13" t="s">
        <v>5510</v>
      </c>
      <c r="P198" s="13" t="s">
        <v>5510</v>
      </c>
      <c r="Q198" s="13" t="s">
        <v>5510</v>
      </c>
      <c r="R198" s="13" t="s">
        <v>5510</v>
      </c>
      <c r="S198" s="13" t="s">
        <v>5510</v>
      </c>
      <c r="T198" s="13" t="s">
        <v>5510</v>
      </c>
      <c r="U198" s="13" t="s">
        <v>5510</v>
      </c>
      <c r="V198" s="13" t="s">
        <v>5510</v>
      </c>
      <c r="W198" s="13" t="s">
        <v>5510</v>
      </c>
      <c r="X198" s="13" t="s">
        <v>5510</v>
      </c>
      <c r="Y198" s="13" t="s">
        <v>5510</v>
      </c>
      <c r="Z198" s="13" t="s">
        <v>5510</v>
      </c>
      <c r="AA198" s="13" t="s">
        <v>9324</v>
      </c>
      <c r="AB198" s="13" t="s">
        <v>5510</v>
      </c>
      <c r="AC198" s="13" t="s">
        <v>5510</v>
      </c>
      <c r="AD198" s="13" t="s">
        <v>5510</v>
      </c>
      <c r="AE198" s="13" t="s">
        <v>5510</v>
      </c>
      <c r="AF198" s="13" t="s">
        <v>5510</v>
      </c>
      <c r="AG198" s="13">
        <v>1.0</v>
      </c>
      <c r="AH198" s="13">
        <v>2.0</v>
      </c>
      <c r="AI198" s="13">
        <v>2.0</v>
      </c>
      <c r="AJ198" s="13">
        <v>0.0</v>
      </c>
      <c r="AK198" s="13">
        <v>3.0</v>
      </c>
      <c r="AL198" s="13" t="s">
        <v>5527</v>
      </c>
      <c r="AM198" s="13" t="s">
        <v>5528</v>
      </c>
      <c r="AN198" s="13" t="s">
        <v>5529</v>
      </c>
      <c r="AO198" s="13" t="s">
        <v>5953</v>
      </c>
      <c r="AP198" s="13" t="s">
        <v>5954</v>
      </c>
      <c r="AQ198" s="13" t="s">
        <v>5510</v>
      </c>
      <c r="AR198" s="13" t="s">
        <v>5955</v>
      </c>
      <c r="AS198" s="13" t="s">
        <v>5956</v>
      </c>
      <c r="AT198" s="13" t="s">
        <v>6089</v>
      </c>
      <c r="AU198" s="13">
        <v>2019.0</v>
      </c>
      <c r="AV198" s="13">
        <v>56.0</v>
      </c>
      <c r="AW198" s="13">
        <v>3.0</v>
      </c>
      <c r="AX198" s="13" t="s">
        <v>5510</v>
      </c>
      <c r="AY198" s="13" t="s">
        <v>5510</v>
      </c>
      <c r="AZ198" s="13" t="s">
        <v>5510</v>
      </c>
      <c r="BA198" s="13" t="s">
        <v>5510</v>
      </c>
      <c r="BB198" s="13">
        <v>792.0</v>
      </c>
      <c r="BC198" s="13">
        <v>792.0</v>
      </c>
      <c r="BD198" s="13" t="s">
        <v>5510</v>
      </c>
      <c r="BE198" s="13" t="s">
        <v>9325</v>
      </c>
      <c r="BF198" s="52" t="str">
        <f>HYPERLINK("http://dx.doi.org/10.1111/1365-2664.13302","http://dx.doi.org/10.1111/1365-2664.13302")</f>
        <v>http://dx.doi.org/10.1111/1365-2664.13302</v>
      </c>
      <c r="BG198" s="13" t="s">
        <v>5510</v>
      </c>
      <c r="BH198" s="13" t="s">
        <v>5510</v>
      </c>
      <c r="BI198" s="13">
        <v>1.0</v>
      </c>
      <c r="BJ198" s="13" t="s">
        <v>5958</v>
      </c>
      <c r="BK198" s="13" t="s">
        <v>5561</v>
      </c>
      <c r="BL198" s="13" t="s">
        <v>5699</v>
      </c>
      <c r="BM198" s="13" t="s">
        <v>9326</v>
      </c>
      <c r="BN198" s="13" t="s">
        <v>5510</v>
      </c>
      <c r="BO198" s="13" t="s">
        <v>5809</v>
      </c>
      <c r="BP198" s="13" t="s">
        <v>5510</v>
      </c>
      <c r="BQ198" s="13" t="s">
        <v>5510</v>
      </c>
      <c r="BR198" s="13" t="s">
        <v>5538</v>
      </c>
      <c r="BS198" s="13" t="s">
        <v>9327</v>
      </c>
      <c r="BT198" s="13">
        <v>24326.0</v>
      </c>
      <c r="BU198" s="13" t="s">
        <v>5540</v>
      </c>
      <c r="BV198" s="13" t="s">
        <v>4864</v>
      </c>
      <c r="BW198" s="13" t="str">
        <f>VLOOKUP($BT198,Enriched!$A$2:$E$1070,5,false)</f>
        <v>["Transportation &amp; Service Corridors"]</v>
      </c>
      <c r="BX198" s="13" t="str">
        <f>VLOOKUP($BT198,Enriched!$A$2:$E$1070,4,false)</f>
        <v>["Shipping lanes"]</v>
      </c>
      <c r="BY198" s="13" t="b">
        <f>VLOOKUP(BT198,Enriched!$A$1:$AA$1070,27,falsE)</f>
        <v>0</v>
      </c>
      <c r="BZ198" s="2" t="str">
        <f>VLOOKUP(BT198,Enriched!$A$1:$AA$1070,14,falsE)</f>
        <v>level2</v>
      </c>
      <c r="CA198" s="13" t="str">
        <f>HYPERLINK("https%3A%2F%2Fwww.webofscience.com%2Fwos%2Fwoscc%2Ffull-record%2FWOS:000459941400028","View Full Record in Web of Science")</f>
        <v>View Full Record in Web of Science</v>
      </c>
    </row>
    <row r="199" ht="12.75" customHeight="1">
      <c r="A199" s="13" t="s">
        <v>5508</v>
      </c>
      <c r="B199" s="13" t="s">
        <v>9322</v>
      </c>
      <c r="C199" s="13" t="s">
        <v>5510</v>
      </c>
      <c r="D199" s="13" t="s">
        <v>5510</v>
      </c>
      <c r="E199" s="13" t="s">
        <v>5510</v>
      </c>
      <c r="F199" s="13" t="s">
        <v>9328</v>
      </c>
      <c r="G199" s="13" t="s">
        <v>5510</v>
      </c>
      <c r="H199" s="13" t="s">
        <v>5510</v>
      </c>
      <c r="I199" s="13" t="s">
        <v>2474</v>
      </c>
      <c r="J199" s="13" t="s">
        <v>5943</v>
      </c>
      <c r="K199" s="13" t="s">
        <v>5510</v>
      </c>
      <c r="L199" s="13" t="s">
        <v>5510</v>
      </c>
      <c r="M199" s="13" t="s">
        <v>5513</v>
      </c>
      <c r="N199" s="13" t="s">
        <v>5514</v>
      </c>
      <c r="O199" s="13" t="s">
        <v>5510</v>
      </c>
      <c r="P199" s="13" t="s">
        <v>5510</v>
      </c>
      <c r="Q199" s="13" t="s">
        <v>5510</v>
      </c>
      <c r="R199" s="13" t="s">
        <v>5510</v>
      </c>
      <c r="S199" s="13" t="s">
        <v>5510</v>
      </c>
      <c r="T199" s="13" t="s">
        <v>9329</v>
      </c>
      <c r="U199" s="13" t="s">
        <v>9330</v>
      </c>
      <c r="V199" s="13" t="s">
        <v>9331</v>
      </c>
      <c r="W199" s="13" t="s">
        <v>9332</v>
      </c>
      <c r="X199" s="13" t="s">
        <v>9333</v>
      </c>
      <c r="Y199" s="13" t="s">
        <v>9334</v>
      </c>
      <c r="Z199" s="13" t="s">
        <v>9335</v>
      </c>
      <c r="AA199" s="13" t="s">
        <v>9336</v>
      </c>
      <c r="AB199" s="13" t="s">
        <v>9337</v>
      </c>
      <c r="AC199" s="13" t="s">
        <v>9338</v>
      </c>
      <c r="AD199" s="13" t="s">
        <v>9339</v>
      </c>
      <c r="AE199" s="13" t="s">
        <v>9340</v>
      </c>
      <c r="AF199" s="13" t="s">
        <v>5510</v>
      </c>
      <c r="AG199" s="13">
        <v>40.0</v>
      </c>
      <c r="AH199" s="13">
        <v>27.0</v>
      </c>
      <c r="AI199" s="13">
        <v>31.0</v>
      </c>
      <c r="AJ199" s="13">
        <v>2.0</v>
      </c>
      <c r="AK199" s="13">
        <v>73.0</v>
      </c>
      <c r="AL199" s="13" t="s">
        <v>5527</v>
      </c>
      <c r="AM199" s="13" t="s">
        <v>5528</v>
      </c>
      <c r="AN199" s="13" t="s">
        <v>5529</v>
      </c>
      <c r="AO199" s="13" t="s">
        <v>5953</v>
      </c>
      <c r="AP199" s="13" t="s">
        <v>5954</v>
      </c>
      <c r="AQ199" s="13" t="s">
        <v>5510</v>
      </c>
      <c r="AR199" s="13" t="s">
        <v>5955</v>
      </c>
      <c r="AS199" s="13" t="s">
        <v>5956</v>
      </c>
      <c r="AT199" s="13" t="s">
        <v>5978</v>
      </c>
      <c r="AU199" s="13">
        <v>2017.0</v>
      </c>
      <c r="AV199" s="13">
        <v>54.0</v>
      </c>
      <c r="AW199" s="13">
        <v>6.0</v>
      </c>
      <c r="AX199" s="13" t="s">
        <v>5510</v>
      </c>
      <c r="AY199" s="13" t="s">
        <v>5510</v>
      </c>
      <c r="AZ199" s="13" t="s">
        <v>5510</v>
      </c>
      <c r="BA199" s="13" t="s">
        <v>5510</v>
      </c>
      <c r="BB199" s="13">
        <v>1930.0</v>
      </c>
      <c r="BC199" s="13">
        <v>1940.0</v>
      </c>
      <c r="BD199" s="13" t="s">
        <v>5510</v>
      </c>
      <c r="BE199" s="13" t="s">
        <v>9341</v>
      </c>
      <c r="BF199" s="52" t="str">
        <f>HYPERLINK("http://dx.doi.org/10.1111/1365-2664.12911","http://dx.doi.org/10.1111/1365-2664.12911")</f>
        <v>http://dx.doi.org/10.1111/1365-2664.12911</v>
      </c>
      <c r="BG199" s="13" t="s">
        <v>5510</v>
      </c>
      <c r="BH199" s="13" t="s">
        <v>5510</v>
      </c>
      <c r="BI199" s="13">
        <v>11.0</v>
      </c>
      <c r="BJ199" s="13" t="s">
        <v>5958</v>
      </c>
      <c r="BK199" s="13" t="s">
        <v>5561</v>
      </c>
      <c r="BL199" s="13" t="s">
        <v>5699</v>
      </c>
      <c r="BM199" s="13" t="s">
        <v>9342</v>
      </c>
      <c r="BN199" s="13" t="s">
        <v>5510</v>
      </c>
      <c r="BO199" s="13" t="s">
        <v>6028</v>
      </c>
      <c r="BP199" s="13" t="s">
        <v>5510</v>
      </c>
      <c r="BQ199" s="13" t="s">
        <v>5510</v>
      </c>
      <c r="BR199" s="13" t="s">
        <v>5538</v>
      </c>
      <c r="BS199" s="13" t="s">
        <v>9343</v>
      </c>
      <c r="BT199" s="13">
        <v>24326.0</v>
      </c>
      <c r="BU199" s="13" t="s">
        <v>5540</v>
      </c>
      <c r="BV199" s="13" t="s">
        <v>4864</v>
      </c>
      <c r="BW199" s="13" t="str">
        <f>VLOOKUP($BT199,Enriched!$A$2:$E$1070,5,false)</f>
        <v>["Transportation &amp; Service Corridors"]</v>
      </c>
      <c r="BX199" s="13" t="str">
        <f>VLOOKUP($BT199,Enriched!$A$2:$E$1070,4,false)</f>
        <v>["Shipping lanes"]</v>
      </c>
      <c r="BY199" s="13" t="b">
        <f>VLOOKUP(BT199,Enriched!$A$1:$AA$1070,27,falsE)</f>
        <v>0</v>
      </c>
      <c r="BZ199" s="2" t="str">
        <f>VLOOKUP(BT199,Enriched!$A$1:$AA$1070,14,falsE)</f>
        <v>level2</v>
      </c>
      <c r="CA199" s="13" t="str">
        <f>HYPERLINK("https%3A%2F%2Fwww.webofscience.com%2Fwos%2Fwoscc%2Ffull-record%2FWOS:000415194000033","View Full Record in Web of Science")</f>
        <v>View Full Record in Web of Science</v>
      </c>
    </row>
    <row r="200" ht="12.75" customHeight="1">
      <c r="A200" s="13" t="s">
        <v>5508</v>
      </c>
      <c r="B200" s="13" t="s">
        <v>9344</v>
      </c>
      <c r="C200" s="13" t="s">
        <v>5510</v>
      </c>
      <c r="D200" s="13" t="s">
        <v>5510</v>
      </c>
      <c r="E200" s="13" t="s">
        <v>5510</v>
      </c>
      <c r="F200" s="13" t="s">
        <v>9345</v>
      </c>
      <c r="G200" s="13" t="s">
        <v>5510</v>
      </c>
      <c r="H200" s="13" t="s">
        <v>5510</v>
      </c>
      <c r="I200" s="13" t="s">
        <v>9346</v>
      </c>
      <c r="J200" s="13" t="s">
        <v>5543</v>
      </c>
      <c r="K200" s="13" t="s">
        <v>5510</v>
      </c>
      <c r="L200" s="13" t="s">
        <v>5510</v>
      </c>
      <c r="M200" s="13" t="s">
        <v>5513</v>
      </c>
      <c r="N200" s="13" t="s">
        <v>5514</v>
      </c>
      <c r="O200" s="13" t="s">
        <v>5510</v>
      </c>
      <c r="P200" s="13" t="s">
        <v>5510</v>
      </c>
      <c r="Q200" s="13" t="s">
        <v>5510</v>
      </c>
      <c r="R200" s="13" t="s">
        <v>5510</v>
      </c>
      <c r="S200" s="13" t="s">
        <v>5510</v>
      </c>
      <c r="T200" s="13" t="s">
        <v>5510</v>
      </c>
      <c r="U200" s="13" t="s">
        <v>9347</v>
      </c>
      <c r="V200" s="13" t="s">
        <v>9348</v>
      </c>
      <c r="W200" s="13" t="s">
        <v>9349</v>
      </c>
      <c r="X200" s="13" t="s">
        <v>9350</v>
      </c>
      <c r="Y200" s="13" t="s">
        <v>9351</v>
      </c>
      <c r="Z200" s="13" t="s">
        <v>9352</v>
      </c>
      <c r="AA200" s="13" t="s">
        <v>9353</v>
      </c>
      <c r="AB200" s="13" t="s">
        <v>5510</v>
      </c>
      <c r="AC200" s="13" t="s">
        <v>9354</v>
      </c>
      <c r="AD200" s="13" t="s">
        <v>9355</v>
      </c>
      <c r="AE200" s="13" t="s">
        <v>9356</v>
      </c>
      <c r="AF200" s="13" t="s">
        <v>5510</v>
      </c>
      <c r="AG200" s="13">
        <v>65.0</v>
      </c>
      <c r="AH200" s="13">
        <v>37.0</v>
      </c>
      <c r="AI200" s="13">
        <v>40.0</v>
      </c>
      <c r="AJ200" s="13">
        <v>0.0</v>
      </c>
      <c r="AK200" s="13">
        <v>42.0</v>
      </c>
      <c r="AL200" s="13" t="s">
        <v>5552</v>
      </c>
      <c r="AM200" s="13" t="s">
        <v>5553</v>
      </c>
      <c r="AN200" s="13" t="s">
        <v>5554</v>
      </c>
      <c r="AO200" s="13" t="s">
        <v>5555</v>
      </c>
      <c r="AP200" s="13" t="s">
        <v>5510</v>
      </c>
      <c r="AQ200" s="13" t="s">
        <v>5510</v>
      </c>
      <c r="AR200" s="13" t="s">
        <v>5543</v>
      </c>
      <c r="AS200" s="13" t="s">
        <v>5556</v>
      </c>
      <c r="AT200" s="13" t="s">
        <v>9357</v>
      </c>
      <c r="AU200" s="13">
        <v>2011.0</v>
      </c>
      <c r="AV200" s="13">
        <v>6.0</v>
      </c>
      <c r="AW200" s="13">
        <v>2.0</v>
      </c>
      <c r="AX200" s="13" t="s">
        <v>5510</v>
      </c>
      <c r="AY200" s="13" t="s">
        <v>5510</v>
      </c>
      <c r="AZ200" s="13" t="s">
        <v>5510</v>
      </c>
      <c r="BA200" s="13" t="s">
        <v>5510</v>
      </c>
      <c r="BB200" s="13" t="s">
        <v>5510</v>
      </c>
      <c r="BC200" s="13" t="s">
        <v>5510</v>
      </c>
      <c r="BD200" s="13" t="s">
        <v>9358</v>
      </c>
      <c r="BE200" s="13" t="s">
        <v>9359</v>
      </c>
      <c r="BF200" s="52" t="str">
        <f>HYPERLINK("http://dx.doi.org/10.1371/journal.pone.0016851","http://dx.doi.org/10.1371/journal.pone.0016851")</f>
        <v>http://dx.doi.org/10.1371/journal.pone.0016851</v>
      </c>
      <c r="BG200" s="13" t="s">
        <v>5510</v>
      </c>
      <c r="BH200" s="13" t="s">
        <v>5510</v>
      </c>
      <c r="BI200" s="13">
        <v>9.0</v>
      </c>
      <c r="BJ200" s="13" t="s">
        <v>5560</v>
      </c>
      <c r="BK200" s="13" t="s">
        <v>5561</v>
      </c>
      <c r="BL200" s="13" t="s">
        <v>5562</v>
      </c>
      <c r="BM200" s="13" t="s">
        <v>9360</v>
      </c>
      <c r="BN200" s="13">
        <v>2.1347456E7</v>
      </c>
      <c r="BO200" s="13" t="s">
        <v>5564</v>
      </c>
      <c r="BP200" s="13" t="s">
        <v>5510</v>
      </c>
      <c r="BQ200" s="13" t="s">
        <v>5510</v>
      </c>
      <c r="BR200" s="13" t="s">
        <v>5538</v>
      </c>
      <c r="BS200" s="13" t="s">
        <v>9361</v>
      </c>
      <c r="BT200" s="13">
        <v>25221.0</v>
      </c>
      <c r="BU200" s="13" t="s">
        <v>5540</v>
      </c>
      <c r="BV200" s="13" t="s">
        <v>4852</v>
      </c>
      <c r="BW200" s="13" t="str">
        <f>VLOOKUP($BT200,Enriched!$A$2:$E$1070,5,false)</f>
        <v>["Agriculture &amp; Aquaculture"]</v>
      </c>
      <c r="BX200" s="13" t="str">
        <f>VLOOKUP($BT200,Enriched!$A$2:$E$1070,4,false)</f>
        <v>["Marine &amp; freshwater aquaculture"]</v>
      </c>
      <c r="BY200" s="13" t="b">
        <f>VLOOKUP(BT200,Enriched!$A$1:$AA$1070,27,falsE)</f>
        <v>0</v>
      </c>
      <c r="BZ200" s="2" t="str">
        <f>VLOOKUP(BT200,Enriched!$A$1:$AA$1070,14,falsE)</f>
        <v>level2</v>
      </c>
      <c r="CA200" s="13" t="str">
        <f>HYPERLINK("https%3A%2F%2Fwww.webofscience.com%2Fwos%2Fwoscc%2Ffull-record%2FWOS:000287361700045","View Full Record in Web of Science")</f>
        <v>View Full Record in Web of Science</v>
      </c>
    </row>
    <row r="201" ht="12.75" customHeight="1">
      <c r="A201" s="13" t="s">
        <v>5508</v>
      </c>
      <c r="B201" s="13" t="s">
        <v>9362</v>
      </c>
      <c r="C201" s="13" t="s">
        <v>5510</v>
      </c>
      <c r="D201" s="13" t="s">
        <v>5510</v>
      </c>
      <c r="E201" s="13" t="s">
        <v>5510</v>
      </c>
      <c r="F201" s="13" t="s">
        <v>9363</v>
      </c>
      <c r="G201" s="13" t="s">
        <v>5510</v>
      </c>
      <c r="H201" s="13" t="s">
        <v>5510</v>
      </c>
      <c r="I201" s="13" t="s">
        <v>2469</v>
      </c>
      <c r="J201" s="13" t="s">
        <v>8903</v>
      </c>
      <c r="K201" s="13" t="s">
        <v>5510</v>
      </c>
      <c r="L201" s="13" t="s">
        <v>5510</v>
      </c>
      <c r="M201" s="13" t="s">
        <v>5513</v>
      </c>
      <c r="N201" s="13" t="s">
        <v>5514</v>
      </c>
      <c r="O201" s="13" t="s">
        <v>5510</v>
      </c>
      <c r="P201" s="13" t="s">
        <v>5510</v>
      </c>
      <c r="Q201" s="13" t="s">
        <v>5510</v>
      </c>
      <c r="R201" s="13" t="s">
        <v>5510</v>
      </c>
      <c r="S201" s="13" t="s">
        <v>5510</v>
      </c>
      <c r="T201" s="13" t="s">
        <v>9364</v>
      </c>
      <c r="U201" s="13" t="s">
        <v>9365</v>
      </c>
      <c r="V201" s="13" t="s">
        <v>9366</v>
      </c>
      <c r="W201" s="13" t="s">
        <v>9367</v>
      </c>
      <c r="X201" s="13" t="s">
        <v>9368</v>
      </c>
      <c r="Y201" s="13" t="s">
        <v>9369</v>
      </c>
      <c r="Z201" s="13" t="s">
        <v>9370</v>
      </c>
      <c r="AA201" s="13" t="s">
        <v>9371</v>
      </c>
      <c r="AB201" s="13" t="s">
        <v>5510</v>
      </c>
      <c r="AC201" s="13" t="s">
        <v>9372</v>
      </c>
      <c r="AD201" s="13" t="s">
        <v>9373</v>
      </c>
      <c r="AE201" s="13" t="s">
        <v>9374</v>
      </c>
      <c r="AF201" s="13" t="s">
        <v>5510</v>
      </c>
      <c r="AG201" s="13">
        <v>40.0</v>
      </c>
      <c r="AH201" s="13">
        <v>18.0</v>
      </c>
      <c r="AI201" s="13">
        <v>21.0</v>
      </c>
      <c r="AJ201" s="13">
        <v>1.0</v>
      </c>
      <c r="AK201" s="13">
        <v>75.0</v>
      </c>
      <c r="AL201" s="13" t="s">
        <v>7088</v>
      </c>
      <c r="AM201" s="13" t="s">
        <v>5932</v>
      </c>
      <c r="AN201" s="13" t="s">
        <v>7089</v>
      </c>
      <c r="AO201" s="13" t="s">
        <v>8914</v>
      </c>
      <c r="AP201" s="13" t="s">
        <v>8915</v>
      </c>
      <c r="AQ201" s="13" t="s">
        <v>5510</v>
      </c>
      <c r="AR201" s="13" t="s">
        <v>8916</v>
      </c>
      <c r="AS201" s="13" t="s">
        <v>8917</v>
      </c>
      <c r="AT201" s="13" t="s">
        <v>5582</v>
      </c>
      <c r="AU201" s="13">
        <v>2011.0</v>
      </c>
      <c r="AV201" s="13">
        <v>68.0</v>
      </c>
      <c r="AW201" s="13">
        <v>1.0</v>
      </c>
      <c r="AX201" s="13" t="s">
        <v>5510</v>
      </c>
      <c r="AY201" s="13" t="s">
        <v>5510</v>
      </c>
      <c r="AZ201" s="13" t="s">
        <v>5510</v>
      </c>
      <c r="BA201" s="13" t="s">
        <v>5510</v>
      </c>
      <c r="BB201" s="13">
        <v>144.0</v>
      </c>
      <c r="BC201" s="13">
        <v>156.0</v>
      </c>
      <c r="BD201" s="13" t="s">
        <v>5510</v>
      </c>
      <c r="BE201" s="13" t="s">
        <v>9375</v>
      </c>
      <c r="BF201" s="52" t="str">
        <f>HYPERLINK("http://dx.doi.org/10.1093/icesjms/fsq146","http://dx.doi.org/10.1093/icesjms/fsq146")</f>
        <v>http://dx.doi.org/10.1093/icesjms/fsq146</v>
      </c>
      <c r="BG201" s="13" t="s">
        <v>5510</v>
      </c>
      <c r="BH201" s="13" t="s">
        <v>5510</v>
      </c>
      <c r="BI201" s="13">
        <v>13.0</v>
      </c>
      <c r="BJ201" s="13" t="s">
        <v>8920</v>
      </c>
      <c r="BK201" s="13" t="s">
        <v>5561</v>
      </c>
      <c r="BL201" s="13" t="s">
        <v>8920</v>
      </c>
      <c r="BM201" s="13" t="s">
        <v>9376</v>
      </c>
      <c r="BN201" s="13" t="s">
        <v>5510</v>
      </c>
      <c r="BO201" s="13" t="s">
        <v>5809</v>
      </c>
      <c r="BP201" s="13" t="s">
        <v>5510</v>
      </c>
      <c r="BQ201" s="13" t="s">
        <v>5510</v>
      </c>
      <c r="BR201" s="13" t="s">
        <v>5538</v>
      </c>
      <c r="BS201" s="13" t="s">
        <v>9377</v>
      </c>
      <c r="BT201" s="13">
        <v>24877.0</v>
      </c>
      <c r="BU201" s="13" t="s">
        <v>5540</v>
      </c>
      <c r="BV201" s="13" t="s">
        <v>4864</v>
      </c>
      <c r="BW201" s="13" t="str">
        <f>VLOOKUP($BT201,Enriched!$A$2:$E$1070,5,false)</f>
        <v>["Agriculture &amp; Aquaculture"]</v>
      </c>
      <c r="BX201" s="13" t="str">
        <f>VLOOKUP($BT201,Enriched!$A$2:$E$1070,4,false)</f>
        <v>["Marine &amp; freshwater aquaculture"]</v>
      </c>
      <c r="BY201" s="13" t="b">
        <f>VLOOKUP(BT201,Enriched!$A$1:$AA$1070,27,falsE)</f>
        <v>0</v>
      </c>
      <c r="BZ201" s="2" t="str">
        <f>VLOOKUP(BT201,Enriched!$A$1:$AA$1070,14,falsE)</f>
        <v>level2</v>
      </c>
      <c r="CA201" s="13" t="str">
        <f>HYPERLINK("https%3A%2F%2Fwww.webofscience.com%2Fwos%2Fwoscc%2Ffull-record%2FWOS:000285193900016","View Full Record in Web of Science")</f>
        <v>View Full Record in Web of Science</v>
      </c>
    </row>
    <row r="202" ht="12.75" customHeight="1">
      <c r="A202" s="13" t="s">
        <v>5508</v>
      </c>
      <c r="B202" s="13" t="s">
        <v>9378</v>
      </c>
      <c r="C202" s="13" t="s">
        <v>5510</v>
      </c>
      <c r="D202" s="13" t="s">
        <v>5510</v>
      </c>
      <c r="E202" s="13" t="s">
        <v>5510</v>
      </c>
      <c r="F202" s="13" t="s">
        <v>9379</v>
      </c>
      <c r="G202" s="13" t="s">
        <v>5510</v>
      </c>
      <c r="H202" s="13" t="s">
        <v>5510</v>
      </c>
      <c r="I202" s="13" t="s">
        <v>2466</v>
      </c>
      <c r="J202" s="13" t="s">
        <v>9380</v>
      </c>
      <c r="K202" s="13" t="s">
        <v>5510</v>
      </c>
      <c r="L202" s="13" t="s">
        <v>5510</v>
      </c>
      <c r="M202" s="13" t="s">
        <v>5513</v>
      </c>
      <c r="N202" s="13" t="s">
        <v>5488</v>
      </c>
      <c r="O202" s="13" t="s">
        <v>9381</v>
      </c>
      <c r="P202" s="13" t="s">
        <v>9382</v>
      </c>
      <c r="Q202" s="13" t="s">
        <v>9383</v>
      </c>
      <c r="R202" s="13" t="s">
        <v>9384</v>
      </c>
      <c r="S202" s="13" t="s">
        <v>5510</v>
      </c>
      <c r="T202" s="13" t="s">
        <v>5510</v>
      </c>
      <c r="U202" s="13" t="s">
        <v>5510</v>
      </c>
      <c r="V202" s="13" t="s">
        <v>5510</v>
      </c>
      <c r="W202" s="13" t="s">
        <v>9385</v>
      </c>
      <c r="X202" s="13" t="s">
        <v>9386</v>
      </c>
      <c r="Y202" s="13" t="s">
        <v>5510</v>
      </c>
      <c r="Z202" s="13" t="s">
        <v>9387</v>
      </c>
      <c r="AA202" s="13" t="s">
        <v>5510</v>
      </c>
      <c r="AB202" s="13" t="s">
        <v>5510</v>
      </c>
      <c r="AC202" s="13" t="s">
        <v>5510</v>
      </c>
      <c r="AD202" s="13" t="s">
        <v>5510</v>
      </c>
      <c r="AE202" s="13" t="s">
        <v>5510</v>
      </c>
      <c r="AF202" s="13" t="s">
        <v>5510</v>
      </c>
      <c r="AG202" s="13">
        <v>0.0</v>
      </c>
      <c r="AH202" s="13">
        <v>1.0</v>
      </c>
      <c r="AI202" s="13">
        <v>1.0</v>
      </c>
      <c r="AJ202" s="13">
        <v>0.0</v>
      </c>
      <c r="AK202" s="13">
        <v>52.0</v>
      </c>
      <c r="AL202" s="13" t="s">
        <v>6890</v>
      </c>
      <c r="AM202" s="13" t="s">
        <v>6891</v>
      </c>
      <c r="AN202" s="13" t="s">
        <v>6892</v>
      </c>
      <c r="AO202" s="13" t="s">
        <v>9388</v>
      </c>
      <c r="AP202" s="13" t="s">
        <v>9389</v>
      </c>
      <c r="AQ202" s="13" t="s">
        <v>5510</v>
      </c>
      <c r="AR202" s="13" t="s">
        <v>9390</v>
      </c>
      <c r="AS202" s="13" t="s">
        <v>9391</v>
      </c>
      <c r="AT202" s="13" t="s">
        <v>6828</v>
      </c>
      <c r="AU202" s="13">
        <v>2015.0</v>
      </c>
      <c r="AV202" s="13">
        <v>55.0</v>
      </c>
      <c r="AW202" s="13" t="s">
        <v>5510</v>
      </c>
      <c r="AX202" s="13" t="s">
        <v>5510</v>
      </c>
      <c r="AY202" s="13">
        <v>1.0</v>
      </c>
      <c r="AZ202" s="13" t="s">
        <v>5510</v>
      </c>
      <c r="BA202" s="13">
        <v>64.4</v>
      </c>
      <c r="BB202" s="13" t="s">
        <v>9392</v>
      </c>
      <c r="BC202" s="13" t="s">
        <v>9392</v>
      </c>
      <c r="BD202" s="13" t="s">
        <v>5510</v>
      </c>
      <c r="BE202" s="13" t="str">
        <f>#REF!</f>
        <v>#REF!</v>
      </c>
      <c r="BF202" s="13" t="s">
        <v>5510</v>
      </c>
      <c r="BG202" s="13" t="s">
        <v>5510</v>
      </c>
      <c r="BH202" s="13" t="s">
        <v>5510</v>
      </c>
      <c r="BI202" s="13">
        <v>1.0</v>
      </c>
      <c r="BJ202" s="13" t="s">
        <v>6899</v>
      </c>
      <c r="BK202" s="13" t="s">
        <v>5649</v>
      </c>
      <c r="BL202" s="13" t="s">
        <v>6899</v>
      </c>
      <c r="BM202" s="13" t="s">
        <v>9393</v>
      </c>
      <c r="BN202" s="13" t="s">
        <v>5510</v>
      </c>
      <c r="BO202" s="13" t="s">
        <v>5510</v>
      </c>
      <c r="BP202" s="13" t="s">
        <v>5510</v>
      </c>
      <c r="BQ202" s="13" t="s">
        <v>5510</v>
      </c>
      <c r="BR202" s="13" t="s">
        <v>5538</v>
      </c>
      <c r="BS202" s="13" t="s">
        <v>9394</v>
      </c>
      <c r="BT202" s="13">
        <v>25317.0</v>
      </c>
      <c r="BU202" s="13" t="s">
        <v>5540</v>
      </c>
      <c r="BV202" s="13" t="s">
        <v>4855</v>
      </c>
      <c r="BW202" s="13" t="str">
        <f>VLOOKUP($BT202,Enriched!$A$2:$E$1070,5,false)</f>
        <v>["Climate change &amp; severe weather"]</v>
      </c>
      <c r="BX202" s="13" t="str">
        <f>VLOOKUP($BT202,Enriched!$A$2:$E$1070,4,false)</f>
        <v>["Habitat shifting &amp; alteration"]</v>
      </c>
      <c r="BY202" s="13" t="b">
        <f>VLOOKUP(BT202,Enriched!$A$1:$AA$1070,27,falsE)</f>
        <v>0</v>
      </c>
      <c r="BZ202" s="2" t="str">
        <f>VLOOKUP(BT202,Enriched!$A$1:$AA$1070,14,falsE)</f>
        <v>level2</v>
      </c>
      <c r="CA202" s="13" t="str">
        <f>HYPERLINK("https%3A%2F%2Fwww.webofscience.com%2Fwos%2Fwoscc%2Ffull-record%2FWOS:000352658400597","View Full Record in Web of Science")</f>
        <v>View Full Record in Web of Science</v>
      </c>
    </row>
    <row r="203" ht="12.75" customHeight="1">
      <c r="A203" s="13" t="s">
        <v>5508</v>
      </c>
      <c r="B203" s="13" t="s">
        <v>9395</v>
      </c>
      <c r="C203" s="13" t="s">
        <v>5510</v>
      </c>
      <c r="D203" s="13" t="s">
        <v>5510</v>
      </c>
      <c r="E203" s="13" t="s">
        <v>5510</v>
      </c>
      <c r="F203" s="13" t="s">
        <v>9396</v>
      </c>
      <c r="G203" s="13" t="s">
        <v>5510</v>
      </c>
      <c r="H203" s="13" t="s">
        <v>5510</v>
      </c>
      <c r="I203" s="13" t="s">
        <v>2466</v>
      </c>
      <c r="J203" s="13" t="s">
        <v>6650</v>
      </c>
      <c r="K203" s="13" t="s">
        <v>5510</v>
      </c>
      <c r="L203" s="13" t="s">
        <v>5510</v>
      </c>
      <c r="M203" s="13" t="s">
        <v>5513</v>
      </c>
      <c r="N203" s="13" t="s">
        <v>5514</v>
      </c>
      <c r="O203" s="13" t="s">
        <v>5510</v>
      </c>
      <c r="P203" s="13" t="s">
        <v>5510</v>
      </c>
      <c r="Q203" s="13" t="s">
        <v>5510</v>
      </c>
      <c r="R203" s="13" t="s">
        <v>5510</v>
      </c>
      <c r="S203" s="13" t="s">
        <v>5510</v>
      </c>
      <c r="T203" s="13" t="s">
        <v>9397</v>
      </c>
      <c r="U203" s="13" t="s">
        <v>9398</v>
      </c>
      <c r="V203" s="13" t="s">
        <v>9399</v>
      </c>
      <c r="W203" s="13" t="s">
        <v>9400</v>
      </c>
      <c r="X203" s="13" t="s">
        <v>9401</v>
      </c>
      <c r="Y203" s="13" t="s">
        <v>9402</v>
      </c>
      <c r="Z203" s="13" t="s">
        <v>9387</v>
      </c>
      <c r="AA203" s="13" t="s">
        <v>9403</v>
      </c>
      <c r="AB203" s="13" t="s">
        <v>9404</v>
      </c>
      <c r="AC203" s="13" t="s">
        <v>9405</v>
      </c>
      <c r="AD203" s="13" t="s">
        <v>9406</v>
      </c>
      <c r="AE203" s="13" t="s">
        <v>9407</v>
      </c>
      <c r="AF203" s="13" t="s">
        <v>5510</v>
      </c>
      <c r="AG203" s="13">
        <v>100.0</v>
      </c>
      <c r="AH203" s="13">
        <v>39.0</v>
      </c>
      <c r="AI203" s="13">
        <v>54.0</v>
      </c>
      <c r="AJ203" s="13">
        <v>2.0</v>
      </c>
      <c r="AK203" s="13">
        <v>170.0</v>
      </c>
      <c r="AL203" s="13" t="s">
        <v>5800</v>
      </c>
      <c r="AM203" s="13" t="s">
        <v>5801</v>
      </c>
      <c r="AN203" s="13" t="s">
        <v>5802</v>
      </c>
      <c r="AO203" s="13" t="s">
        <v>6663</v>
      </c>
      <c r="AP203" s="13" t="s">
        <v>6664</v>
      </c>
      <c r="AQ203" s="13" t="s">
        <v>5510</v>
      </c>
      <c r="AR203" s="13" t="s">
        <v>6665</v>
      </c>
      <c r="AS203" s="13" t="s">
        <v>6666</v>
      </c>
      <c r="AT203" s="13" t="s">
        <v>5510</v>
      </c>
      <c r="AU203" s="13">
        <v>2013.0</v>
      </c>
      <c r="AV203" s="13">
        <v>493.0</v>
      </c>
      <c r="AW203" s="13" t="s">
        <v>5510</v>
      </c>
      <c r="AX203" s="13" t="s">
        <v>5510</v>
      </c>
      <c r="AY203" s="13" t="s">
        <v>5510</v>
      </c>
      <c r="AZ203" s="13" t="s">
        <v>5510</v>
      </c>
      <c r="BA203" s="13" t="s">
        <v>5510</v>
      </c>
      <c r="BB203" s="13">
        <v>259.0</v>
      </c>
      <c r="BC203" s="13" t="s">
        <v>9408</v>
      </c>
      <c r="BD203" s="13" t="s">
        <v>5510</v>
      </c>
      <c r="BE203" s="13" t="s">
        <v>9409</v>
      </c>
      <c r="BF203" s="52" t="str">
        <f>HYPERLINK("http://dx.doi.org/10.3354/meps10531","http://dx.doi.org/10.3354/meps10531")</f>
        <v>http://dx.doi.org/10.3354/meps10531</v>
      </c>
      <c r="BG203" s="13" t="s">
        <v>5510</v>
      </c>
      <c r="BH203" s="13" t="s">
        <v>5510</v>
      </c>
      <c r="BI203" s="13">
        <v>21.0</v>
      </c>
      <c r="BJ203" s="13" t="s">
        <v>6669</v>
      </c>
      <c r="BK203" s="13" t="s">
        <v>5561</v>
      </c>
      <c r="BL203" s="13" t="s">
        <v>6670</v>
      </c>
      <c r="BM203" s="13" t="s">
        <v>9410</v>
      </c>
      <c r="BN203" s="13" t="s">
        <v>5510</v>
      </c>
      <c r="BO203" s="13" t="s">
        <v>5809</v>
      </c>
      <c r="BP203" s="13" t="s">
        <v>5510</v>
      </c>
      <c r="BQ203" s="13" t="s">
        <v>5510</v>
      </c>
      <c r="BR203" s="13" t="s">
        <v>5538</v>
      </c>
      <c r="BS203" s="13" t="s">
        <v>9411</v>
      </c>
      <c r="BT203" s="13">
        <v>25317.0</v>
      </c>
      <c r="BU203" s="13" t="s">
        <v>5540</v>
      </c>
      <c r="BV203" s="13" t="s">
        <v>4855</v>
      </c>
      <c r="BW203" s="13" t="str">
        <f>VLOOKUP($BT203,Enriched!$A$2:$E$1070,5,false)</f>
        <v>["Climate change &amp; severe weather"]</v>
      </c>
      <c r="BX203" s="13" t="str">
        <f>VLOOKUP($BT203,Enriched!$A$2:$E$1070,4,false)</f>
        <v>["Habitat shifting &amp; alteration"]</v>
      </c>
      <c r="BY203" s="13" t="b">
        <f>VLOOKUP(BT203,Enriched!$A$1:$AA$1070,27,falsE)</f>
        <v>0</v>
      </c>
      <c r="BZ203" s="2" t="str">
        <f>VLOOKUP(BT203,Enriched!$A$1:$AA$1070,14,falsE)</f>
        <v>level2</v>
      </c>
      <c r="CA203" s="13" t="str">
        <f>HYPERLINK("https%3A%2F%2Fwww.webofscience.com%2Fwos%2Fwoscc%2Ffull-record%2FWOS:000327197700023","View Full Record in Web of Science")</f>
        <v>View Full Record in Web of Science</v>
      </c>
    </row>
    <row r="204" ht="12.75" customHeight="1">
      <c r="A204" s="13" t="s">
        <v>5508</v>
      </c>
      <c r="B204" s="13" t="s">
        <v>9412</v>
      </c>
      <c r="C204" s="13" t="s">
        <v>5510</v>
      </c>
      <c r="D204" s="13" t="s">
        <v>5510</v>
      </c>
      <c r="E204" s="13" t="s">
        <v>5510</v>
      </c>
      <c r="F204" s="13" t="s">
        <v>9413</v>
      </c>
      <c r="G204" s="13" t="s">
        <v>5510</v>
      </c>
      <c r="H204" s="13" t="s">
        <v>5510</v>
      </c>
      <c r="I204" s="13" t="s">
        <v>2463</v>
      </c>
      <c r="J204" s="13" t="s">
        <v>9414</v>
      </c>
      <c r="K204" s="13" t="s">
        <v>5510</v>
      </c>
      <c r="L204" s="13" t="s">
        <v>5510</v>
      </c>
      <c r="M204" s="13" t="s">
        <v>5513</v>
      </c>
      <c r="N204" s="13" t="s">
        <v>5514</v>
      </c>
      <c r="O204" s="13" t="s">
        <v>5510</v>
      </c>
      <c r="P204" s="13" t="s">
        <v>5510</v>
      </c>
      <c r="Q204" s="13" t="s">
        <v>5510</v>
      </c>
      <c r="R204" s="13" t="s">
        <v>5510</v>
      </c>
      <c r="S204" s="13" t="s">
        <v>5510</v>
      </c>
      <c r="T204" s="13" t="s">
        <v>9415</v>
      </c>
      <c r="U204" s="13" t="s">
        <v>9416</v>
      </c>
      <c r="V204" s="13" t="s">
        <v>9417</v>
      </c>
      <c r="W204" s="13" t="s">
        <v>9418</v>
      </c>
      <c r="X204" s="13" t="s">
        <v>9419</v>
      </c>
      <c r="Y204" s="13" t="s">
        <v>9420</v>
      </c>
      <c r="Z204" s="13" t="s">
        <v>9421</v>
      </c>
      <c r="AA204" s="13" t="s">
        <v>9422</v>
      </c>
      <c r="AB204" s="13" t="s">
        <v>9423</v>
      </c>
      <c r="AC204" s="13" t="s">
        <v>9424</v>
      </c>
      <c r="AD204" s="13" t="s">
        <v>9425</v>
      </c>
      <c r="AE204" s="13" t="s">
        <v>9426</v>
      </c>
      <c r="AF204" s="13" t="s">
        <v>5510</v>
      </c>
      <c r="AG204" s="13">
        <v>42.0</v>
      </c>
      <c r="AH204" s="13">
        <v>23.0</v>
      </c>
      <c r="AI204" s="13">
        <v>26.0</v>
      </c>
      <c r="AJ204" s="13">
        <v>1.0</v>
      </c>
      <c r="AK204" s="13">
        <v>88.0</v>
      </c>
      <c r="AL204" s="13" t="s">
        <v>5931</v>
      </c>
      <c r="AM204" s="13" t="s">
        <v>5932</v>
      </c>
      <c r="AN204" s="13" t="s">
        <v>5933</v>
      </c>
      <c r="AO204" s="13" t="s">
        <v>9427</v>
      </c>
      <c r="AP204" s="13" t="s">
        <v>9428</v>
      </c>
      <c r="AQ204" s="13" t="s">
        <v>5510</v>
      </c>
      <c r="AR204" s="13" t="s">
        <v>9429</v>
      </c>
      <c r="AS204" s="13" t="s">
        <v>9430</v>
      </c>
      <c r="AT204" s="13" t="s">
        <v>2738</v>
      </c>
      <c r="AU204" s="13">
        <v>2017.0</v>
      </c>
      <c r="AV204" s="13">
        <v>76.0</v>
      </c>
      <c r="AW204" s="13" t="s">
        <v>5510</v>
      </c>
      <c r="AX204" s="13" t="s">
        <v>5510</v>
      </c>
      <c r="AY204" s="13" t="s">
        <v>5510</v>
      </c>
      <c r="AZ204" s="13" t="s">
        <v>5510</v>
      </c>
      <c r="BA204" s="13" t="s">
        <v>5510</v>
      </c>
      <c r="BB204" s="13">
        <v>79.0</v>
      </c>
      <c r="BC204" s="13">
        <v>89.0</v>
      </c>
      <c r="BD204" s="13" t="s">
        <v>5510</v>
      </c>
      <c r="BE204" s="13" t="s">
        <v>9431</v>
      </c>
      <c r="BF204" s="52" t="str">
        <f>HYPERLINK("http://dx.doi.org/10.1016/j.marpol.2016.11.003","http://dx.doi.org/10.1016/j.marpol.2016.11.003")</f>
        <v>http://dx.doi.org/10.1016/j.marpol.2016.11.003</v>
      </c>
      <c r="BG204" s="13" t="s">
        <v>5510</v>
      </c>
      <c r="BH204" s="13" t="s">
        <v>5510</v>
      </c>
      <c r="BI204" s="13">
        <v>11.0</v>
      </c>
      <c r="BJ204" s="13" t="s">
        <v>9432</v>
      </c>
      <c r="BK204" s="13" t="s">
        <v>8375</v>
      </c>
      <c r="BL204" s="13" t="s">
        <v>9433</v>
      </c>
      <c r="BM204" s="13" t="s">
        <v>9434</v>
      </c>
      <c r="BN204" s="13" t="s">
        <v>5510</v>
      </c>
      <c r="BO204" s="13" t="s">
        <v>5510</v>
      </c>
      <c r="BP204" s="13" t="s">
        <v>5510</v>
      </c>
      <c r="BQ204" s="13" t="s">
        <v>5510</v>
      </c>
      <c r="BR204" s="13" t="s">
        <v>5538</v>
      </c>
      <c r="BS204" s="13" t="s">
        <v>9435</v>
      </c>
      <c r="BT204" s="13">
        <v>24600.0</v>
      </c>
      <c r="BU204" s="13" t="s">
        <v>5540</v>
      </c>
      <c r="BV204" s="13" t="s">
        <v>4864</v>
      </c>
      <c r="BW204" s="13" t="str">
        <f>VLOOKUP($BT204,Enriched!$A$2:$E$1070,5,false)</f>
        <v>["Human Intrusions &amp; Disturbance", "Transportation &amp; Service Corridors", "Climate Change &amp; Severe Weather", "Invasive &amp; Other Problematic Species, Genes &amp; Diseases", "Biological Resource Use", "Pollution"]</v>
      </c>
      <c r="BX204" s="13" t="str">
        <f>VLOOKUP($BT204,Enriched!$A$2:$E$1070,4,false)</f>
        <v>["Recreational activities", "Work &amp; other activities", "Shipping lanes", "Temperature extremes", "Invasive non-native/alien species/diseases", "Fishing &amp; harvesting aquatic resources"]</v>
      </c>
      <c r="BY204" s="13" t="b">
        <f>VLOOKUP(BT204,Enriched!$A$1:$AA$1070,27,falsE)</f>
        <v>1</v>
      </c>
      <c r="BZ204" s="2" t="str">
        <f>VLOOKUP(BT204,Enriched!$A$1:$AA$1070,14,falsE)</f>
        <v>cumulative</v>
      </c>
      <c r="CA204" s="13" t="str">
        <f>HYPERLINK("https%3A%2F%2Fwww.webofscience.com%2Fwos%2Fwoscc%2Ffull-record%2FWOS:000393012200010","View Full Record in Web of Science")</f>
        <v>View Full Record in Web of Science</v>
      </c>
    </row>
    <row r="205" ht="12.75" customHeight="1">
      <c r="A205" s="13" t="s">
        <v>5508</v>
      </c>
      <c r="B205" s="13" t="s">
        <v>9436</v>
      </c>
      <c r="C205" s="13" t="s">
        <v>5510</v>
      </c>
      <c r="D205" s="13" t="s">
        <v>5510</v>
      </c>
      <c r="E205" s="13" t="s">
        <v>5510</v>
      </c>
      <c r="F205" s="13" t="s">
        <v>9437</v>
      </c>
      <c r="G205" s="13" t="s">
        <v>5510</v>
      </c>
      <c r="H205" s="13" t="s">
        <v>5510</v>
      </c>
      <c r="I205" s="13" t="s">
        <v>2461</v>
      </c>
      <c r="J205" s="13" t="s">
        <v>9414</v>
      </c>
      <c r="K205" s="13" t="s">
        <v>5510</v>
      </c>
      <c r="L205" s="13" t="s">
        <v>5510</v>
      </c>
      <c r="M205" s="13" t="s">
        <v>5513</v>
      </c>
      <c r="N205" s="13" t="s">
        <v>5514</v>
      </c>
      <c r="O205" s="13" t="s">
        <v>5510</v>
      </c>
      <c r="P205" s="13" t="s">
        <v>5510</v>
      </c>
      <c r="Q205" s="13" t="s">
        <v>5510</v>
      </c>
      <c r="R205" s="13" t="s">
        <v>5510</v>
      </c>
      <c r="S205" s="13" t="s">
        <v>5510</v>
      </c>
      <c r="T205" s="13" t="s">
        <v>9438</v>
      </c>
      <c r="U205" s="13" t="s">
        <v>9439</v>
      </c>
      <c r="V205" s="13" t="s">
        <v>9440</v>
      </c>
      <c r="W205" s="13" t="s">
        <v>9441</v>
      </c>
      <c r="X205" s="13" t="s">
        <v>9442</v>
      </c>
      <c r="Y205" s="13" t="s">
        <v>9443</v>
      </c>
      <c r="Z205" s="13" t="s">
        <v>9444</v>
      </c>
      <c r="AA205" s="13" t="s">
        <v>9445</v>
      </c>
      <c r="AB205" s="13" t="s">
        <v>9446</v>
      </c>
      <c r="AC205" s="13" t="s">
        <v>9447</v>
      </c>
      <c r="AD205" s="13" t="s">
        <v>9448</v>
      </c>
      <c r="AE205" s="13" t="s">
        <v>9449</v>
      </c>
      <c r="AF205" s="13" t="s">
        <v>5510</v>
      </c>
      <c r="AG205" s="13">
        <v>66.0</v>
      </c>
      <c r="AH205" s="13">
        <v>5.0</v>
      </c>
      <c r="AI205" s="13">
        <v>7.0</v>
      </c>
      <c r="AJ205" s="13">
        <v>2.0</v>
      </c>
      <c r="AK205" s="13">
        <v>22.0</v>
      </c>
      <c r="AL205" s="13" t="s">
        <v>5931</v>
      </c>
      <c r="AM205" s="13" t="s">
        <v>7486</v>
      </c>
      <c r="AN205" s="13" t="s">
        <v>7487</v>
      </c>
      <c r="AO205" s="13" t="s">
        <v>9427</v>
      </c>
      <c r="AP205" s="13" t="s">
        <v>9428</v>
      </c>
      <c r="AQ205" s="13" t="s">
        <v>5510</v>
      </c>
      <c r="AR205" s="13" t="s">
        <v>9429</v>
      </c>
      <c r="AS205" s="13" t="s">
        <v>9430</v>
      </c>
      <c r="AT205" s="13" t="s">
        <v>2738</v>
      </c>
      <c r="AU205" s="13">
        <v>2020.0</v>
      </c>
      <c r="AV205" s="13">
        <v>112.0</v>
      </c>
      <c r="AW205" s="13" t="s">
        <v>5510</v>
      </c>
      <c r="AX205" s="13" t="s">
        <v>5510</v>
      </c>
      <c r="AY205" s="13" t="s">
        <v>5510</v>
      </c>
      <c r="AZ205" s="13" t="s">
        <v>5510</v>
      </c>
      <c r="BA205" s="13" t="s">
        <v>5510</v>
      </c>
      <c r="BB205" s="13" t="s">
        <v>5510</v>
      </c>
      <c r="BC205" s="13" t="s">
        <v>5510</v>
      </c>
      <c r="BD205" s="13">
        <v>103738.0</v>
      </c>
      <c r="BE205" s="13" t="s">
        <v>9450</v>
      </c>
      <c r="BF205" s="52" t="str">
        <f>HYPERLINK("http://dx.doi.org/10.1016/j.marpol.2019.103738","http://dx.doi.org/10.1016/j.marpol.2019.103738")</f>
        <v>http://dx.doi.org/10.1016/j.marpol.2019.103738</v>
      </c>
      <c r="BG205" s="13" t="s">
        <v>5510</v>
      </c>
      <c r="BH205" s="13" t="s">
        <v>5510</v>
      </c>
      <c r="BI205" s="13">
        <v>18.0</v>
      </c>
      <c r="BJ205" s="13" t="s">
        <v>9432</v>
      </c>
      <c r="BK205" s="13" t="s">
        <v>8375</v>
      </c>
      <c r="BL205" s="13" t="s">
        <v>9433</v>
      </c>
      <c r="BM205" s="13" t="s">
        <v>9451</v>
      </c>
      <c r="BN205" s="13" t="s">
        <v>5510</v>
      </c>
      <c r="BO205" s="13" t="s">
        <v>5510</v>
      </c>
      <c r="BP205" s="13" t="s">
        <v>5510</v>
      </c>
      <c r="BQ205" s="13" t="s">
        <v>5510</v>
      </c>
      <c r="BR205" s="13" t="s">
        <v>5538</v>
      </c>
      <c r="BS205" s="13" t="s">
        <v>9452</v>
      </c>
      <c r="BT205" s="13">
        <v>24693.0</v>
      </c>
      <c r="BU205" s="13" t="s">
        <v>9118</v>
      </c>
      <c r="BV205" s="13" t="s">
        <v>4864</v>
      </c>
      <c r="BW205" s="13" t="str">
        <f>VLOOKUP($BT205,Enriched!$A$2:$E$1070,5,false)</f>
        <v>["Transportation &amp; Service Corridors", "Biological Resource Use", "Natural System Modifications", "Pollution"]</v>
      </c>
      <c r="BX205" s="13" t="str">
        <f>VLOOKUP($BT205,Enriched!$A$2:$E$1070,4,false)</f>
        <v>["Shipping lanes", "Fishing &amp; harvesting aquatic resources", "Dams &amp; water management/use"]</v>
      </c>
      <c r="BY205" s="13" t="b">
        <f>VLOOKUP(BT205,Enriched!$A$1:$AA$1070,27,falsE)</f>
        <v>1</v>
      </c>
      <c r="BZ205" s="2" t="str">
        <f>VLOOKUP(BT205,Enriched!$A$1:$AA$1070,14,falsE)</f>
        <v>level2</v>
      </c>
      <c r="CA205" s="13" t="str">
        <f>HYPERLINK("https%3A%2F%2Fwww.webofscience.com%2Fwos%2Fwoscc%2Ffull-record%2FWOS:000515208000001","View Full Record in Web of Science")</f>
        <v>View Full Record in Web of Science</v>
      </c>
    </row>
    <row r="206" ht="12.75" customHeight="1">
      <c r="A206" s="13" t="s">
        <v>5508</v>
      </c>
      <c r="B206" s="13" t="s">
        <v>9453</v>
      </c>
      <c r="C206" s="13" t="s">
        <v>5510</v>
      </c>
      <c r="D206" s="13" t="s">
        <v>5510</v>
      </c>
      <c r="E206" s="13" t="s">
        <v>5510</v>
      </c>
      <c r="F206" s="13" t="s">
        <v>9454</v>
      </c>
      <c r="G206" s="13" t="s">
        <v>5510</v>
      </c>
      <c r="H206" s="13" t="s">
        <v>5510</v>
      </c>
      <c r="I206" s="2" t="s">
        <v>2458</v>
      </c>
      <c r="J206" s="13" t="s">
        <v>9455</v>
      </c>
      <c r="K206" s="13" t="s">
        <v>5510</v>
      </c>
      <c r="L206" s="13" t="s">
        <v>5510</v>
      </c>
      <c r="M206" s="13" t="s">
        <v>5513</v>
      </c>
      <c r="N206" s="13" t="s">
        <v>5514</v>
      </c>
      <c r="O206" s="13" t="s">
        <v>5510</v>
      </c>
      <c r="P206" s="13" t="s">
        <v>5510</v>
      </c>
      <c r="Q206" s="13" t="s">
        <v>5510</v>
      </c>
      <c r="R206" s="13" t="s">
        <v>5510</v>
      </c>
      <c r="S206" s="13" t="s">
        <v>5510</v>
      </c>
      <c r="T206" s="13" t="s">
        <v>9456</v>
      </c>
      <c r="U206" s="13" t="s">
        <v>9457</v>
      </c>
      <c r="V206" s="13" t="s">
        <v>9458</v>
      </c>
      <c r="W206" s="13" t="s">
        <v>9459</v>
      </c>
      <c r="X206" s="13" t="s">
        <v>9460</v>
      </c>
      <c r="Y206" s="13" t="s">
        <v>9461</v>
      </c>
      <c r="Z206" s="13" t="s">
        <v>9462</v>
      </c>
      <c r="AA206" s="13" t="s">
        <v>9463</v>
      </c>
      <c r="AB206" s="13" t="s">
        <v>5510</v>
      </c>
      <c r="AC206" s="13" t="s">
        <v>5510</v>
      </c>
      <c r="AD206" s="13" t="s">
        <v>5510</v>
      </c>
      <c r="AE206" s="13" t="s">
        <v>5510</v>
      </c>
      <c r="AF206" s="13" t="s">
        <v>5510</v>
      </c>
      <c r="AG206" s="13">
        <v>35.0</v>
      </c>
      <c r="AH206" s="13">
        <v>10.0</v>
      </c>
      <c r="AI206" s="13">
        <v>11.0</v>
      </c>
      <c r="AJ206" s="13">
        <v>0.0</v>
      </c>
      <c r="AK206" s="13">
        <v>66.0</v>
      </c>
      <c r="AL206" s="13" t="s">
        <v>5759</v>
      </c>
      <c r="AM206" s="13" t="s">
        <v>5760</v>
      </c>
      <c r="AN206" s="13" t="s">
        <v>5761</v>
      </c>
      <c r="AO206" s="13" t="s">
        <v>9464</v>
      </c>
      <c r="AP206" s="13" t="s">
        <v>9465</v>
      </c>
      <c r="AQ206" s="13" t="s">
        <v>5510</v>
      </c>
      <c r="AR206" s="13" t="s">
        <v>9466</v>
      </c>
      <c r="AS206" s="13" t="s">
        <v>9467</v>
      </c>
      <c r="AT206" s="13" t="s">
        <v>5582</v>
      </c>
      <c r="AU206" s="13">
        <v>2018.0</v>
      </c>
      <c r="AV206" s="13">
        <v>169.0</v>
      </c>
      <c r="AW206" s="13" t="s">
        <v>5510</v>
      </c>
      <c r="AX206" s="13" t="s">
        <v>5510</v>
      </c>
      <c r="AY206" s="13" t="s">
        <v>5510</v>
      </c>
      <c r="AZ206" s="13" t="s">
        <v>5510</v>
      </c>
      <c r="BA206" s="13" t="s">
        <v>5510</v>
      </c>
      <c r="BB206" s="13">
        <v>178.0</v>
      </c>
      <c r="BC206" s="13">
        <v>184.0</v>
      </c>
      <c r="BD206" s="13" t="s">
        <v>5510</v>
      </c>
      <c r="BE206" s="13" t="s">
        <v>9468</v>
      </c>
      <c r="BF206" s="52" t="str">
        <f>HYPERLINK("http://dx.doi.org/10.1016/j.landurbplan.2017.09.009","http://dx.doi.org/10.1016/j.landurbplan.2017.09.009")</f>
        <v>http://dx.doi.org/10.1016/j.landurbplan.2017.09.009</v>
      </c>
      <c r="BG206" s="13" t="s">
        <v>5510</v>
      </c>
      <c r="BH206" s="13" t="s">
        <v>5510</v>
      </c>
      <c r="BI206" s="13">
        <v>7.0</v>
      </c>
      <c r="BJ206" s="13" t="s">
        <v>9469</v>
      </c>
      <c r="BK206" s="13" t="s">
        <v>5534</v>
      </c>
      <c r="BL206" s="13" t="s">
        <v>9470</v>
      </c>
      <c r="BM206" s="13" t="s">
        <v>9471</v>
      </c>
      <c r="BN206" s="13" t="s">
        <v>5510</v>
      </c>
      <c r="BO206" s="13" t="s">
        <v>5510</v>
      </c>
      <c r="BP206" s="13" t="s">
        <v>5510</v>
      </c>
      <c r="BQ206" s="13" t="s">
        <v>5510</v>
      </c>
      <c r="BR206" s="13" t="s">
        <v>5538</v>
      </c>
      <c r="BS206" s="13" t="s">
        <v>9472</v>
      </c>
      <c r="BT206" s="13">
        <v>24180.0</v>
      </c>
      <c r="BU206" s="13" t="s">
        <v>5540</v>
      </c>
      <c r="BV206" s="13" t="s">
        <v>4856</v>
      </c>
      <c r="BW206" s="13" t="str">
        <f>VLOOKUP($BT206,Enriched!$A$2:$E$1070,5,false)</f>
        <v>["Transportation &amp; Service Corridors"]</v>
      </c>
      <c r="BX206" s="13" t="str">
        <f>VLOOKUP($BT206,Enriched!$A$2:$E$1070,4,false)</f>
        <v>["Roads &amp; railroads"]</v>
      </c>
      <c r="BY206" s="13" t="b">
        <f>VLOOKUP(BT206,Enriched!$A$1:$AA$1070,27,falsE)</f>
        <v>0</v>
      </c>
      <c r="BZ206" s="2" t="str">
        <f>VLOOKUP(BT206,Enriched!$A$1:$AA$1070,14,falsE)</f>
        <v>level2</v>
      </c>
      <c r="CA206" s="13" t="str">
        <f>HYPERLINK("https%3A%2F%2Fwww.webofscience.com%2Fwos%2Fwoscc%2Ffull-record%2FWOS:000414882300016","View Full Record in Web of Science")</f>
        <v>View Full Record in Web of Science</v>
      </c>
    </row>
    <row r="207" ht="12.75" customHeight="1">
      <c r="A207" s="13" t="s">
        <v>5508</v>
      </c>
      <c r="B207" s="13" t="s">
        <v>9473</v>
      </c>
      <c r="C207" s="13" t="s">
        <v>5510</v>
      </c>
      <c r="D207" s="13" t="s">
        <v>5510</v>
      </c>
      <c r="E207" s="13" t="s">
        <v>5510</v>
      </c>
      <c r="F207" s="13" t="s">
        <v>9474</v>
      </c>
      <c r="G207" s="13" t="s">
        <v>5510</v>
      </c>
      <c r="H207" s="13" t="s">
        <v>5510</v>
      </c>
      <c r="I207" s="13" t="s">
        <v>2455</v>
      </c>
      <c r="J207" s="13" t="s">
        <v>6650</v>
      </c>
      <c r="K207" s="13" t="s">
        <v>5510</v>
      </c>
      <c r="L207" s="13" t="s">
        <v>5510</v>
      </c>
      <c r="M207" s="13" t="s">
        <v>5513</v>
      </c>
      <c r="N207" s="13" t="s">
        <v>5514</v>
      </c>
      <c r="O207" s="13" t="s">
        <v>5510</v>
      </c>
      <c r="P207" s="13" t="s">
        <v>5510</v>
      </c>
      <c r="Q207" s="13" t="s">
        <v>5510</v>
      </c>
      <c r="R207" s="13" t="s">
        <v>5510</v>
      </c>
      <c r="S207" s="13" t="s">
        <v>5510</v>
      </c>
      <c r="T207" s="13" t="s">
        <v>9475</v>
      </c>
      <c r="U207" s="13" t="s">
        <v>9476</v>
      </c>
      <c r="V207" s="13" t="s">
        <v>9477</v>
      </c>
      <c r="W207" s="13" t="s">
        <v>9478</v>
      </c>
      <c r="X207" s="13" t="s">
        <v>9479</v>
      </c>
      <c r="Y207" s="13" t="s">
        <v>9480</v>
      </c>
      <c r="Z207" s="13" t="s">
        <v>9481</v>
      </c>
      <c r="AA207" s="13" t="s">
        <v>5510</v>
      </c>
      <c r="AB207" s="13" t="s">
        <v>9482</v>
      </c>
      <c r="AC207" s="13" t="s">
        <v>9483</v>
      </c>
      <c r="AD207" s="13" t="s">
        <v>9484</v>
      </c>
      <c r="AE207" s="13" t="s">
        <v>9485</v>
      </c>
      <c r="AF207" s="13" t="s">
        <v>5510</v>
      </c>
      <c r="AG207" s="13">
        <v>47.0</v>
      </c>
      <c r="AH207" s="13">
        <v>24.0</v>
      </c>
      <c r="AI207" s="13">
        <v>25.0</v>
      </c>
      <c r="AJ207" s="13">
        <v>0.0</v>
      </c>
      <c r="AK207" s="13">
        <v>17.0</v>
      </c>
      <c r="AL207" s="13" t="s">
        <v>5800</v>
      </c>
      <c r="AM207" s="13" t="s">
        <v>5801</v>
      </c>
      <c r="AN207" s="13" t="s">
        <v>5802</v>
      </c>
      <c r="AO207" s="13" t="s">
        <v>6663</v>
      </c>
      <c r="AP207" s="13" t="s">
        <v>6664</v>
      </c>
      <c r="AQ207" s="13" t="s">
        <v>5510</v>
      </c>
      <c r="AR207" s="13" t="s">
        <v>6665</v>
      </c>
      <c r="AS207" s="13" t="s">
        <v>6666</v>
      </c>
      <c r="AT207" s="13" t="s">
        <v>5510</v>
      </c>
      <c r="AU207" s="13">
        <v>2012.0</v>
      </c>
      <c r="AV207" s="13">
        <v>444.0</v>
      </c>
      <c r="AW207" s="13" t="s">
        <v>5510</v>
      </c>
      <c r="AX207" s="13" t="s">
        <v>5510</v>
      </c>
      <c r="AY207" s="13" t="s">
        <v>5510</v>
      </c>
      <c r="AZ207" s="13" t="s">
        <v>5510</v>
      </c>
      <c r="BA207" s="13" t="s">
        <v>5510</v>
      </c>
      <c r="BB207" s="13">
        <v>251.0</v>
      </c>
      <c r="BC207" s="13" t="s">
        <v>9486</v>
      </c>
      <c r="BD207" s="13" t="s">
        <v>5510</v>
      </c>
      <c r="BE207" s="13" t="s">
        <v>9487</v>
      </c>
      <c r="BF207" s="52" t="str">
        <f>HYPERLINK("http://dx.doi.org/10.3354/meps09434","http://dx.doi.org/10.3354/meps09434")</f>
        <v>http://dx.doi.org/10.3354/meps09434</v>
      </c>
      <c r="BG207" s="13" t="s">
        <v>5510</v>
      </c>
      <c r="BH207" s="13" t="s">
        <v>5510</v>
      </c>
      <c r="BI207" s="13">
        <v>17.0</v>
      </c>
      <c r="BJ207" s="13" t="s">
        <v>6669</v>
      </c>
      <c r="BK207" s="13" t="s">
        <v>5561</v>
      </c>
      <c r="BL207" s="13" t="s">
        <v>6670</v>
      </c>
      <c r="BM207" s="13" t="s">
        <v>9488</v>
      </c>
      <c r="BN207" s="13" t="s">
        <v>5510</v>
      </c>
      <c r="BO207" s="13" t="s">
        <v>5809</v>
      </c>
      <c r="BP207" s="13" t="s">
        <v>5510</v>
      </c>
      <c r="BQ207" s="13" t="s">
        <v>5510</v>
      </c>
      <c r="BR207" s="13" t="s">
        <v>5538</v>
      </c>
      <c r="BS207" s="13" t="s">
        <v>9489</v>
      </c>
      <c r="BT207" s="13">
        <v>23234.0</v>
      </c>
      <c r="BU207" s="13" t="s">
        <v>5540</v>
      </c>
      <c r="BV207" s="13" t="s">
        <v>4864</v>
      </c>
      <c r="BW207" s="13" t="str">
        <f>VLOOKUP($BT207,Enriched!$A$2:$E$1070,5,false)</f>
        <v>["Biological resource use"]</v>
      </c>
      <c r="BX207" s="13" t="str">
        <f>VLOOKUP($BT207,Enriched!$A$2:$E$1070,4,false)</f>
        <v>["Fishing &amp; harvesting aquatic resources"]</v>
      </c>
      <c r="BY207" s="13" t="b">
        <f>VLOOKUP(BT207,Enriched!$A$1:$AA$1070,27,falsE)</f>
        <v>0</v>
      </c>
      <c r="BZ207" s="2" t="str">
        <f>VLOOKUP(BT207,Enriched!$A$1:$AA$1070,14,falsE)</f>
        <v>level2</v>
      </c>
      <c r="CA207" s="13" t="str">
        <f>HYPERLINK("https%3A%2F%2Fwww.webofscience.com%2Fwos%2Fwoscc%2Ffull-record%2FWOS:000298970900018","View Full Record in Web of Science")</f>
        <v>View Full Record in Web of Science</v>
      </c>
    </row>
    <row r="208" ht="12.75" customHeight="1">
      <c r="A208" s="13" t="s">
        <v>5508</v>
      </c>
      <c r="B208" s="13" t="s">
        <v>9490</v>
      </c>
      <c r="C208" s="13" t="s">
        <v>5510</v>
      </c>
      <c r="D208" s="13" t="s">
        <v>5510</v>
      </c>
      <c r="E208" s="13" t="s">
        <v>5510</v>
      </c>
      <c r="F208" s="13" t="s">
        <v>9491</v>
      </c>
      <c r="G208" s="13" t="s">
        <v>5510</v>
      </c>
      <c r="H208" s="13" t="s">
        <v>5510</v>
      </c>
      <c r="I208" s="13" t="s">
        <v>2452</v>
      </c>
      <c r="J208" s="13" t="s">
        <v>5919</v>
      </c>
      <c r="K208" s="13" t="s">
        <v>5510</v>
      </c>
      <c r="L208" s="13" t="s">
        <v>5510</v>
      </c>
      <c r="M208" s="13" t="s">
        <v>5513</v>
      </c>
      <c r="N208" s="13" t="s">
        <v>5514</v>
      </c>
      <c r="O208" s="13" t="s">
        <v>5510</v>
      </c>
      <c r="P208" s="13" t="s">
        <v>5510</v>
      </c>
      <c r="Q208" s="13" t="s">
        <v>5510</v>
      </c>
      <c r="R208" s="13" t="s">
        <v>5510</v>
      </c>
      <c r="S208" s="13" t="s">
        <v>5510</v>
      </c>
      <c r="T208" s="13" t="s">
        <v>9492</v>
      </c>
      <c r="U208" s="13" t="s">
        <v>9493</v>
      </c>
      <c r="V208" s="13" t="s">
        <v>9494</v>
      </c>
      <c r="W208" s="13" t="s">
        <v>9495</v>
      </c>
      <c r="X208" s="13" t="s">
        <v>9496</v>
      </c>
      <c r="Y208" s="13" t="s">
        <v>9497</v>
      </c>
      <c r="Z208" s="13" t="s">
        <v>9498</v>
      </c>
      <c r="AA208" s="13" t="s">
        <v>9499</v>
      </c>
      <c r="AB208" s="13" t="s">
        <v>5510</v>
      </c>
      <c r="AC208" s="13" t="s">
        <v>9500</v>
      </c>
      <c r="AD208" s="13" t="s">
        <v>9501</v>
      </c>
      <c r="AE208" s="13" t="s">
        <v>9502</v>
      </c>
      <c r="AF208" s="13" t="s">
        <v>5510</v>
      </c>
      <c r="AG208" s="13">
        <v>69.0</v>
      </c>
      <c r="AH208" s="13">
        <v>9.0</v>
      </c>
      <c r="AI208" s="13">
        <v>9.0</v>
      </c>
      <c r="AJ208" s="13">
        <v>0.0</v>
      </c>
      <c r="AK208" s="13">
        <v>46.0</v>
      </c>
      <c r="AL208" s="13" t="s">
        <v>5931</v>
      </c>
      <c r="AM208" s="13" t="s">
        <v>5932</v>
      </c>
      <c r="AN208" s="13" t="s">
        <v>5933</v>
      </c>
      <c r="AO208" s="13" t="s">
        <v>5934</v>
      </c>
      <c r="AP208" s="13" t="s">
        <v>5935</v>
      </c>
      <c r="AQ208" s="13" t="s">
        <v>5510</v>
      </c>
      <c r="AR208" s="13" t="s">
        <v>5936</v>
      </c>
      <c r="AS208" s="13" t="s">
        <v>5937</v>
      </c>
      <c r="AT208" s="13" t="s">
        <v>5866</v>
      </c>
      <c r="AU208" s="13">
        <v>2019.0</v>
      </c>
      <c r="AV208" s="13">
        <v>233.0</v>
      </c>
      <c r="AW208" s="13" t="s">
        <v>5510</v>
      </c>
      <c r="AX208" s="13" t="s">
        <v>5510</v>
      </c>
      <c r="AY208" s="13" t="s">
        <v>5510</v>
      </c>
      <c r="AZ208" s="13" t="s">
        <v>5510</v>
      </c>
      <c r="BA208" s="13" t="s">
        <v>5510</v>
      </c>
      <c r="BB208" s="13">
        <v>336.0</v>
      </c>
      <c r="BC208" s="13">
        <v>345.0</v>
      </c>
      <c r="BD208" s="13" t="s">
        <v>5510</v>
      </c>
      <c r="BE208" s="13" t="s">
        <v>9503</v>
      </c>
      <c r="BF208" s="52" t="str">
        <f>HYPERLINK("http://dx.doi.org/10.1016/j.biocon.2019.02.020","http://dx.doi.org/10.1016/j.biocon.2019.02.020")</f>
        <v>http://dx.doi.org/10.1016/j.biocon.2019.02.020</v>
      </c>
      <c r="BG208" s="13" t="s">
        <v>5510</v>
      </c>
      <c r="BH208" s="13" t="s">
        <v>5510</v>
      </c>
      <c r="BI208" s="13">
        <v>10.0</v>
      </c>
      <c r="BJ208" s="13" t="s">
        <v>5698</v>
      </c>
      <c r="BK208" s="13" t="s">
        <v>5561</v>
      </c>
      <c r="BL208" s="13" t="s">
        <v>5699</v>
      </c>
      <c r="BM208" s="13" t="s">
        <v>9504</v>
      </c>
      <c r="BN208" s="13" t="s">
        <v>5510</v>
      </c>
      <c r="BO208" s="13" t="s">
        <v>5510</v>
      </c>
      <c r="BP208" s="13" t="s">
        <v>5510</v>
      </c>
      <c r="BQ208" s="13" t="s">
        <v>5510</v>
      </c>
      <c r="BR208" s="13" t="s">
        <v>5538</v>
      </c>
      <c r="BS208" s="13" t="s">
        <v>9505</v>
      </c>
      <c r="BT208" s="13">
        <v>23559.0</v>
      </c>
      <c r="BU208" s="13" t="s">
        <v>5540</v>
      </c>
      <c r="BV208" s="13" t="s">
        <v>4856</v>
      </c>
      <c r="BW208" s="13" t="str">
        <f>VLOOKUP($BT208,Enriched!$A$2:$E$1070,5,false)</f>
        <v>["Agriculture &amp; Aquaculture"]</v>
      </c>
      <c r="BX208" s="13" t="str">
        <f>VLOOKUP($BT208,Enriched!$A$2:$E$1070,4,false)</f>
        <v>["Wood &amp; pulp plantations"]</v>
      </c>
      <c r="BY208" s="13" t="b">
        <f>VLOOKUP(BT208,Enriched!$A$1:$AA$1070,27,falsE)</f>
        <v>0</v>
      </c>
      <c r="BZ208" s="2" t="str">
        <f>VLOOKUP(BT208,Enriched!$A$1:$AA$1070,14,falsE)</f>
        <v>level2</v>
      </c>
      <c r="CA208" s="13" t="str">
        <f>HYPERLINK("https%3A%2F%2Fwww.webofscience.com%2Fwos%2Fwoscc%2Ffull-record%2FWOS:000467513500038","View Full Record in Web of Science")</f>
        <v>View Full Record in Web of Science</v>
      </c>
    </row>
    <row r="209" ht="12.75" customHeight="1">
      <c r="A209" s="13" t="s">
        <v>5508</v>
      </c>
      <c r="B209" s="13" t="s">
        <v>9506</v>
      </c>
      <c r="C209" s="13" t="s">
        <v>5510</v>
      </c>
      <c r="D209" s="13" t="s">
        <v>5510</v>
      </c>
      <c r="E209" s="13" t="s">
        <v>5510</v>
      </c>
      <c r="F209" s="13" t="s">
        <v>9507</v>
      </c>
      <c r="G209" s="13" t="s">
        <v>5510</v>
      </c>
      <c r="H209" s="13" t="s">
        <v>5510</v>
      </c>
      <c r="I209" s="13" t="s">
        <v>2448</v>
      </c>
      <c r="J209" s="13" t="s">
        <v>9508</v>
      </c>
      <c r="K209" s="13" t="s">
        <v>5510</v>
      </c>
      <c r="L209" s="13" t="s">
        <v>5510</v>
      </c>
      <c r="M209" s="13" t="s">
        <v>5513</v>
      </c>
      <c r="N209" s="13" t="s">
        <v>5514</v>
      </c>
      <c r="O209" s="13" t="s">
        <v>5510</v>
      </c>
      <c r="P209" s="13" t="s">
        <v>5510</v>
      </c>
      <c r="Q209" s="13" t="s">
        <v>5510</v>
      </c>
      <c r="R209" s="13" t="s">
        <v>5510</v>
      </c>
      <c r="S209" s="13" t="s">
        <v>5510</v>
      </c>
      <c r="T209" s="13" t="s">
        <v>9509</v>
      </c>
      <c r="U209" s="13" t="s">
        <v>9510</v>
      </c>
      <c r="V209" s="13" t="s">
        <v>9511</v>
      </c>
      <c r="W209" s="13" t="s">
        <v>9512</v>
      </c>
      <c r="X209" s="13" t="s">
        <v>9513</v>
      </c>
      <c r="Y209" s="13" t="s">
        <v>9514</v>
      </c>
      <c r="Z209" s="13" t="s">
        <v>9515</v>
      </c>
      <c r="AA209" s="13" t="s">
        <v>9516</v>
      </c>
      <c r="AB209" s="13" t="s">
        <v>9517</v>
      </c>
      <c r="AC209" s="13" t="s">
        <v>9518</v>
      </c>
      <c r="AD209" s="13" t="s">
        <v>9519</v>
      </c>
      <c r="AE209" s="13" t="s">
        <v>9518</v>
      </c>
      <c r="AF209" s="13" t="s">
        <v>5510</v>
      </c>
      <c r="AG209" s="13">
        <v>78.0</v>
      </c>
      <c r="AH209" s="13">
        <v>33.0</v>
      </c>
      <c r="AI209" s="13">
        <v>44.0</v>
      </c>
      <c r="AJ209" s="13">
        <v>4.0</v>
      </c>
      <c r="AK209" s="13">
        <v>132.0</v>
      </c>
      <c r="AL209" s="13" t="s">
        <v>5527</v>
      </c>
      <c r="AM209" s="13" t="s">
        <v>5528</v>
      </c>
      <c r="AN209" s="13" t="s">
        <v>5529</v>
      </c>
      <c r="AO209" s="13" t="s">
        <v>9520</v>
      </c>
      <c r="AP209" s="13" t="s">
        <v>9521</v>
      </c>
      <c r="AQ209" s="13" t="s">
        <v>5510</v>
      </c>
      <c r="AR209" s="13" t="s">
        <v>9522</v>
      </c>
      <c r="AS209" s="13" t="s">
        <v>9523</v>
      </c>
      <c r="AT209" s="13" t="s">
        <v>6175</v>
      </c>
      <c r="AU209" s="13">
        <v>2018.0</v>
      </c>
      <c r="AV209" s="13">
        <v>9.0</v>
      </c>
      <c r="AW209" s="13">
        <v>8.0</v>
      </c>
      <c r="AX209" s="13" t="s">
        <v>5510</v>
      </c>
      <c r="AY209" s="13" t="s">
        <v>5510</v>
      </c>
      <c r="AZ209" s="13" t="s">
        <v>5510</v>
      </c>
      <c r="BA209" s="13" t="s">
        <v>5510</v>
      </c>
      <c r="BB209" s="13">
        <v>1837.0</v>
      </c>
      <c r="BC209" s="13">
        <v>1852.0</v>
      </c>
      <c r="BD209" s="13" t="s">
        <v>5510</v>
      </c>
      <c r="BE209" s="13" t="s">
        <v>9524</v>
      </c>
      <c r="BF209" s="52" t="str">
        <f>HYPERLINK("http://dx.doi.org/10.1111/2041-210X.12923","http://dx.doi.org/10.1111/2041-210X.12923")</f>
        <v>http://dx.doi.org/10.1111/2041-210X.12923</v>
      </c>
      <c r="BG209" s="13" t="s">
        <v>5510</v>
      </c>
      <c r="BH209" s="13" t="s">
        <v>5510</v>
      </c>
      <c r="BI209" s="13">
        <v>16.0</v>
      </c>
      <c r="BJ209" s="13" t="s">
        <v>5533</v>
      </c>
      <c r="BK209" s="13" t="s">
        <v>5561</v>
      </c>
      <c r="BL209" s="13" t="s">
        <v>5535</v>
      </c>
      <c r="BM209" s="13" t="s">
        <v>9525</v>
      </c>
      <c r="BN209" s="13" t="s">
        <v>5510</v>
      </c>
      <c r="BO209" s="13" t="s">
        <v>5510</v>
      </c>
      <c r="BP209" s="13" t="s">
        <v>5510</v>
      </c>
      <c r="BQ209" s="13" t="s">
        <v>5510</v>
      </c>
      <c r="BR209" s="13" t="s">
        <v>5538</v>
      </c>
      <c r="BS209" s="13" t="s">
        <v>9526</v>
      </c>
      <c r="BT209" s="13">
        <v>23782.0</v>
      </c>
      <c r="BU209" s="13" t="s">
        <v>5540</v>
      </c>
      <c r="BV209" s="13" t="s">
        <v>4855</v>
      </c>
      <c r="BW209" s="13" t="str">
        <f>VLOOKUP($BT209,Enriched!$A$2:$E$1070,5,false)</f>
        <v>["Climate Change &amp; Severe Weather", "Agriculture &amp; Aquaculture"]</v>
      </c>
      <c r="BX209" s="13" t="str">
        <f>VLOOKUP($BT209,Enriched!$A$2:$E$1070,4,false)</f>
        <v>["Habitat shifting &amp; alteration"]</v>
      </c>
      <c r="BY209" s="13" t="b">
        <f>VLOOKUP(BT209,Enriched!$A$1:$AA$1070,27,falsE)</f>
        <v>1</v>
      </c>
      <c r="BZ209" s="2" t="str">
        <f>VLOOKUP(BT209,Enriched!$A$1:$AA$1070,14,falsE)</f>
        <v>cumulative</v>
      </c>
      <c r="CA209" s="13" t="str">
        <f>HYPERLINK("https%3A%2F%2Fwww.webofscience.com%2Fwos%2Fwoscc%2Ffull-record%2FWOS:000440846600006","View Full Record in Web of Science")</f>
        <v>View Full Record in Web of Science</v>
      </c>
    </row>
    <row r="210" ht="12.75" customHeight="1">
      <c r="A210" s="13" t="s">
        <v>5508</v>
      </c>
      <c r="B210" s="13" t="s">
        <v>9527</v>
      </c>
      <c r="C210" s="13" t="s">
        <v>5510</v>
      </c>
      <c r="D210" s="13" t="s">
        <v>5510</v>
      </c>
      <c r="E210" s="13" t="s">
        <v>5510</v>
      </c>
      <c r="F210" s="13" t="s">
        <v>9528</v>
      </c>
      <c r="G210" s="13" t="s">
        <v>5510</v>
      </c>
      <c r="H210" s="13" t="s">
        <v>5510</v>
      </c>
      <c r="I210" s="13" t="s">
        <v>2445</v>
      </c>
      <c r="J210" s="13" t="s">
        <v>8795</v>
      </c>
      <c r="K210" s="13" t="s">
        <v>5510</v>
      </c>
      <c r="L210" s="13" t="s">
        <v>5510</v>
      </c>
      <c r="M210" s="13" t="s">
        <v>5513</v>
      </c>
      <c r="N210" s="13" t="s">
        <v>5514</v>
      </c>
      <c r="O210" s="13" t="s">
        <v>5510</v>
      </c>
      <c r="P210" s="13" t="s">
        <v>5510</v>
      </c>
      <c r="Q210" s="13" t="s">
        <v>5510</v>
      </c>
      <c r="R210" s="13" t="s">
        <v>5510</v>
      </c>
      <c r="S210" s="13" t="s">
        <v>5510</v>
      </c>
      <c r="T210" s="13" t="s">
        <v>5510</v>
      </c>
      <c r="U210" s="13" t="s">
        <v>9529</v>
      </c>
      <c r="V210" s="13" t="s">
        <v>9530</v>
      </c>
      <c r="W210" s="13" t="s">
        <v>9531</v>
      </c>
      <c r="X210" s="13" t="s">
        <v>9532</v>
      </c>
      <c r="Y210" s="13" t="s">
        <v>9533</v>
      </c>
      <c r="Z210" s="13" t="s">
        <v>9534</v>
      </c>
      <c r="AA210" s="13" t="s">
        <v>9535</v>
      </c>
      <c r="AB210" s="13" t="s">
        <v>9536</v>
      </c>
      <c r="AC210" s="13" t="s">
        <v>9537</v>
      </c>
      <c r="AD210" s="13" t="s">
        <v>9538</v>
      </c>
      <c r="AE210" s="13" t="s">
        <v>9539</v>
      </c>
      <c r="AF210" s="13" t="s">
        <v>5510</v>
      </c>
      <c r="AG210" s="13">
        <v>76.0</v>
      </c>
      <c r="AH210" s="13">
        <v>52.0</v>
      </c>
      <c r="AI210" s="13">
        <v>55.0</v>
      </c>
      <c r="AJ210" s="13">
        <v>2.0</v>
      </c>
      <c r="AK210" s="13">
        <v>35.0</v>
      </c>
      <c r="AL210" s="13" t="s">
        <v>8807</v>
      </c>
      <c r="AM210" s="13" t="s">
        <v>8808</v>
      </c>
      <c r="AN210" s="13" t="s">
        <v>8809</v>
      </c>
      <c r="AO210" s="13" t="s">
        <v>8810</v>
      </c>
      <c r="AP210" s="13" t="s">
        <v>5510</v>
      </c>
      <c r="AQ210" s="13" t="s">
        <v>5510</v>
      </c>
      <c r="AR210" s="13" t="s">
        <v>8811</v>
      </c>
      <c r="AS210" s="13" t="s">
        <v>8812</v>
      </c>
      <c r="AT210" s="13" t="s">
        <v>9540</v>
      </c>
      <c r="AU210" s="13">
        <v>2019.0</v>
      </c>
      <c r="AV210" s="13">
        <v>9.0</v>
      </c>
      <c r="AW210" s="13" t="s">
        <v>5510</v>
      </c>
      <c r="AX210" s="13" t="s">
        <v>5510</v>
      </c>
      <c r="AY210" s="13" t="s">
        <v>5510</v>
      </c>
      <c r="AZ210" s="13" t="s">
        <v>5510</v>
      </c>
      <c r="BA210" s="13" t="s">
        <v>5510</v>
      </c>
      <c r="BB210" s="13" t="s">
        <v>5510</v>
      </c>
      <c r="BC210" s="13" t="s">
        <v>5510</v>
      </c>
      <c r="BD210" s="13">
        <v>8241.0</v>
      </c>
      <c r="BE210" s="13" t="s">
        <v>9541</v>
      </c>
      <c r="BF210" s="52" t="str">
        <f>HYPERLINK("http://dx.doi.org/10.1038/s41598-019-44483-x","http://dx.doi.org/10.1038/s41598-019-44483-x")</f>
        <v>http://dx.doi.org/10.1038/s41598-019-44483-x</v>
      </c>
      <c r="BG210" s="13" t="s">
        <v>5510</v>
      </c>
      <c r="BH210" s="13" t="s">
        <v>5510</v>
      </c>
      <c r="BI210" s="13">
        <v>11.0</v>
      </c>
      <c r="BJ210" s="13" t="s">
        <v>5560</v>
      </c>
      <c r="BK210" s="13" t="s">
        <v>5561</v>
      </c>
      <c r="BL210" s="13" t="s">
        <v>5562</v>
      </c>
      <c r="BM210" s="13" t="s">
        <v>9542</v>
      </c>
      <c r="BN210" s="13">
        <v>3.1160627E7</v>
      </c>
      <c r="BO210" s="13" t="s">
        <v>5564</v>
      </c>
      <c r="BP210" s="13" t="s">
        <v>5510</v>
      </c>
      <c r="BQ210" s="13" t="s">
        <v>5510</v>
      </c>
      <c r="BR210" s="13" t="s">
        <v>5538</v>
      </c>
      <c r="BS210" s="13" t="s">
        <v>9543</v>
      </c>
      <c r="BT210" s="13">
        <v>23977.0</v>
      </c>
      <c r="BU210" s="13" t="s">
        <v>5540</v>
      </c>
      <c r="BV210" s="13" t="s">
        <v>4856</v>
      </c>
      <c r="BW210" s="13" t="str">
        <f>VLOOKUP($BT210,Enriched!$A$2:$E$1070,5,false)</f>
        <v>["Climate change &amp; severe weather"]</v>
      </c>
      <c r="BX210" s="13" t="str">
        <f>VLOOKUP($BT210,Enriched!$A$2:$E$1070,4,false)</f>
        <v>["Habitat shifting &amp; alteration", "Temperature extremes"]</v>
      </c>
      <c r="BY210" s="13" t="b">
        <f>VLOOKUP(BT210,Enriched!$A$1:$AA$1070,27,falsE)</f>
        <v>0</v>
      </c>
      <c r="BZ210" s="2" t="str">
        <f>VLOOKUP(BT210,Enriched!$A$1:$AA$1070,14,falsE)</f>
        <v>level2</v>
      </c>
      <c r="CA210" s="13" t="str">
        <f>HYPERLINK("https%3A%2F%2Fwww.webofscience.com%2Fwos%2Fwoscc%2Ffull-record%2FWOS:000469913200021","View Full Record in Web of Science")</f>
        <v>View Full Record in Web of Science</v>
      </c>
    </row>
    <row r="211" ht="12.75" customHeight="1">
      <c r="A211" s="13" t="s">
        <v>5508</v>
      </c>
      <c r="B211" s="13" t="s">
        <v>9544</v>
      </c>
      <c r="C211" s="13" t="s">
        <v>5510</v>
      </c>
      <c r="D211" s="13" t="s">
        <v>5510</v>
      </c>
      <c r="E211" s="13" t="s">
        <v>5510</v>
      </c>
      <c r="F211" s="13" t="s">
        <v>9545</v>
      </c>
      <c r="G211" s="13" t="s">
        <v>5510</v>
      </c>
      <c r="H211" s="13" t="s">
        <v>5510</v>
      </c>
      <c r="I211" s="13" t="s">
        <v>2443</v>
      </c>
      <c r="J211" s="13" t="s">
        <v>9546</v>
      </c>
      <c r="K211" s="13" t="s">
        <v>5510</v>
      </c>
      <c r="L211" s="13" t="s">
        <v>5510</v>
      </c>
      <c r="M211" s="13" t="s">
        <v>5513</v>
      </c>
      <c r="N211" s="13" t="s">
        <v>5514</v>
      </c>
      <c r="O211" s="13" t="s">
        <v>5510</v>
      </c>
      <c r="P211" s="13" t="s">
        <v>5510</v>
      </c>
      <c r="Q211" s="13" t="s">
        <v>5510</v>
      </c>
      <c r="R211" s="13" t="s">
        <v>5510</v>
      </c>
      <c r="S211" s="13" t="s">
        <v>5510</v>
      </c>
      <c r="T211" s="13" t="s">
        <v>9547</v>
      </c>
      <c r="U211" s="13" t="s">
        <v>9548</v>
      </c>
      <c r="V211" s="13" t="s">
        <v>9549</v>
      </c>
      <c r="W211" s="13" t="s">
        <v>9550</v>
      </c>
      <c r="X211" s="13" t="s">
        <v>9551</v>
      </c>
      <c r="Y211" s="13" t="s">
        <v>9552</v>
      </c>
      <c r="Z211" s="13" t="s">
        <v>9553</v>
      </c>
      <c r="AA211" s="13" t="s">
        <v>9554</v>
      </c>
      <c r="AB211" s="13" t="s">
        <v>9555</v>
      </c>
      <c r="AC211" s="13" t="s">
        <v>9556</v>
      </c>
      <c r="AD211" s="13" t="s">
        <v>9557</v>
      </c>
      <c r="AE211" s="13" t="s">
        <v>9558</v>
      </c>
      <c r="AF211" s="13" t="s">
        <v>5510</v>
      </c>
      <c r="AG211" s="13">
        <v>110.0</v>
      </c>
      <c r="AH211" s="13">
        <v>66.0</v>
      </c>
      <c r="AI211" s="13">
        <v>80.0</v>
      </c>
      <c r="AJ211" s="13">
        <v>0.0</v>
      </c>
      <c r="AK211" s="13">
        <v>88.0</v>
      </c>
      <c r="AL211" s="13" t="s">
        <v>7450</v>
      </c>
      <c r="AM211" s="13" t="s">
        <v>6046</v>
      </c>
      <c r="AN211" s="13" t="s">
        <v>7451</v>
      </c>
      <c r="AO211" s="13" t="s">
        <v>9559</v>
      </c>
      <c r="AP211" s="13" t="s">
        <v>9560</v>
      </c>
      <c r="AQ211" s="13" t="s">
        <v>5510</v>
      </c>
      <c r="AR211" s="13" t="s">
        <v>9561</v>
      </c>
      <c r="AS211" s="13" t="s">
        <v>9562</v>
      </c>
      <c r="AT211" s="13" t="s">
        <v>6828</v>
      </c>
      <c r="AU211" s="13">
        <v>2012.0</v>
      </c>
      <c r="AV211" s="13">
        <v>96.0</v>
      </c>
      <c r="AW211" s="13">
        <v>1.0</v>
      </c>
      <c r="AX211" s="13" t="s">
        <v>5510</v>
      </c>
      <c r="AY211" s="13" t="s">
        <v>5510</v>
      </c>
      <c r="AZ211" s="13" t="s">
        <v>5510</v>
      </c>
      <c r="BA211" s="13" t="s">
        <v>5510</v>
      </c>
      <c r="BB211" s="13">
        <v>64.0</v>
      </c>
      <c r="BC211" s="13">
        <v>73.0</v>
      </c>
      <c r="BD211" s="13" t="s">
        <v>5510</v>
      </c>
      <c r="BE211" s="13" t="s">
        <v>9563</v>
      </c>
      <c r="BF211" s="52" t="str">
        <f>HYPERLINK("http://dx.doi.org/10.1016/j.jenvman.2011.10.011","http://dx.doi.org/10.1016/j.jenvman.2011.10.011")</f>
        <v>http://dx.doi.org/10.1016/j.jenvman.2011.10.011</v>
      </c>
      <c r="BG211" s="13" t="s">
        <v>5510</v>
      </c>
      <c r="BH211" s="13" t="s">
        <v>5510</v>
      </c>
      <c r="BI211" s="13">
        <v>10.0</v>
      </c>
      <c r="BJ211" s="13" t="s">
        <v>5768</v>
      </c>
      <c r="BK211" s="13" t="s">
        <v>5534</v>
      </c>
      <c r="BL211" s="13" t="s">
        <v>5535</v>
      </c>
      <c r="BM211" s="13" t="s">
        <v>9564</v>
      </c>
      <c r="BN211" s="13">
        <v>2.2208399E7</v>
      </c>
      <c r="BO211" s="13" t="s">
        <v>5510</v>
      </c>
      <c r="BP211" s="13" t="s">
        <v>5510</v>
      </c>
      <c r="BQ211" s="13" t="s">
        <v>5510</v>
      </c>
      <c r="BR211" s="13" t="s">
        <v>5538</v>
      </c>
      <c r="BS211" s="13" t="s">
        <v>9565</v>
      </c>
      <c r="BT211" s="13">
        <v>26117.0</v>
      </c>
      <c r="BU211" s="13" t="s">
        <v>5540</v>
      </c>
      <c r="BV211" s="13" t="s">
        <v>4856</v>
      </c>
      <c r="BW211" s="13" t="str">
        <f>VLOOKUP($BT211,Enriched!$A$2:$E$1070,5,false)</f>
        <v>["Agriculture &amp; Aquaculture"]</v>
      </c>
      <c r="BX211" s="13" t="str">
        <f>VLOOKUP($BT211,Enriched!$A$2:$E$1070,4,false)</f>
        <v>["Annual &amp; perennial non-timber crops", "Wood &amp; pulp plantations"]</v>
      </c>
      <c r="BY211" s="13" t="b">
        <f>VLOOKUP(BT211,Enriched!$A$1:$AA$1070,27,falsE)</f>
        <v>0</v>
      </c>
      <c r="BZ211" s="2" t="str">
        <f>VLOOKUP(BT211,Enriched!$A$1:$AA$1070,14,falsE)</f>
        <v>level2</v>
      </c>
      <c r="CA211" s="13" t="str">
        <f>HYPERLINK("https%3A%2F%2Fwww.webofscience.com%2Fwos%2Fwoscc%2Ffull-record%2FWOS:000300752100008","View Full Record in Web of Science")</f>
        <v>View Full Record in Web of Science</v>
      </c>
    </row>
    <row r="212" ht="12.75" customHeight="1">
      <c r="A212" s="13" t="s">
        <v>5508</v>
      </c>
      <c r="B212" s="13" t="s">
        <v>9566</v>
      </c>
      <c r="C212" s="13" t="s">
        <v>5510</v>
      </c>
      <c r="D212" s="13" t="s">
        <v>5510</v>
      </c>
      <c r="E212" s="13" t="s">
        <v>5510</v>
      </c>
      <c r="F212" s="13" t="s">
        <v>9567</v>
      </c>
      <c r="G212" s="13" t="s">
        <v>5510</v>
      </c>
      <c r="H212" s="13" t="s">
        <v>5510</v>
      </c>
      <c r="I212" s="13" t="s">
        <v>9568</v>
      </c>
      <c r="J212" s="13" t="s">
        <v>7300</v>
      </c>
      <c r="K212" s="13" t="s">
        <v>5510</v>
      </c>
      <c r="L212" s="13" t="s">
        <v>5510</v>
      </c>
      <c r="M212" s="13" t="s">
        <v>5513</v>
      </c>
      <c r="N212" s="13" t="s">
        <v>5514</v>
      </c>
      <c r="O212" s="13" t="s">
        <v>5510</v>
      </c>
      <c r="P212" s="13" t="s">
        <v>5510</v>
      </c>
      <c r="Q212" s="13" t="s">
        <v>5510</v>
      </c>
      <c r="R212" s="13" t="s">
        <v>5510</v>
      </c>
      <c r="S212" s="13" t="s">
        <v>5510</v>
      </c>
      <c r="T212" s="13" t="s">
        <v>9569</v>
      </c>
      <c r="U212" s="13" t="s">
        <v>9570</v>
      </c>
      <c r="V212" s="13" t="s">
        <v>9571</v>
      </c>
      <c r="W212" s="13" t="s">
        <v>9572</v>
      </c>
      <c r="X212" s="13" t="s">
        <v>9573</v>
      </c>
      <c r="Y212" s="13" t="s">
        <v>9574</v>
      </c>
      <c r="Z212" s="13" t="s">
        <v>9575</v>
      </c>
      <c r="AA212" s="13" t="s">
        <v>9576</v>
      </c>
      <c r="AB212" s="13" t="s">
        <v>9577</v>
      </c>
      <c r="AC212" s="13" t="s">
        <v>9578</v>
      </c>
      <c r="AD212" s="13" t="s">
        <v>9578</v>
      </c>
      <c r="AE212" s="13" t="s">
        <v>9579</v>
      </c>
      <c r="AF212" s="13" t="s">
        <v>5510</v>
      </c>
      <c r="AG212" s="13">
        <v>58.0</v>
      </c>
      <c r="AH212" s="13">
        <v>92.0</v>
      </c>
      <c r="AI212" s="13">
        <v>116.0</v>
      </c>
      <c r="AJ212" s="13">
        <v>1.0</v>
      </c>
      <c r="AK212" s="13">
        <v>50.0</v>
      </c>
      <c r="AL212" s="13" t="s">
        <v>6849</v>
      </c>
      <c r="AM212" s="13" t="s">
        <v>6850</v>
      </c>
      <c r="AN212" s="13" t="s">
        <v>6851</v>
      </c>
      <c r="AO212" s="13" t="s">
        <v>5510</v>
      </c>
      <c r="AP212" s="13" t="s">
        <v>7313</v>
      </c>
      <c r="AQ212" s="13" t="s">
        <v>5510</v>
      </c>
      <c r="AR212" s="13" t="s">
        <v>7314</v>
      </c>
      <c r="AS212" s="13" t="s">
        <v>7315</v>
      </c>
      <c r="AT212" s="13" t="s">
        <v>5866</v>
      </c>
      <c r="AU212" s="13">
        <v>2018.0</v>
      </c>
      <c r="AV212" s="13">
        <v>10.0</v>
      </c>
      <c r="AW212" s="13">
        <v>5.0</v>
      </c>
      <c r="AX212" s="13" t="s">
        <v>5510</v>
      </c>
      <c r="AY212" s="13" t="s">
        <v>5510</v>
      </c>
      <c r="AZ212" s="13" t="s">
        <v>5510</v>
      </c>
      <c r="BA212" s="13" t="s">
        <v>5510</v>
      </c>
      <c r="BB212" s="13" t="s">
        <v>5510</v>
      </c>
      <c r="BC212" s="13" t="s">
        <v>5510</v>
      </c>
      <c r="BD212" s="13">
        <v>689.0</v>
      </c>
      <c r="BE212" s="13" t="s">
        <v>9580</v>
      </c>
      <c r="BF212" s="52" t="str">
        <f>HYPERLINK("http://dx.doi.org/10.3390/rs10050689","http://dx.doi.org/10.3390/rs10050689")</f>
        <v>http://dx.doi.org/10.3390/rs10050689</v>
      </c>
      <c r="BG212" s="13" t="s">
        <v>5510</v>
      </c>
      <c r="BH212" s="13" t="s">
        <v>5510</v>
      </c>
      <c r="BI212" s="13">
        <v>20.0</v>
      </c>
      <c r="BJ212" s="13" t="s">
        <v>7317</v>
      </c>
      <c r="BK212" s="13" t="s">
        <v>5561</v>
      </c>
      <c r="BL212" s="13" t="s">
        <v>7318</v>
      </c>
      <c r="BM212" s="13" t="s">
        <v>9581</v>
      </c>
      <c r="BN212" s="13" t="s">
        <v>5510</v>
      </c>
      <c r="BO212" s="13" t="s">
        <v>5564</v>
      </c>
      <c r="BP212" s="13" t="s">
        <v>5510</v>
      </c>
      <c r="BQ212" s="13" t="s">
        <v>5510</v>
      </c>
      <c r="BR212" s="13" t="s">
        <v>5538</v>
      </c>
      <c r="BS212" s="13" t="s">
        <v>9582</v>
      </c>
      <c r="BT212" s="13">
        <v>24160.0</v>
      </c>
      <c r="BU212" s="13" t="s">
        <v>5540</v>
      </c>
      <c r="BV212" s="13" t="s">
        <v>4856</v>
      </c>
      <c r="BW212" s="13" t="str">
        <f>VLOOKUP($BT212,Enriched!$A$2:$E$1070,5,false)</f>
        <v>["Human Intrusions &amp; Disturbance"]</v>
      </c>
      <c r="BX212" s="13" t="str">
        <f>VLOOKUP($BT212,Enriched!$A$2:$E$1070,4,false)</f>
        <v>["War, civil unrest &amp; military exercises"]</v>
      </c>
      <c r="BY212" s="13" t="b">
        <f>VLOOKUP(BT212,Enriched!$A$1:$AA$1070,27,falsE)</f>
        <v>0</v>
      </c>
      <c r="BZ212" s="2" t="str">
        <f>VLOOKUP(BT212,Enriched!$A$1:$AA$1070,14,falsE)</f>
        <v>level2</v>
      </c>
      <c r="CA212" s="13" t="str">
        <f>HYPERLINK("https%3A%2F%2Fwww.webofscience.com%2Fwos%2Fwoscc%2Ffull-record%2FWOS:000435198400031","View Full Record in Web of Science")</f>
        <v>View Full Record in Web of Science</v>
      </c>
    </row>
    <row r="213" ht="12.75" customHeight="1">
      <c r="A213" s="13" t="s">
        <v>5508</v>
      </c>
      <c r="B213" s="13" t="s">
        <v>9583</v>
      </c>
      <c r="C213" s="13" t="s">
        <v>5510</v>
      </c>
      <c r="D213" s="13" t="s">
        <v>5510</v>
      </c>
      <c r="E213" s="13" t="s">
        <v>5510</v>
      </c>
      <c r="F213" s="13" t="s">
        <v>9584</v>
      </c>
      <c r="G213" s="13" t="s">
        <v>5510</v>
      </c>
      <c r="H213" s="13" t="s">
        <v>5510</v>
      </c>
      <c r="I213" s="13" t="s">
        <v>2438</v>
      </c>
      <c r="J213" s="13" t="s">
        <v>9585</v>
      </c>
      <c r="K213" s="13" t="s">
        <v>5510</v>
      </c>
      <c r="L213" s="13" t="s">
        <v>5510</v>
      </c>
      <c r="M213" s="13" t="s">
        <v>5513</v>
      </c>
      <c r="N213" s="13" t="s">
        <v>5514</v>
      </c>
      <c r="O213" s="13" t="s">
        <v>5510</v>
      </c>
      <c r="P213" s="13" t="s">
        <v>5510</v>
      </c>
      <c r="Q213" s="13" t="s">
        <v>5510</v>
      </c>
      <c r="R213" s="13" t="s">
        <v>5510</v>
      </c>
      <c r="S213" s="13" t="s">
        <v>5510</v>
      </c>
      <c r="T213" s="13" t="s">
        <v>9586</v>
      </c>
      <c r="U213" s="13" t="s">
        <v>9587</v>
      </c>
      <c r="V213" s="13" t="s">
        <v>9588</v>
      </c>
      <c r="W213" s="13" t="s">
        <v>9589</v>
      </c>
      <c r="X213" s="13" t="s">
        <v>9590</v>
      </c>
      <c r="Y213" s="13" t="s">
        <v>9591</v>
      </c>
      <c r="Z213" s="13" t="s">
        <v>9592</v>
      </c>
      <c r="AA213" s="13" t="s">
        <v>9593</v>
      </c>
      <c r="AB213" s="13" t="s">
        <v>9594</v>
      </c>
      <c r="AC213" s="13" t="s">
        <v>9595</v>
      </c>
      <c r="AD213" s="13" t="s">
        <v>9596</v>
      </c>
      <c r="AE213" s="13" t="s">
        <v>9597</v>
      </c>
      <c r="AF213" s="13" t="s">
        <v>5510</v>
      </c>
      <c r="AG213" s="13">
        <v>57.0</v>
      </c>
      <c r="AH213" s="13">
        <v>17.0</v>
      </c>
      <c r="AI213" s="13">
        <v>20.0</v>
      </c>
      <c r="AJ213" s="13">
        <v>2.0</v>
      </c>
      <c r="AK213" s="13">
        <v>24.0</v>
      </c>
      <c r="AL213" s="13" t="s">
        <v>9598</v>
      </c>
      <c r="AM213" s="13" t="s">
        <v>9599</v>
      </c>
      <c r="AN213" s="13" t="s">
        <v>9600</v>
      </c>
      <c r="AO213" s="13" t="s">
        <v>9601</v>
      </c>
      <c r="AP213" s="13" t="s">
        <v>5510</v>
      </c>
      <c r="AQ213" s="13" t="s">
        <v>5510</v>
      </c>
      <c r="AR213" s="13" t="s">
        <v>9602</v>
      </c>
      <c r="AS213" s="13" t="s">
        <v>9603</v>
      </c>
      <c r="AT213" s="13" t="s">
        <v>5720</v>
      </c>
      <c r="AU213" s="13">
        <v>2020.0</v>
      </c>
      <c r="AV213" s="13">
        <v>15.0</v>
      </c>
      <c r="AW213" s="13">
        <v>1.0</v>
      </c>
      <c r="AX213" s="13" t="s">
        <v>5510</v>
      </c>
      <c r="AY213" s="13" t="s">
        <v>5510</v>
      </c>
      <c r="AZ213" s="13" t="s">
        <v>5510</v>
      </c>
      <c r="BA213" s="13" t="s">
        <v>5510</v>
      </c>
      <c r="BB213" s="13" t="s">
        <v>5510</v>
      </c>
      <c r="BC213" s="13" t="s">
        <v>5510</v>
      </c>
      <c r="BD213" s="13">
        <v>19.0</v>
      </c>
      <c r="BE213" s="13" t="s">
        <v>9604</v>
      </c>
      <c r="BF213" s="52" t="str">
        <f>HYPERLINK("http://dx.doi.org/10.5751/ACE-01596-150119","http://dx.doi.org/10.5751/ACE-01596-150119")</f>
        <v>http://dx.doi.org/10.5751/ACE-01596-150119</v>
      </c>
      <c r="BG213" s="13" t="s">
        <v>5510</v>
      </c>
      <c r="BH213" s="13" t="s">
        <v>5510</v>
      </c>
      <c r="BI213" s="13">
        <v>8.0</v>
      </c>
      <c r="BJ213" s="13" t="s">
        <v>9605</v>
      </c>
      <c r="BK213" s="13" t="s">
        <v>5561</v>
      </c>
      <c r="BL213" s="13" t="s">
        <v>9606</v>
      </c>
      <c r="BM213" s="13" t="s">
        <v>9607</v>
      </c>
      <c r="BN213" s="13" t="s">
        <v>5510</v>
      </c>
      <c r="BO213" s="13" t="s">
        <v>5537</v>
      </c>
      <c r="BP213" s="13" t="s">
        <v>5510</v>
      </c>
      <c r="BQ213" s="13" t="s">
        <v>5510</v>
      </c>
      <c r="BR213" s="13" t="s">
        <v>5538</v>
      </c>
      <c r="BS213" s="13" t="s">
        <v>9608</v>
      </c>
      <c r="BT213" s="13">
        <v>23992.0</v>
      </c>
      <c r="BU213" s="13" t="s">
        <v>5540</v>
      </c>
      <c r="BV213" s="13" t="s">
        <v>4856</v>
      </c>
      <c r="BW213" s="13" t="str">
        <f>VLOOKUP($BT213,Enriched!$A$2:$E$1070,5,false)</f>
        <v>["Transportation &amp; Service Corridors"]</v>
      </c>
      <c r="BX213" s="13" t="str">
        <f>VLOOKUP($BT213,Enriched!$A$2:$E$1070,4,false)</f>
        <v>["Roads &amp; railroads"]</v>
      </c>
      <c r="BY213" s="13" t="b">
        <f>VLOOKUP(BT213,Enriched!$A$1:$AA$1070,27,falsE)</f>
        <v>0</v>
      </c>
      <c r="BZ213" s="2" t="str">
        <f>VLOOKUP(BT213,Enriched!$A$1:$AA$1070,14,falsE)</f>
        <v>level2</v>
      </c>
      <c r="CA213" s="13" t="str">
        <f>HYPERLINK("https%3A%2F%2Fwww.webofscience.com%2Fwos%2Fwoscc%2Ffull-record%2FWOS:000550365900019","View Full Record in Web of Science")</f>
        <v>View Full Record in Web of Science</v>
      </c>
    </row>
    <row r="214" ht="12.75" customHeight="1">
      <c r="A214" s="13" t="s">
        <v>5508</v>
      </c>
      <c r="B214" s="13" t="s">
        <v>9609</v>
      </c>
      <c r="C214" s="13" t="s">
        <v>5510</v>
      </c>
      <c r="D214" s="13" t="s">
        <v>5510</v>
      </c>
      <c r="E214" s="13" t="s">
        <v>5510</v>
      </c>
      <c r="F214" s="13" t="s">
        <v>9610</v>
      </c>
      <c r="G214" s="13" t="s">
        <v>5510</v>
      </c>
      <c r="H214" s="13" t="s">
        <v>5510</v>
      </c>
      <c r="I214" s="13" t="s">
        <v>2434</v>
      </c>
      <c r="J214" s="13" t="s">
        <v>9611</v>
      </c>
      <c r="K214" s="13" t="s">
        <v>5510</v>
      </c>
      <c r="L214" s="13" t="s">
        <v>5510</v>
      </c>
      <c r="M214" s="13" t="s">
        <v>5513</v>
      </c>
      <c r="N214" s="13" t="s">
        <v>5514</v>
      </c>
      <c r="O214" s="13" t="s">
        <v>5510</v>
      </c>
      <c r="P214" s="13" t="s">
        <v>5510</v>
      </c>
      <c r="Q214" s="13" t="s">
        <v>5510</v>
      </c>
      <c r="R214" s="13" t="s">
        <v>5510</v>
      </c>
      <c r="S214" s="13" t="s">
        <v>5510</v>
      </c>
      <c r="T214" s="13" t="s">
        <v>9612</v>
      </c>
      <c r="U214" s="13" t="s">
        <v>9613</v>
      </c>
      <c r="V214" s="13" t="s">
        <v>9614</v>
      </c>
      <c r="W214" s="13" t="s">
        <v>9615</v>
      </c>
      <c r="X214" s="13" t="s">
        <v>9616</v>
      </c>
      <c r="Y214" s="13" t="s">
        <v>9617</v>
      </c>
      <c r="Z214" s="13" t="s">
        <v>9618</v>
      </c>
      <c r="AA214" s="13" t="s">
        <v>9619</v>
      </c>
      <c r="AB214" s="13" t="s">
        <v>9620</v>
      </c>
      <c r="AC214" s="13" t="s">
        <v>9621</v>
      </c>
      <c r="AD214" s="13" t="s">
        <v>9621</v>
      </c>
      <c r="AE214" s="13" t="s">
        <v>9622</v>
      </c>
      <c r="AF214" s="13" t="s">
        <v>5510</v>
      </c>
      <c r="AG214" s="13">
        <v>72.0</v>
      </c>
      <c r="AH214" s="13">
        <v>45.0</v>
      </c>
      <c r="AI214" s="13">
        <v>54.0</v>
      </c>
      <c r="AJ214" s="13">
        <v>0.0</v>
      </c>
      <c r="AK214" s="13">
        <v>71.0</v>
      </c>
      <c r="AL214" s="13" t="s">
        <v>5527</v>
      </c>
      <c r="AM214" s="13" t="s">
        <v>5528</v>
      </c>
      <c r="AN214" s="13" t="s">
        <v>5529</v>
      </c>
      <c r="AO214" s="13" t="s">
        <v>9623</v>
      </c>
      <c r="AP214" s="13" t="s">
        <v>9624</v>
      </c>
      <c r="AQ214" s="13" t="s">
        <v>5510</v>
      </c>
      <c r="AR214" s="13" t="s">
        <v>9625</v>
      </c>
      <c r="AS214" s="13" t="s">
        <v>9626</v>
      </c>
      <c r="AT214" s="13" t="s">
        <v>5582</v>
      </c>
      <c r="AU214" s="13">
        <v>2011.0</v>
      </c>
      <c r="AV214" s="13">
        <v>53.0</v>
      </c>
      <c r="AW214" s="13">
        <v>1.0</v>
      </c>
      <c r="AX214" s="13" t="s">
        <v>5510</v>
      </c>
      <c r="AY214" s="13" t="s">
        <v>5510</v>
      </c>
      <c r="AZ214" s="13" t="s">
        <v>5510</v>
      </c>
      <c r="BA214" s="13" t="s">
        <v>5510</v>
      </c>
      <c r="BB214" s="13">
        <v>215.0</v>
      </c>
      <c r="BC214" s="13">
        <v>227.0</v>
      </c>
      <c r="BD214" s="13" t="s">
        <v>5510</v>
      </c>
      <c r="BE214" s="13" t="s">
        <v>9627</v>
      </c>
      <c r="BF214" s="52" t="str">
        <f>HYPERLINK("http://dx.doi.org/10.1007/s10144-010-0209-6","http://dx.doi.org/10.1007/s10144-010-0209-6")</f>
        <v>http://dx.doi.org/10.1007/s10144-010-0209-6</v>
      </c>
      <c r="BG214" s="13" t="s">
        <v>5510</v>
      </c>
      <c r="BH214" s="13" t="s">
        <v>5510</v>
      </c>
      <c r="BI214" s="13">
        <v>13.0</v>
      </c>
      <c r="BJ214" s="13" t="s">
        <v>5533</v>
      </c>
      <c r="BK214" s="13" t="s">
        <v>5561</v>
      </c>
      <c r="BL214" s="13" t="s">
        <v>5535</v>
      </c>
      <c r="BM214" s="13" t="s">
        <v>9628</v>
      </c>
      <c r="BN214" s="13" t="s">
        <v>5510</v>
      </c>
      <c r="BO214" s="13" t="s">
        <v>5510</v>
      </c>
      <c r="BP214" s="13" t="s">
        <v>5510</v>
      </c>
      <c r="BQ214" s="13" t="s">
        <v>5510</v>
      </c>
      <c r="BR214" s="13" t="s">
        <v>5538</v>
      </c>
      <c r="BS214" s="13" t="s">
        <v>9629</v>
      </c>
      <c r="BT214" s="13">
        <v>25409.0</v>
      </c>
      <c r="BU214" s="13" t="s">
        <v>5540</v>
      </c>
      <c r="BV214" s="13" t="s">
        <v>4856</v>
      </c>
      <c r="BW214" s="13" t="str">
        <f>VLOOKUP($BT214,Enriched!$A$2:$E$1070,5,false)</f>
        <v>["Transportation &amp; Service Corridors"]</v>
      </c>
      <c r="BX214" s="13" t="str">
        <f>VLOOKUP($BT214,Enriched!$A$2:$E$1070,4,false)</f>
        <v>["Roads &amp; railroads"]</v>
      </c>
      <c r="BY214" s="13" t="b">
        <f>VLOOKUP(BT214,Enriched!$A$1:$AA$1070,27,falsE)</f>
        <v>0</v>
      </c>
      <c r="BZ214" s="2" t="str">
        <f>VLOOKUP(BT214,Enriched!$A$1:$AA$1070,14,falsE)</f>
        <v>level2</v>
      </c>
      <c r="CA214" s="13" t="str">
        <f>HYPERLINK("https%3A%2F%2Fwww.webofscience.com%2Fwos%2Fwoscc%2Ffull-record%2FWOS:000285365800021","View Full Record in Web of Science")</f>
        <v>View Full Record in Web of Science</v>
      </c>
    </row>
    <row r="215" ht="12.75" customHeight="1">
      <c r="A215" s="13" t="s">
        <v>5508</v>
      </c>
      <c r="B215" s="13" t="s">
        <v>9630</v>
      </c>
      <c r="C215" s="13" t="s">
        <v>5510</v>
      </c>
      <c r="D215" s="13" t="s">
        <v>5510</v>
      </c>
      <c r="E215" s="13" t="s">
        <v>5510</v>
      </c>
      <c r="F215" s="13" t="s">
        <v>9631</v>
      </c>
      <c r="G215" s="13" t="s">
        <v>5510</v>
      </c>
      <c r="H215" s="13" t="s">
        <v>5510</v>
      </c>
      <c r="I215" s="13" t="s">
        <v>2433</v>
      </c>
      <c r="J215" s="13" t="s">
        <v>7990</v>
      </c>
      <c r="K215" s="13" t="s">
        <v>5510</v>
      </c>
      <c r="L215" s="13" t="s">
        <v>5510</v>
      </c>
      <c r="M215" s="13" t="s">
        <v>5513</v>
      </c>
      <c r="N215" s="13" t="s">
        <v>5514</v>
      </c>
      <c r="O215" s="13" t="s">
        <v>5510</v>
      </c>
      <c r="P215" s="13" t="s">
        <v>5510</v>
      </c>
      <c r="Q215" s="13" t="s">
        <v>5510</v>
      </c>
      <c r="R215" s="13" t="s">
        <v>5510</v>
      </c>
      <c r="S215" s="13" t="s">
        <v>5510</v>
      </c>
      <c r="T215" s="13" t="s">
        <v>9632</v>
      </c>
      <c r="U215" s="13" t="s">
        <v>9633</v>
      </c>
      <c r="V215" s="13" t="s">
        <v>9634</v>
      </c>
      <c r="W215" s="13" t="s">
        <v>9635</v>
      </c>
      <c r="X215" s="13" t="s">
        <v>9636</v>
      </c>
      <c r="Y215" s="13" t="s">
        <v>9637</v>
      </c>
      <c r="Z215" s="13" t="s">
        <v>9638</v>
      </c>
      <c r="AA215" s="13" t="s">
        <v>9639</v>
      </c>
      <c r="AB215" s="13" t="s">
        <v>9640</v>
      </c>
      <c r="AC215" s="13" t="s">
        <v>9641</v>
      </c>
      <c r="AD215" s="13" t="s">
        <v>9641</v>
      </c>
      <c r="AE215" s="13" t="s">
        <v>9642</v>
      </c>
      <c r="AF215" s="13" t="s">
        <v>5510</v>
      </c>
      <c r="AG215" s="13">
        <v>91.0</v>
      </c>
      <c r="AH215" s="13">
        <v>49.0</v>
      </c>
      <c r="AI215" s="13">
        <v>52.0</v>
      </c>
      <c r="AJ215" s="13">
        <v>1.0</v>
      </c>
      <c r="AK215" s="13">
        <v>74.0</v>
      </c>
      <c r="AL215" s="13" t="s">
        <v>8003</v>
      </c>
      <c r="AM215" s="13" t="s">
        <v>8004</v>
      </c>
      <c r="AN215" s="13" t="s">
        <v>8005</v>
      </c>
      <c r="AO215" s="13" t="s">
        <v>8006</v>
      </c>
      <c r="AP215" s="13" t="s">
        <v>8007</v>
      </c>
      <c r="AQ215" s="13" t="s">
        <v>5510</v>
      </c>
      <c r="AR215" s="13" t="s">
        <v>8008</v>
      </c>
      <c r="AS215" s="13" t="s">
        <v>8009</v>
      </c>
      <c r="AT215" s="13" t="s">
        <v>5720</v>
      </c>
      <c r="AU215" s="13">
        <v>2018.0</v>
      </c>
      <c r="AV215" s="13">
        <v>43.0</v>
      </c>
      <c r="AW215" s="13" t="s">
        <v>5510</v>
      </c>
      <c r="AX215" s="13" t="s">
        <v>5510</v>
      </c>
      <c r="AY215" s="13" t="s">
        <v>5510</v>
      </c>
      <c r="AZ215" s="13" t="s">
        <v>5510</v>
      </c>
      <c r="BA215" s="13" t="s">
        <v>5510</v>
      </c>
      <c r="BB215" s="13">
        <v>8.0</v>
      </c>
      <c r="BC215" s="13">
        <v>18.0</v>
      </c>
      <c r="BD215" s="13" t="s">
        <v>5510</v>
      </c>
      <c r="BE215" s="13" t="s">
        <v>9643</v>
      </c>
      <c r="BF215" s="52" t="str">
        <f>HYPERLINK("http://dx.doi.org/10.1016/j.jnc.2018.02.011","http://dx.doi.org/10.1016/j.jnc.2018.02.011")</f>
        <v>http://dx.doi.org/10.1016/j.jnc.2018.02.011</v>
      </c>
      <c r="BG215" s="13" t="s">
        <v>5510</v>
      </c>
      <c r="BH215" s="13" t="s">
        <v>5510</v>
      </c>
      <c r="BI215" s="13">
        <v>11.0</v>
      </c>
      <c r="BJ215" s="13" t="s">
        <v>5958</v>
      </c>
      <c r="BK215" s="13" t="s">
        <v>5561</v>
      </c>
      <c r="BL215" s="13" t="s">
        <v>5699</v>
      </c>
      <c r="BM215" s="13" t="s">
        <v>9644</v>
      </c>
      <c r="BN215" s="13" t="s">
        <v>5510</v>
      </c>
      <c r="BO215" s="13" t="s">
        <v>5510</v>
      </c>
      <c r="BP215" s="13" t="s">
        <v>5510</v>
      </c>
      <c r="BQ215" s="13" t="s">
        <v>5510</v>
      </c>
      <c r="BR215" s="13" t="s">
        <v>5538</v>
      </c>
      <c r="BS215" s="13" t="s">
        <v>9645</v>
      </c>
      <c r="BT215" s="13">
        <v>24826.0</v>
      </c>
      <c r="BU215" s="13" t="s">
        <v>5540</v>
      </c>
      <c r="BV215" s="13" t="s">
        <v>4856</v>
      </c>
      <c r="BW215" s="13" t="str">
        <f>VLOOKUP($BT215,Enriched!$A$2:$E$1070,5,false)</f>
        <v>["Transportation &amp; Service Corridors"]</v>
      </c>
      <c r="BX215" s="13" t="str">
        <f>VLOOKUP($BT215,Enriched!$A$2:$E$1070,4,false)</f>
        <v>["Roads &amp; railroads"]</v>
      </c>
      <c r="BY215" s="13" t="b">
        <f>VLOOKUP(BT215,Enriched!$A$1:$AA$1070,27,falsE)</f>
        <v>0</v>
      </c>
      <c r="BZ215" s="2" t="str">
        <f>VLOOKUP(BT215,Enriched!$A$1:$AA$1070,14,falsE)</f>
        <v>level2</v>
      </c>
      <c r="CA215" s="13" t="str">
        <f>HYPERLINK("https%3A%2F%2Fwww.webofscience.com%2Fwos%2Fwoscc%2Ffull-record%2FWOS:000436467400002","View Full Record in Web of Science")</f>
        <v>View Full Record in Web of Science</v>
      </c>
    </row>
    <row r="216" ht="12.75" customHeight="1">
      <c r="A216" s="13" t="s">
        <v>5508</v>
      </c>
      <c r="B216" s="13" t="s">
        <v>9646</v>
      </c>
      <c r="C216" s="13" t="s">
        <v>5510</v>
      </c>
      <c r="D216" s="13" t="s">
        <v>5510</v>
      </c>
      <c r="E216" s="13" t="s">
        <v>5510</v>
      </c>
      <c r="F216" s="13" t="s">
        <v>9647</v>
      </c>
      <c r="G216" s="13" t="s">
        <v>5510</v>
      </c>
      <c r="H216" s="13" t="s">
        <v>5510</v>
      </c>
      <c r="I216" s="13" t="s">
        <v>9648</v>
      </c>
      <c r="J216" s="13" t="s">
        <v>5543</v>
      </c>
      <c r="K216" s="13" t="s">
        <v>5510</v>
      </c>
      <c r="L216" s="13" t="s">
        <v>5510</v>
      </c>
      <c r="M216" s="13" t="s">
        <v>5513</v>
      </c>
      <c r="N216" s="13" t="s">
        <v>5514</v>
      </c>
      <c r="O216" s="13" t="s">
        <v>5510</v>
      </c>
      <c r="P216" s="13" t="s">
        <v>5510</v>
      </c>
      <c r="Q216" s="13" t="s">
        <v>5510</v>
      </c>
      <c r="R216" s="13" t="s">
        <v>5510</v>
      </c>
      <c r="S216" s="13" t="s">
        <v>5510</v>
      </c>
      <c r="T216" s="13" t="s">
        <v>5510</v>
      </c>
      <c r="U216" s="13" t="s">
        <v>9649</v>
      </c>
      <c r="V216" s="13" t="s">
        <v>9650</v>
      </c>
      <c r="W216" s="13" t="s">
        <v>9651</v>
      </c>
      <c r="X216" s="13" t="s">
        <v>9652</v>
      </c>
      <c r="Y216" s="13" t="s">
        <v>9653</v>
      </c>
      <c r="Z216" s="13" t="s">
        <v>9654</v>
      </c>
      <c r="AA216" s="13" t="s">
        <v>9655</v>
      </c>
      <c r="AB216" s="13" t="s">
        <v>9656</v>
      </c>
      <c r="AC216" s="13" t="s">
        <v>9657</v>
      </c>
      <c r="AD216" s="13" t="s">
        <v>9657</v>
      </c>
      <c r="AE216" s="13" t="s">
        <v>9658</v>
      </c>
      <c r="AF216" s="13" t="s">
        <v>5510</v>
      </c>
      <c r="AG216" s="13">
        <v>98.0</v>
      </c>
      <c r="AH216" s="13">
        <v>52.0</v>
      </c>
      <c r="AI216" s="13">
        <v>60.0</v>
      </c>
      <c r="AJ216" s="13">
        <v>0.0</v>
      </c>
      <c r="AK216" s="13">
        <v>48.0</v>
      </c>
      <c r="AL216" s="13" t="s">
        <v>5552</v>
      </c>
      <c r="AM216" s="13" t="s">
        <v>5553</v>
      </c>
      <c r="AN216" s="13" t="s">
        <v>5554</v>
      </c>
      <c r="AO216" s="13" t="s">
        <v>5555</v>
      </c>
      <c r="AP216" s="13" t="s">
        <v>5510</v>
      </c>
      <c r="AQ216" s="13" t="s">
        <v>5510</v>
      </c>
      <c r="AR216" s="13" t="s">
        <v>5543</v>
      </c>
      <c r="AS216" s="13" t="s">
        <v>5556</v>
      </c>
      <c r="AT216" s="13" t="s">
        <v>9659</v>
      </c>
      <c r="AU216" s="13">
        <v>2014.0</v>
      </c>
      <c r="AV216" s="13">
        <v>9.0</v>
      </c>
      <c r="AW216" s="13">
        <v>8.0</v>
      </c>
      <c r="AX216" s="13" t="s">
        <v>5510</v>
      </c>
      <c r="AY216" s="13" t="s">
        <v>5510</v>
      </c>
      <c r="AZ216" s="13" t="s">
        <v>5510</v>
      </c>
      <c r="BA216" s="13" t="s">
        <v>5510</v>
      </c>
      <c r="BB216" s="13" t="s">
        <v>5510</v>
      </c>
      <c r="BC216" s="13" t="s">
        <v>5510</v>
      </c>
      <c r="BD216" s="13" t="s">
        <v>9660</v>
      </c>
      <c r="BE216" s="13" t="s">
        <v>9661</v>
      </c>
      <c r="BF216" s="52" t="str">
        <f>HYPERLINK("http://dx.doi.org/10.1371/journal.pone.0105397","http://dx.doi.org/10.1371/journal.pone.0105397")</f>
        <v>http://dx.doi.org/10.1371/journal.pone.0105397</v>
      </c>
      <c r="BG216" s="13" t="s">
        <v>5510</v>
      </c>
      <c r="BH216" s="13" t="s">
        <v>5510</v>
      </c>
      <c r="BI216" s="13">
        <v>17.0</v>
      </c>
      <c r="BJ216" s="13" t="s">
        <v>5560</v>
      </c>
      <c r="BK216" s="13" t="s">
        <v>5561</v>
      </c>
      <c r="BL216" s="13" t="s">
        <v>5562</v>
      </c>
      <c r="BM216" s="13" t="s">
        <v>9662</v>
      </c>
      <c r="BN216" s="13">
        <v>2.51627E7</v>
      </c>
      <c r="BO216" s="13" t="s">
        <v>5564</v>
      </c>
      <c r="BP216" s="13" t="s">
        <v>5510</v>
      </c>
      <c r="BQ216" s="13" t="s">
        <v>5510</v>
      </c>
      <c r="BR216" s="13" t="s">
        <v>5538</v>
      </c>
      <c r="BS216" s="13" t="s">
        <v>9663</v>
      </c>
      <c r="BT216" s="13">
        <v>26017.0</v>
      </c>
      <c r="BU216" s="13" t="s">
        <v>5540</v>
      </c>
      <c r="BV216" s="13" t="s">
        <v>4856</v>
      </c>
      <c r="BW216" s="13" t="str">
        <f>VLOOKUP($BT216,Enriched!$A$2:$E$1070,5,false)</f>
        <v>["Biological resource use"]</v>
      </c>
      <c r="BX216" s="13" t="str">
        <f>VLOOKUP($BT216,Enriched!$A$2:$E$1070,4,false)</f>
        <v>["Hunting &amp; collecting terrestrial animals"]</v>
      </c>
      <c r="BY216" s="13" t="b">
        <f>VLOOKUP(BT216,Enriched!$A$1:$AA$1070,27,falsE)</f>
        <v>0</v>
      </c>
      <c r="BZ216" s="2" t="str">
        <f>VLOOKUP(BT216,Enriched!$A$1:$AA$1070,14,falsE)</f>
        <v>level2</v>
      </c>
      <c r="CA216" s="13" t="str">
        <f>HYPERLINK("https%3A%2F%2Fwww.webofscience.com%2Fwos%2Fwoscc%2Ffull-record%2FWOS:000340880900034","View Full Record in Web of Science")</f>
        <v>View Full Record in Web of Science</v>
      </c>
    </row>
    <row r="217" ht="12.75" customHeight="1">
      <c r="A217" s="13" t="s">
        <v>5508</v>
      </c>
      <c r="B217" s="13" t="s">
        <v>9664</v>
      </c>
      <c r="C217" s="13" t="s">
        <v>5510</v>
      </c>
      <c r="D217" s="13" t="s">
        <v>5510</v>
      </c>
      <c r="E217" s="13" t="s">
        <v>5510</v>
      </c>
      <c r="F217" s="13" t="s">
        <v>9665</v>
      </c>
      <c r="G217" s="13" t="s">
        <v>5510</v>
      </c>
      <c r="H217" s="13" t="s">
        <v>5510</v>
      </c>
      <c r="I217" s="13" t="s">
        <v>2430</v>
      </c>
      <c r="J217" s="13" t="s">
        <v>6114</v>
      </c>
      <c r="K217" s="13" t="s">
        <v>5510</v>
      </c>
      <c r="L217" s="13" t="s">
        <v>5510</v>
      </c>
      <c r="M217" s="13" t="s">
        <v>5513</v>
      </c>
      <c r="N217" s="13" t="s">
        <v>5514</v>
      </c>
      <c r="O217" s="13" t="s">
        <v>5510</v>
      </c>
      <c r="P217" s="13" t="s">
        <v>5510</v>
      </c>
      <c r="Q217" s="13" t="s">
        <v>5510</v>
      </c>
      <c r="R217" s="13" t="s">
        <v>5510</v>
      </c>
      <c r="S217" s="13" t="s">
        <v>5510</v>
      </c>
      <c r="T217" s="13" t="s">
        <v>9666</v>
      </c>
      <c r="U217" s="13" t="s">
        <v>9667</v>
      </c>
      <c r="V217" s="13" t="s">
        <v>9668</v>
      </c>
      <c r="W217" s="13" t="s">
        <v>9669</v>
      </c>
      <c r="X217" s="13" t="s">
        <v>9670</v>
      </c>
      <c r="Y217" s="13" t="s">
        <v>9671</v>
      </c>
      <c r="Z217" s="13" t="s">
        <v>9672</v>
      </c>
      <c r="AA217" s="13" t="s">
        <v>9673</v>
      </c>
      <c r="AB217" s="13" t="s">
        <v>9674</v>
      </c>
      <c r="AC217" s="13" t="s">
        <v>9675</v>
      </c>
      <c r="AD217" s="13" t="s">
        <v>9676</v>
      </c>
      <c r="AE217" s="13" t="s">
        <v>9677</v>
      </c>
      <c r="AF217" s="13" t="s">
        <v>5510</v>
      </c>
      <c r="AG217" s="13">
        <v>30.0</v>
      </c>
      <c r="AH217" s="13">
        <v>4.0</v>
      </c>
      <c r="AI217" s="13">
        <v>5.0</v>
      </c>
      <c r="AJ217" s="13">
        <v>0.0</v>
      </c>
      <c r="AK217" s="13">
        <v>11.0</v>
      </c>
      <c r="AL217" s="13" t="s">
        <v>5931</v>
      </c>
      <c r="AM217" s="13" t="s">
        <v>5932</v>
      </c>
      <c r="AN217" s="13" t="s">
        <v>5933</v>
      </c>
      <c r="AO217" s="13" t="s">
        <v>6127</v>
      </c>
      <c r="AP217" s="13" t="s">
        <v>6128</v>
      </c>
      <c r="AQ217" s="13" t="s">
        <v>5510</v>
      </c>
      <c r="AR217" s="13" t="s">
        <v>6129</v>
      </c>
      <c r="AS217" s="13" t="s">
        <v>6130</v>
      </c>
      <c r="AT217" s="13" t="s">
        <v>6439</v>
      </c>
      <c r="AU217" s="13">
        <v>2020.0</v>
      </c>
      <c r="AV217" s="13">
        <v>192.0</v>
      </c>
      <c r="AW217" s="13" t="s">
        <v>5510</v>
      </c>
      <c r="AX217" s="13" t="s">
        <v>5510</v>
      </c>
      <c r="AY217" s="13" t="s">
        <v>5510</v>
      </c>
      <c r="AZ217" s="13" t="s">
        <v>5510</v>
      </c>
      <c r="BA217" s="13" t="s">
        <v>5510</v>
      </c>
      <c r="BB217" s="13" t="s">
        <v>5510</v>
      </c>
      <c r="BC217" s="13" t="s">
        <v>5510</v>
      </c>
      <c r="BD217" s="13">
        <v>105209.0</v>
      </c>
      <c r="BE217" s="13" t="s">
        <v>9678</v>
      </c>
      <c r="BF217" s="52" t="str">
        <f>HYPERLINK("http://dx.doi.org/10.1016/j.ocecoaman.2020.105209","http://dx.doi.org/10.1016/j.ocecoaman.2020.105209")</f>
        <v>http://dx.doi.org/10.1016/j.ocecoaman.2020.105209</v>
      </c>
      <c r="BG217" s="13" t="s">
        <v>5510</v>
      </c>
      <c r="BH217" s="13" t="s">
        <v>5510</v>
      </c>
      <c r="BI217" s="13">
        <v>16.0</v>
      </c>
      <c r="BJ217" s="13" t="s">
        <v>6133</v>
      </c>
      <c r="BK217" s="13" t="s">
        <v>5561</v>
      </c>
      <c r="BL217" s="13" t="s">
        <v>6133</v>
      </c>
      <c r="BM217" s="13" t="s">
        <v>9679</v>
      </c>
      <c r="BN217" s="13" t="s">
        <v>5510</v>
      </c>
      <c r="BO217" s="13" t="s">
        <v>5510</v>
      </c>
      <c r="BP217" s="13" t="s">
        <v>5510</v>
      </c>
      <c r="BQ217" s="13" t="s">
        <v>5510</v>
      </c>
      <c r="BR217" s="13" t="s">
        <v>5538</v>
      </c>
      <c r="BS217" s="13" t="s">
        <v>9680</v>
      </c>
      <c r="BT217" s="13">
        <v>24392.0</v>
      </c>
      <c r="BU217" s="13" t="s">
        <v>5540</v>
      </c>
      <c r="BV217" s="13" t="s">
        <v>4864</v>
      </c>
      <c r="BW217" s="13" t="str">
        <f>VLOOKUP($BT217,Enriched!$A$2:$E$1070,5,false)</f>
        <v>["Biological resource use"]</v>
      </c>
      <c r="BX217" s="13" t="str">
        <f>VLOOKUP($BT217,Enriched!$A$2:$E$1070,4,false)</f>
        <v>["Fishing &amp; harvesting aquatic resources"]</v>
      </c>
      <c r="BY217" s="13" t="b">
        <f>VLOOKUP(BT217,Enriched!$A$1:$AA$1070,27,falsE)</f>
        <v>0</v>
      </c>
      <c r="BZ217" s="2" t="str">
        <f>VLOOKUP(BT217,Enriched!$A$1:$AA$1070,14,falsE)</f>
        <v>level2</v>
      </c>
      <c r="CA217" s="13" t="str">
        <f>HYPERLINK("https%3A%2F%2Fwww.webofscience.com%2Fwos%2Fwoscc%2Ffull-record%2FWOS:000534266700010","View Full Record in Web of Science")</f>
        <v>View Full Record in Web of Science</v>
      </c>
    </row>
    <row r="218" ht="12.75" customHeight="1">
      <c r="A218" s="13" t="s">
        <v>5508</v>
      </c>
      <c r="B218" s="13" t="s">
        <v>9681</v>
      </c>
      <c r="C218" s="13" t="s">
        <v>5510</v>
      </c>
      <c r="D218" s="13" t="s">
        <v>5510</v>
      </c>
      <c r="E218" s="13" t="s">
        <v>5510</v>
      </c>
      <c r="F218" s="13" t="s">
        <v>9682</v>
      </c>
      <c r="G218" s="13" t="s">
        <v>5510</v>
      </c>
      <c r="H218" s="13" t="s">
        <v>5510</v>
      </c>
      <c r="I218" s="13" t="s">
        <v>2427</v>
      </c>
      <c r="J218" s="13" t="s">
        <v>9683</v>
      </c>
      <c r="K218" s="13" t="s">
        <v>5510</v>
      </c>
      <c r="L218" s="13" t="s">
        <v>5510</v>
      </c>
      <c r="M218" s="13" t="s">
        <v>5513</v>
      </c>
      <c r="N218" s="13" t="s">
        <v>5514</v>
      </c>
      <c r="O218" s="13" t="s">
        <v>5510</v>
      </c>
      <c r="P218" s="13" t="s">
        <v>5510</v>
      </c>
      <c r="Q218" s="13" t="s">
        <v>5510</v>
      </c>
      <c r="R218" s="13" t="s">
        <v>5510</v>
      </c>
      <c r="S218" s="13" t="s">
        <v>5510</v>
      </c>
      <c r="T218" s="13" t="s">
        <v>5510</v>
      </c>
      <c r="U218" s="13" t="s">
        <v>9684</v>
      </c>
      <c r="V218" s="13" t="s">
        <v>9685</v>
      </c>
      <c r="W218" s="13" t="s">
        <v>9686</v>
      </c>
      <c r="X218" s="13" t="s">
        <v>9687</v>
      </c>
      <c r="Y218" s="13" t="s">
        <v>9688</v>
      </c>
      <c r="Z218" s="13" t="s">
        <v>9689</v>
      </c>
      <c r="AA218" s="13" t="s">
        <v>9690</v>
      </c>
      <c r="AB218" s="13" t="s">
        <v>9691</v>
      </c>
      <c r="AC218" s="13" t="s">
        <v>9692</v>
      </c>
      <c r="AD218" s="13" t="s">
        <v>9693</v>
      </c>
      <c r="AE218" s="13" t="s">
        <v>9694</v>
      </c>
      <c r="AF218" s="13" t="s">
        <v>5510</v>
      </c>
      <c r="AG218" s="13">
        <v>26.0</v>
      </c>
      <c r="AH218" s="13">
        <v>69.0</v>
      </c>
      <c r="AI218" s="13">
        <v>86.0</v>
      </c>
      <c r="AJ218" s="13">
        <v>13.0</v>
      </c>
      <c r="AK218" s="13">
        <v>95.0</v>
      </c>
      <c r="AL218" s="13" t="s">
        <v>5527</v>
      </c>
      <c r="AM218" s="13" t="s">
        <v>5528</v>
      </c>
      <c r="AN218" s="13" t="s">
        <v>5529</v>
      </c>
      <c r="AO218" s="13" t="s">
        <v>9695</v>
      </c>
      <c r="AP218" s="13" t="s">
        <v>9696</v>
      </c>
      <c r="AQ218" s="13" t="s">
        <v>5510</v>
      </c>
      <c r="AR218" s="13" t="s">
        <v>9697</v>
      </c>
      <c r="AS218" s="13" t="s">
        <v>9698</v>
      </c>
      <c r="AT218" s="13" t="s">
        <v>2514</v>
      </c>
      <c r="AU218" s="13">
        <v>2016.0</v>
      </c>
      <c r="AV218" s="13">
        <v>14.0</v>
      </c>
      <c r="AW218" s="13">
        <v>8.0</v>
      </c>
      <c r="AX218" s="13" t="s">
        <v>5510</v>
      </c>
      <c r="AY218" s="13" t="s">
        <v>5510</v>
      </c>
      <c r="AZ218" s="13" t="s">
        <v>5510</v>
      </c>
      <c r="BA218" s="13" t="s">
        <v>5510</v>
      </c>
      <c r="BB218" s="13">
        <v>411.0</v>
      </c>
      <c r="BC218" s="13">
        <v>417.0</v>
      </c>
      <c r="BD218" s="13" t="s">
        <v>5510</v>
      </c>
      <c r="BE218" s="13" t="s">
        <v>9699</v>
      </c>
      <c r="BF218" s="52" t="str">
        <f>HYPERLINK("http://dx.doi.org/10.1002/fee.1321","http://dx.doi.org/10.1002/fee.1321")</f>
        <v>http://dx.doi.org/10.1002/fee.1321</v>
      </c>
      <c r="BG218" s="13" t="s">
        <v>5510</v>
      </c>
      <c r="BH218" s="13" t="s">
        <v>5510</v>
      </c>
      <c r="BI218" s="13">
        <v>7.0</v>
      </c>
      <c r="BJ218" s="13" t="s">
        <v>6026</v>
      </c>
      <c r="BK218" s="13" t="s">
        <v>5561</v>
      </c>
      <c r="BL218" s="13" t="s">
        <v>5535</v>
      </c>
      <c r="BM218" s="13" t="s">
        <v>9700</v>
      </c>
      <c r="BN218" s="13" t="s">
        <v>5510</v>
      </c>
      <c r="BO218" s="13" t="s">
        <v>6623</v>
      </c>
      <c r="BP218" s="13" t="s">
        <v>5510</v>
      </c>
      <c r="BQ218" s="13" t="s">
        <v>5510</v>
      </c>
      <c r="BR218" s="13" t="s">
        <v>5538</v>
      </c>
      <c r="BS218" s="13" t="s">
        <v>9701</v>
      </c>
      <c r="BT218" s="13">
        <v>24536.0</v>
      </c>
      <c r="BU218" s="13" t="s">
        <v>5540</v>
      </c>
      <c r="BV218" s="13" t="s">
        <v>4856</v>
      </c>
      <c r="BW218" s="13" t="str">
        <f>VLOOKUP($BT218,Enriched!$A$2:$E$1070,5,false)</f>
        <v>["Invasive &amp; other problematic species, genes &amp; diseases"]</v>
      </c>
      <c r="BX218" s="13" t="str">
        <f>VLOOKUP($BT218,Enriched!$A$2:$E$1070,4,false)</f>
        <v>["Invasive non-native/alien species/diseases"]</v>
      </c>
      <c r="BY218" s="13" t="b">
        <f>VLOOKUP(BT218,Enriched!$A$1:$AA$1070,27,falsE)</f>
        <v>0</v>
      </c>
      <c r="BZ218" s="2" t="str">
        <f>VLOOKUP(BT218,Enriched!$A$1:$AA$1070,14,falsE)</f>
        <v>level2</v>
      </c>
      <c r="CA218" s="13" t="str">
        <f>HYPERLINK("https%3A%2F%2Fwww.webofscience.com%2Fwos%2Fwoscc%2Ffull-record%2FWOS:000386123600011","View Full Record in Web of Science")</f>
        <v>View Full Record in Web of Science</v>
      </c>
    </row>
    <row r="219" ht="12.75" customHeight="1">
      <c r="A219" s="13" t="s">
        <v>5508</v>
      </c>
      <c r="B219" s="13" t="s">
        <v>9702</v>
      </c>
      <c r="C219" s="13" t="s">
        <v>5510</v>
      </c>
      <c r="D219" s="13" t="s">
        <v>5510</v>
      </c>
      <c r="E219" s="13" t="s">
        <v>5510</v>
      </c>
      <c r="F219" s="13" t="s">
        <v>9703</v>
      </c>
      <c r="G219" s="13" t="s">
        <v>5510</v>
      </c>
      <c r="H219" s="13" t="s">
        <v>5510</v>
      </c>
      <c r="I219" s="13" t="s">
        <v>2425</v>
      </c>
      <c r="J219" s="13" t="s">
        <v>8185</v>
      </c>
      <c r="K219" s="13" t="s">
        <v>5510</v>
      </c>
      <c r="L219" s="13" t="s">
        <v>5510</v>
      </c>
      <c r="M219" s="13" t="s">
        <v>5513</v>
      </c>
      <c r="N219" s="13" t="s">
        <v>5514</v>
      </c>
      <c r="O219" s="13" t="s">
        <v>5510</v>
      </c>
      <c r="P219" s="13" t="s">
        <v>5510</v>
      </c>
      <c r="Q219" s="13" t="s">
        <v>5510</v>
      </c>
      <c r="R219" s="13" t="s">
        <v>5510</v>
      </c>
      <c r="S219" s="13" t="s">
        <v>5510</v>
      </c>
      <c r="T219" s="13" t="s">
        <v>9704</v>
      </c>
      <c r="U219" s="13" t="s">
        <v>9705</v>
      </c>
      <c r="V219" s="13" t="s">
        <v>9706</v>
      </c>
      <c r="W219" s="13" t="s">
        <v>9707</v>
      </c>
      <c r="X219" s="13" t="s">
        <v>9708</v>
      </c>
      <c r="Y219" s="13" t="s">
        <v>9709</v>
      </c>
      <c r="Z219" s="13" t="s">
        <v>9710</v>
      </c>
      <c r="AA219" s="13" t="s">
        <v>9711</v>
      </c>
      <c r="AB219" s="13" t="s">
        <v>9712</v>
      </c>
      <c r="AC219" s="13" t="s">
        <v>9713</v>
      </c>
      <c r="AD219" s="13" t="s">
        <v>9714</v>
      </c>
      <c r="AE219" s="13" t="s">
        <v>9715</v>
      </c>
      <c r="AF219" s="13" t="s">
        <v>5510</v>
      </c>
      <c r="AG219" s="13">
        <v>86.0</v>
      </c>
      <c r="AH219" s="13">
        <v>20.0</v>
      </c>
      <c r="AI219" s="13">
        <v>24.0</v>
      </c>
      <c r="AJ219" s="13">
        <v>0.0</v>
      </c>
      <c r="AK219" s="13">
        <v>78.0</v>
      </c>
      <c r="AL219" s="13" t="s">
        <v>5527</v>
      </c>
      <c r="AM219" s="13" t="s">
        <v>5528</v>
      </c>
      <c r="AN219" s="13" t="s">
        <v>5529</v>
      </c>
      <c r="AO219" s="13" t="s">
        <v>8194</v>
      </c>
      <c r="AP219" s="13" t="s">
        <v>8195</v>
      </c>
      <c r="AQ219" s="13" t="s">
        <v>5510</v>
      </c>
      <c r="AR219" s="13" t="s">
        <v>8196</v>
      </c>
      <c r="AS219" s="13" t="s">
        <v>8197</v>
      </c>
      <c r="AT219" s="13" t="s">
        <v>5582</v>
      </c>
      <c r="AU219" s="13">
        <v>2013.0</v>
      </c>
      <c r="AV219" s="13">
        <v>77.0</v>
      </c>
      <c r="AW219" s="13">
        <v>1.0</v>
      </c>
      <c r="AX219" s="13" t="s">
        <v>5510</v>
      </c>
      <c r="AY219" s="13" t="s">
        <v>5510</v>
      </c>
      <c r="AZ219" s="13" t="s">
        <v>5510</v>
      </c>
      <c r="BA219" s="13" t="s">
        <v>5510</v>
      </c>
      <c r="BB219" s="13">
        <v>75.0</v>
      </c>
      <c r="BC219" s="13">
        <v>83.0</v>
      </c>
      <c r="BD219" s="13" t="s">
        <v>5510</v>
      </c>
      <c r="BE219" s="13" t="s">
        <v>9716</v>
      </c>
      <c r="BF219" s="52" t="str">
        <f>HYPERLINK("http://dx.doi.org/10.1002/jwmg.424","http://dx.doi.org/10.1002/jwmg.424")</f>
        <v>http://dx.doi.org/10.1002/jwmg.424</v>
      </c>
      <c r="BG219" s="13" t="s">
        <v>5510</v>
      </c>
      <c r="BH219" s="13" t="s">
        <v>5510</v>
      </c>
      <c r="BI219" s="13">
        <v>9.0</v>
      </c>
      <c r="BJ219" s="13" t="s">
        <v>5584</v>
      </c>
      <c r="BK219" s="13" t="s">
        <v>5561</v>
      </c>
      <c r="BL219" s="13" t="s">
        <v>5585</v>
      </c>
      <c r="BM219" s="13" t="s">
        <v>9717</v>
      </c>
      <c r="BN219" s="13" t="s">
        <v>5510</v>
      </c>
      <c r="BO219" s="13" t="s">
        <v>5510</v>
      </c>
      <c r="BP219" s="13" t="s">
        <v>5510</v>
      </c>
      <c r="BQ219" s="13" t="s">
        <v>5510</v>
      </c>
      <c r="BR219" s="13" t="s">
        <v>5538</v>
      </c>
      <c r="BS219" s="13" t="s">
        <v>9718</v>
      </c>
      <c r="BT219" s="13">
        <v>24699.0</v>
      </c>
      <c r="BU219" s="13" t="s">
        <v>5540</v>
      </c>
      <c r="BV219" s="13" t="s">
        <v>4856</v>
      </c>
      <c r="BW219" s="13" t="str">
        <f>VLOOKUP($BT219,Enriched!$A$2:$E$1070,5,false)</f>
        <v>["Biological resource use"]</v>
      </c>
      <c r="BX219" s="13" t="str">
        <f>VLOOKUP($BT219,Enriched!$A$2:$E$1070,4,false)</f>
        <v>["Hunting &amp; collecting terrestrial animals"]</v>
      </c>
      <c r="BY219" s="13" t="b">
        <f>VLOOKUP(BT219,Enriched!$A$1:$AA$1070,27,falsE)</f>
        <v>0</v>
      </c>
      <c r="BZ219" s="2" t="str">
        <f>VLOOKUP(BT219,Enriched!$A$1:$AA$1070,14,falsE)</f>
        <v>level2</v>
      </c>
      <c r="CA219" s="13" t="str">
        <f>HYPERLINK("https%3A%2F%2Fwww.webofscience.com%2Fwos%2Fwoscc%2Ffull-record%2FWOS:000313118400011","View Full Record in Web of Science")</f>
        <v>View Full Record in Web of Science</v>
      </c>
    </row>
    <row r="220" ht="12.75" customHeight="1">
      <c r="A220" s="13" t="s">
        <v>5508</v>
      </c>
      <c r="B220" s="13" t="s">
        <v>9719</v>
      </c>
      <c r="C220" s="13" t="s">
        <v>5510</v>
      </c>
      <c r="D220" s="13" t="s">
        <v>5510</v>
      </c>
      <c r="E220" s="13" t="s">
        <v>5510</v>
      </c>
      <c r="F220" s="13" t="s">
        <v>9720</v>
      </c>
      <c r="G220" s="13" t="s">
        <v>5510</v>
      </c>
      <c r="H220" s="13" t="s">
        <v>5510</v>
      </c>
      <c r="I220" s="13" t="s">
        <v>2422</v>
      </c>
      <c r="J220" s="13" t="s">
        <v>6333</v>
      </c>
      <c r="K220" s="13" t="s">
        <v>5510</v>
      </c>
      <c r="L220" s="13" t="s">
        <v>5510</v>
      </c>
      <c r="M220" s="13" t="s">
        <v>5513</v>
      </c>
      <c r="N220" s="13" t="s">
        <v>5514</v>
      </c>
      <c r="O220" s="13" t="s">
        <v>5510</v>
      </c>
      <c r="P220" s="13" t="s">
        <v>5510</v>
      </c>
      <c r="Q220" s="13" t="s">
        <v>5510</v>
      </c>
      <c r="R220" s="13" t="s">
        <v>5510</v>
      </c>
      <c r="S220" s="13" t="s">
        <v>5510</v>
      </c>
      <c r="T220" s="13" t="s">
        <v>9721</v>
      </c>
      <c r="U220" s="13" t="s">
        <v>9722</v>
      </c>
      <c r="V220" s="13" t="s">
        <v>9723</v>
      </c>
      <c r="W220" s="13" t="s">
        <v>9724</v>
      </c>
      <c r="X220" s="13" t="s">
        <v>9725</v>
      </c>
      <c r="Y220" s="13" t="s">
        <v>9726</v>
      </c>
      <c r="Z220" s="13" t="s">
        <v>9727</v>
      </c>
      <c r="AA220" s="13" t="s">
        <v>9728</v>
      </c>
      <c r="AB220" s="13" t="s">
        <v>9729</v>
      </c>
      <c r="AC220" s="13" t="s">
        <v>5510</v>
      </c>
      <c r="AD220" s="13" t="s">
        <v>5510</v>
      </c>
      <c r="AE220" s="13" t="s">
        <v>5510</v>
      </c>
      <c r="AF220" s="13" t="s">
        <v>5510</v>
      </c>
      <c r="AG220" s="13">
        <v>27.0</v>
      </c>
      <c r="AH220" s="13">
        <v>83.0</v>
      </c>
      <c r="AI220" s="13">
        <v>98.0</v>
      </c>
      <c r="AJ220" s="13">
        <v>1.0</v>
      </c>
      <c r="AK220" s="13">
        <v>44.0</v>
      </c>
      <c r="AL220" s="13" t="s">
        <v>5527</v>
      </c>
      <c r="AM220" s="13" t="s">
        <v>5528</v>
      </c>
      <c r="AN220" s="13" t="s">
        <v>5529</v>
      </c>
      <c r="AO220" s="13" t="s">
        <v>6342</v>
      </c>
      <c r="AP220" s="13" t="s">
        <v>6343</v>
      </c>
      <c r="AQ220" s="13" t="s">
        <v>5510</v>
      </c>
      <c r="AR220" s="13" t="s">
        <v>6344</v>
      </c>
      <c r="AS220" s="13" t="s">
        <v>6345</v>
      </c>
      <c r="AT220" s="13" t="s">
        <v>6828</v>
      </c>
      <c r="AU220" s="13">
        <v>2007.0</v>
      </c>
      <c r="AV220" s="13">
        <v>21.0</v>
      </c>
      <c r="AW220" s="13">
        <v>2.0</v>
      </c>
      <c r="AX220" s="13" t="s">
        <v>5510</v>
      </c>
      <c r="AY220" s="13" t="s">
        <v>5510</v>
      </c>
      <c r="AZ220" s="13" t="s">
        <v>5510</v>
      </c>
      <c r="BA220" s="13" t="s">
        <v>5510</v>
      </c>
      <c r="BB220" s="13">
        <v>412.0</v>
      </c>
      <c r="BC220" s="13">
        <v>421.0</v>
      </c>
      <c r="BD220" s="13" t="s">
        <v>5510</v>
      </c>
      <c r="BE220" s="13" t="s">
        <v>9730</v>
      </c>
      <c r="BF220" s="52" t="str">
        <f>HYPERLINK("http://dx.doi.org/10.1111/j.1523-1739.2007.00673.x","http://dx.doi.org/10.1111/j.1523-1739.2007.00673.x")</f>
        <v>http://dx.doi.org/10.1111/j.1523-1739.2007.00673.x</v>
      </c>
      <c r="BG220" s="13" t="s">
        <v>5510</v>
      </c>
      <c r="BH220" s="13" t="s">
        <v>5510</v>
      </c>
      <c r="BI220" s="13">
        <v>10.0</v>
      </c>
      <c r="BJ220" s="13" t="s">
        <v>5698</v>
      </c>
      <c r="BK220" s="13" t="s">
        <v>5561</v>
      </c>
      <c r="BL220" s="13" t="s">
        <v>5699</v>
      </c>
      <c r="BM220" s="13" t="s">
        <v>9731</v>
      </c>
      <c r="BN220" s="13">
        <v>1.7391191E7</v>
      </c>
      <c r="BO220" s="13" t="s">
        <v>6623</v>
      </c>
      <c r="BP220" s="13" t="s">
        <v>5510</v>
      </c>
      <c r="BQ220" s="13" t="s">
        <v>5510</v>
      </c>
      <c r="BR220" s="13" t="s">
        <v>5538</v>
      </c>
      <c r="BS220" s="13" t="s">
        <v>9732</v>
      </c>
      <c r="BT220" s="13">
        <v>23936.0</v>
      </c>
      <c r="BU220" s="13" t="s">
        <v>5540</v>
      </c>
      <c r="BV220" s="13" t="s">
        <v>4852</v>
      </c>
      <c r="BW220" s="13" t="str">
        <f>VLOOKUP($BT220,Enriched!$A$2:$E$1070,5,false)</f>
        <v>["Invasive &amp; other problematic species, genes &amp; diseases"]</v>
      </c>
      <c r="BX220" s="13" t="str">
        <f>VLOOKUP($BT220,Enriched!$A$2:$E$1070,4,false)</f>
        <v>["Invasive non-native/alien species/diseases"]</v>
      </c>
      <c r="BY220" s="13" t="b">
        <f>VLOOKUP(BT220,Enriched!$A$1:$AA$1070,27,falsE)</f>
        <v>0</v>
      </c>
      <c r="BZ220" s="2" t="str">
        <f>VLOOKUP(BT220,Enriched!$A$1:$AA$1070,14,falsE)</f>
        <v>level2</v>
      </c>
      <c r="CA220" s="13" t="str">
        <f>HYPERLINK("https%3A%2F%2Fwww.webofscience.com%2Fwos%2Fwoscc%2Ffull-record%2FWOS:000245438200017","View Full Record in Web of Science")</f>
        <v>View Full Record in Web of Science</v>
      </c>
    </row>
    <row r="221" ht="12.75" customHeight="1">
      <c r="A221" s="13" t="s">
        <v>5508</v>
      </c>
      <c r="B221" s="13" t="s">
        <v>9733</v>
      </c>
      <c r="C221" s="13" t="s">
        <v>5510</v>
      </c>
      <c r="D221" s="13" t="s">
        <v>5510</v>
      </c>
      <c r="E221" s="13" t="s">
        <v>5510</v>
      </c>
      <c r="F221" s="13" t="s">
        <v>9734</v>
      </c>
      <c r="G221" s="13" t="s">
        <v>5510</v>
      </c>
      <c r="H221" s="13" t="s">
        <v>5510</v>
      </c>
      <c r="I221" s="13" t="s">
        <v>2420</v>
      </c>
      <c r="J221" s="13" t="s">
        <v>5746</v>
      </c>
      <c r="K221" s="13" t="s">
        <v>5510</v>
      </c>
      <c r="L221" s="13" t="s">
        <v>5510</v>
      </c>
      <c r="M221" s="13" t="s">
        <v>5513</v>
      </c>
      <c r="N221" s="13" t="s">
        <v>5514</v>
      </c>
      <c r="O221" s="13" t="s">
        <v>5510</v>
      </c>
      <c r="P221" s="13" t="s">
        <v>5510</v>
      </c>
      <c r="Q221" s="13" t="s">
        <v>5510</v>
      </c>
      <c r="R221" s="13" t="s">
        <v>5510</v>
      </c>
      <c r="S221" s="13" t="s">
        <v>5510</v>
      </c>
      <c r="T221" s="13" t="s">
        <v>9735</v>
      </c>
      <c r="U221" s="13" t="s">
        <v>9736</v>
      </c>
      <c r="V221" s="13" t="s">
        <v>9737</v>
      </c>
      <c r="W221" s="13" t="s">
        <v>9738</v>
      </c>
      <c r="X221" s="13" t="s">
        <v>9739</v>
      </c>
      <c r="Y221" s="13" t="s">
        <v>9740</v>
      </c>
      <c r="Z221" s="13" t="s">
        <v>9741</v>
      </c>
      <c r="AA221" s="13" t="s">
        <v>9742</v>
      </c>
      <c r="AB221" s="13" t="s">
        <v>9743</v>
      </c>
      <c r="AC221" s="13" t="s">
        <v>9744</v>
      </c>
      <c r="AD221" s="13" t="s">
        <v>9745</v>
      </c>
      <c r="AE221" s="13" t="s">
        <v>9746</v>
      </c>
      <c r="AF221" s="13" t="s">
        <v>5510</v>
      </c>
      <c r="AG221" s="13">
        <v>43.0</v>
      </c>
      <c r="AH221" s="13">
        <v>121.0</v>
      </c>
      <c r="AI221" s="13">
        <v>138.0</v>
      </c>
      <c r="AJ221" s="13">
        <v>4.0</v>
      </c>
      <c r="AK221" s="13">
        <v>231.0</v>
      </c>
      <c r="AL221" s="13" t="s">
        <v>5759</v>
      </c>
      <c r="AM221" s="13" t="s">
        <v>5760</v>
      </c>
      <c r="AN221" s="13" t="s">
        <v>5761</v>
      </c>
      <c r="AO221" s="13" t="s">
        <v>5762</v>
      </c>
      <c r="AP221" s="13" t="s">
        <v>5763</v>
      </c>
      <c r="AQ221" s="13" t="s">
        <v>5510</v>
      </c>
      <c r="AR221" s="13" t="s">
        <v>5764</v>
      </c>
      <c r="AS221" s="13" t="s">
        <v>5765</v>
      </c>
      <c r="AT221" s="13" t="s">
        <v>9747</v>
      </c>
      <c r="AU221" s="13">
        <v>2019.0</v>
      </c>
      <c r="AV221" s="13">
        <v>678.0</v>
      </c>
      <c r="AW221" s="13" t="s">
        <v>5510</v>
      </c>
      <c r="AX221" s="13" t="s">
        <v>5510</v>
      </c>
      <c r="AY221" s="13" t="s">
        <v>5510</v>
      </c>
      <c r="AZ221" s="13" t="s">
        <v>5510</v>
      </c>
      <c r="BA221" s="13" t="s">
        <v>5510</v>
      </c>
      <c r="BB221" s="13">
        <v>188.0</v>
      </c>
      <c r="BC221" s="13">
        <v>196.0</v>
      </c>
      <c r="BD221" s="13" t="s">
        <v>5510</v>
      </c>
      <c r="BE221" s="13" t="s">
        <v>9748</v>
      </c>
      <c r="BF221" s="52" t="str">
        <f>HYPERLINK("http://dx.doi.org/10.1016/j.scitotenv.2019.04.355","http://dx.doi.org/10.1016/j.scitotenv.2019.04.355")</f>
        <v>http://dx.doi.org/10.1016/j.scitotenv.2019.04.355</v>
      </c>
      <c r="BG221" s="13" t="s">
        <v>5510</v>
      </c>
      <c r="BH221" s="13" t="s">
        <v>5510</v>
      </c>
      <c r="BI221" s="13">
        <v>9.0</v>
      </c>
      <c r="BJ221" s="13" t="s">
        <v>5768</v>
      </c>
      <c r="BK221" s="13" t="s">
        <v>5561</v>
      </c>
      <c r="BL221" s="13" t="s">
        <v>5535</v>
      </c>
      <c r="BM221" s="13" t="s">
        <v>9749</v>
      </c>
      <c r="BN221" s="13">
        <v>3.1075585E7</v>
      </c>
      <c r="BO221" s="13" t="s">
        <v>5587</v>
      </c>
      <c r="BP221" s="13" t="s">
        <v>5510</v>
      </c>
      <c r="BQ221" s="13" t="s">
        <v>5510</v>
      </c>
      <c r="BR221" s="13" t="s">
        <v>5538</v>
      </c>
      <c r="BS221" s="13" t="s">
        <v>9750</v>
      </c>
      <c r="BT221" s="13">
        <v>23588.0</v>
      </c>
      <c r="BU221" s="13" t="s">
        <v>5540</v>
      </c>
      <c r="BV221" s="13" t="s">
        <v>4864</v>
      </c>
      <c r="BW221" s="13" t="str">
        <f>VLOOKUP($BT221,Enriched!$A$2:$E$1070,5,false)</f>
        <v>["Pollution"]</v>
      </c>
      <c r="BX221" s="13" t="str">
        <f>VLOOKUP($BT221,Enriched!$A$2:$E$1070,4,false)</f>
        <v>["Garbage &amp; solid waste"]</v>
      </c>
      <c r="BY221" s="13" t="b">
        <f>VLOOKUP(BT221,Enriched!$A$1:$AA$1070,27,falsE)</f>
        <v>0</v>
      </c>
      <c r="BZ221" s="2" t="str">
        <f>VLOOKUP(BT221,Enriched!$A$1:$AA$1070,14,falsE)</f>
        <v>level2</v>
      </c>
      <c r="CA221" s="13" t="str">
        <f>HYPERLINK("https%3A%2F%2Fwww.webofscience.com%2Fwos%2Fwoscc%2Ffull-record%2FWOS:000468618900020","View Full Record in Web of Science")</f>
        <v>View Full Record in Web of Science</v>
      </c>
    </row>
    <row r="222" ht="12.75" customHeight="1">
      <c r="A222" s="13" t="s">
        <v>5508</v>
      </c>
      <c r="B222" s="13" t="s">
        <v>9751</v>
      </c>
      <c r="C222" s="13" t="s">
        <v>5510</v>
      </c>
      <c r="D222" s="13" t="s">
        <v>5510</v>
      </c>
      <c r="E222" s="13" t="s">
        <v>5510</v>
      </c>
      <c r="F222" s="13" t="s">
        <v>9752</v>
      </c>
      <c r="G222" s="13" t="s">
        <v>5510</v>
      </c>
      <c r="H222" s="13" t="s">
        <v>5510</v>
      </c>
      <c r="I222" s="13" t="s">
        <v>9753</v>
      </c>
      <c r="J222" s="13" t="s">
        <v>5543</v>
      </c>
      <c r="K222" s="13" t="s">
        <v>5510</v>
      </c>
      <c r="L222" s="13" t="s">
        <v>5510</v>
      </c>
      <c r="M222" s="13" t="s">
        <v>5513</v>
      </c>
      <c r="N222" s="13" t="s">
        <v>5514</v>
      </c>
      <c r="O222" s="13" t="s">
        <v>5510</v>
      </c>
      <c r="P222" s="13" t="s">
        <v>5510</v>
      </c>
      <c r="Q222" s="13" t="s">
        <v>5510</v>
      </c>
      <c r="R222" s="13" t="s">
        <v>5510</v>
      </c>
      <c r="S222" s="13" t="s">
        <v>5510</v>
      </c>
      <c r="T222" s="13" t="s">
        <v>5510</v>
      </c>
      <c r="U222" s="13" t="s">
        <v>9754</v>
      </c>
      <c r="V222" s="13" t="s">
        <v>9755</v>
      </c>
      <c r="W222" s="13" t="s">
        <v>9756</v>
      </c>
      <c r="X222" s="13" t="s">
        <v>9757</v>
      </c>
      <c r="Y222" s="13" t="s">
        <v>9758</v>
      </c>
      <c r="Z222" s="13" t="s">
        <v>9759</v>
      </c>
      <c r="AA222" s="13" t="s">
        <v>9760</v>
      </c>
      <c r="AB222" s="13" t="s">
        <v>9761</v>
      </c>
      <c r="AC222" s="13" t="s">
        <v>9762</v>
      </c>
      <c r="AD222" s="13" t="s">
        <v>9763</v>
      </c>
      <c r="AE222" s="13" t="s">
        <v>9764</v>
      </c>
      <c r="AF222" s="13" t="s">
        <v>5510</v>
      </c>
      <c r="AG222" s="13">
        <v>55.0</v>
      </c>
      <c r="AH222" s="13">
        <v>117.0</v>
      </c>
      <c r="AI222" s="13">
        <v>128.0</v>
      </c>
      <c r="AJ222" s="13">
        <v>1.0</v>
      </c>
      <c r="AK222" s="13">
        <v>11.0</v>
      </c>
      <c r="AL222" s="13" t="s">
        <v>5552</v>
      </c>
      <c r="AM222" s="13" t="s">
        <v>5553</v>
      </c>
      <c r="AN222" s="13" t="s">
        <v>5554</v>
      </c>
      <c r="AO222" s="13" t="s">
        <v>5555</v>
      </c>
      <c r="AP222" s="13" t="s">
        <v>5510</v>
      </c>
      <c r="AQ222" s="13" t="s">
        <v>5510</v>
      </c>
      <c r="AR222" s="13" t="s">
        <v>5543</v>
      </c>
      <c r="AS222" s="13" t="s">
        <v>5556</v>
      </c>
      <c r="AT222" s="13" t="s">
        <v>9765</v>
      </c>
      <c r="AU222" s="13">
        <v>2010.0</v>
      </c>
      <c r="AV222" s="13">
        <v>5.0</v>
      </c>
      <c r="AW222" s="13">
        <v>6.0</v>
      </c>
      <c r="AX222" s="13" t="s">
        <v>5510</v>
      </c>
      <c r="AY222" s="13" t="s">
        <v>5510</v>
      </c>
      <c r="AZ222" s="13" t="s">
        <v>5510</v>
      </c>
      <c r="BA222" s="13" t="s">
        <v>5510</v>
      </c>
      <c r="BB222" s="13" t="s">
        <v>5510</v>
      </c>
      <c r="BC222" s="13" t="s">
        <v>5510</v>
      </c>
      <c r="BD222" s="13" t="s">
        <v>9766</v>
      </c>
      <c r="BE222" s="13" t="s">
        <v>9767</v>
      </c>
      <c r="BF222" s="52" t="str">
        <f>HYPERLINK("http://dx.doi.org/10.1371/journal.pone.0011390","http://dx.doi.org/10.1371/journal.pone.0011390")</f>
        <v>http://dx.doi.org/10.1371/journal.pone.0011390</v>
      </c>
      <c r="BG222" s="13" t="s">
        <v>5510</v>
      </c>
      <c r="BH222" s="13" t="s">
        <v>5510</v>
      </c>
      <c r="BI222" s="13">
        <v>10.0</v>
      </c>
      <c r="BJ222" s="13" t="s">
        <v>5560</v>
      </c>
      <c r="BK222" s="13" t="s">
        <v>5561</v>
      </c>
      <c r="BL222" s="13" t="s">
        <v>5562</v>
      </c>
      <c r="BM222" s="13" t="s">
        <v>9768</v>
      </c>
      <c r="BN222" s="13">
        <v>2.0613986E7</v>
      </c>
      <c r="BO222" s="13" t="s">
        <v>5564</v>
      </c>
      <c r="BP222" s="13" t="s">
        <v>5510</v>
      </c>
      <c r="BQ222" s="13" t="s">
        <v>5510</v>
      </c>
      <c r="BR222" s="13" t="s">
        <v>5538</v>
      </c>
      <c r="BS222" s="13" t="s">
        <v>9769</v>
      </c>
      <c r="BT222" s="13">
        <v>24978.0</v>
      </c>
      <c r="BU222" s="13" t="s">
        <v>5540</v>
      </c>
      <c r="BV222" s="13" t="s">
        <v>4852</v>
      </c>
      <c r="BW222" s="13" t="str">
        <f>VLOOKUP($BT222,Enriched!$A$2:$E$1070,5,false)</f>
        <v>["Natural system modifications"]</v>
      </c>
      <c r="BX222" s="13" t="str">
        <f>VLOOKUP($BT222,Enriched!$A$2:$E$1070,4,false)</f>
        <v>["Dams &amp; water management/use"]</v>
      </c>
      <c r="BY222" s="13" t="b">
        <f>VLOOKUP(BT222,Enriched!$A$1:$AA$1070,27,falsE)</f>
        <v>0</v>
      </c>
      <c r="BZ222" s="2" t="str">
        <f>VLOOKUP(BT222,Enriched!$A$1:$AA$1070,14,falsE)</f>
        <v>level2</v>
      </c>
      <c r="CA222" s="13" t="str">
        <f>HYPERLINK("https%3A%2F%2Fwww.webofscience.com%2Fwos%2Fwoscc%2Ffull-record%2FWOS:000279370000019","View Full Record in Web of Science")</f>
        <v>View Full Record in Web of Science</v>
      </c>
    </row>
    <row r="223" ht="12.75" customHeight="1">
      <c r="A223" s="13" t="s">
        <v>5508</v>
      </c>
      <c r="B223" s="13" t="s">
        <v>9770</v>
      </c>
      <c r="C223" s="13" t="s">
        <v>5510</v>
      </c>
      <c r="D223" s="13" t="s">
        <v>5510</v>
      </c>
      <c r="E223" s="13" t="s">
        <v>5510</v>
      </c>
      <c r="F223" s="13" t="s">
        <v>9771</v>
      </c>
      <c r="G223" s="13" t="s">
        <v>5510</v>
      </c>
      <c r="H223" s="13" t="s">
        <v>5510</v>
      </c>
      <c r="I223" s="13" t="s">
        <v>2416</v>
      </c>
      <c r="J223" s="13" t="s">
        <v>9772</v>
      </c>
      <c r="K223" s="13" t="s">
        <v>5510</v>
      </c>
      <c r="L223" s="13" t="s">
        <v>5510</v>
      </c>
      <c r="M223" s="13" t="s">
        <v>5513</v>
      </c>
      <c r="N223" s="13" t="s">
        <v>5514</v>
      </c>
      <c r="O223" s="13" t="s">
        <v>5510</v>
      </c>
      <c r="P223" s="13" t="s">
        <v>5510</v>
      </c>
      <c r="Q223" s="13" t="s">
        <v>5510</v>
      </c>
      <c r="R223" s="13" t="s">
        <v>5510</v>
      </c>
      <c r="S223" s="13" t="s">
        <v>5510</v>
      </c>
      <c r="T223" s="13" t="s">
        <v>5510</v>
      </c>
      <c r="U223" s="13" t="s">
        <v>9773</v>
      </c>
      <c r="V223" s="13" t="s">
        <v>9774</v>
      </c>
      <c r="W223" s="13" t="s">
        <v>9775</v>
      </c>
      <c r="X223" s="13" t="s">
        <v>9776</v>
      </c>
      <c r="Y223" s="13" t="s">
        <v>9777</v>
      </c>
      <c r="Z223" s="13" t="s">
        <v>9778</v>
      </c>
      <c r="AA223" s="13" t="s">
        <v>9779</v>
      </c>
      <c r="AB223" s="13" t="s">
        <v>9780</v>
      </c>
      <c r="AC223" s="13" t="s">
        <v>9781</v>
      </c>
      <c r="AD223" s="13" t="s">
        <v>9782</v>
      </c>
      <c r="AE223" s="13" t="s">
        <v>9783</v>
      </c>
      <c r="AF223" s="13" t="s">
        <v>5510</v>
      </c>
      <c r="AG223" s="13">
        <v>76.0</v>
      </c>
      <c r="AH223" s="13">
        <v>62.0</v>
      </c>
      <c r="AI223" s="13">
        <v>66.0</v>
      </c>
      <c r="AJ223" s="13">
        <v>4.0</v>
      </c>
      <c r="AK223" s="13">
        <v>94.0</v>
      </c>
      <c r="AL223" s="13" t="s">
        <v>8807</v>
      </c>
      <c r="AM223" s="13" t="s">
        <v>8808</v>
      </c>
      <c r="AN223" s="13" t="s">
        <v>8809</v>
      </c>
      <c r="AO223" s="13" t="s">
        <v>9784</v>
      </c>
      <c r="AP223" s="13" t="s">
        <v>9785</v>
      </c>
      <c r="AQ223" s="13" t="s">
        <v>5510</v>
      </c>
      <c r="AR223" s="13" t="s">
        <v>9786</v>
      </c>
      <c r="AS223" s="13" t="s">
        <v>9787</v>
      </c>
      <c r="AT223" s="13" t="s">
        <v>2514</v>
      </c>
      <c r="AU223" s="13">
        <v>2020.0</v>
      </c>
      <c r="AV223" s="13">
        <v>10.0</v>
      </c>
      <c r="AW223" s="13">
        <v>10.0</v>
      </c>
      <c r="AX223" s="13" t="s">
        <v>5510</v>
      </c>
      <c r="AY223" s="13" t="s">
        <v>5510</v>
      </c>
      <c r="AZ223" s="13" t="s">
        <v>5510</v>
      </c>
      <c r="BA223" s="13" t="s">
        <v>5510</v>
      </c>
      <c r="BB223" s="13">
        <v>959.0</v>
      </c>
      <c r="BC223" s="13" t="s">
        <v>9408</v>
      </c>
      <c r="BD223" s="13" t="s">
        <v>5510</v>
      </c>
      <c r="BE223" s="13" t="s">
        <v>9788</v>
      </c>
      <c r="BF223" s="52" t="str">
        <f>HYPERLINK("http://dx.doi.org/10.1038/s41558-020-0872-3","http://dx.doi.org/10.1038/s41558-020-0872-3")</f>
        <v>http://dx.doi.org/10.1038/s41558-020-0872-3</v>
      </c>
      <c r="BG223" s="13" t="s">
        <v>5510</v>
      </c>
      <c r="BH223" s="13" t="s">
        <v>5868</v>
      </c>
      <c r="BI223" s="13">
        <v>18.0</v>
      </c>
      <c r="BJ223" s="13" t="s">
        <v>9789</v>
      </c>
      <c r="BK223" s="13" t="s">
        <v>5534</v>
      </c>
      <c r="BL223" s="13" t="s">
        <v>9790</v>
      </c>
      <c r="BM223" s="13" t="s">
        <v>9791</v>
      </c>
      <c r="BN223" s="13" t="s">
        <v>5510</v>
      </c>
      <c r="BO223" s="13" t="s">
        <v>6623</v>
      </c>
      <c r="BP223" s="13" t="s">
        <v>5510</v>
      </c>
      <c r="BQ223" s="13" t="s">
        <v>5510</v>
      </c>
      <c r="BR223" s="13" t="s">
        <v>5538</v>
      </c>
      <c r="BS223" s="13" t="s">
        <v>9792</v>
      </c>
      <c r="BT223" s="13">
        <v>25335.0</v>
      </c>
      <c r="BU223" s="13" t="s">
        <v>5540</v>
      </c>
      <c r="BV223" s="13" t="s">
        <v>4856</v>
      </c>
      <c r="BW223" s="13" t="str">
        <f>VLOOKUP($BT223,Enriched!$A$2:$E$1070,5,false)</f>
        <v>["Climate Change &amp; Severe Weather"]</v>
      </c>
      <c r="BX223" s="13" t="str">
        <f>VLOOKUP($BT223,Enriched!$A$2:$E$1070,4,false)</f>
        <v>["Temperature extremes", "Other impacts"]</v>
      </c>
      <c r="BY223" s="13" t="b">
        <f>VLOOKUP(BT223,Enriched!$A$1:$AA$1070,27,falsE)</f>
        <v>1</v>
      </c>
      <c r="BZ223" s="2" t="str">
        <f>VLOOKUP(BT223,Enriched!$A$1:$AA$1070,14,falsE)</f>
        <v>level2</v>
      </c>
      <c r="CA223" s="13" t="str">
        <f>HYPERLINK("https%3A%2F%2Fwww.webofscience.com%2Fwos%2Fwoscc%2Ffull-record%2FWOS:000562371300001","View Full Record in Web of Science")</f>
        <v>View Full Record in Web of Science</v>
      </c>
    </row>
    <row r="224" ht="12.75" customHeight="1">
      <c r="A224" s="13" t="s">
        <v>5508</v>
      </c>
      <c r="B224" s="13" t="s">
        <v>9793</v>
      </c>
      <c r="C224" s="13" t="s">
        <v>5510</v>
      </c>
      <c r="D224" s="13" t="s">
        <v>5510</v>
      </c>
      <c r="E224" s="13" t="s">
        <v>5510</v>
      </c>
      <c r="F224" s="13" t="s">
        <v>9794</v>
      </c>
      <c r="G224" s="13" t="s">
        <v>5510</v>
      </c>
      <c r="H224" s="13" t="s">
        <v>5510</v>
      </c>
      <c r="I224" s="13" t="s">
        <v>2413</v>
      </c>
      <c r="J224" s="13" t="s">
        <v>5746</v>
      </c>
      <c r="K224" s="13" t="s">
        <v>5510</v>
      </c>
      <c r="L224" s="13" t="s">
        <v>5510</v>
      </c>
      <c r="M224" s="13" t="s">
        <v>5513</v>
      </c>
      <c r="N224" s="13" t="s">
        <v>5514</v>
      </c>
      <c r="O224" s="13" t="s">
        <v>5510</v>
      </c>
      <c r="P224" s="13" t="s">
        <v>5510</v>
      </c>
      <c r="Q224" s="13" t="s">
        <v>5510</v>
      </c>
      <c r="R224" s="13" t="s">
        <v>5510</v>
      </c>
      <c r="S224" s="13" t="s">
        <v>5510</v>
      </c>
      <c r="T224" s="13" t="s">
        <v>9795</v>
      </c>
      <c r="U224" s="13" t="s">
        <v>9796</v>
      </c>
      <c r="V224" s="13" t="s">
        <v>9797</v>
      </c>
      <c r="W224" s="13" t="s">
        <v>9798</v>
      </c>
      <c r="X224" s="13" t="s">
        <v>9799</v>
      </c>
      <c r="Y224" s="13" t="s">
        <v>9800</v>
      </c>
      <c r="Z224" s="13" t="s">
        <v>9801</v>
      </c>
      <c r="AA224" s="13" t="s">
        <v>9802</v>
      </c>
      <c r="AB224" s="13" t="s">
        <v>9803</v>
      </c>
      <c r="AC224" s="13" t="s">
        <v>5510</v>
      </c>
      <c r="AD224" s="13" t="s">
        <v>5510</v>
      </c>
      <c r="AE224" s="13" t="s">
        <v>5510</v>
      </c>
      <c r="AF224" s="13" t="s">
        <v>5510</v>
      </c>
      <c r="AG224" s="13">
        <v>69.0</v>
      </c>
      <c r="AH224" s="13">
        <v>43.0</v>
      </c>
      <c r="AI224" s="13">
        <v>46.0</v>
      </c>
      <c r="AJ224" s="13">
        <v>1.0</v>
      </c>
      <c r="AK224" s="13">
        <v>94.0</v>
      </c>
      <c r="AL224" s="13" t="s">
        <v>7714</v>
      </c>
      <c r="AM224" s="13" t="s">
        <v>5760</v>
      </c>
      <c r="AN224" s="13" t="s">
        <v>7715</v>
      </c>
      <c r="AO224" s="13" t="s">
        <v>5762</v>
      </c>
      <c r="AP224" s="13" t="s">
        <v>5763</v>
      </c>
      <c r="AQ224" s="13" t="s">
        <v>5510</v>
      </c>
      <c r="AR224" s="13" t="s">
        <v>5764</v>
      </c>
      <c r="AS224" s="13" t="s">
        <v>5765</v>
      </c>
      <c r="AT224" s="13" t="s">
        <v>9804</v>
      </c>
      <c r="AU224" s="13">
        <v>2017.0</v>
      </c>
      <c r="AV224" s="13">
        <v>609.0</v>
      </c>
      <c r="AW224" s="13" t="s">
        <v>5510</v>
      </c>
      <c r="AX224" s="13" t="s">
        <v>5510</v>
      </c>
      <c r="AY224" s="13" t="s">
        <v>5510</v>
      </c>
      <c r="AZ224" s="13" t="s">
        <v>5510</v>
      </c>
      <c r="BA224" s="13" t="s">
        <v>5510</v>
      </c>
      <c r="BB224" s="13">
        <v>484.0</v>
      </c>
      <c r="BC224" s="13">
        <v>496.0</v>
      </c>
      <c r="BD224" s="13" t="s">
        <v>5510</v>
      </c>
      <c r="BE224" s="13" t="s">
        <v>9805</v>
      </c>
      <c r="BF224" s="52" t="str">
        <f>HYPERLINK("http://dx.doi.org/10.1016/j.scitotenv.2017.07.099","http://dx.doi.org/10.1016/j.scitotenv.2017.07.099")</f>
        <v>http://dx.doi.org/10.1016/j.scitotenv.2017.07.099</v>
      </c>
      <c r="BG224" s="13" t="s">
        <v>5510</v>
      </c>
      <c r="BH224" s="13" t="s">
        <v>5510</v>
      </c>
      <c r="BI224" s="13">
        <v>13.0</v>
      </c>
      <c r="BJ224" s="13" t="s">
        <v>5768</v>
      </c>
      <c r="BK224" s="13" t="s">
        <v>5561</v>
      </c>
      <c r="BL224" s="13" t="s">
        <v>5535</v>
      </c>
      <c r="BM224" s="13" t="s">
        <v>9806</v>
      </c>
      <c r="BN224" s="13">
        <v>2.8755598E7</v>
      </c>
      <c r="BO224" s="13" t="s">
        <v>5510</v>
      </c>
      <c r="BP224" s="13" t="s">
        <v>5510</v>
      </c>
      <c r="BQ224" s="13" t="s">
        <v>5510</v>
      </c>
      <c r="BR224" s="13" t="s">
        <v>5538</v>
      </c>
      <c r="BS224" s="13" t="s">
        <v>9807</v>
      </c>
      <c r="BT224" s="13">
        <v>25242.0</v>
      </c>
      <c r="BU224" s="13" t="s">
        <v>5540</v>
      </c>
      <c r="BV224" s="13" t="s">
        <v>4852</v>
      </c>
      <c r="BW224" s="13" t="str">
        <f>VLOOKUP($BT224,Enriched!$A$2:$E$1070,5,false)</f>
        <v>["Natural system modifications"]</v>
      </c>
      <c r="BX224" s="13" t="str">
        <f>VLOOKUP($BT224,Enriched!$A$2:$E$1070,4,false)</f>
        <v>["Dams &amp; water management/use"]</v>
      </c>
      <c r="BY224" s="13" t="b">
        <f>VLOOKUP(BT224,Enriched!$A$1:$AA$1070,27,falsE)</f>
        <v>0</v>
      </c>
      <c r="BZ224" s="2" t="str">
        <f>VLOOKUP(BT224,Enriched!$A$1:$AA$1070,14,falsE)</f>
        <v>level2</v>
      </c>
      <c r="CA224" s="13" t="str">
        <f>HYPERLINK("https%3A%2F%2Fwww.webofscience.com%2Fwos%2Fwoscc%2Ffull-record%2FWOS:000410352900053","View Full Record in Web of Science")</f>
        <v>View Full Record in Web of Science</v>
      </c>
    </row>
    <row r="225" ht="12.75" customHeight="1">
      <c r="A225" s="13" t="s">
        <v>5508</v>
      </c>
      <c r="B225" s="13" t="s">
        <v>9808</v>
      </c>
      <c r="C225" s="13" t="s">
        <v>5510</v>
      </c>
      <c r="D225" s="13" t="s">
        <v>5510</v>
      </c>
      <c r="E225" s="13" t="s">
        <v>5510</v>
      </c>
      <c r="F225" s="13" t="s">
        <v>9809</v>
      </c>
      <c r="G225" s="13" t="s">
        <v>5510</v>
      </c>
      <c r="H225" s="13" t="s">
        <v>5510</v>
      </c>
      <c r="I225" s="13" t="s">
        <v>2409</v>
      </c>
      <c r="J225" s="13" t="s">
        <v>7492</v>
      </c>
      <c r="K225" s="13" t="s">
        <v>5510</v>
      </c>
      <c r="L225" s="13" t="s">
        <v>5510</v>
      </c>
      <c r="M225" s="13" t="s">
        <v>5513</v>
      </c>
      <c r="N225" s="13" t="s">
        <v>5514</v>
      </c>
      <c r="O225" s="13" t="s">
        <v>5510</v>
      </c>
      <c r="P225" s="13" t="s">
        <v>5510</v>
      </c>
      <c r="Q225" s="13" t="s">
        <v>5510</v>
      </c>
      <c r="R225" s="13" t="s">
        <v>5510</v>
      </c>
      <c r="S225" s="13" t="s">
        <v>5510</v>
      </c>
      <c r="T225" s="13" t="s">
        <v>9810</v>
      </c>
      <c r="U225" s="13" t="s">
        <v>9811</v>
      </c>
      <c r="V225" s="13" t="s">
        <v>9812</v>
      </c>
      <c r="W225" s="13" t="s">
        <v>9813</v>
      </c>
      <c r="X225" s="13" t="s">
        <v>9814</v>
      </c>
      <c r="Y225" s="13" t="s">
        <v>9815</v>
      </c>
      <c r="Z225" s="13" t="s">
        <v>9816</v>
      </c>
      <c r="AA225" s="13" t="s">
        <v>9817</v>
      </c>
      <c r="AB225" s="13" t="s">
        <v>9818</v>
      </c>
      <c r="AC225" s="13" t="s">
        <v>9819</v>
      </c>
      <c r="AD225" s="13" t="s">
        <v>9820</v>
      </c>
      <c r="AE225" s="13" t="s">
        <v>9821</v>
      </c>
      <c r="AF225" s="13" t="s">
        <v>5510</v>
      </c>
      <c r="AG225" s="13">
        <v>47.0</v>
      </c>
      <c r="AH225" s="13">
        <v>18.0</v>
      </c>
      <c r="AI225" s="13">
        <v>18.0</v>
      </c>
      <c r="AJ225" s="13">
        <v>0.0</v>
      </c>
      <c r="AK225" s="13">
        <v>17.0</v>
      </c>
      <c r="AL225" s="13" t="s">
        <v>5690</v>
      </c>
      <c r="AM225" s="13" t="s">
        <v>6503</v>
      </c>
      <c r="AN225" s="13" t="s">
        <v>7040</v>
      </c>
      <c r="AO225" s="13" t="s">
        <v>9822</v>
      </c>
      <c r="AP225" s="13" t="s">
        <v>9823</v>
      </c>
      <c r="AQ225" s="13" t="s">
        <v>5510</v>
      </c>
      <c r="AR225" s="13" t="s">
        <v>7510</v>
      </c>
      <c r="AS225" s="13" t="s">
        <v>7511</v>
      </c>
      <c r="AT225" s="13" t="s">
        <v>6828</v>
      </c>
      <c r="AU225" s="13">
        <v>2017.0</v>
      </c>
      <c r="AV225" s="13">
        <v>158.0</v>
      </c>
      <c r="AW225" s="13">
        <v>2.0</v>
      </c>
      <c r="AX225" s="13" t="s">
        <v>5510</v>
      </c>
      <c r="AY225" s="13" t="s">
        <v>5510</v>
      </c>
      <c r="AZ225" s="13" t="s">
        <v>5510</v>
      </c>
      <c r="BA225" s="13" t="s">
        <v>5510</v>
      </c>
      <c r="BB225" s="13">
        <v>469.0</v>
      </c>
      <c r="BC225" s="13">
        <v>477.0</v>
      </c>
      <c r="BD225" s="13" t="s">
        <v>5510</v>
      </c>
      <c r="BE225" s="13" t="s">
        <v>9824</v>
      </c>
      <c r="BF225" s="52" t="str">
        <f>HYPERLINK("http://dx.doi.org/10.1007/s10336-016-1406-7","http://dx.doi.org/10.1007/s10336-016-1406-7")</f>
        <v>http://dx.doi.org/10.1007/s10336-016-1406-7</v>
      </c>
      <c r="BG225" s="13" t="s">
        <v>5510</v>
      </c>
      <c r="BH225" s="13" t="s">
        <v>5510</v>
      </c>
      <c r="BI225" s="13">
        <v>9.0</v>
      </c>
      <c r="BJ225" s="13" t="s">
        <v>7513</v>
      </c>
      <c r="BK225" s="13" t="s">
        <v>5561</v>
      </c>
      <c r="BL225" s="13" t="s">
        <v>6899</v>
      </c>
      <c r="BM225" s="13" t="s">
        <v>9825</v>
      </c>
      <c r="BN225" s="13" t="s">
        <v>5510</v>
      </c>
      <c r="BO225" s="13" t="s">
        <v>5510</v>
      </c>
      <c r="BP225" s="13" t="s">
        <v>5510</v>
      </c>
      <c r="BQ225" s="13" t="s">
        <v>5510</v>
      </c>
      <c r="BR225" s="13" t="s">
        <v>5538</v>
      </c>
      <c r="BS225" s="13" t="s">
        <v>9826</v>
      </c>
      <c r="BT225" s="13">
        <v>24717.0</v>
      </c>
      <c r="BU225" s="13" t="s">
        <v>5540</v>
      </c>
      <c r="BV225" s="13" t="s">
        <v>4856</v>
      </c>
      <c r="BW225" s="13" t="str">
        <f>VLOOKUP($BT225,Enriched!$A$2:$E$1070,5,false)</f>
        <v>["Agriculture &amp; Aquaculture", "Transportation &amp; Service Corridors"]</v>
      </c>
      <c r="BX225" s="13" t="str">
        <f>VLOOKUP($BT225,Enriched!$A$2:$E$1070,4,false)</f>
        <v>["Wood &amp; pulp plantations", "Housing &amp; urban area", "Roads &amp; railroads"]</v>
      </c>
      <c r="BY225" s="13" t="b">
        <f>VLOOKUP(BT225,Enriched!$A$1:$AA$1070,27,falsE)</f>
        <v>0</v>
      </c>
      <c r="BZ225" s="2" t="str">
        <f>VLOOKUP(BT225,Enriched!$A$1:$AA$1070,14,falsE)</f>
        <v>level2</v>
      </c>
      <c r="CA225" s="13" t="str">
        <f>HYPERLINK("https%3A%2F%2Fwww.webofscience.com%2Fwos%2Fwoscc%2Ffull-record%2FWOS:000398589200012","View Full Record in Web of Science")</f>
        <v>View Full Record in Web of Science</v>
      </c>
    </row>
    <row r="226" ht="12.75" customHeight="1">
      <c r="A226" s="13" t="s">
        <v>5508</v>
      </c>
      <c r="B226" s="13" t="s">
        <v>9827</v>
      </c>
      <c r="C226" s="13" t="s">
        <v>5510</v>
      </c>
      <c r="D226" s="13" t="s">
        <v>5510</v>
      </c>
      <c r="E226" s="13" t="s">
        <v>5510</v>
      </c>
      <c r="F226" s="13" t="s">
        <v>9828</v>
      </c>
      <c r="G226" s="13" t="s">
        <v>5510</v>
      </c>
      <c r="H226" s="13" t="s">
        <v>5510</v>
      </c>
      <c r="I226" s="13" t="s">
        <v>2406</v>
      </c>
      <c r="J226" s="13" t="s">
        <v>6764</v>
      </c>
      <c r="K226" s="13" t="s">
        <v>5510</v>
      </c>
      <c r="L226" s="13" t="s">
        <v>5510</v>
      </c>
      <c r="M226" s="13" t="s">
        <v>5513</v>
      </c>
      <c r="N226" s="13" t="s">
        <v>5514</v>
      </c>
      <c r="O226" s="13" t="s">
        <v>5510</v>
      </c>
      <c r="P226" s="13" t="s">
        <v>5510</v>
      </c>
      <c r="Q226" s="13" t="s">
        <v>5510</v>
      </c>
      <c r="R226" s="13" t="s">
        <v>5510</v>
      </c>
      <c r="S226" s="13" t="s">
        <v>5510</v>
      </c>
      <c r="T226" s="13" t="s">
        <v>9829</v>
      </c>
      <c r="U226" s="13" t="s">
        <v>9830</v>
      </c>
      <c r="V226" s="13" t="s">
        <v>9831</v>
      </c>
      <c r="W226" s="13" t="s">
        <v>9832</v>
      </c>
      <c r="X226" s="13" t="s">
        <v>9833</v>
      </c>
      <c r="Y226" s="13" t="s">
        <v>9834</v>
      </c>
      <c r="Z226" s="13" t="s">
        <v>9835</v>
      </c>
      <c r="AA226" s="13" t="s">
        <v>9836</v>
      </c>
      <c r="AB226" s="13" t="s">
        <v>9837</v>
      </c>
      <c r="AC226" s="13" t="s">
        <v>5510</v>
      </c>
      <c r="AD226" s="13" t="s">
        <v>5510</v>
      </c>
      <c r="AE226" s="13" t="s">
        <v>5510</v>
      </c>
      <c r="AF226" s="13" t="s">
        <v>5510</v>
      </c>
      <c r="AG226" s="13">
        <v>65.0</v>
      </c>
      <c r="AH226" s="13">
        <v>42.0</v>
      </c>
      <c r="AI226" s="13">
        <v>52.0</v>
      </c>
      <c r="AJ226" s="13">
        <v>0.0</v>
      </c>
      <c r="AK226" s="13">
        <v>60.0</v>
      </c>
      <c r="AL226" s="13" t="s">
        <v>5931</v>
      </c>
      <c r="AM226" s="13" t="s">
        <v>5932</v>
      </c>
      <c r="AN226" s="13" t="s">
        <v>5933</v>
      </c>
      <c r="AO226" s="13" t="s">
        <v>6777</v>
      </c>
      <c r="AP226" s="13" t="s">
        <v>6778</v>
      </c>
      <c r="AQ226" s="13" t="s">
        <v>5510</v>
      </c>
      <c r="AR226" s="13" t="s">
        <v>6779</v>
      </c>
      <c r="AS226" s="13" t="s">
        <v>6780</v>
      </c>
      <c r="AT226" s="13" t="s">
        <v>2514</v>
      </c>
      <c r="AU226" s="13">
        <v>2019.0</v>
      </c>
      <c r="AV226" s="13">
        <v>253.0</v>
      </c>
      <c r="AW226" s="13" t="s">
        <v>5510</v>
      </c>
      <c r="AX226" s="13" t="s">
        <v>5510</v>
      </c>
      <c r="AY226" s="13" t="s">
        <v>5510</v>
      </c>
      <c r="AZ226" s="13" t="s">
        <v>5510</v>
      </c>
      <c r="BA226" s="13" t="s">
        <v>5510</v>
      </c>
      <c r="BB226" s="13">
        <v>474.0</v>
      </c>
      <c r="BC226" s="13">
        <v>487.0</v>
      </c>
      <c r="BD226" s="13" t="s">
        <v>5510</v>
      </c>
      <c r="BE226" s="13" t="s">
        <v>9838</v>
      </c>
      <c r="BF226" s="52" t="str">
        <f>HYPERLINK("http://dx.doi.org/10.1016/j.envpol.2019.06.080","http://dx.doi.org/10.1016/j.envpol.2019.06.080")</f>
        <v>http://dx.doi.org/10.1016/j.envpol.2019.06.080</v>
      </c>
      <c r="BG226" s="13" t="s">
        <v>5510</v>
      </c>
      <c r="BH226" s="13" t="s">
        <v>5510</v>
      </c>
      <c r="BI226" s="13">
        <v>14.0</v>
      </c>
      <c r="BJ226" s="13" t="s">
        <v>5768</v>
      </c>
      <c r="BK226" s="13" t="s">
        <v>5561</v>
      </c>
      <c r="BL226" s="13" t="s">
        <v>5535</v>
      </c>
      <c r="BM226" s="13" t="s">
        <v>9839</v>
      </c>
      <c r="BN226" s="13">
        <v>3.133034E7</v>
      </c>
      <c r="BO226" s="13" t="s">
        <v>5510</v>
      </c>
      <c r="BP226" s="13" t="s">
        <v>5510</v>
      </c>
      <c r="BQ226" s="13" t="s">
        <v>5510</v>
      </c>
      <c r="BR226" s="13" t="s">
        <v>5538</v>
      </c>
      <c r="BS226" s="13" t="s">
        <v>9840</v>
      </c>
      <c r="BT226" s="13">
        <v>24878.0</v>
      </c>
      <c r="BU226" s="13" t="s">
        <v>5540</v>
      </c>
      <c r="BV226" s="13" t="s">
        <v>4864</v>
      </c>
      <c r="BW226" s="13" t="str">
        <f>VLOOKUP($BT226,Enriched!$A$2:$E$1070,5,false)</f>
        <v>["Residential &amp; Commercial Development", "Transportation &amp; Service Corridors", "Pollution"]</v>
      </c>
      <c r="BX226" s="13" t="str">
        <f>VLOOKUP($BT226,Enriched!$A$2:$E$1070,4,false)</f>
        <v>["Commercial &amp; industrial areas", "Roads &amp; railroads", "Domestic &amp; urban waste water"]</v>
      </c>
      <c r="BY226" s="13" t="b">
        <f>VLOOKUP(BT226,Enriched!$A$1:$AA$1070,27,falsE)</f>
        <v>0</v>
      </c>
      <c r="BZ226" s="2" t="str">
        <f>VLOOKUP(BT226,Enriched!$A$1:$AA$1070,14,falsE)</f>
        <v>level2</v>
      </c>
      <c r="CA226" s="13" t="str">
        <f>HYPERLINK("https%3A%2F%2Fwww.webofscience.com%2Fwos%2Fwoscc%2Ffull-record%2FWOS:000483406700050","View Full Record in Web of Science")</f>
        <v>View Full Record in Web of Science</v>
      </c>
    </row>
    <row r="227" ht="12.75" customHeight="1">
      <c r="A227" s="13" t="s">
        <v>5508</v>
      </c>
      <c r="B227" s="13" t="s">
        <v>9841</v>
      </c>
      <c r="C227" s="13" t="s">
        <v>5510</v>
      </c>
      <c r="D227" s="13" t="s">
        <v>5510</v>
      </c>
      <c r="E227" s="13" t="s">
        <v>5510</v>
      </c>
      <c r="F227" s="13" t="s">
        <v>9841</v>
      </c>
      <c r="G227" s="13" t="s">
        <v>5510</v>
      </c>
      <c r="H227" s="13" t="s">
        <v>5510</v>
      </c>
      <c r="I227" s="13" t="s">
        <v>9842</v>
      </c>
      <c r="J227" s="13" t="s">
        <v>8582</v>
      </c>
      <c r="K227" s="13" t="s">
        <v>5510</v>
      </c>
      <c r="L227" s="13" t="s">
        <v>5510</v>
      </c>
      <c r="M227" s="13" t="s">
        <v>5513</v>
      </c>
      <c r="N227" s="13" t="s">
        <v>5514</v>
      </c>
      <c r="O227" s="13" t="s">
        <v>5510</v>
      </c>
      <c r="P227" s="13" t="s">
        <v>5510</v>
      </c>
      <c r="Q227" s="13" t="s">
        <v>5510</v>
      </c>
      <c r="R227" s="13" t="s">
        <v>5510</v>
      </c>
      <c r="S227" s="13" t="s">
        <v>5510</v>
      </c>
      <c r="T227" s="13" t="s">
        <v>9843</v>
      </c>
      <c r="U227" s="13" t="s">
        <v>9844</v>
      </c>
      <c r="V227" s="13" t="s">
        <v>9845</v>
      </c>
      <c r="W227" s="13" t="s">
        <v>9846</v>
      </c>
      <c r="X227" s="13" t="s">
        <v>5510</v>
      </c>
      <c r="Y227" s="13" t="s">
        <v>9847</v>
      </c>
      <c r="Z227" s="13" t="s">
        <v>9848</v>
      </c>
      <c r="AA227" s="13" t="s">
        <v>5510</v>
      </c>
      <c r="AB227" s="13" t="s">
        <v>9849</v>
      </c>
      <c r="AC227" s="13" t="s">
        <v>5510</v>
      </c>
      <c r="AD227" s="13" t="s">
        <v>5510</v>
      </c>
      <c r="AE227" s="13" t="s">
        <v>5510</v>
      </c>
      <c r="AF227" s="13" t="s">
        <v>5510</v>
      </c>
      <c r="AG227" s="13">
        <v>26.0</v>
      </c>
      <c r="AH227" s="13">
        <v>26.0</v>
      </c>
      <c r="AI227" s="13">
        <v>28.0</v>
      </c>
      <c r="AJ227" s="13">
        <v>1.0</v>
      </c>
      <c r="AK227" s="13">
        <v>23.0</v>
      </c>
      <c r="AL227" s="13" t="s">
        <v>5690</v>
      </c>
      <c r="AM227" s="13" t="s">
        <v>6503</v>
      </c>
      <c r="AN227" s="13" t="s">
        <v>6504</v>
      </c>
      <c r="AO227" s="13" t="s">
        <v>8592</v>
      </c>
      <c r="AP227" s="13" t="s">
        <v>8593</v>
      </c>
      <c r="AQ227" s="13" t="s">
        <v>5510</v>
      </c>
      <c r="AR227" s="13" t="s">
        <v>8594</v>
      </c>
      <c r="AS227" s="13" t="s">
        <v>8595</v>
      </c>
      <c r="AT227" s="13" t="s">
        <v>1925</v>
      </c>
      <c r="AU227" s="13">
        <v>2005.0</v>
      </c>
      <c r="AV227" s="13">
        <v>36.0</v>
      </c>
      <c r="AW227" s="13">
        <v>3.0</v>
      </c>
      <c r="AX227" s="13" t="s">
        <v>5510</v>
      </c>
      <c r="AY227" s="13" t="s">
        <v>5510</v>
      </c>
      <c r="AZ227" s="13" t="s">
        <v>5510</v>
      </c>
      <c r="BA227" s="13" t="s">
        <v>5510</v>
      </c>
      <c r="BB227" s="13">
        <v>382.0</v>
      </c>
      <c r="BC227" s="13">
        <v>393.0</v>
      </c>
      <c r="BD227" s="13" t="s">
        <v>5510</v>
      </c>
      <c r="BE227" s="13" t="s">
        <v>9850</v>
      </c>
      <c r="BF227" s="52" t="str">
        <f>HYPERLINK("http://dx.doi.org/10.1007/s00267-003-0291-z","http://dx.doi.org/10.1007/s00267-003-0291-z")</f>
        <v>http://dx.doi.org/10.1007/s00267-003-0291-z</v>
      </c>
      <c r="BG227" s="13" t="s">
        <v>5510</v>
      </c>
      <c r="BH227" s="13" t="s">
        <v>5510</v>
      </c>
      <c r="BI227" s="13">
        <v>12.0</v>
      </c>
      <c r="BJ227" s="13" t="s">
        <v>5768</v>
      </c>
      <c r="BK227" s="13" t="s">
        <v>5534</v>
      </c>
      <c r="BL227" s="13" t="s">
        <v>5535</v>
      </c>
      <c r="BM227" s="13" t="s">
        <v>9851</v>
      </c>
      <c r="BN227" s="13">
        <v>1.5995893E7</v>
      </c>
      <c r="BO227" s="13" t="s">
        <v>5510</v>
      </c>
      <c r="BP227" s="13" t="s">
        <v>5510</v>
      </c>
      <c r="BQ227" s="13" t="s">
        <v>5510</v>
      </c>
      <c r="BR227" s="13" t="s">
        <v>5538</v>
      </c>
      <c r="BS227" s="13" t="s">
        <v>9852</v>
      </c>
      <c r="BT227" s="13">
        <v>25767.0</v>
      </c>
      <c r="BU227" s="13" t="s">
        <v>5540</v>
      </c>
      <c r="BV227" s="13" t="s">
        <v>4856</v>
      </c>
      <c r="BW227" s="13" t="str">
        <f>VLOOKUP($BT227,Enriched!$A$2:$E$1070,5,false)</f>
        <v>["Agriculture &amp; Aquaculture"]</v>
      </c>
      <c r="BX227" s="13" t="str">
        <f>VLOOKUP($BT227,Enriched!$A$2:$E$1070,4,false)</f>
        <v>["Annual &amp; perennial non-timber crops"]</v>
      </c>
      <c r="BY227" s="13" t="b">
        <f>VLOOKUP(BT227,Enriched!$A$1:$AA$1070,27,falsE)</f>
        <v>1</v>
      </c>
      <c r="BZ227" s="2" t="str">
        <f>VLOOKUP(BT227,Enriched!$A$1:$AA$1070,14,falsE)</f>
        <v>level2</v>
      </c>
      <c r="CA227" s="13" t="str">
        <f>HYPERLINK("https%3A%2F%2Fwww.webofscience.com%2Fwos%2Fwoscc%2Ffull-record%2FWOS:000231959000004","View Full Record in Web of Science")</f>
        <v>View Full Record in Web of Science</v>
      </c>
    </row>
    <row r="228" ht="12.75" customHeight="1">
      <c r="A228" s="13" t="s">
        <v>5508</v>
      </c>
      <c r="B228" s="13" t="s">
        <v>9853</v>
      </c>
      <c r="C228" s="13" t="s">
        <v>5510</v>
      </c>
      <c r="D228" s="13" t="s">
        <v>5510</v>
      </c>
      <c r="E228" s="13" t="s">
        <v>5510</v>
      </c>
      <c r="F228" s="13" t="s">
        <v>9854</v>
      </c>
      <c r="G228" s="13" t="s">
        <v>5510</v>
      </c>
      <c r="H228" s="13" t="s">
        <v>5510</v>
      </c>
      <c r="I228" s="13" t="s">
        <v>2398</v>
      </c>
      <c r="J228" s="13" t="s">
        <v>5895</v>
      </c>
      <c r="K228" s="13" t="s">
        <v>5510</v>
      </c>
      <c r="L228" s="13" t="s">
        <v>5510</v>
      </c>
      <c r="M228" s="13" t="s">
        <v>5513</v>
      </c>
      <c r="N228" s="13" t="s">
        <v>5514</v>
      </c>
      <c r="O228" s="13" t="s">
        <v>5510</v>
      </c>
      <c r="P228" s="13" t="s">
        <v>5510</v>
      </c>
      <c r="Q228" s="13" t="s">
        <v>5510</v>
      </c>
      <c r="R228" s="13" t="s">
        <v>5510</v>
      </c>
      <c r="S228" s="13" t="s">
        <v>5510</v>
      </c>
      <c r="T228" s="13" t="s">
        <v>9855</v>
      </c>
      <c r="U228" s="13" t="s">
        <v>9856</v>
      </c>
      <c r="V228" s="13" t="s">
        <v>9857</v>
      </c>
      <c r="W228" s="13" t="s">
        <v>9858</v>
      </c>
      <c r="X228" s="13" t="s">
        <v>9859</v>
      </c>
      <c r="Y228" s="13" t="s">
        <v>9860</v>
      </c>
      <c r="Z228" s="13" t="s">
        <v>9861</v>
      </c>
      <c r="AA228" s="13" t="s">
        <v>9862</v>
      </c>
      <c r="AB228" s="13" t="s">
        <v>9863</v>
      </c>
      <c r="AC228" s="13" t="s">
        <v>9864</v>
      </c>
      <c r="AD228" s="13" t="s">
        <v>9865</v>
      </c>
      <c r="AE228" s="13" t="s">
        <v>9866</v>
      </c>
      <c r="AF228" s="13" t="s">
        <v>5510</v>
      </c>
      <c r="AG228" s="13">
        <v>87.0</v>
      </c>
      <c r="AH228" s="13">
        <v>158.0</v>
      </c>
      <c r="AI228" s="13">
        <v>186.0</v>
      </c>
      <c r="AJ228" s="13">
        <v>2.0</v>
      </c>
      <c r="AK228" s="13">
        <v>62.0</v>
      </c>
      <c r="AL228" s="13" t="s">
        <v>5907</v>
      </c>
      <c r="AM228" s="13" t="s">
        <v>5908</v>
      </c>
      <c r="AN228" s="13" t="s">
        <v>5909</v>
      </c>
      <c r="AO228" s="13" t="s">
        <v>5910</v>
      </c>
      <c r="AP228" s="13" t="s">
        <v>5510</v>
      </c>
      <c r="AQ228" s="13" t="s">
        <v>5510</v>
      </c>
      <c r="AR228" s="13" t="s">
        <v>5911</v>
      </c>
      <c r="AS228" s="13" t="s">
        <v>5912</v>
      </c>
      <c r="AT228" s="13" t="s">
        <v>9867</v>
      </c>
      <c r="AU228" s="13">
        <v>2018.0</v>
      </c>
      <c r="AV228" s="13">
        <v>115.0</v>
      </c>
      <c r="AW228" s="13">
        <v>52.0</v>
      </c>
      <c r="AX228" s="13" t="s">
        <v>5510</v>
      </c>
      <c r="AY228" s="13" t="s">
        <v>5510</v>
      </c>
      <c r="AZ228" s="13" t="s">
        <v>5510</v>
      </c>
      <c r="BA228" s="13" t="s">
        <v>5510</v>
      </c>
      <c r="BB228" s="13">
        <v>13164.0</v>
      </c>
      <c r="BC228" s="13">
        <v>13173.0</v>
      </c>
      <c r="BD228" s="13" t="s">
        <v>5510</v>
      </c>
      <c r="BE228" s="13" t="s">
        <v>9868</v>
      </c>
      <c r="BF228" s="52" t="str">
        <f>HYPERLINK("http://dx.doi.org/10.1073/pnas.1812505115","http://dx.doi.org/10.1073/pnas.1812505115")</f>
        <v>http://dx.doi.org/10.1073/pnas.1812505115</v>
      </c>
      <c r="BG228" s="13" t="s">
        <v>5510</v>
      </c>
      <c r="BH228" s="13" t="s">
        <v>5510</v>
      </c>
      <c r="BI228" s="13">
        <v>10.0</v>
      </c>
      <c r="BJ228" s="13" t="s">
        <v>5560</v>
      </c>
      <c r="BK228" s="13" t="s">
        <v>5534</v>
      </c>
      <c r="BL228" s="13" t="s">
        <v>5562</v>
      </c>
      <c r="BM228" s="13" t="s">
        <v>9869</v>
      </c>
      <c r="BN228" s="13">
        <v>3.0509982E7</v>
      </c>
      <c r="BO228" s="13" t="s">
        <v>5587</v>
      </c>
      <c r="BP228" s="13" t="s">
        <v>5510</v>
      </c>
      <c r="BQ228" s="13" t="s">
        <v>5510</v>
      </c>
      <c r="BR228" s="13" t="s">
        <v>5538</v>
      </c>
      <c r="BS228" s="13" t="s">
        <v>9870</v>
      </c>
      <c r="BT228" s="13">
        <v>23258.0</v>
      </c>
      <c r="BU228" s="13" t="s">
        <v>5540</v>
      </c>
      <c r="BV228" s="13" t="s">
        <v>4856</v>
      </c>
      <c r="BW228" s="13" t="str">
        <f>VLOOKUP($BT228,Enriched!$A$2:$E$1070,5,false)</f>
        <v>["Energy Production &amp; Mining", "Transportation &amp; Service Corridors", "Agriculture &amp; Aquaculture", "Biological Resource Use"]</v>
      </c>
      <c r="BX228" s="13" t="str">
        <f>VLOOKUP($BT228,Enriched!$A$2:$E$1070,4,false)</f>
        <v>["Oil &amp; gas drilling", "Roads &amp; railroads", "Mining &amp; quarrying", "Wood &amp; pulp plantations", "Annual &amp; perennial non-timber crops", "Logging &amp; wood harvesting"]</v>
      </c>
      <c r="BY228" s="13" t="b">
        <f>VLOOKUP(BT228,Enriched!$A$1:$AA$1070,27,falsE)</f>
        <v>0</v>
      </c>
      <c r="BZ228" s="2" t="str">
        <f>VLOOKUP(BT228,Enriched!$A$1:$AA$1070,14,falsE)</f>
        <v>level2</v>
      </c>
      <c r="CA228" s="13" t="str">
        <f>HYPERLINK("https%3A%2F%2Fwww.webofscience.com%2Fwos%2Fwoscc%2Ffull-record%2FWOS:000454302600050","View Full Record in Web of Science")</f>
        <v>View Full Record in Web of Science</v>
      </c>
    </row>
    <row r="229" ht="12.75" customHeight="1">
      <c r="A229" s="13" t="s">
        <v>5508</v>
      </c>
      <c r="B229" s="13" t="s">
        <v>9871</v>
      </c>
      <c r="C229" s="13" t="s">
        <v>5510</v>
      </c>
      <c r="D229" s="13" t="s">
        <v>5510</v>
      </c>
      <c r="E229" s="13" t="s">
        <v>5510</v>
      </c>
      <c r="F229" s="13" t="s">
        <v>9872</v>
      </c>
      <c r="G229" s="13" t="s">
        <v>5510</v>
      </c>
      <c r="H229" s="13" t="s">
        <v>5510</v>
      </c>
      <c r="I229" s="13" t="s">
        <v>9873</v>
      </c>
      <c r="J229" s="13" t="s">
        <v>6836</v>
      </c>
      <c r="K229" s="13" t="s">
        <v>5510</v>
      </c>
      <c r="L229" s="13" t="s">
        <v>5510</v>
      </c>
      <c r="M229" s="13" t="s">
        <v>5513</v>
      </c>
      <c r="N229" s="13" t="s">
        <v>4904</v>
      </c>
      <c r="O229" s="13" t="s">
        <v>5510</v>
      </c>
      <c r="P229" s="13" t="s">
        <v>5510</v>
      </c>
      <c r="Q229" s="13" t="s">
        <v>5510</v>
      </c>
      <c r="R229" s="13" t="s">
        <v>5510</v>
      </c>
      <c r="S229" s="13" t="s">
        <v>5510</v>
      </c>
      <c r="T229" s="13" t="s">
        <v>9874</v>
      </c>
      <c r="U229" s="13" t="s">
        <v>9875</v>
      </c>
      <c r="V229" s="13" t="s">
        <v>9876</v>
      </c>
      <c r="W229" s="13" t="s">
        <v>9877</v>
      </c>
      <c r="X229" s="13" t="s">
        <v>9878</v>
      </c>
      <c r="Y229" s="13" t="s">
        <v>9879</v>
      </c>
      <c r="Z229" s="13" t="s">
        <v>9880</v>
      </c>
      <c r="AA229" s="13" t="s">
        <v>5510</v>
      </c>
      <c r="AB229" s="13" t="s">
        <v>9881</v>
      </c>
      <c r="AC229" s="13" t="s">
        <v>9882</v>
      </c>
      <c r="AD229" s="13" t="s">
        <v>9883</v>
      </c>
      <c r="AE229" s="13" t="s">
        <v>9884</v>
      </c>
      <c r="AF229" s="13" t="s">
        <v>5510</v>
      </c>
      <c r="AG229" s="13">
        <v>105.0</v>
      </c>
      <c r="AH229" s="13">
        <v>33.0</v>
      </c>
      <c r="AI229" s="13">
        <v>40.0</v>
      </c>
      <c r="AJ229" s="13">
        <v>1.0</v>
      </c>
      <c r="AK229" s="13">
        <v>48.0</v>
      </c>
      <c r="AL229" s="13" t="s">
        <v>6849</v>
      </c>
      <c r="AM229" s="13" t="s">
        <v>6850</v>
      </c>
      <c r="AN229" s="13" t="s">
        <v>6851</v>
      </c>
      <c r="AO229" s="13" t="s">
        <v>5510</v>
      </c>
      <c r="AP229" s="13" t="s">
        <v>6852</v>
      </c>
      <c r="AQ229" s="13" t="s">
        <v>5510</v>
      </c>
      <c r="AR229" s="13" t="s">
        <v>6853</v>
      </c>
      <c r="AS229" s="13" t="s">
        <v>1596</v>
      </c>
      <c r="AT229" s="13" t="s">
        <v>5978</v>
      </c>
      <c r="AU229" s="13">
        <v>2018.0</v>
      </c>
      <c r="AV229" s="13">
        <v>10.0</v>
      </c>
      <c r="AW229" s="13">
        <v>12.0</v>
      </c>
      <c r="AX229" s="13" t="s">
        <v>5510</v>
      </c>
      <c r="AY229" s="13" t="s">
        <v>5510</v>
      </c>
      <c r="AZ229" s="13" t="s">
        <v>5510</v>
      </c>
      <c r="BA229" s="13" t="s">
        <v>5510</v>
      </c>
      <c r="BB229" s="13" t="s">
        <v>5510</v>
      </c>
      <c r="BC229" s="13" t="s">
        <v>5510</v>
      </c>
      <c r="BD229" s="13">
        <v>4504.0</v>
      </c>
      <c r="BE229" s="13" t="s">
        <v>9885</v>
      </c>
      <c r="BF229" s="52" t="str">
        <f>HYPERLINK("http://dx.doi.org/10.3390/su10124504","http://dx.doi.org/10.3390/su10124504")</f>
        <v>http://dx.doi.org/10.3390/su10124504</v>
      </c>
      <c r="BG229" s="13" t="s">
        <v>5510</v>
      </c>
      <c r="BH229" s="13" t="s">
        <v>5510</v>
      </c>
      <c r="BI229" s="13">
        <v>14.0</v>
      </c>
      <c r="BJ229" s="13" t="s">
        <v>6855</v>
      </c>
      <c r="BK229" s="13" t="s">
        <v>5534</v>
      </c>
      <c r="BL229" s="13" t="s">
        <v>6488</v>
      </c>
      <c r="BM229" s="13" t="s">
        <v>9036</v>
      </c>
      <c r="BN229" s="13" t="s">
        <v>5510</v>
      </c>
      <c r="BO229" s="13" t="s">
        <v>5564</v>
      </c>
      <c r="BP229" s="13" t="s">
        <v>5510</v>
      </c>
      <c r="BQ229" s="13" t="s">
        <v>5510</v>
      </c>
      <c r="BR229" s="13" t="s">
        <v>5538</v>
      </c>
      <c r="BS229" s="13" t="s">
        <v>9886</v>
      </c>
      <c r="BT229" s="13">
        <v>24842.0</v>
      </c>
      <c r="BU229" s="13" t="s">
        <v>5540</v>
      </c>
      <c r="BV229" s="13" t="s">
        <v>4856</v>
      </c>
      <c r="BW229" s="13" t="str">
        <f>VLOOKUP($BT229,Enriched!$A$2:$E$1070,5,false)</f>
        <v>["Residential &amp; Commercial Development", "Agriculture &amp; Aquaculture"]</v>
      </c>
      <c r="BX229" s="13" t="str">
        <f>VLOOKUP($BT229,Enriched!$A$2:$E$1070,4,false)</f>
        <v>["Housing &amp; urban area", "Commercial &amp; industrial areas", "Annual &amp; perennial non-timber crops", "Wood &amp; pulp plantations"]</v>
      </c>
      <c r="BY229" s="13" t="b">
        <f>VLOOKUP(BT229,Enriched!$A$1:$AA$1070,27,falsE)</f>
        <v>0</v>
      </c>
      <c r="BZ229" s="2" t="str">
        <f>VLOOKUP(BT229,Enriched!$A$1:$AA$1070,14,falsE)</f>
        <v>level2</v>
      </c>
      <c r="CA229" s="13" t="str">
        <f>HYPERLINK("https%3A%2F%2Fwww.webofscience.com%2Fwos%2Fwoscc%2Ffull-record%2FWOS:000455338100170","View Full Record in Web of Science")</f>
        <v>View Full Record in Web of Science</v>
      </c>
    </row>
    <row r="230" ht="12.75" customHeight="1">
      <c r="A230" s="13" t="s">
        <v>5508</v>
      </c>
      <c r="B230" s="13" t="s">
        <v>9887</v>
      </c>
      <c r="C230" s="13" t="s">
        <v>5510</v>
      </c>
      <c r="D230" s="13" t="s">
        <v>5510</v>
      </c>
      <c r="E230" s="13" t="s">
        <v>5510</v>
      </c>
      <c r="F230" s="13" t="s">
        <v>9888</v>
      </c>
      <c r="G230" s="13" t="s">
        <v>5510</v>
      </c>
      <c r="H230" s="13" t="s">
        <v>5510</v>
      </c>
      <c r="I230" s="13" t="s">
        <v>2393</v>
      </c>
      <c r="J230" s="13" t="s">
        <v>6764</v>
      </c>
      <c r="K230" s="13" t="s">
        <v>5510</v>
      </c>
      <c r="L230" s="13" t="s">
        <v>5510</v>
      </c>
      <c r="M230" s="13" t="s">
        <v>5513</v>
      </c>
      <c r="N230" s="13" t="s">
        <v>5514</v>
      </c>
      <c r="O230" s="13" t="s">
        <v>5510</v>
      </c>
      <c r="P230" s="13" t="s">
        <v>5510</v>
      </c>
      <c r="Q230" s="13" t="s">
        <v>5510</v>
      </c>
      <c r="R230" s="13" t="s">
        <v>5510</v>
      </c>
      <c r="S230" s="13" t="s">
        <v>5510</v>
      </c>
      <c r="T230" s="13" t="s">
        <v>9889</v>
      </c>
      <c r="U230" s="13" t="s">
        <v>9890</v>
      </c>
      <c r="V230" s="13" t="s">
        <v>9891</v>
      </c>
      <c r="W230" s="13" t="s">
        <v>9892</v>
      </c>
      <c r="X230" s="13" t="s">
        <v>9893</v>
      </c>
      <c r="Y230" s="13" t="s">
        <v>9894</v>
      </c>
      <c r="Z230" s="13" t="s">
        <v>9895</v>
      </c>
      <c r="AA230" s="13" t="s">
        <v>9896</v>
      </c>
      <c r="AB230" s="13" t="s">
        <v>9897</v>
      </c>
      <c r="AC230" s="13" t="s">
        <v>9898</v>
      </c>
      <c r="AD230" s="13" t="s">
        <v>9899</v>
      </c>
      <c r="AE230" s="13" t="s">
        <v>9900</v>
      </c>
      <c r="AF230" s="13" t="s">
        <v>5510</v>
      </c>
      <c r="AG230" s="13">
        <v>67.0</v>
      </c>
      <c r="AH230" s="13">
        <v>53.0</v>
      </c>
      <c r="AI230" s="13">
        <v>63.0</v>
      </c>
      <c r="AJ230" s="13">
        <v>1.0</v>
      </c>
      <c r="AK230" s="13">
        <v>49.0</v>
      </c>
      <c r="AL230" s="13" t="s">
        <v>5931</v>
      </c>
      <c r="AM230" s="13" t="s">
        <v>5932</v>
      </c>
      <c r="AN230" s="13" t="s">
        <v>5933</v>
      </c>
      <c r="AO230" s="13" t="s">
        <v>6777</v>
      </c>
      <c r="AP230" s="13" t="s">
        <v>6778</v>
      </c>
      <c r="AQ230" s="13" t="s">
        <v>5510</v>
      </c>
      <c r="AR230" s="13" t="s">
        <v>6779</v>
      </c>
      <c r="AS230" s="13" t="s">
        <v>6780</v>
      </c>
      <c r="AT230" s="13" t="s">
        <v>5582</v>
      </c>
      <c r="AU230" s="13">
        <v>2017.0</v>
      </c>
      <c r="AV230" s="13">
        <v>220.0</v>
      </c>
      <c r="AW230" s="13" t="s">
        <v>5510</v>
      </c>
      <c r="AX230" s="13" t="s">
        <v>6176</v>
      </c>
      <c r="AY230" s="13" t="s">
        <v>5510</v>
      </c>
      <c r="AZ230" s="13" t="s">
        <v>5510</v>
      </c>
      <c r="BA230" s="13" t="s">
        <v>5510</v>
      </c>
      <c r="BB230" s="13">
        <v>672.0</v>
      </c>
      <c r="BC230" s="13">
        <v>679.0</v>
      </c>
      <c r="BD230" s="13" t="s">
        <v>5510</v>
      </c>
      <c r="BE230" s="13" t="s">
        <v>9901</v>
      </c>
      <c r="BF230" s="52" t="str">
        <f>HYPERLINK("http://dx.doi.org/10.1016/j.envpol.2016.10.025","http://dx.doi.org/10.1016/j.envpol.2016.10.025")</f>
        <v>http://dx.doi.org/10.1016/j.envpol.2016.10.025</v>
      </c>
      <c r="BG230" s="13" t="s">
        <v>5510</v>
      </c>
      <c r="BH230" s="13" t="s">
        <v>5510</v>
      </c>
      <c r="BI230" s="13">
        <v>8.0</v>
      </c>
      <c r="BJ230" s="13" t="s">
        <v>5768</v>
      </c>
      <c r="BK230" s="13" t="s">
        <v>5561</v>
      </c>
      <c r="BL230" s="13" t="s">
        <v>5535</v>
      </c>
      <c r="BM230" s="13" t="s">
        <v>9902</v>
      </c>
      <c r="BN230" s="13">
        <v>2.7769769E7</v>
      </c>
      <c r="BO230" s="13" t="s">
        <v>5510</v>
      </c>
      <c r="BP230" s="13" t="s">
        <v>5510</v>
      </c>
      <c r="BQ230" s="13" t="s">
        <v>5510</v>
      </c>
      <c r="BR230" s="13" t="s">
        <v>5538</v>
      </c>
      <c r="BS230" s="13" t="s">
        <v>9903</v>
      </c>
      <c r="BT230" s="13">
        <v>26006.0</v>
      </c>
      <c r="BU230" s="13" t="s">
        <v>5540</v>
      </c>
      <c r="BV230" s="13" t="s">
        <v>4856</v>
      </c>
      <c r="BW230" s="13" t="str">
        <f>VLOOKUP($BT230,Enriched!$A$2:$E$1070,5,false)</f>
        <v>["Biological resource use"]</v>
      </c>
      <c r="BX230" s="13" t="str">
        <f>VLOOKUP($BT230,Enriched!$A$2:$E$1070,4,false)</f>
        <v>["Hunting &amp; collecting terrestrial animals"]</v>
      </c>
      <c r="BY230" s="13" t="b">
        <f>VLOOKUP(BT230,Enriched!$A$1:$AA$1070,27,falsE)</f>
        <v>0</v>
      </c>
      <c r="BZ230" s="2" t="str">
        <f>VLOOKUP(BT230,Enriched!$A$1:$AA$1070,14,falsE)</f>
        <v>level2</v>
      </c>
      <c r="CA230" s="13" t="str">
        <f>HYPERLINK("https%3A%2F%2Fwww.webofscience.com%2Fwos%2Fwoscc%2Ffull-record%2FWOS:000390736700073","View Full Record in Web of Science")</f>
        <v>View Full Record in Web of Science</v>
      </c>
    </row>
    <row r="231" ht="12.75" customHeight="1">
      <c r="A231" s="13" t="s">
        <v>5508</v>
      </c>
      <c r="B231" s="13" t="s">
        <v>9904</v>
      </c>
      <c r="C231" s="13" t="s">
        <v>5510</v>
      </c>
      <c r="D231" s="13" t="s">
        <v>5510</v>
      </c>
      <c r="E231" s="13" t="s">
        <v>5510</v>
      </c>
      <c r="F231" s="13" t="s">
        <v>9905</v>
      </c>
      <c r="G231" s="13" t="s">
        <v>5510</v>
      </c>
      <c r="H231" s="13" t="s">
        <v>5510</v>
      </c>
      <c r="I231" s="13" t="s">
        <v>2389</v>
      </c>
      <c r="J231" s="13" t="s">
        <v>9906</v>
      </c>
      <c r="K231" s="13" t="s">
        <v>5510</v>
      </c>
      <c r="L231" s="13" t="s">
        <v>5510</v>
      </c>
      <c r="M231" s="13" t="s">
        <v>5513</v>
      </c>
      <c r="N231" s="13" t="s">
        <v>5514</v>
      </c>
      <c r="O231" s="13" t="s">
        <v>5510</v>
      </c>
      <c r="P231" s="13" t="s">
        <v>5510</v>
      </c>
      <c r="Q231" s="13" t="s">
        <v>5510</v>
      </c>
      <c r="R231" s="13" t="s">
        <v>5510</v>
      </c>
      <c r="S231" s="13" t="s">
        <v>5510</v>
      </c>
      <c r="T231" s="13" t="s">
        <v>5510</v>
      </c>
      <c r="U231" s="13" t="s">
        <v>9907</v>
      </c>
      <c r="V231" s="13" t="s">
        <v>9908</v>
      </c>
      <c r="W231" s="13" t="s">
        <v>9909</v>
      </c>
      <c r="X231" s="13" t="s">
        <v>9910</v>
      </c>
      <c r="Y231" s="13" t="s">
        <v>9911</v>
      </c>
      <c r="Z231" s="13" t="s">
        <v>9912</v>
      </c>
      <c r="AA231" s="13" t="s">
        <v>9913</v>
      </c>
      <c r="AB231" s="13" t="s">
        <v>9914</v>
      </c>
      <c r="AC231" s="13" t="s">
        <v>9915</v>
      </c>
      <c r="AD231" s="13" t="s">
        <v>9916</v>
      </c>
      <c r="AE231" s="13" t="s">
        <v>9917</v>
      </c>
      <c r="AF231" s="13" t="s">
        <v>5510</v>
      </c>
      <c r="AG231" s="13">
        <v>34.0</v>
      </c>
      <c r="AH231" s="13">
        <v>3.0</v>
      </c>
      <c r="AI231" s="13">
        <v>3.0</v>
      </c>
      <c r="AJ231" s="13">
        <v>0.0</v>
      </c>
      <c r="AK231" s="13">
        <v>23.0</v>
      </c>
      <c r="AL231" s="13" t="s">
        <v>9918</v>
      </c>
      <c r="AM231" s="13" t="s">
        <v>9919</v>
      </c>
      <c r="AN231" s="13" t="s">
        <v>9920</v>
      </c>
      <c r="AO231" s="13" t="s">
        <v>9921</v>
      </c>
      <c r="AP231" s="13" t="s">
        <v>5510</v>
      </c>
      <c r="AQ231" s="13" t="s">
        <v>5510</v>
      </c>
      <c r="AR231" s="13" t="s">
        <v>9922</v>
      </c>
      <c r="AS231" s="13" t="s">
        <v>9923</v>
      </c>
      <c r="AT231" s="13" t="s">
        <v>1453</v>
      </c>
      <c r="AU231" s="13">
        <v>2016.0</v>
      </c>
      <c r="AV231" s="13">
        <v>5.0</v>
      </c>
      <c r="AW231" s="13">
        <v>3.0</v>
      </c>
      <c r="AX231" s="13" t="s">
        <v>5510</v>
      </c>
      <c r="AY231" s="13" t="s">
        <v>5510</v>
      </c>
      <c r="AZ231" s="13" t="s">
        <v>5510</v>
      </c>
      <c r="BA231" s="13" t="s">
        <v>5510</v>
      </c>
      <c r="BB231" s="13">
        <v>285.0</v>
      </c>
      <c r="BC231" s="13">
        <v>300.0</v>
      </c>
      <c r="BD231" s="13" t="s">
        <v>5510</v>
      </c>
      <c r="BE231" s="13" t="s">
        <v>9924</v>
      </c>
      <c r="BF231" s="52" t="str">
        <f>HYPERLINK("http://dx.doi.org/10.4314/sajg.v5i3.2","http://dx.doi.org/10.4314/sajg.v5i3.2")</f>
        <v>http://dx.doi.org/10.4314/sajg.v5i3.2</v>
      </c>
      <c r="BG231" s="13" t="s">
        <v>5510</v>
      </c>
      <c r="BH231" s="13" t="s">
        <v>5510</v>
      </c>
      <c r="BI231" s="13">
        <v>16.0</v>
      </c>
      <c r="BJ231" s="13" t="s">
        <v>866</v>
      </c>
      <c r="BK231" s="13" t="s">
        <v>7985</v>
      </c>
      <c r="BL231" s="13" t="s">
        <v>866</v>
      </c>
      <c r="BM231" s="13" t="s">
        <v>9925</v>
      </c>
      <c r="BN231" s="13" t="s">
        <v>5510</v>
      </c>
      <c r="BO231" s="13" t="s">
        <v>5537</v>
      </c>
      <c r="BP231" s="13" t="s">
        <v>5510</v>
      </c>
      <c r="BQ231" s="13" t="s">
        <v>5510</v>
      </c>
      <c r="BR231" s="13" t="s">
        <v>5538</v>
      </c>
      <c r="BS231" s="13" t="s">
        <v>9926</v>
      </c>
      <c r="BT231" s="13">
        <v>23967.0</v>
      </c>
      <c r="BU231" s="13" t="s">
        <v>5540</v>
      </c>
      <c r="BV231" s="13" t="s">
        <v>4856</v>
      </c>
      <c r="BW231" s="13" t="str">
        <f>VLOOKUP($BT231,Enriched!$A$2:$E$1070,5,false)</f>
        <v>["Invasive &amp; other problematic species, genes &amp; diseases"]</v>
      </c>
      <c r="BX231" s="13" t="str">
        <f>VLOOKUP($BT231,Enriched!$A$2:$E$1070,4,false)</f>
        <v>["Invasive non-native/alien species/diseases"]</v>
      </c>
      <c r="BY231" s="13" t="b">
        <f>VLOOKUP(BT231,Enriched!$A$1:$AA$1070,27,falsE)</f>
        <v>0</v>
      </c>
      <c r="BZ231" s="2" t="str">
        <f>VLOOKUP(BT231,Enriched!$A$1:$AA$1070,14,falsE)</f>
        <v>level2</v>
      </c>
      <c r="CA231" s="13" t="str">
        <f>HYPERLINK("https%3A%2F%2Fwww.webofscience.com%2Fwos%2Fwoscc%2Ffull-record%2FWOS:000395314100002","View Full Record in Web of Science")</f>
        <v>View Full Record in Web of Science</v>
      </c>
    </row>
    <row r="232" ht="12.75" customHeight="1">
      <c r="A232" s="13" t="s">
        <v>5508</v>
      </c>
      <c r="B232" s="13" t="s">
        <v>9927</v>
      </c>
      <c r="C232" s="13" t="s">
        <v>5510</v>
      </c>
      <c r="D232" s="13" t="s">
        <v>5510</v>
      </c>
      <c r="E232" s="13" t="s">
        <v>5510</v>
      </c>
      <c r="F232" s="13" t="s">
        <v>9928</v>
      </c>
      <c r="G232" s="13" t="s">
        <v>5510</v>
      </c>
      <c r="H232" s="13" t="s">
        <v>5510</v>
      </c>
      <c r="I232" s="13" t="s">
        <v>2386</v>
      </c>
      <c r="J232" s="13" t="s">
        <v>7300</v>
      </c>
      <c r="K232" s="13" t="s">
        <v>5510</v>
      </c>
      <c r="L232" s="13" t="s">
        <v>5510</v>
      </c>
      <c r="M232" s="13" t="s">
        <v>5513</v>
      </c>
      <c r="N232" s="13" t="s">
        <v>5514</v>
      </c>
      <c r="O232" s="13" t="s">
        <v>5510</v>
      </c>
      <c r="P232" s="13" t="s">
        <v>5510</v>
      </c>
      <c r="Q232" s="13" t="s">
        <v>5510</v>
      </c>
      <c r="R232" s="13" t="s">
        <v>5510</v>
      </c>
      <c r="S232" s="13" t="s">
        <v>5510</v>
      </c>
      <c r="T232" s="13" t="s">
        <v>5510</v>
      </c>
      <c r="U232" s="13" t="s">
        <v>9929</v>
      </c>
      <c r="V232" s="13" t="s">
        <v>9930</v>
      </c>
      <c r="W232" s="13" t="s">
        <v>9931</v>
      </c>
      <c r="X232" s="13" t="s">
        <v>9932</v>
      </c>
      <c r="Y232" s="13" t="s">
        <v>9933</v>
      </c>
      <c r="Z232" s="13" t="s">
        <v>9934</v>
      </c>
      <c r="AA232" s="13" t="s">
        <v>9935</v>
      </c>
      <c r="AB232" s="13" t="s">
        <v>9936</v>
      </c>
      <c r="AC232" s="13" t="s">
        <v>9937</v>
      </c>
      <c r="AD232" s="13" t="s">
        <v>9937</v>
      </c>
      <c r="AE232" s="13" t="s">
        <v>9938</v>
      </c>
      <c r="AF232" s="13" t="s">
        <v>5510</v>
      </c>
      <c r="AG232" s="13">
        <v>42.0</v>
      </c>
      <c r="AH232" s="13">
        <v>35.0</v>
      </c>
      <c r="AI232" s="13">
        <v>44.0</v>
      </c>
      <c r="AJ232" s="13">
        <v>1.0</v>
      </c>
      <c r="AK232" s="13">
        <v>25.0</v>
      </c>
      <c r="AL232" s="13" t="s">
        <v>6849</v>
      </c>
      <c r="AM232" s="13" t="s">
        <v>6850</v>
      </c>
      <c r="AN232" s="13" t="s">
        <v>6851</v>
      </c>
      <c r="AO232" s="13" t="s">
        <v>5510</v>
      </c>
      <c r="AP232" s="13" t="s">
        <v>7313</v>
      </c>
      <c r="AQ232" s="13" t="s">
        <v>5510</v>
      </c>
      <c r="AR232" s="13" t="s">
        <v>7314</v>
      </c>
      <c r="AS232" s="13" t="s">
        <v>7315</v>
      </c>
      <c r="AT232" s="13" t="s">
        <v>5866</v>
      </c>
      <c r="AU232" s="13">
        <v>2015.0</v>
      </c>
      <c r="AV232" s="13">
        <v>7.0</v>
      </c>
      <c r="AW232" s="13">
        <v>5.0</v>
      </c>
      <c r="AX232" s="13" t="s">
        <v>5510</v>
      </c>
      <c r="AY232" s="13" t="s">
        <v>5510</v>
      </c>
      <c r="AZ232" s="13" t="s">
        <v>5510</v>
      </c>
      <c r="BA232" s="13" t="s">
        <v>5510</v>
      </c>
      <c r="BB232" s="13">
        <v>6257.0</v>
      </c>
      <c r="BC232" s="13">
        <v>6279.0</v>
      </c>
      <c r="BD232" s="13" t="s">
        <v>5510</v>
      </c>
      <c r="BE232" s="13" t="s">
        <v>9939</v>
      </c>
      <c r="BF232" s="52" t="str">
        <f>HYPERLINK("http://dx.doi.org/10.3390/rs70506257","http://dx.doi.org/10.3390/rs70506257")</f>
        <v>http://dx.doi.org/10.3390/rs70506257</v>
      </c>
      <c r="BG232" s="13" t="s">
        <v>5510</v>
      </c>
      <c r="BH232" s="13" t="s">
        <v>5510</v>
      </c>
      <c r="BI232" s="13">
        <v>23.0</v>
      </c>
      <c r="BJ232" s="13" t="s">
        <v>7317</v>
      </c>
      <c r="BK232" s="13" t="s">
        <v>5561</v>
      </c>
      <c r="BL232" s="13" t="s">
        <v>7318</v>
      </c>
      <c r="BM232" s="13" t="s">
        <v>9940</v>
      </c>
      <c r="BN232" s="13" t="s">
        <v>5510</v>
      </c>
      <c r="BO232" s="13" t="s">
        <v>5564</v>
      </c>
      <c r="BP232" s="13" t="s">
        <v>5510</v>
      </c>
      <c r="BQ232" s="13" t="s">
        <v>5510</v>
      </c>
      <c r="BR232" s="13" t="s">
        <v>5538</v>
      </c>
      <c r="BS232" s="13" t="s">
        <v>9941</v>
      </c>
      <c r="BT232" s="13">
        <v>24025.0</v>
      </c>
      <c r="BU232" s="13" t="s">
        <v>5540</v>
      </c>
      <c r="BV232" s="13" t="s">
        <v>4856</v>
      </c>
      <c r="BW232" s="13" t="str">
        <f>VLOOKUP($BT232,Enriched!$A$2:$E$1070,5,false)</f>
        <v>["Agriculture &amp; Aquaculture"]</v>
      </c>
      <c r="BX232" s="13" t="str">
        <f>VLOOKUP($BT232,Enriched!$A$2:$E$1070,4,false)</f>
        <v/>
      </c>
      <c r="BY232" s="13" t="b">
        <f>VLOOKUP(BT232,Enriched!$A$1:$AA$1070,27,falsE)</f>
        <v>1</v>
      </c>
      <c r="BZ232" s="2" t="str">
        <f>VLOOKUP(BT232,Enriched!$A$1:$AA$1070,14,falsE)</f>
        <v>level2</v>
      </c>
      <c r="CA232" s="13" t="str">
        <f>HYPERLINK("https%3A%2F%2Fwww.webofscience.com%2Fwos%2Fwoscc%2Ffull-record%2FWOS:000357596900022","View Full Record in Web of Science")</f>
        <v>View Full Record in Web of Science</v>
      </c>
    </row>
    <row r="233" ht="12.75" customHeight="1">
      <c r="A233" s="13" t="s">
        <v>5508</v>
      </c>
      <c r="B233" s="13" t="s">
        <v>9942</v>
      </c>
      <c r="C233" s="13" t="s">
        <v>5510</v>
      </c>
      <c r="D233" s="13" t="s">
        <v>5510</v>
      </c>
      <c r="E233" s="13" t="s">
        <v>5510</v>
      </c>
      <c r="F233" s="13" t="s">
        <v>9943</v>
      </c>
      <c r="G233" s="13" t="s">
        <v>5510</v>
      </c>
      <c r="H233" s="13" t="s">
        <v>5510</v>
      </c>
      <c r="I233" s="2" t="s">
        <v>2384</v>
      </c>
      <c r="J233" s="13" t="s">
        <v>5746</v>
      </c>
      <c r="K233" s="13" t="s">
        <v>5510</v>
      </c>
      <c r="L233" s="13" t="s">
        <v>5510</v>
      </c>
      <c r="M233" s="13" t="s">
        <v>5513</v>
      </c>
      <c r="N233" s="13" t="s">
        <v>5514</v>
      </c>
      <c r="O233" s="13" t="s">
        <v>5510</v>
      </c>
      <c r="P233" s="13" t="s">
        <v>5510</v>
      </c>
      <c r="Q233" s="13" t="s">
        <v>5510</v>
      </c>
      <c r="R233" s="13" t="s">
        <v>5510</v>
      </c>
      <c r="S233" s="13" t="s">
        <v>5510</v>
      </c>
      <c r="T233" s="13" t="s">
        <v>9944</v>
      </c>
      <c r="U233" s="13" t="s">
        <v>9945</v>
      </c>
      <c r="V233" s="13" t="s">
        <v>9946</v>
      </c>
      <c r="W233" s="13" t="s">
        <v>9947</v>
      </c>
      <c r="X233" s="13" t="s">
        <v>9948</v>
      </c>
      <c r="Y233" s="13" t="s">
        <v>9949</v>
      </c>
      <c r="Z233" s="13" t="s">
        <v>9950</v>
      </c>
      <c r="AA233" s="13" t="s">
        <v>9951</v>
      </c>
      <c r="AB233" s="13" t="s">
        <v>9952</v>
      </c>
      <c r="AC233" s="13" t="s">
        <v>9953</v>
      </c>
      <c r="AD233" s="13" t="s">
        <v>9954</v>
      </c>
      <c r="AE233" s="13" t="s">
        <v>9955</v>
      </c>
      <c r="AF233" s="13" t="s">
        <v>5510</v>
      </c>
      <c r="AG233" s="13">
        <v>63.0</v>
      </c>
      <c r="AH233" s="13">
        <v>53.0</v>
      </c>
      <c r="AI233" s="13">
        <v>58.0</v>
      </c>
      <c r="AJ233" s="13">
        <v>2.0</v>
      </c>
      <c r="AK233" s="13">
        <v>72.0</v>
      </c>
      <c r="AL233" s="13" t="s">
        <v>5759</v>
      </c>
      <c r="AM233" s="13" t="s">
        <v>5760</v>
      </c>
      <c r="AN233" s="13" t="s">
        <v>5761</v>
      </c>
      <c r="AO233" s="13" t="s">
        <v>5762</v>
      </c>
      <c r="AP233" s="13" t="s">
        <v>5763</v>
      </c>
      <c r="AQ233" s="13" t="s">
        <v>5510</v>
      </c>
      <c r="AR233" s="13" t="s">
        <v>5764</v>
      </c>
      <c r="AS233" s="13" t="s">
        <v>5765</v>
      </c>
      <c r="AT233" s="13" t="s">
        <v>9956</v>
      </c>
      <c r="AU233" s="13">
        <v>2020.0</v>
      </c>
      <c r="AV233" s="13">
        <v>704.0</v>
      </c>
      <c r="AW233" s="13" t="s">
        <v>5510</v>
      </c>
      <c r="AX233" s="13" t="s">
        <v>5510</v>
      </c>
      <c r="AY233" s="13" t="s">
        <v>5510</v>
      </c>
      <c r="AZ233" s="13" t="s">
        <v>5510</v>
      </c>
      <c r="BA233" s="13" t="s">
        <v>5510</v>
      </c>
      <c r="BB233" s="13" t="s">
        <v>5510</v>
      </c>
      <c r="BC233" s="13" t="s">
        <v>5510</v>
      </c>
      <c r="BD233" s="13">
        <v>135316.0</v>
      </c>
      <c r="BE233" s="13" t="s">
        <v>9957</v>
      </c>
      <c r="BF233" s="52" t="str">
        <f>HYPERLINK("http://dx.doi.org/10.1016/j.scitotenv.2019.135316","http://dx.doi.org/10.1016/j.scitotenv.2019.135316")</f>
        <v>http://dx.doi.org/10.1016/j.scitotenv.2019.135316</v>
      </c>
      <c r="BG233" s="13" t="s">
        <v>5510</v>
      </c>
      <c r="BH233" s="13" t="s">
        <v>5510</v>
      </c>
      <c r="BI233" s="13">
        <v>15.0</v>
      </c>
      <c r="BJ233" s="13" t="s">
        <v>5768</v>
      </c>
      <c r="BK233" s="13" t="s">
        <v>5534</v>
      </c>
      <c r="BL233" s="13" t="s">
        <v>5535</v>
      </c>
      <c r="BM233" s="13" t="s">
        <v>9958</v>
      </c>
      <c r="BN233" s="13">
        <v>3.1896214E7</v>
      </c>
      <c r="BO233" s="13" t="s">
        <v>6586</v>
      </c>
      <c r="BP233" s="13" t="s">
        <v>5510</v>
      </c>
      <c r="BQ233" s="13" t="s">
        <v>5510</v>
      </c>
      <c r="BR233" s="13" t="s">
        <v>5538</v>
      </c>
      <c r="BS233" s="13" t="s">
        <v>9959</v>
      </c>
      <c r="BT233" s="13">
        <v>23100.0</v>
      </c>
      <c r="BU233" s="13" t="s">
        <v>5540</v>
      </c>
      <c r="BV233" s="13" t="s">
        <v>4864</v>
      </c>
      <c r="BW233" s="13" t="str">
        <f>VLOOKUP($BT233,Enriched!$A$2:$E$1070,5,false)</f>
        <v>["Natural System Modifications", "Climate Change &amp; Severe Weather", "Pollution", "Residential &amp; Commercial Development", "Agriculture &amp; Aquaculture", "Human Intrusions &amp; Disturbance", "Invasive &amp; Other Problematic Species, Genes &amp; Diseases", "Energy Production &amp; Mining", "Transportation &amp; Service Corridors", "Biological Resource Use"]</v>
      </c>
      <c r="BX233" s="13" t="str">
        <f>VLOOKUP($BT233,Enriched!$A$2:$E$1070,4,false)</f>
        <v>["Dams &amp; water management/use", "Temperature extremes", "Garbage &amp; solid waste", "Excess energy", "Commercial &amp; industrial areas", "Marine &amp; freshwater aquaculture", "War, civil unrest &amp; military exercises", "Invasive non-native/alien species/diseases", "Oil &amp; gas drilling", "Renewable energy", "Utility &amp; service lines", "Industrial &amp; military effluents", "Shipping lanes", "Recreational activities", "Fishing &amp; harvesting aquatic resources"]</v>
      </c>
      <c r="BY233" s="13" t="b">
        <f>VLOOKUP(BT233,Enriched!$A$1:$AA$1070,27,falsE)</f>
        <v>1</v>
      </c>
      <c r="BZ233" s="2" t="str">
        <f>VLOOKUP(BT233,Enriched!$A$1:$AA$1070,14,falsE)</f>
        <v>cumulative</v>
      </c>
      <c r="CA233" s="13" t="str">
        <f>HYPERLINK("https%3A%2F%2Fwww.webofscience.com%2Fwos%2Fwoscc%2Ffull-record%2FWOS:000504672800120","View Full Record in Web of Science")</f>
        <v>View Full Record in Web of Science</v>
      </c>
    </row>
    <row r="234" ht="12.75" customHeight="1">
      <c r="A234" s="13" t="s">
        <v>5508</v>
      </c>
      <c r="B234" s="13" t="s">
        <v>9960</v>
      </c>
      <c r="C234" s="13" t="s">
        <v>5510</v>
      </c>
      <c r="D234" s="13" t="s">
        <v>5510</v>
      </c>
      <c r="E234" s="13" t="s">
        <v>5510</v>
      </c>
      <c r="F234" s="13" t="s">
        <v>9961</v>
      </c>
      <c r="G234" s="13" t="s">
        <v>5510</v>
      </c>
      <c r="H234" s="13" t="s">
        <v>5510</v>
      </c>
      <c r="I234" s="13" t="s">
        <v>9962</v>
      </c>
      <c r="J234" s="13" t="s">
        <v>5543</v>
      </c>
      <c r="K234" s="13" t="s">
        <v>5510</v>
      </c>
      <c r="L234" s="13" t="s">
        <v>5510</v>
      </c>
      <c r="M234" s="13" t="s">
        <v>5513</v>
      </c>
      <c r="N234" s="13" t="s">
        <v>5514</v>
      </c>
      <c r="O234" s="13" t="s">
        <v>5510</v>
      </c>
      <c r="P234" s="13" t="s">
        <v>5510</v>
      </c>
      <c r="Q234" s="13" t="s">
        <v>5510</v>
      </c>
      <c r="R234" s="13" t="s">
        <v>5510</v>
      </c>
      <c r="S234" s="13" t="s">
        <v>5510</v>
      </c>
      <c r="T234" s="13" t="s">
        <v>5510</v>
      </c>
      <c r="U234" s="13" t="s">
        <v>9963</v>
      </c>
      <c r="V234" s="13" t="s">
        <v>9964</v>
      </c>
      <c r="W234" s="13" t="s">
        <v>9965</v>
      </c>
      <c r="X234" s="13" t="s">
        <v>9966</v>
      </c>
      <c r="Y234" s="13" t="s">
        <v>9967</v>
      </c>
      <c r="Z234" s="13" t="s">
        <v>9968</v>
      </c>
      <c r="AA234" s="13" t="s">
        <v>9969</v>
      </c>
      <c r="AB234" s="13" t="s">
        <v>9970</v>
      </c>
      <c r="AC234" s="13" t="s">
        <v>9971</v>
      </c>
      <c r="AD234" s="13" t="s">
        <v>9972</v>
      </c>
      <c r="AE234" s="13" t="s">
        <v>9973</v>
      </c>
      <c r="AF234" s="13" t="s">
        <v>5510</v>
      </c>
      <c r="AG234" s="13">
        <v>70.0</v>
      </c>
      <c r="AH234" s="13">
        <v>63.0</v>
      </c>
      <c r="AI234" s="13">
        <v>81.0</v>
      </c>
      <c r="AJ234" s="13">
        <v>2.0</v>
      </c>
      <c r="AK234" s="13">
        <v>98.0</v>
      </c>
      <c r="AL234" s="13" t="s">
        <v>5552</v>
      </c>
      <c r="AM234" s="13" t="s">
        <v>5553</v>
      </c>
      <c r="AN234" s="13" t="s">
        <v>5554</v>
      </c>
      <c r="AO234" s="13" t="s">
        <v>5555</v>
      </c>
      <c r="AP234" s="13" t="s">
        <v>5510</v>
      </c>
      <c r="AQ234" s="13" t="s">
        <v>5510</v>
      </c>
      <c r="AR234" s="13" t="s">
        <v>5543</v>
      </c>
      <c r="AS234" s="13" t="s">
        <v>5556</v>
      </c>
      <c r="AT234" s="13" t="s">
        <v>9974</v>
      </c>
      <c r="AU234" s="13">
        <v>2013.0</v>
      </c>
      <c r="AV234" s="13">
        <v>8.0</v>
      </c>
      <c r="AW234" s="13">
        <v>11.0</v>
      </c>
      <c r="AX234" s="13" t="s">
        <v>5510</v>
      </c>
      <c r="AY234" s="13" t="s">
        <v>5510</v>
      </c>
      <c r="AZ234" s="13" t="s">
        <v>5510</v>
      </c>
      <c r="BA234" s="13" t="s">
        <v>5510</v>
      </c>
      <c r="BB234" s="13" t="s">
        <v>5510</v>
      </c>
      <c r="BC234" s="13" t="s">
        <v>5510</v>
      </c>
      <c r="BD234" s="13" t="s">
        <v>9975</v>
      </c>
      <c r="BE234" s="13" t="s">
        <v>9976</v>
      </c>
      <c r="BF234" s="52" t="str">
        <f>HYPERLINK("http://dx.doi.org/10.1371/journal.pone.0079967","http://dx.doi.org/10.1371/journal.pone.0079967")</f>
        <v>http://dx.doi.org/10.1371/journal.pone.0079967</v>
      </c>
      <c r="BG234" s="13" t="s">
        <v>5510</v>
      </c>
      <c r="BH234" s="13" t="s">
        <v>5510</v>
      </c>
      <c r="BI234" s="13">
        <v>11.0</v>
      </c>
      <c r="BJ234" s="13" t="s">
        <v>5560</v>
      </c>
      <c r="BK234" s="13" t="s">
        <v>5561</v>
      </c>
      <c r="BL234" s="13" t="s">
        <v>5562</v>
      </c>
      <c r="BM234" s="13" t="s">
        <v>9977</v>
      </c>
      <c r="BN234" s="13">
        <v>2.4278226E7</v>
      </c>
      <c r="BO234" s="13" t="s">
        <v>5564</v>
      </c>
      <c r="BP234" s="13" t="s">
        <v>5510</v>
      </c>
      <c r="BQ234" s="13" t="s">
        <v>5510</v>
      </c>
      <c r="BR234" s="13" t="s">
        <v>5538</v>
      </c>
      <c r="BS234" s="13" t="s">
        <v>9978</v>
      </c>
      <c r="BT234" s="13">
        <v>25473.0</v>
      </c>
      <c r="BU234" s="13" t="s">
        <v>5540</v>
      </c>
      <c r="BV234" s="13" t="s">
        <v>4856</v>
      </c>
      <c r="BW234" s="13" t="str">
        <f>VLOOKUP($BT234,Enriched!$A$2:$E$1070,5,false)</f>
        <v>["Transportation &amp; Service Corridors"]</v>
      </c>
      <c r="BX234" s="13" t="str">
        <f>VLOOKUP($BT234,Enriched!$A$2:$E$1070,4,false)</f>
        <v>["Roads &amp; railroads"]</v>
      </c>
      <c r="BY234" s="13" t="b">
        <f>VLOOKUP(BT234,Enriched!$A$1:$AA$1070,27,falsE)</f>
        <v>0</v>
      </c>
      <c r="BZ234" s="2" t="str">
        <f>VLOOKUP(BT234,Enriched!$A$1:$AA$1070,14,falsE)</f>
        <v>level2</v>
      </c>
      <c r="CA234" s="13" t="str">
        <f>HYPERLINK("https%3A%2F%2Fwww.webofscience.com%2Fwos%2Fwoscc%2Ffull-record%2FWOS:000327539800040","View Full Record in Web of Science")</f>
        <v>View Full Record in Web of Science</v>
      </c>
    </row>
    <row r="235" ht="12.75" customHeight="1">
      <c r="A235" s="13" t="s">
        <v>5508</v>
      </c>
      <c r="B235" s="13" t="s">
        <v>9979</v>
      </c>
      <c r="C235" s="13" t="s">
        <v>5510</v>
      </c>
      <c r="D235" s="13" t="s">
        <v>5510</v>
      </c>
      <c r="E235" s="13" t="s">
        <v>5510</v>
      </c>
      <c r="F235" s="13" t="s">
        <v>9980</v>
      </c>
      <c r="G235" s="13" t="s">
        <v>5510</v>
      </c>
      <c r="H235" s="13" t="s">
        <v>5510</v>
      </c>
      <c r="I235" s="2" t="s">
        <v>2379</v>
      </c>
      <c r="J235" s="13" t="s">
        <v>9981</v>
      </c>
      <c r="K235" s="13" t="s">
        <v>5510</v>
      </c>
      <c r="L235" s="13" t="s">
        <v>5510</v>
      </c>
      <c r="M235" s="13" t="s">
        <v>5513</v>
      </c>
      <c r="N235" s="13" t="s">
        <v>5514</v>
      </c>
      <c r="O235" s="13" t="s">
        <v>5510</v>
      </c>
      <c r="P235" s="13" t="s">
        <v>5510</v>
      </c>
      <c r="Q235" s="13" t="s">
        <v>5510</v>
      </c>
      <c r="R235" s="13" t="s">
        <v>5510</v>
      </c>
      <c r="S235" s="13" t="s">
        <v>5510</v>
      </c>
      <c r="T235" s="13" t="s">
        <v>5510</v>
      </c>
      <c r="U235" s="13" t="s">
        <v>9982</v>
      </c>
      <c r="V235" s="13" t="s">
        <v>9983</v>
      </c>
      <c r="W235" s="13" t="s">
        <v>9984</v>
      </c>
      <c r="X235" s="13" t="s">
        <v>9985</v>
      </c>
      <c r="Y235" s="13" t="s">
        <v>9986</v>
      </c>
      <c r="Z235" s="13" t="s">
        <v>9987</v>
      </c>
      <c r="AA235" s="13" t="s">
        <v>9988</v>
      </c>
      <c r="AB235" s="13" t="s">
        <v>9989</v>
      </c>
      <c r="AC235" s="13" t="s">
        <v>9990</v>
      </c>
      <c r="AD235" s="13" t="s">
        <v>9990</v>
      </c>
      <c r="AE235" s="13" t="s">
        <v>9991</v>
      </c>
      <c r="AF235" s="13" t="s">
        <v>5510</v>
      </c>
      <c r="AG235" s="13">
        <v>72.0</v>
      </c>
      <c r="AH235" s="13">
        <v>35.0</v>
      </c>
      <c r="AI235" s="13">
        <v>37.0</v>
      </c>
      <c r="AJ235" s="13">
        <v>0.0</v>
      </c>
      <c r="AK235" s="13">
        <v>48.0</v>
      </c>
      <c r="AL235" s="13" t="s">
        <v>9992</v>
      </c>
      <c r="AM235" s="13" t="s">
        <v>9993</v>
      </c>
      <c r="AN235" s="13" t="s">
        <v>9994</v>
      </c>
      <c r="AO235" s="13" t="s">
        <v>9995</v>
      </c>
      <c r="AP235" s="13" t="s">
        <v>5510</v>
      </c>
      <c r="AQ235" s="13" t="s">
        <v>5510</v>
      </c>
      <c r="AR235" s="13" t="s">
        <v>9996</v>
      </c>
      <c r="AS235" s="13" t="s">
        <v>9997</v>
      </c>
      <c r="AT235" s="13" t="s">
        <v>5510</v>
      </c>
      <c r="AU235" s="13">
        <v>2009.0</v>
      </c>
      <c r="AV235" s="13">
        <v>2.0</v>
      </c>
      <c r="AW235" s="13">
        <v>1.0</v>
      </c>
      <c r="AX235" s="13" t="s">
        <v>5510</v>
      </c>
      <c r="AY235" s="13" t="s">
        <v>5510</v>
      </c>
      <c r="AZ235" s="13" t="s">
        <v>5510</v>
      </c>
      <c r="BA235" s="13" t="s">
        <v>5510</v>
      </c>
      <c r="BB235" s="13">
        <v>70.0</v>
      </c>
      <c r="BC235" s="13">
        <v>87.0</v>
      </c>
      <c r="BD235" s="13" t="s">
        <v>5510</v>
      </c>
      <c r="BE235" s="13" t="s">
        <v>9998</v>
      </c>
      <c r="BF235" s="52" t="str">
        <f>HYPERLINK("http://dx.doi.org/10.1177/194008290900200108","http://dx.doi.org/10.1177/194008290900200108")</f>
        <v>http://dx.doi.org/10.1177/194008290900200108</v>
      </c>
      <c r="BG235" s="13" t="s">
        <v>5510</v>
      </c>
      <c r="BH235" s="13" t="s">
        <v>5510</v>
      </c>
      <c r="BI235" s="13">
        <v>18.0</v>
      </c>
      <c r="BJ235" s="13" t="s">
        <v>5648</v>
      </c>
      <c r="BK235" s="13" t="s">
        <v>5561</v>
      </c>
      <c r="BL235" s="13" t="s">
        <v>5650</v>
      </c>
      <c r="BM235" s="13" t="s">
        <v>9999</v>
      </c>
      <c r="BN235" s="13" t="s">
        <v>5510</v>
      </c>
      <c r="BO235" s="13" t="s">
        <v>5510</v>
      </c>
      <c r="BP235" s="13" t="s">
        <v>5510</v>
      </c>
      <c r="BQ235" s="13" t="s">
        <v>5510</v>
      </c>
      <c r="BR235" s="13" t="s">
        <v>5538</v>
      </c>
      <c r="BS235" s="13" t="s">
        <v>10000</v>
      </c>
      <c r="BT235" s="13">
        <v>25798.0</v>
      </c>
      <c r="BU235" s="13" t="s">
        <v>5540</v>
      </c>
      <c r="BV235" s="13" t="s">
        <v>4856</v>
      </c>
      <c r="BW235" s="13" t="str">
        <f>VLOOKUP($BT235,Enriched!$A$2:$E$1070,5,false)</f>
        <v>["Biological resource use"]</v>
      </c>
      <c r="BX235" s="13" t="str">
        <f>VLOOKUP($BT235,Enriched!$A$2:$E$1070,4,false)</f>
        <v>["Hunting &amp; collecting terrestrial animals"]</v>
      </c>
      <c r="BY235" s="13" t="b">
        <f>VLOOKUP(BT235,Enriched!$A$1:$AA$1070,27,falsE)</f>
        <v>0</v>
      </c>
      <c r="BZ235" s="2" t="str">
        <f>VLOOKUP(BT235,Enriched!$A$1:$AA$1070,14,falsE)</f>
        <v>level2</v>
      </c>
      <c r="CA235" s="13" t="str">
        <f>HYPERLINK("https%3A%2F%2Fwww.webofscience.com%2Fwos%2Fwoscc%2Ffull-record%2FWOS:000208241500007","View Full Record in Web of Science")</f>
        <v>View Full Record in Web of Science</v>
      </c>
    </row>
    <row r="236" ht="12.75" customHeight="1">
      <c r="A236" s="13" t="s">
        <v>5508</v>
      </c>
      <c r="B236" s="13" t="s">
        <v>10001</v>
      </c>
      <c r="C236" s="13" t="s">
        <v>5510</v>
      </c>
      <c r="D236" s="13" t="s">
        <v>5510</v>
      </c>
      <c r="E236" s="13" t="s">
        <v>5510</v>
      </c>
      <c r="F236" s="13" t="s">
        <v>10002</v>
      </c>
      <c r="G236" s="13" t="s">
        <v>5510</v>
      </c>
      <c r="H236" s="13" t="s">
        <v>5510</v>
      </c>
      <c r="I236" s="13" t="s">
        <v>2376</v>
      </c>
      <c r="J236" s="13" t="s">
        <v>6627</v>
      </c>
      <c r="K236" s="13" t="s">
        <v>5510</v>
      </c>
      <c r="L236" s="13" t="s">
        <v>5510</v>
      </c>
      <c r="M236" s="13" t="s">
        <v>5513</v>
      </c>
      <c r="N236" s="13" t="s">
        <v>5514</v>
      </c>
      <c r="O236" s="13" t="s">
        <v>5510</v>
      </c>
      <c r="P236" s="13" t="s">
        <v>5510</v>
      </c>
      <c r="Q236" s="13" t="s">
        <v>5510</v>
      </c>
      <c r="R236" s="13" t="s">
        <v>5510</v>
      </c>
      <c r="S236" s="13" t="s">
        <v>5510</v>
      </c>
      <c r="T236" s="13" t="s">
        <v>10003</v>
      </c>
      <c r="U236" s="13" t="s">
        <v>10004</v>
      </c>
      <c r="V236" s="13" t="s">
        <v>10005</v>
      </c>
      <c r="W236" s="13" t="s">
        <v>10006</v>
      </c>
      <c r="X236" s="13" t="s">
        <v>10007</v>
      </c>
      <c r="Y236" s="13" t="s">
        <v>10008</v>
      </c>
      <c r="Z236" s="13" t="s">
        <v>10009</v>
      </c>
      <c r="AA236" s="13" t="s">
        <v>10010</v>
      </c>
      <c r="AB236" s="13" t="s">
        <v>10011</v>
      </c>
      <c r="AC236" s="13" t="s">
        <v>10012</v>
      </c>
      <c r="AD236" s="13" t="s">
        <v>10013</v>
      </c>
      <c r="AE236" s="13" t="s">
        <v>10014</v>
      </c>
      <c r="AF236" s="13" t="s">
        <v>5510</v>
      </c>
      <c r="AG236" s="13">
        <v>91.0</v>
      </c>
      <c r="AH236" s="13">
        <v>14.0</v>
      </c>
      <c r="AI236" s="13">
        <v>16.0</v>
      </c>
      <c r="AJ236" s="13">
        <v>0.0</v>
      </c>
      <c r="AK236" s="13">
        <v>32.0</v>
      </c>
      <c r="AL236" s="13" t="s">
        <v>5527</v>
      </c>
      <c r="AM236" s="13" t="s">
        <v>5528</v>
      </c>
      <c r="AN236" s="13" t="s">
        <v>5529</v>
      </c>
      <c r="AO236" s="13" t="s">
        <v>6640</v>
      </c>
      <c r="AP236" s="13" t="s">
        <v>6641</v>
      </c>
      <c r="AQ236" s="13" t="s">
        <v>5510</v>
      </c>
      <c r="AR236" s="13" t="s">
        <v>6642</v>
      </c>
      <c r="AS236" s="13" t="s">
        <v>6643</v>
      </c>
      <c r="AT236" s="13" t="s">
        <v>2514</v>
      </c>
      <c r="AU236" s="13">
        <v>2020.0</v>
      </c>
      <c r="AV236" s="13">
        <v>26.0</v>
      </c>
      <c r="AW236" s="13">
        <v>10.0</v>
      </c>
      <c r="AX236" s="13" t="s">
        <v>5510</v>
      </c>
      <c r="AY236" s="13" t="s">
        <v>5510</v>
      </c>
      <c r="AZ236" s="13" t="s">
        <v>5510</v>
      </c>
      <c r="BA236" s="13" t="s">
        <v>5510</v>
      </c>
      <c r="BB236" s="13">
        <v>1264.0</v>
      </c>
      <c r="BC236" s="13">
        <v>1275.0</v>
      </c>
      <c r="BD236" s="13" t="s">
        <v>5510</v>
      </c>
      <c r="BE236" s="13" t="s">
        <v>10015</v>
      </c>
      <c r="BF236" s="52" t="str">
        <f>HYPERLINK("http://dx.doi.org/10.1111/ddi.13133","http://dx.doi.org/10.1111/ddi.13133")</f>
        <v>http://dx.doi.org/10.1111/ddi.13133</v>
      </c>
      <c r="BG236" s="13" t="s">
        <v>5510</v>
      </c>
      <c r="BH236" s="13" t="s">
        <v>10016</v>
      </c>
      <c r="BI236" s="13">
        <v>12.0</v>
      </c>
      <c r="BJ236" s="13" t="s">
        <v>5958</v>
      </c>
      <c r="BK236" s="13" t="s">
        <v>5561</v>
      </c>
      <c r="BL236" s="13" t="s">
        <v>5699</v>
      </c>
      <c r="BM236" s="13" t="s">
        <v>10017</v>
      </c>
      <c r="BN236" s="13" t="s">
        <v>5510</v>
      </c>
      <c r="BO236" s="13" t="s">
        <v>5537</v>
      </c>
      <c r="BP236" s="13" t="s">
        <v>5510</v>
      </c>
      <c r="BQ236" s="13" t="s">
        <v>5510</v>
      </c>
      <c r="BR236" s="13" t="s">
        <v>5538</v>
      </c>
      <c r="BS236" s="13" t="s">
        <v>10018</v>
      </c>
      <c r="BT236" s="13">
        <v>25894.0</v>
      </c>
      <c r="BU236" s="13" t="s">
        <v>5540</v>
      </c>
      <c r="BV236" s="13" t="s">
        <v>4856</v>
      </c>
      <c r="BW236" s="13" t="str">
        <f>VLOOKUP($BT236,Enriched!$A$2:$E$1070,5,false)</f>
        <v>["Agriculture &amp; Aquaculture"]</v>
      </c>
      <c r="BX236" s="13" t="str">
        <f>VLOOKUP($BT236,Enriched!$A$2:$E$1070,4,false)</f>
        <v>["Livestock farming &amp; ranching"]</v>
      </c>
      <c r="BY236" s="13" t="b">
        <f>VLOOKUP(BT236,Enriched!$A$1:$AA$1070,27,falsE)</f>
        <v>0</v>
      </c>
      <c r="BZ236" s="2" t="str">
        <f>VLOOKUP(BT236,Enriched!$A$1:$AA$1070,14,falsE)</f>
        <v>level2</v>
      </c>
      <c r="CA236" s="13" t="str">
        <f>HYPERLINK("https%3A%2F%2Fwww.webofscience.com%2Fwos%2Fwoscc%2Ffull-record%2FWOS:000552697200001","View Full Record in Web of Science")</f>
        <v>View Full Record in Web of Science</v>
      </c>
    </row>
    <row r="237" ht="12.75" customHeight="1">
      <c r="A237" s="13" t="s">
        <v>5508</v>
      </c>
      <c r="B237" s="13" t="s">
        <v>10019</v>
      </c>
      <c r="C237" s="13" t="s">
        <v>5510</v>
      </c>
      <c r="D237" s="13" t="s">
        <v>5510</v>
      </c>
      <c r="E237" s="13" t="s">
        <v>5510</v>
      </c>
      <c r="F237" s="13" t="s">
        <v>10020</v>
      </c>
      <c r="G237" s="13" t="s">
        <v>5510</v>
      </c>
      <c r="H237" s="13" t="s">
        <v>5510</v>
      </c>
      <c r="I237" s="13" t="s">
        <v>2373</v>
      </c>
      <c r="J237" s="13" t="s">
        <v>5919</v>
      </c>
      <c r="K237" s="13" t="s">
        <v>5510</v>
      </c>
      <c r="L237" s="13" t="s">
        <v>5510</v>
      </c>
      <c r="M237" s="13" t="s">
        <v>5513</v>
      </c>
      <c r="N237" s="13" t="s">
        <v>5514</v>
      </c>
      <c r="O237" s="13" t="s">
        <v>5510</v>
      </c>
      <c r="P237" s="13" t="s">
        <v>5510</v>
      </c>
      <c r="Q237" s="13" t="s">
        <v>5510</v>
      </c>
      <c r="R237" s="13" t="s">
        <v>5510</v>
      </c>
      <c r="S237" s="13" t="s">
        <v>5510</v>
      </c>
      <c r="T237" s="13" t="s">
        <v>10021</v>
      </c>
      <c r="U237" s="13" t="s">
        <v>10022</v>
      </c>
      <c r="V237" s="13" t="s">
        <v>10023</v>
      </c>
      <c r="W237" s="13" t="s">
        <v>10024</v>
      </c>
      <c r="X237" s="13" t="s">
        <v>10025</v>
      </c>
      <c r="Y237" s="13" t="s">
        <v>10026</v>
      </c>
      <c r="Z237" s="13" t="s">
        <v>10027</v>
      </c>
      <c r="AA237" s="13" t="s">
        <v>10028</v>
      </c>
      <c r="AB237" s="13" t="s">
        <v>10029</v>
      </c>
      <c r="AC237" s="13" t="s">
        <v>10030</v>
      </c>
      <c r="AD237" s="13" t="s">
        <v>10031</v>
      </c>
      <c r="AE237" s="13" t="s">
        <v>10032</v>
      </c>
      <c r="AF237" s="13" t="s">
        <v>5510</v>
      </c>
      <c r="AG237" s="13">
        <v>72.0</v>
      </c>
      <c r="AH237" s="13">
        <v>18.0</v>
      </c>
      <c r="AI237" s="13">
        <v>20.0</v>
      </c>
      <c r="AJ237" s="13">
        <v>0.0</v>
      </c>
      <c r="AK237" s="13">
        <v>113.0</v>
      </c>
      <c r="AL237" s="13" t="s">
        <v>5931</v>
      </c>
      <c r="AM237" s="13" t="s">
        <v>5932</v>
      </c>
      <c r="AN237" s="13" t="s">
        <v>5933</v>
      </c>
      <c r="AO237" s="13" t="s">
        <v>5934</v>
      </c>
      <c r="AP237" s="13" t="s">
        <v>5935</v>
      </c>
      <c r="AQ237" s="13" t="s">
        <v>5510</v>
      </c>
      <c r="AR237" s="13" t="s">
        <v>5936</v>
      </c>
      <c r="AS237" s="13" t="s">
        <v>5937</v>
      </c>
      <c r="AT237" s="13" t="s">
        <v>2514</v>
      </c>
      <c r="AU237" s="13">
        <v>2013.0</v>
      </c>
      <c r="AV237" s="13">
        <v>166.0</v>
      </c>
      <c r="AW237" s="13" t="s">
        <v>5510</v>
      </c>
      <c r="AX237" s="13" t="s">
        <v>5510</v>
      </c>
      <c r="AY237" s="13" t="s">
        <v>5510</v>
      </c>
      <c r="AZ237" s="13" t="s">
        <v>5510</v>
      </c>
      <c r="BA237" s="13" t="s">
        <v>5510</v>
      </c>
      <c r="BB237" s="13">
        <v>54.0</v>
      </c>
      <c r="BC237" s="13">
        <v>63.0</v>
      </c>
      <c r="BD237" s="13" t="s">
        <v>5510</v>
      </c>
      <c r="BE237" s="13" t="s">
        <v>10033</v>
      </c>
      <c r="BF237" s="52" t="str">
        <f>HYPERLINK("http://dx.doi.org/10.1016/j.biocon.2013.06.012","http://dx.doi.org/10.1016/j.biocon.2013.06.012")</f>
        <v>http://dx.doi.org/10.1016/j.biocon.2013.06.012</v>
      </c>
      <c r="BG237" s="13" t="s">
        <v>5510</v>
      </c>
      <c r="BH237" s="13" t="s">
        <v>5510</v>
      </c>
      <c r="BI237" s="13">
        <v>10.0</v>
      </c>
      <c r="BJ237" s="13" t="s">
        <v>5698</v>
      </c>
      <c r="BK237" s="13" t="s">
        <v>5561</v>
      </c>
      <c r="BL237" s="13" t="s">
        <v>5699</v>
      </c>
      <c r="BM237" s="13" t="s">
        <v>10034</v>
      </c>
      <c r="BN237" s="13" t="s">
        <v>5510</v>
      </c>
      <c r="BO237" s="13" t="s">
        <v>5510</v>
      </c>
      <c r="BP237" s="13" t="s">
        <v>5510</v>
      </c>
      <c r="BQ237" s="13" t="s">
        <v>5510</v>
      </c>
      <c r="BR237" s="13" t="s">
        <v>5538</v>
      </c>
      <c r="BS237" s="13" t="s">
        <v>10035</v>
      </c>
      <c r="BT237" s="13">
        <v>24576.0</v>
      </c>
      <c r="BU237" s="13" t="s">
        <v>5540</v>
      </c>
      <c r="BV237" s="13" t="s">
        <v>4856</v>
      </c>
      <c r="BW237" s="13" t="str">
        <f>VLOOKUP($BT237,Enriched!$A$2:$E$1070,5,false)</f>
        <v>["Transportation &amp; Service Corridors", "Energy Production &amp; Mining", "Agriculture &amp; Aquaculture"]</v>
      </c>
      <c r="BX237" s="13" t="str">
        <f>VLOOKUP($BT237,Enriched!$A$2:$E$1070,4,false)</f>
        <v>["Utility &amp; service lines", "Roads &amp; railroads", "Mining &amp; quarrying", "Wood &amp; pulp plantations"]</v>
      </c>
      <c r="BY237" s="13" t="b">
        <f>VLOOKUP(BT237,Enriched!$A$1:$AA$1070,27,falsE)</f>
        <v>0</v>
      </c>
      <c r="BZ237" s="2" t="str">
        <f>VLOOKUP(BT237,Enriched!$A$1:$AA$1070,14,falsE)</f>
        <v>cumulative</v>
      </c>
      <c r="CA237" s="13" t="str">
        <f>HYPERLINK("https%3A%2F%2Fwww.webofscience.com%2Fwos%2Fwoscc%2Ffull-record%2FWOS:000328523900006","View Full Record in Web of Science")</f>
        <v>View Full Record in Web of Science</v>
      </c>
    </row>
    <row r="238" ht="12.75" customHeight="1">
      <c r="A238" s="13" t="s">
        <v>5508</v>
      </c>
      <c r="B238" s="13" t="s">
        <v>10036</v>
      </c>
      <c r="C238" s="13" t="s">
        <v>5510</v>
      </c>
      <c r="D238" s="13" t="s">
        <v>5510</v>
      </c>
      <c r="E238" s="13" t="s">
        <v>5510</v>
      </c>
      <c r="F238" s="13" t="s">
        <v>10037</v>
      </c>
      <c r="G238" s="13" t="s">
        <v>5510</v>
      </c>
      <c r="H238" s="13" t="s">
        <v>5510</v>
      </c>
      <c r="I238" s="13" t="s">
        <v>10038</v>
      </c>
      <c r="J238" s="13" t="s">
        <v>10039</v>
      </c>
      <c r="K238" s="13" t="s">
        <v>5510</v>
      </c>
      <c r="L238" s="13" t="s">
        <v>5510</v>
      </c>
      <c r="M238" s="13" t="s">
        <v>5513</v>
      </c>
      <c r="N238" s="13" t="s">
        <v>5514</v>
      </c>
      <c r="O238" s="13" t="s">
        <v>5510</v>
      </c>
      <c r="P238" s="13" t="s">
        <v>5510</v>
      </c>
      <c r="Q238" s="13" t="s">
        <v>5510</v>
      </c>
      <c r="R238" s="13" t="s">
        <v>5510</v>
      </c>
      <c r="S238" s="13" t="s">
        <v>5510</v>
      </c>
      <c r="T238" s="13" t="s">
        <v>10040</v>
      </c>
      <c r="U238" s="13" t="s">
        <v>10041</v>
      </c>
      <c r="V238" s="13" t="s">
        <v>10042</v>
      </c>
      <c r="W238" s="13" t="s">
        <v>10043</v>
      </c>
      <c r="X238" s="13" t="s">
        <v>10044</v>
      </c>
      <c r="Y238" s="13" t="s">
        <v>10045</v>
      </c>
      <c r="Z238" s="13" t="s">
        <v>10046</v>
      </c>
      <c r="AA238" s="13" t="s">
        <v>10047</v>
      </c>
      <c r="AB238" s="13" t="s">
        <v>10048</v>
      </c>
      <c r="AC238" s="13" t="s">
        <v>5510</v>
      </c>
      <c r="AD238" s="13" t="s">
        <v>5510</v>
      </c>
      <c r="AE238" s="13" t="s">
        <v>5510</v>
      </c>
      <c r="AF238" s="13" t="s">
        <v>5510</v>
      </c>
      <c r="AG238" s="13">
        <v>19.0</v>
      </c>
      <c r="AH238" s="13">
        <v>3.0</v>
      </c>
      <c r="AI238" s="13">
        <v>3.0</v>
      </c>
      <c r="AJ238" s="13">
        <v>0.0</v>
      </c>
      <c r="AK238" s="13">
        <v>18.0</v>
      </c>
      <c r="AL238" s="13" t="s">
        <v>10049</v>
      </c>
      <c r="AM238" s="13" t="s">
        <v>5640</v>
      </c>
      <c r="AN238" s="13" t="s">
        <v>10050</v>
      </c>
      <c r="AO238" s="13" t="s">
        <v>10051</v>
      </c>
      <c r="AP238" s="13" t="s">
        <v>5510</v>
      </c>
      <c r="AQ238" s="13" t="s">
        <v>5510</v>
      </c>
      <c r="AR238" s="13" t="s">
        <v>10052</v>
      </c>
      <c r="AS238" s="13" t="s">
        <v>10053</v>
      </c>
      <c r="AT238" s="13" t="s">
        <v>5510</v>
      </c>
      <c r="AU238" s="13">
        <v>2014.0</v>
      </c>
      <c r="AV238" s="13">
        <v>15.0</v>
      </c>
      <c r="AW238" s="13">
        <v>4.0</v>
      </c>
      <c r="AX238" s="13" t="s">
        <v>5510</v>
      </c>
      <c r="AY238" s="13" t="s">
        <v>5510</v>
      </c>
      <c r="AZ238" s="13" t="s">
        <v>5510</v>
      </c>
      <c r="BA238" s="13" t="s">
        <v>5510</v>
      </c>
      <c r="BB238" s="13">
        <v>1881.0</v>
      </c>
      <c r="BC238" s="13">
        <v>1892.0</v>
      </c>
      <c r="BD238" s="13" t="s">
        <v>5510</v>
      </c>
      <c r="BE238" s="13" t="str">
        <f>#REF!</f>
        <v>#REF!</v>
      </c>
      <c r="BF238" s="13" t="s">
        <v>5510</v>
      </c>
      <c r="BG238" s="13" t="s">
        <v>5510</v>
      </c>
      <c r="BH238" s="13" t="s">
        <v>5510</v>
      </c>
      <c r="BI238" s="13">
        <v>12.0</v>
      </c>
      <c r="BJ238" s="13" t="s">
        <v>5768</v>
      </c>
      <c r="BK238" s="13" t="s">
        <v>5561</v>
      </c>
      <c r="BL238" s="13" t="s">
        <v>5535</v>
      </c>
      <c r="BM238" s="13" t="s">
        <v>10054</v>
      </c>
      <c r="BN238" s="13" t="s">
        <v>5510</v>
      </c>
      <c r="BO238" s="13" t="s">
        <v>5510</v>
      </c>
      <c r="BP238" s="13" t="s">
        <v>5510</v>
      </c>
      <c r="BQ238" s="13" t="s">
        <v>5510</v>
      </c>
      <c r="BR238" s="13" t="s">
        <v>5538</v>
      </c>
      <c r="BS238" s="13" t="s">
        <v>10055</v>
      </c>
      <c r="BT238" s="13">
        <v>23833.0</v>
      </c>
      <c r="BU238" s="13" t="s">
        <v>5540</v>
      </c>
      <c r="BV238" s="13" t="s">
        <v>4856</v>
      </c>
      <c r="BW238" s="13" t="str">
        <f>VLOOKUP($BT238,Enriched!$A$2:$E$1070,5,false)</f>
        <v>["Transportation &amp; Service Corridors"]</v>
      </c>
      <c r="BX238" s="13" t="str">
        <f>VLOOKUP($BT238,Enriched!$A$2:$E$1070,4,false)</f>
        <v>["Roads &amp; railroads"]</v>
      </c>
      <c r="BY238" s="13" t="b">
        <f>VLOOKUP(BT238,Enriched!$A$1:$AA$1070,27,falsE)</f>
        <v>0</v>
      </c>
      <c r="BZ238" s="2" t="str">
        <f>VLOOKUP(BT238,Enriched!$A$1:$AA$1070,14,falsE)</f>
        <v>level2</v>
      </c>
      <c r="CA238" s="13" t="str">
        <f>HYPERLINK("https%3A%2F%2Fwww.webofscience.com%2Fwos%2Fwoscc%2Ffull-record%2FWOS:000348254600040","View Full Record in Web of Science")</f>
        <v>View Full Record in Web of Science</v>
      </c>
    </row>
    <row r="239" ht="12.75" customHeight="1">
      <c r="A239" s="13" t="s">
        <v>5508</v>
      </c>
      <c r="B239" s="13" t="s">
        <v>10056</v>
      </c>
      <c r="C239" s="13" t="s">
        <v>5510</v>
      </c>
      <c r="D239" s="13" t="s">
        <v>5510</v>
      </c>
      <c r="E239" s="13" t="s">
        <v>5510</v>
      </c>
      <c r="F239" s="13" t="s">
        <v>10057</v>
      </c>
      <c r="G239" s="13" t="s">
        <v>5510</v>
      </c>
      <c r="H239" s="13" t="s">
        <v>5510</v>
      </c>
      <c r="I239" s="13" t="s">
        <v>2366</v>
      </c>
      <c r="J239" s="13" t="s">
        <v>5677</v>
      </c>
      <c r="K239" s="13" t="s">
        <v>5510</v>
      </c>
      <c r="L239" s="13" t="s">
        <v>5510</v>
      </c>
      <c r="M239" s="13" t="s">
        <v>5513</v>
      </c>
      <c r="N239" s="13" t="s">
        <v>5514</v>
      </c>
      <c r="O239" s="13" t="s">
        <v>5510</v>
      </c>
      <c r="P239" s="13" t="s">
        <v>5510</v>
      </c>
      <c r="Q239" s="13" t="s">
        <v>5510</v>
      </c>
      <c r="R239" s="13" t="s">
        <v>5510</v>
      </c>
      <c r="S239" s="13" t="s">
        <v>5510</v>
      </c>
      <c r="T239" s="13" t="s">
        <v>10058</v>
      </c>
      <c r="U239" s="13" t="s">
        <v>10059</v>
      </c>
      <c r="V239" s="13" t="s">
        <v>10060</v>
      </c>
      <c r="W239" s="13" t="s">
        <v>10061</v>
      </c>
      <c r="X239" s="13" t="s">
        <v>10062</v>
      </c>
      <c r="Y239" s="13" t="s">
        <v>10063</v>
      </c>
      <c r="Z239" s="13" t="s">
        <v>10064</v>
      </c>
      <c r="AA239" s="13" t="s">
        <v>10065</v>
      </c>
      <c r="AB239" s="13" t="s">
        <v>10066</v>
      </c>
      <c r="AC239" s="13" t="s">
        <v>10067</v>
      </c>
      <c r="AD239" s="13" t="s">
        <v>10067</v>
      </c>
      <c r="AE239" s="13" t="s">
        <v>10068</v>
      </c>
      <c r="AF239" s="13" t="s">
        <v>5510</v>
      </c>
      <c r="AG239" s="13">
        <v>77.0</v>
      </c>
      <c r="AH239" s="13">
        <v>44.0</v>
      </c>
      <c r="AI239" s="13">
        <v>49.0</v>
      </c>
      <c r="AJ239" s="13">
        <v>1.0</v>
      </c>
      <c r="AK239" s="13">
        <v>121.0</v>
      </c>
      <c r="AL239" s="13" t="s">
        <v>5690</v>
      </c>
      <c r="AM239" s="13" t="s">
        <v>5691</v>
      </c>
      <c r="AN239" s="13" t="s">
        <v>5692</v>
      </c>
      <c r="AO239" s="13" t="s">
        <v>5693</v>
      </c>
      <c r="AP239" s="13" t="s">
        <v>5694</v>
      </c>
      <c r="AQ239" s="13" t="s">
        <v>5510</v>
      </c>
      <c r="AR239" s="13" t="s">
        <v>5695</v>
      </c>
      <c r="AS239" s="13" t="s">
        <v>5696</v>
      </c>
      <c r="AT239" s="13" t="s">
        <v>5667</v>
      </c>
      <c r="AU239" s="13">
        <v>2013.0</v>
      </c>
      <c r="AV239" s="13">
        <v>22.0</v>
      </c>
      <c r="AW239" s="13">
        <v>8.0</v>
      </c>
      <c r="AX239" s="13" t="s">
        <v>5510</v>
      </c>
      <c r="AY239" s="13" t="s">
        <v>5510</v>
      </c>
      <c r="AZ239" s="13" t="s">
        <v>5510</v>
      </c>
      <c r="BA239" s="13" t="s">
        <v>5510</v>
      </c>
      <c r="BB239" s="13">
        <v>1821.0</v>
      </c>
      <c r="BC239" s="13">
        <v>1835.0</v>
      </c>
      <c r="BD239" s="13" t="s">
        <v>5510</v>
      </c>
      <c r="BE239" s="13" t="s">
        <v>10069</v>
      </c>
      <c r="BF239" s="52" t="str">
        <f>HYPERLINK("http://dx.doi.org/10.1007/s10531-013-0515-3","http://dx.doi.org/10.1007/s10531-013-0515-3")</f>
        <v>http://dx.doi.org/10.1007/s10531-013-0515-3</v>
      </c>
      <c r="BG239" s="13" t="s">
        <v>5510</v>
      </c>
      <c r="BH239" s="13" t="s">
        <v>5510</v>
      </c>
      <c r="BI239" s="13">
        <v>15.0</v>
      </c>
      <c r="BJ239" s="13" t="s">
        <v>5698</v>
      </c>
      <c r="BK239" s="13" t="s">
        <v>5561</v>
      </c>
      <c r="BL239" s="13" t="s">
        <v>5699</v>
      </c>
      <c r="BM239" s="13" t="s">
        <v>10070</v>
      </c>
      <c r="BN239" s="13" t="s">
        <v>5510</v>
      </c>
      <c r="BO239" s="13" t="s">
        <v>5510</v>
      </c>
      <c r="BP239" s="13" t="s">
        <v>5510</v>
      </c>
      <c r="BQ239" s="13" t="s">
        <v>5510</v>
      </c>
      <c r="BR239" s="13" t="s">
        <v>5538</v>
      </c>
      <c r="BS239" s="13" t="s">
        <v>10071</v>
      </c>
      <c r="BT239" s="13">
        <v>25422.0</v>
      </c>
      <c r="BU239" s="13" t="s">
        <v>5540</v>
      </c>
      <c r="BV239" s="13" t="s">
        <v>4856</v>
      </c>
      <c r="BW239" s="13" t="str">
        <f>VLOOKUP($BT239,Enriched!$A$2:$E$1070,5,false)</f>
        <v>["Energy Production &amp; Mining"]</v>
      </c>
      <c r="BX239" s="13" t="str">
        <f>VLOOKUP($BT239,Enriched!$A$2:$E$1070,4,false)</f>
        <v>["Renewable energy"]</v>
      </c>
      <c r="BY239" s="13" t="b">
        <f>VLOOKUP(BT239,Enriched!$A$1:$AA$1070,27,falsE)</f>
        <v>0</v>
      </c>
      <c r="BZ239" s="2" t="str">
        <f>VLOOKUP(BT239,Enriched!$A$1:$AA$1070,14,falsE)</f>
        <v>level2</v>
      </c>
      <c r="CA239" s="13" t="str">
        <f>HYPERLINK("https%3A%2F%2Fwww.webofscience.com%2Fwos%2Fwoscc%2Ffull-record%2FWOS:000321628800016","View Full Record in Web of Science")</f>
        <v>View Full Record in Web of Science</v>
      </c>
    </row>
    <row r="240" ht="12.75" customHeight="1">
      <c r="A240" s="13" t="s">
        <v>5508</v>
      </c>
      <c r="B240" s="13" t="s">
        <v>10072</v>
      </c>
      <c r="C240" s="13" t="s">
        <v>5510</v>
      </c>
      <c r="D240" s="13" t="s">
        <v>5510</v>
      </c>
      <c r="E240" s="13" t="s">
        <v>5510</v>
      </c>
      <c r="F240" s="13" t="s">
        <v>10072</v>
      </c>
      <c r="G240" s="13" t="s">
        <v>5510</v>
      </c>
      <c r="H240" s="13" t="s">
        <v>5510</v>
      </c>
      <c r="I240" s="13" t="s">
        <v>10073</v>
      </c>
      <c r="J240" s="13" t="s">
        <v>10074</v>
      </c>
      <c r="K240" s="13" t="s">
        <v>5510</v>
      </c>
      <c r="L240" s="13" t="s">
        <v>5510</v>
      </c>
      <c r="M240" s="13" t="s">
        <v>5513</v>
      </c>
      <c r="N240" s="13" t="s">
        <v>5514</v>
      </c>
      <c r="O240" s="13" t="s">
        <v>5510</v>
      </c>
      <c r="P240" s="13" t="s">
        <v>5510</v>
      </c>
      <c r="Q240" s="13" t="s">
        <v>5510</v>
      </c>
      <c r="R240" s="13" t="s">
        <v>5510</v>
      </c>
      <c r="S240" s="13" t="s">
        <v>5510</v>
      </c>
      <c r="T240" s="13" t="s">
        <v>10075</v>
      </c>
      <c r="U240" s="13" t="s">
        <v>10076</v>
      </c>
      <c r="V240" s="13" t="s">
        <v>10077</v>
      </c>
      <c r="W240" s="13" t="s">
        <v>10078</v>
      </c>
      <c r="X240" s="13" t="s">
        <v>10079</v>
      </c>
      <c r="Y240" s="13" t="s">
        <v>5510</v>
      </c>
      <c r="Z240" s="13" t="s">
        <v>10080</v>
      </c>
      <c r="AA240" s="13" t="s">
        <v>10081</v>
      </c>
      <c r="AB240" s="13" t="s">
        <v>10082</v>
      </c>
      <c r="AC240" s="13" t="s">
        <v>5510</v>
      </c>
      <c r="AD240" s="13" t="s">
        <v>5510</v>
      </c>
      <c r="AE240" s="13" t="s">
        <v>5510</v>
      </c>
      <c r="AF240" s="13" t="s">
        <v>5510</v>
      </c>
      <c r="AG240" s="13">
        <v>47.0</v>
      </c>
      <c r="AH240" s="13">
        <v>113.0</v>
      </c>
      <c r="AI240" s="13">
        <v>124.0</v>
      </c>
      <c r="AJ240" s="13">
        <v>0.0</v>
      </c>
      <c r="AK240" s="13">
        <v>15.0</v>
      </c>
      <c r="AL240" s="13" t="s">
        <v>5527</v>
      </c>
      <c r="AM240" s="13" t="s">
        <v>5528</v>
      </c>
      <c r="AN240" s="13" t="s">
        <v>5529</v>
      </c>
      <c r="AO240" s="13" t="s">
        <v>10083</v>
      </c>
      <c r="AP240" s="13" t="s">
        <v>10084</v>
      </c>
      <c r="AQ240" s="13" t="s">
        <v>5510</v>
      </c>
      <c r="AR240" s="13" t="s">
        <v>10085</v>
      </c>
      <c r="AS240" s="13" t="s">
        <v>10086</v>
      </c>
      <c r="AT240" s="13" t="s">
        <v>6828</v>
      </c>
      <c r="AU240" s="13">
        <v>2003.0</v>
      </c>
      <c r="AV240" s="13">
        <v>6.0</v>
      </c>
      <c r="AW240" s="13">
        <v>4.0</v>
      </c>
      <c r="AX240" s="13" t="s">
        <v>5510</v>
      </c>
      <c r="AY240" s="13" t="s">
        <v>5510</v>
      </c>
      <c r="AZ240" s="13" t="s">
        <v>5510</v>
      </c>
      <c r="BA240" s="13" t="s">
        <v>5510</v>
      </c>
      <c r="BB240" s="13">
        <v>371.0</v>
      </c>
      <c r="BC240" s="13">
        <v>379.0</v>
      </c>
      <c r="BD240" s="13" t="s">
        <v>5510</v>
      </c>
      <c r="BE240" s="13" t="s">
        <v>10087</v>
      </c>
      <c r="BF240" s="52" t="str">
        <f>HYPERLINK("http://dx.doi.org/10.1046/j.1461-0248.2003.00439.x","http://dx.doi.org/10.1046/j.1461-0248.2003.00439.x")</f>
        <v>http://dx.doi.org/10.1046/j.1461-0248.2003.00439.x</v>
      </c>
      <c r="BG240" s="13" t="s">
        <v>5510</v>
      </c>
      <c r="BH240" s="13" t="s">
        <v>5510</v>
      </c>
      <c r="BI240" s="13">
        <v>9.0</v>
      </c>
      <c r="BJ240" s="13" t="s">
        <v>5533</v>
      </c>
      <c r="BK240" s="13" t="s">
        <v>5561</v>
      </c>
      <c r="BL240" s="13" t="s">
        <v>5535</v>
      </c>
      <c r="BM240" s="13" t="s">
        <v>10088</v>
      </c>
      <c r="BN240" s="13" t="s">
        <v>5510</v>
      </c>
      <c r="BO240" s="13" t="s">
        <v>5809</v>
      </c>
      <c r="BP240" s="13" t="s">
        <v>5510</v>
      </c>
      <c r="BQ240" s="13" t="s">
        <v>5510</v>
      </c>
      <c r="BR240" s="13" t="s">
        <v>5538</v>
      </c>
      <c r="BS240" s="13" t="s">
        <v>10089</v>
      </c>
      <c r="BT240" s="13">
        <v>23528.0</v>
      </c>
      <c r="BU240" s="13" t="s">
        <v>5540</v>
      </c>
      <c r="BV240" s="13" t="s">
        <v>4864</v>
      </c>
      <c r="BW240" s="13" t="str">
        <f>VLOOKUP($BT240,Enriched!$A$2:$E$1070,5,false)</f>
        <v>["Climate Change &amp; Severe Weather", "Invasive &amp; Other Problematic Species, Genes &amp; Diseases"]</v>
      </c>
      <c r="BX240" s="13" t="str">
        <f>VLOOKUP($BT240,Enriched!$A$2:$E$1070,4,false)</f>
        <v>["Habitat shifting &amp; alteration", "Problematic native species/diseases"]</v>
      </c>
      <c r="BY240" s="13" t="b">
        <f>VLOOKUP(BT240,Enriched!$A$1:$AA$1070,27,falsE)</f>
        <v>0</v>
      </c>
      <c r="BZ240" s="2" t="str">
        <f>VLOOKUP(BT240,Enriched!$A$1:$AA$1070,14,falsE)</f>
        <v>cumulative</v>
      </c>
      <c r="CA240" s="13" t="str">
        <f>HYPERLINK("https%3A%2F%2Fwww.webofscience.com%2Fwos%2Fwoscc%2Ffull-record%2FWOS:000181632600015","View Full Record in Web of Science")</f>
        <v>View Full Record in Web of Science</v>
      </c>
    </row>
    <row r="241" ht="12.75" customHeight="1">
      <c r="A241" s="13" t="s">
        <v>5508</v>
      </c>
      <c r="B241" s="13" t="s">
        <v>10090</v>
      </c>
      <c r="C241" s="13" t="s">
        <v>5510</v>
      </c>
      <c r="D241" s="13" t="s">
        <v>5510</v>
      </c>
      <c r="E241" s="13" t="s">
        <v>5510</v>
      </c>
      <c r="F241" s="13" t="s">
        <v>10091</v>
      </c>
      <c r="G241" s="13" t="s">
        <v>5510</v>
      </c>
      <c r="H241" s="13" t="s">
        <v>5510</v>
      </c>
      <c r="I241" s="13" t="s">
        <v>10092</v>
      </c>
      <c r="J241" s="13" t="s">
        <v>10093</v>
      </c>
      <c r="K241" s="13" t="s">
        <v>5510</v>
      </c>
      <c r="L241" s="13" t="s">
        <v>5510</v>
      </c>
      <c r="M241" s="13" t="s">
        <v>5513</v>
      </c>
      <c r="N241" s="13" t="s">
        <v>5514</v>
      </c>
      <c r="O241" s="13" t="s">
        <v>5510</v>
      </c>
      <c r="P241" s="13" t="s">
        <v>5510</v>
      </c>
      <c r="Q241" s="13" t="s">
        <v>5510</v>
      </c>
      <c r="R241" s="13" t="s">
        <v>5510</v>
      </c>
      <c r="S241" s="13" t="s">
        <v>5510</v>
      </c>
      <c r="T241" s="13" t="s">
        <v>10094</v>
      </c>
      <c r="U241" s="13" t="s">
        <v>10095</v>
      </c>
      <c r="V241" s="13" t="s">
        <v>10096</v>
      </c>
      <c r="W241" s="13" t="s">
        <v>10097</v>
      </c>
      <c r="X241" s="13" t="s">
        <v>10098</v>
      </c>
      <c r="Y241" s="13" t="s">
        <v>10099</v>
      </c>
      <c r="Z241" s="13" t="s">
        <v>10100</v>
      </c>
      <c r="AA241" s="13" t="s">
        <v>10101</v>
      </c>
      <c r="AB241" s="13" t="s">
        <v>10102</v>
      </c>
      <c r="AC241" s="13" t="s">
        <v>5510</v>
      </c>
      <c r="AD241" s="13" t="s">
        <v>5510</v>
      </c>
      <c r="AE241" s="13" t="s">
        <v>5510</v>
      </c>
      <c r="AF241" s="13" t="s">
        <v>5510</v>
      </c>
      <c r="AG241" s="13">
        <v>37.0</v>
      </c>
      <c r="AH241" s="13">
        <v>37.0</v>
      </c>
      <c r="AI241" s="13">
        <v>40.0</v>
      </c>
      <c r="AJ241" s="13">
        <v>1.0</v>
      </c>
      <c r="AK241" s="13">
        <v>155.0</v>
      </c>
      <c r="AL241" s="13" t="s">
        <v>7505</v>
      </c>
      <c r="AM241" s="13" t="s">
        <v>7506</v>
      </c>
      <c r="AN241" s="13" t="s">
        <v>7507</v>
      </c>
      <c r="AO241" s="13" t="s">
        <v>10103</v>
      </c>
      <c r="AP241" s="13" t="s">
        <v>10104</v>
      </c>
      <c r="AQ241" s="13" t="s">
        <v>5510</v>
      </c>
      <c r="AR241" s="13" t="s">
        <v>10105</v>
      </c>
      <c r="AS241" s="13" t="s">
        <v>10106</v>
      </c>
      <c r="AT241" s="13" t="s">
        <v>2738</v>
      </c>
      <c r="AU241" s="13">
        <v>2013.0</v>
      </c>
      <c r="AV241" s="13">
        <v>13.0</v>
      </c>
      <c r="AW241" s="13">
        <v>1.0</v>
      </c>
      <c r="AX241" s="13" t="s">
        <v>5510</v>
      </c>
      <c r="AY241" s="13" t="s">
        <v>5510</v>
      </c>
      <c r="AZ241" s="13" t="s">
        <v>5510</v>
      </c>
      <c r="BA241" s="13" t="s">
        <v>5510</v>
      </c>
      <c r="BB241" s="13">
        <v>33.0</v>
      </c>
      <c r="BC241" s="13">
        <v>42.0</v>
      </c>
      <c r="BD241" s="13" t="s">
        <v>5510</v>
      </c>
      <c r="BE241" s="13" t="s">
        <v>10107</v>
      </c>
      <c r="BF241" s="52" t="str">
        <f>HYPERLINK("http://dx.doi.org/10.1007/s10113-012-0310-9","http://dx.doi.org/10.1007/s10113-012-0310-9")</f>
        <v>http://dx.doi.org/10.1007/s10113-012-0310-9</v>
      </c>
      <c r="BG241" s="13" t="s">
        <v>5510</v>
      </c>
      <c r="BH241" s="13" t="s">
        <v>5510</v>
      </c>
      <c r="BI241" s="13">
        <v>10.0</v>
      </c>
      <c r="BJ241" s="13" t="s">
        <v>10108</v>
      </c>
      <c r="BK241" s="13" t="s">
        <v>5534</v>
      </c>
      <c r="BL241" s="13" t="s">
        <v>5535</v>
      </c>
      <c r="BM241" s="13" t="s">
        <v>10109</v>
      </c>
      <c r="BN241" s="13" t="s">
        <v>5510</v>
      </c>
      <c r="BO241" s="13" t="s">
        <v>5510</v>
      </c>
      <c r="BP241" s="13" t="s">
        <v>5510</v>
      </c>
      <c r="BQ241" s="13" t="s">
        <v>5510</v>
      </c>
      <c r="BR241" s="13" t="s">
        <v>5538</v>
      </c>
      <c r="BS241" s="13" t="s">
        <v>10110</v>
      </c>
      <c r="BT241" s="13">
        <v>23684.0</v>
      </c>
      <c r="BU241" s="13" t="s">
        <v>5540</v>
      </c>
      <c r="BV241" s="13" t="s">
        <v>4856</v>
      </c>
      <c r="BW241" s="13" t="str">
        <f>VLOOKUP($BT241,Enriched!$A$2:$E$1070,5,false)</f>
        <v>["Agriculture &amp; aquaculture", "Residential &amp; commercial development"]</v>
      </c>
      <c r="BX241" s="13" t="str">
        <f>VLOOKUP($BT241,Enriched!$A$2:$E$1070,4,false)</f>
        <v>["Housing &amp; urban area"]</v>
      </c>
      <c r="BY241" s="13" t="b">
        <f>VLOOKUP(BT241,Enriched!$A$1:$AA$1070,27,falsE)</f>
        <v>1</v>
      </c>
      <c r="BZ241" s="2" t="str">
        <f>VLOOKUP(BT241,Enriched!$A$1:$AA$1070,14,falsE)</f>
        <v>level1</v>
      </c>
      <c r="CA241" s="13" t="str">
        <f>HYPERLINK("https%3A%2F%2Fwww.webofscience.com%2Fwos%2Fwoscc%2Ffull-record%2FWOS:000314300800004","View Full Record in Web of Science")</f>
        <v>View Full Record in Web of Science</v>
      </c>
    </row>
    <row r="242" ht="12.75" customHeight="1">
      <c r="A242" s="13" t="s">
        <v>5508</v>
      </c>
      <c r="B242" s="13" t="s">
        <v>10111</v>
      </c>
      <c r="C242" s="13" t="s">
        <v>5510</v>
      </c>
      <c r="D242" s="13" t="s">
        <v>5510</v>
      </c>
      <c r="E242" s="13" t="s">
        <v>5510</v>
      </c>
      <c r="F242" s="13" t="s">
        <v>10112</v>
      </c>
      <c r="G242" s="13" t="s">
        <v>5510</v>
      </c>
      <c r="H242" s="13" t="s">
        <v>5510</v>
      </c>
      <c r="I242" s="13" t="s">
        <v>2356</v>
      </c>
      <c r="J242" s="13" t="s">
        <v>10074</v>
      </c>
      <c r="K242" s="13" t="s">
        <v>5510</v>
      </c>
      <c r="L242" s="13" t="s">
        <v>5510</v>
      </c>
      <c r="M242" s="13" t="s">
        <v>5513</v>
      </c>
      <c r="N242" s="13" t="s">
        <v>5514</v>
      </c>
      <c r="O242" s="13" t="s">
        <v>5510</v>
      </c>
      <c r="P242" s="13" t="s">
        <v>5510</v>
      </c>
      <c r="Q242" s="13" t="s">
        <v>5510</v>
      </c>
      <c r="R242" s="13" t="s">
        <v>5510</v>
      </c>
      <c r="S242" s="13" t="s">
        <v>5510</v>
      </c>
      <c r="T242" s="13" t="s">
        <v>10113</v>
      </c>
      <c r="U242" s="13" t="s">
        <v>10114</v>
      </c>
      <c r="V242" s="13" t="s">
        <v>10115</v>
      </c>
      <c r="W242" s="13" t="s">
        <v>10116</v>
      </c>
      <c r="X242" s="13" t="s">
        <v>10117</v>
      </c>
      <c r="Y242" s="13" t="s">
        <v>10118</v>
      </c>
      <c r="Z242" s="13" t="s">
        <v>10119</v>
      </c>
      <c r="AA242" s="13" t="s">
        <v>10120</v>
      </c>
      <c r="AB242" s="13" t="s">
        <v>10121</v>
      </c>
      <c r="AC242" s="13" t="s">
        <v>10122</v>
      </c>
      <c r="AD242" s="13" t="s">
        <v>10123</v>
      </c>
      <c r="AE242" s="13" t="s">
        <v>10124</v>
      </c>
      <c r="AF242" s="13" t="s">
        <v>5510</v>
      </c>
      <c r="AG242" s="13">
        <v>50.0</v>
      </c>
      <c r="AH242" s="13">
        <v>80.0</v>
      </c>
      <c r="AI242" s="13">
        <v>91.0</v>
      </c>
      <c r="AJ242" s="13">
        <v>2.0</v>
      </c>
      <c r="AK242" s="13">
        <v>136.0</v>
      </c>
      <c r="AL242" s="13" t="s">
        <v>5527</v>
      </c>
      <c r="AM242" s="13" t="s">
        <v>5528</v>
      </c>
      <c r="AN242" s="13" t="s">
        <v>5529</v>
      </c>
      <c r="AO242" s="13" t="s">
        <v>10083</v>
      </c>
      <c r="AP242" s="13" t="s">
        <v>10084</v>
      </c>
      <c r="AQ242" s="13" t="s">
        <v>5510</v>
      </c>
      <c r="AR242" s="13" t="s">
        <v>10085</v>
      </c>
      <c r="AS242" s="13" t="s">
        <v>10086</v>
      </c>
      <c r="AT242" s="13" t="s">
        <v>6175</v>
      </c>
      <c r="AU242" s="13">
        <v>2015.0</v>
      </c>
      <c r="AV242" s="13">
        <v>18.0</v>
      </c>
      <c r="AW242" s="13">
        <v>8.0</v>
      </c>
      <c r="AX242" s="13" t="s">
        <v>5510</v>
      </c>
      <c r="AY242" s="13" t="s">
        <v>5510</v>
      </c>
      <c r="AZ242" s="13" t="s">
        <v>5510</v>
      </c>
      <c r="BA242" s="13" t="s">
        <v>5510</v>
      </c>
      <c r="BB242" s="13">
        <v>853.0</v>
      </c>
      <c r="BC242" s="13">
        <v>863.0</v>
      </c>
      <c r="BD242" s="13" t="s">
        <v>5510</v>
      </c>
      <c r="BE242" s="13" t="s">
        <v>10125</v>
      </c>
      <c r="BF242" s="52" t="str">
        <f>HYPERLINK("http://dx.doi.org/10.1111/ele.12463","http://dx.doi.org/10.1111/ele.12463")</f>
        <v>http://dx.doi.org/10.1111/ele.12463</v>
      </c>
      <c r="BG242" s="13" t="s">
        <v>5510</v>
      </c>
      <c r="BH242" s="13" t="s">
        <v>5510</v>
      </c>
      <c r="BI242" s="13">
        <v>11.0</v>
      </c>
      <c r="BJ242" s="13" t="s">
        <v>5533</v>
      </c>
      <c r="BK242" s="13" t="s">
        <v>5561</v>
      </c>
      <c r="BL242" s="13" t="s">
        <v>5535</v>
      </c>
      <c r="BM242" s="13" t="s">
        <v>10126</v>
      </c>
      <c r="BN242" s="13">
        <v>2.6108261E7</v>
      </c>
      <c r="BO242" s="13" t="s">
        <v>5809</v>
      </c>
      <c r="BP242" s="13" t="s">
        <v>5510</v>
      </c>
      <c r="BQ242" s="13" t="s">
        <v>5510</v>
      </c>
      <c r="BR242" s="13" t="s">
        <v>5538</v>
      </c>
      <c r="BS242" s="13" t="s">
        <v>10127</v>
      </c>
      <c r="BT242" s="13">
        <v>24175.0</v>
      </c>
      <c r="BU242" s="13" t="s">
        <v>5540</v>
      </c>
      <c r="BV242" s="13" t="s">
        <v>4852</v>
      </c>
      <c r="BW242" s="13" t="str">
        <f>VLOOKUP($BT242,Enriched!$A$2:$E$1070,5,false)</f>
        <v>["Invasive &amp; other problematic species, genes &amp; diseases"]</v>
      </c>
      <c r="BX242" s="13" t="str">
        <f>VLOOKUP($BT242,Enriched!$A$2:$E$1070,4,false)</f>
        <v>["Invasive non-native/alien species/diseases"]</v>
      </c>
      <c r="BY242" s="13" t="b">
        <f>VLOOKUP(BT242,Enriched!$A$1:$AA$1070,27,falsE)</f>
        <v>0</v>
      </c>
      <c r="BZ242" s="2" t="str">
        <f>VLOOKUP(BT242,Enriched!$A$1:$AA$1070,14,falsE)</f>
        <v>level2</v>
      </c>
      <c r="CA242" s="13" t="str">
        <f>HYPERLINK("https%3A%2F%2Fwww.webofscience.com%2Fwos%2Fwoscc%2Ffull-record%2FWOS:000357958900013","View Full Record in Web of Science")</f>
        <v>View Full Record in Web of Science</v>
      </c>
    </row>
    <row r="243" ht="12.75" customHeight="1">
      <c r="A243" s="13" t="s">
        <v>5508</v>
      </c>
      <c r="B243" s="13" t="s">
        <v>10128</v>
      </c>
      <c r="C243" s="13" t="s">
        <v>5510</v>
      </c>
      <c r="D243" s="13" t="s">
        <v>5510</v>
      </c>
      <c r="E243" s="13" t="s">
        <v>5510</v>
      </c>
      <c r="F243" s="13" t="s">
        <v>10129</v>
      </c>
      <c r="G243" s="13" t="s">
        <v>5510</v>
      </c>
      <c r="H243" s="13" t="s">
        <v>5510</v>
      </c>
      <c r="I243" s="13" t="s">
        <v>2353</v>
      </c>
      <c r="J243" s="13" t="s">
        <v>6627</v>
      </c>
      <c r="K243" s="13" t="s">
        <v>5510</v>
      </c>
      <c r="L243" s="13" t="s">
        <v>5510</v>
      </c>
      <c r="M243" s="13" t="s">
        <v>5513</v>
      </c>
      <c r="N243" s="13" t="s">
        <v>5514</v>
      </c>
      <c r="O243" s="13" t="s">
        <v>5510</v>
      </c>
      <c r="P243" s="13" t="s">
        <v>5510</v>
      </c>
      <c r="Q243" s="13" t="s">
        <v>5510</v>
      </c>
      <c r="R243" s="13" t="s">
        <v>5510</v>
      </c>
      <c r="S243" s="13" t="s">
        <v>5510</v>
      </c>
      <c r="T243" s="13" t="s">
        <v>10130</v>
      </c>
      <c r="U243" s="13" t="s">
        <v>10131</v>
      </c>
      <c r="V243" s="13" t="s">
        <v>10132</v>
      </c>
      <c r="W243" s="13" t="s">
        <v>10133</v>
      </c>
      <c r="X243" s="13" t="s">
        <v>10134</v>
      </c>
      <c r="Y243" s="13" t="s">
        <v>10135</v>
      </c>
      <c r="Z243" s="13" t="s">
        <v>10136</v>
      </c>
      <c r="AA243" s="13" t="s">
        <v>10137</v>
      </c>
      <c r="AB243" s="13" t="s">
        <v>10138</v>
      </c>
      <c r="AC243" s="13" t="s">
        <v>10139</v>
      </c>
      <c r="AD243" s="13" t="s">
        <v>10139</v>
      </c>
      <c r="AE243" s="13" t="s">
        <v>10139</v>
      </c>
      <c r="AF243" s="13" t="s">
        <v>5510</v>
      </c>
      <c r="AG243" s="13">
        <v>71.0</v>
      </c>
      <c r="AH243" s="13">
        <v>51.0</v>
      </c>
      <c r="AI243" s="13">
        <v>52.0</v>
      </c>
      <c r="AJ243" s="13">
        <v>2.0</v>
      </c>
      <c r="AK243" s="13">
        <v>58.0</v>
      </c>
      <c r="AL243" s="13" t="s">
        <v>5527</v>
      </c>
      <c r="AM243" s="13" t="s">
        <v>5528</v>
      </c>
      <c r="AN243" s="13" t="s">
        <v>5529</v>
      </c>
      <c r="AO243" s="13" t="s">
        <v>6640</v>
      </c>
      <c r="AP243" s="13" t="s">
        <v>6641</v>
      </c>
      <c r="AQ243" s="13" t="s">
        <v>5510</v>
      </c>
      <c r="AR243" s="13" t="s">
        <v>6642</v>
      </c>
      <c r="AS243" s="13" t="s">
        <v>6643</v>
      </c>
      <c r="AT243" s="13" t="s">
        <v>1925</v>
      </c>
      <c r="AU243" s="13">
        <v>2018.0</v>
      </c>
      <c r="AV243" s="13">
        <v>24.0</v>
      </c>
      <c r="AW243" s="13">
        <v>9.0</v>
      </c>
      <c r="AX243" s="13" t="s">
        <v>5510</v>
      </c>
      <c r="AY243" s="13" t="s">
        <v>5510</v>
      </c>
      <c r="AZ243" s="13" t="s">
        <v>5510</v>
      </c>
      <c r="BA243" s="13" t="s">
        <v>5510</v>
      </c>
      <c r="BB243" s="13">
        <v>1217.0</v>
      </c>
      <c r="BC243" s="13">
        <v>1230.0</v>
      </c>
      <c r="BD243" s="13" t="s">
        <v>5510</v>
      </c>
      <c r="BE243" s="13" t="s">
        <v>10140</v>
      </c>
      <c r="BF243" s="52" t="str">
        <f>HYPERLINK("http://dx.doi.org/10.1111/ddi.12758","http://dx.doi.org/10.1111/ddi.12758")</f>
        <v>http://dx.doi.org/10.1111/ddi.12758</v>
      </c>
      <c r="BG243" s="13" t="s">
        <v>5510</v>
      </c>
      <c r="BH243" s="13" t="s">
        <v>5510</v>
      </c>
      <c r="BI243" s="13">
        <v>14.0</v>
      </c>
      <c r="BJ243" s="13" t="s">
        <v>5958</v>
      </c>
      <c r="BK243" s="13" t="s">
        <v>5561</v>
      </c>
      <c r="BL243" s="13" t="s">
        <v>5699</v>
      </c>
      <c r="BM243" s="13" t="s">
        <v>10141</v>
      </c>
      <c r="BN243" s="13" t="s">
        <v>5510</v>
      </c>
      <c r="BO243" s="13" t="s">
        <v>6028</v>
      </c>
      <c r="BP243" s="13" t="s">
        <v>5510</v>
      </c>
      <c r="BQ243" s="13" t="s">
        <v>5510</v>
      </c>
      <c r="BR243" s="13" t="s">
        <v>5538</v>
      </c>
      <c r="BS243" s="13" t="s">
        <v>10142</v>
      </c>
      <c r="BT243" s="13">
        <v>23654.0</v>
      </c>
      <c r="BU243" s="13" t="s">
        <v>5540</v>
      </c>
      <c r="BV243" s="13" t="s">
        <v>4864</v>
      </c>
      <c r="BW243" s="13" t="str">
        <f>VLOOKUP($BT243,Enriched!$A$2:$E$1070,5,false)</f>
        <v>["Biological resource use"]</v>
      </c>
      <c r="BX243" s="13" t="str">
        <f>VLOOKUP($BT243,Enriched!$A$2:$E$1070,4,false)</f>
        <v>["Fishing &amp; harvesting aquatic resources"]</v>
      </c>
      <c r="BY243" s="13" t="b">
        <f>VLOOKUP(BT243,Enriched!$A$1:$AA$1070,27,falsE)</f>
        <v>0</v>
      </c>
      <c r="BZ243" s="2" t="str">
        <f>VLOOKUP(BT243,Enriched!$A$1:$AA$1070,14,falsE)</f>
        <v>level2</v>
      </c>
      <c r="CA243" s="13" t="str">
        <f>HYPERLINK("https%3A%2F%2Fwww.webofscience.com%2Fwos%2Fwoscc%2Ffull-record%2FWOS:000442987800003","View Full Record in Web of Science")</f>
        <v>View Full Record in Web of Science</v>
      </c>
    </row>
    <row r="244" ht="12.75" customHeight="1">
      <c r="A244" s="13" t="s">
        <v>5508</v>
      </c>
      <c r="B244" s="13" t="s">
        <v>10143</v>
      </c>
      <c r="C244" s="13" t="s">
        <v>5510</v>
      </c>
      <c r="D244" s="13" t="s">
        <v>5510</v>
      </c>
      <c r="E244" s="13" t="s">
        <v>5510</v>
      </c>
      <c r="F244" s="13" t="s">
        <v>10144</v>
      </c>
      <c r="G244" s="13" t="s">
        <v>5510</v>
      </c>
      <c r="H244" s="13" t="s">
        <v>5510</v>
      </c>
      <c r="I244" s="13" t="s">
        <v>2345</v>
      </c>
      <c r="J244" s="13" t="s">
        <v>5919</v>
      </c>
      <c r="K244" s="13" t="s">
        <v>5510</v>
      </c>
      <c r="L244" s="13" t="s">
        <v>5510</v>
      </c>
      <c r="M244" s="13" t="s">
        <v>5513</v>
      </c>
      <c r="N244" s="13" t="s">
        <v>5514</v>
      </c>
      <c r="O244" s="13" t="s">
        <v>5510</v>
      </c>
      <c r="P244" s="13" t="s">
        <v>5510</v>
      </c>
      <c r="Q244" s="13" t="s">
        <v>5510</v>
      </c>
      <c r="R244" s="13" t="s">
        <v>5510</v>
      </c>
      <c r="S244" s="13" t="s">
        <v>5510</v>
      </c>
      <c r="T244" s="13" t="s">
        <v>10145</v>
      </c>
      <c r="U244" s="13" t="s">
        <v>10146</v>
      </c>
      <c r="V244" s="13" t="s">
        <v>10147</v>
      </c>
      <c r="W244" s="13" t="s">
        <v>10148</v>
      </c>
      <c r="X244" s="13" t="s">
        <v>10149</v>
      </c>
      <c r="Y244" s="13" t="s">
        <v>10150</v>
      </c>
      <c r="Z244" s="13" t="s">
        <v>10151</v>
      </c>
      <c r="AA244" s="13" t="s">
        <v>10152</v>
      </c>
      <c r="AB244" s="13" t="s">
        <v>10153</v>
      </c>
      <c r="AC244" s="13" t="s">
        <v>10154</v>
      </c>
      <c r="AD244" s="13" t="s">
        <v>10154</v>
      </c>
      <c r="AE244" s="13" t="s">
        <v>10155</v>
      </c>
      <c r="AF244" s="13" t="s">
        <v>5510</v>
      </c>
      <c r="AG244" s="13">
        <v>61.0</v>
      </c>
      <c r="AH244" s="13">
        <v>43.0</v>
      </c>
      <c r="AI244" s="13">
        <v>44.0</v>
      </c>
      <c r="AJ244" s="13">
        <v>1.0</v>
      </c>
      <c r="AK244" s="13">
        <v>62.0</v>
      </c>
      <c r="AL244" s="13" t="s">
        <v>5931</v>
      </c>
      <c r="AM244" s="13" t="s">
        <v>5932</v>
      </c>
      <c r="AN244" s="13" t="s">
        <v>5933</v>
      </c>
      <c r="AO244" s="13" t="s">
        <v>5934</v>
      </c>
      <c r="AP244" s="13" t="s">
        <v>5935</v>
      </c>
      <c r="AQ244" s="13" t="s">
        <v>5510</v>
      </c>
      <c r="AR244" s="13" t="s">
        <v>5936</v>
      </c>
      <c r="AS244" s="13" t="s">
        <v>5937</v>
      </c>
      <c r="AT244" s="13" t="s">
        <v>6828</v>
      </c>
      <c r="AU244" s="13">
        <v>2016.0</v>
      </c>
      <c r="AV244" s="13">
        <v>196.0</v>
      </c>
      <c r="AW244" s="13" t="s">
        <v>5510</v>
      </c>
      <c r="AX244" s="13" t="s">
        <v>5510</v>
      </c>
      <c r="AY244" s="13" t="s">
        <v>5510</v>
      </c>
      <c r="AZ244" s="13" t="s">
        <v>5510</v>
      </c>
      <c r="BA244" s="13" t="s">
        <v>5510</v>
      </c>
      <c r="BB244" s="13">
        <v>10.0</v>
      </c>
      <c r="BC244" s="13">
        <v>17.0</v>
      </c>
      <c r="BD244" s="13" t="s">
        <v>5510</v>
      </c>
      <c r="BE244" s="13" t="s">
        <v>10156</v>
      </c>
      <c r="BF244" s="52" t="str">
        <f>HYPERLINK("http://dx.doi.org/10.1016/j.biocon.2016.01.014","http://dx.doi.org/10.1016/j.biocon.2016.01.014")</f>
        <v>http://dx.doi.org/10.1016/j.biocon.2016.01.014</v>
      </c>
      <c r="BG244" s="13" t="s">
        <v>5510</v>
      </c>
      <c r="BH244" s="13" t="s">
        <v>5510</v>
      </c>
      <c r="BI244" s="13">
        <v>8.0</v>
      </c>
      <c r="BJ244" s="13" t="s">
        <v>5698</v>
      </c>
      <c r="BK244" s="13" t="s">
        <v>5561</v>
      </c>
      <c r="BL244" s="13" t="s">
        <v>5699</v>
      </c>
      <c r="BM244" s="13" t="s">
        <v>10157</v>
      </c>
      <c r="BN244" s="13" t="s">
        <v>5510</v>
      </c>
      <c r="BO244" s="13" t="s">
        <v>5510</v>
      </c>
      <c r="BP244" s="13" t="s">
        <v>5510</v>
      </c>
      <c r="BQ244" s="13" t="s">
        <v>5510</v>
      </c>
      <c r="BR244" s="13" t="s">
        <v>5538</v>
      </c>
      <c r="BS244" s="13" t="s">
        <v>10158</v>
      </c>
      <c r="BT244" s="13">
        <v>25888.0</v>
      </c>
      <c r="BU244" s="13" t="s">
        <v>5540</v>
      </c>
      <c r="BV244" s="13" t="s">
        <v>4856</v>
      </c>
      <c r="BW244" s="13" t="str">
        <f>VLOOKUP($BT244,Enriched!$A$2:$E$1070,5,false)</f>
        <v>["Energy Production &amp; Mining"]</v>
      </c>
      <c r="BX244" s="13" t="str">
        <f>VLOOKUP($BT244,Enriched!$A$2:$E$1070,4,false)</f>
        <v>["Renewable energy"]</v>
      </c>
      <c r="BY244" s="13" t="b">
        <f>VLOOKUP(BT244,Enriched!$A$1:$AA$1070,27,falsE)</f>
        <v>0</v>
      </c>
      <c r="BZ244" s="2" t="str">
        <f>VLOOKUP(BT244,Enriched!$A$1:$AA$1070,14,falsE)</f>
        <v>level2</v>
      </c>
      <c r="CA244" s="13" t="str">
        <f>HYPERLINK("https%3A%2F%2Fwww.webofscience.com%2Fwos%2Fwoscc%2Ffull-record%2FWOS:000375365300002","View Full Record in Web of Science")</f>
        <v>View Full Record in Web of Science</v>
      </c>
    </row>
    <row r="245" ht="12.75" customHeight="1">
      <c r="A245" s="13" t="s">
        <v>5508</v>
      </c>
      <c r="B245" s="13" t="s">
        <v>10159</v>
      </c>
      <c r="C245" s="13" t="s">
        <v>5510</v>
      </c>
      <c r="D245" s="13" t="s">
        <v>5510</v>
      </c>
      <c r="E245" s="13" t="s">
        <v>5510</v>
      </c>
      <c r="F245" s="13" t="s">
        <v>10160</v>
      </c>
      <c r="G245" s="13" t="s">
        <v>5510</v>
      </c>
      <c r="H245" s="13" t="s">
        <v>5510</v>
      </c>
      <c r="I245" s="13" t="s">
        <v>2339</v>
      </c>
      <c r="J245" s="13" t="s">
        <v>5919</v>
      </c>
      <c r="K245" s="13" t="s">
        <v>5510</v>
      </c>
      <c r="L245" s="13" t="s">
        <v>5510</v>
      </c>
      <c r="M245" s="13" t="s">
        <v>5513</v>
      </c>
      <c r="N245" s="13" t="s">
        <v>5514</v>
      </c>
      <c r="O245" s="13" t="s">
        <v>5510</v>
      </c>
      <c r="P245" s="13" t="s">
        <v>5510</v>
      </c>
      <c r="Q245" s="13" t="s">
        <v>5510</v>
      </c>
      <c r="R245" s="13" t="s">
        <v>5510</v>
      </c>
      <c r="S245" s="13" t="s">
        <v>5510</v>
      </c>
      <c r="T245" s="13" t="s">
        <v>10161</v>
      </c>
      <c r="U245" s="13" t="s">
        <v>10162</v>
      </c>
      <c r="V245" s="13" t="s">
        <v>10163</v>
      </c>
      <c r="W245" s="13" t="s">
        <v>10164</v>
      </c>
      <c r="X245" s="13" t="s">
        <v>10165</v>
      </c>
      <c r="Y245" s="13" t="s">
        <v>10166</v>
      </c>
      <c r="Z245" s="13" t="s">
        <v>10167</v>
      </c>
      <c r="AA245" s="13" t="s">
        <v>10168</v>
      </c>
      <c r="AB245" s="13" t="s">
        <v>10169</v>
      </c>
      <c r="AC245" s="13" t="s">
        <v>5510</v>
      </c>
      <c r="AD245" s="13" t="s">
        <v>5510</v>
      </c>
      <c r="AE245" s="13" t="s">
        <v>5510</v>
      </c>
      <c r="AF245" s="13" t="s">
        <v>5510</v>
      </c>
      <c r="AG245" s="13">
        <v>57.0</v>
      </c>
      <c r="AH245" s="13">
        <v>119.0</v>
      </c>
      <c r="AI245" s="13">
        <v>136.0</v>
      </c>
      <c r="AJ245" s="13">
        <v>4.0</v>
      </c>
      <c r="AK245" s="13">
        <v>147.0</v>
      </c>
      <c r="AL245" s="13" t="s">
        <v>5931</v>
      </c>
      <c r="AM245" s="13" t="s">
        <v>5932</v>
      </c>
      <c r="AN245" s="13" t="s">
        <v>5933</v>
      </c>
      <c r="AO245" s="13" t="s">
        <v>5934</v>
      </c>
      <c r="AP245" s="13" t="s">
        <v>5935</v>
      </c>
      <c r="AQ245" s="13" t="s">
        <v>5510</v>
      </c>
      <c r="AR245" s="13" t="s">
        <v>5936</v>
      </c>
      <c r="AS245" s="13" t="s">
        <v>5937</v>
      </c>
      <c r="AT245" s="13" t="s">
        <v>2738</v>
      </c>
      <c r="AU245" s="13">
        <v>2017.0</v>
      </c>
      <c r="AV245" s="13">
        <v>206.0</v>
      </c>
      <c r="AW245" s="13" t="s">
        <v>5510</v>
      </c>
      <c r="AX245" s="13" t="s">
        <v>5510</v>
      </c>
      <c r="AY245" s="13" t="s">
        <v>5510</v>
      </c>
      <c r="AZ245" s="13" t="s">
        <v>5510</v>
      </c>
      <c r="BA245" s="13" t="s">
        <v>5510</v>
      </c>
      <c r="BB245" s="13">
        <v>47.0</v>
      </c>
      <c r="BC245" s="13">
        <v>55.0</v>
      </c>
      <c r="BD245" s="13" t="s">
        <v>5510</v>
      </c>
      <c r="BE245" s="13" t="s">
        <v>10170</v>
      </c>
      <c r="BF245" s="52" t="str">
        <f>HYPERLINK("http://dx.doi.org/10.1016/j.biocon.2016.12.011","http://dx.doi.org/10.1016/j.biocon.2016.12.011")</f>
        <v>http://dx.doi.org/10.1016/j.biocon.2016.12.011</v>
      </c>
      <c r="BG245" s="13" t="s">
        <v>5510</v>
      </c>
      <c r="BH245" s="13" t="s">
        <v>5510</v>
      </c>
      <c r="BI245" s="13">
        <v>9.0</v>
      </c>
      <c r="BJ245" s="13" t="s">
        <v>5698</v>
      </c>
      <c r="BK245" s="13" t="s">
        <v>5561</v>
      </c>
      <c r="BL245" s="13" t="s">
        <v>5699</v>
      </c>
      <c r="BM245" s="13" t="s">
        <v>10171</v>
      </c>
      <c r="BN245" s="13" t="s">
        <v>5510</v>
      </c>
      <c r="BO245" s="13" t="s">
        <v>5510</v>
      </c>
      <c r="BP245" s="13" t="s">
        <v>5510</v>
      </c>
      <c r="BQ245" s="13" t="s">
        <v>5510</v>
      </c>
      <c r="BR245" s="13" t="s">
        <v>5538</v>
      </c>
      <c r="BS245" s="13" t="s">
        <v>10172</v>
      </c>
      <c r="BT245" s="13">
        <v>23071.0</v>
      </c>
      <c r="BU245" s="13" t="s">
        <v>5540</v>
      </c>
      <c r="BV245" s="13" t="s">
        <v>4856</v>
      </c>
      <c r="BW245" s="13" t="str">
        <f>VLOOKUP($BT245,Enriched!$A$2:$E$1070,5,false)</f>
        <v>["Residential &amp; Commercial Development", "Agriculture &amp; Aquaculture", "Transportation &amp; Service Corridors", "Pollution"]</v>
      </c>
      <c r="BX245" s="13" t="str">
        <f>VLOOKUP($BT245,Enriched!$A$2:$E$1070,4,false)</f>
        <v>["Housing &amp; urban area", "Commercial &amp; industrial areas", "Tourism &amp; recreation areas", "Annual &amp; perennial non-timber crops", "Livestock farming &amp; ranching", "Roads &amp; railroads", "Excess energy"]</v>
      </c>
      <c r="BY245" s="13" t="b">
        <f>VLOOKUP(BT245,Enriched!$A$1:$AA$1070,27,falsE)</f>
        <v>0</v>
      </c>
      <c r="BZ245" s="2" t="str">
        <f>VLOOKUP(BT245,Enriched!$A$1:$AA$1070,14,falsE)</f>
        <v>cumulative</v>
      </c>
      <c r="CA245" s="13" t="str">
        <f>HYPERLINK("https%3A%2F%2Fwww.webofscience.com%2Fwos%2Fwoscc%2Ffull-record%2FWOS:000394065900008","View Full Record in Web of Science")</f>
        <v>View Full Record in Web of Science</v>
      </c>
    </row>
    <row r="246" ht="12.75" customHeight="1">
      <c r="A246" s="13" t="s">
        <v>5508</v>
      </c>
      <c r="B246" s="13" t="s">
        <v>10173</v>
      </c>
      <c r="C246" s="13" t="s">
        <v>5510</v>
      </c>
      <c r="D246" s="13" t="s">
        <v>5510</v>
      </c>
      <c r="E246" s="13" t="s">
        <v>5510</v>
      </c>
      <c r="F246" s="13" t="s">
        <v>10174</v>
      </c>
      <c r="G246" s="13" t="s">
        <v>5510</v>
      </c>
      <c r="H246" s="13" t="s">
        <v>5510</v>
      </c>
      <c r="I246" s="13" t="s">
        <v>2337</v>
      </c>
      <c r="J246" s="13" t="s">
        <v>10175</v>
      </c>
      <c r="K246" s="13" t="s">
        <v>5510</v>
      </c>
      <c r="L246" s="13" t="s">
        <v>5510</v>
      </c>
      <c r="M246" s="13" t="s">
        <v>5513</v>
      </c>
      <c r="N246" s="13" t="s">
        <v>5514</v>
      </c>
      <c r="O246" s="13" t="s">
        <v>5510</v>
      </c>
      <c r="P246" s="13" t="s">
        <v>5510</v>
      </c>
      <c r="Q246" s="13" t="s">
        <v>5510</v>
      </c>
      <c r="R246" s="13" t="s">
        <v>5510</v>
      </c>
      <c r="S246" s="13" t="s">
        <v>5510</v>
      </c>
      <c r="T246" s="13" t="s">
        <v>10176</v>
      </c>
      <c r="U246" s="13" t="s">
        <v>10177</v>
      </c>
      <c r="V246" s="13" t="s">
        <v>10178</v>
      </c>
      <c r="W246" s="13" t="s">
        <v>10179</v>
      </c>
      <c r="X246" s="13" t="s">
        <v>10180</v>
      </c>
      <c r="Y246" s="13" t="s">
        <v>10181</v>
      </c>
      <c r="Z246" s="13" t="s">
        <v>10182</v>
      </c>
      <c r="AA246" s="13" t="s">
        <v>10183</v>
      </c>
      <c r="AB246" s="13" t="s">
        <v>10184</v>
      </c>
      <c r="AC246" s="13" t="s">
        <v>10185</v>
      </c>
      <c r="AD246" s="13" t="s">
        <v>10185</v>
      </c>
      <c r="AE246" s="13" t="s">
        <v>10186</v>
      </c>
      <c r="AF246" s="13" t="s">
        <v>5510</v>
      </c>
      <c r="AG246" s="13">
        <v>60.0</v>
      </c>
      <c r="AH246" s="13">
        <v>16.0</v>
      </c>
      <c r="AI246" s="13">
        <v>18.0</v>
      </c>
      <c r="AJ246" s="13">
        <v>0.0</v>
      </c>
      <c r="AK246" s="13">
        <v>28.0</v>
      </c>
      <c r="AL246" s="13" t="s">
        <v>5527</v>
      </c>
      <c r="AM246" s="13" t="s">
        <v>5528</v>
      </c>
      <c r="AN246" s="13" t="s">
        <v>5529</v>
      </c>
      <c r="AO246" s="13" t="s">
        <v>10187</v>
      </c>
      <c r="AP246" s="13" t="s">
        <v>10188</v>
      </c>
      <c r="AQ246" s="13" t="s">
        <v>5510</v>
      </c>
      <c r="AR246" s="13" t="s">
        <v>10175</v>
      </c>
      <c r="AS246" s="13" t="s">
        <v>829</v>
      </c>
      <c r="AT246" s="13" t="s">
        <v>5866</v>
      </c>
      <c r="AU246" s="13">
        <v>2012.0</v>
      </c>
      <c r="AV246" s="13">
        <v>44.0</v>
      </c>
      <c r="AW246" s="13">
        <v>3.0</v>
      </c>
      <c r="AX246" s="13" t="s">
        <v>5510</v>
      </c>
      <c r="AY246" s="13" t="s">
        <v>5510</v>
      </c>
      <c r="AZ246" s="13" t="s">
        <v>5510</v>
      </c>
      <c r="BA246" s="13" t="s">
        <v>5510</v>
      </c>
      <c r="BB246" s="13">
        <v>321.0</v>
      </c>
      <c r="BC246" s="13">
        <v>330.0</v>
      </c>
      <c r="BD246" s="13" t="s">
        <v>5510</v>
      </c>
      <c r="BE246" s="13" t="s">
        <v>10189</v>
      </c>
      <c r="BF246" s="52" t="str">
        <f>HYPERLINK("http://dx.doi.org/10.1111/j.1744-7429.2011.00820.x","http://dx.doi.org/10.1111/j.1744-7429.2011.00820.x")</f>
        <v>http://dx.doi.org/10.1111/j.1744-7429.2011.00820.x</v>
      </c>
      <c r="BG246" s="13" t="s">
        <v>5510</v>
      </c>
      <c r="BH246" s="13" t="s">
        <v>5510</v>
      </c>
      <c r="BI246" s="13">
        <v>10.0</v>
      </c>
      <c r="BJ246" s="13" t="s">
        <v>5533</v>
      </c>
      <c r="BK246" s="13" t="s">
        <v>5561</v>
      </c>
      <c r="BL246" s="13" t="s">
        <v>5535</v>
      </c>
      <c r="BM246" s="13" t="s">
        <v>10190</v>
      </c>
      <c r="BN246" s="13" t="s">
        <v>5510</v>
      </c>
      <c r="BO246" s="13" t="s">
        <v>5809</v>
      </c>
      <c r="BP246" s="13" t="s">
        <v>5510</v>
      </c>
      <c r="BQ246" s="13" t="s">
        <v>5510</v>
      </c>
      <c r="BR246" s="13" t="s">
        <v>5538</v>
      </c>
      <c r="BS246" s="13" t="s">
        <v>10191</v>
      </c>
      <c r="BT246" s="13">
        <v>25802.0</v>
      </c>
      <c r="BU246" s="13" t="s">
        <v>5540</v>
      </c>
      <c r="BV246" s="13" t="s">
        <v>4856</v>
      </c>
      <c r="BW246" s="13" t="str">
        <f>VLOOKUP($BT246,Enriched!$A$2:$E$1070,5,false)</f>
        <v>["Agriculture &amp; Aquaculture", "Energy Production &amp; Mining"]</v>
      </c>
      <c r="BX246" s="13" t="str">
        <f>VLOOKUP($BT246,Enriched!$A$2:$E$1070,4,false)</f>
        <v>["Mining &amp; quarrying", "Wood &amp; pulp plantations"]</v>
      </c>
      <c r="BY246" s="13" t="b">
        <f>VLOOKUP(BT246,Enriched!$A$1:$AA$1070,27,falsE)</f>
        <v>1</v>
      </c>
      <c r="BZ246" s="2" t="str">
        <f>VLOOKUP(BT246,Enriched!$A$1:$AA$1070,14,falsE)</f>
        <v>level2</v>
      </c>
      <c r="CA246" s="13" t="str">
        <f>HYPERLINK("https%3A%2F%2Fwww.webofscience.com%2Fwos%2Fwoscc%2Ffull-record%2FWOS:000303496500007","View Full Record in Web of Science")</f>
        <v>View Full Record in Web of Science</v>
      </c>
    </row>
    <row r="247" ht="12.75" customHeight="1">
      <c r="A247" s="13" t="s">
        <v>5508</v>
      </c>
      <c r="B247" s="13" t="s">
        <v>10192</v>
      </c>
      <c r="C247" s="13" t="s">
        <v>5510</v>
      </c>
      <c r="D247" s="13" t="s">
        <v>5510</v>
      </c>
      <c r="E247" s="13" t="s">
        <v>5510</v>
      </c>
      <c r="F247" s="13" t="s">
        <v>10193</v>
      </c>
      <c r="G247" s="13" t="s">
        <v>5510</v>
      </c>
      <c r="H247" s="13" t="s">
        <v>5510</v>
      </c>
      <c r="I247" s="13" t="s">
        <v>2330</v>
      </c>
      <c r="J247" s="13" t="s">
        <v>5895</v>
      </c>
      <c r="K247" s="13" t="s">
        <v>5510</v>
      </c>
      <c r="L247" s="13" t="s">
        <v>5510</v>
      </c>
      <c r="M247" s="13" t="s">
        <v>5513</v>
      </c>
      <c r="N247" s="13" t="s">
        <v>5514</v>
      </c>
      <c r="O247" s="13" t="s">
        <v>5510</v>
      </c>
      <c r="P247" s="13" t="s">
        <v>5510</v>
      </c>
      <c r="Q247" s="13" t="s">
        <v>5510</v>
      </c>
      <c r="R247" s="13" t="s">
        <v>5510</v>
      </c>
      <c r="S247" s="13" t="s">
        <v>5510</v>
      </c>
      <c r="T247" s="13" t="s">
        <v>10194</v>
      </c>
      <c r="U247" s="13" t="s">
        <v>10195</v>
      </c>
      <c r="V247" s="13" t="s">
        <v>10196</v>
      </c>
      <c r="W247" s="13" t="s">
        <v>10197</v>
      </c>
      <c r="X247" s="13" t="s">
        <v>10198</v>
      </c>
      <c r="Y247" s="13" t="s">
        <v>10199</v>
      </c>
      <c r="Z247" s="13" t="s">
        <v>10200</v>
      </c>
      <c r="AA247" s="13" t="s">
        <v>10201</v>
      </c>
      <c r="AB247" s="13" t="s">
        <v>10202</v>
      </c>
      <c r="AC247" s="13" t="s">
        <v>10203</v>
      </c>
      <c r="AD247" s="13" t="s">
        <v>10204</v>
      </c>
      <c r="AE247" s="13" t="s">
        <v>10205</v>
      </c>
      <c r="AF247" s="13" t="s">
        <v>5510</v>
      </c>
      <c r="AG247" s="13">
        <v>53.0</v>
      </c>
      <c r="AH247" s="13">
        <v>770.0</v>
      </c>
      <c r="AI247" s="13">
        <v>881.0</v>
      </c>
      <c r="AJ247" s="13">
        <v>31.0</v>
      </c>
      <c r="AK247" s="13">
        <v>650.0</v>
      </c>
      <c r="AL247" s="13" t="s">
        <v>5907</v>
      </c>
      <c r="AM247" s="13" t="s">
        <v>5908</v>
      </c>
      <c r="AN247" s="13" t="s">
        <v>5909</v>
      </c>
      <c r="AO247" s="13" t="s">
        <v>5910</v>
      </c>
      <c r="AP247" s="13" t="s">
        <v>5510</v>
      </c>
      <c r="AQ247" s="13" t="s">
        <v>5510</v>
      </c>
      <c r="AR247" s="13" t="s">
        <v>5911</v>
      </c>
      <c r="AS247" s="13" t="s">
        <v>5912</v>
      </c>
      <c r="AT247" s="13" t="s">
        <v>10206</v>
      </c>
      <c r="AU247" s="13">
        <v>2016.0</v>
      </c>
      <c r="AV247" s="13">
        <v>113.0</v>
      </c>
      <c r="AW247" s="13">
        <v>2.0</v>
      </c>
      <c r="AX247" s="13" t="s">
        <v>5510</v>
      </c>
      <c r="AY247" s="13" t="s">
        <v>5510</v>
      </c>
      <c r="AZ247" s="13" t="s">
        <v>5510</v>
      </c>
      <c r="BA247" s="13" t="s">
        <v>5510</v>
      </c>
      <c r="BB247" s="13">
        <v>344.0</v>
      </c>
      <c r="BC247" s="13">
        <v>349.0</v>
      </c>
      <c r="BD247" s="13" t="s">
        <v>5510</v>
      </c>
      <c r="BE247" s="13" t="s">
        <v>10207</v>
      </c>
      <c r="BF247" s="52" t="str">
        <f>HYPERLINK("http://dx.doi.org/10.1073/pnas.1510272113","http://dx.doi.org/10.1073/pnas.1510272113")</f>
        <v>http://dx.doi.org/10.1073/pnas.1510272113</v>
      </c>
      <c r="BG247" s="13" t="s">
        <v>5510</v>
      </c>
      <c r="BH247" s="13" t="s">
        <v>5510</v>
      </c>
      <c r="BI247" s="13">
        <v>6.0</v>
      </c>
      <c r="BJ247" s="13" t="s">
        <v>5560</v>
      </c>
      <c r="BK247" s="13" t="s">
        <v>5561</v>
      </c>
      <c r="BL247" s="13" t="s">
        <v>5562</v>
      </c>
      <c r="BM247" s="13" t="s">
        <v>10208</v>
      </c>
      <c r="BN247" s="13">
        <v>2.6712025E7</v>
      </c>
      <c r="BO247" s="13" t="s">
        <v>10209</v>
      </c>
      <c r="BP247" s="13" t="s">
        <v>5510</v>
      </c>
      <c r="BQ247" s="13" t="s">
        <v>5510</v>
      </c>
      <c r="BR247" s="13" t="s">
        <v>5538</v>
      </c>
      <c r="BS247" s="13" t="s">
        <v>10210</v>
      </c>
      <c r="BT247" s="13">
        <v>25355.0</v>
      </c>
      <c r="BU247" s="13" t="s">
        <v>5540</v>
      </c>
      <c r="BV247" s="13" t="s">
        <v>4855</v>
      </c>
      <c r="BW247" s="13" t="str">
        <f>VLOOKUP($BT247,Enriched!$A$2:$E$1070,5,false)</f>
        <v>["Agriculture &amp; Aquaculture"]</v>
      </c>
      <c r="BX247" s="13" t="str">
        <f>VLOOKUP($BT247,Enriched!$A$2:$E$1070,4,false)</f>
        <v>["Housing &amp; urban area", "Annual &amp; perennial non-timber crops", "Marine &amp; freshwater aquaculture"]</v>
      </c>
      <c r="BY247" s="13" t="b">
        <f>VLOOKUP(BT247,Enriched!$A$1:$AA$1070,27,falsE)</f>
        <v>0</v>
      </c>
      <c r="BZ247" s="2" t="str">
        <f>VLOOKUP(BT247,Enriched!$A$1:$AA$1070,14,falsE)</f>
        <v>level2</v>
      </c>
      <c r="CA247" s="13" t="str">
        <f>HYPERLINK("https%3A%2F%2Fwww.webofscience.com%2Fwos%2Fwoscc%2Ffull-record%2FWOS:000367881500043","View Full Record in Web of Science")</f>
        <v>View Full Record in Web of Science</v>
      </c>
    </row>
    <row r="248" ht="12.75" customHeight="1">
      <c r="A248" s="13" t="s">
        <v>5508</v>
      </c>
      <c r="B248" s="13" t="s">
        <v>10211</v>
      </c>
      <c r="C248" s="13" t="s">
        <v>5510</v>
      </c>
      <c r="D248" s="13" t="s">
        <v>5510</v>
      </c>
      <c r="E248" s="13" t="s">
        <v>5510</v>
      </c>
      <c r="F248" s="13" t="s">
        <v>10212</v>
      </c>
      <c r="G248" s="13" t="s">
        <v>5510</v>
      </c>
      <c r="H248" s="13" t="s">
        <v>5510</v>
      </c>
      <c r="I248" s="13" t="s">
        <v>10213</v>
      </c>
      <c r="J248" s="13" t="s">
        <v>5677</v>
      </c>
      <c r="K248" s="13" t="s">
        <v>5510</v>
      </c>
      <c r="L248" s="13" t="s">
        <v>5510</v>
      </c>
      <c r="M248" s="13" t="s">
        <v>5513</v>
      </c>
      <c r="N248" s="13" t="s">
        <v>5514</v>
      </c>
      <c r="O248" s="13" t="s">
        <v>5510</v>
      </c>
      <c r="P248" s="13" t="s">
        <v>5510</v>
      </c>
      <c r="Q248" s="13" t="s">
        <v>5510</v>
      </c>
      <c r="R248" s="13" t="s">
        <v>5510</v>
      </c>
      <c r="S248" s="13" t="s">
        <v>5510</v>
      </c>
      <c r="T248" s="13" t="s">
        <v>10214</v>
      </c>
      <c r="U248" s="13" t="s">
        <v>10215</v>
      </c>
      <c r="V248" s="13" t="s">
        <v>10216</v>
      </c>
      <c r="W248" s="13" t="s">
        <v>10217</v>
      </c>
      <c r="X248" s="13" t="s">
        <v>10218</v>
      </c>
      <c r="Y248" s="13" t="s">
        <v>10219</v>
      </c>
      <c r="Z248" s="13" t="s">
        <v>10220</v>
      </c>
      <c r="AA248" s="13" t="s">
        <v>10221</v>
      </c>
      <c r="AB248" s="13" t="s">
        <v>10222</v>
      </c>
      <c r="AC248" s="13" t="s">
        <v>10223</v>
      </c>
      <c r="AD248" s="13" t="s">
        <v>10223</v>
      </c>
      <c r="AE248" s="13" t="s">
        <v>10224</v>
      </c>
      <c r="AF248" s="13" t="s">
        <v>5510</v>
      </c>
      <c r="AG248" s="13">
        <v>65.0</v>
      </c>
      <c r="AH248" s="13">
        <v>51.0</v>
      </c>
      <c r="AI248" s="13">
        <v>57.0</v>
      </c>
      <c r="AJ248" s="13">
        <v>2.0</v>
      </c>
      <c r="AK248" s="13">
        <v>120.0</v>
      </c>
      <c r="AL248" s="13" t="s">
        <v>5690</v>
      </c>
      <c r="AM248" s="13" t="s">
        <v>5691</v>
      </c>
      <c r="AN248" s="13" t="s">
        <v>5692</v>
      </c>
      <c r="AO248" s="13" t="s">
        <v>5693</v>
      </c>
      <c r="AP248" s="13" t="s">
        <v>5694</v>
      </c>
      <c r="AQ248" s="13" t="s">
        <v>5510</v>
      </c>
      <c r="AR248" s="13" t="s">
        <v>5695</v>
      </c>
      <c r="AS248" s="13" t="s">
        <v>5696</v>
      </c>
      <c r="AT248" s="13" t="s">
        <v>5720</v>
      </c>
      <c r="AU248" s="13">
        <v>2010.0</v>
      </c>
      <c r="AV248" s="13">
        <v>19.0</v>
      </c>
      <c r="AW248" s="13">
        <v>6.0</v>
      </c>
      <c r="AX248" s="13" t="s">
        <v>5510</v>
      </c>
      <c r="AY248" s="13" t="s">
        <v>5510</v>
      </c>
      <c r="AZ248" s="13" t="s">
        <v>5510</v>
      </c>
      <c r="BA248" s="13" t="s">
        <v>5510</v>
      </c>
      <c r="BB248" s="13">
        <v>1567.0</v>
      </c>
      <c r="BC248" s="13">
        <v>1584.0</v>
      </c>
      <c r="BD248" s="13" t="s">
        <v>5510</v>
      </c>
      <c r="BE248" s="13" t="s">
        <v>10225</v>
      </c>
      <c r="BF248" s="52" t="str">
        <f>HYPERLINK("http://dx.doi.org/10.1007/s10531-010-9787-z","http://dx.doi.org/10.1007/s10531-010-9787-z")</f>
        <v>http://dx.doi.org/10.1007/s10531-010-9787-z</v>
      </c>
      <c r="BG248" s="13" t="s">
        <v>5510</v>
      </c>
      <c r="BH248" s="13" t="s">
        <v>5510</v>
      </c>
      <c r="BI248" s="13">
        <v>18.0</v>
      </c>
      <c r="BJ248" s="13" t="s">
        <v>5698</v>
      </c>
      <c r="BK248" s="13" t="s">
        <v>5561</v>
      </c>
      <c r="BL248" s="13" t="s">
        <v>5699</v>
      </c>
      <c r="BM248" s="13" t="s">
        <v>10226</v>
      </c>
      <c r="BN248" s="13" t="s">
        <v>5510</v>
      </c>
      <c r="BO248" s="13" t="s">
        <v>5510</v>
      </c>
      <c r="BP248" s="13" t="s">
        <v>5510</v>
      </c>
      <c r="BQ248" s="13" t="s">
        <v>5510</v>
      </c>
      <c r="BR248" s="13" t="s">
        <v>5538</v>
      </c>
      <c r="BS248" s="13" t="s">
        <v>10227</v>
      </c>
      <c r="BT248" s="13">
        <v>23694.0</v>
      </c>
      <c r="BU248" s="13" t="s">
        <v>5540</v>
      </c>
      <c r="BV248" s="13" t="s">
        <v>4856</v>
      </c>
      <c r="BW248" s="13" t="str">
        <f>VLOOKUP($BT248,Enriched!$A$2:$E$1070,5,false)</f>
        <v>["Transportation &amp; Service Corridors", "Biological Resource Use"]</v>
      </c>
      <c r="BX248" s="13" t="str">
        <f>VLOOKUP($BT248,Enriched!$A$2:$E$1070,4,false)</f>
        <v>["Roads &amp; railroads", "Hunting &amp; collecting terrestrial animals", "Logging &amp; wood harvesting"]</v>
      </c>
      <c r="BY248" s="13" t="b">
        <f>VLOOKUP(BT248,Enriched!$A$1:$AA$1070,27,falsE)</f>
        <v>0</v>
      </c>
      <c r="BZ248" s="2" t="str">
        <f>VLOOKUP(BT248,Enriched!$A$1:$AA$1070,14,falsE)</f>
        <v>cumulative</v>
      </c>
      <c r="CA248" s="13" t="str">
        <f>HYPERLINK("https%3A%2F%2Fwww.webofscience.com%2Fwos%2Fwoscc%2Ffull-record%2FWOS:000277368600004","View Full Record in Web of Science")</f>
        <v>View Full Record in Web of Science</v>
      </c>
    </row>
    <row r="249" ht="12.75" customHeight="1">
      <c r="A249" s="13" t="s">
        <v>5508</v>
      </c>
      <c r="B249" s="13" t="s">
        <v>10228</v>
      </c>
      <c r="C249" s="13" t="s">
        <v>5510</v>
      </c>
      <c r="D249" s="13" t="s">
        <v>5510</v>
      </c>
      <c r="E249" s="13" t="s">
        <v>5510</v>
      </c>
      <c r="F249" s="13" t="s">
        <v>10229</v>
      </c>
      <c r="G249" s="13" t="s">
        <v>5510</v>
      </c>
      <c r="H249" s="13" t="s">
        <v>5510</v>
      </c>
      <c r="I249" s="13" t="s">
        <v>2324</v>
      </c>
      <c r="J249" s="13" t="s">
        <v>6627</v>
      </c>
      <c r="K249" s="13" t="s">
        <v>5510</v>
      </c>
      <c r="L249" s="13" t="s">
        <v>5510</v>
      </c>
      <c r="M249" s="13" t="s">
        <v>5513</v>
      </c>
      <c r="N249" s="13" t="s">
        <v>5514</v>
      </c>
      <c r="O249" s="13" t="s">
        <v>5510</v>
      </c>
      <c r="P249" s="13" t="s">
        <v>5510</v>
      </c>
      <c r="Q249" s="13" t="s">
        <v>5510</v>
      </c>
      <c r="R249" s="13" t="s">
        <v>5510</v>
      </c>
      <c r="S249" s="13" t="s">
        <v>5510</v>
      </c>
      <c r="T249" s="13" t="s">
        <v>10230</v>
      </c>
      <c r="U249" s="13" t="s">
        <v>10231</v>
      </c>
      <c r="V249" s="13" t="s">
        <v>10232</v>
      </c>
      <c r="W249" s="13" t="s">
        <v>10233</v>
      </c>
      <c r="X249" s="13" t="s">
        <v>10234</v>
      </c>
      <c r="Y249" s="13" t="s">
        <v>10235</v>
      </c>
      <c r="Z249" s="13" t="s">
        <v>10236</v>
      </c>
      <c r="AA249" s="13" t="s">
        <v>10237</v>
      </c>
      <c r="AB249" s="13" t="s">
        <v>10238</v>
      </c>
      <c r="AC249" s="13" t="s">
        <v>10239</v>
      </c>
      <c r="AD249" s="13" t="s">
        <v>10239</v>
      </c>
      <c r="AE249" s="13" t="s">
        <v>10240</v>
      </c>
      <c r="AF249" s="13" t="s">
        <v>5510</v>
      </c>
      <c r="AG249" s="13">
        <v>63.0</v>
      </c>
      <c r="AH249" s="13">
        <v>43.0</v>
      </c>
      <c r="AI249" s="13">
        <v>50.0</v>
      </c>
      <c r="AJ249" s="13">
        <v>1.0</v>
      </c>
      <c r="AK249" s="13">
        <v>146.0</v>
      </c>
      <c r="AL249" s="13" t="s">
        <v>5527</v>
      </c>
      <c r="AM249" s="13" t="s">
        <v>5528</v>
      </c>
      <c r="AN249" s="13" t="s">
        <v>5529</v>
      </c>
      <c r="AO249" s="13" t="s">
        <v>6640</v>
      </c>
      <c r="AP249" s="13" t="s">
        <v>6641</v>
      </c>
      <c r="AQ249" s="13" t="s">
        <v>5510</v>
      </c>
      <c r="AR249" s="13" t="s">
        <v>6642</v>
      </c>
      <c r="AS249" s="13" t="s">
        <v>6643</v>
      </c>
      <c r="AT249" s="13" t="s">
        <v>5667</v>
      </c>
      <c r="AU249" s="13">
        <v>2014.0</v>
      </c>
      <c r="AV249" s="13">
        <v>20.0</v>
      </c>
      <c r="AW249" s="13">
        <v>7.0</v>
      </c>
      <c r="AX249" s="13" t="s">
        <v>5510</v>
      </c>
      <c r="AY249" s="13" t="s">
        <v>5510</v>
      </c>
      <c r="AZ249" s="13" t="s">
        <v>5510</v>
      </c>
      <c r="BA249" s="13" t="s">
        <v>5510</v>
      </c>
      <c r="BB249" s="13">
        <v>773.0</v>
      </c>
      <c r="BC249" s="13">
        <v>785.0</v>
      </c>
      <c r="BD249" s="13" t="s">
        <v>5510</v>
      </c>
      <c r="BE249" s="13" t="s">
        <v>10241</v>
      </c>
      <c r="BF249" s="52" t="str">
        <f>HYPERLINK("http://dx.doi.org/10.1111/ddi.12180","http://dx.doi.org/10.1111/ddi.12180")</f>
        <v>http://dx.doi.org/10.1111/ddi.12180</v>
      </c>
      <c r="BG249" s="13" t="s">
        <v>5510</v>
      </c>
      <c r="BH249" s="13" t="s">
        <v>5510</v>
      </c>
      <c r="BI249" s="13">
        <v>13.0</v>
      </c>
      <c r="BJ249" s="13" t="s">
        <v>5958</v>
      </c>
      <c r="BK249" s="13" t="s">
        <v>5561</v>
      </c>
      <c r="BL249" s="13" t="s">
        <v>5699</v>
      </c>
      <c r="BM249" s="13" t="s">
        <v>10242</v>
      </c>
      <c r="BN249" s="13" t="s">
        <v>5510</v>
      </c>
      <c r="BO249" s="13" t="s">
        <v>5510</v>
      </c>
      <c r="BP249" s="13" t="s">
        <v>5510</v>
      </c>
      <c r="BQ249" s="13" t="s">
        <v>5510</v>
      </c>
      <c r="BR249" s="13" t="s">
        <v>5538</v>
      </c>
      <c r="BS249" s="13" t="s">
        <v>10243</v>
      </c>
      <c r="BT249" s="13">
        <v>24153.0</v>
      </c>
      <c r="BU249" s="13" t="s">
        <v>5540</v>
      </c>
      <c r="BV249" s="13" t="s">
        <v>4856</v>
      </c>
      <c r="BW249" s="13" t="str">
        <f>VLOOKUP($BT249,Enriched!$A$2:$E$1070,5,false)</f>
        <v>["Agriculture &amp; Aquaculture"]</v>
      </c>
      <c r="BX249" s="13" t="str">
        <f>VLOOKUP($BT249,Enriched!$A$2:$E$1070,4,false)</f>
        <v/>
      </c>
      <c r="BY249" s="13" t="b">
        <f>VLOOKUP(BT249,Enriched!$A$1:$AA$1070,27,falsE)</f>
        <v>1</v>
      </c>
      <c r="BZ249" s="2" t="str">
        <f>VLOOKUP(BT249,Enriched!$A$1:$AA$1070,14,falsE)</f>
        <v>level2</v>
      </c>
      <c r="CA249" s="13" t="str">
        <f>HYPERLINK("https%3A%2F%2Fwww.webofscience.com%2Fwos%2Fwoscc%2Ffull-record%2FWOS:000337593000004","View Full Record in Web of Science")</f>
        <v>View Full Record in Web of Science</v>
      </c>
    </row>
    <row r="250" ht="12.75" customHeight="1">
      <c r="A250" s="13" t="s">
        <v>5508</v>
      </c>
      <c r="B250" s="13" t="s">
        <v>10244</v>
      </c>
      <c r="C250" s="13" t="s">
        <v>5510</v>
      </c>
      <c r="D250" s="13" t="s">
        <v>5510</v>
      </c>
      <c r="E250" s="13" t="s">
        <v>5510</v>
      </c>
      <c r="F250" s="13" t="s">
        <v>10245</v>
      </c>
      <c r="G250" s="13" t="s">
        <v>5510</v>
      </c>
      <c r="H250" s="13" t="s">
        <v>5510</v>
      </c>
      <c r="I250" s="13" t="s">
        <v>2322</v>
      </c>
      <c r="J250" s="13" t="s">
        <v>6333</v>
      </c>
      <c r="K250" s="13" t="s">
        <v>5510</v>
      </c>
      <c r="L250" s="13" t="s">
        <v>5510</v>
      </c>
      <c r="M250" s="13" t="s">
        <v>5513</v>
      </c>
      <c r="N250" s="13" t="s">
        <v>5514</v>
      </c>
      <c r="O250" s="13" t="s">
        <v>5510</v>
      </c>
      <c r="P250" s="13" t="s">
        <v>5510</v>
      </c>
      <c r="Q250" s="13" t="s">
        <v>5510</v>
      </c>
      <c r="R250" s="13" t="s">
        <v>5510</v>
      </c>
      <c r="S250" s="13" t="s">
        <v>5510</v>
      </c>
      <c r="T250" s="13" t="s">
        <v>10246</v>
      </c>
      <c r="U250" s="13" t="s">
        <v>10247</v>
      </c>
      <c r="V250" s="13" t="s">
        <v>10248</v>
      </c>
      <c r="W250" s="13" t="s">
        <v>10249</v>
      </c>
      <c r="X250" s="13" t="s">
        <v>10250</v>
      </c>
      <c r="Y250" s="13" t="s">
        <v>10251</v>
      </c>
      <c r="Z250" s="13" t="s">
        <v>10252</v>
      </c>
      <c r="AA250" s="13" t="s">
        <v>10253</v>
      </c>
      <c r="AB250" s="13" t="s">
        <v>10254</v>
      </c>
      <c r="AC250" s="13" t="s">
        <v>5510</v>
      </c>
      <c r="AD250" s="13" t="s">
        <v>5510</v>
      </c>
      <c r="AE250" s="13" t="s">
        <v>5510</v>
      </c>
      <c r="AF250" s="13" t="s">
        <v>5510</v>
      </c>
      <c r="AG250" s="13">
        <v>40.0</v>
      </c>
      <c r="AH250" s="13">
        <v>36.0</v>
      </c>
      <c r="AI250" s="13">
        <v>41.0</v>
      </c>
      <c r="AJ250" s="13">
        <v>0.0</v>
      </c>
      <c r="AK250" s="13">
        <v>54.0</v>
      </c>
      <c r="AL250" s="13" t="s">
        <v>5527</v>
      </c>
      <c r="AM250" s="13" t="s">
        <v>5528</v>
      </c>
      <c r="AN250" s="13" t="s">
        <v>5529</v>
      </c>
      <c r="AO250" s="13" t="s">
        <v>6342</v>
      </c>
      <c r="AP250" s="13" t="s">
        <v>6343</v>
      </c>
      <c r="AQ250" s="13" t="s">
        <v>5510</v>
      </c>
      <c r="AR250" s="13" t="s">
        <v>6344</v>
      </c>
      <c r="AS250" s="13" t="s">
        <v>6345</v>
      </c>
      <c r="AT250" s="13" t="s">
        <v>5720</v>
      </c>
      <c r="AU250" s="13">
        <v>2008.0</v>
      </c>
      <c r="AV250" s="13">
        <v>22.0</v>
      </c>
      <c r="AW250" s="13">
        <v>3.0</v>
      </c>
      <c r="AX250" s="13" t="s">
        <v>5510</v>
      </c>
      <c r="AY250" s="13" t="s">
        <v>5510</v>
      </c>
      <c r="AZ250" s="13" t="s">
        <v>5510</v>
      </c>
      <c r="BA250" s="13" t="s">
        <v>5510</v>
      </c>
      <c r="BB250" s="13">
        <v>711.0</v>
      </c>
      <c r="BC250" s="13">
        <v>720.0</v>
      </c>
      <c r="BD250" s="13" t="s">
        <v>5510</v>
      </c>
      <c r="BE250" s="13" t="s">
        <v>10255</v>
      </c>
      <c r="BF250" s="52" t="str">
        <f>HYPERLINK("http://dx.doi.org/10.1111/j.1523-1739.2008.00923.x","http://dx.doi.org/10.1111/j.1523-1739.2008.00923.x")</f>
        <v>http://dx.doi.org/10.1111/j.1523-1739.2008.00923.x</v>
      </c>
      <c r="BG250" s="13" t="s">
        <v>5510</v>
      </c>
      <c r="BH250" s="13" t="s">
        <v>5510</v>
      </c>
      <c r="BI250" s="13">
        <v>10.0</v>
      </c>
      <c r="BJ250" s="13" t="s">
        <v>5698</v>
      </c>
      <c r="BK250" s="13" t="s">
        <v>5561</v>
      </c>
      <c r="BL250" s="13" t="s">
        <v>5699</v>
      </c>
      <c r="BM250" s="13" t="s">
        <v>10256</v>
      </c>
      <c r="BN250" s="13">
        <v>1.8410398E7</v>
      </c>
      <c r="BO250" s="13" t="s">
        <v>5510</v>
      </c>
      <c r="BP250" s="13" t="s">
        <v>5510</v>
      </c>
      <c r="BQ250" s="13" t="s">
        <v>5510</v>
      </c>
      <c r="BR250" s="13" t="s">
        <v>5538</v>
      </c>
      <c r="BS250" s="13" t="s">
        <v>10257</v>
      </c>
      <c r="BT250" s="13">
        <v>24088.0</v>
      </c>
      <c r="BU250" s="13" t="s">
        <v>5540</v>
      </c>
      <c r="BV250" s="13" t="s">
        <v>4864</v>
      </c>
      <c r="BW250" s="13" t="str">
        <f>VLOOKUP($BT250,Enriched!$A$2:$E$1070,5,false)</f>
        <v>["Biological Resource Use", "Transportation &amp; Service Corridors", "Pollution"]</v>
      </c>
      <c r="BX250" s="13" t="str">
        <f>VLOOKUP($BT250,Enriched!$A$2:$E$1070,4,false)</f>
        <v>["Fishing &amp; harvesting aquatic resources", "Shipping lanes", "Agricultural &amp; forestry effluents", "Industrial &amp; military effluents"]</v>
      </c>
      <c r="BY250" s="13" t="b">
        <f>VLOOKUP(BT250,Enriched!$A$1:$AA$1070,27,falsE)</f>
        <v>0</v>
      </c>
      <c r="BZ250" s="2" t="str">
        <f>VLOOKUP(BT250,Enriched!$A$1:$AA$1070,14,falsE)</f>
        <v>cumulative</v>
      </c>
      <c r="CA250" s="13" t="str">
        <f>HYPERLINK("https%3A%2F%2Fwww.webofscience.com%2Fwos%2Fwoscc%2Ffull-record%2FWOS:000256612800028","View Full Record in Web of Science")</f>
        <v>View Full Record in Web of Science</v>
      </c>
    </row>
    <row r="251" ht="12.75" customHeight="1">
      <c r="A251" s="13" t="s">
        <v>5508</v>
      </c>
      <c r="B251" s="13" t="s">
        <v>10258</v>
      </c>
      <c r="C251" s="13" t="s">
        <v>5510</v>
      </c>
      <c r="D251" s="13" t="s">
        <v>5510</v>
      </c>
      <c r="E251" s="13" t="s">
        <v>5510</v>
      </c>
      <c r="F251" s="13" t="s">
        <v>10259</v>
      </c>
      <c r="G251" s="13" t="s">
        <v>5510</v>
      </c>
      <c r="H251" s="13" t="s">
        <v>5510</v>
      </c>
      <c r="I251" s="13" t="s">
        <v>2315</v>
      </c>
      <c r="J251" s="13" t="s">
        <v>6764</v>
      </c>
      <c r="K251" s="13" t="s">
        <v>5510</v>
      </c>
      <c r="L251" s="13" t="s">
        <v>5510</v>
      </c>
      <c r="M251" s="13" t="s">
        <v>5513</v>
      </c>
      <c r="N251" s="13" t="s">
        <v>5514</v>
      </c>
      <c r="O251" s="13" t="s">
        <v>5510</v>
      </c>
      <c r="P251" s="13" t="s">
        <v>5510</v>
      </c>
      <c r="Q251" s="13" t="s">
        <v>5510</v>
      </c>
      <c r="R251" s="13" t="s">
        <v>5510</v>
      </c>
      <c r="S251" s="13" t="s">
        <v>5510</v>
      </c>
      <c r="T251" s="13" t="s">
        <v>10260</v>
      </c>
      <c r="U251" s="13" t="s">
        <v>10261</v>
      </c>
      <c r="V251" s="13" t="s">
        <v>10262</v>
      </c>
      <c r="W251" s="13" t="s">
        <v>10263</v>
      </c>
      <c r="X251" s="13" t="s">
        <v>10264</v>
      </c>
      <c r="Y251" s="13" t="s">
        <v>10265</v>
      </c>
      <c r="Z251" s="13" t="s">
        <v>10266</v>
      </c>
      <c r="AA251" s="13" t="s">
        <v>10267</v>
      </c>
      <c r="AB251" s="13" t="s">
        <v>10268</v>
      </c>
      <c r="AC251" s="13" t="s">
        <v>10269</v>
      </c>
      <c r="AD251" s="13" t="s">
        <v>10270</v>
      </c>
      <c r="AE251" s="13" t="s">
        <v>10271</v>
      </c>
      <c r="AF251" s="13" t="s">
        <v>5510</v>
      </c>
      <c r="AG251" s="13">
        <v>70.0</v>
      </c>
      <c r="AH251" s="13">
        <v>34.0</v>
      </c>
      <c r="AI251" s="13">
        <v>36.0</v>
      </c>
      <c r="AJ251" s="13">
        <v>0.0</v>
      </c>
      <c r="AK251" s="13">
        <v>50.0</v>
      </c>
      <c r="AL251" s="13" t="s">
        <v>5931</v>
      </c>
      <c r="AM251" s="13" t="s">
        <v>7486</v>
      </c>
      <c r="AN251" s="13" t="s">
        <v>7487</v>
      </c>
      <c r="AO251" s="13" t="s">
        <v>6777</v>
      </c>
      <c r="AP251" s="13" t="s">
        <v>6778</v>
      </c>
      <c r="AQ251" s="13" t="s">
        <v>5510</v>
      </c>
      <c r="AR251" s="13" t="s">
        <v>6779</v>
      </c>
      <c r="AS251" s="13" t="s">
        <v>6780</v>
      </c>
      <c r="AT251" s="13" t="s">
        <v>1925</v>
      </c>
      <c r="AU251" s="13">
        <v>2019.0</v>
      </c>
      <c r="AV251" s="13">
        <v>252.0</v>
      </c>
      <c r="AW251" s="13" t="s">
        <v>5510</v>
      </c>
      <c r="AX251" s="13" t="s">
        <v>8616</v>
      </c>
      <c r="AY251" s="13" t="s">
        <v>5510</v>
      </c>
      <c r="AZ251" s="13" t="s">
        <v>5510</v>
      </c>
      <c r="BA251" s="13" t="s">
        <v>5510</v>
      </c>
      <c r="BB251" s="13">
        <v>1742.0</v>
      </c>
      <c r="BC251" s="13">
        <v>1754.0</v>
      </c>
      <c r="BD251" s="13" t="s">
        <v>5510</v>
      </c>
      <c r="BE251" s="13" t="s">
        <v>10272</v>
      </c>
      <c r="BF251" s="52" t="str">
        <f>HYPERLINK("http://dx.doi.org/10.1016/j.envpol.2019.06.063","http://dx.doi.org/10.1016/j.envpol.2019.06.063")</f>
        <v>http://dx.doi.org/10.1016/j.envpol.2019.06.063</v>
      </c>
      <c r="BG251" s="13" t="s">
        <v>5510</v>
      </c>
      <c r="BH251" s="13" t="s">
        <v>5510</v>
      </c>
      <c r="BI251" s="13">
        <v>13.0</v>
      </c>
      <c r="BJ251" s="13" t="s">
        <v>5768</v>
      </c>
      <c r="BK251" s="13" t="s">
        <v>5561</v>
      </c>
      <c r="BL251" s="13" t="s">
        <v>5535</v>
      </c>
      <c r="BM251" s="13" t="s">
        <v>10273</v>
      </c>
      <c r="BN251" s="13">
        <v>3.1295693E7</v>
      </c>
      <c r="BO251" s="13" t="s">
        <v>5510</v>
      </c>
      <c r="BP251" s="13" t="s">
        <v>5510</v>
      </c>
      <c r="BQ251" s="13" t="s">
        <v>5510</v>
      </c>
      <c r="BR251" s="13" t="s">
        <v>5538</v>
      </c>
      <c r="BS251" s="13" t="s">
        <v>10274</v>
      </c>
      <c r="BT251" s="13">
        <v>25435.0</v>
      </c>
      <c r="BU251" s="13" t="s">
        <v>5540</v>
      </c>
      <c r="BV251" s="13" t="s">
        <v>4864</v>
      </c>
      <c r="BW251" s="13" t="str">
        <f>VLOOKUP($BT251,Enriched!$A$2:$E$1070,5,false)</f>
        <v>["Pollution"]</v>
      </c>
      <c r="BX251" s="13" t="str">
        <f>VLOOKUP($BT251,Enriched!$A$2:$E$1070,4,false)</f>
        <v>["Garbage &amp; solid waste"]</v>
      </c>
      <c r="BY251" s="13" t="b">
        <f>VLOOKUP(BT251,Enriched!$A$1:$AA$1070,27,falsE)</f>
        <v>0</v>
      </c>
      <c r="BZ251" s="2" t="str">
        <f>VLOOKUP(BT251,Enriched!$A$1:$AA$1070,14,falsE)</f>
        <v>level2</v>
      </c>
      <c r="CA251" s="13" t="str">
        <f>HYPERLINK("https%3A%2F%2Fwww.webofscience.com%2Fwos%2Fwoscc%2Ffull-record%2FWOS:000483405400085","View Full Record in Web of Science")</f>
        <v>View Full Record in Web of Science</v>
      </c>
    </row>
    <row r="252" ht="12.75" customHeight="1">
      <c r="A252" s="13" t="s">
        <v>5508</v>
      </c>
      <c r="B252" s="13" t="s">
        <v>10275</v>
      </c>
      <c r="C252" s="13" t="s">
        <v>5510</v>
      </c>
      <c r="D252" s="13" t="s">
        <v>5510</v>
      </c>
      <c r="E252" s="13" t="s">
        <v>5510</v>
      </c>
      <c r="F252" s="13" t="s">
        <v>10276</v>
      </c>
      <c r="G252" s="13" t="s">
        <v>5510</v>
      </c>
      <c r="H252" s="13" t="s">
        <v>5510</v>
      </c>
      <c r="I252" s="13" t="s">
        <v>2311</v>
      </c>
      <c r="J252" s="13" t="s">
        <v>8903</v>
      </c>
      <c r="K252" s="13" t="s">
        <v>5510</v>
      </c>
      <c r="L252" s="13" t="s">
        <v>5510</v>
      </c>
      <c r="M252" s="13" t="s">
        <v>5513</v>
      </c>
      <c r="N252" s="13" t="s">
        <v>4904</v>
      </c>
      <c r="O252" s="13" t="s">
        <v>5510</v>
      </c>
      <c r="P252" s="13" t="s">
        <v>5510</v>
      </c>
      <c r="Q252" s="13" t="s">
        <v>5510</v>
      </c>
      <c r="R252" s="13" t="s">
        <v>5510</v>
      </c>
      <c r="S252" s="13" t="s">
        <v>5510</v>
      </c>
      <c r="T252" s="13" t="s">
        <v>10277</v>
      </c>
      <c r="U252" s="13" t="s">
        <v>10278</v>
      </c>
      <c r="V252" s="13" t="s">
        <v>10279</v>
      </c>
      <c r="W252" s="13" t="s">
        <v>10280</v>
      </c>
      <c r="X252" s="13" t="s">
        <v>10281</v>
      </c>
      <c r="Y252" s="13" t="s">
        <v>10282</v>
      </c>
      <c r="Z252" s="13" t="s">
        <v>10283</v>
      </c>
      <c r="AA252" s="13" t="s">
        <v>5510</v>
      </c>
      <c r="AB252" s="13" t="s">
        <v>10284</v>
      </c>
      <c r="AC252" s="13" t="s">
        <v>10285</v>
      </c>
      <c r="AD252" s="13" t="s">
        <v>10286</v>
      </c>
      <c r="AE252" s="13" t="s">
        <v>10287</v>
      </c>
      <c r="AF252" s="13" t="s">
        <v>5510</v>
      </c>
      <c r="AG252" s="13">
        <v>88.0</v>
      </c>
      <c r="AH252" s="13">
        <v>55.0</v>
      </c>
      <c r="AI252" s="13">
        <v>56.0</v>
      </c>
      <c r="AJ252" s="13">
        <v>2.0</v>
      </c>
      <c r="AK252" s="13">
        <v>87.0</v>
      </c>
      <c r="AL252" s="13" t="s">
        <v>7088</v>
      </c>
      <c r="AM252" s="13" t="s">
        <v>5932</v>
      </c>
      <c r="AN252" s="13" t="s">
        <v>7089</v>
      </c>
      <c r="AO252" s="13" t="s">
        <v>8914</v>
      </c>
      <c r="AP252" s="13" t="s">
        <v>8915</v>
      </c>
      <c r="AQ252" s="13" t="s">
        <v>5510</v>
      </c>
      <c r="AR252" s="13" t="s">
        <v>8916</v>
      </c>
      <c r="AS252" s="13" t="s">
        <v>8917</v>
      </c>
      <c r="AT252" s="13" t="s">
        <v>10288</v>
      </c>
      <c r="AU252" s="13">
        <v>2015.0</v>
      </c>
      <c r="AV252" s="13">
        <v>72.0</v>
      </c>
      <c r="AW252" s="13">
        <v>3.0</v>
      </c>
      <c r="AX252" s="13" t="s">
        <v>5510</v>
      </c>
      <c r="AY252" s="13" t="s">
        <v>5510</v>
      </c>
      <c r="AZ252" s="13" t="s">
        <v>5510</v>
      </c>
      <c r="BA252" s="13" t="s">
        <v>5510</v>
      </c>
      <c r="BB252" s="13">
        <v>1022.0</v>
      </c>
      <c r="BC252" s="13">
        <v>1042.0</v>
      </c>
      <c r="BD252" s="13" t="s">
        <v>5510</v>
      </c>
      <c r="BE252" s="13" t="s">
        <v>10289</v>
      </c>
      <c r="BF252" s="52" t="str">
        <f>HYPERLINK("http://dx.doi.org/10.1093/icesjms/fsu206","http://dx.doi.org/10.1093/icesjms/fsu206")</f>
        <v>http://dx.doi.org/10.1093/icesjms/fsu206</v>
      </c>
      <c r="BG252" s="13" t="s">
        <v>5510</v>
      </c>
      <c r="BH252" s="13" t="s">
        <v>5510</v>
      </c>
      <c r="BI252" s="13">
        <v>21.0</v>
      </c>
      <c r="BJ252" s="13" t="s">
        <v>8920</v>
      </c>
      <c r="BK252" s="13" t="s">
        <v>5561</v>
      </c>
      <c r="BL252" s="13" t="s">
        <v>8920</v>
      </c>
      <c r="BM252" s="13" t="s">
        <v>10290</v>
      </c>
      <c r="BN252" s="13" t="s">
        <v>5510</v>
      </c>
      <c r="BO252" s="13" t="s">
        <v>5809</v>
      </c>
      <c r="BP252" s="13" t="s">
        <v>5510</v>
      </c>
      <c r="BQ252" s="13" t="s">
        <v>5510</v>
      </c>
      <c r="BR252" s="13" t="s">
        <v>5538</v>
      </c>
      <c r="BS252" s="13" t="s">
        <v>10291</v>
      </c>
      <c r="BT252" s="13">
        <v>25676.0</v>
      </c>
      <c r="BU252" s="13" t="s">
        <v>5540</v>
      </c>
      <c r="BV252" s="13" t="s">
        <v>4864</v>
      </c>
      <c r="BW252" s="13" t="str">
        <f>VLOOKUP($BT252,Enriched!$A$2:$E$1070,5,false)</f>
        <v>["Biological resource use"]</v>
      </c>
      <c r="BX252" s="13" t="str">
        <f>VLOOKUP($BT252,Enriched!$A$2:$E$1070,4,false)</f>
        <v>["Fishing &amp; harvesting aquatic resources"]</v>
      </c>
      <c r="BY252" s="13" t="b">
        <f>VLOOKUP(BT252,Enriched!$A$1:$AA$1070,27,falsE)</f>
        <v>0</v>
      </c>
      <c r="BZ252" s="2" t="str">
        <f>VLOOKUP(BT252,Enriched!$A$1:$AA$1070,14,falsE)</f>
        <v>level2</v>
      </c>
      <c r="CA252" s="13" t="str">
        <f>HYPERLINK("https%3A%2F%2Fwww.webofscience.com%2Fwos%2Fwoscc%2Ffull-record%2FWOS:000351837500025","View Full Record in Web of Science")</f>
        <v>View Full Record in Web of Science</v>
      </c>
    </row>
    <row r="253" ht="12.75" customHeight="1">
      <c r="A253" s="13" t="s">
        <v>5508</v>
      </c>
      <c r="B253" s="13" t="s">
        <v>10292</v>
      </c>
      <c r="C253" s="13" t="s">
        <v>5510</v>
      </c>
      <c r="D253" s="13" t="s">
        <v>5510</v>
      </c>
      <c r="E253" s="13" t="s">
        <v>5510</v>
      </c>
      <c r="F253" s="13" t="s">
        <v>10293</v>
      </c>
      <c r="G253" s="13" t="s">
        <v>5510</v>
      </c>
      <c r="H253" s="13" t="s">
        <v>5510</v>
      </c>
      <c r="I253" s="13" t="s">
        <v>2307</v>
      </c>
      <c r="J253" s="13" t="s">
        <v>10294</v>
      </c>
      <c r="K253" s="13" t="s">
        <v>5510</v>
      </c>
      <c r="L253" s="13" t="s">
        <v>5510</v>
      </c>
      <c r="M253" s="13" t="s">
        <v>5513</v>
      </c>
      <c r="N253" s="13" t="s">
        <v>5514</v>
      </c>
      <c r="O253" s="13" t="s">
        <v>5510</v>
      </c>
      <c r="P253" s="13" t="s">
        <v>5510</v>
      </c>
      <c r="Q253" s="13" t="s">
        <v>5510</v>
      </c>
      <c r="R253" s="13" t="s">
        <v>5510</v>
      </c>
      <c r="S253" s="13" t="s">
        <v>5510</v>
      </c>
      <c r="T253" s="13" t="s">
        <v>10295</v>
      </c>
      <c r="U253" s="13" t="s">
        <v>10296</v>
      </c>
      <c r="V253" s="13" t="s">
        <v>10297</v>
      </c>
      <c r="W253" s="13" t="s">
        <v>10298</v>
      </c>
      <c r="X253" s="13" t="s">
        <v>10299</v>
      </c>
      <c r="Y253" s="13" t="s">
        <v>10300</v>
      </c>
      <c r="Z253" s="13" t="s">
        <v>10301</v>
      </c>
      <c r="AA253" s="13" t="s">
        <v>10302</v>
      </c>
      <c r="AB253" s="13" t="s">
        <v>10303</v>
      </c>
      <c r="AC253" s="13" t="s">
        <v>5510</v>
      </c>
      <c r="AD253" s="13" t="s">
        <v>5510</v>
      </c>
      <c r="AE253" s="13" t="s">
        <v>5510</v>
      </c>
      <c r="AF253" s="13" t="s">
        <v>5510</v>
      </c>
      <c r="AG253" s="13">
        <v>59.0</v>
      </c>
      <c r="AH253" s="13">
        <v>2.0</v>
      </c>
      <c r="AI253" s="13">
        <v>2.0</v>
      </c>
      <c r="AJ253" s="13">
        <v>1.0</v>
      </c>
      <c r="AK253" s="13">
        <v>7.0</v>
      </c>
      <c r="AL253" s="13" t="s">
        <v>10304</v>
      </c>
      <c r="AM253" s="13" t="s">
        <v>10305</v>
      </c>
      <c r="AN253" s="13" t="s">
        <v>10306</v>
      </c>
      <c r="AO253" s="13" t="s">
        <v>10307</v>
      </c>
      <c r="AP253" s="13" t="s">
        <v>10308</v>
      </c>
      <c r="AQ253" s="13" t="s">
        <v>5510</v>
      </c>
      <c r="AR253" s="13" t="s">
        <v>10309</v>
      </c>
      <c r="AS253" s="13" t="s">
        <v>10310</v>
      </c>
      <c r="AT253" s="13" t="s">
        <v>5510</v>
      </c>
      <c r="AU253" s="13">
        <v>2020.0</v>
      </c>
      <c r="AV253" s="13">
        <v>10.0</v>
      </c>
      <c r="AW253" s="13">
        <v>1.0</v>
      </c>
      <c r="AX253" s="13" t="s">
        <v>5510</v>
      </c>
      <c r="AY253" s="13" t="s">
        <v>5510</v>
      </c>
      <c r="AZ253" s="13" t="s">
        <v>5510</v>
      </c>
      <c r="BA253" s="13" t="s">
        <v>5510</v>
      </c>
      <c r="BB253" s="13">
        <v>22.0</v>
      </c>
      <c r="BC253" s="13">
        <v>31.0</v>
      </c>
      <c r="BD253" s="13" t="s">
        <v>5510</v>
      </c>
      <c r="BE253" s="13" t="s">
        <v>10311</v>
      </c>
      <c r="BF253" s="52" t="str">
        <f>HYPERLINK("http://dx.doi.org/10.14712/23361964.2020.4","http://dx.doi.org/10.14712/23361964.2020.4")</f>
        <v>http://dx.doi.org/10.14712/23361964.2020.4</v>
      </c>
      <c r="BG253" s="13" t="s">
        <v>5510</v>
      </c>
      <c r="BH253" s="13" t="s">
        <v>5510</v>
      </c>
      <c r="BI253" s="13">
        <v>10.0</v>
      </c>
      <c r="BJ253" s="13" t="s">
        <v>6422</v>
      </c>
      <c r="BK253" s="13" t="s">
        <v>7985</v>
      </c>
      <c r="BL253" s="13" t="s">
        <v>5699</v>
      </c>
      <c r="BM253" s="13" t="s">
        <v>10312</v>
      </c>
      <c r="BN253" s="13" t="s">
        <v>5510</v>
      </c>
      <c r="BO253" s="13" t="s">
        <v>5564</v>
      </c>
      <c r="BP253" s="13" t="s">
        <v>5510</v>
      </c>
      <c r="BQ253" s="13" t="s">
        <v>5510</v>
      </c>
      <c r="BR253" s="13" t="s">
        <v>5538</v>
      </c>
      <c r="BS253" s="13" t="s">
        <v>10313</v>
      </c>
      <c r="BT253" s="13">
        <v>23146.0</v>
      </c>
      <c r="BU253" s="13" t="s">
        <v>5540</v>
      </c>
      <c r="BV253" s="13" t="s">
        <v>4856</v>
      </c>
      <c r="BW253" s="13" t="str">
        <f>VLOOKUP($BT253,Enriched!$A$2:$E$1070,5,false)</f>
        <v>["Residential &amp; Commercial Development", "Pollution"]</v>
      </c>
      <c r="BX253" s="13" t="str">
        <f>VLOOKUP($BT253,Enriched!$A$2:$E$1070,4,false)</f>
        <v>["Commercial &amp; industrial areas", "Industrial &amp; military effluents"]</v>
      </c>
      <c r="BY253" s="13" t="b">
        <f>VLOOKUP(BT253,Enriched!$A$1:$AA$1070,27,falsE)</f>
        <v>0</v>
      </c>
      <c r="BZ253" s="2" t="str">
        <f>VLOOKUP(BT253,Enriched!$A$1:$AA$1070,14,falsE)</f>
        <v>level2</v>
      </c>
      <c r="CA253" s="13" t="str">
        <f>HYPERLINK("https%3A%2F%2Fwww.webofscience.com%2Fwos%2Fwoscc%2Ffull-record%2FWOS:000541916100004","View Full Record in Web of Science")</f>
        <v>View Full Record in Web of Science</v>
      </c>
    </row>
    <row r="254" ht="12.75" customHeight="1">
      <c r="A254" s="13" t="s">
        <v>5508</v>
      </c>
      <c r="B254" s="13" t="s">
        <v>10314</v>
      </c>
      <c r="C254" s="13" t="s">
        <v>5510</v>
      </c>
      <c r="D254" s="13" t="s">
        <v>5510</v>
      </c>
      <c r="E254" s="13" t="s">
        <v>5510</v>
      </c>
      <c r="F254" s="13" t="s">
        <v>10315</v>
      </c>
      <c r="G254" s="13" t="s">
        <v>5510</v>
      </c>
      <c r="H254" s="13" t="s">
        <v>5510</v>
      </c>
      <c r="I254" s="13" t="s">
        <v>2305</v>
      </c>
      <c r="J254" s="13" t="s">
        <v>6836</v>
      </c>
      <c r="K254" s="13" t="s">
        <v>5510</v>
      </c>
      <c r="L254" s="13" t="s">
        <v>5510</v>
      </c>
      <c r="M254" s="13" t="s">
        <v>5513</v>
      </c>
      <c r="N254" s="13" t="s">
        <v>5514</v>
      </c>
      <c r="O254" s="13" t="s">
        <v>5510</v>
      </c>
      <c r="P254" s="13" t="s">
        <v>5510</v>
      </c>
      <c r="Q254" s="13" t="s">
        <v>5510</v>
      </c>
      <c r="R254" s="13" t="s">
        <v>5510</v>
      </c>
      <c r="S254" s="13" t="s">
        <v>5510</v>
      </c>
      <c r="T254" s="13" t="s">
        <v>10316</v>
      </c>
      <c r="U254" s="13" t="s">
        <v>10317</v>
      </c>
      <c r="V254" s="13" t="s">
        <v>10318</v>
      </c>
      <c r="W254" s="13" t="s">
        <v>10319</v>
      </c>
      <c r="X254" s="13" t="s">
        <v>10320</v>
      </c>
      <c r="Y254" s="13" t="s">
        <v>10321</v>
      </c>
      <c r="Z254" s="13" t="s">
        <v>10322</v>
      </c>
      <c r="AA254" s="13" t="s">
        <v>10323</v>
      </c>
      <c r="AB254" s="13" t="s">
        <v>10324</v>
      </c>
      <c r="AC254" s="13" t="s">
        <v>10325</v>
      </c>
      <c r="AD254" s="13" t="s">
        <v>10326</v>
      </c>
      <c r="AE254" s="13" t="s">
        <v>10327</v>
      </c>
      <c r="AF254" s="13" t="s">
        <v>5510</v>
      </c>
      <c r="AG254" s="13">
        <v>57.0</v>
      </c>
      <c r="AH254" s="13">
        <v>26.0</v>
      </c>
      <c r="AI254" s="13">
        <v>30.0</v>
      </c>
      <c r="AJ254" s="13">
        <v>5.0</v>
      </c>
      <c r="AK254" s="13">
        <v>185.0</v>
      </c>
      <c r="AL254" s="13" t="s">
        <v>6849</v>
      </c>
      <c r="AM254" s="13" t="s">
        <v>6850</v>
      </c>
      <c r="AN254" s="13" t="s">
        <v>6851</v>
      </c>
      <c r="AO254" s="13" t="s">
        <v>5510</v>
      </c>
      <c r="AP254" s="13" t="s">
        <v>6852</v>
      </c>
      <c r="AQ254" s="13" t="s">
        <v>5510</v>
      </c>
      <c r="AR254" s="13" t="s">
        <v>6853</v>
      </c>
      <c r="AS254" s="13" t="s">
        <v>1596</v>
      </c>
      <c r="AT254" s="13" t="s">
        <v>2738</v>
      </c>
      <c r="AU254" s="13">
        <v>2020.0</v>
      </c>
      <c r="AV254" s="13">
        <v>12.0</v>
      </c>
      <c r="AW254" s="13">
        <v>3.0</v>
      </c>
      <c r="AX254" s="13" t="s">
        <v>5510</v>
      </c>
      <c r="AY254" s="13" t="s">
        <v>5510</v>
      </c>
      <c r="AZ254" s="13" t="s">
        <v>5510</v>
      </c>
      <c r="BA254" s="13" t="s">
        <v>5510</v>
      </c>
      <c r="BB254" s="13" t="s">
        <v>5510</v>
      </c>
      <c r="BC254" s="13" t="s">
        <v>5510</v>
      </c>
      <c r="BD254" s="13">
        <v>912.0</v>
      </c>
      <c r="BE254" s="13" t="s">
        <v>10328</v>
      </c>
      <c r="BF254" s="52" t="str">
        <f>HYPERLINK("http://dx.doi.org/10.3390/su12030912","http://dx.doi.org/10.3390/su12030912")</f>
        <v>http://dx.doi.org/10.3390/su12030912</v>
      </c>
      <c r="BG254" s="13" t="s">
        <v>5510</v>
      </c>
      <c r="BH254" s="13" t="s">
        <v>5510</v>
      </c>
      <c r="BI254" s="13">
        <v>17.0</v>
      </c>
      <c r="BJ254" s="13" t="s">
        <v>6855</v>
      </c>
      <c r="BK254" s="13" t="s">
        <v>5534</v>
      </c>
      <c r="BL254" s="13" t="s">
        <v>6488</v>
      </c>
      <c r="BM254" s="13" t="s">
        <v>10329</v>
      </c>
      <c r="BN254" s="13" t="s">
        <v>5510</v>
      </c>
      <c r="BO254" s="13" t="s">
        <v>5564</v>
      </c>
      <c r="BP254" s="13" t="s">
        <v>5510</v>
      </c>
      <c r="BQ254" s="13" t="s">
        <v>5510</v>
      </c>
      <c r="BR254" s="13" t="s">
        <v>5538</v>
      </c>
      <c r="BS254" s="13" t="s">
        <v>10330</v>
      </c>
      <c r="BT254" s="13">
        <v>23657.0</v>
      </c>
      <c r="BU254" s="13" t="s">
        <v>5540</v>
      </c>
      <c r="BV254" s="13" t="s">
        <v>4856</v>
      </c>
      <c r="BW254" s="13" t="str">
        <f>VLOOKUP($BT254,Enriched!$A$2:$E$1070,5,false)</f>
        <v>["Residential &amp; Commercial Development", "Agriculture &amp; Aquaculture", "Transportation &amp; Service Corridors", "Pollution"]</v>
      </c>
      <c r="BX254" s="13" t="str">
        <f>VLOOKUP($BT254,Enriched!$A$2:$E$1070,4,false)</f>
        <v>["Housing &amp; urban area", "Commercial &amp; industrial areas", "Tourism &amp; recreation areas", "Annual &amp; perennial non-timber crops", "Livestock farming &amp; ranching", "Roads &amp; railroads", "Excess energy"]</v>
      </c>
      <c r="BY254" s="13" t="b">
        <f>VLOOKUP(BT254,Enriched!$A$1:$AA$1070,27,falsE)</f>
        <v>0</v>
      </c>
      <c r="BZ254" s="2" t="str">
        <f>VLOOKUP(BT254,Enriched!$A$1:$AA$1070,14,falsE)</f>
        <v>cumulative</v>
      </c>
      <c r="CA254" s="13" t="str">
        <f>HYPERLINK("https%3A%2F%2Fwww.webofscience.com%2Fwos%2Fwoscc%2Ffull-record%2FWOS:000519135103015","View Full Record in Web of Science")</f>
        <v>View Full Record in Web of Science</v>
      </c>
    </row>
    <row r="255" ht="12.75" customHeight="1">
      <c r="A255" s="13" t="s">
        <v>5508</v>
      </c>
      <c r="B255" s="13" t="s">
        <v>10331</v>
      </c>
      <c r="C255" s="13" t="s">
        <v>5510</v>
      </c>
      <c r="D255" s="13" t="s">
        <v>5510</v>
      </c>
      <c r="E255" s="13" t="s">
        <v>5510</v>
      </c>
      <c r="F255" s="13" t="s">
        <v>10332</v>
      </c>
      <c r="G255" s="13" t="s">
        <v>5510</v>
      </c>
      <c r="H255" s="13" t="s">
        <v>5510</v>
      </c>
      <c r="I255" s="13" t="s">
        <v>2304</v>
      </c>
      <c r="J255" s="13" t="s">
        <v>5746</v>
      </c>
      <c r="K255" s="13" t="s">
        <v>5510</v>
      </c>
      <c r="L255" s="13" t="s">
        <v>5510</v>
      </c>
      <c r="M255" s="13" t="s">
        <v>5513</v>
      </c>
      <c r="N255" s="13" t="s">
        <v>5514</v>
      </c>
      <c r="O255" s="13" t="s">
        <v>5510</v>
      </c>
      <c r="P255" s="13" t="s">
        <v>5510</v>
      </c>
      <c r="Q255" s="13" t="s">
        <v>5510</v>
      </c>
      <c r="R255" s="13" t="s">
        <v>5510</v>
      </c>
      <c r="S255" s="13" t="s">
        <v>5510</v>
      </c>
      <c r="T255" s="13" t="s">
        <v>10333</v>
      </c>
      <c r="U255" s="13" t="s">
        <v>10334</v>
      </c>
      <c r="V255" s="13" t="s">
        <v>10335</v>
      </c>
      <c r="W255" s="13" t="s">
        <v>10336</v>
      </c>
      <c r="X255" s="13" t="s">
        <v>10337</v>
      </c>
      <c r="Y255" s="13" t="s">
        <v>10338</v>
      </c>
      <c r="Z255" s="13" t="s">
        <v>10339</v>
      </c>
      <c r="AA255" s="13" t="s">
        <v>10340</v>
      </c>
      <c r="AB255" s="13" t="s">
        <v>5510</v>
      </c>
      <c r="AC255" s="13" t="s">
        <v>10341</v>
      </c>
      <c r="AD255" s="13" t="s">
        <v>10342</v>
      </c>
      <c r="AE255" s="13" t="s">
        <v>10343</v>
      </c>
      <c r="AF255" s="13" t="s">
        <v>5510</v>
      </c>
      <c r="AG255" s="13">
        <v>67.0</v>
      </c>
      <c r="AH255" s="13">
        <v>13.0</v>
      </c>
      <c r="AI255" s="13">
        <v>16.0</v>
      </c>
      <c r="AJ255" s="13">
        <v>2.0</v>
      </c>
      <c r="AK255" s="13">
        <v>68.0</v>
      </c>
      <c r="AL255" s="13" t="s">
        <v>5759</v>
      </c>
      <c r="AM255" s="13" t="s">
        <v>5760</v>
      </c>
      <c r="AN255" s="13" t="s">
        <v>5761</v>
      </c>
      <c r="AO255" s="13" t="s">
        <v>5762</v>
      </c>
      <c r="AP255" s="13" t="s">
        <v>5763</v>
      </c>
      <c r="AQ255" s="13" t="s">
        <v>5510</v>
      </c>
      <c r="AR255" s="13" t="s">
        <v>5764</v>
      </c>
      <c r="AS255" s="13" t="s">
        <v>5765</v>
      </c>
      <c r="AT255" s="13" t="s">
        <v>10344</v>
      </c>
      <c r="AU255" s="13">
        <v>2020.0</v>
      </c>
      <c r="AV255" s="13">
        <v>745.0</v>
      </c>
      <c r="AW255" s="13" t="s">
        <v>5510</v>
      </c>
      <c r="AX255" s="13" t="s">
        <v>5510</v>
      </c>
      <c r="AY255" s="13" t="s">
        <v>5510</v>
      </c>
      <c r="AZ255" s="13" t="s">
        <v>5510</v>
      </c>
      <c r="BA255" s="13" t="s">
        <v>5510</v>
      </c>
      <c r="BB255" s="13" t="s">
        <v>5510</v>
      </c>
      <c r="BC255" s="13" t="s">
        <v>5510</v>
      </c>
      <c r="BD255" s="13">
        <v>140941.0</v>
      </c>
      <c r="BE255" s="13" t="s">
        <v>10345</v>
      </c>
      <c r="BF255" s="52" t="str">
        <f>HYPERLINK("http://dx.doi.org/10.1016/j.scitotenv.2020.140941","http://dx.doi.org/10.1016/j.scitotenv.2020.140941")</f>
        <v>http://dx.doi.org/10.1016/j.scitotenv.2020.140941</v>
      </c>
      <c r="BG255" s="13" t="s">
        <v>5510</v>
      </c>
      <c r="BH255" s="13" t="s">
        <v>5510</v>
      </c>
      <c r="BI255" s="13">
        <v>12.0</v>
      </c>
      <c r="BJ255" s="13" t="s">
        <v>5768</v>
      </c>
      <c r="BK255" s="13" t="s">
        <v>5561</v>
      </c>
      <c r="BL255" s="13" t="s">
        <v>5535</v>
      </c>
      <c r="BM255" s="13" t="s">
        <v>10346</v>
      </c>
      <c r="BN255" s="13">
        <v>3.273107E7</v>
      </c>
      <c r="BO255" s="13" t="s">
        <v>5510</v>
      </c>
      <c r="BP255" s="13" t="s">
        <v>5510</v>
      </c>
      <c r="BQ255" s="13" t="s">
        <v>5510</v>
      </c>
      <c r="BR255" s="13" t="s">
        <v>5538</v>
      </c>
      <c r="BS255" s="13" t="s">
        <v>10347</v>
      </c>
      <c r="BT255" s="13">
        <v>26131.0</v>
      </c>
      <c r="BU255" s="13" t="s">
        <v>5540</v>
      </c>
      <c r="BV255" s="13" t="s">
        <v>4856</v>
      </c>
      <c r="BW255" s="13" t="str">
        <f>VLOOKUP($BT255,Enriched!$A$2:$E$1070,5,false)</f>
        <v>["Pollution"]</v>
      </c>
      <c r="BX255" s="13" t="str">
        <f>VLOOKUP($BT255,Enriched!$A$2:$E$1070,4,false)</f>
        <v>["Industrial &amp; military effluents"]</v>
      </c>
      <c r="BY255" s="13" t="b">
        <f>VLOOKUP(BT255,Enriched!$A$1:$AA$1070,27,falsE)</f>
        <v>0</v>
      </c>
      <c r="BZ255" s="2" t="str">
        <f>VLOOKUP(BT255,Enriched!$A$1:$AA$1070,14,falsE)</f>
        <v>level2</v>
      </c>
      <c r="CA255" s="13" t="str">
        <f>HYPERLINK("https%3A%2F%2Fwww.webofscience.com%2Fwos%2Fwoscc%2Ffull-record%2FWOS:000579365600105","View Full Record in Web of Science")</f>
        <v>View Full Record in Web of Science</v>
      </c>
    </row>
    <row r="256" ht="12.75" customHeight="1">
      <c r="A256" s="13" t="s">
        <v>5508</v>
      </c>
      <c r="B256" s="13" t="s">
        <v>10348</v>
      </c>
      <c r="C256" s="13" t="s">
        <v>5510</v>
      </c>
      <c r="D256" s="13" t="s">
        <v>5510</v>
      </c>
      <c r="E256" s="13" t="s">
        <v>5510</v>
      </c>
      <c r="F256" s="13" t="s">
        <v>10349</v>
      </c>
      <c r="G256" s="13" t="s">
        <v>5510</v>
      </c>
      <c r="H256" s="13" t="s">
        <v>5510</v>
      </c>
      <c r="I256" s="13" t="s">
        <v>2301</v>
      </c>
      <c r="J256" s="13" t="s">
        <v>5746</v>
      </c>
      <c r="K256" s="13" t="s">
        <v>5510</v>
      </c>
      <c r="L256" s="13" t="s">
        <v>5510</v>
      </c>
      <c r="M256" s="13" t="s">
        <v>5513</v>
      </c>
      <c r="N256" s="13" t="s">
        <v>5514</v>
      </c>
      <c r="O256" s="13" t="s">
        <v>5510</v>
      </c>
      <c r="P256" s="13" t="s">
        <v>5510</v>
      </c>
      <c r="Q256" s="13" t="s">
        <v>5510</v>
      </c>
      <c r="R256" s="13" t="s">
        <v>5510</v>
      </c>
      <c r="S256" s="13" t="s">
        <v>5510</v>
      </c>
      <c r="T256" s="13" t="s">
        <v>10350</v>
      </c>
      <c r="U256" s="13" t="s">
        <v>10351</v>
      </c>
      <c r="V256" s="13" t="s">
        <v>10352</v>
      </c>
      <c r="W256" s="13" t="s">
        <v>10353</v>
      </c>
      <c r="X256" s="13" t="s">
        <v>10354</v>
      </c>
      <c r="Y256" s="13" t="s">
        <v>10355</v>
      </c>
      <c r="Z256" s="13" t="s">
        <v>10356</v>
      </c>
      <c r="AA256" s="13" t="s">
        <v>10357</v>
      </c>
      <c r="AB256" s="13" t="s">
        <v>10358</v>
      </c>
      <c r="AC256" s="13" t="s">
        <v>10359</v>
      </c>
      <c r="AD256" s="13" t="s">
        <v>10360</v>
      </c>
      <c r="AE256" s="13" t="s">
        <v>10361</v>
      </c>
      <c r="AF256" s="13" t="s">
        <v>5510</v>
      </c>
      <c r="AG256" s="13">
        <v>83.0</v>
      </c>
      <c r="AH256" s="13">
        <v>68.0</v>
      </c>
      <c r="AI256" s="13">
        <v>74.0</v>
      </c>
      <c r="AJ256" s="13">
        <v>1.0</v>
      </c>
      <c r="AK256" s="13">
        <v>177.0</v>
      </c>
      <c r="AL256" s="13" t="s">
        <v>5759</v>
      </c>
      <c r="AM256" s="13" t="s">
        <v>5760</v>
      </c>
      <c r="AN256" s="13" t="s">
        <v>5761</v>
      </c>
      <c r="AO256" s="13" t="s">
        <v>5762</v>
      </c>
      <c r="AP256" s="13" t="s">
        <v>5763</v>
      </c>
      <c r="AQ256" s="13" t="s">
        <v>5510</v>
      </c>
      <c r="AR256" s="13" t="s">
        <v>5764</v>
      </c>
      <c r="AS256" s="13" t="s">
        <v>5765</v>
      </c>
      <c r="AT256" s="13" t="s">
        <v>7186</v>
      </c>
      <c r="AU256" s="13">
        <v>2018.0</v>
      </c>
      <c r="AV256" s="13">
        <v>639.0</v>
      </c>
      <c r="AW256" s="13" t="s">
        <v>5510</v>
      </c>
      <c r="AX256" s="13" t="s">
        <v>5510</v>
      </c>
      <c r="AY256" s="13" t="s">
        <v>5510</v>
      </c>
      <c r="AZ256" s="13" t="s">
        <v>5510</v>
      </c>
      <c r="BA256" s="13" t="s">
        <v>5510</v>
      </c>
      <c r="BB256" s="13">
        <v>1408.0</v>
      </c>
      <c r="BC256" s="13">
        <v>1420.0</v>
      </c>
      <c r="BD256" s="13" t="s">
        <v>5510</v>
      </c>
      <c r="BE256" s="13" t="s">
        <v>10362</v>
      </c>
      <c r="BF256" s="52" t="str">
        <f>HYPERLINK("http://dx.doi.org/10.1016/j.scitotenv.2018.05.224","http://dx.doi.org/10.1016/j.scitotenv.2018.05.224")</f>
        <v>http://dx.doi.org/10.1016/j.scitotenv.2018.05.224</v>
      </c>
      <c r="BG256" s="13" t="s">
        <v>5510</v>
      </c>
      <c r="BH256" s="13" t="s">
        <v>5510</v>
      </c>
      <c r="BI256" s="13">
        <v>13.0</v>
      </c>
      <c r="BJ256" s="13" t="s">
        <v>5768</v>
      </c>
      <c r="BK256" s="13" t="s">
        <v>5561</v>
      </c>
      <c r="BL256" s="13" t="s">
        <v>5535</v>
      </c>
      <c r="BM256" s="13" t="s">
        <v>10363</v>
      </c>
      <c r="BN256" s="13">
        <v>2.9929304E7</v>
      </c>
      <c r="BO256" s="13" t="s">
        <v>5510</v>
      </c>
      <c r="BP256" s="13" t="s">
        <v>5510</v>
      </c>
      <c r="BQ256" s="13" t="s">
        <v>5510</v>
      </c>
      <c r="BR256" s="13" t="s">
        <v>5538</v>
      </c>
      <c r="BS256" s="13" t="s">
        <v>10364</v>
      </c>
      <c r="BT256" s="13">
        <v>24145.0</v>
      </c>
      <c r="BU256" s="13" t="s">
        <v>5540</v>
      </c>
      <c r="BV256" s="13" t="s">
        <v>4856</v>
      </c>
      <c r="BW256" s="13" t="str">
        <f>VLOOKUP($BT256,Enriched!$A$2:$E$1070,5,false)</f>
        <v>["Agriculture &amp; Aquaculture"]</v>
      </c>
      <c r="BX256" s="13" t="str">
        <f>VLOOKUP($BT256,Enriched!$A$2:$E$1070,4,false)</f>
        <v>["Livestock farming &amp; ranching"]</v>
      </c>
      <c r="BY256" s="13" t="b">
        <f>VLOOKUP(BT256,Enriched!$A$1:$AA$1070,27,falsE)</f>
        <v>0</v>
      </c>
      <c r="BZ256" s="2" t="str">
        <f>VLOOKUP(BT256,Enriched!$A$1:$AA$1070,14,falsE)</f>
        <v>level2</v>
      </c>
      <c r="CA256" s="13" t="str">
        <f>HYPERLINK("https%3A%2F%2Fwww.webofscience.com%2Fwos%2Fwoscc%2Ffull-record%2FWOS:000436806200134","View Full Record in Web of Science")</f>
        <v>View Full Record in Web of Science</v>
      </c>
    </row>
    <row r="257" ht="12.75" customHeight="1">
      <c r="A257" s="13" t="s">
        <v>5508</v>
      </c>
      <c r="B257" s="13" t="s">
        <v>10365</v>
      </c>
      <c r="C257" s="13" t="s">
        <v>5510</v>
      </c>
      <c r="D257" s="13" t="s">
        <v>5510</v>
      </c>
      <c r="E257" s="13" t="s">
        <v>5510</v>
      </c>
      <c r="F257" s="13" t="s">
        <v>10366</v>
      </c>
      <c r="G257" s="13" t="s">
        <v>5510</v>
      </c>
      <c r="H257" s="13" t="s">
        <v>5510</v>
      </c>
      <c r="I257" s="13" t="s">
        <v>2297</v>
      </c>
      <c r="J257" s="13" t="s">
        <v>10367</v>
      </c>
      <c r="K257" s="13" t="s">
        <v>5510</v>
      </c>
      <c r="L257" s="13" t="s">
        <v>5510</v>
      </c>
      <c r="M257" s="13" t="s">
        <v>5513</v>
      </c>
      <c r="N257" s="13" t="s">
        <v>10368</v>
      </c>
      <c r="O257" s="13" t="s">
        <v>5510</v>
      </c>
      <c r="P257" s="13" t="s">
        <v>5510</v>
      </c>
      <c r="Q257" s="13" t="s">
        <v>5510</v>
      </c>
      <c r="R257" s="13" t="s">
        <v>5510</v>
      </c>
      <c r="S257" s="13" t="s">
        <v>5510</v>
      </c>
      <c r="T257" s="13" t="s">
        <v>5510</v>
      </c>
      <c r="U257" s="13" t="s">
        <v>10369</v>
      </c>
      <c r="V257" s="13" t="s">
        <v>10370</v>
      </c>
      <c r="W257" s="13" t="s">
        <v>10371</v>
      </c>
      <c r="X257" s="13" t="s">
        <v>10372</v>
      </c>
      <c r="Y257" s="13" t="s">
        <v>10373</v>
      </c>
      <c r="Z257" s="13" t="s">
        <v>10374</v>
      </c>
      <c r="AA257" s="13" t="s">
        <v>10375</v>
      </c>
      <c r="AB257" s="13" t="s">
        <v>5510</v>
      </c>
      <c r="AC257" s="13" t="s">
        <v>5510</v>
      </c>
      <c r="AD257" s="13" t="s">
        <v>5510</v>
      </c>
      <c r="AE257" s="13" t="s">
        <v>5510</v>
      </c>
      <c r="AF257" s="13" t="s">
        <v>5510</v>
      </c>
      <c r="AG257" s="13">
        <v>68.0</v>
      </c>
      <c r="AH257" s="13">
        <v>28.0</v>
      </c>
      <c r="AI257" s="13">
        <v>31.0</v>
      </c>
      <c r="AJ257" s="13">
        <v>0.0</v>
      </c>
      <c r="AK257" s="13">
        <v>23.0</v>
      </c>
      <c r="AL257" s="13" t="s">
        <v>5527</v>
      </c>
      <c r="AM257" s="13" t="s">
        <v>5528</v>
      </c>
      <c r="AN257" s="13" t="s">
        <v>5529</v>
      </c>
      <c r="AO257" s="13" t="s">
        <v>10376</v>
      </c>
      <c r="AP257" s="13" t="s">
        <v>10377</v>
      </c>
      <c r="AQ257" s="13" t="s">
        <v>5510</v>
      </c>
      <c r="AR257" s="13" t="s">
        <v>10378</v>
      </c>
      <c r="AS257" s="13" t="s">
        <v>10379</v>
      </c>
      <c r="AT257" s="13" t="s">
        <v>5510</v>
      </c>
      <c r="AU257" s="13">
        <v>2014.0</v>
      </c>
      <c r="AV257" s="13">
        <v>34.0</v>
      </c>
      <c r="AW257" s="13">
        <v>3.0</v>
      </c>
      <c r="AX257" s="13" t="s">
        <v>5510</v>
      </c>
      <c r="AY257" s="13" t="s">
        <v>5510</v>
      </c>
      <c r="AZ257" s="13" t="s">
        <v>5510</v>
      </c>
      <c r="BA257" s="13" t="s">
        <v>5510</v>
      </c>
      <c r="BB257" s="13">
        <v>642.0</v>
      </c>
      <c r="BC257" s="13">
        <v>652.0</v>
      </c>
      <c r="BD257" s="13" t="s">
        <v>5510</v>
      </c>
      <c r="BE257" s="13" t="s">
        <v>10380</v>
      </c>
      <c r="BF257" s="52" t="str">
        <f>HYPERLINK("http://dx.doi.org/10.1080/02755947.2014.901259","http://dx.doi.org/10.1080/02755947.2014.901259")</f>
        <v>http://dx.doi.org/10.1080/02755947.2014.901259</v>
      </c>
      <c r="BG257" s="13" t="s">
        <v>5510</v>
      </c>
      <c r="BH257" s="13" t="s">
        <v>5510</v>
      </c>
      <c r="BI257" s="13">
        <v>11.0</v>
      </c>
      <c r="BJ257" s="13" t="s">
        <v>7608</v>
      </c>
      <c r="BK257" s="13" t="s">
        <v>5561</v>
      </c>
      <c r="BL257" s="13" t="s">
        <v>7608</v>
      </c>
      <c r="BM257" s="13" t="s">
        <v>10381</v>
      </c>
      <c r="BN257" s="13" t="s">
        <v>5510</v>
      </c>
      <c r="BO257" s="13" t="s">
        <v>5510</v>
      </c>
      <c r="BP257" s="13" t="s">
        <v>5510</v>
      </c>
      <c r="BQ257" s="13" t="s">
        <v>5510</v>
      </c>
      <c r="BR257" s="13" t="s">
        <v>5538</v>
      </c>
      <c r="BS257" s="13" t="s">
        <v>10382</v>
      </c>
      <c r="BT257" s="13">
        <v>23051.0</v>
      </c>
      <c r="BU257" s="13" t="s">
        <v>5540</v>
      </c>
      <c r="BV257" s="13" t="s">
        <v>4852</v>
      </c>
      <c r="BW257" s="13" t="str">
        <f>VLOOKUP($BT257,Enriched!$A$2:$E$1070,5,false)</f>
        <v>["Invasive &amp; Other Problematic Species, Genes &amp; Diseases"]</v>
      </c>
      <c r="BX257" s="13" t="str">
        <f>VLOOKUP($BT257,Enriched!$A$2:$E$1070,4,false)</f>
        <v>["Problematic native species/diseases"]</v>
      </c>
      <c r="BY257" s="13" t="b">
        <f>VLOOKUP(BT257,Enriched!$A$1:$AA$1070,27,falsE)</f>
        <v>0</v>
      </c>
      <c r="BZ257" s="2" t="str">
        <f>VLOOKUP(BT257,Enriched!$A$1:$AA$1070,14,falsE)</f>
        <v>level2</v>
      </c>
      <c r="CA257" s="13" t="str">
        <f>HYPERLINK("https%3A%2F%2Fwww.webofscience.com%2Fwos%2Fwoscc%2Ffull-record%2FWOS:000340113000011","View Full Record in Web of Science")</f>
        <v>View Full Record in Web of Science</v>
      </c>
    </row>
    <row r="258" ht="12.75" customHeight="1">
      <c r="A258" s="13" t="s">
        <v>5508</v>
      </c>
      <c r="B258" s="13" t="s">
        <v>10383</v>
      </c>
      <c r="C258" s="13" t="s">
        <v>5510</v>
      </c>
      <c r="D258" s="13" t="s">
        <v>5510</v>
      </c>
      <c r="E258" s="13" t="s">
        <v>5510</v>
      </c>
      <c r="F258" s="13" t="s">
        <v>10384</v>
      </c>
      <c r="G258" s="13" t="s">
        <v>5510</v>
      </c>
      <c r="H258" s="13" t="s">
        <v>5510</v>
      </c>
      <c r="I258" s="13" t="s">
        <v>10385</v>
      </c>
      <c r="J258" s="13" t="s">
        <v>5543</v>
      </c>
      <c r="K258" s="13" t="s">
        <v>5510</v>
      </c>
      <c r="L258" s="13" t="s">
        <v>5510</v>
      </c>
      <c r="M258" s="13" t="s">
        <v>5513</v>
      </c>
      <c r="N258" s="13" t="s">
        <v>5514</v>
      </c>
      <c r="O258" s="13" t="s">
        <v>5510</v>
      </c>
      <c r="P258" s="13" t="s">
        <v>5510</v>
      </c>
      <c r="Q258" s="13" t="s">
        <v>5510</v>
      </c>
      <c r="R258" s="13" t="s">
        <v>5510</v>
      </c>
      <c r="S258" s="13" t="s">
        <v>5510</v>
      </c>
      <c r="T258" s="13" t="s">
        <v>5510</v>
      </c>
      <c r="U258" s="13" t="s">
        <v>10386</v>
      </c>
      <c r="V258" s="13" t="s">
        <v>10387</v>
      </c>
      <c r="W258" s="13" t="s">
        <v>10388</v>
      </c>
      <c r="X258" s="13" t="s">
        <v>10389</v>
      </c>
      <c r="Y258" s="13" t="s">
        <v>10390</v>
      </c>
      <c r="Z258" s="13" t="s">
        <v>10391</v>
      </c>
      <c r="AA258" s="13" t="s">
        <v>10392</v>
      </c>
      <c r="AB258" s="13" t="s">
        <v>10393</v>
      </c>
      <c r="AC258" s="13" t="s">
        <v>10394</v>
      </c>
      <c r="AD258" s="13" t="s">
        <v>10395</v>
      </c>
      <c r="AE258" s="13" t="s">
        <v>10396</v>
      </c>
      <c r="AF258" s="13" t="s">
        <v>5510</v>
      </c>
      <c r="AG258" s="13">
        <v>30.0</v>
      </c>
      <c r="AH258" s="13">
        <v>111.0</v>
      </c>
      <c r="AI258" s="13">
        <v>130.0</v>
      </c>
      <c r="AJ258" s="13">
        <v>2.0</v>
      </c>
      <c r="AK258" s="13">
        <v>135.0</v>
      </c>
      <c r="AL258" s="13" t="s">
        <v>5552</v>
      </c>
      <c r="AM258" s="13" t="s">
        <v>5553</v>
      </c>
      <c r="AN258" s="13" t="s">
        <v>5554</v>
      </c>
      <c r="AO258" s="13" t="s">
        <v>5555</v>
      </c>
      <c r="AP258" s="13" t="s">
        <v>5510</v>
      </c>
      <c r="AQ258" s="13" t="s">
        <v>5510</v>
      </c>
      <c r="AR258" s="13" t="s">
        <v>5543</v>
      </c>
      <c r="AS258" s="13" t="s">
        <v>5556</v>
      </c>
      <c r="AT258" s="13" t="s">
        <v>10397</v>
      </c>
      <c r="AU258" s="13">
        <v>2011.0</v>
      </c>
      <c r="AV258" s="13">
        <v>6.0</v>
      </c>
      <c r="AW258" s="13">
        <v>11.0</v>
      </c>
      <c r="AX258" s="13" t="s">
        <v>5510</v>
      </c>
      <c r="AY258" s="13" t="s">
        <v>5510</v>
      </c>
      <c r="AZ258" s="13" t="s">
        <v>5510</v>
      </c>
      <c r="BA258" s="13" t="s">
        <v>5510</v>
      </c>
      <c r="BB258" s="13" t="s">
        <v>5510</v>
      </c>
      <c r="BC258" s="13" t="s">
        <v>5510</v>
      </c>
      <c r="BD258" s="13" t="s">
        <v>10398</v>
      </c>
      <c r="BE258" s="13" t="s">
        <v>10399</v>
      </c>
      <c r="BF258" s="52" t="str">
        <f>HYPERLINK("http://dx.doi.org/10.1371/journal.pone.0027491","http://dx.doi.org/10.1371/journal.pone.0027491")</f>
        <v>http://dx.doi.org/10.1371/journal.pone.0027491</v>
      </c>
      <c r="BG258" s="13" t="s">
        <v>5510</v>
      </c>
      <c r="BH258" s="13" t="s">
        <v>5510</v>
      </c>
      <c r="BI258" s="13">
        <v>10.0</v>
      </c>
      <c r="BJ258" s="13" t="s">
        <v>5560</v>
      </c>
      <c r="BK258" s="13" t="s">
        <v>5561</v>
      </c>
      <c r="BL258" s="13" t="s">
        <v>5562</v>
      </c>
      <c r="BM258" s="13" t="s">
        <v>10400</v>
      </c>
      <c r="BN258" s="13">
        <v>2.2096582E7</v>
      </c>
      <c r="BO258" s="13" t="s">
        <v>5564</v>
      </c>
      <c r="BP258" s="13" t="s">
        <v>5510</v>
      </c>
      <c r="BQ258" s="13" t="s">
        <v>5510</v>
      </c>
      <c r="BR258" s="13" t="s">
        <v>5538</v>
      </c>
      <c r="BS258" s="13" t="s">
        <v>10401</v>
      </c>
      <c r="BT258" s="13">
        <v>24769.0</v>
      </c>
      <c r="BU258" s="13" t="s">
        <v>5540</v>
      </c>
      <c r="BV258" s="13" t="s">
        <v>4856</v>
      </c>
      <c r="BW258" s="13" t="str">
        <f>VLOOKUP($BT258,Enriched!$A$2:$E$1070,5,false)</f>
        <v>["Biological resource use"]</v>
      </c>
      <c r="BX258" s="13" t="str">
        <f>VLOOKUP($BT258,Enriched!$A$2:$E$1070,4,false)</f>
        <v>["Hunting &amp; collecting terrestrial animals"]</v>
      </c>
      <c r="BY258" s="13" t="b">
        <f>VLOOKUP(BT258,Enriched!$A$1:$AA$1070,27,falsE)</f>
        <v>0</v>
      </c>
      <c r="BZ258" s="2" t="str">
        <f>VLOOKUP(BT258,Enriched!$A$1:$AA$1070,14,falsE)</f>
        <v>level2</v>
      </c>
      <c r="CA258" s="13" t="str">
        <f>HYPERLINK("https%3A%2F%2Fwww.webofscience.com%2Fwos%2Fwoscc%2Ffull-record%2FWOS:000297553900052","View Full Record in Web of Science")</f>
        <v>View Full Record in Web of Science</v>
      </c>
    </row>
    <row r="259" ht="12.75" customHeight="1">
      <c r="A259" s="13" t="s">
        <v>5508</v>
      </c>
      <c r="B259" s="13" t="s">
        <v>10402</v>
      </c>
      <c r="C259" s="13" t="s">
        <v>5510</v>
      </c>
      <c r="D259" s="13" t="s">
        <v>5510</v>
      </c>
      <c r="E259" s="13" t="s">
        <v>5510</v>
      </c>
      <c r="F259" s="13" t="s">
        <v>10403</v>
      </c>
      <c r="G259" s="13" t="s">
        <v>5510</v>
      </c>
      <c r="H259" s="13" t="s">
        <v>5510</v>
      </c>
      <c r="I259" s="13" t="s">
        <v>2291</v>
      </c>
      <c r="J259" s="13" t="s">
        <v>9546</v>
      </c>
      <c r="K259" s="13" t="s">
        <v>5510</v>
      </c>
      <c r="L259" s="13" t="s">
        <v>5510</v>
      </c>
      <c r="M259" s="13" t="s">
        <v>5513</v>
      </c>
      <c r="N259" s="13" t="s">
        <v>5514</v>
      </c>
      <c r="O259" s="13" t="s">
        <v>5510</v>
      </c>
      <c r="P259" s="13" t="s">
        <v>5510</v>
      </c>
      <c r="Q259" s="13" t="s">
        <v>5510</v>
      </c>
      <c r="R259" s="13" t="s">
        <v>5510</v>
      </c>
      <c r="S259" s="13" t="s">
        <v>5510</v>
      </c>
      <c r="T259" s="13" t="s">
        <v>10404</v>
      </c>
      <c r="U259" s="13" t="s">
        <v>10405</v>
      </c>
      <c r="V259" s="13" t="s">
        <v>10406</v>
      </c>
      <c r="W259" s="13" t="s">
        <v>10407</v>
      </c>
      <c r="X259" s="13" t="s">
        <v>5510</v>
      </c>
      <c r="Y259" s="13" t="s">
        <v>10408</v>
      </c>
      <c r="Z259" s="13" t="s">
        <v>10409</v>
      </c>
      <c r="AA259" s="13" t="s">
        <v>5510</v>
      </c>
      <c r="AB259" s="13" t="s">
        <v>10410</v>
      </c>
      <c r="AC259" s="13" t="s">
        <v>10411</v>
      </c>
      <c r="AD259" s="13" t="s">
        <v>10411</v>
      </c>
      <c r="AE259" s="13" t="s">
        <v>10412</v>
      </c>
      <c r="AF259" s="13" t="s">
        <v>5510</v>
      </c>
      <c r="AG259" s="13">
        <v>138.0</v>
      </c>
      <c r="AH259" s="13">
        <v>22.0</v>
      </c>
      <c r="AI259" s="13">
        <v>28.0</v>
      </c>
      <c r="AJ259" s="13">
        <v>0.0</v>
      </c>
      <c r="AK259" s="13">
        <v>33.0</v>
      </c>
      <c r="AL259" s="13" t="s">
        <v>7450</v>
      </c>
      <c r="AM259" s="13" t="s">
        <v>6046</v>
      </c>
      <c r="AN259" s="13" t="s">
        <v>7451</v>
      </c>
      <c r="AO259" s="13" t="s">
        <v>9559</v>
      </c>
      <c r="AP259" s="13" t="s">
        <v>9560</v>
      </c>
      <c r="AQ259" s="13" t="s">
        <v>5510</v>
      </c>
      <c r="AR259" s="13" t="s">
        <v>9561</v>
      </c>
      <c r="AS259" s="13" t="s">
        <v>9562</v>
      </c>
      <c r="AT259" s="13" t="s">
        <v>6131</v>
      </c>
      <c r="AU259" s="13">
        <v>2020.0</v>
      </c>
      <c r="AV259" s="13">
        <v>255.0</v>
      </c>
      <c r="AW259" s="13" t="s">
        <v>5510</v>
      </c>
      <c r="AX259" s="13" t="s">
        <v>5510</v>
      </c>
      <c r="AY259" s="13" t="s">
        <v>5510</v>
      </c>
      <c r="AZ259" s="13" t="s">
        <v>5510</v>
      </c>
      <c r="BA259" s="13" t="s">
        <v>5510</v>
      </c>
      <c r="BB259" s="13" t="s">
        <v>5510</v>
      </c>
      <c r="BC259" s="13" t="s">
        <v>5510</v>
      </c>
      <c r="BD259" s="13">
        <v>109819.0</v>
      </c>
      <c r="BE259" s="13" t="s">
        <v>10413</v>
      </c>
      <c r="BF259" s="52" t="str">
        <f>HYPERLINK("http://dx.doi.org/10.1016/j.jenvman.2019.109819","http://dx.doi.org/10.1016/j.jenvman.2019.109819")</f>
        <v>http://dx.doi.org/10.1016/j.jenvman.2019.109819</v>
      </c>
      <c r="BG259" s="13" t="s">
        <v>5510</v>
      </c>
      <c r="BH259" s="13" t="s">
        <v>5510</v>
      </c>
      <c r="BI259" s="13">
        <v>15.0</v>
      </c>
      <c r="BJ259" s="13" t="s">
        <v>5768</v>
      </c>
      <c r="BK259" s="13" t="s">
        <v>5561</v>
      </c>
      <c r="BL259" s="13" t="s">
        <v>5535</v>
      </c>
      <c r="BM259" s="13" t="s">
        <v>10414</v>
      </c>
      <c r="BN259" s="13">
        <v>3.1756579E7</v>
      </c>
      <c r="BO259" s="13" t="s">
        <v>6586</v>
      </c>
      <c r="BP259" s="13" t="s">
        <v>5510</v>
      </c>
      <c r="BQ259" s="13" t="s">
        <v>5510</v>
      </c>
      <c r="BR259" s="13" t="s">
        <v>5538</v>
      </c>
      <c r="BS259" s="13" t="s">
        <v>10415</v>
      </c>
      <c r="BT259" s="13">
        <v>25948.0</v>
      </c>
      <c r="BU259" s="13" t="s">
        <v>5540</v>
      </c>
      <c r="BV259" s="13" t="s">
        <v>4856</v>
      </c>
      <c r="BW259" s="13" t="str">
        <f>VLOOKUP($BT259,Enriched!$A$2:$E$1070,5,false)</f>
        <v>["Energy Production &amp; Mining"]</v>
      </c>
      <c r="BX259" s="13" t="str">
        <f>VLOOKUP($BT259,Enriched!$A$2:$E$1070,4,false)</f>
        <v>["Oil &amp; gas drilling"]</v>
      </c>
      <c r="BY259" s="13" t="b">
        <f>VLOOKUP(BT259,Enriched!$A$1:$AA$1070,27,falsE)</f>
        <v>0</v>
      </c>
      <c r="BZ259" s="2" t="str">
        <f>VLOOKUP(BT259,Enriched!$A$1:$AA$1070,14,falsE)</f>
        <v>level2</v>
      </c>
      <c r="CA259" s="13" t="str">
        <f>HYPERLINK("https%3A%2F%2Fwww.webofscience.com%2Fwos%2Fwoscc%2Ffull-record%2FWOS:000518708700010","View Full Record in Web of Science")</f>
        <v>View Full Record in Web of Science</v>
      </c>
    </row>
    <row r="260" ht="12.75" customHeight="1">
      <c r="A260" s="13" t="s">
        <v>5508</v>
      </c>
      <c r="B260" s="13" t="s">
        <v>10416</v>
      </c>
      <c r="C260" s="13" t="s">
        <v>5510</v>
      </c>
      <c r="D260" s="13" t="s">
        <v>5510</v>
      </c>
      <c r="E260" s="13" t="s">
        <v>5510</v>
      </c>
      <c r="F260" s="13" t="s">
        <v>10417</v>
      </c>
      <c r="G260" s="13" t="s">
        <v>5510</v>
      </c>
      <c r="H260" s="13" t="s">
        <v>5510</v>
      </c>
      <c r="I260" s="13" t="s">
        <v>2284</v>
      </c>
      <c r="J260" s="13" t="s">
        <v>6627</v>
      </c>
      <c r="K260" s="13" t="s">
        <v>5510</v>
      </c>
      <c r="L260" s="13" t="s">
        <v>5510</v>
      </c>
      <c r="M260" s="13" t="s">
        <v>5513</v>
      </c>
      <c r="N260" s="13" t="s">
        <v>5514</v>
      </c>
      <c r="O260" s="13" t="s">
        <v>5510</v>
      </c>
      <c r="P260" s="13" t="s">
        <v>5510</v>
      </c>
      <c r="Q260" s="13" t="s">
        <v>5510</v>
      </c>
      <c r="R260" s="13" t="s">
        <v>5510</v>
      </c>
      <c r="S260" s="13" t="s">
        <v>5510</v>
      </c>
      <c r="T260" s="13" t="s">
        <v>10418</v>
      </c>
      <c r="U260" s="13" t="s">
        <v>10419</v>
      </c>
      <c r="V260" s="13" t="s">
        <v>10420</v>
      </c>
      <c r="W260" s="13" t="s">
        <v>10421</v>
      </c>
      <c r="X260" s="13" t="s">
        <v>10422</v>
      </c>
      <c r="Y260" s="13" t="s">
        <v>10423</v>
      </c>
      <c r="Z260" s="13" t="s">
        <v>10424</v>
      </c>
      <c r="AA260" s="13" t="s">
        <v>10425</v>
      </c>
      <c r="AB260" s="13" t="s">
        <v>10426</v>
      </c>
      <c r="AC260" s="13" t="s">
        <v>10427</v>
      </c>
      <c r="AD260" s="13" t="s">
        <v>10428</v>
      </c>
      <c r="AE260" s="13" t="s">
        <v>10429</v>
      </c>
      <c r="AF260" s="13" t="s">
        <v>5510</v>
      </c>
      <c r="AG260" s="13">
        <v>63.0</v>
      </c>
      <c r="AH260" s="13">
        <v>7.0</v>
      </c>
      <c r="AI260" s="13">
        <v>7.0</v>
      </c>
      <c r="AJ260" s="13">
        <v>0.0</v>
      </c>
      <c r="AK260" s="13">
        <v>44.0</v>
      </c>
      <c r="AL260" s="13" t="s">
        <v>5527</v>
      </c>
      <c r="AM260" s="13" t="s">
        <v>5528</v>
      </c>
      <c r="AN260" s="13" t="s">
        <v>5529</v>
      </c>
      <c r="AO260" s="13" t="s">
        <v>6640</v>
      </c>
      <c r="AP260" s="13" t="s">
        <v>6641</v>
      </c>
      <c r="AQ260" s="13" t="s">
        <v>5510</v>
      </c>
      <c r="AR260" s="13" t="s">
        <v>6642</v>
      </c>
      <c r="AS260" s="13" t="s">
        <v>6643</v>
      </c>
      <c r="AT260" s="13" t="s">
        <v>6175</v>
      </c>
      <c r="AU260" s="13">
        <v>2016.0</v>
      </c>
      <c r="AV260" s="13">
        <v>22.0</v>
      </c>
      <c r="AW260" s="13">
        <v>8.0</v>
      </c>
      <c r="AX260" s="13" t="s">
        <v>5510</v>
      </c>
      <c r="AY260" s="13" t="s">
        <v>5510</v>
      </c>
      <c r="AZ260" s="13" t="s">
        <v>5510</v>
      </c>
      <c r="BA260" s="13" t="s">
        <v>5510</v>
      </c>
      <c r="BB260" s="13">
        <v>881.0</v>
      </c>
      <c r="BC260" s="13">
        <v>892.0</v>
      </c>
      <c r="BD260" s="13" t="s">
        <v>5510</v>
      </c>
      <c r="BE260" s="13" t="s">
        <v>10430</v>
      </c>
      <c r="BF260" s="52" t="str">
        <f>HYPERLINK("http://dx.doi.org/10.1111/ddi.12452","http://dx.doi.org/10.1111/ddi.12452")</f>
        <v>http://dx.doi.org/10.1111/ddi.12452</v>
      </c>
      <c r="BG260" s="13" t="s">
        <v>5510</v>
      </c>
      <c r="BH260" s="13" t="s">
        <v>5510</v>
      </c>
      <c r="BI260" s="13">
        <v>12.0</v>
      </c>
      <c r="BJ260" s="13" t="s">
        <v>5958</v>
      </c>
      <c r="BK260" s="13" t="s">
        <v>5561</v>
      </c>
      <c r="BL260" s="13" t="s">
        <v>5699</v>
      </c>
      <c r="BM260" s="13" t="s">
        <v>10431</v>
      </c>
      <c r="BN260" s="13" t="s">
        <v>5510</v>
      </c>
      <c r="BO260" s="13" t="s">
        <v>5510</v>
      </c>
      <c r="BP260" s="13" t="s">
        <v>5510</v>
      </c>
      <c r="BQ260" s="13" t="s">
        <v>5510</v>
      </c>
      <c r="BR260" s="13" t="s">
        <v>5538</v>
      </c>
      <c r="BS260" s="13" t="s">
        <v>10432</v>
      </c>
      <c r="BT260" s="13">
        <v>25182.0</v>
      </c>
      <c r="BU260" s="13" t="s">
        <v>5540</v>
      </c>
      <c r="BV260" s="13" t="s">
        <v>4856</v>
      </c>
      <c r="BW260" s="13" t="str">
        <f>VLOOKUP($BT260,Enriched!$A$2:$E$1070,5,false)</f>
        <v>["Agriculture &amp; Aquaculture"]</v>
      </c>
      <c r="BX260" s="13" t="str">
        <f>VLOOKUP($BT260,Enriched!$A$2:$E$1070,4,false)</f>
        <v>["Livestock farming &amp; ranching", "Annual &amp; perennial non-timber crops", "Housing &amp; urban area"]</v>
      </c>
      <c r="BY260" s="13" t="b">
        <f>VLOOKUP(BT260,Enriched!$A$1:$AA$1070,27,falsE)</f>
        <v>0</v>
      </c>
      <c r="BZ260" s="2" t="str">
        <f>VLOOKUP(BT260,Enriched!$A$1:$AA$1070,14,falsE)</f>
        <v>cumulative</v>
      </c>
      <c r="CA260" s="13" t="str">
        <f>HYPERLINK("https%3A%2F%2Fwww.webofscience.com%2Fwos%2Fwoscc%2Ffull-record%2FWOS:000379615800005","View Full Record in Web of Science")</f>
        <v>View Full Record in Web of Science</v>
      </c>
    </row>
    <row r="261" ht="12.75" customHeight="1">
      <c r="A261" s="13" t="s">
        <v>5508</v>
      </c>
      <c r="B261" s="13" t="s">
        <v>10433</v>
      </c>
      <c r="C261" s="13" t="s">
        <v>5510</v>
      </c>
      <c r="D261" s="13" t="s">
        <v>5510</v>
      </c>
      <c r="E261" s="13" t="s">
        <v>5510</v>
      </c>
      <c r="F261" s="13" t="s">
        <v>10434</v>
      </c>
      <c r="G261" s="13" t="s">
        <v>5510</v>
      </c>
      <c r="H261" s="13" t="s">
        <v>5510</v>
      </c>
      <c r="I261" s="13" t="s">
        <v>2277</v>
      </c>
      <c r="J261" s="13" t="s">
        <v>10435</v>
      </c>
      <c r="K261" s="13" t="s">
        <v>5510</v>
      </c>
      <c r="L261" s="13" t="s">
        <v>5510</v>
      </c>
      <c r="M261" s="13" t="s">
        <v>5513</v>
      </c>
      <c r="N261" s="13" t="s">
        <v>5514</v>
      </c>
      <c r="O261" s="13" t="s">
        <v>5510</v>
      </c>
      <c r="P261" s="13" t="s">
        <v>5510</v>
      </c>
      <c r="Q261" s="13" t="s">
        <v>5510</v>
      </c>
      <c r="R261" s="13" t="s">
        <v>5510</v>
      </c>
      <c r="S261" s="13" t="s">
        <v>5510</v>
      </c>
      <c r="T261" s="13" t="s">
        <v>10436</v>
      </c>
      <c r="U261" s="13" t="s">
        <v>10437</v>
      </c>
      <c r="V261" s="13" t="s">
        <v>10438</v>
      </c>
      <c r="W261" s="13" t="s">
        <v>10439</v>
      </c>
      <c r="X261" s="13" t="s">
        <v>10440</v>
      </c>
      <c r="Y261" s="13" t="s">
        <v>10441</v>
      </c>
      <c r="Z261" s="13" t="s">
        <v>10442</v>
      </c>
      <c r="AA261" s="13" t="s">
        <v>10443</v>
      </c>
      <c r="AB261" s="13" t="s">
        <v>10444</v>
      </c>
      <c r="AC261" s="13" t="s">
        <v>5510</v>
      </c>
      <c r="AD261" s="13" t="s">
        <v>5510</v>
      </c>
      <c r="AE261" s="13" t="s">
        <v>5510</v>
      </c>
      <c r="AF261" s="13" t="s">
        <v>5510</v>
      </c>
      <c r="AG261" s="13">
        <v>90.0</v>
      </c>
      <c r="AH261" s="13">
        <v>19.0</v>
      </c>
      <c r="AI261" s="13">
        <v>20.0</v>
      </c>
      <c r="AJ261" s="13">
        <v>3.0</v>
      </c>
      <c r="AK261" s="13">
        <v>33.0</v>
      </c>
      <c r="AL261" s="13" t="s">
        <v>5527</v>
      </c>
      <c r="AM261" s="13" t="s">
        <v>5528</v>
      </c>
      <c r="AN261" s="13" t="s">
        <v>10445</v>
      </c>
      <c r="AO261" s="13" t="s">
        <v>5510</v>
      </c>
      <c r="AP261" s="13" t="s">
        <v>10446</v>
      </c>
      <c r="AQ261" s="13" t="s">
        <v>5510</v>
      </c>
      <c r="AR261" s="13" t="s">
        <v>10447</v>
      </c>
      <c r="AS261" s="13" t="s">
        <v>10448</v>
      </c>
      <c r="AT261" s="13" t="s">
        <v>5978</v>
      </c>
      <c r="AU261" s="13">
        <v>2017.0</v>
      </c>
      <c r="AV261" s="13">
        <v>3.0</v>
      </c>
      <c r="AW261" s="13">
        <v>4.0</v>
      </c>
      <c r="AX261" s="13" t="s">
        <v>5510</v>
      </c>
      <c r="AY261" s="13" t="s">
        <v>5510</v>
      </c>
      <c r="AZ261" s="13" t="s">
        <v>5510</v>
      </c>
      <c r="BA261" s="13" t="s">
        <v>5510</v>
      </c>
      <c r="BB261" s="13">
        <v>190.0</v>
      </c>
      <c r="BC261" s="13">
        <v>201.0</v>
      </c>
      <c r="BD261" s="13" t="s">
        <v>5510</v>
      </c>
      <c r="BE261" s="13" t="s">
        <v>10449</v>
      </c>
      <c r="BF261" s="52" t="str">
        <f>HYPERLINK("http://dx.doi.org/10.1002/rse2.47","http://dx.doi.org/10.1002/rse2.47")</f>
        <v>http://dx.doi.org/10.1002/rse2.47</v>
      </c>
      <c r="BG261" s="13" t="s">
        <v>5510</v>
      </c>
      <c r="BH261" s="13" t="s">
        <v>5510</v>
      </c>
      <c r="BI261" s="13">
        <v>12.0</v>
      </c>
      <c r="BJ261" s="13" t="s">
        <v>10450</v>
      </c>
      <c r="BK261" s="13" t="s">
        <v>5561</v>
      </c>
      <c r="BL261" s="13" t="s">
        <v>9017</v>
      </c>
      <c r="BM261" s="13" t="s">
        <v>10451</v>
      </c>
      <c r="BN261" s="13" t="s">
        <v>5510</v>
      </c>
      <c r="BO261" s="13" t="s">
        <v>5537</v>
      </c>
      <c r="BP261" s="13" t="s">
        <v>5510</v>
      </c>
      <c r="BQ261" s="13" t="s">
        <v>5510</v>
      </c>
      <c r="BR261" s="13" t="s">
        <v>5538</v>
      </c>
      <c r="BS261" s="13" t="s">
        <v>10452</v>
      </c>
      <c r="BT261" s="13">
        <v>25784.0</v>
      </c>
      <c r="BU261" s="13" t="s">
        <v>5540</v>
      </c>
      <c r="BV261" s="13" t="s">
        <v>4856</v>
      </c>
      <c r="BW261" s="13" t="str">
        <f>VLOOKUP($BT261,Enriched!$A$2:$E$1070,5,false)</f>
        <v>["Agriculture &amp; aquaculture"]</v>
      </c>
      <c r="BX261" s="13" t="str">
        <f>VLOOKUP($BT261,Enriched!$A$2:$E$1070,4,false)</f>
        <v>["Annual &amp; perennial non-timber crops"]</v>
      </c>
      <c r="BY261" s="13" t="b">
        <f>VLOOKUP(BT261,Enriched!$A$1:$AA$1070,27,falsE)</f>
        <v>0</v>
      </c>
      <c r="BZ261" s="2" t="str">
        <f>VLOOKUP(BT261,Enriched!$A$1:$AA$1070,14,falsE)</f>
        <v>level2</v>
      </c>
      <c r="CA261" s="13" t="str">
        <f>HYPERLINK("https%3A%2F%2Fwww.webofscience.com%2Fwos%2Fwoscc%2Ffull-record%2FWOS:000417252400002","View Full Record in Web of Science")</f>
        <v>View Full Record in Web of Science</v>
      </c>
    </row>
    <row r="262" ht="12.75" customHeight="1">
      <c r="A262" s="13" t="s">
        <v>5508</v>
      </c>
      <c r="B262" s="13" t="s">
        <v>10453</v>
      </c>
      <c r="C262" s="13" t="s">
        <v>5510</v>
      </c>
      <c r="D262" s="13" t="s">
        <v>5510</v>
      </c>
      <c r="E262" s="13" t="s">
        <v>5510</v>
      </c>
      <c r="F262" s="13" t="s">
        <v>10454</v>
      </c>
      <c r="G262" s="13" t="s">
        <v>5510</v>
      </c>
      <c r="H262" s="13" t="s">
        <v>5510</v>
      </c>
      <c r="I262" s="13" t="s">
        <v>2274</v>
      </c>
      <c r="J262" s="13" t="s">
        <v>7857</v>
      </c>
      <c r="K262" s="13" t="s">
        <v>5510</v>
      </c>
      <c r="L262" s="13" t="s">
        <v>5510</v>
      </c>
      <c r="M262" s="13" t="s">
        <v>5513</v>
      </c>
      <c r="N262" s="13" t="s">
        <v>5514</v>
      </c>
      <c r="O262" s="13" t="s">
        <v>5510</v>
      </c>
      <c r="P262" s="13" t="s">
        <v>5510</v>
      </c>
      <c r="Q262" s="13" t="s">
        <v>5510</v>
      </c>
      <c r="R262" s="13" t="s">
        <v>5510</v>
      </c>
      <c r="S262" s="13" t="s">
        <v>5510</v>
      </c>
      <c r="T262" s="13" t="s">
        <v>10455</v>
      </c>
      <c r="U262" s="13" t="s">
        <v>10456</v>
      </c>
      <c r="V262" s="13" t="s">
        <v>10457</v>
      </c>
      <c r="W262" s="13" t="s">
        <v>10458</v>
      </c>
      <c r="X262" s="13" t="s">
        <v>10459</v>
      </c>
      <c r="Y262" s="13" t="s">
        <v>10460</v>
      </c>
      <c r="Z262" s="13" t="s">
        <v>10461</v>
      </c>
      <c r="AA262" s="13" t="s">
        <v>10462</v>
      </c>
      <c r="AB262" s="13" t="s">
        <v>10463</v>
      </c>
      <c r="AC262" s="13" t="s">
        <v>10464</v>
      </c>
      <c r="AD262" s="13" t="s">
        <v>10465</v>
      </c>
      <c r="AE262" s="13" t="s">
        <v>10466</v>
      </c>
      <c r="AF262" s="13" t="s">
        <v>5510</v>
      </c>
      <c r="AG262" s="13">
        <v>68.0</v>
      </c>
      <c r="AH262" s="13">
        <v>197.0</v>
      </c>
      <c r="AI262" s="13">
        <v>213.0</v>
      </c>
      <c r="AJ262" s="13">
        <v>1.0</v>
      </c>
      <c r="AK262" s="13">
        <v>162.0</v>
      </c>
      <c r="AL262" s="13" t="s">
        <v>5527</v>
      </c>
      <c r="AM262" s="13" t="s">
        <v>5528</v>
      </c>
      <c r="AN262" s="13" t="s">
        <v>5529</v>
      </c>
      <c r="AO262" s="13" t="s">
        <v>7870</v>
      </c>
      <c r="AP262" s="13" t="s">
        <v>7871</v>
      </c>
      <c r="AQ262" s="13" t="s">
        <v>5510</v>
      </c>
      <c r="AR262" s="13" t="s">
        <v>7872</v>
      </c>
      <c r="AS262" s="13" t="s">
        <v>7873</v>
      </c>
      <c r="AT262" s="13" t="s">
        <v>5978</v>
      </c>
      <c r="AU262" s="13">
        <v>2017.0</v>
      </c>
      <c r="AV262" s="13">
        <v>23.0</v>
      </c>
      <c r="AW262" s="13">
        <v>12.0</v>
      </c>
      <c r="AX262" s="13" t="s">
        <v>5510</v>
      </c>
      <c r="AY262" s="13" t="s">
        <v>5510</v>
      </c>
      <c r="AZ262" s="13" t="s">
        <v>5510</v>
      </c>
      <c r="BA262" s="13" t="s">
        <v>5510</v>
      </c>
      <c r="BB262" s="13">
        <v>5331.0</v>
      </c>
      <c r="BC262" s="13">
        <v>5343.0</v>
      </c>
      <c r="BD262" s="13" t="s">
        <v>5510</v>
      </c>
      <c r="BE262" s="13" t="s">
        <v>10467</v>
      </c>
      <c r="BF262" s="52" t="str">
        <f>HYPERLINK("http://dx.doi.org/10.1111/gcb.13798","http://dx.doi.org/10.1111/gcb.13798")</f>
        <v>http://dx.doi.org/10.1111/gcb.13798</v>
      </c>
      <c r="BG262" s="13" t="s">
        <v>5510</v>
      </c>
      <c r="BH262" s="13" t="s">
        <v>5510</v>
      </c>
      <c r="BI262" s="13">
        <v>13.0</v>
      </c>
      <c r="BJ262" s="13" t="s">
        <v>5698</v>
      </c>
      <c r="BK262" s="13" t="s">
        <v>5561</v>
      </c>
      <c r="BL262" s="13" t="s">
        <v>5699</v>
      </c>
      <c r="BM262" s="13" t="s">
        <v>10468</v>
      </c>
      <c r="BN262" s="13">
        <v>2.8758293E7</v>
      </c>
      <c r="BO262" s="13" t="s">
        <v>5510</v>
      </c>
      <c r="BP262" s="13" t="s">
        <v>5510</v>
      </c>
      <c r="BQ262" s="13" t="s">
        <v>5510</v>
      </c>
      <c r="BR262" s="13" t="s">
        <v>5538</v>
      </c>
      <c r="BS262" s="13" t="s">
        <v>10469</v>
      </c>
      <c r="BT262" s="13">
        <v>23980.0</v>
      </c>
      <c r="BU262" s="13" t="s">
        <v>5540</v>
      </c>
      <c r="BV262" s="13" t="s">
        <v>4880</v>
      </c>
      <c r="BW262" s="13" t="str">
        <f>VLOOKUP($BT262,Enriched!$A$2:$E$1070,5,false)</f>
        <v>["Invasive &amp; other problematic species, genes &amp; diseases"]</v>
      </c>
      <c r="BX262" s="13" t="str">
        <f>VLOOKUP($BT262,Enriched!$A$2:$E$1070,4,false)</f>
        <v>["Invasive non-native/alien species/diseases"]</v>
      </c>
      <c r="BY262" s="13" t="b">
        <f>VLOOKUP(BT262,Enriched!$A$1:$AA$1070,27,falsE)</f>
        <v>0</v>
      </c>
      <c r="BZ262" s="2" t="str">
        <f>VLOOKUP(BT262,Enriched!$A$1:$AA$1070,14,falsE)</f>
        <v>level2</v>
      </c>
      <c r="CA262" s="13" t="str">
        <f>HYPERLINK("https%3A%2F%2Fwww.webofscience.com%2Fwos%2Fwoscc%2Ffull-record%2FWOS:000414969000032","View Full Record in Web of Science")</f>
        <v>View Full Record in Web of Science</v>
      </c>
    </row>
    <row r="263" ht="12.75" customHeight="1">
      <c r="A263" s="13" t="s">
        <v>5508</v>
      </c>
      <c r="B263" s="13" t="s">
        <v>10470</v>
      </c>
      <c r="C263" s="13" t="s">
        <v>5510</v>
      </c>
      <c r="D263" s="13" t="s">
        <v>5510</v>
      </c>
      <c r="E263" s="13" t="s">
        <v>5510</v>
      </c>
      <c r="F263" s="13" t="s">
        <v>10471</v>
      </c>
      <c r="G263" s="13" t="s">
        <v>5510</v>
      </c>
      <c r="H263" s="13" t="s">
        <v>5510</v>
      </c>
      <c r="I263" s="13" t="s">
        <v>2268</v>
      </c>
      <c r="J263" s="13" t="s">
        <v>9546</v>
      </c>
      <c r="K263" s="13" t="s">
        <v>5510</v>
      </c>
      <c r="L263" s="13" t="s">
        <v>5510</v>
      </c>
      <c r="M263" s="13" t="s">
        <v>5513</v>
      </c>
      <c r="N263" s="13" t="s">
        <v>5514</v>
      </c>
      <c r="O263" s="13" t="s">
        <v>5510</v>
      </c>
      <c r="P263" s="13" t="s">
        <v>5510</v>
      </c>
      <c r="Q263" s="13" t="s">
        <v>5510</v>
      </c>
      <c r="R263" s="13" t="s">
        <v>5510</v>
      </c>
      <c r="S263" s="13" t="s">
        <v>5510</v>
      </c>
      <c r="T263" s="13" t="s">
        <v>10472</v>
      </c>
      <c r="U263" s="13" t="s">
        <v>10473</v>
      </c>
      <c r="V263" s="13" t="s">
        <v>10474</v>
      </c>
      <c r="W263" s="13" t="s">
        <v>10475</v>
      </c>
      <c r="X263" s="13" t="s">
        <v>10476</v>
      </c>
      <c r="Y263" s="13" t="s">
        <v>10477</v>
      </c>
      <c r="Z263" s="13" t="s">
        <v>10478</v>
      </c>
      <c r="AA263" s="13" t="s">
        <v>10479</v>
      </c>
      <c r="AB263" s="13" t="s">
        <v>10480</v>
      </c>
      <c r="AC263" s="13" t="s">
        <v>5510</v>
      </c>
      <c r="AD263" s="13" t="s">
        <v>5510</v>
      </c>
      <c r="AE263" s="13" t="s">
        <v>5510</v>
      </c>
      <c r="AF263" s="13" t="s">
        <v>5510</v>
      </c>
      <c r="AG263" s="13">
        <v>82.0</v>
      </c>
      <c r="AH263" s="13">
        <v>61.0</v>
      </c>
      <c r="AI263" s="13">
        <v>70.0</v>
      </c>
      <c r="AJ263" s="13">
        <v>2.0</v>
      </c>
      <c r="AK263" s="13">
        <v>127.0</v>
      </c>
      <c r="AL263" s="13" t="s">
        <v>7450</v>
      </c>
      <c r="AM263" s="13" t="s">
        <v>6046</v>
      </c>
      <c r="AN263" s="13" t="s">
        <v>7451</v>
      </c>
      <c r="AO263" s="13" t="s">
        <v>9559</v>
      </c>
      <c r="AP263" s="13" t="s">
        <v>9560</v>
      </c>
      <c r="AQ263" s="13" t="s">
        <v>5510</v>
      </c>
      <c r="AR263" s="13" t="s">
        <v>9561</v>
      </c>
      <c r="AS263" s="13" t="s">
        <v>9562</v>
      </c>
      <c r="AT263" s="13" t="s">
        <v>10481</v>
      </c>
      <c r="AU263" s="13">
        <v>2017.0</v>
      </c>
      <c r="AV263" s="13">
        <v>188.0</v>
      </c>
      <c r="AW263" s="13" t="s">
        <v>5510</v>
      </c>
      <c r="AX263" s="13" t="s">
        <v>5510</v>
      </c>
      <c r="AY263" s="13" t="s">
        <v>5510</v>
      </c>
      <c r="AZ263" s="13" t="s">
        <v>5510</v>
      </c>
      <c r="BA263" s="13" t="s">
        <v>5510</v>
      </c>
      <c r="BB263" s="13">
        <v>73.0</v>
      </c>
      <c r="BC263" s="13">
        <v>84.0</v>
      </c>
      <c r="BD263" s="13" t="s">
        <v>5510</v>
      </c>
      <c r="BE263" s="13" t="s">
        <v>10482</v>
      </c>
      <c r="BF263" s="52" t="str">
        <f>HYPERLINK("http://dx.doi.org/10.1016/j.jenvman.2016.11.075","http://dx.doi.org/10.1016/j.jenvman.2016.11.075")</f>
        <v>http://dx.doi.org/10.1016/j.jenvman.2016.11.075</v>
      </c>
      <c r="BG263" s="13" t="s">
        <v>5510</v>
      </c>
      <c r="BH263" s="13" t="s">
        <v>5510</v>
      </c>
      <c r="BI263" s="13">
        <v>12.0</v>
      </c>
      <c r="BJ263" s="13" t="s">
        <v>5768</v>
      </c>
      <c r="BK263" s="13" t="s">
        <v>5534</v>
      </c>
      <c r="BL263" s="13" t="s">
        <v>5535</v>
      </c>
      <c r="BM263" s="13" t="s">
        <v>10483</v>
      </c>
      <c r="BN263" s="13">
        <v>2.7930958E7</v>
      </c>
      <c r="BO263" s="13" t="s">
        <v>5510</v>
      </c>
      <c r="BP263" s="13" t="s">
        <v>5510</v>
      </c>
      <c r="BQ263" s="13" t="s">
        <v>5510</v>
      </c>
      <c r="BR263" s="13" t="s">
        <v>5538</v>
      </c>
      <c r="BS263" s="13" t="s">
        <v>10484</v>
      </c>
      <c r="BT263" s="13">
        <v>24857.0</v>
      </c>
      <c r="BU263" s="13" t="s">
        <v>5540</v>
      </c>
      <c r="BV263" s="13" t="s">
        <v>4856</v>
      </c>
      <c r="BW263" s="13" t="str">
        <f>VLOOKUP($BT263,Enriched!$A$2:$E$1070,5,false)</f>
        <v>["Agriculture &amp; Aquaculture"]</v>
      </c>
      <c r="BX263" s="13" t="str">
        <f>VLOOKUP($BT263,Enriched!$A$2:$E$1070,4,false)</f>
        <v>["Annual &amp; perennial non-timber crops", "Livestock farming &amp; ranching"]</v>
      </c>
      <c r="BY263" s="13" t="b">
        <f>VLOOKUP(BT263,Enriched!$A$1:$AA$1070,27,falsE)</f>
        <v>0</v>
      </c>
      <c r="BZ263" s="2" t="str">
        <f>VLOOKUP(BT263,Enriched!$A$1:$AA$1070,14,falsE)</f>
        <v>level2</v>
      </c>
      <c r="CA263" s="13" t="str">
        <f>HYPERLINK("https%3A%2F%2Fwww.webofscience.com%2Fwos%2Fwoscc%2Ffull-record%2FWOS:000393260900010","View Full Record in Web of Science")</f>
        <v>View Full Record in Web of Science</v>
      </c>
    </row>
    <row r="264" ht="12.75" customHeight="1">
      <c r="A264" s="13" t="s">
        <v>5508</v>
      </c>
      <c r="B264" s="13" t="s">
        <v>10485</v>
      </c>
      <c r="C264" s="13" t="s">
        <v>5510</v>
      </c>
      <c r="D264" s="13" t="s">
        <v>5510</v>
      </c>
      <c r="E264" s="13" t="s">
        <v>5510</v>
      </c>
      <c r="F264" s="13" t="s">
        <v>10486</v>
      </c>
      <c r="G264" s="13" t="s">
        <v>5510</v>
      </c>
      <c r="H264" s="13" t="s">
        <v>5510</v>
      </c>
      <c r="I264" s="13" t="s">
        <v>10487</v>
      </c>
      <c r="J264" s="13" t="s">
        <v>6008</v>
      </c>
      <c r="K264" s="13" t="s">
        <v>5510</v>
      </c>
      <c r="L264" s="13" t="s">
        <v>5510</v>
      </c>
      <c r="M264" s="13" t="s">
        <v>5513</v>
      </c>
      <c r="N264" s="13" t="s">
        <v>5514</v>
      </c>
      <c r="O264" s="13" t="s">
        <v>5510</v>
      </c>
      <c r="P264" s="13" t="s">
        <v>5510</v>
      </c>
      <c r="Q264" s="13" t="s">
        <v>5510</v>
      </c>
      <c r="R264" s="13" t="s">
        <v>5510</v>
      </c>
      <c r="S264" s="13" t="s">
        <v>5510</v>
      </c>
      <c r="T264" s="13" t="s">
        <v>10488</v>
      </c>
      <c r="U264" s="13" t="s">
        <v>10489</v>
      </c>
      <c r="V264" s="13" t="s">
        <v>10490</v>
      </c>
      <c r="W264" s="13" t="s">
        <v>10491</v>
      </c>
      <c r="X264" s="13" t="s">
        <v>10492</v>
      </c>
      <c r="Y264" s="13" t="s">
        <v>10493</v>
      </c>
      <c r="Z264" s="13" t="s">
        <v>10494</v>
      </c>
      <c r="AA264" s="13" t="s">
        <v>10495</v>
      </c>
      <c r="AB264" s="13" t="s">
        <v>5510</v>
      </c>
      <c r="AC264" s="13" t="s">
        <v>10496</v>
      </c>
      <c r="AD264" s="13" t="s">
        <v>10497</v>
      </c>
      <c r="AE264" s="13" t="s">
        <v>10498</v>
      </c>
      <c r="AF264" s="13" t="s">
        <v>5510</v>
      </c>
      <c r="AG264" s="13">
        <v>97.0</v>
      </c>
      <c r="AH264" s="13">
        <v>43.0</v>
      </c>
      <c r="AI264" s="13">
        <v>54.0</v>
      </c>
      <c r="AJ264" s="13">
        <v>0.0</v>
      </c>
      <c r="AK264" s="13">
        <v>36.0</v>
      </c>
      <c r="AL264" s="13" t="s">
        <v>5527</v>
      </c>
      <c r="AM264" s="13" t="s">
        <v>5528</v>
      </c>
      <c r="AN264" s="13" t="s">
        <v>5529</v>
      </c>
      <c r="AO264" s="13" t="s">
        <v>6020</v>
      </c>
      <c r="AP264" s="13" t="s">
        <v>6021</v>
      </c>
      <c r="AQ264" s="13" t="s">
        <v>5510</v>
      </c>
      <c r="AR264" s="13" t="s">
        <v>6022</v>
      </c>
      <c r="AS264" s="13" t="s">
        <v>6023</v>
      </c>
      <c r="AT264" s="13" t="s">
        <v>5582</v>
      </c>
      <c r="AU264" s="13">
        <v>2010.0</v>
      </c>
      <c r="AV264" s="13">
        <v>20.0</v>
      </c>
      <c r="AW264" s="13">
        <v>1.0</v>
      </c>
      <c r="AX264" s="13" t="s">
        <v>5510</v>
      </c>
      <c r="AY264" s="13" t="s">
        <v>5510</v>
      </c>
      <c r="AZ264" s="13" t="s">
        <v>5510</v>
      </c>
      <c r="BA264" s="13" t="s">
        <v>5510</v>
      </c>
      <c r="BB264" s="13">
        <v>263.0</v>
      </c>
      <c r="BC264" s="13">
        <v>277.0</v>
      </c>
      <c r="BD264" s="13" t="s">
        <v>5510</v>
      </c>
      <c r="BE264" s="13" t="s">
        <v>10499</v>
      </c>
      <c r="BF264" s="52" t="str">
        <f>HYPERLINK("http://dx.doi.org/10.1890/08-0441.1","http://dx.doi.org/10.1890/08-0441.1")</f>
        <v>http://dx.doi.org/10.1890/08-0441.1</v>
      </c>
      <c r="BG264" s="13" t="s">
        <v>5510</v>
      </c>
      <c r="BH264" s="13" t="s">
        <v>5510</v>
      </c>
      <c r="BI264" s="13">
        <v>15.0</v>
      </c>
      <c r="BJ264" s="13" t="s">
        <v>6026</v>
      </c>
      <c r="BK264" s="13" t="s">
        <v>5561</v>
      </c>
      <c r="BL264" s="13" t="s">
        <v>5535</v>
      </c>
      <c r="BM264" s="13" t="s">
        <v>10500</v>
      </c>
      <c r="BN264" s="13">
        <v>2.0349846E7</v>
      </c>
      <c r="BO264" s="13" t="s">
        <v>5510</v>
      </c>
      <c r="BP264" s="13" t="s">
        <v>5510</v>
      </c>
      <c r="BQ264" s="13" t="s">
        <v>5510</v>
      </c>
      <c r="BR264" s="13" t="s">
        <v>5538</v>
      </c>
      <c r="BS264" s="13" t="s">
        <v>10501</v>
      </c>
      <c r="BT264" s="13">
        <v>23285.0</v>
      </c>
      <c r="BU264" s="13" t="s">
        <v>5540</v>
      </c>
      <c r="BV264" s="13" t="s">
        <v>4852</v>
      </c>
      <c r="BW264" s="13" t="str">
        <f>VLOOKUP($BT264,Enriched!$A$2:$E$1070,5,false)</f>
        <v>["Invasive &amp; other problematic species, genes &amp; diseases"]</v>
      </c>
      <c r="BX264" s="13" t="str">
        <f>VLOOKUP($BT264,Enriched!$A$2:$E$1070,4,false)</f>
        <v>["Invasive non-native/alien species/diseases"]</v>
      </c>
      <c r="BY264" s="13" t="b">
        <f>VLOOKUP(BT264,Enriched!$A$1:$AA$1070,27,falsE)</f>
        <v>0</v>
      </c>
      <c r="BZ264" s="2" t="str">
        <f>VLOOKUP(BT264,Enriched!$A$1:$AA$1070,14,falsE)</f>
        <v>level2</v>
      </c>
      <c r="CA264" s="13" t="str">
        <f>HYPERLINK("https%3A%2F%2Fwww.webofscience.com%2Fwos%2Fwoscc%2Ffull-record%2FWOS:000275358100021","View Full Record in Web of Science")</f>
        <v>View Full Record in Web of Science</v>
      </c>
    </row>
    <row r="265" ht="12.75" customHeight="1">
      <c r="A265" s="13" t="s">
        <v>5508</v>
      </c>
      <c r="B265" s="13" t="s">
        <v>10502</v>
      </c>
      <c r="C265" s="13" t="s">
        <v>5510</v>
      </c>
      <c r="D265" s="13" t="s">
        <v>5510</v>
      </c>
      <c r="E265" s="13" t="s">
        <v>5510</v>
      </c>
      <c r="F265" s="13" t="s">
        <v>10503</v>
      </c>
      <c r="G265" s="13" t="s">
        <v>5510</v>
      </c>
      <c r="H265" s="13" t="s">
        <v>5510</v>
      </c>
      <c r="I265" s="13" t="s">
        <v>2263</v>
      </c>
      <c r="J265" s="13" t="s">
        <v>7857</v>
      </c>
      <c r="K265" s="13" t="s">
        <v>5510</v>
      </c>
      <c r="L265" s="13" t="s">
        <v>5510</v>
      </c>
      <c r="M265" s="13" t="s">
        <v>5513</v>
      </c>
      <c r="N265" s="13" t="s">
        <v>5514</v>
      </c>
      <c r="O265" s="13" t="s">
        <v>5510</v>
      </c>
      <c r="P265" s="13" t="s">
        <v>5510</v>
      </c>
      <c r="Q265" s="13" t="s">
        <v>5510</v>
      </c>
      <c r="R265" s="13" t="s">
        <v>5510</v>
      </c>
      <c r="S265" s="13" t="s">
        <v>5510</v>
      </c>
      <c r="T265" s="13" t="s">
        <v>10504</v>
      </c>
      <c r="U265" s="13" t="s">
        <v>10505</v>
      </c>
      <c r="V265" s="13" t="s">
        <v>10506</v>
      </c>
      <c r="W265" s="13" t="s">
        <v>10507</v>
      </c>
      <c r="X265" s="13" t="s">
        <v>10508</v>
      </c>
      <c r="Y265" s="13" t="s">
        <v>10509</v>
      </c>
      <c r="Z265" s="13" t="s">
        <v>10510</v>
      </c>
      <c r="AA265" s="13" t="s">
        <v>10511</v>
      </c>
      <c r="AB265" s="13" t="s">
        <v>10512</v>
      </c>
      <c r="AC265" s="13" t="s">
        <v>10513</v>
      </c>
      <c r="AD265" s="13" t="s">
        <v>10514</v>
      </c>
      <c r="AE265" s="13" t="s">
        <v>10515</v>
      </c>
      <c r="AF265" s="13" t="s">
        <v>5510</v>
      </c>
      <c r="AG265" s="13">
        <v>66.0</v>
      </c>
      <c r="AH265" s="13">
        <v>88.0</v>
      </c>
      <c r="AI265" s="13">
        <v>93.0</v>
      </c>
      <c r="AJ265" s="13">
        <v>2.0</v>
      </c>
      <c r="AK265" s="13">
        <v>126.0</v>
      </c>
      <c r="AL265" s="13" t="s">
        <v>5527</v>
      </c>
      <c r="AM265" s="13" t="s">
        <v>5528</v>
      </c>
      <c r="AN265" s="13" t="s">
        <v>5529</v>
      </c>
      <c r="AO265" s="13" t="s">
        <v>7870</v>
      </c>
      <c r="AP265" s="13" t="s">
        <v>7871</v>
      </c>
      <c r="AQ265" s="13" t="s">
        <v>5510</v>
      </c>
      <c r="AR265" s="13" t="s">
        <v>7872</v>
      </c>
      <c r="AS265" s="13" t="s">
        <v>7873</v>
      </c>
      <c r="AT265" s="13" t="s">
        <v>6175</v>
      </c>
      <c r="AU265" s="13">
        <v>2019.0</v>
      </c>
      <c r="AV265" s="13">
        <v>25.0</v>
      </c>
      <c r="AW265" s="13">
        <v>8.0</v>
      </c>
      <c r="AX265" s="13" t="s">
        <v>5510</v>
      </c>
      <c r="AY265" s="13" t="s">
        <v>5510</v>
      </c>
      <c r="AZ265" s="13" t="s">
        <v>5510</v>
      </c>
      <c r="BA265" s="13" t="s">
        <v>5510</v>
      </c>
      <c r="BB265" s="13">
        <v>2763.0</v>
      </c>
      <c r="BC265" s="13">
        <v>2778.0</v>
      </c>
      <c r="BD265" s="13" t="s">
        <v>5510</v>
      </c>
      <c r="BE265" s="13" t="s">
        <v>10516</v>
      </c>
      <c r="BF265" s="52" t="str">
        <f>HYPERLINK("http://dx.doi.org/10.1111/gcb.14663","http://dx.doi.org/10.1111/gcb.14663")</f>
        <v>http://dx.doi.org/10.1111/gcb.14663</v>
      </c>
      <c r="BG265" s="13" t="s">
        <v>5510</v>
      </c>
      <c r="BH265" s="13" t="s">
        <v>5510</v>
      </c>
      <c r="BI265" s="13">
        <v>16.0</v>
      </c>
      <c r="BJ265" s="13" t="s">
        <v>5698</v>
      </c>
      <c r="BK265" s="13" t="s">
        <v>5534</v>
      </c>
      <c r="BL265" s="13" t="s">
        <v>5699</v>
      </c>
      <c r="BM265" s="13" t="s">
        <v>10517</v>
      </c>
      <c r="BN265" s="13">
        <v>3.1009149E7</v>
      </c>
      <c r="BO265" s="13" t="s">
        <v>6623</v>
      </c>
      <c r="BP265" s="13" t="s">
        <v>5510</v>
      </c>
      <c r="BQ265" s="13" t="s">
        <v>5510</v>
      </c>
      <c r="BR265" s="13" t="s">
        <v>5538</v>
      </c>
      <c r="BS265" s="13" t="s">
        <v>10518</v>
      </c>
      <c r="BT265" s="13">
        <v>23727.0</v>
      </c>
      <c r="BU265" s="13" t="s">
        <v>5540</v>
      </c>
      <c r="BV265" s="13" t="s">
        <v>4856</v>
      </c>
      <c r="BW265" s="13" t="str">
        <f>VLOOKUP($BT265,Enriched!$A$2:$E$1070,5,false)</f>
        <v>["Residential &amp; commercial development",  "Agriculture &amp; aquaculture",  "Energy production &amp; mining", "Transportation &amp; service corridors"]</v>
      </c>
      <c r="BX265" s="13" t="str">
        <f>VLOOKUP($BT265,Enriched!$A$2:$E$1070,4,false)</f>
        <v/>
      </c>
      <c r="BY265" s="13" t="b">
        <f>VLOOKUP(BT265,Enriched!$A$1:$AA$1070,27,falsE)</f>
        <v>1</v>
      </c>
      <c r="BZ265" s="2" t="str">
        <f>VLOOKUP(BT265,Enriched!$A$1:$AA$1070,14,falsE)</f>
        <v>cumulative</v>
      </c>
      <c r="CA265" s="13" t="str">
        <f>HYPERLINK("https%3A%2F%2Fwww.webofscience.com%2Fwos%2Fwoscc%2Ffull-record%2FWOS:000497502700021","View Full Record in Web of Science")</f>
        <v>View Full Record in Web of Science</v>
      </c>
    </row>
    <row r="266" ht="12.75" customHeight="1">
      <c r="A266" s="13" t="s">
        <v>5508</v>
      </c>
      <c r="B266" s="13" t="s">
        <v>10519</v>
      </c>
      <c r="C266" s="13" t="s">
        <v>5510</v>
      </c>
      <c r="D266" s="13" t="s">
        <v>5510</v>
      </c>
      <c r="E266" s="13" t="s">
        <v>5510</v>
      </c>
      <c r="F266" s="13" t="s">
        <v>10520</v>
      </c>
      <c r="G266" s="13" t="s">
        <v>5510</v>
      </c>
      <c r="H266" s="13" t="s">
        <v>5510</v>
      </c>
      <c r="I266" s="13" t="s">
        <v>2262</v>
      </c>
      <c r="J266" s="13" t="s">
        <v>5543</v>
      </c>
      <c r="K266" s="13" t="s">
        <v>5510</v>
      </c>
      <c r="L266" s="13" t="s">
        <v>5510</v>
      </c>
      <c r="M266" s="13" t="s">
        <v>5513</v>
      </c>
      <c r="N266" s="13" t="s">
        <v>5514</v>
      </c>
      <c r="O266" s="13" t="s">
        <v>5510</v>
      </c>
      <c r="P266" s="13" t="s">
        <v>5510</v>
      </c>
      <c r="Q266" s="13" t="s">
        <v>5510</v>
      </c>
      <c r="R266" s="13" t="s">
        <v>5510</v>
      </c>
      <c r="S266" s="13" t="s">
        <v>5510</v>
      </c>
      <c r="T266" s="13" t="s">
        <v>5510</v>
      </c>
      <c r="U266" s="13" t="s">
        <v>10521</v>
      </c>
      <c r="V266" s="13" t="s">
        <v>10522</v>
      </c>
      <c r="W266" s="13" t="s">
        <v>10523</v>
      </c>
      <c r="X266" s="13" t="s">
        <v>10524</v>
      </c>
      <c r="Y266" s="13" t="s">
        <v>10525</v>
      </c>
      <c r="Z266" s="13" t="s">
        <v>10526</v>
      </c>
      <c r="AA266" s="13" t="s">
        <v>5510</v>
      </c>
      <c r="AB266" s="13" t="s">
        <v>10527</v>
      </c>
      <c r="AC266" s="13" t="s">
        <v>10528</v>
      </c>
      <c r="AD266" s="13" t="s">
        <v>10529</v>
      </c>
      <c r="AE266" s="13" t="s">
        <v>10530</v>
      </c>
      <c r="AF266" s="13" t="s">
        <v>5510</v>
      </c>
      <c r="AG266" s="13">
        <v>136.0</v>
      </c>
      <c r="AH266" s="13">
        <v>21.0</v>
      </c>
      <c r="AI266" s="13">
        <v>23.0</v>
      </c>
      <c r="AJ266" s="13">
        <v>1.0</v>
      </c>
      <c r="AK266" s="13">
        <v>16.0</v>
      </c>
      <c r="AL266" s="13" t="s">
        <v>5552</v>
      </c>
      <c r="AM266" s="13" t="s">
        <v>5553</v>
      </c>
      <c r="AN266" s="13" t="s">
        <v>5554</v>
      </c>
      <c r="AO266" s="13" t="s">
        <v>5555</v>
      </c>
      <c r="AP266" s="13" t="s">
        <v>5510</v>
      </c>
      <c r="AQ266" s="13" t="s">
        <v>5510</v>
      </c>
      <c r="AR266" s="13" t="s">
        <v>5543</v>
      </c>
      <c r="AS266" s="13" t="s">
        <v>5556</v>
      </c>
      <c r="AT266" s="13" t="s">
        <v>8813</v>
      </c>
      <c r="AU266" s="13">
        <v>2017.0</v>
      </c>
      <c r="AV266" s="13">
        <v>12.0</v>
      </c>
      <c r="AW266" s="13">
        <v>10.0</v>
      </c>
      <c r="AX266" s="13" t="s">
        <v>5510</v>
      </c>
      <c r="AY266" s="13" t="s">
        <v>5510</v>
      </c>
      <c r="AZ266" s="13" t="s">
        <v>5510</v>
      </c>
      <c r="BA266" s="13" t="s">
        <v>5510</v>
      </c>
      <c r="BB266" s="13" t="s">
        <v>5510</v>
      </c>
      <c r="BC266" s="13" t="s">
        <v>5510</v>
      </c>
      <c r="BD266" s="13" t="s">
        <v>10531</v>
      </c>
      <c r="BE266" s="13" t="s">
        <v>10532</v>
      </c>
      <c r="BF266" s="52" t="str">
        <f>HYPERLINK("http://dx.doi.org/10.1371/journal.pone.0184486","http://dx.doi.org/10.1371/journal.pone.0184486")</f>
        <v>http://dx.doi.org/10.1371/journal.pone.0184486</v>
      </c>
      <c r="BG266" s="13" t="s">
        <v>5510</v>
      </c>
      <c r="BH266" s="13" t="s">
        <v>5510</v>
      </c>
      <c r="BI266" s="13">
        <v>30.0</v>
      </c>
      <c r="BJ266" s="13" t="s">
        <v>5560</v>
      </c>
      <c r="BK266" s="13" t="s">
        <v>5561</v>
      </c>
      <c r="BL266" s="13" t="s">
        <v>5562</v>
      </c>
      <c r="BM266" s="13" t="s">
        <v>10533</v>
      </c>
      <c r="BN266" s="13">
        <v>2.8981504E7</v>
      </c>
      <c r="BO266" s="13" t="s">
        <v>5564</v>
      </c>
      <c r="BP266" s="13" t="s">
        <v>5510</v>
      </c>
      <c r="BQ266" s="13" t="s">
        <v>5510</v>
      </c>
      <c r="BR266" s="13" t="s">
        <v>5538</v>
      </c>
      <c r="BS266" s="13" t="s">
        <v>10534</v>
      </c>
      <c r="BT266" s="13">
        <v>23932.0</v>
      </c>
      <c r="BU266" s="13" t="s">
        <v>5540</v>
      </c>
      <c r="BV266" s="13" t="s">
        <v>4864</v>
      </c>
      <c r="BW266" s="13" t="str">
        <f>VLOOKUP($BT266,Enriched!$A$2:$E$1070,5,false)</f>
        <v>["Biological resource use"]</v>
      </c>
      <c r="BX266" s="13" t="str">
        <f>VLOOKUP($BT266,Enriched!$A$2:$E$1070,4,false)</f>
        <v>["Fishing &amp; harvesting aquatic resources"]</v>
      </c>
      <c r="BY266" s="13" t="b">
        <f>VLOOKUP(BT266,Enriched!$A$1:$AA$1070,27,falsE)</f>
        <v>0</v>
      </c>
      <c r="BZ266" s="2" t="str">
        <f>VLOOKUP(BT266,Enriched!$A$1:$AA$1070,14,falsE)</f>
        <v>level2</v>
      </c>
      <c r="CA266" s="13" t="str">
        <f>HYPERLINK("https%3A%2F%2Fwww.webofscience.com%2Fwos%2Fwoscc%2Ffull-record%2FWOS:000412360300012","View Full Record in Web of Science")</f>
        <v>View Full Record in Web of Science</v>
      </c>
    </row>
    <row r="267" ht="12.75" customHeight="1">
      <c r="A267" s="13" t="s">
        <v>5508</v>
      </c>
      <c r="B267" s="13" t="s">
        <v>10535</v>
      </c>
      <c r="C267" s="13" t="s">
        <v>5510</v>
      </c>
      <c r="D267" s="13" t="s">
        <v>5510</v>
      </c>
      <c r="E267" s="13" t="s">
        <v>5510</v>
      </c>
      <c r="F267" s="13" t="s">
        <v>10536</v>
      </c>
      <c r="G267" s="13" t="s">
        <v>5510</v>
      </c>
      <c r="H267" s="13" t="s">
        <v>5510</v>
      </c>
      <c r="I267" s="13" t="s">
        <v>2253</v>
      </c>
      <c r="J267" s="13" t="s">
        <v>5512</v>
      </c>
      <c r="K267" s="13" t="s">
        <v>5510</v>
      </c>
      <c r="L267" s="13" t="s">
        <v>5510</v>
      </c>
      <c r="M267" s="13" t="s">
        <v>5513</v>
      </c>
      <c r="N267" s="13" t="s">
        <v>5514</v>
      </c>
      <c r="O267" s="13" t="s">
        <v>5510</v>
      </c>
      <c r="P267" s="13" t="s">
        <v>5510</v>
      </c>
      <c r="Q267" s="13" t="s">
        <v>5510</v>
      </c>
      <c r="R267" s="13" t="s">
        <v>5510</v>
      </c>
      <c r="S267" s="13" t="s">
        <v>5510</v>
      </c>
      <c r="T267" s="13" t="s">
        <v>10537</v>
      </c>
      <c r="U267" s="13" t="s">
        <v>10538</v>
      </c>
      <c r="V267" s="13" t="s">
        <v>10539</v>
      </c>
      <c r="W267" s="13" t="s">
        <v>10540</v>
      </c>
      <c r="X267" s="13" t="s">
        <v>10541</v>
      </c>
      <c r="Y267" s="13" t="s">
        <v>10542</v>
      </c>
      <c r="Z267" s="13" t="s">
        <v>10543</v>
      </c>
      <c r="AA267" s="13" t="s">
        <v>5510</v>
      </c>
      <c r="AB267" s="13" t="s">
        <v>5510</v>
      </c>
      <c r="AC267" s="13" t="s">
        <v>10544</v>
      </c>
      <c r="AD267" s="13" t="s">
        <v>10544</v>
      </c>
      <c r="AE267" s="13" t="s">
        <v>10545</v>
      </c>
      <c r="AF267" s="13" t="s">
        <v>5510</v>
      </c>
      <c r="AG267" s="13">
        <v>101.0</v>
      </c>
      <c r="AH267" s="13">
        <v>28.0</v>
      </c>
      <c r="AI267" s="13">
        <v>43.0</v>
      </c>
      <c r="AJ267" s="13">
        <v>0.0</v>
      </c>
      <c r="AK267" s="13">
        <v>3.0</v>
      </c>
      <c r="AL267" s="13" t="s">
        <v>5527</v>
      </c>
      <c r="AM267" s="13" t="s">
        <v>5528</v>
      </c>
      <c r="AN267" s="13" t="s">
        <v>5529</v>
      </c>
      <c r="AO267" s="13" t="s">
        <v>5530</v>
      </c>
      <c r="AP267" s="13" t="s">
        <v>5510</v>
      </c>
      <c r="AQ267" s="13" t="s">
        <v>5510</v>
      </c>
      <c r="AR267" s="13" t="s">
        <v>5512</v>
      </c>
      <c r="AS267" s="13" t="s">
        <v>53</v>
      </c>
      <c r="AT267" s="13" t="s">
        <v>2738</v>
      </c>
      <c r="AU267" s="13">
        <v>2014.0</v>
      </c>
      <c r="AV267" s="13">
        <v>5.0</v>
      </c>
      <c r="AW267" s="13">
        <v>2.0</v>
      </c>
      <c r="AX267" s="13" t="s">
        <v>5510</v>
      </c>
      <c r="AY267" s="13" t="s">
        <v>5510</v>
      </c>
      <c r="AZ267" s="13" t="s">
        <v>5510</v>
      </c>
      <c r="BA267" s="13" t="s">
        <v>5510</v>
      </c>
      <c r="BB267" s="13" t="s">
        <v>5510</v>
      </c>
      <c r="BC267" s="13" t="s">
        <v>5510</v>
      </c>
      <c r="BD267" s="13">
        <v>15.0</v>
      </c>
      <c r="BE267" s="13" t="s">
        <v>10546</v>
      </c>
      <c r="BF267" s="52" t="str">
        <f>HYPERLINK("http://dx.doi.org/10.1890/ES13-00238","http://dx.doi.org/10.1890/ES13-00238")</f>
        <v>http://dx.doi.org/10.1890/ES13-00238</v>
      </c>
      <c r="BG267" s="13" t="s">
        <v>5510</v>
      </c>
      <c r="BH267" s="13" t="s">
        <v>5510</v>
      </c>
      <c r="BI267" s="13">
        <v>20.0</v>
      </c>
      <c r="BJ267" s="13" t="s">
        <v>5533</v>
      </c>
      <c r="BK267" s="13" t="s">
        <v>5561</v>
      </c>
      <c r="BL267" s="13" t="s">
        <v>5535</v>
      </c>
      <c r="BM267" s="13" t="s">
        <v>10547</v>
      </c>
      <c r="BN267" s="13" t="s">
        <v>5510</v>
      </c>
      <c r="BO267" s="13" t="s">
        <v>5510</v>
      </c>
      <c r="BP267" s="13" t="s">
        <v>5510</v>
      </c>
      <c r="BQ267" s="13" t="s">
        <v>5510</v>
      </c>
      <c r="BR267" s="13" t="s">
        <v>5538</v>
      </c>
      <c r="BS267" s="13" t="s">
        <v>10548</v>
      </c>
      <c r="BT267" s="13">
        <v>25622.0</v>
      </c>
      <c r="BU267" s="13" t="s">
        <v>5540</v>
      </c>
      <c r="BV267" s="13" t="s">
        <v>4856</v>
      </c>
      <c r="BW267" s="13" t="str">
        <f>VLOOKUP($BT267,Enriched!$A$2:$E$1070,5,false)</f>
        <v>["Energy Production &amp; Mining", "Residential &amp; Commercial Development", "Transportation &amp; Service Corridors"]</v>
      </c>
      <c r="BX267" s="13" t="str">
        <f>VLOOKUP($BT267,Enriched!$A$2:$E$1070,4,false)</f>
        <v>["Housing &amp; urban area", "Commercial &amp; industrial areas", "Roads &amp; railroads"]</v>
      </c>
      <c r="BY267" s="13" t="b">
        <f>VLOOKUP(BT267,Enriched!$A$1:$AA$1070,27,falsE)</f>
        <v>1</v>
      </c>
      <c r="BZ267" s="2" t="str">
        <f>VLOOKUP(BT267,Enriched!$A$1:$AA$1070,14,falsE)</f>
        <v>cumulative</v>
      </c>
      <c r="CA267" s="13" t="str">
        <f>HYPERLINK("https%3A%2F%2Fwww.webofscience.com%2Fwos%2Fwoscc%2Ffull-record%2FWOS:000331786300004","View Full Record in Web of Science")</f>
        <v>View Full Record in Web of Science</v>
      </c>
    </row>
    <row r="268" ht="12.75" customHeight="1">
      <c r="A268" s="13" t="s">
        <v>5508</v>
      </c>
      <c r="B268" s="13" t="s">
        <v>10549</v>
      </c>
      <c r="C268" s="13" t="s">
        <v>5510</v>
      </c>
      <c r="D268" s="13" t="s">
        <v>5510</v>
      </c>
      <c r="E268" s="13" t="s">
        <v>5510</v>
      </c>
      <c r="F268" s="13" t="s">
        <v>10550</v>
      </c>
      <c r="G268" s="13" t="s">
        <v>5510</v>
      </c>
      <c r="H268" s="13" t="s">
        <v>5510</v>
      </c>
      <c r="I268" s="13" t="s">
        <v>2251</v>
      </c>
      <c r="J268" s="13" t="s">
        <v>5919</v>
      </c>
      <c r="K268" s="13" t="s">
        <v>5510</v>
      </c>
      <c r="L268" s="13" t="s">
        <v>5510</v>
      </c>
      <c r="M268" s="13" t="s">
        <v>5513</v>
      </c>
      <c r="N268" s="13" t="s">
        <v>5514</v>
      </c>
      <c r="O268" s="13" t="s">
        <v>5510</v>
      </c>
      <c r="P268" s="13" t="s">
        <v>5510</v>
      </c>
      <c r="Q268" s="13" t="s">
        <v>5510</v>
      </c>
      <c r="R268" s="13" t="s">
        <v>5510</v>
      </c>
      <c r="S268" s="13" t="s">
        <v>5510</v>
      </c>
      <c r="T268" s="13" t="s">
        <v>10551</v>
      </c>
      <c r="U268" s="13" t="s">
        <v>10552</v>
      </c>
      <c r="V268" s="13" t="s">
        <v>10553</v>
      </c>
      <c r="W268" s="13" t="s">
        <v>10554</v>
      </c>
      <c r="X268" s="13" t="s">
        <v>10555</v>
      </c>
      <c r="Y268" s="13" t="s">
        <v>10556</v>
      </c>
      <c r="Z268" s="13" t="s">
        <v>7936</v>
      </c>
      <c r="AA268" s="13" t="s">
        <v>10557</v>
      </c>
      <c r="AB268" s="13" t="s">
        <v>10558</v>
      </c>
      <c r="AC268" s="13" t="s">
        <v>10559</v>
      </c>
      <c r="AD268" s="13" t="s">
        <v>10560</v>
      </c>
      <c r="AE268" s="13" t="s">
        <v>10561</v>
      </c>
      <c r="AF268" s="13" t="s">
        <v>5510</v>
      </c>
      <c r="AG268" s="13">
        <v>68.0</v>
      </c>
      <c r="AH268" s="13">
        <v>55.0</v>
      </c>
      <c r="AI268" s="13">
        <v>66.0</v>
      </c>
      <c r="AJ268" s="13">
        <v>2.0</v>
      </c>
      <c r="AK268" s="13">
        <v>89.0</v>
      </c>
      <c r="AL268" s="13" t="s">
        <v>5931</v>
      </c>
      <c r="AM268" s="13" t="s">
        <v>7486</v>
      </c>
      <c r="AN268" s="13" t="s">
        <v>7487</v>
      </c>
      <c r="AO268" s="13" t="s">
        <v>5934</v>
      </c>
      <c r="AP268" s="13" t="s">
        <v>5935</v>
      </c>
      <c r="AQ268" s="13" t="s">
        <v>5510</v>
      </c>
      <c r="AR268" s="13" t="s">
        <v>5936</v>
      </c>
      <c r="AS268" s="13" t="s">
        <v>5937</v>
      </c>
      <c r="AT268" s="13" t="s">
        <v>5582</v>
      </c>
      <c r="AU268" s="13">
        <v>2015.0</v>
      </c>
      <c r="AV268" s="13">
        <v>181.0</v>
      </c>
      <c r="AW268" s="13" t="s">
        <v>5510</v>
      </c>
      <c r="AX268" s="13" t="s">
        <v>5510</v>
      </c>
      <c r="AY268" s="13" t="s">
        <v>5510</v>
      </c>
      <c r="AZ268" s="13" t="s">
        <v>5510</v>
      </c>
      <c r="BA268" s="13" t="s">
        <v>5510</v>
      </c>
      <c r="BB268" s="13">
        <v>173.0</v>
      </c>
      <c r="BC268" s="13">
        <v>181.0</v>
      </c>
      <c r="BD268" s="13" t="s">
        <v>5510</v>
      </c>
      <c r="BE268" s="13" t="s">
        <v>10562</v>
      </c>
      <c r="BF268" s="52" t="str">
        <f>HYPERLINK("http://dx.doi.org/10.1016/j.biocon.2014.11.015","http://dx.doi.org/10.1016/j.biocon.2014.11.015")</f>
        <v>http://dx.doi.org/10.1016/j.biocon.2014.11.015</v>
      </c>
      <c r="BG268" s="13" t="s">
        <v>5510</v>
      </c>
      <c r="BH268" s="13" t="s">
        <v>5510</v>
      </c>
      <c r="BI268" s="13">
        <v>9.0</v>
      </c>
      <c r="BJ268" s="13" t="s">
        <v>5698</v>
      </c>
      <c r="BK268" s="13" t="s">
        <v>5561</v>
      </c>
      <c r="BL268" s="13" t="s">
        <v>5699</v>
      </c>
      <c r="BM268" s="13" t="s">
        <v>10563</v>
      </c>
      <c r="BN268" s="13" t="s">
        <v>5510</v>
      </c>
      <c r="BO268" s="13" t="s">
        <v>5587</v>
      </c>
      <c r="BP268" s="13" t="s">
        <v>5510</v>
      </c>
      <c r="BQ268" s="13" t="s">
        <v>5510</v>
      </c>
      <c r="BR268" s="13" t="s">
        <v>5538</v>
      </c>
      <c r="BS268" s="13" t="s">
        <v>10564</v>
      </c>
      <c r="BT268" s="13">
        <v>25858.0</v>
      </c>
      <c r="BU268" s="13" t="s">
        <v>5540</v>
      </c>
      <c r="BV268" s="13" t="s">
        <v>4856</v>
      </c>
      <c r="BW268" s="13" t="str">
        <f>VLOOKUP($BT268,Enriched!$A$2:$E$1070,5,false)</f>
        <v>["Biological resource use"]</v>
      </c>
      <c r="BX268" s="13" t="str">
        <f>VLOOKUP($BT268,Enriched!$A$2:$E$1070,4,false)</f>
        <v>["Gathering terrestrial plants"]</v>
      </c>
      <c r="BY268" s="13" t="b">
        <f>VLOOKUP(BT268,Enriched!$A$1:$AA$1070,27,falsE)</f>
        <v>0</v>
      </c>
      <c r="BZ268" s="2" t="str">
        <f>VLOOKUP(BT268,Enriched!$A$1:$AA$1070,14,falsE)</f>
        <v>level2</v>
      </c>
      <c r="CA268" s="13" t="str">
        <f>HYPERLINK("https%3A%2F%2Fwww.webofscience.com%2Fwos%2Fwoscc%2Ffull-record%2FWOS:000348747300019","View Full Record in Web of Science")</f>
        <v>View Full Record in Web of Science</v>
      </c>
    </row>
    <row r="269" ht="12.75" customHeight="1">
      <c r="A269" s="13" t="s">
        <v>5508</v>
      </c>
      <c r="B269" s="13" t="s">
        <v>10565</v>
      </c>
      <c r="C269" s="13" t="s">
        <v>5510</v>
      </c>
      <c r="D269" s="13" t="s">
        <v>5510</v>
      </c>
      <c r="E269" s="13" t="s">
        <v>5510</v>
      </c>
      <c r="F269" s="13" t="s">
        <v>10566</v>
      </c>
      <c r="G269" s="13" t="s">
        <v>5510</v>
      </c>
      <c r="H269" s="13" t="s">
        <v>5510</v>
      </c>
      <c r="I269" s="13" t="s">
        <v>10567</v>
      </c>
      <c r="J269" s="13" t="s">
        <v>5543</v>
      </c>
      <c r="K269" s="13" t="s">
        <v>5510</v>
      </c>
      <c r="L269" s="13" t="s">
        <v>5510</v>
      </c>
      <c r="M269" s="13" t="s">
        <v>5513</v>
      </c>
      <c r="N269" s="13" t="s">
        <v>5514</v>
      </c>
      <c r="O269" s="13" t="s">
        <v>5510</v>
      </c>
      <c r="P269" s="13" t="s">
        <v>5510</v>
      </c>
      <c r="Q269" s="13" t="s">
        <v>5510</v>
      </c>
      <c r="R269" s="13" t="s">
        <v>5510</v>
      </c>
      <c r="S269" s="13" t="s">
        <v>5510</v>
      </c>
      <c r="T269" s="13" t="s">
        <v>5510</v>
      </c>
      <c r="U269" s="13" t="s">
        <v>10568</v>
      </c>
      <c r="V269" s="13" t="s">
        <v>10569</v>
      </c>
      <c r="W269" s="13" t="s">
        <v>10570</v>
      </c>
      <c r="X269" s="13" t="s">
        <v>10571</v>
      </c>
      <c r="Y269" s="13" t="s">
        <v>10572</v>
      </c>
      <c r="Z269" s="13" t="s">
        <v>10573</v>
      </c>
      <c r="AA269" s="13" t="s">
        <v>10574</v>
      </c>
      <c r="AB269" s="13" t="s">
        <v>10575</v>
      </c>
      <c r="AC269" s="13" t="s">
        <v>10576</v>
      </c>
      <c r="AD269" s="13" t="s">
        <v>10577</v>
      </c>
      <c r="AE269" s="13" t="s">
        <v>10578</v>
      </c>
      <c r="AF269" s="13" t="s">
        <v>5510</v>
      </c>
      <c r="AG269" s="13">
        <v>148.0</v>
      </c>
      <c r="AH269" s="13">
        <v>98.0</v>
      </c>
      <c r="AI269" s="13">
        <v>110.0</v>
      </c>
      <c r="AJ269" s="13">
        <v>2.0</v>
      </c>
      <c r="AK269" s="13">
        <v>145.0</v>
      </c>
      <c r="AL269" s="13" t="s">
        <v>5552</v>
      </c>
      <c r="AM269" s="13" t="s">
        <v>5553</v>
      </c>
      <c r="AN269" s="13" t="s">
        <v>5554</v>
      </c>
      <c r="AO269" s="13" t="s">
        <v>5555</v>
      </c>
      <c r="AP269" s="13" t="s">
        <v>5510</v>
      </c>
      <c r="AQ269" s="13" t="s">
        <v>5510</v>
      </c>
      <c r="AR269" s="13" t="s">
        <v>5543</v>
      </c>
      <c r="AS269" s="13" t="s">
        <v>5556</v>
      </c>
      <c r="AT269" s="13" t="s">
        <v>10579</v>
      </c>
      <c r="AU269" s="13">
        <v>2014.0</v>
      </c>
      <c r="AV269" s="13">
        <v>9.0</v>
      </c>
      <c r="AW269" s="13">
        <v>11.0</v>
      </c>
      <c r="AX269" s="13" t="s">
        <v>5510</v>
      </c>
      <c r="AY269" s="13" t="s">
        <v>5510</v>
      </c>
      <c r="AZ269" s="13" t="s">
        <v>5510</v>
      </c>
      <c r="BA269" s="13" t="s">
        <v>5510</v>
      </c>
      <c r="BB269" s="13" t="s">
        <v>5510</v>
      </c>
      <c r="BC269" s="13" t="s">
        <v>5510</v>
      </c>
      <c r="BD269" s="13" t="s">
        <v>10580</v>
      </c>
      <c r="BE269" s="13" t="s">
        <v>10581</v>
      </c>
      <c r="BF269" s="52" t="str">
        <f>HYPERLINK("http://dx.doi.org/10.1371/journal.pone.0111207","http://dx.doi.org/10.1371/journal.pone.0111207")</f>
        <v>http://dx.doi.org/10.1371/journal.pone.0111207</v>
      </c>
      <c r="BG269" s="13" t="s">
        <v>5510</v>
      </c>
      <c r="BH269" s="13" t="s">
        <v>5510</v>
      </c>
      <c r="BI269" s="13">
        <v>28.0</v>
      </c>
      <c r="BJ269" s="13" t="s">
        <v>5560</v>
      </c>
      <c r="BK269" s="13" t="s">
        <v>5561</v>
      </c>
      <c r="BL269" s="13" t="s">
        <v>5562</v>
      </c>
      <c r="BM269" s="13" t="s">
        <v>10582</v>
      </c>
      <c r="BN269" s="13">
        <v>2.5393234E7</v>
      </c>
      <c r="BO269" s="13" t="s">
        <v>5564</v>
      </c>
      <c r="BP269" s="13" t="s">
        <v>5510</v>
      </c>
      <c r="BQ269" s="13" t="s">
        <v>5510</v>
      </c>
      <c r="BR269" s="13" t="s">
        <v>5538</v>
      </c>
      <c r="BS269" s="13" t="s">
        <v>10583</v>
      </c>
      <c r="BT269" s="13">
        <v>26102.0</v>
      </c>
      <c r="BU269" s="13" t="s">
        <v>5540</v>
      </c>
      <c r="BV269" s="13" t="s">
        <v>4856</v>
      </c>
      <c r="BW269" s="13" t="str">
        <f>VLOOKUP($BT269,Enriched!$A$2:$E$1070,5,false)</f>
        <v>["Residential &amp; commercial development", "Transportation &amp; service corridors"]</v>
      </c>
      <c r="BX269" s="13" t="str">
        <f>VLOOKUP($BT269,Enriched!$A$2:$E$1070,4,false)</f>
        <v>["Housing &amp; urban area", "Roads &amp; railroads"]</v>
      </c>
      <c r="BY269" s="13" t="b">
        <f>VLOOKUP(BT269,Enriched!$A$1:$AA$1070,27,falsE)</f>
        <v>0</v>
      </c>
      <c r="BZ269" s="2" t="str">
        <f>VLOOKUP(BT269,Enriched!$A$1:$AA$1070,14,falsE)</f>
        <v>level2</v>
      </c>
      <c r="CA269" s="13" t="str">
        <f>HYPERLINK("https%3A%2F%2Fwww.webofscience.com%2Fwos%2Fwoscc%2Ffull-record%2FWOS:000347709300012","View Full Record in Web of Science")</f>
        <v>View Full Record in Web of Science</v>
      </c>
    </row>
    <row r="270" ht="12.75" customHeight="1">
      <c r="A270" s="13" t="s">
        <v>5508</v>
      </c>
      <c r="B270" s="13" t="s">
        <v>10584</v>
      </c>
      <c r="C270" s="13" t="s">
        <v>5510</v>
      </c>
      <c r="D270" s="13" t="s">
        <v>5510</v>
      </c>
      <c r="E270" s="13" t="s">
        <v>5510</v>
      </c>
      <c r="F270" s="13" t="s">
        <v>10585</v>
      </c>
      <c r="G270" s="13" t="s">
        <v>5510</v>
      </c>
      <c r="H270" s="13" t="s">
        <v>5510</v>
      </c>
      <c r="I270" s="13" t="s">
        <v>2248</v>
      </c>
      <c r="J270" s="13" t="s">
        <v>6836</v>
      </c>
      <c r="K270" s="13" t="s">
        <v>5510</v>
      </c>
      <c r="L270" s="13" t="s">
        <v>5510</v>
      </c>
      <c r="M270" s="13" t="s">
        <v>5513</v>
      </c>
      <c r="N270" s="13" t="s">
        <v>5514</v>
      </c>
      <c r="O270" s="13" t="s">
        <v>5510</v>
      </c>
      <c r="P270" s="13" t="s">
        <v>5510</v>
      </c>
      <c r="Q270" s="13" t="s">
        <v>5510</v>
      </c>
      <c r="R270" s="13" t="s">
        <v>5510</v>
      </c>
      <c r="S270" s="13" t="s">
        <v>5510</v>
      </c>
      <c r="T270" s="13" t="s">
        <v>10586</v>
      </c>
      <c r="U270" s="13" t="s">
        <v>10587</v>
      </c>
      <c r="V270" s="13" t="s">
        <v>10588</v>
      </c>
      <c r="W270" s="13" t="s">
        <v>10589</v>
      </c>
      <c r="X270" s="13" t="s">
        <v>10590</v>
      </c>
      <c r="Y270" s="13" t="s">
        <v>10591</v>
      </c>
      <c r="Z270" s="13" t="s">
        <v>10592</v>
      </c>
      <c r="AA270" s="13" t="s">
        <v>10593</v>
      </c>
      <c r="AB270" s="13" t="s">
        <v>10594</v>
      </c>
      <c r="AC270" s="13" t="s">
        <v>10595</v>
      </c>
      <c r="AD270" s="13" t="s">
        <v>10596</v>
      </c>
      <c r="AE270" s="13" t="s">
        <v>10597</v>
      </c>
      <c r="AF270" s="13" t="s">
        <v>5510</v>
      </c>
      <c r="AG270" s="13">
        <v>94.0</v>
      </c>
      <c r="AH270" s="13">
        <v>2.0</v>
      </c>
      <c r="AI270" s="13">
        <v>3.0</v>
      </c>
      <c r="AJ270" s="13">
        <v>3.0</v>
      </c>
      <c r="AK270" s="13">
        <v>24.0</v>
      </c>
      <c r="AL270" s="13" t="s">
        <v>6849</v>
      </c>
      <c r="AM270" s="13" t="s">
        <v>6850</v>
      </c>
      <c r="AN270" s="13" t="s">
        <v>6851</v>
      </c>
      <c r="AO270" s="13" t="s">
        <v>5510</v>
      </c>
      <c r="AP270" s="13" t="s">
        <v>6852</v>
      </c>
      <c r="AQ270" s="13" t="s">
        <v>5510</v>
      </c>
      <c r="AR270" s="13" t="s">
        <v>6853</v>
      </c>
      <c r="AS270" s="13" t="s">
        <v>1596</v>
      </c>
      <c r="AT270" s="13" t="s">
        <v>10481</v>
      </c>
      <c r="AU270" s="13">
        <v>2019.0</v>
      </c>
      <c r="AV270" s="13">
        <v>11.0</v>
      </c>
      <c r="AW270" s="13">
        <v>5.0</v>
      </c>
      <c r="AX270" s="13" t="s">
        <v>5510</v>
      </c>
      <c r="AY270" s="13" t="s">
        <v>5510</v>
      </c>
      <c r="AZ270" s="13" t="s">
        <v>5510</v>
      </c>
      <c r="BA270" s="13" t="s">
        <v>5510</v>
      </c>
      <c r="BB270" s="13" t="s">
        <v>5510</v>
      </c>
      <c r="BC270" s="13" t="s">
        <v>5510</v>
      </c>
      <c r="BD270" s="13">
        <v>1346.0</v>
      </c>
      <c r="BE270" s="13" t="s">
        <v>10598</v>
      </c>
      <c r="BF270" s="52" t="str">
        <f>HYPERLINK("http://dx.doi.org/10.3390/su11051346","http://dx.doi.org/10.3390/su11051346")</f>
        <v>http://dx.doi.org/10.3390/su11051346</v>
      </c>
      <c r="BG270" s="13" t="s">
        <v>5510</v>
      </c>
      <c r="BH270" s="13" t="s">
        <v>5510</v>
      </c>
      <c r="BI270" s="13">
        <v>23.0</v>
      </c>
      <c r="BJ270" s="13" t="s">
        <v>6855</v>
      </c>
      <c r="BK270" s="13" t="s">
        <v>5534</v>
      </c>
      <c r="BL270" s="13" t="s">
        <v>6488</v>
      </c>
      <c r="BM270" s="13" t="s">
        <v>10599</v>
      </c>
      <c r="BN270" s="13" t="s">
        <v>5510</v>
      </c>
      <c r="BO270" s="13" t="s">
        <v>5564</v>
      </c>
      <c r="BP270" s="13" t="s">
        <v>5510</v>
      </c>
      <c r="BQ270" s="13" t="s">
        <v>5510</v>
      </c>
      <c r="BR270" s="13" t="s">
        <v>5538</v>
      </c>
      <c r="BS270" s="13" t="s">
        <v>10600</v>
      </c>
      <c r="BT270" s="13">
        <v>26086.0</v>
      </c>
      <c r="BU270" s="13" t="s">
        <v>5540</v>
      </c>
      <c r="BV270" s="13" t="s">
        <v>4856</v>
      </c>
      <c r="BW270" s="13" t="str">
        <f>VLOOKUP($BT270,Enriched!$A$2:$E$1070,5,false)</f>
        <v>["Transportation &amp; Service Corridors", "Energy Production &amp; Mining"]</v>
      </c>
      <c r="BX270" s="13" t="str">
        <f>VLOOKUP($BT270,Enriched!$A$2:$E$1070,4,false)</f>
        <v>["Housing &amp; urban area", "Roads &amp; railroads", "Mining &amp; quarrying"]</v>
      </c>
      <c r="BY270" s="13" t="b">
        <f>VLOOKUP(BT270,Enriched!$A$1:$AA$1070,27,falsE)</f>
        <v>0</v>
      </c>
      <c r="BZ270" s="2" t="str">
        <f>VLOOKUP(BT270,Enriched!$A$1:$AA$1070,14,falsE)</f>
        <v>level2</v>
      </c>
      <c r="CA270" s="13" t="str">
        <f>HYPERLINK("https%3A%2F%2Fwww.webofscience.com%2Fwos%2Fwoscc%2Ffull-record%2FWOS:000462661000130","View Full Record in Web of Science")</f>
        <v>View Full Record in Web of Science</v>
      </c>
    </row>
    <row r="271" ht="12.75" customHeight="1">
      <c r="A271" s="13" t="s">
        <v>5508</v>
      </c>
      <c r="B271" s="13" t="s">
        <v>10601</v>
      </c>
      <c r="C271" s="13" t="s">
        <v>5510</v>
      </c>
      <c r="D271" s="13" t="s">
        <v>5510</v>
      </c>
      <c r="E271" s="13" t="s">
        <v>5510</v>
      </c>
      <c r="F271" s="13" t="s">
        <v>10602</v>
      </c>
      <c r="G271" s="13" t="s">
        <v>5510</v>
      </c>
      <c r="H271" s="13" t="s">
        <v>5510</v>
      </c>
      <c r="I271" s="13" t="s">
        <v>2245</v>
      </c>
      <c r="J271" s="13" t="s">
        <v>6627</v>
      </c>
      <c r="K271" s="13" t="s">
        <v>5510</v>
      </c>
      <c r="L271" s="13" t="s">
        <v>5510</v>
      </c>
      <c r="M271" s="13" t="s">
        <v>5513</v>
      </c>
      <c r="N271" s="13" t="s">
        <v>5514</v>
      </c>
      <c r="O271" s="13" t="s">
        <v>5510</v>
      </c>
      <c r="P271" s="13" t="s">
        <v>5510</v>
      </c>
      <c r="Q271" s="13" t="s">
        <v>5510</v>
      </c>
      <c r="R271" s="13" t="s">
        <v>5510</v>
      </c>
      <c r="S271" s="13" t="s">
        <v>5510</v>
      </c>
      <c r="T271" s="13" t="s">
        <v>10603</v>
      </c>
      <c r="U271" s="13" t="s">
        <v>10604</v>
      </c>
      <c r="V271" s="13" t="s">
        <v>10605</v>
      </c>
      <c r="W271" s="13" t="s">
        <v>10606</v>
      </c>
      <c r="X271" s="13" t="s">
        <v>10607</v>
      </c>
      <c r="Y271" s="13" t="s">
        <v>10608</v>
      </c>
      <c r="Z271" s="13" t="s">
        <v>10609</v>
      </c>
      <c r="AA271" s="13" t="s">
        <v>10610</v>
      </c>
      <c r="AB271" s="13" t="s">
        <v>10611</v>
      </c>
      <c r="AC271" s="13" t="s">
        <v>10612</v>
      </c>
      <c r="AD271" s="13" t="s">
        <v>10613</v>
      </c>
      <c r="AE271" s="13" t="s">
        <v>10614</v>
      </c>
      <c r="AF271" s="13" t="s">
        <v>5510</v>
      </c>
      <c r="AG271" s="13">
        <v>84.0</v>
      </c>
      <c r="AH271" s="13">
        <v>23.0</v>
      </c>
      <c r="AI271" s="13">
        <v>24.0</v>
      </c>
      <c r="AJ271" s="13">
        <v>0.0</v>
      </c>
      <c r="AK271" s="13">
        <v>19.0</v>
      </c>
      <c r="AL271" s="13" t="s">
        <v>5527</v>
      </c>
      <c r="AM271" s="13" t="s">
        <v>5528</v>
      </c>
      <c r="AN271" s="13" t="s">
        <v>5529</v>
      </c>
      <c r="AO271" s="13" t="s">
        <v>6640</v>
      </c>
      <c r="AP271" s="13" t="s">
        <v>6641</v>
      </c>
      <c r="AQ271" s="13" t="s">
        <v>5510</v>
      </c>
      <c r="AR271" s="13" t="s">
        <v>6642</v>
      </c>
      <c r="AS271" s="13" t="s">
        <v>6643</v>
      </c>
      <c r="AT271" s="13" t="s">
        <v>1925</v>
      </c>
      <c r="AU271" s="13">
        <v>2020.0</v>
      </c>
      <c r="AV271" s="13">
        <v>26.0</v>
      </c>
      <c r="AW271" s="13">
        <v>9.0</v>
      </c>
      <c r="AX271" s="13" t="s">
        <v>5510</v>
      </c>
      <c r="AY271" s="13" t="s">
        <v>5510</v>
      </c>
      <c r="AZ271" s="13" t="s">
        <v>5510</v>
      </c>
      <c r="BA271" s="13" t="s">
        <v>5510</v>
      </c>
      <c r="BB271" s="13">
        <v>1093.0</v>
      </c>
      <c r="BC271" s="13">
        <v>1103.0</v>
      </c>
      <c r="BD271" s="13" t="s">
        <v>5510</v>
      </c>
      <c r="BE271" s="13" t="s">
        <v>10615</v>
      </c>
      <c r="BF271" s="52" t="str">
        <f>HYPERLINK("http://dx.doi.org/10.1111/ddi.13064","http://dx.doi.org/10.1111/ddi.13064")</f>
        <v>http://dx.doi.org/10.1111/ddi.13064</v>
      </c>
      <c r="BG271" s="13" t="s">
        <v>5510</v>
      </c>
      <c r="BH271" s="13" t="s">
        <v>5669</v>
      </c>
      <c r="BI271" s="13">
        <v>11.0</v>
      </c>
      <c r="BJ271" s="13" t="s">
        <v>5958</v>
      </c>
      <c r="BK271" s="13" t="s">
        <v>5561</v>
      </c>
      <c r="BL271" s="13" t="s">
        <v>5699</v>
      </c>
      <c r="BM271" s="13" t="s">
        <v>10616</v>
      </c>
      <c r="BN271" s="13" t="s">
        <v>5510</v>
      </c>
      <c r="BO271" s="13" t="s">
        <v>10617</v>
      </c>
      <c r="BP271" s="13" t="s">
        <v>5510</v>
      </c>
      <c r="BQ271" s="13" t="s">
        <v>5510</v>
      </c>
      <c r="BR271" s="13" t="s">
        <v>5538</v>
      </c>
      <c r="BS271" s="13" t="s">
        <v>10618</v>
      </c>
      <c r="BT271" s="13">
        <v>25438.0</v>
      </c>
      <c r="BU271" s="13" t="s">
        <v>5540</v>
      </c>
      <c r="BV271" s="13" t="s">
        <v>4856</v>
      </c>
      <c r="BW271" s="13" t="str">
        <f>VLOOKUP($BT271,Enriched!$A$2:$E$1070,5,false)</f>
        <v>["Transportation &amp; Service Corridors"]</v>
      </c>
      <c r="BX271" s="13" t="str">
        <f>VLOOKUP($BT271,Enriched!$A$2:$E$1070,4,false)</f>
        <v>["Roads &amp; railroads"]</v>
      </c>
      <c r="BY271" s="13" t="b">
        <f>VLOOKUP(BT271,Enriched!$A$1:$AA$1070,27,falsE)</f>
        <v>0</v>
      </c>
      <c r="BZ271" s="2" t="str">
        <f>VLOOKUP(BT271,Enriched!$A$1:$AA$1070,14,falsE)</f>
        <v>level2</v>
      </c>
      <c r="CA271" s="13" t="str">
        <f>HYPERLINK("https%3A%2F%2Fwww.webofscience.com%2Fwos%2Fwoscc%2Ffull-record%2FWOS:000543217700001","View Full Record in Web of Science")</f>
        <v>View Full Record in Web of Science</v>
      </c>
    </row>
    <row r="272" ht="12.75" customHeight="1">
      <c r="A272" s="13" t="s">
        <v>5508</v>
      </c>
      <c r="B272" s="13" t="s">
        <v>10619</v>
      </c>
      <c r="C272" s="13" t="s">
        <v>5510</v>
      </c>
      <c r="D272" s="13" t="s">
        <v>5510</v>
      </c>
      <c r="E272" s="13" t="s">
        <v>5510</v>
      </c>
      <c r="F272" s="13" t="s">
        <v>10620</v>
      </c>
      <c r="G272" s="13" t="s">
        <v>5510</v>
      </c>
      <c r="H272" s="13" t="s">
        <v>5510</v>
      </c>
      <c r="I272" s="13" t="s">
        <v>2242</v>
      </c>
      <c r="J272" s="13" t="s">
        <v>9455</v>
      </c>
      <c r="K272" s="13" t="s">
        <v>5510</v>
      </c>
      <c r="L272" s="13" t="s">
        <v>5510</v>
      </c>
      <c r="M272" s="13" t="s">
        <v>5513</v>
      </c>
      <c r="N272" s="13" t="s">
        <v>5514</v>
      </c>
      <c r="O272" s="13" t="s">
        <v>5510</v>
      </c>
      <c r="P272" s="13" t="s">
        <v>5510</v>
      </c>
      <c r="Q272" s="13" t="s">
        <v>5510</v>
      </c>
      <c r="R272" s="13" t="s">
        <v>5510</v>
      </c>
      <c r="S272" s="13" t="s">
        <v>5510</v>
      </c>
      <c r="T272" s="13" t="s">
        <v>10621</v>
      </c>
      <c r="U272" s="13" t="s">
        <v>10622</v>
      </c>
      <c r="V272" s="13" t="s">
        <v>10623</v>
      </c>
      <c r="W272" s="13" t="s">
        <v>10624</v>
      </c>
      <c r="X272" s="13" t="s">
        <v>10625</v>
      </c>
      <c r="Y272" s="13" t="s">
        <v>10626</v>
      </c>
      <c r="Z272" s="13" t="s">
        <v>10627</v>
      </c>
      <c r="AA272" s="13" t="s">
        <v>5510</v>
      </c>
      <c r="AB272" s="13" t="s">
        <v>5510</v>
      </c>
      <c r="AC272" s="13" t="s">
        <v>5510</v>
      </c>
      <c r="AD272" s="13" t="s">
        <v>5510</v>
      </c>
      <c r="AE272" s="13" t="s">
        <v>5510</v>
      </c>
      <c r="AF272" s="13" t="s">
        <v>5510</v>
      </c>
      <c r="AG272" s="13">
        <v>65.0</v>
      </c>
      <c r="AH272" s="13">
        <v>30.0</v>
      </c>
      <c r="AI272" s="13">
        <v>37.0</v>
      </c>
      <c r="AJ272" s="13">
        <v>2.0</v>
      </c>
      <c r="AK272" s="13">
        <v>95.0</v>
      </c>
      <c r="AL272" s="13" t="s">
        <v>5759</v>
      </c>
      <c r="AM272" s="13" t="s">
        <v>5760</v>
      </c>
      <c r="AN272" s="13" t="s">
        <v>5761</v>
      </c>
      <c r="AO272" s="13" t="s">
        <v>9464</v>
      </c>
      <c r="AP272" s="13" t="s">
        <v>9465</v>
      </c>
      <c r="AQ272" s="13" t="s">
        <v>5510</v>
      </c>
      <c r="AR272" s="13" t="s">
        <v>9466</v>
      </c>
      <c r="AS272" s="13" t="s">
        <v>9467</v>
      </c>
      <c r="AT272" s="13" t="s">
        <v>10628</v>
      </c>
      <c r="AU272" s="13">
        <v>2010.0</v>
      </c>
      <c r="AV272" s="13">
        <v>96.0</v>
      </c>
      <c r="AW272" s="13">
        <v>1.0</v>
      </c>
      <c r="AX272" s="13" t="s">
        <v>5510</v>
      </c>
      <c r="AY272" s="13" t="s">
        <v>5510</v>
      </c>
      <c r="AZ272" s="13" t="s">
        <v>5510</v>
      </c>
      <c r="BA272" s="13" t="s">
        <v>5510</v>
      </c>
      <c r="BB272" s="13">
        <v>48.0</v>
      </c>
      <c r="BC272" s="13">
        <v>56.0</v>
      </c>
      <c r="BD272" s="13" t="s">
        <v>5510</v>
      </c>
      <c r="BE272" s="13" t="s">
        <v>10629</v>
      </c>
      <c r="BF272" s="52" t="str">
        <f>HYPERLINK("http://dx.doi.org/10.1016/j.landurbplan.2010.02.002","http://dx.doi.org/10.1016/j.landurbplan.2010.02.002")</f>
        <v>http://dx.doi.org/10.1016/j.landurbplan.2010.02.002</v>
      </c>
      <c r="BG272" s="13" t="s">
        <v>5510</v>
      </c>
      <c r="BH272" s="13" t="s">
        <v>5510</v>
      </c>
      <c r="BI272" s="13">
        <v>9.0</v>
      </c>
      <c r="BJ272" s="13" t="s">
        <v>9469</v>
      </c>
      <c r="BK272" s="13" t="s">
        <v>5534</v>
      </c>
      <c r="BL272" s="13" t="s">
        <v>9470</v>
      </c>
      <c r="BM272" s="13" t="s">
        <v>10630</v>
      </c>
      <c r="BN272" s="13" t="s">
        <v>5510</v>
      </c>
      <c r="BO272" s="13" t="s">
        <v>5510</v>
      </c>
      <c r="BP272" s="13" t="s">
        <v>5510</v>
      </c>
      <c r="BQ272" s="13" t="s">
        <v>5510</v>
      </c>
      <c r="BR272" s="13" t="s">
        <v>5538</v>
      </c>
      <c r="BS272" s="13" t="s">
        <v>10631</v>
      </c>
      <c r="BT272" s="13">
        <v>25411.0</v>
      </c>
      <c r="BU272" s="13" t="s">
        <v>5540</v>
      </c>
      <c r="BV272" s="13" t="s">
        <v>4856</v>
      </c>
      <c r="BW272" s="13" t="str">
        <f>VLOOKUP($BT272,Enriched!$A$2:$E$1070,5,false)</f>
        <v>["Agriculture &amp; Aquaculture", "Transportation &amp; Service Corridors", "Natural System Modifications"]</v>
      </c>
      <c r="BX272" s="13" t="str">
        <f>VLOOKUP($BT272,Enriched!$A$2:$E$1070,4,false)</f>
        <v>["Housing &amp; urban area", "Roads &amp; railroads", "Fire &amp; fire suppression"]</v>
      </c>
      <c r="BY272" s="13" t="b">
        <f>VLOOKUP(BT272,Enriched!$A$1:$AA$1070,27,falsE)</f>
        <v>1</v>
      </c>
      <c r="BZ272" s="2" t="str">
        <f>VLOOKUP(BT272,Enriched!$A$1:$AA$1070,14,falsE)</f>
        <v>cumulative</v>
      </c>
      <c r="CA272" s="13" t="str">
        <f>HYPERLINK("https%3A%2F%2Fwww.webofscience.com%2Fwos%2Fwoscc%2Ffull-record%2FWOS:000277808700005","View Full Record in Web of Science")</f>
        <v>View Full Record in Web of Science</v>
      </c>
    </row>
    <row r="273" ht="12.75" customHeight="1">
      <c r="A273" s="13" t="s">
        <v>5508</v>
      </c>
      <c r="B273" s="13" t="s">
        <v>10632</v>
      </c>
      <c r="C273" s="13" t="s">
        <v>5510</v>
      </c>
      <c r="D273" s="13" t="s">
        <v>5510</v>
      </c>
      <c r="E273" s="13" t="s">
        <v>5510</v>
      </c>
      <c r="F273" s="13" t="s">
        <v>10633</v>
      </c>
      <c r="G273" s="13" t="s">
        <v>5510</v>
      </c>
      <c r="H273" s="13" t="s">
        <v>5510</v>
      </c>
      <c r="I273" s="13" t="s">
        <v>2239</v>
      </c>
      <c r="J273" s="13" t="s">
        <v>5919</v>
      </c>
      <c r="K273" s="13" t="s">
        <v>5510</v>
      </c>
      <c r="L273" s="13" t="s">
        <v>5510</v>
      </c>
      <c r="M273" s="13" t="s">
        <v>5513</v>
      </c>
      <c r="N273" s="13" t="s">
        <v>5514</v>
      </c>
      <c r="O273" s="13" t="s">
        <v>5510</v>
      </c>
      <c r="P273" s="13" t="s">
        <v>5510</v>
      </c>
      <c r="Q273" s="13" t="s">
        <v>5510</v>
      </c>
      <c r="R273" s="13" t="s">
        <v>5510</v>
      </c>
      <c r="S273" s="13" t="s">
        <v>5510</v>
      </c>
      <c r="T273" s="13" t="s">
        <v>10634</v>
      </c>
      <c r="U273" s="13" t="s">
        <v>10635</v>
      </c>
      <c r="V273" s="13" t="s">
        <v>10636</v>
      </c>
      <c r="W273" s="13" t="s">
        <v>10637</v>
      </c>
      <c r="X273" s="13" t="s">
        <v>10638</v>
      </c>
      <c r="Y273" s="13" t="s">
        <v>10639</v>
      </c>
      <c r="Z273" s="13" t="s">
        <v>10640</v>
      </c>
      <c r="AA273" s="13" t="s">
        <v>5510</v>
      </c>
      <c r="AB273" s="13" t="s">
        <v>5510</v>
      </c>
      <c r="AC273" s="13" t="s">
        <v>5510</v>
      </c>
      <c r="AD273" s="13" t="s">
        <v>5510</v>
      </c>
      <c r="AE273" s="13" t="s">
        <v>5510</v>
      </c>
      <c r="AF273" s="13" t="s">
        <v>5510</v>
      </c>
      <c r="AG273" s="13">
        <v>71.0</v>
      </c>
      <c r="AH273" s="13">
        <v>138.0</v>
      </c>
      <c r="AI273" s="13">
        <v>166.0</v>
      </c>
      <c r="AJ273" s="13">
        <v>2.0</v>
      </c>
      <c r="AK273" s="13">
        <v>94.0</v>
      </c>
      <c r="AL273" s="13" t="s">
        <v>5931</v>
      </c>
      <c r="AM273" s="13" t="s">
        <v>5932</v>
      </c>
      <c r="AN273" s="13" t="s">
        <v>5933</v>
      </c>
      <c r="AO273" s="13" t="s">
        <v>5934</v>
      </c>
      <c r="AP273" s="13" t="s">
        <v>5935</v>
      </c>
      <c r="AQ273" s="13" t="s">
        <v>5510</v>
      </c>
      <c r="AR273" s="13" t="s">
        <v>5936</v>
      </c>
      <c r="AS273" s="13" t="s">
        <v>5937</v>
      </c>
      <c r="AT273" s="13" t="s">
        <v>1925</v>
      </c>
      <c r="AU273" s="13">
        <v>2015.0</v>
      </c>
      <c r="AV273" s="13">
        <v>189.0</v>
      </c>
      <c r="AW273" s="13" t="s">
        <v>5510</v>
      </c>
      <c r="AX273" s="13" t="s">
        <v>5510</v>
      </c>
      <c r="AY273" s="13" t="s">
        <v>5510</v>
      </c>
      <c r="AZ273" s="13" t="s">
        <v>5646</v>
      </c>
      <c r="BA273" s="13" t="s">
        <v>5510</v>
      </c>
      <c r="BB273" s="13">
        <v>39.0</v>
      </c>
      <c r="BC273" s="13">
        <v>48.0</v>
      </c>
      <c r="BD273" s="13" t="s">
        <v>5510</v>
      </c>
      <c r="BE273" s="13" t="s">
        <v>10641</v>
      </c>
      <c r="BF273" s="52" t="str">
        <f>HYPERLINK("http://dx.doi.org/10.1016/j.biocon.2014.09.005","http://dx.doi.org/10.1016/j.biocon.2014.09.005")</f>
        <v>http://dx.doi.org/10.1016/j.biocon.2014.09.005</v>
      </c>
      <c r="BG273" s="13" t="s">
        <v>5510</v>
      </c>
      <c r="BH273" s="13" t="s">
        <v>5510</v>
      </c>
      <c r="BI273" s="13">
        <v>10.0</v>
      </c>
      <c r="BJ273" s="13" t="s">
        <v>5698</v>
      </c>
      <c r="BK273" s="13" t="s">
        <v>5534</v>
      </c>
      <c r="BL273" s="13" t="s">
        <v>5699</v>
      </c>
      <c r="BM273" s="13" t="s">
        <v>10642</v>
      </c>
      <c r="BN273" s="13" t="s">
        <v>5510</v>
      </c>
      <c r="BO273" s="13" t="s">
        <v>5510</v>
      </c>
      <c r="BP273" s="13" t="s">
        <v>5510</v>
      </c>
      <c r="BQ273" s="13" t="s">
        <v>5510</v>
      </c>
      <c r="BR273" s="13" t="s">
        <v>5538</v>
      </c>
      <c r="BS273" s="13" t="s">
        <v>10643</v>
      </c>
      <c r="BT273" s="13">
        <v>25137.0</v>
      </c>
      <c r="BU273" s="13" t="s">
        <v>5540</v>
      </c>
      <c r="BV273" s="13" t="s">
        <v>4864</v>
      </c>
      <c r="BW273" s="13" t="str">
        <f>VLOOKUP($BT273,Enriched!$A$2:$E$1070,5,false)</f>
        <v>["Biological resource use"]</v>
      </c>
      <c r="BX273" s="13" t="str">
        <f>VLOOKUP($BT273,Enriched!$A$2:$E$1070,4,false)</f>
        <v>["Fishing &amp; harvesting aquatic resources"]</v>
      </c>
      <c r="BY273" s="13" t="b">
        <f>VLOOKUP(BT273,Enriched!$A$1:$AA$1070,27,falsE)</f>
        <v>0</v>
      </c>
      <c r="BZ273" s="2" t="str">
        <f>VLOOKUP(BT273,Enriched!$A$1:$AA$1070,14,falsE)</f>
        <v>level2</v>
      </c>
      <c r="CA273" s="13" t="str">
        <f>HYPERLINK("https%3A%2F%2Fwww.webofscience.com%2Fwos%2Fwoscc%2Ffull-record%2FWOS:000358972100006","View Full Record in Web of Science")</f>
        <v>View Full Record in Web of Science</v>
      </c>
    </row>
    <row r="274" ht="12.75" customHeight="1">
      <c r="A274" s="13" t="s">
        <v>5508</v>
      </c>
      <c r="B274" s="13" t="s">
        <v>10644</v>
      </c>
      <c r="C274" s="13" t="s">
        <v>5510</v>
      </c>
      <c r="D274" s="13" t="s">
        <v>5510</v>
      </c>
      <c r="E274" s="13" t="s">
        <v>5510</v>
      </c>
      <c r="F274" s="13" t="s">
        <v>10645</v>
      </c>
      <c r="G274" s="13" t="s">
        <v>5510</v>
      </c>
      <c r="H274" s="13" t="s">
        <v>5510</v>
      </c>
      <c r="I274" s="13" t="s">
        <v>2235</v>
      </c>
      <c r="J274" s="13" t="s">
        <v>10646</v>
      </c>
      <c r="K274" s="13" t="s">
        <v>5510</v>
      </c>
      <c r="L274" s="13" t="s">
        <v>5510</v>
      </c>
      <c r="M274" s="13" t="s">
        <v>5513</v>
      </c>
      <c r="N274" s="13" t="s">
        <v>5514</v>
      </c>
      <c r="O274" s="13" t="s">
        <v>5510</v>
      </c>
      <c r="P274" s="13" t="s">
        <v>5510</v>
      </c>
      <c r="Q274" s="13" t="s">
        <v>5510</v>
      </c>
      <c r="R274" s="13" t="s">
        <v>5510</v>
      </c>
      <c r="S274" s="13" t="s">
        <v>5510</v>
      </c>
      <c r="T274" s="13" t="s">
        <v>10647</v>
      </c>
      <c r="U274" s="13" t="s">
        <v>10648</v>
      </c>
      <c r="V274" s="13" t="s">
        <v>10649</v>
      </c>
      <c r="W274" s="13" t="s">
        <v>10650</v>
      </c>
      <c r="X274" s="13" t="s">
        <v>10651</v>
      </c>
      <c r="Y274" s="13" t="s">
        <v>10652</v>
      </c>
      <c r="Z274" s="13" t="s">
        <v>10653</v>
      </c>
      <c r="AA274" s="13" t="s">
        <v>10654</v>
      </c>
      <c r="AB274" s="13" t="s">
        <v>10655</v>
      </c>
      <c r="AC274" s="13" t="s">
        <v>10656</v>
      </c>
      <c r="AD274" s="13" t="s">
        <v>10657</v>
      </c>
      <c r="AE274" s="13" t="s">
        <v>10658</v>
      </c>
      <c r="AF274" s="13" t="s">
        <v>5510</v>
      </c>
      <c r="AG274" s="13">
        <v>45.0</v>
      </c>
      <c r="AH274" s="13">
        <v>36.0</v>
      </c>
      <c r="AI274" s="13">
        <v>41.0</v>
      </c>
      <c r="AJ274" s="13">
        <v>0.0</v>
      </c>
      <c r="AK274" s="13">
        <v>24.0</v>
      </c>
      <c r="AL274" s="13" t="s">
        <v>8003</v>
      </c>
      <c r="AM274" s="13" t="s">
        <v>8004</v>
      </c>
      <c r="AN274" s="13" t="s">
        <v>8005</v>
      </c>
      <c r="AO274" s="13" t="s">
        <v>10659</v>
      </c>
      <c r="AP274" s="13" t="s">
        <v>10660</v>
      </c>
      <c r="AQ274" s="13" t="s">
        <v>5510</v>
      </c>
      <c r="AR274" s="13" t="s">
        <v>10646</v>
      </c>
      <c r="AS274" s="13" t="s">
        <v>2236</v>
      </c>
      <c r="AT274" s="13" t="s">
        <v>1925</v>
      </c>
      <c r="AU274" s="13">
        <v>2013.0</v>
      </c>
      <c r="AV274" s="13">
        <v>43.0</v>
      </c>
      <c r="AW274" s="13">
        <v>5.0</v>
      </c>
      <c r="AX274" s="13" t="s">
        <v>5510</v>
      </c>
      <c r="AY274" s="13" t="s">
        <v>5510</v>
      </c>
      <c r="AZ274" s="13" t="s">
        <v>5510</v>
      </c>
      <c r="BA274" s="13" t="s">
        <v>5510</v>
      </c>
      <c r="BB274" s="13">
        <v>348.0</v>
      </c>
      <c r="BC274" s="13">
        <v>361.0</v>
      </c>
      <c r="BD274" s="13" t="s">
        <v>5510</v>
      </c>
      <c r="BE274" s="13" t="s">
        <v>10661</v>
      </c>
      <c r="BF274" s="52" t="str">
        <f>HYPERLINK("http://dx.doi.org/10.1016/j.limno.2013.05.008","http://dx.doi.org/10.1016/j.limno.2013.05.008")</f>
        <v>http://dx.doi.org/10.1016/j.limno.2013.05.008</v>
      </c>
      <c r="BG274" s="13" t="s">
        <v>5510</v>
      </c>
      <c r="BH274" s="13" t="s">
        <v>5510</v>
      </c>
      <c r="BI274" s="13">
        <v>14.0</v>
      </c>
      <c r="BJ274" s="13" t="s">
        <v>10662</v>
      </c>
      <c r="BK274" s="13" t="s">
        <v>5561</v>
      </c>
      <c r="BL274" s="13" t="s">
        <v>6508</v>
      </c>
      <c r="BM274" s="13" t="s">
        <v>10663</v>
      </c>
      <c r="BN274" s="13">
        <v>2.4003262E7</v>
      </c>
      <c r="BO274" s="13" t="s">
        <v>6028</v>
      </c>
      <c r="BP274" s="13" t="s">
        <v>5510</v>
      </c>
      <c r="BQ274" s="13" t="s">
        <v>5510</v>
      </c>
      <c r="BR274" s="13" t="s">
        <v>5538</v>
      </c>
      <c r="BS274" s="13" t="s">
        <v>10664</v>
      </c>
      <c r="BT274" s="13">
        <v>25493.0</v>
      </c>
      <c r="BU274" s="13" t="s">
        <v>5540</v>
      </c>
      <c r="BV274" s="13" t="s">
        <v>4852</v>
      </c>
      <c r="BW274" s="13" t="str">
        <f>VLOOKUP($BT274,Enriched!$A$2:$E$1070,5,false)</f>
        <v>["Natural System Modifications"]</v>
      </c>
      <c r="BX274" s="13" t="str">
        <f>VLOOKUP($BT274,Enriched!$A$2:$E$1070,4,false)</f>
        <v>["Dams &amp; water management/use"]</v>
      </c>
      <c r="BY274" s="13" t="b">
        <f>VLOOKUP(BT274,Enriched!$A$1:$AA$1070,27,falsE)</f>
        <v>1</v>
      </c>
      <c r="BZ274" s="2" t="str">
        <f>VLOOKUP(BT274,Enriched!$A$1:$AA$1070,14,falsE)</f>
        <v>cumulative</v>
      </c>
      <c r="CA274" s="13" t="str">
        <f>HYPERLINK("https%3A%2F%2Fwww.webofscience.com%2Fwos%2Fwoscc%2Ffull-record%2FWOS:000323016200005","View Full Record in Web of Science")</f>
        <v>View Full Record in Web of Science</v>
      </c>
    </row>
    <row r="275" ht="12.75" customHeight="1">
      <c r="A275" s="13" t="s">
        <v>5508</v>
      </c>
      <c r="B275" s="13" t="s">
        <v>10665</v>
      </c>
      <c r="C275" s="13" t="s">
        <v>5510</v>
      </c>
      <c r="D275" s="13" t="s">
        <v>5510</v>
      </c>
      <c r="E275" s="13" t="s">
        <v>5510</v>
      </c>
      <c r="F275" s="13" t="s">
        <v>10666</v>
      </c>
      <c r="G275" s="13" t="s">
        <v>5510</v>
      </c>
      <c r="H275" s="13" t="s">
        <v>5510</v>
      </c>
      <c r="I275" s="13" t="s">
        <v>2233</v>
      </c>
      <c r="J275" s="13" t="s">
        <v>5746</v>
      </c>
      <c r="K275" s="13" t="s">
        <v>5510</v>
      </c>
      <c r="L275" s="13" t="s">
        <v>5510</v>
      </c>
      <c r="M275" s="13" t="s">
        <v>5513</v>
      </c>
      <c r="N275" s="13" t="s">
        <v>5514</v>
      </c>
      <c r="O275" s="13" t="s">
        <v>5510</v>
      </c>
      <c r="P275" s="13" t="s">
        <v>5510</v>
      </c>
      <c r="Q275" s="13" t="s">
        <v>5510</v>
      </c>
      <c r="R275" s="13" t="s">
        <v>5510</v>
      </c>
      <c r="S275" s="13" t="s">
        <v>5510</v>
      </c>
      <c r="T275" s="13" t="s">
        <v>10667</v>
      </c>
      <c r="U275" s="13" t="s">
        <v>10668</v>
      </c>
      <c r="V275" s="13" t="s">
        <v>10669</v>
      </c>
      <c r="W275" s="13" t="s">
        <v>10670</v>
      </c>
      <c r="X275" s="13" t="s">
        <v>5510</v>
      </c>
      <c r="Y275" s="13" t="s">
        <v>10671</v>
      </c>
      <c r="Z275" s="13" t="s">
        <v>10672</v>
      </c>
      <c r="AA275" s="13" t="s">
        <v>5510</v>
      </c>
      <c r="AB275" s="13" t="s">
        <v>10673</v>
      </c>
      <c r="AC275" s="13" t="s">
        <v>10674</v>
      </c>
      <c r="AD275" s="13" t="s">
        <v>10675</v>
      </c>
      <c r="AE275" s="13" t="s">
        <v>10676</v>
      </c>
      <c r="AF275" s="13" t="s">
        <v>5510</v>
      </c>
      <c r="AG275" s="13">
        <v>42.0</v>
      </c>
      <c r="AH275" s="13">
        <v>25.0</v>
      </c>
      <c r="AI275" s="13">
        <v>25.0</v>
      </c>
      <c r="AJ275" s="13">
        <v>0.0</v>
      </c>
      <c r="AK275" s="13">
        <v>45.0</v>
      </c>
      <c r="AL275" s="13" t="s">
        <v>5759</v>
      </c>
      <c r="AM275" s="13" t="s">
        <v>5760</v>
      </c>
      <c r="AN275" s="13" t="s">
        <v>5761</v>
      </c>
      <c r="AO275" s="13" t="s">
        <v>5762</v>
      </c>
      <c r="AP275" s="13" t="s">
        <v>5763</v>
      </c>
      <c r="AQ275" s="13" t="s">
        <v>5510</v>
      </c>
      <c r="AR275" s="13" t="s">
        <v>5764</v>
      </c>
      <c r="AS275" s="13" t="s">
        <v>5765</v>
      </c>
      <c r="AT275" s="13" t="s">
        <v>10677</v>
      </c>
      <c r="AU275" s="13">
        <v>2021.0</v>
      </c>
      <c r="AV275" s="13">
        <v>751.0</v>
      </c>
      <c r="AW275" s="13" t="s">
        <v>5510</v>
      </c>
      <c r="AX275" s="13" t="s">
        <v>5510</v>
      </c>
      <c r="AY275" s="13" t="s">
        <v>5510</v>
      </c>
      <c r="AZ275" s="13" t="s">
        <v>5510</v>
      </c>
      <c r="BA275" s="13" t="s">
        <v>5510</v>
      </c>
      <c r="BB275" s="13" t="s">
        <v>5510</v>
      </c>
      <c r="BC275" s="13" t="s">
        <v>5510</v>
      </c>
      <c r="BD275" s="13">
        <v>141556.0</v>
      </c>
      <c r="BE275" s="13" t="s">
        <v>10678</v>
      </c>
      <c r="BF275" s="52" t="str">
        <f>HYPERLINK("http://dx.doi.org/10.1016/j.scitotenv.2020.141556","http://dx.doi.org/10.1016/j.scitotenv.2020.141556")</f>
        <v>http://dx.doi.org/10.1016/j.scitotenv.2020.141556</v>
      </c>
      <c r="BG275" s="13" t="s">
        <v>5510</v>
      </c>
      <c r="BH275" s="13" t="s">
        <v>5510</v>
      </c>
      <c r="BI275" s="13">
        <v>9.0</v>
      </c>
      <c r="BJ275" s="13" t="s">
        <v>5768</v>
      </c>
      <c r="BK275" s="13" t="s">
        <v>5534</v>
      </c>
      <c r="BL275" s="13" t="s">
        <v>5535</v>
      </c>
      <c r="BM275" s="13" t="s">
        <v>10679</v>
      </c>
      <c r="BN275" s="13">
        <v>3.2882548E7</v>
      </c>
      <c r="BO275" s="13" t="s">
        <v>5510</v>
      </c>
      <c r="BP275" s="13" t="s">
        <v>5510</v>
      </c>
      <c r="BQ275" s="13" t="s">
        <v>5510</v>
      </c>
      <c r="BR275" s="13" t="s">
        <v>5538</v>
      </c>
      <c r="BS275" s="13" t="s">
        <v>10680</v>
      </c>
      <c r="BT275" s="13">
        <v>25210.0</v>
      </c>
      <c r="BU275" s="13" t="s">
        <v>5540</v>
      </c>
      <c r="BV275" s="13" t="s">
        <v>4856</v>
      </c>
      <c r="BW275" s="13" t="str">
        <f>VLOOKUP($BT275,Enriched!$A$2:$E$1070,5,false)</f>
        <v>["Residential &amp; Commercial Development", "Pollution", "Natural System Modifications"]</v>
      </c>
      <c r="BX275" s="13" t="str">
        <f>VLOOKUP($BT275,Enriched!$A$2:$E$1070,4,false)</f>
        <v>["Tourism &amp; recreation areas", "Dams &amp; water management/use"]</v>
      </c>
      <c r="BY275" s="13" t="b">
        <f>VLOOKUP(BT275,Enriched!$A$1:$AA$1070,27,falsE)</f>
        <v>1</v>
      </c>
      <c r="BZ275" s="2" t="str">
        <f>VLOOKUP(BT275,Enriched!$A$1:$AA$1070,14,falsE)</f>
        <v>level2</v>
      </c>
      <c r="CA275" s="13" t="str">
        <f>HYPERLINK("https%3A%2F%2Fwww.webofscience.com%2Fwos%2Fwoscc%2Ffull-record%2FWOS:000587300800017","View Full Record in Web of Science")</f>
        <v>View Full Record in Web of Science</v>
      </c>
    </row>
    <row r="276" ht="12.75" customHeight="1">
      <c r="A276" s="13" t="s">
        <v>5508</v>
      </c>
      <c r="B276" s="13" t="s">
        <v>10681</v>
      </c>
      <c r="C276" s="13" t="s">
        <v>5510</v>
      </c>
      <c r="D276" s="13" t="s">
        <v>5510</v>
      </c>
      <c r="E276" s="13" t="s">
        <v>5510</v>
      </c>
      <c r="F276" s="13" t="s">
        <v>10682</v>
      </c>
      <c r="G276" s="13" t="s">
        <v>5510</v>
      </c>
      <c r="H276" s="13" t="s">
        <v>5510</v>
      </c>
      <c r="I276" s="2" t="s">
        <v>2230</v>
      </c>
      <c r="J276" s="13" t="s">
        <v>5746</v>
      </c>
      <c r="K276" s="13" t="s">
        <v>5510</v>
      </c>
      <c r="L276" s="13" t="s">
        <v>5510</v>
      </c>
      <c r="M276" s="13" t="s">
        <v>5513</v>
      </c>
      <c r="N276" s="13" t="s">
        <v>5514</v>
      </c>
      <c r="O276" s="13" t="s">
        <v>5510</v>
      </c>
      <c r="P276" s="13" t="s">
        <v>5510</v>
      </c>
      <c r="Q276" s="13" t="s">
        <v>5510</v>
      </c>
      <c r="R276" s="13" t="s">
        <v>5510</v>
      </c>
      <c r="S276" s="13" t="s">
        <v>5510</v>
      </c>
      <c r="T276" s="13" t="s">
        <v>10683</v>
      </c>
      <c r="U276" s="13" t="s">
        <v>10684</v>
      </c>
      <c r="V276" s="13" t="s">
        <v>10685</v>
      </c>
      <c r="W276" s="13" t="s">
        <v>10686</v>
      </c>
      <c r="X276" s="13" t="s">
        <v>10687</v>
      </c>
      <c r="Y276" s="13" t="s">
        <v>10688</v>
      </c>
      <c r="Z276" s="13" t="s">
        <v>10689</v>
      </c>
      <c r="AA276" s="13" t="s">
        <v>10690</v>
      </c>
      <c r="AB276" s="13" t="s">
        <v>10691</v>
      </c>
      <c r="AC276" s="13" t="s">
        <v>10692</v>
      </c>
      <c r="AD276" s="13" t="s">
        <v>10693</v>
      </c>
      <c r="AE276" s="13" t="s">
        <v>10694</v>
      </c>
      <c r="AF276" s="13" t="s">
        <v>5510</v>
      </c>
      <c r="AG276" s="13">
        <v>58.0</v>
      </c>
      <c r="AH276" s="13">
        <v>12.0</v>
      </c>
      <c r="AI276" s="13">
        <v>16.0</v>
      </c>
      <c r="AJ276" s="13">
        <v>1.0</v>
      </c>
      <c r="AK276" s="13">
        <v>90.0</v>
      </c>
      <c r="AL276" s="13" t="s">
        <v>5759</v>
      </c>
      <c r="AM276" s="13" t="s">
        <v>5760</v>
      </c>
      <c r="AN276" s="13" t="s">
        <v>5761</v>
      </c>
      <c r="AO276" s="13" t="s">
        <v>5762</v>
      </c>
      <c r="AP276" s="13" t="s">
        <v>5763</v>
      </c>
      <c r="AQ276" s="13" t="s">
        <v>5510</v>
      </c>
      <c r="AR276" s="13" t="s">
        <v>5764</v>
      </c>
      <c r="AS276" s="13" t="s">
        <v>5765</v>
      </c>
      <c r="AT276" s="13" t="s">
        <v>10695</v>
      </c>
      <c r="AU276" s="13">
        <v>2019.0</v>
      </c>
      <c r="AV276" s="13">
        <v>650.0</v>
      </c>
      <c r="AW276" s="13" t="s">
        <v>5510</v>
      </c>
      <c r="AX276" s="13">
        <v>2.0</v>
      </c>
      <c r="AY276" s="13" t="s">
        <v>5510</v>
      </c>
      <c r="AZ276" s="13" t="s">
        <v>5510</v>
      </c>
      <c r="BA276" s="13" t="s">
        <v>5510</v>
      </c>
      <c r="BB276" s="13">
        <v>2996.0</v>
      </c>
      <c r="BC276" s="13">
        <v>3006.0</v>
      </c>
      <c r="BD276" s="13" t="s">
        <v>5510</v>
      </c>
      <c r="BE276" s="13" t="s">
        <v>10696</v>
      </c>
      <c r="BF276" s="52" t="str">
        <f>HYPERLINK("http://dx.doi.org/10.1016/j.scitotenv.2018.10.022","http://dx.doi.org/10.1016/j.scitotenv.2018.10.022")</f>
        <v>http://dx.doi.org/10.1016/j.scitotenv.2018.10.022</v>
      </c>
      <c r="BG276" s="13" t="s">
        <v>5510</v>
      </c>
      <c r="BH276" s="13" t="s">
        <v>5510</v>
      </c>
      <c r="BI276" s="13">
        <v>11.0</v>
      </c>
      <c r="BJ276" s="13" t="s">
        <v>5768</v>
      </c>
      <c r="BK276" s="13" t="s">
        <v>5561</v>
      </c>
      <c r="BL276" s="13" t="s">
        <v>5535</v>
      </c>
      <c r="BM276" s="13" t="s">
        <v>10697</v>
      </c>
      <c r="BN276" s="13">
        <v>3.0373076E7</v>
      </c>
      <c r="BO276" s="13" t="s">
        <v>5510</v>
      </c>
      <c r="BP276" s="13" t="s">
        <v>5510</v>
      </c>
      <c r="BQ276" s="13" t="s">
        <v>5510</v>
      </c>
      <c r="BR276" s="13" t="s">
        <v>5538</v>
      </c>
      <c r="BS276" s="13" t="s">
        <v>10698</v>
      </c>
      <c r="BT276" s="13">
        <v>23988.0</v>
      </c>
      <c r="BU276" s="13" t="s">
        <v>5540</v>
      </c>
      <c r="BV276" s="13" t="s">
        <v>4856</v>
      </c>
      <c r="BW276" s="13" t="str">
        <f>VLOOKUP($BT276,Enriched!$A$2:$E$1070,5,false)</f>
        <v>["Residential &amp; Commercial Development", "Agriculture &amp; Aquaculture", "Energy Production &amp; Mining", "Transportation &amp; Service Corridors", "Biological Resource Use", "Natural System Modifications", "Pollution"]</v>
      </c>
      <c r="BX276" s="13" t="str">
        <f>VLOOKUP($BT276,Enriched!$A$2:$E$1070,4,false)</f>
        <v>["Housing &amp; urban area", "Commercial &amp; industrial areas", "Renewable energy", "Roads &amp; railroads", "Utility &amp; service lines", "Hunting &amp; collecting terrestrial animals", "Fishing &amp; harvesting aquatic resources", "Fire &amp; fire suppression", "Dams &amp; water management/use", "Garbage &amp; solid waste"]</v>
      </c>
      <c r="BY276" s="13" t="b">
        <f>VLOOKUP(BT276,Enriched!$A$1:$AA$1070,27,falsE)</f>
        <v>1</v>
      </c>
      <c r="BZ276" s="2" t="str">
        <f>VLOOKUP(BT276,Enriched!$A$1:$AA$1070,14,falsE)</f>
        <v>level2</v>
      </c>
      <c r="CA276" s="13" t="str">
        <f>HYPERLINK("https%3A%2F%2Fwww.webofscience.com%2Fwos%2Fwoscc%2Ffull-record%2FWOS:000447871400127","View Full Record in Web of Science")</f>
        <v>View Full Record in Web of Science</v>
      </c>
    </row>
    <row r="277" ht="12.75" customHeight="1">
      <c r="A277" s="13" t="s">
        <v>5508</v>
      </c>
      <c r="B277" s="13" t="s">
        <v>10699</v>
      </c>
      <c r="C277" s="13" t="s">
        <v>5510</v>
      </c>
      <c r="D277" s="13" t="s">
        <v>5510</v>
      </c>
      <c r="E277" s="13" t="s">
        <v>5510</v>
      </c>
      <c r="F277" s="13" t="s">
        <v>10700</v>
      </c>
      <c r="G277" s="13" t="s">
        <v>5510</v>
      </c>
      <c r="H277" s="13" t="s">
        <v>5510</v>
      </c>
      <c r="I277" s="13" t="s">
        <v>10701</v>
      </c>
      <c r="J277" s="13" t="s">
        <v>5568</v>
      </c>
      <c r="K277" s="13" t="s">
        <v>5510</v>
      </c>
      <c r="L277" s="13" t="s">
        <v>5510</v>
      </c>
      <c r="M277" s="13" t="s">
        <v>5513</v>
      </c>
      <c r="N277" s="13" t="s">
        <v>5514</v>
      </c>
      <c r="O277" s="13" t="s">
        <v>5510</v>
      </c>
      <c r="P277" s="13" t="s">
        <v>5510</v>
      </c>
      <c r="Q277" s="13" t="s">
        <v>5510</v>
      </c>
      <c r="R277" s="13" t="s">
        <v>5510</v>
      </c>
      <c r="S277" s="13" t="s">
        <v>5510</v>
      </c>
      <c r="T277" s="13" t="s">
        <v>10702</v>
      </c>
      <c r="U277" s="13" t="s">
        <v>10703</v>
      </c>
      <c r="V277" s="13" t="s">
        <v>10704</v>
      </c>
      <c r="W277" s="13" t="s">
        <v>10705</v>
      </c>
      <c r="X277" s="13" t="s">
        <v>10706</v>
      </c>
      <c r="Y277" s="13" t="s">
        <v>10707</v>
      </c>
      <c r="Z277" s="13" t="s">
        <v>10708</v>
      </c>
      <c r="AA277" s="13" t="s">
        <v>10709</v>
      </c>
      <c r="AB277" s="13" t="s">
        <v>10710</v>
      </c>
      <c r="AC277" s="13" t="s">
        <v>10711</v>
      </c>
      <c r="AD277" s="13" t="s">
        <v>10712</v>
      </c>
      <c r="AE277" s="13" t="s">
        <v>10713</v>
      </c>
      <c r="AF277" s="13" t="s">
        <v>5510</v>
      </c>
      <c r="AG277" s="13">
        <v>72.0</v>
      </c>
      <c r="AH277" s="13">
        <v>61.0</v>
      </c>
      <c r="AI277" s="13">
        <v>66.0</v>
      </c>
      <c r="AJ277" s="13">
        <v>1.0</v>
      </c>
      <c r="AK277" s="13">
        <v>88.0</v>
      </c>
      <c r="AL277" s="13" t="s">
        <v>5527</v>
      </c>
      <c r="AM277" s="13" t="s">
        <v>5528</v>
      </c>
      <c r="AN277" s="13" t="s">
        <v>5529</v>
      </c>
      <c r="AO277" s="13" t="s">
        <v>5578</v>
      </c>
      <c r="AP277" s="13" t="s">
        <v>5579</v>
      </c>
      <c r="AQ277" s="13" t="s">
        <v>5510</v>
      </c>
      <c r="AR277" s="13" t="s">
        <v>5580</v>
      </c>
      <c r="AS277" s="13" t="s">
        <v>5581</v>
      </c>
      <c r="AT277" s="13" t="s">
        <v>1925</v>
      </c>
      <c r="AU277" s="13">
        <v>2014.0</v>
      </c>
      <c r="AV277" s="13">
        <v>83.0</v>
      </c>
      <c r="AW277" s="13">
        <v>5.0</v>
      </c>
      <c r="AX277" s="13" t="s">
        <v>5510</v>
      </c>
      <c r="AY277" s="13" t="s">
        <v>5510</v>
      </c>
      <c r="AZ277" s="13" t="s">
        <v>5510</v>
      </c>
      <c r="BA277" s="13" t="s">
        <v>5510</v>
      </c>
      <c r="BB277" s="13">
        <v>1091.0</v>
      </c>
      <c r="BC277" s="13">
        <v>1102.0</v>
      </c>
      <c r="BD277" s="13" t="s">
        <v>5510</v>
      </c>
      <c r="BE277" s="13" t="s">
        <v>10714</v>
      </c>
      <c r="BF277" s="52" t="str">
        <f>HYPERLINK("http://dx.doi.org/10.1111/1365-2656.12214","http://dx.doi.org/10.1111/1365-2656.12214")</f>
        <v>http://dx.doi.org/10.1111/1365-2656.12214</v>
      </c>
      <c r="BG277" s="13" t="s">
        <v>5510</v>
      </c>
      <c r="BH277" s="13" t="s">
        <v>5510</v>
      </c>
      <c r="BI277" s="13">
        <v>12.0</v>
      </c>
      <c r="BJ277" s="13" t="s">
        <v>5584</v>
      </c>
      <c r="BK277" s="13" t="s">
        <v>5561</v>
      </c>
      <c r="BL277" s="13" t="s">
        <v>5585</v>
      </c>
      <c r="BM277" s="13" t="s">
        <v>10715</v>
      </c>
      <c r="BN277" s="13">
        <v>2.4527958E7</v>
      </c>
      <c r="BO277" s="13" t="s">
        <v>5510</v>
      </c>
      <c r="BP277" s="13" t="s">
        <v>5510</v>
      </c>
      <c r="BQ277" s="13" t="s">
        <v>5510</v>
      </c>
      <c r="BR277" s="13" t="s">
        <v>5538</v>
      </c>
      <c r="BS277" s="13" t="s">
        <v>10716</v>
      </c>
      <c r="BT277" s="13">
        <v>24062.0</v>
      </c>
      <c r="BU277" s="13" t="s">
        <v>5540</v>
      </c>
      <c r="BV277" s="13" t="s">
        <v>4856</v>
      </c>
      <c r="BW277" s="13" t="str">
        <f>VLOOKUP($BT277,Enriched!$A$2:$E$1070,5,false)</f>
        <v>["Invasive &amp; Other Problematic Species, Genes &amp; Diseases"]</v>
      </c>
      <c r="BX277" s="13" t="str">
        <f>VLOOKUP($BT277,Enriched!$A$2:$E$1070,4,false)</f>
        <v>["Problematic native species/diseases"]</v>
      </c>
      <c r="BY277" s="13" t="b">
        <f>VLOOKUP(BT277,Enriched!$A$1:$AA$1070,27,falsE)</f>
        <v>0</v>
      </c>
      <c r="BZ277" s="2" t="str">
        <f>VLOOKUP(BT277,Enriched!$A$1:$AA$1070,14,falsE)</f>
        <v>level2</v>
      </c>
      <c r="CA277" s="13" t="str">
        <f>HYPERLINK("https%3A%2F%2Fwww.webofscience.com%2Fwos%2Fwoscc%2Ffull-record%2FWOS:000340877700010","View Full Record in Web of Science")</f>
        <v>View Full Record in Web of Science</v>
      </c>
    </row>
    <row r="278" ht="12.75" customHeight="1">
      <c r="A278" s="13" t="s">
        <v>5508</v>
      </c>
      <c r="B278" s="13" t="s">
        <v>10717</v>
      </c>
      <c r="C278" s="13" t="s">
        <v>5510</v>
      </c>
      <c r="D278" s="13" t="s">
        <v>5510</v>
      </c>
      <c r="E278" s="13" t="s">
        <v>5510</v>
      </c>
      <c r="F278" s="13" t="s">
        <v>10718</v>
      </c>
      <c r="G278" s="13" t="s">
        <v>5510</v>
      </c>
      <c r="H278" s="13" t="s">
        <v>5510</v>
      </c>
      <c r="I278" s="2" t="s">
        <v>2220</v>
      </c>
      <c r="J278" s="13" t="s">
        <v>10719</v>
      </c>
      <c r="K278" s="13" t="s">
        <v>5510</v>
      </c>
      <c r="L278" s="13" t="s">
        <v>5510</v>
      </c>
      <c r="M278" s="13" t="s">
        <v>5513</v>
      </c>
      <c r="N278" s="13" t="s">
        <v>5514</v>
      </c>
      <c r="O278" s="13" t="s">
        <v>5510</v>
      </c>
      <c r="P278" s="13" t="s">
        <v>5510</v>
      </c>
      <c r="Q278" s="13" t="s">
        <v>5510</v>
      </c>
      <c r="R278" s="13" t="s">
        <v>5510</v>
      </c>
      <c r="S278" s="13" t="s">
        <v>5510</v>
      </c>
      <c r="T278" s="13" t="s">
        <v>10720</v>
      </c>
      <c r="U278" s="13" t="s">
        <v>10721</v>
      </c>
      <c r="V278" s="13" t="s">
        <v>10722</v>
      </c>
      <c r="W278" s="13" t="s">
        <v>10723</v>
      </c>
      <c r="X278" s="13" t="s">
        <v>10724</v>
      </c>
      <c r="Y278" s="13" t="s">
        <v>10725</v>
      </c>
      <c r="Z278" s="13" t="s">
        <v>10726</v>
      </c>
      <c r="AA278" s="13" t="s">
        <v>10727</v>
      </c>
      <c r="AB278" s="13" t="s">
        <v>10728</v>
      </c>
      <c r="AC278" s="13" t="s">
        <v>10729</v>
      </c>
      <c r="AD278" s="13" t="s">
        <v>10730</v>
      </c>
      <c r="AE278" s="13" t="s">
        <v>10731</v>
      </c>
      <c r="AF278" s="13" t="s">
        <v>5510</v>
      </c>
      <c r="AG278" s="13">
        <v>42.0</v>
      </c>
      <c r="AH278" s="13">
        <v>33.0</v>
      </c>
      <c r="AI278" s="13">
        <v>39.0</v>
      </c>
      <c r="AJ278" s="13">
        <v>3.0</v>
      </c>
      <c r="AK278" s="13">
        <v>79.0</v>
      </c>
      <c r="AL278" s="13" t="s">
        <v>10732</v>
      </c>
      <c r="AM278" s="13" t="s">
        <v>10733</v>
      </c>
      <c r="AN278" s="13" t="s">
        <v>10734</v>
      </c>
      <c r="AO278" s="13" t="s">
        <v>10735</v>
      </c>
      <c r="AP278" s="13" t="s">
        <v>10736</v>
      </c>
      <c r="AQ278" s="13" t="s">
        <v>5510</v>
      </c>
      <c r="AR278" s="13" t="s">
        <v>10737</v>
      </c>
      <c r="AS278" s="13" t="s">
        <v>10738</v>
      </c>
      <c r="AT278" s="13" t="s">
        <v>5510</v>
      </c>
      <c r="AU278" s="13">
        <v>2018.0</v>
      </c>
      <c r="AV278" s="13">
        <v>41.0</v>
      </c>
      <c r="AW278" s="13">
        <v>2.0</v>
      </c>
      <c r="AX278" s="13" t="s">
        <v>5510</v>
      </c>
      <c r="AY278" s="13" t="s">
        <v>5510</v>
      </c>
      <c r="AZ278" s="13" t="s">
        <v>5510</v>
      </c>
      <c r="BA278" s="13" t="s">
        <v>5510</v>
      </c>
      <c r="BB278" s="13">
        <v>217.0</v>
      </c>
      <c r="BC278" s="13">
        <v>225.0</v>
      </c>
      <c r="BD278" s="13" t="s">
        <v>5510</v>
      </c>
      <c r="BE278" s="13" t="s">
        <v>10739</v>
      </c>
      <c r="BF278" s="52" t="str">
        <f>HYPERLINK("http://dx.doi.org/10.32800/abc.2018.41.0217","http://dx.doi.org/10.32800/abc.2018.41.0217")</f>
        <v>http://dx.doi.org/10.32800/abc.2018.41.0217</v>
      </c>
      <c r="BG278" s="13" t="s">
        <v>5510</v>
      </c>
      <c r="BH278" s="13" t="s">
        <v>5510</v>
      </c>
      <c r="BI278" s="13">
        <v>9.0</v>
      </c>
      <c r="BJ278" s="13" t="s">
        <v>5648</v>
      </c>
      <c r="BK278" s="13" t="s">
        <v>5561</v>
      </c>
      <c r="BL278" s="13" t="s">
        <v>5650</v>
      </c>
      <c r="BM278" s="13" t="s">
        <v>10740</v>
      </c>
      <c r="BN278" s="13" t="s">
        <v>5510</v>
      </c>
      <c r="BO278" s="13" t="s">
        <v>5564</v>
      </c>
      <c r="BP278" s="13" t="s">
        <v>5510</v>
      </c>
      <c r="BQ278" s="13" t="s">
        <v>5510</v>
      </c>
      <c r="BR278" s="13" t="s">
        <v>5538</v>
      </c>
      <c r="BS278" s="13" t="s">
        <v>10741</v>
      </c>
      <c r="BT278" s="13">
        <v>24003.0</v>
      </c>
      <c r="BU278" s="13" t="s">
        <v>5540</v>
      </c>
      <c r="BV278" s="13" t="s">
        <v>4856</v>
      </c>
      <c r="BW278" s="13" t="str">
        <f>VLOOKUP($BT278,Enriched!$A$2:$E$1070,5,false)</f>
        <v>["Transportation &amp; Service Corridors"]</v>
      </c>
      <c r="BX278" s="13" t="str">
        <f>VLOOKUP($BT278,Enriched!$A$2:$E$1070,4,false)</f>
        <v>["Roads &amp; railroads"]</v>
      </c>
      <c r="BY278" s="13" t="b">
        <f>VLOOKUP(BT278,Enriched!$A$1:$AA$1070,27,falsE)</f>
        <v>0</v>
      </c>
      <c r="BZ278" s="2" t="str">
        <f>VLOOKUP(BT278,Enriched!$A$1:$AA$1070,14,falsE)</f>
        <v>level2</v>
      </c>
      <c r="CA278" s="13" t="str">
        <f>HYPERLINK("https%3A%2F%2Fwww.webofscience.com%2Fwos%2Fwoscc%2Ffull-record%2FWOS:000424865600003","View Full Record in Web of Science")</f>
        <v>View Full Record in Web of Science</v>
      </c>
    </row>
    <row r="279" ht="12.75" customHeight="1">
      <c r="A279" s="13" t="s">
        <v>5508</v>
      </c>
      <c r="B279" s="13" t="s">
        <v>10742</v>
      </c>
      <c r="C279" s="13" t="s">
        <v>5510</v>
      </c>
      <c r="D279" s="13" t="s">
        <v>5510</v>
      </c>
      <c r="E279" s="13" t="s">
        <v>5510</v>
      </c>
      <c r="F279" s="13" t="s">
        <v>10743</v>
      </c>
      <c r="G279" s="13" t="s">
        <v>5510</v>
      </c>
      <c r="H279" s="13" t="s">
        <v>5510</v>
      </c>
      <c r="I279" s="13" t="s">
        <v>2217</v>
      </c>
      <c r="J279" s="13" t="s">
        <v>9546</v>
      </c>
      <c r="K279" s="13" t="s">
        <v>5510</v>
      </c>
      <c r="L279" s="13" t="s">
        <v>5510</v>
      </c>
      <c r="M279" s="13" t="s">
        <v>5513</v>
      </c>
      <c r="N279" s="13" t="s">
        <v>5514</v>
      </c>
      <c r="O279" s="13" t="s">
        <v>5510</v>
      </c>
      <c r="P279" s="13" t="s">
        <v>5510</v>
      </c>
      <c r="Q279" s="13" t="s">
        <v>5510</v>
      </c>
      <c r="R279" s="13" t="s">
        <v>5510</v>
      </c>
      <c r="S279" s="13" t="s">
        <v>5510</v>
      </c>
      <c r="T279" s="13" t="s">
        <v>10744</v>
      </c>
      <c r="U279" s="13" t="s">
        <v>10745</v>
      </c>
      <c r="V279" s="13" t="s">
        <v>10746</v>
      </c>
      <c r="W279" s="13" t="s">
        <v>10747</v>
      </c>
      <c r="X279" s="13" t="s">
        <v>10748</v>
      </c>
      <c r="Y279" s="13" t="s">
        <v>10749</v>
      </c>
      <c r="Z279" s="13" t="s">
        <v>10750</v>
      </c>
      <c r="AA279" s="13" t="s">
        <v>10751</v>
      </c>
      <c r="AB279" s="13" t="s">
        <v>10752</v>
      </c>
      <c r="AC279" s="13" t="s">
        <v>10753</v>
      </c>
      <c r="AD279" s="13" t="s">
        <v>10754</v>
      </c>
      <c r="AE279" s="13" t="s">
        <v>10755</v>
      </c>
      <c r="AF279" s="13" t="s">
        <v>5510</v>
      </c>
      <c r="AG279" s="13">
        <v>52.0</v>
      </c>
      <c r="AH279" s="13">
        <v>4.0</v>
      </c>
      <c r="AI279" s="13">
        <v>5.0</v>
      </c>
      <c r="AJ279" s="13">
        <v>0.0</v>
      </c>
      <c r="AK279" s="13">
        <v>44.0</v>
      </c>
      <c r="AL279" s="13" t="s">
        <v>7450</v>
      </c>
      <c r="AM279" s="13" t="s">
        <v>6046</v>
      </c>
      <c r="AN279" s="13" t="s">
        <v>7451</v>
      </c>
      <c r="AO279" s="13" t="s">
        <v>9559</v>
      </c>
      <c r="AP279" s="13" t="s">
        <v>9560</v>
      </c>
      <c r="AQ279" s="13" t="s">
        <v>5510</v>
      </c>
      <c r="AR279" s="13" t="s">
        <v>9561</v>
      </c>
      <c r="AS279" s="13" t="s">
        <v>9562</v>
      </c>
      <c r="AT279" s="13" t="s">
        <v>10756</v>
      </c>
      <c r="AU279" s="13">
        <v>2016.0</v>
      </c>
      <c r="AV279" s="13">
        <v>166.0</v>
      </c>
      <c r="AW279" s="13" t="s">
        <v>5510</v>
      </c>
      <c r="AX279" s="13" t="s">
        <v>5510</v>
      </c>
      <c r="AY279" s="13" t="s">
        <v>5510</v>
      </c>
      <c r="AZ279" s="13" t="s">
        <v>5510</v>
      </c>
      <c r="BA279" s="13" t="s">
        <v>5510</v>
      </c>
      <c r="BB279" s="13">
        <v>537.0</v>
      </c>
      <c r="BC279" s="13">
        <v>543.0</v>
      </c>
      <c r="BD279" s="13" t="s">
        <v>5510</v>
      </c>
      <c r="BE279" s="13" t="s">
        <v>10757</v>
      </c>
      <c r="BF279" s="52" t="str">
        <f>HYPERLINK("http://dx.doi.org/10.1016/j.jenvman.2015.10.052","http://dx.doi.org/10.1016/j.jenvman.2015.10.052")</f>
        <v>http://dx.doi.org/10.1016/j.jenvman.2015.10.052</v>
      </c>
      <c r="BG279" s="13" t="s">
        <v>5510</v>
      </c>
      <c r="BH279" s="13" t="s">
        <v>5510</v>
      </c>
      <c r="BI279" s="13">
        <v>7.0</v>
      </c>
      <c r="BJ279" s="13" t="s">
        <v>5768</v>
      </c>
      <c r="BK279" s="13" t="s">
        <v>5561</v>
      </c>
      <c r="BL279" s="13" t="s">
        <v>5535</v>
      </c>
      <c r="BM279" s="13" t="s">
        <v>10758</v>
      </c>
      <c r="BN279" s="13">
        <v>2.6599567E7</v>
      </c>
      <c r="BO279" s="13" t="s">
        <v>5510</v>
      </c>
      <c r="BP279" s="13" t="s">
        <v>5510</v>
      </c>
      <c r="BQ279" s="13" t="s">
        <v>5510</v>
      </c>
      <c r="BR279" s="13" t="s">
        <v>5538</v>
      </c>
      <c r="BS279" s="13" t="s">
        <v>10759</v>
      </c>
      <c r="BT279" s="13">
        <v>24267.0</v>
      </c>
      <c r="BU279" s="13" t="s">
        <v>5540</v>
      </c>
      <c r="BV279" s="13" t="s">
        <v>4856</v>
      </c>
      <c r="BW279" s="13" t="str">
        <f>VLOOKUP($BT279,Enriched!$A$2:$E$1070,5,false)</f>
        <v>["Invasive &amp; other problematic species, genes &amp; diseases"]</v>
      </c>
      <c r="BX279" s="13" t="str">
        <f>VLOOKUP($BT279,Enriched!$A$2:$E$1070,4,false)</f>
        <v>["Invasive non-native/alien species/diseases"]</v>
      </c>
      <c r="BY279" s="13" t="b">
        <f>VLOOKUP(BT279,Enriched!$A$1:$AA$1070,27,falsE)</f>
        <v>0</v>
      </c>
      <c r="BZ279" s="2" t="str">
        <f>VLOOKUP(BT279,Enriched!$A$1:$AA$1070,14,falsE)</f>
        <v>level2</v>
      </c>
      <c r="CA279" s="13" t="str">
        <f>HYPERLINK("https%3A%2F%2Fwww.webofscience.com%2Fwos%2Fwoscc%2Ffull-record%2FWOS:000367757200056","View Full Record in Web of Science")</f>
        <v>View Full Record in Web of Science</v>
      </c>
    </row>
    <row r="280" ht="12.75" customHeight="1">
      <c r="A280" s="13" t="s">
        <v>5508</v>
      </c>
      <c r="B280" s="13" t="s">
        <v>10760</v>
      </c>
      <c r="C280" s="13" t="s">
        <v>5510</v>
      </c>
      <c r="D280" s="13" t="s">
        <v>5510</v>
      </c>
      <c r="E280" s="13" t="s">
        <v>5510</v>
      </c>
      <c r="F280" s="13" t="s">
        <v>10761</v>
      </c>
      <c r="G280" s="13" t="s">
        <v>5510</v>
      </c>
      <c r="H280" s="13" t="s">
        <v>5510</v>
      </c>
      <c r="I280" s="13" t="s">
        <v>2216</v>
      </c>
      <c r="J280" s="13" t="s">
        <v>6212</v>
      </c>
      <c r="K280" s="13" t="s">
        <v>5510</v>
      </c>
      <c r="L280" s="13" t="s">
        <v>5510</v>
      </c>
      <c r="M280" s="13" t="s">
        <v>5513</v>
      </c>
      <c r="N280" s="13" t="s">
        <v>5514</v>
      </c>
      <c r="O280" s="13" t="s">
        <v>5510</v>
      </c>
      <c r="P280" s="13" t="s">
        <v>5510</v>
      </c>
      <c r="Q280" s="13" t="s">
        <v>5510</v>
      </c>
      <c r="R280" s="13" t="s">
        <v>5510</v>
      </c>
      <c r="S280" s="13" t="s">
        <v>5510</v>
      </c>
      <c r="T280" s="13" t="s">
        <v>10762</v>
      </c>
      <c r="U280" s="13" t="s">
        <v>10763</v>
      </c>
      <c r="V280" s="13" t="s">
        <v>10764</v>
      </c>
      <c r="W280" s="13" t="s">
        <v>10765</v>
      </c>
      <c r="X280" s="13" t="s">
        <v>10766</v>
      </c>
      <c r="Y280" s="13" t="s">
        <v>10767</v>
      </c>
      <c r="Z280" s="13" t="s">
        <v>10768</v>
      </c>
      <c r="AA280" s="13" t="s">
        <v>10769</v>
      </c>
      <c r="AB280" s="13" t="s">
        <v>10770</v>
      </c>
      <c r="AC280" s="13" t="s">
        <v>10771</v>
      </c>
      <c r="AD280" s="13" t="s">
        <v>10772</v>
      </c>
      <c r="AE280" s="13" t="s">
        <v>10773</v>
      </c>
      <c r="AF280" s="13" t="s">
        <v>5510</v>
      </c>
      <c r="AG280" s="13">
        <v>92.0</v>
      </c>
      <c r="AH280" s="13">
        <v>14.0</v>
      </c>
      <c r="AI280" s="13">
        <v>16.0</v>
      </c>
      <c r="AJ280" s="13">
        <v>2.0</v>
      </c>
      <c r="AK280" s="13">
        <v>20.0</v>
      </c>
      <c r="AL280" s="13" t="s">
        <v>5759</v>
      </c>
      <c r="AM280" s="13" t="s">
        <v>5760</v>
      </c>
      <c r="AN280" s="13" t="s">
        <v>5761</v>
      </c>
      <c r="AO280" s="13" t="s">
        <v>5510</v>
      </c>
      <c r="AP280" s="13" t="s">
        <v>6225</v>
      </c>
      <c r="AQ280" s="13" t="s">
        <v>5510</v>
      </c>
      <c r="AR280" s="13" t="s">
        <v>6226</v>
      </c>
      <c r="AS280" s="13" t="s">
        <v>6227</v>
      </c>
      <c r="AT280" s="13" t="s">
        <v>2514</v>
      </c>
      <c r="AU280" s="13">
        <v>2019.0</v>
      </c>
      <c r="AV280" s="13">
        <v>20.0</v>
      </c>
      <c r="AW280" s="13" t="s">
        <v>5510</v>
      </c>
      <c r="AX280" s="13" t="s">
        <v>5510</v>
      </c>
      <c r="AY280" s="13" t="s">
        <v>5510</v>
      </c>
      <c r="AZ280" s="13" t="s">
        <v>5510</v>
      </c>
      <c r="BA280" s="13" t="s">
        <v>5510</v>
      </c>
      <c r="BB280" s="13" t="s">
        <v>5510</v>
      </c>
      <c r="BC280" s="13" t="s">
        <v>5510</v>
      </c>
      <c r="BD280" s="13" t="s">
        <v>10774</v>
      </c>
      <c r="BE280" s="13" t="s">
        <v>10775</v>
      </c>
      <c r="BF280" s="52" t="str">
        <f>HYPERLINK("http://dx.doi.org/10.1016/j.gecco.2019.e00706","http://dx.doi.org/10.1016/j.gecco.2019.e00706")</f>
        <v>http://dx.doi.org/10.1016/j.gecco.2019.e00706</v>
      </c>
      <c r="BG280" s="13" t="s">
        <v>5510</v>
      </c>
      <c r="BH280" s="13" t="s">
        <v>5510</v>
      </c>
      <c r="BI280" s="13">
        <v>13.0</v>
      </c>
      <c r="BJ280" s="13" t="s">
        <v>5958</v>
      </c>
      <c r="BK280" s="13" t="s">
        <v>5561</v>
      </c>
      <c r="BL280" s="13" t="s">
        <v>5699</v>
      </c>
      <c r="BM280" s="13" t="s">
        <v>10776</v>
      </c>
      <c r="BN280" s="13" t="s">
        <v>5510</v>
      </c>
      <c r="BO280" s="13" t="s">
        <v>10777</v>
      </c>
      <c r="BP280" s="13" t="s">
        <v>5510</v>
      </c>
      <c r="BQ280" s="13" t="s">
        <v>5510</v>
      </c>
      <c r="BR280" s="13" t="s">
        <v>5538</v>
      </c>
      <c r="BS280" s="13" t="s">
        <v>10778</v>
      </c>
      <c r="BT280" s="13">
        <v>24858.0</v>
      </c>
      <c r="BU280" s="13" t="s">
        <v>5540</v>
      </c>
      <c r="BV280" s="13" t="s">
        <v>4856</v>
      </c>
      <c r="BW280" s="13" t="str">
        <f>VLOOKUP($BT280,Enriched!$A$2:$E$1070,5,false)</f>
        <v>["Invasive &amp; other problematic species, genes &amp; diseases"]</v>
      </c>
      <c r="BX280" s="13" t="str">
        <f>VLOOKUP($BT280,Enriched!$A$2:$E$1070,4,false)</f>
        <v>["Invasive non-native/alien species/diseases"]</v>
      </c>
      <c r="BY280" s="13" t="b">
        <f>VLOOKUP(BT280,Enriched!$A$1:$AA$1070,27,falsE)</f>
        <v>0</v>
      </c>
      <c r="BZ280" s="2" t="str">
        <f>VLOOKUP(BT280,Enriched!$A$1:$AA$1070,14,falsE)</f>
        <v>level2</v>
      </c>
      <c r="CA280" s="13" t="str">
        <f>HYPERLINK("https%3A%2F%2Fwww.webofscience.com%2Fwos%2Fwoscc%2Ffull-record%2FWOS:000498226800018","View Full Record in Web of Science")</f>
        <v>View Full Record in Web of Science</v>
      </c>
    </row>
    <row r="281" ht="12.75" customHeight="1">
      <c r="A281" s="13" t="s">
        <v>5508</v>
      </c>
      <c r="B281" s="13" t="s">
        <v>10779</v>
      </c>
      <c r="C281" s="13" t="s">
        <v>5510</v>
      </c>
      <c r="D281" s="13" t="s">
        <v>5510</v>
      </c>
      <c r="E281" s="13" t="s">
        <v>5510</v>
      </c>
      <c r="F281" s="13" t="s">
        <v>10780</v>
      </c>
      <c r="G281" s="13" t="s">
        <v>5510</v>
      </c>
      <c r="H281" s="13" t="s">
        <v>5510</v>
      </c>
      <c r="I281" s="13" t="s">
        <v>2213</v>
      </c>
      <c r="J281" s="13" t="s">
        <v>6627</v>
      </c>
      <c r="K281" s="13" t="s">
        <v>5510</v>
      </c>
      <c r="L281" s="13" t="s">
        <v>5510</v>
      </c>
      <c r="M281" s="13" t="s">
        <v>5513</v>
      </c>
      <c r="N281" s="13" t="s">
        <v>5514</v>
      </c>
      <c r="O281" s="13" t="s">
        <v>5510</v>
      </c>
      <c r="P281" s="13" t="s">
        <v>5510</v>
      </c>
      <c r="Q281" s="13" t="s">
        <v>5510</v>
      </c>
      <c r="R281" s="13" t="s">
        <v>5510</v>
      </c>
      <c r="S281" s="13" t="s">
        <v>5510</v>
      </c>
      <c r="T281" s="13" t="s">
        <v>10781</v>
      </c>
      <c r="U281" s="13" t="s">
        <v>10782</v>
      </c>
      <c r="V281" s="13" t="s">
        <v>10783</v>
      </c>
      <c r="W281" s="13" t="s">
        <v>10784</v>
      </c>
      <c r="X281" s="13" t="s">
        <v>10748</v>
      </c>
      <c r="Y281" s="13" t="s">
        <v>10785</v>
      </c>
      <c r="Z281" s="13" t="s">
        <v>10786</v>
      </c>
      <c r="AA281" s="13" t="s">
        <v>10751</v>
      </c>
      <c r="AB281" s="13" t="s">
        <v>10787</v>
      </c>
      <c r="AC281" s="13" t="s">
        <v>10788</v>
      </c>
      <c r="AD281" s="13" t="s">
        <v>10788</v>
      </c>
      <c r="AE281" s="13" t="s">
        <v>10789</v>
      </c>
      <c r="AF281" s="13" t="s">
        <v>5510</v>
      </c>
      <c r="AG281" s="13">
        <v>43.0</v>
      </c>
      <c r="AH281" s="13">
        <v>16.0</v>
      </c>
      <c r="AI281" s="13">
        <v>19.0</v>
      </c>
      <c r="AJ281" s="13">
        <v>0.0</v>
      </c>
      <c r="AK281" s="13">
        <v>49.0</v>
      </c>
      <c r="AL281" s="13" t="s">
        <v>10790</v>
      </c>
      <c r="AM281" s="13" t="s">
        <v>5528</v>
      </c>
      <c r="AN281" s="13" t="s">
        <v>5529</v>
      </c>
      <c r="AO281" s="13" t="s">
        <v>6640</v>
      </c>
      <c r="AP281" s="13" t="s">
        <v>6641</v>
      </c>
      <c r="AQ281" s="13" t="s">
        <v>5510</v>
      </c>
      <c r="AR281" s="13" t="s">
        <v>6642</v>
      </c>
      <c r="AS281" s="13" t="s">
        <v>6643</v>
      </c>
      <c r="AT281" s="13" t="s">
        <v>6828</v>
      </c>
      <c r="AU281" s="13">
        <v>2014.0</v>
      </c>
      <c r="AV281" s="13">
        <v>20.0</v>
      </c>
      <c r="AW281" s="13">
        <v>4.0</v>
      </c>
      <c r="AX281" s="13" t="s">
        <v>5510</v>
      </c>
      <c r="AY281" s="13" t="s">
        <v>5510</v>
      </c>
      <c r="AZ281" s="13" t="s">
        <v>5510</v>
      </c>
      <c r="BA281" s="13" t="s">
        <v>5510</v>
      </c>
      <c r="BB281" s="13">
        <v>430.0</v>
      </c>
      <c r="BC281" s="13">
        <v>439.0</v>
      </c>
      <c r="BD281" s="13" t="s">
        <v>5510</v>
      </c>
      <c r="BE281" s="13" t="s">
        <v>10791</v>
      </c>
      <c r="BF281" s="52" t="str">
        <f>HYPERLINK("http://dx.doi.org/10.1111/ddi.12171","http://dx.doi.org/10.1111/ddi.12171")</f>
        <v>http://dx.doi.org/10.1111/ddi.12171</v>
      </c>
      <c r="BG281" s="13" t="s">
        <v>5510</v>
      </c>
      <c r="BH281" s="13" t="s">
        <v>5510</v>
      </c>
      <c r="BI281" s="13">
        <v>10.0</v>
      </c>
      <c r="BJ281" s="13" t="s">
        <v>5958</v>
      </c>
      <c r="BK281" s="13" t="s">
        <v>5561</v>
      </c>
      <c r="BL281" s="13" t="s">
        <v>5699</v>
      </c>
      <c r="BM281" s="13" t="s">
        <v>10792</v>
      </c>
      <c r="BN281" s="13" t="s">
        <v>5510</v>
      </c>
      <c r="BO281" s="13" t="s">
        <v>6586</v>
      </c>
      <c r="BP281" s="13" t="s">
        <v>5510</v>
      </c>
      <c r="BQ281" s="13" t="s">
        <v>5510</v>
      </c>
      <c r="BR281" s="13" t="s">
        <v>5538</v>
      </c>
      <c r="BS281" s="13" t="s">
        <v>10793</v>
      </c>
      <c r="BT281" s="13">
        <v>24266.0</v>
      </c>
      <c r="BU281" s="13" t="s">
        <v>5540</v>
      </c>
      <c r="BV281" s="13" t="s">
        <v>4856</v>
      </c>
      <c r="BW281" s="13" t="str">
        <f>VLOOKUP($BT281,Enriched!$A$2:$E$1070,5,false)</f>
        <v>["Transportation &amp; Service Corridors", "Residential &amp; Commercial Development", "Natural System Modifications"]</v>
      </c>
      <c r="BX281" s="13" t="str">
        <f>VLOOKUP($BT281,Enriched!$A$2:$E$1070,4,false)</f>
        <v>["Utility &amp; service lines", "Commercial &amp; industrial areas", "Dams &amp; water management/use"]</v>
      </c>
      <c r="BY281" s="13" t="b">
        <f>VLOOKUP(BT281,Enriched!$A$1:$AA$1070,27,falsE)</f>
        <v>0</v>
      </c>
      <c r="BZ281" s="2" t="str">
        <f>VLOOKUP(BT281,Enriched!$A$1:$AA$1070,14,falsE)</f>
        <v>level2</v>
      </c>
      <c r="CA281" s="13" t="str">
        <f>HYPERLINK("https%3A%2F%2Fwww.webofscience.com%2Fwos%2Fwoscc%2Ffull-record%2FWOS:000332445900006","View Full Record in Web of Science")</f>
        <v>View Full Record in Web of Science</v>
      </c>
    </row>
    <row r="282" ht="12.75" customHeight="1">
      <c r="A282" s="13" t="s">
        <v>5508</v>
      </c>
      <c r="B282" s="13" t="s">
        <v>10794</v>
      </c>
      <c r="C282" s="13" t="s">
        <v>5510</v>
      </c>
      <c r="D282" s="13" t="s">
        <v>5510</v>
      </c>
      <c r="E282" s="13" t="s">
        <v>5510</v>
      </c>
      <c r="F282" s="13" t="s">
        <v>10795</v>
      </c>
      <c r="G282" s="13" t="s">
        <v>5510</v>
      </c>
      <c r="H282" s="13" t="s">
        <v>5510</v>
      </c>
      <c r="I282" s="13" t="s">
        <v>2210</v>
      </c>
      <c r="J282" s="13" t="s">
        <v>6764</v>
      </c>
      <c r="K282" s="13" t="s">
        <v>5510</v>
      </c>
      <c r="L282" s="13" t="s">
        <v>5510</v>
      </c>
      <c r="M282" s="13" t="s">
        <v>5513</v>
      </c>
      <c r="N282" s="13" t="s">
        <v>5514</v>
      </c>
      <c r="O282" s="13" t="s">
        <v>5510</v>
      </c>
      <c r="P282" s="13" t="s">
        <v>5510</v>
      </c>
      <c r="Q282" s="13" t="s">
        <v>5510</v>
      </c>
      <c r="R282" s="13" t="s">
        <v>5510</v>
      </c>
      <c r="S282" s="13" t="s">
        <v>5510</v>
      </c>
      <c r="T282" s="13" t="s">
        <v>10796</v>
      </c>
      <c r="U282" s="13" t="s">
        <v>10797</v>
      </c>
      <c r="V282" s="13" t="s">
        <v>10798</v>
      </c>
      <c r="W282" s="13" t="s">
        <v>10799</v>
      </c>
      <c r="X282" s="13" t="s">
        <v>10800</v>
      </c>
      <c r="Y282" s="13" t="s">
        <v>10801</v>
      </c>
      <c r="Z282" s="13" t="s">
        <v>10802</v>
      </c>
      <c r="AA282" s="13" t="s">
        <v>10803</v>
      </c>
      <c r="AB282" s="13" t="s">
        <v>10804</v>
      </c>
      <c r="AC282" s="13" t="s">
        <v>10805</v>
      </c>
      <c r="AD282" s="13" t="s">
        <v>10805</v>
      </c>
      <c r="AE282" s="13" t="s">
        <v>10806</v>
      </c>
      <c r="AF282" s="13" t="s">
        <v>5510</v>
      </c>
      <c r="AG282" s="13">
        <v>71.0</v>
      </c>
      <c r="AH282" s="13">
        <v>15.0</v>
      </c>
      <c r="AI282" s="13">
        <v>18.0</v>
      </c>
      <c r="AJ282" s="13">
        <v>3.0</v>
      </c>
      <c r="AK282" s="13">
        <v>88.0</v>
      </c>
      <c r="AL282" s="13" t="s">
        <v>5931</v>
      </c>
      <c r="AM282" s="13" t="s">
        <v>5932</v>
      </c>
      <c r="AN282" s="13" t="s">
        <v>5933</v>
      </c>
      <c r="AO282" s="13" t="s">
        <v>6777</v>
      </c>
      <c r="AP282" s="13" t="s">
        <v>6778</v>
      </c>
      <c r="AQ282" s="13" t="s">
        <v>5510</v>
      </c>
      <c r="AR282" s="13" t="s">
        <v>6779</v>
      </c>
      <c r="AS282" s="13" t="s">
        <v>6780</v>
      </c>
      <c r="AT282" s="13" t="s">
        <v>1925</v>
      </c>
      <c r="AU282" s="13">
        <v>2019.0</v>
      </c>
      <c r="AV282" s="13">
        <v>252.0</v>
      </c>
      <c r="AW282" s="13" t="s">
        <v>5510</v>
      </c>
      <c r="AX282" s="13" t="s">
        <v>8616</v>
      </c>
      <c r="AY282" s="13" t="s">
        <v>5510</v>
      </c>
      <c r="AZ282" s="13" t="s">
        <v>5510</v>
      </c>
      <c r="BA282" s="13" t="s">
        <v>5510</v>
      </c>
      <c r="BB282" s="13">
        <v>982.0</v>
      </c>
      <c r="BC282" s="13">
        <v>991.0</v>
      </c>
      <c r="BD282" s="13" t="s">
        <v>5510</v>
      </c>
      <c r="BE282" s="13" t="s">
        <v>10807</v>
      </c>
      <c r="BF282" s="52" t="str">
        <f>HYPERLINK("http://dx.doi.org/10.1016/j.envpol.2019.06.031","http://dx.doi.org/10.1016/j.envpol.2019.06.031")</f>
        <v>http://dx.doi.org/10.1016/j.envpol.2019.06.031</v>
      </c>
      <c r="BG282" s="13" t="s">
        <v>5510</v>
      </c>
      <c r="BH282" s="13" t="s">
        <v>5510</v>
      </c>
      <c r="BI282" s="13">
        <v>10.0</v>
      </c>
      <c r="BJ282" s="13" t="s">
        <v>5768</v>
      </c>
      <c r="BK282" s="13" t="s">
        <v>5561</v>
      </c>
      <c r="BL282" s="13" t="s">
        <v>5535</v>
      </c>
      <c r="BM282" s="13" t="s">
        <v>10273</v>
      </c>
      <c r="BN282" s="13">
        <v>3.1252137E7</v>
      </c>
      <c r="BO282" s="13" t="s">
        <v>5510</v>
      </c>
      <c r="BP282" s="13" t="s">
        <v>5510</v>
      </c>
      <c r="BQ282" s="13" t="s">
        <v>5510</v>
      </c>
      <c r="BR282" s="13" t="s">
        <v>5538</v>
      </c>
      <c r="BS282" s="13" t="s">
        <v>10808</v>
      </c>
      <c r="BT282" s="13">
        <v>23620.0</v>
      </c>
      <c r="BU282" s="13" t="s">
        <v>5540</v>
      </c>
      <c r="BV282" s="13" t="s">
        <v>4864</v>
      </c>
      <c r="BW282" s="13" t="str">
        <f>VLOOKUP($BT282,Enriched!$A$2:$E$1070,5,false)</f>
        <v>["Pollution"]</v>
      </c>
      <c r="BX282" s="13" t="str">
        <f>VLOOKUP($BT282,Enriched!$A$2:$E$1070,4,false)</f>
        <v>["Garbage &amp; solid waste"]</v>
      </c>
      <c r="BY282" s="13" t="b">
        <f>VLOOKUP(BT282,Enriched!$A$1:$AA$1070,27,falsE)</f>
        <v>0</v>
      </c>
      <c r="BZ282" s="2" t="str">
        <f>VLOOKUP(BT282,Enriched!$A$1:$AA$1070,14,falsE)</f>
        <v>level2</v>
      </c>
      <c r="CA282" s="13" t="str">
        <f>HYPERLINK("https%3A%2F%2Fwww.webofscience.com%2Fwos%2Fwoscc%2Ffull-record%2FWOS:000483405400006","View Full Record in Web of Science")</f>
        <v>View Full Record in Web of Science</v>
      </c>
    </row>
    <row r="283" ht="12.75" customHeight="1">
      <c r="A283" s="13" t="s">
        <v>5508</v>
      </c>
      <c r="B283" s="13" t="s">
        <v>10809</v>
      </c>
      <c r="C283" s="13" t="s">
        <v>5510</v>
      </c>
      <c r="D283" s="13" t="s">
        <v>5510</v>
      </c>
      <c r="E283" s="13" t="s">
        <v>5510</v>
      </c>
      <c r="F283" s="13" t="s">
        <v>10810</v>
      </c>
      <c r="G283" s="13" t="s">
        <v>5510</v>
      </c>
      <c r="H283" s="13" t="s">
        <v>5510</v>
      </c>
      <c r="I283" s="13" t="s">
        <v>2208</v>
      </c>
      <c r="J283" s="13" t="s">
        <v>5543</v>
      </c>
      <c r="K283" s="13" t="s">
        <v>5510</v>
      </c>
      <c r="L283" s="13" t="s">
        <v>5510</v>
      </c>
      <c r="M283" s="13" t="s">
        <v>5513</v>
      </c>
      <c r="N283" s="13" t="s">
        <v>6168</v>
      </c>
      <c r="O283" s="13" t="s">
        <v>5510</v>
      </c>
      <c r="P283" s="13" t="s">
        <v>5510</v>
      </c>
      <c r="Q283" s="13" t="s">
        <v>5510</v>
      </c>
      <c r="R283" s="13" t="s">
        <v>5510</v>
      </c>
      <c r="S283" s="13" t="s">
        <v>5510</v>
      </c>
      <c r="T283" s="13" t="s">
        <v>5510</v>
      </c>
      <c r="U283" s="13" t="s">
        <v>5510</v>
      </c>
      <c r="V283" s="13" t="s">
        <v>5510</v>
      </c>
      <c r="W283" s="13" t="s">
        <v>5510</v>
      </c>
      <c r="X283" s="13" t="s">
        <v>5510</v>
      </c>
      <c r="Y283" s="13" t="s">
        <v>5510</v>
      </c>
      <c r="Z283" s="13" t="s">
        <v>5510</v>
      </c>
      <c r="AA283" s="13" t="s">
        <v>10811</v>
      </c>
      <c r="AB283" s="13" t="s">
        <v>5510</v>
      </c>
      <c r="AC283" s="13" t="s">
        <v>5510</v>
      </c>
      <c r="AD283" s="13" t="s">
        <v>5510</v>
      </c>
      <c r="AE283" s="13" t="s">
        <v>5510</v>
      </c>
      <c r="AF283" s="13" t="s">
        <v>5510</v>
      </c>
      <c r="AG283" s="13">
        <v>2.0</v>
      </c>
      <c r="AH283" s="13">
        <v>1.0</v>
      </c>
      <c r="AI283" s="13">
        <v>1.0</v>
      </c>
      <c r="AJ283" s="13">
        <v>0.0</v>
      </c>
      <c r="AK283" s="13">
        <v>1.0</v>
      </c>
      <c r="AL283" s="13" t="s">
        <v>5552</v>
      </c>
      <c r="AM283" s="13" t="s">
        <v>5553</v>
      </c>
      <c r="AN283" s="13" t="s">
        <v>5554</v>
      </c>
      <c r="AO283" s="13" t="s">
        <v>5555</v>
      </c>
      <c r="AP283" s="13" t="s">
        <v>5510</v>
      </c>
      <c r="AQ283" s="13" t="s">
        <v>5510</v>
      </c>
      <c r="AR283" s="13" t="s">
        <v>5543</v>
      </c>
      <c r="AS283" s="13" t="s">
        <v>5556</v>
      </c>
      <c r="AT283" s="13" t="s">
        <v>10812</v>
      </c>
      <c r="AU283" s="13">
        <v>2020.0</v>
      </c>
      <c r="AV283" s="13">
        <v>15.0</v>
      </c>
      <c r="AW283" s="13">
        <v>8.0</v>
      </c>
      <c r="AX283" s="13" t="s">
        <v>5510</v>
      </c>
      <c r="AY283" s="13" t="s">
        <v>5510</v>
      </c>
      <c r="AZ283" s="13" t="s">
        <v>5510</v>
      </c>
      <c r="BA283" s="13" t="s">
        <v>5510</v>
      </c>
      <c r="BB283" s="13" t="s">
        <v>5510</v>
      </c>
      <c r="BC283" s="13" t="s">
        <v>5510</v>
      </c>
      <c r="BD283" s="13" t="s">
        <v>10813</v>
      </c>
      <c r="BE283" s="13" t="s">
        <v>10814</v>
      </c>
      <c r="BF283" s="52" t="str">
        <f>HYPERLINK("http://dx.doi.org/10.1371/journal.pone.0238269","http://dx.doi.org/10.1371/journal.pone.0238269")</f>
        <v>http://dx.doi.org/10.1371/journal.pone.0238269</v>
      </c>
      <c r="BG283" s="13" t="s">
        <v>5510</v>
      </c>
      <c r="BH283" s="13" t="s">
        <v>5510</v>
      </c>
      <c r="BI283" s="13">
        <v>3.0</v>
      </c>
      <c r="BJ283" s="13" t="s">
        <v>5560</v>
      </c>
      <c r="BK283" s="13" t="s">
        <v>5561</v>
      </c>
      <c r="BL283" s="13" t="s">
        <v>5562</v>
      </c>
      <c r="BM283" s="13" t="s">
        <v>10815</v>
      </c>
      <c r="BN283" s="13">
        <v>3.2845932E7</v>
      </c>
      <c r="BO283" s="13" t="s">
        <v>5564</v>
      </c>
      <c r="BP283" s="13" t="s">
        <v>5510</v>
      </c>
      <c r="BQ283" s="13" t="s">
        <v>5510</v>
      </c>
      <c r="BR283" s="13" t="s">
        <v>5538</v>
      </c>
      <c r="BS283" s="13" t="s">
        <v>10816</v>
      </c>
      <c r="BT283" s="13">
        <v>23345.0</v>
      </c>
      <c r="BU283" s="13" t="s">
        <v>5540</v>
      </c>
      <c r="BV283" s="13" t="s">
        <v>4856</v>
      </c>
      <c r="BW283" s="13" t="str">
        <f>VLOOKUP($BT283,Enriched!$A$2:$E$1070,5,false)</f>
        <v>["Energy Production &amp; Mining"]</v>
      </c>
      <c r="BX283" s="13" t="str">
        <f>VLOOKUP($BT283,Enriched!$A$2:$E$1070,4,false)</f>
        <v>["Renewable energy"]</v>
      </c>
      <c r="BY283" s="13" t="b">
        <f>VLOOKUP(BT283,Enriched!$A$1:$AA$1070,27,falsE)</f>
        <v>0</v>
      </c>
      <c r="BZ283" s="2" t="str">
        <f>VLOOKUP(BT283,Enriched!$A$1:$AA$1070,14,falsE)</f>
        <v>level2</v>
      </c>
      <c r="CA283" s="13" t="str">
        <f>HYPERLINK("https%3A%2F%2Fwww.webofscience.com%2Fwos%2Fwoscc%2Ffull-record%2FWOS:000566205500050","View Full Record in Web of Science")</f>
        <v>View Full Record in Web of Science</v>
      </c>
    </row>
    <row r="284" ht="12.75" customHeight="1">
      <c r="A284" s="13" t="s">
        <v>5508</v>
      </c>
      <c r="B284" s="13" t="s">
        <v>10809</v>
      </c>
      <c r="C284" s="13" t="s">
        <v>5510</v>
      </c>
      <c r="D284" s="13" t="s">
        <v>5510</v>
      </c>
      <c r="E284" s="13" t="s">
        <v>5510</v>
      </c>
      <c r="F284" s="13" t="s">
        <v>10810</v>
      </c>
      <c r="G284" s="13" t="s">
        <v>5510</v>
      </c>
      <c r="H284" s="13" t="s">
        <v>5510</v>
      </c>
      <c r="I284" s="13" t="s">
        <v>2208</v>
      </c>
      <c r="J284" s="13" t="s">
        <v>5543</v>
      </c>
      <c r="K284" s="13" t="s">
        <v>5510</v>
      </c>
      <c r="L284" s="13" t="s">
        <v>5510</v>
      </c>
      <c r="M284" s="13" t="s">
        <v>5513</v>
      </c>
      <c r="N284" s="13" t="s">
        <v>5514</v>
      </c>
      <c r="O284" s="13" t="s">
        <v>5510</v>
      </c>
      <c r="P284" s="13" t="s">
        <v>5510</v>
      </c>
      <c r="Q284" s="13" t="s">
        <v>5510</v>
      </c>
      <c r="R284" s="13" t="s">
        <v>5510</v>
      </c>
      <c r="S284" s="13" t="s">
        <v>5510</v>
      </c>
      <c r="T284" s="13" t="s">
        <v>5510</v>
      </c>
      <c r="U284" s="13" t="s">
        <v>10817</v>
      </c>
      <c r="V284" s="13" t="s">
        <v>10818</v>
      </c>
      <c r="W284" s="13" t="s">
        <v>10819</v>
      </c>
      <c r="X284" s="13" t="s">
        <v>10820</v>
      </c>
      <c r="Y284" s="13" t="s">
        <v>10821</v>
      </c>
      <c r="Z284" s="13" t="s">
        <v>10822</v>
      </c>
      <c r="AA284" s="13" t="s">
        <v>10823</v>
      </c>
      <c r="AB284" s="13" t="s">
        <v>10824</v>
      </c>
      <c r="AC284" s="13" t="s">
        <v>10825</v>
      </c>
      <c r="AD284" s="13" t="s">
        <v>10826</v>
      </c>
      <c r="AE284" s="13" t="s">
        <v>10827</v>
      </c>
      <c r="AF284" s="13" t="s">
        <v>5510</v>
      </c>
      <c r="AG284" s="13">
        <v>90.0</v>
      </c>
      <c r="AH284" s="13">
        <v>7.0</v>
      </c>
      <c r="AI284" s="13">
        <v>7.0</v>
      </c>
      <c r="AJ284" s="13">
        <v>0.0</v>
      </c>
      <c r="AK284" s="13">
        <v>21.0</v>
      </c>
      <c r="AL284" s="13" t="s">
        <v>5552</v>
      </c>
      <c r="AM284" s="13" t="s">
        <v>5553</v>
      </c>
      <c r="AN284" s="13" t="s">
        <v>5554</v>
      </c>
      <c r="AO284" s="13" t="s">
        <v>5555</v>
      </c>
      <c r="AP284" s="13" t="s">
        <v>5510</v>
      </c>
      <c r="AQ284" s="13" t="s">
        <v>5510</v>
      </c>
      <c r="AR284" s="13" t="s">
        <v>5543</v>
      </c>
      <c r="AS284" s="13" t="s">
        <v>5556</v>
      </c>
      <c r="AT284" s="13" t="s">
        <v>10828</v>
      </c>
      <c r="AU284" s="13">
        <v>2020.0</v>
      </c>
      <c r="AV284" s="13">
        <v>15.0</v>
      </c>
      <c r="AW284" s="13">
        <v>1.0</v>
      </c>
      <c r="AX284" s="13" t="s">
        <v>5510</v>
      </c>
      <c r="AY284" s="13" t="s">
        <v>5510</v>
      </c>
      <c r="AZ284" s="13" t="s">
        <v>5510</v>
      </c>
      <c r="BA284" s="13" t="s">
        <v>5510</v>
      </c>
      <c r="BB284" s="13" t="s">
        <v>5510</v>
      </c>
      <c r="BC284" s="13" t="s">
        <v>5510</v>
      </c>
      <c r="BD284" s="13" t="s">
        <v>10829</v>
      </c>
      <c r="BE284" s="13" t="s">
        <v>10830</v>
      </c>
      <c r="BF284" s="52" t="str">
        <f>HYPERLINK("http://dx.doi.org/10.1371/journal.pone.0227698","http://dx.doi.org/10.1371/journal.pone.0227698")</f>
        <v>http://dx.doi.org/10.1371/journal.pone.0227698</v>
      </c>
      <c r="BG284" s="13" t="s">
        <v>5510</v>
      </c>
      <c r="BH284" s="13" t="s">
        <v>5510</v>
      </c>
      <c r="BI284" s="13">
        <v>25.0</v>
      </c>
      <c r="BJ284" s="13" t="s">
        <v>5560</v>
      </c>
      <c r="BK284" s="13" t="s">
        <v>5534</v>
      </c>
      <c r="BL284" s="13" t="s">
        <v>5562</v>
      </c>
      <c r="BM284" s="13" t="s">
        <v>10831</v>
      </c>
      <c r="BN284" s="13">
        <v>3.1978066E7</v>
      </c>
      <c r="BO284" s="13" t="s">
        <v>5564</v>
      </c>
      <c r="BP284" s="13" t="s">
        <v>5510</v>
      </c>
      <c r="BQ284" s="13" t="s">
        <v>5510</v>
      </c>
      <c r="BR284" s="13" t="s">
        <v>5538</v>
      </c>
      <c r="BS284" s="13" t="s">
        <v>10832</v>
      </c>
      <c r="BT284" s="13">
        <v>23345.0</v>
      </c>
      <c r="BU284" s="13" t="s">
        <v>5540</v>
      </c>
      <c r="BV284" s="13" t="s">
        <v>4856</v>
      </c>
      <c r="BW284" s="13" t="str">
        <f>VLOOKUP($BT284,Enriched!$A$2:$E$1070,5,false)</f>
        <v>["Energy Production &amp; Mining"]</v>
      </c>
      <c r="BX284" s="13" t="str">
        <f>VLOOKUP($BT284,Enriched!$A$2:$E$1070,4,false)</f>
        <v>["Renewable energy"]</v>
      </c>
      <c r="BY284" s="13" t="b">
        <f>VLOOKUP(BT284,Enriched!$A$1:$AA$1070,27,falsE)</f>
        <v>0</v>
      </c>
      <c r="BZ284" s="2" t="str">
        <f>VLOOKUP(BT284,Enriched!$A$1:$AA$1070,14,falsE)</f>
        <v>level2</v>
      </c>
      <c r="CA284" s="13" t="str">
        <f>HYPERLINK("https%3A%2F%2Fwww.webofscience.com%2Fwos%2Fwoscc%2Ffull-record%2FWOS:000534599100052","View Full Record in Web of Science")</f>
        <v>View Full Record in Web of Science</v>
      </c>
    </row>
    <row r="285" ht="12.75" customHeight="1">
      <c r="A285" s="13" t="s">
        <v>5508</v>
      </c>
      <c r="B285" s="13" t="s">
        <v>10833</v>
      </c>
      <c r="C285" s="13" t="s">
        <v>5510</v>
      </c>
      <c r="D285" s="13" t="s">
        <v>5510</v>
      </c>
      <c r="E285" s="13" t="s">
        <v>5510</v>
      </c>
      <c r="F285" s="13" t="s">
        <v>10834</v>
      </c>
      <c r="G285" s="13" t="s">
        <v>5510</v>
      </c>
      <c r="H285" s="13" t="s">
        <v>5510</v>
      </c>
      <c r="I285" s="13" t="s">
        <v>2206</v>
      </c>
      <c r="J285" s="13" t="s">
        <v>9546</v>
      </c>
      <c r="K285" s="13" t="s">
        <v>5510</v>
      </c>
      <c r="L285" s="13" t="s">
        <v>5510</v>
      </c>
      <c r="M285" s="13" t="s">
        <v>5513</v>
      </c>
      <c r="N285" s="13" t="s">
        <v>5514</v>
      </c>
      <c r="O285" s="13" t="s">
        <v>5510</v>
      </c>
      <c r="P285" s="13" t="s">
        <v>5510</v>
      </c>
      <c r="Q285" s="13" t="s">
        <v>5510</v>
      </c>
      <c r="R285" s="13" t="s">
        <v>5510</v>
      </c>
      <c r="S285" s="13" t="s">
        <v>5510</v>
      </c>
      <c r="T285" s="13" t="s">
        <v>10835</v>
      </c>
      <c r="U285" s="13" t="s">
        <v>10836</v>
      </c>
      <c r="V285" s="13" t="s">
        <v>10837</v>
      </c>
      <c r="W285" s="13" t="s">
        <v>10838</v>
      </c>
      <c r="X285" s="13" t="s">
        <v>10839</v>
      </c>
      <c r="Y285" s="13" t="s">
        <v>10840</v>
      </c>
      <c r="Z285" s="13" t="s">
        <v>10841</v>
      </c>
      <c r="AA285" s="13" t="s">
        <v>10842</v>
      </c>
      <c r="AB285" s="13" t="s">
        <v>10843</v>
      </c>
      <c r="AC285" s="13" t="s">
        <v>10844</v>
      </c>
      <c r="AD285" s="13" t="s">
        <v>10845</v>
      </c>
      <c r="AE285" s="13" t="s">
        <v>10846</v>
      </c>
      <c r="AF285" s="13" t="s">
        <v>5510</v>
      </c>
      <c r="AG285" s="13">
        <v>56.0</v>
      </c>
      <c r="AH285" s="13">
        <v>24.0</v>
      </c>
      <c r="AI285" s="13">
        <v>27.0</v>
      </c>
      <c r="AJ285" s="13">
        <v>0.0</v>
      </c>
      <c r="AK285" s="13">
        <v>45.0</v>
      </c>
      <c r="AL285" s="13" t="s">
        <v>7450</v>
      </c>
      <c r="AM285" s="13" t="s">
        <v>6046</v>
      </c>
      <c r="AN285" s="13" t="s">
        <v>7451</v>
      </c>
      <c r="AO285" s="13" t="s">
        <v>9559</v>
      </c>
      <c r="AP285" s="13" t="s">
        <v>9560</v>
      </c>
      <c r="AQ285" s="13" t="s">
        <v>5510</v>
      </c>
      <c r="AR285" s="13" t="s">
        <v>9561</v>
      </c>
      <c r="AS285" s="13" t="s">
        <v>9562</v>
      </c>
      <c r="AT285" s="13" t="s">
        <v>10756</v>
      </c>
      <c r="AU285" s="13">
        <v>2020.0</v>
      </c>
      <c r="AV285" s="13">
        <v>254.0</v>
      </c>
      <c r="AW285" s="13" t="s">
        <v>5510</v>
      </c>
      <c r="AX285" s="13" t="s">
        <v>5510</v>
      </c>
      <c r="AY285" s="13" t="s">
        <v>5510</v>
      </c>
      <c r="AZ285" s="13" t="s">
        <v>5510</v>
      </c>
      <c r="BA285" s="13" t="s">
        <v>5510</v>
      </c>
      <c r="BB285" s="13" t="s">
        <v>5510</v>
      </c>
      <c r="BC285" s="13" t="s">
        <v>5510</v>
      </c>
      <c r="BD285" s="13">
        <v>109808.0</v>
      </c>
      <c r="BE285" s="13" t="s">
        <v>10847</v>
      </c>
      <c r="BF285" s="52" t="str">
        <f>HYPERLINK("http://dx.doi.org/10.1016/j.jenvman.2019.109808","http://dx.doi.org/10.1016/j.jenvman.2019.109808")</f>
        <v>http://dx.doi.org/10.1016/j.jenvman.2019.109808</v>
      </c>
      <c r="BG285" s="13" t="s">
        <v>5510</v>
      </c>
      <c r="BH285" s="13" t="s">
        <v>5510</v>
      </c>
      <c r="BI285" s="13">
        <v>9.0</v>
      </c>
      <c r="BJ285" s="13" t="s">
        <v>5768</v>
      </c>
      <c r="BK285" s="13" t="s">
        <v>5534</v>
      </c>
      <c r="BL285" s="13" t="s">
        <v>5535</v>
      </c>
      <c r="BM285" s="13" t="s">
        <v>10848</v>
      </c>
      <c r="BN285" s="13">
        <v>3.1739093E7</v>
      </c>
      <c r="BO285" s="13" t="s">
        <v>5587</v>
      </c>
      <c r="BP285" s="13" t="s">
        <v>5510</v>
      </c>
      <c r="BQ285" s="13" t="s">
        <v>5510</v>
      </c>
      <c r="BR285" s="13" t="s">
        <v>5538</v>
      </c>
      <c r="BS285" s="13" t="s">
        <v>10849</v>
      </c>
      <c r="BT285" s="13">
        <v>25757.0</v>
      </c>
      <c r="BU285" s="13" t="s">
        <v>5540</v>
      </c>
      <c r="BV285" s="13" t="s">
        <v>4864</v>
      </c>
      <c r="BW285" s="13" t="str">
        <f>VLOOKUP($BT285,Enriched!$A$2:$E$1070,5,false)</f>
        <v>["Biological resource use"]</v>
      </c>
      <c r="BX285" s="13" t="str">
        <f>VLOOKUP($BT285,Enriched!$A$2:$E$1070,4,false)</f>
        <v>["Fishing &amp; harvesting aquatic resources"]</v>
      </c>
      <c r="BY285" s="13" t="b">
        <f>VLOOKUP(BT285,Enriched!$A$1:$AA$1070,27,falsE)</f>
        <v>0</v>
      </c>
      <c r="BZ285" s="2" t="str">
        <f>VLOOKUP(BT285,Enriched!$A$1:$AA$1070,14,falsE)</f>
        <v>level2</v>
      </c>
      <c r="CA285" s="13" t="str">
        <f>HYPERLINK("https%3A%2F%2Fwww.webofscience.com%2Fwos%2Fwoscc%2Ffull-record%2FWOS:000504777700036","View Full Record in Web of Science")</f>
        <v>View Full Record in Web of Science</v>
      </c>
    </row>
    <row r="286" ht="12.75" customHeight="1">
      <c r="A286" s="13" t="s">
        <v>5508</v>
      </c>
      <c r="B286" s="13" t="s">
        <v>10850</v>
      </c>
      <c r="C286" s="13" t="s">
        <v>5510</v>
      </c>
      <c r="D286" s="13" t="s">
        <v>5510</v>
      </c>
      <c r="E286" s="13" t="s">
        <v>5510</v>
      </c>
      <c r="F286" s="13" t="s">
        <v>10851</v>
      </c>
      <c r="G286" s="13" t="s">
        <v>5510</v>
      </c>
      <c r="H286" s="13" t="s">
        <v>5510</v>
      </c>
      <c r="I286" s="13" t="s">
        <v>2202</v>
      </c>
      <c r="J286" s="13" t="s">
        <v>10852</v>
      </c>
      <c r="K286" s="13" t="s">
        <v>5510</v>
      </c>
      <c r="L286" s="13" t="s">
        <v>5510</v>
      </c>
      <c r="M286" s="13" t="s">
        <v>5513</v>
      </c>
      <c r="N286" s="13" t="s">
        <v>5514</v>
      </c>
      <c r="O286" s="13" t="s">
        <v>5510</v>
      </c>
      <c r="P286" s="13" t="s">
        <v>5510</v>
      </c>
      <c r="Q286" s="13" t="s">
        <v>5510</v>
      </c>
      <c r="R286" s="13" t="s">
        <v>5510</v>
      </c>
      <c r="S286" s="13" t="s">
        <v>5510</v>
      </c>
      <c r="T286" s="13" t="s">
        <v>10853</v>
      </c>
      <c r="U286" s="13" t="s">
        <v>10854</v>
      </c>
      <c r="V286" s="13" t="s">
        <v>10855</v>
      </c>
      <c r="W286" s="13" t="s">
        <v>10856</v>
      </c>
      <c r="X286" s="13" t="s">
        <v>10857</v>
      </c>
      <c r="Y286" s="13" t="s">
        <v>10858</v>
      </c>
      <c r="Z286" s="13" t="s">
        <v>10859</v>
      </c>
      <c r="AA286" s="13" t="s">
        <v>5510</v>
      </c>
      <c r="AB286" s="13" t="s">
        <v>5510</v>
      </c>
      <c r="AC286" s="13" t="s">
        <v>5510</v>
      </c>
      <c r="AD286" s="13" t="s">
        <v>5510</v>
      </c>
      <c r="AE286" s="13" t="s">
        <v>5510</v>
      </c>
      <c r="AF286" s="13" t="s">
        <v>5510</v>
      </c>
      <c r="AG286" s="13">
        <v>91.0</v>
      </c>
      <c r="AH286" s="13">
        <v>30.0</v>
      </c>
      <c r="AI286" s="13">
        <v>36.0</v>
      </c>
      <c r="AJ286" s="13">
        <v>0.0</v>
      </c>
      <c r="AK286" s="13">
        <v>71.0</v>
      </c>
      <c r="AL286" s="13" t="s">
        <v>5527</v>
      </c>
      <c r="AM286" s="13" t="s">
        <v>5528</v>
      </c>
      <c r="AN286" s="13" t="s">
        <v>5529</v>
      </c>
      <c r="AO286" s="13" t="s">
        <v>10860</v>
      </c>
      <c r="AP286" s="13" t="s">
        <v>10861</v>
      </c>
      <c r="AQ286" s="13" t="s">
        <v>5510</v>
      </c>
      <c r="AR286" s="13" t="s">
        <v>10862</v>
      </c>
      <c r="AS286" s="13" t="s">
        <v>10863</v>
      </c>
      <c r="AT286" s="13" t="s">
        <v>5582</v>
      </c>
      <c r="AU286" s="13">
        <v>2017.0</v>
      </c>
      <c r="AV286" s="13">
        <v>26.0</v>
      </c>
      <c r="AW286" s="13">
        <v>1.0</v>
      </c>
      <c r="AX286" s="13" t="s">
        <v>5510</v>
      </c>
      <c r="AY286" s="13" t="s">
        <v>5510</v>
      </c>
      <c r="AZ286" s="13" t="s">
        <v>5510</v>
      </c>
      <c r="BA286" s="13" t="s">
        <v>5510</v>
      </c>
      <c r="BB286" s="13">
        <v>17.0</v>
      </c>
      <c r="BC286" s="13">
        <v>33.0</v>
      </c>
      <c r="BD286" s="13" t="s">
        <v>5510</v>
      </c>
      <c r="BE286" s="13" t="s">
        <v>10864</v>
      </c>
      <c r="BF286" s="52" t="str">
        <f>HYPERLINK("http://dx.doi.org/10.1111/fog.12181","http://dx.doi.org/10.1111/fog.12181")</f>
        <v>http://dx.doi.org/10.1111/fog.12181</v>
      </c>
      <c r="BG286" s="13" t="s">
        <v>5510</v>
      </c>
      <c r="BH286" s="13" t="s">
        <v>5510</v>
      </c>
      <c r="BI286" s="13">
        <v>17.0</v>
      </c>
      <c r="BJ286" s="13" t="s">
        <v>10865</v>
      </c>
      <c r="BK286" s="13" t="s">
        <v>5561</v>
      </c>
      <c r="BL286" s="13" t="s">
        <v>10865</v>
      </c>
      <c r="BM286" s="13" t="s">
        <v>10866</v>
      </c>
      <c r="BN286" s="13" t="s">
        <v>5510</v>
      </c>
      <c r="BO286" s="13" t="s">
        <v>5510</v>
      </c>
      <c r="BP286" s="13" t="s">
        <v>5510</v>
      </c>
      <c r="BQ286" s="13" t="s">
        <v>5510</v>
      </c>
      <c r="BR286" s="13" t="s">
        <v>5538</v>
      </c>
      <c r="BS286" s="13" t="s">
        <v>10867</v>
      </c>
      <c r="BT286" s="13">
        <v>23804.0</v>
      </c>
      <c r="BU286" s="13" t="s">
        <v>5540</v>
      </c>
      <c r="BV286" s="13" t="s">
        <v>4864</v>
      </c>
      <c r="BW286" s="13" t="str">
        <f>VLOOKUP($BT286,Enriched!$A$2:$E$1070,5,false)</f>
        <v>["Biological resource use"]</v>
      </c>
      <c r="BX286" s="13" t="str">
        <f>VLOOKUP($BT286,Enriched!$A$2:$E$1070,4,false)</f>
        <v>["Fishing &amp; harvesting aquatic resources"]</v>
      </c>
      <c r="BY286" s="13" t="b">
        <f>VLOOKUP(BT286,Enriched!$A$1:$AA$1070,27,falsE)</f>
        <v>0</v>
      </c>
      <c r="BZ286" s="2" t="str">
        <f>VLOOKUP(BT286,Enriched!$A$1:$AA$1070,14,falsE)</f>
        <v>level2</v>
      </c>
      <c r="CA286" s="13" t="str">
        <f>HYPERLINK("https%3A%2F%2Fwww.webofscience.com%2Fwos%2Fwoscc%2Ffull-record%2FWOS:000389329300002","View Full Record in Web of Science")</f>
        <v>View Full Record in Web of Science</v>
      </c>
    </row>
    <row r="287" ht="12.75" customHeight="1">
      <c r="A287" s="13" t="s">
        <v>5508</v>
      </c>
      <c r="B287" s="13" t="s">
        <v>10868</v>
      </c>
      <c r="C287" s="13" t="s">
        <v>5510</v>
      </c>
      <c r="D287" s="13" t="s">
        <v>5510</v>
      </c>
      <c r="E287" s="13" t="s">
        <v>5510</v>
      </c>
      <c r="F287" s="13" t="s">
        <v>10868</v>
      </c>
      <c r="G287" s="13" t="s">
        <v>5510</v>
      </c>
      <c r="H287" s="13" t="s">
        <v>5510</v>
      </c>
      <c r="I287" s="13" t="s">
        <v>2199</v>
      </c>
      <c r="J287" s="13" t="s">
        <v>5943</v>
      </c>
      <c r="K287" s="13" t="s">
        <v>5510</v>
      </c>
      <c r="L287" s="13" t="s">
        <v>5510</v>
      </c>
      <c r="M287" s="13" t="s">
        <v>5513</v>
      </c>
      <c r="N287" s="13" t="s">
        <v>5514</v>
      </c>
      <c r="O287" s="13" t="s">
        <v>5510</v>
      </c>
      <c r="P287" s="13" t="s">
        <v>5510</v>
      </c>
      <c r="Q287" s="13" t="s">
        <v>5510</v>
      </c>
      <c r="R287" s="13" t="s">
        <v>5510</v>
      </c>
      <c r="S287" s="13" t="s">
        <v>5510</v>
      </c>
      <c r="T287" s="13" t="s">
        <v>10869</v>
      </c>
      <c r="U287" s="13" t="s">
        <v>10870</v>
      </c>
      <c r="V287" s="13" t="s">
        <v>10871</v>
      </c>
      <c r="W287" s="13" t="s">
        <v>10872</v>
      </c>
      <c r="X287" s="13" t="s">
        <v>10873</v>
      </c>
      <c r="Y287" s="13" t="s">
        <v>10874</v>
      </c>
      <c r="Z287" s="13" t="s">
        <v>10875</v>
      </c>
      <c r="AA287" s="13" t="s">
        <v>5510</v>
      </c>
      <c r="AB287" s="13" t="s">
        <v>10876</v>
      </c>
      <c r="AC287" s="13" t="s">
        <v>5510</v>
      </c>
      <c r="AD287" s="13" t="s">
        <v>5510</v>
      </c>
      <c r="AE287" s="13" t="s">
        <v>5510</v>
      </c>
      <c r="AF287" s="13" t="s">
        <v>5510</v>
      </c>
      <c r="AG287" s="13">
        <v>68.0</v>
      </c>
      <c r="AH287" s="13">
        <v>246.0</v>
      </c>
      <c r="AI287" s="13">
        <v>275.0</v>
      </c>
      <c r="AJ287" s="13">
        <v>3.0</v>
      </c>
      <c r="AK287" s="13">
        <v>107.0</v>
      </c>
      <c r="AL287" s="13" t="s">
        <v>5527</v>
      </c>
      <c r="AM287" s="13" t="s">
        <v>5528</v>
      </c>
      <c r="AN287" s="13" t="s">
        <v>5529</v>
      </c>
      <c r="AO287" s="13" t="s">
        <v>5953</v>
      </c>
      <c r="AP287" s="13" t="s">
        <v>5954</v>
      </c>
      <c r="AQ287" s="13" t="s">
        <v>5510</v>
      </c>
      <c r="AR287" s="13" t="s">
        <v>5955</v>
      </c>
      <c r="AS287" s="13" t="s">
        <v>5956</v>
      </c>
      <c r="AT287" s="13" t="s">
        <v>6828</v>
      </c>
      <c r="AU287" s="13">
        <v>2005.0</v>
      </c>
      <c r="AV287" s="13">
        <v>42.0</v>
      </c>
      <c r="AW287" s="13">
        <v>2.0</v>
      </c>
      <c r="AX287" s="13" t="s">
        <v>5510</v>
      </c>
      <c r="AY287" s="13" t="s">
        <v>5510</v>
      </c>
      <c r="AZ287" s="13" t="s">
        <v>5510</v>
      </c>
      <c r="BA287" s="13" t="s">
        <v>5510</v>
      </c>
      <c r="BB287" s="13">
        <v>371.0</v>
      </c>
      <c r="BC287" s="13">
        <v>382.0</v>
      </c>
      <c r="BD287" s="13" t="s">
        <v>5510</v>
      </c>
      <c r="BE287" s="13" t="s">
        <v>10877</v>
      </c>
      <c r="BF287" s="52" t="str">
        <f>HYPERLINK("http://dx.doi.org/10.1111/j.1365-2664.2005.01013.x","http://dx.doi.org/10.1111/j.1365-2664.2005.01013.x")</f>
        <v>http://dx.doi.org/10.1111/j.1365-2664.2005.01013.x</v>
      </c>
      <c r="BG287" s="13" t="s">
        <v>5510</v>
      </c>
      <c r="BH287" s="13" t="s">
        <v>5510</v>
      </c>
      <c r="BI287" s="13">
        <v>12.0</v>
      </c>
      <c r="BJ287" s="13" t="s">
        <v>5958</v>
      </c>
      <c r="BK287" s="13" t="s">
        <v>5561</v>
      </c>
      <c r="BL287" s="13" t="s">
        <v>5699</v>
      </c>
      <c r="BM287" s="13" t="s">
        <v>10878</v>
      </c>
      <c r="BN287" s="13" t="s">
        <v>5510</v>
      </c>
      <c r="BO287" s="13" t="s">
        <v>5809</v>
      </c>
      <c r="BP287" s="13" t="s">
        <v>5510</v>
      </c>
      <c r="BQ287" s="13" t="s">
        <v>5510</v>
      </c>
      <c r="BR287" s="13" t="s">
        <v>5538</v>
      </c>
      <c r="BS287" s="13" t="s">
        <v>10879</v>
      </c>
      <c r="BT287" s="13">
        <v>25523.0</v>
      </c>
      <c r="BU287" s="13" t="s">
        <v>5540</v>
      </c>
      <c r="BV287" s="13" t="s">
        <v>4856</v>
      </c>
      <c r="BW287" s="13" t="str">
        <f>VLOOKUP($BT287,Enriched!$A$2:$E$1070,5,false)</f>
        <v>["Transportation &amp; Service Corridors"]</v>
      </c>
      <c r="BX287" s="13" t="str">
        <f>VLOOKUP($BT287,Enriched!$A$2:$E$1070,4,false)</f>
        <v>["Roads &amp; railroads"]</v>
      </c>
      <c r="BY287" s="13" t="b">
        <f>VLOOKUP(BT287,Enriched!$A$1:$AA$1070,27,falsE)</f>
        <v>0</v>
      </c>
      <c r="BZ287" s="2" t="str">
        <f>VLOOKUP(BT287,Enriched!$A$1:$AA$1070,14,falsE)</f>
        <v>level2</v>
      </c>
      <c r="CA287" s="13" t="str">
        <f>HYPERLINK("https%3A%2F%2Fwww.webofscience.com%2Fwos%2Fwoscc%2Ffull-record%2FWOS:000228396600019","View Full Record in Web of Science")</f>
        <v>View Full Record in Web of Science</v>
      </c>
    </row>
    <row r="288" ht="12.75" customHeight="1">
      <c r="A288" s="13" t="s">
        <v>5508</v>
      </c>
      <c r="B288" s="13" t="s">
        <v>10880</v>
      </c>
      <c r="C288" s="13" t="s">
        <v>5510</v>
      </c>
      <c r="D288" s="13" t="s">
        <v>5510</v>
      </c>
      <c r="E288" s="13" t="s">
        <v>5510</v>
      </c>
      <c r="F288" s="13" t="s">
        <v>10881</v>
      </c>
      <c r="G288" s="13" t="s">
        <v>5510</v>
      </c>
      <c r="H288" s="13" t="s">
        <v>5510</v>
      </c>
      <c r="I288" s="13" t="s">
        <v>10882</v>
      </c>
      <c r="J288" s="13" t="s">
        <v>10883</v>
      </c>
      <c r="K288" s="13" t="s">
        <v>5510</v>
      </c>
      <c r="L288" s="13" t="s">
        <v>5510</v>
      </c>
      <c r="M288" s="13" t="s">
        <v>5513</v>
      </c>
      <c r="N288" s="13" t="s">
        <v>5514</v>
      </c>
      <c r="O288" s="13" t="s">
        <v>5510</v>
      </c>
      <c r="P288" s="13" t="s">
        <v>5510</v>
      </c>
      <c r="Q288" s="13" t="s">
        <v>5510</v>
      </c>
      <c r="R288" s="13" t="s">
        <v>5510</v>
      </c>
      <c r="S288" s="13" t="s">
        <v>5510</v>
      </c>
      <c r="T288" s="13" t="s">
        <v>10884</v>
      </c>
      <c r="U288" s="13" t="s">
        <v>10885</v>
      </c>
      <c r="V288" s="13" t="s">
        <v>10886</v>
      </c>
      <c r="W288" s="13" t="s">
        <v>10887</v>
      </c>
      <c r="X288" s="13" t="s">
        <v>10888</v>
      </c>
      <c r="Y288" s="13" t="s">
        <v>10889</v>
      </c>
      <c r="Z288" s="13" t="s">
        <v>10890</v>
      </c>
      <c r="AA288" s="13" t="s">
        <v>10891</v>
      </c>
      <c r="AB288" s="13" t="s">
        <v>10892</v>
      </c>
      <c r="AC288" s="13" t="s">
        <v>10893</v>
      </c>
      <c r="AD288" s="13" t="s">
        <v>10894</v>
      </c>
      <c r="AE288" s="13" t="s">
        <v>10895</v>
      </c>
      <c r="AF288" s="13" t="s">
        <v>5510</v>
      </c>
      <c r="AG288" s="13">
        <v>31.0</v>
      </c>
      <c r="AH288" s="13">
        <v>28.0</v>
      </c>
      <c r="AI288" s="13">
        <v>32.0</v>
      </c>
      <c r="AJ288" s="13">
        <v>0.0</v>
      </c>
      <c r="AK288" s="13">
        <v>27.0</v>
      </c>
      <c r="AL288" s="13" t="s">
        <v>9186</v>
      </c>
      <c r="AM288" s="13" t="s">
        <v>6046</v>
      </c>
      <c r="AN288" s="13" t="s">
        <v>9187</v>
      </c>
      <c r="AO288" s="13" t="s">
        <v>10896</v>
      </c>
      <c r="AP288" s="13" t="s">
        <v>10897</v>
      </c>
      <c r="AQ288" s="13" t="s">
        <v>5510</v>
      </c>
      <c r="AR288" s="13" t="s">
        <v>10898</v>
      </c>
      <c r="AS288" s="13" t="s">
        <v>10899</v>
      </c>
      <c r="AT288" s="13" t="s">
        <v>10900</v>
      </c>
      <c r="AU288" s="13">
        <v>2020.0</v>
      </c>
      <c r="AV288" s="13">
        <v>287.0</v>
      </c>
      <c r="AW288" s="13">
        <v>1922.0</v>
      </c>
      <c r="AX288" s="13" t="s">
        <v>5510</v>
      </c>
      <c r="AY288" s="13" t="s">
        <v>5510</v>
      </c>
      <c r="AZ288" s="13" t="s">
        <v>5510</v>
      </c>
      <c r="BA288" s="13" t="s">
        <v>5510</v>
      </c>
      <c r="BB288" s="13" t="s">
        <v>5510</v>
      </c>
      <c r="BC288" s="13" t="s">
        <v>5510</v>
      </c>
      <c r="BD288" s="13">
        <v>2.0192677E7</v>
      </c>
      <c r="BE288" s="13" t="s">
        <v>10901</v>
      </c>
      <c r="BF288" s="52" t="str">
        <f>HYPERLINK("http://dx.doi.org/10.1098/rspb.2019.2677","http://dx.doi.org/10.1098/rspb.2019.2677")</f>
        <v>http://dx.doi.org/10.1098/rspb.2019.2677</v>
      </c>
      <c r="BG288" s="13" t="s">
        <v>5510</v>
      </c>
      <c r="BH288" s="13" t="s">
        <v>5510</v>
      </c>
      <c r="BI288" s="13">
        <v>8.0</v>
      </c>
      <c r="BJ288" s="13" t="s">
        <v>9194</v>
      </c>
      <c r="BK288" s="13" t="s">
        <v>5561</v>
      </c>
      <c r="BL288" s="13" t="s">
        <v>9195</v>
      </c>
      <c r="BM288" s="13" t="s">
        <v>10902</v>
      </c>
      <c r="BN288" s="13">
        <v>3.2156211E7</v>
      </c>
      <c r="BO288" s="13" t="s">
        <v>6623</v>
      </c>
      <c r="BP288" s="13" t="s">
        <v>5510</v>
      </c>
      <c r="BQ288" s="13" t="s">
        <v>5510</v>
      </c>
      <c r="BR288" s="13" t="s">
        <v>5538</v>
      </c>
      <c r="BS288" s="13" t="s">
        <v>10903</v>
      </c>
      <c r="BT288" s="13">
        <v>23704.0</v>
      </c>
      <c r="BU288" s="13" t="s">
        <v>5540</v>
      </c>
      <c r="BV288" s="13" t="s">
        <v>4856</v>
      </c>
      <c r="BW288" s="13" t="str">
        <f>VLOOKUP($BT288,Enriched!$A$2:$E$1070,5,false)</f>
        <v>["Biological resource use"]</v>
      </c>
      <c r="BX288" s="13" t="str">
        <f>VLOOKUP($BT288,Enriched!$A$2:$E$1070,4,false)</f>
        <v>["Hunting &amp; collecting terrestrial animals"]</v>
      </c>
      <c r="BY288" s="13" t="b">
        <f>VLOOKUP(BT288,Enriched!$A$1:$AA$1070,27,falsE)</f>
        <v>0</v>
      </c>
      <c r="BZ288" s="2" t="str">
        <f>VLOOKUP(BT288,Enriched!$A$1:$AA$1070,14,falsE)</f>
        <v>level2</v>
      </c>
      <c r="CA288" s="13" t="str">
        <f>HYPERLINK("https%3A%2F%2Fwww.webofscience.com%2Fwos%2Fwoscc%2Ffull-record%2FWOS:000562424400013","View Full Record in Web of Science")</f>
        <v>View Full Record in Web of Science</v>
      </c>
    </row>
    <row r="289" ht="12.75" customHeight="1">
      <c r="A289" s="13" t="s">
        <v>5508</v>
      </c>
      <c r="B289" s="13" t="s">
        <v>10904</v>
      </c>
      <c r="C289" s="13" t="s">
        <v>5510</v>
      </c>
      <c r="D289" s="13" t="s">
        <v>5510</v>
      </c>
      <c r="E289" s="13" t="s">
        <v>5510</v>
      </c>
      <c r="F289" s="13" t="s">
        <v>10905</v>
      </c>
      <c r="G289" s="13" t="s">
        <v>5510</v>
      </c>
      <c r="H289" s="13" t="s">
        <v>5510</v>
      </c>
      <c r="I289" s="13" t="s">
        <v>2194</v>
      </c>
      <c r="J289" s="13" t="s">
        <v>5963</v>
      </c>
      <c r="K289" s="13" t="s">
        <v>5510</v>
      </c>
      <c r="L289" s="13" t="s">
        <v>5510</v>
      </c>
      <c r="M289" s="13" t="s">
        <v>5513</v>
      </c>
      <c r="N289" s="13" t="s">
        <v>5514</v>
      </c>
      <c r="O289" s="13" t="s">
        <v>5510</v>
      </c>
      <c r="P289" s="13" t="s">
        <v>5510</v>
      </c>
      <c r="Q289" s="13" t="s">
        <v>5510</v>
      </c>
      <c r="R289" s="13" t="s">
        <v>5510</v>
      </c>
      <c r="S289" s="13" t="s">
        <v>5510</v>
      </c>
      <c r="T289" s="13" t="s">
        <v>10906</v>
      </c>
      <c r="U289" s="13" t="s">
        <v>10907</v>
      </c>
      <c r="V289" s="13" t="s">
        <v>10908</v>
      </c>
      <c r="W289" s="13" t="s">
        <v>10909</v>
      </c>
      <c r="X289" s="13" t="s">
        <v>8522</v>
      </c>
      <c r="Y289" s="13" t="s">
        <v>10910</v>
      </c>
      <c r="Z289" s="13" t="s">
        <v>10911</v>
      </c>
      <c r="AA289" s="13" t="s">
        <v>5510</v>
      </c>
      <c r="AB289" s="13" t="s">
        <v>10912</v>
      </c>
      <c r="AC289" s="13" t="s">
        <v>10913</v>
      </c>
      <c r="AD289" s="13" t="s">
        <v>10914</v>
      </c>
      <c r="AE289" s="13" t="s">
        <v>10915</v>
      </c>
      <c r="AF289" s="13" t="s">
        <v>5510</v>
      </c>
      <c r="AG289" s="13">
        <v>46.0</v>
      </c>
      <c r="AH289" s="13">
        <v>23.0</v>
      </c>
      <c r="AI289" s="13">
        <v>28.0</v>
      </c>
      <c r="AJ289" s="13">
        <v>0.0</v>
      </c>
      <c r="AK289" s="13">
        <v>40.0</v>
      </c>
      <c r="AL289" s="13" t="s">
        <v>5690</v>
      </c>
      <c r="AM289" s="13" t="s">
        <v>5691</v>
      </c>
      <c r="AN289" s="13" t="s">
        <v>5692</v>
      </c>
      <c r="AO289" s="13" t="s">
        <v>5975</v>
      </c>
      <c r="AP289" s="13" t="s">
        <v>8269</v>
      </c>
      <c r="AQ289" s="13" t="s">
        <v>5510</v>
      </c>
      <c r="AR289" s="13" t="s">
        <v>5976</v>
      </c>
      <c r="AS289" s="13" t="s">
        <v>5977</v>
      </c>
      <c r="AT289" s="13" t="s">
        <v>2738</v>
      </c>
      <c r="AU289" s="13">
        <v>2010.0</v>
      </c>
      <c r="AV289" s="13">
        <v>161.0</v>
      </c>
      <c r="AW289" s="13" t="s">
        <v>10916</v>
      </c>
      <c r="AX289" s="13" t="s">
        <v>5510</v>
      </c>
      <c r="AY289" s="13" t="s">
        <v>5510</v>
      </c>
      <c r="AZ289" s="13" t="s">
        <v>5510</v>
      </c>
      <c r="BA289" s="13" t="s">
        <v>5510</v>
      </c>
      <c r="BB289" s="13">
        <v>423.0</v>
      </c>
      <c r="BC289" s="13">
        <v>438.0</v>
      </c>
      <c r="BD289" s="13" t="s">
        <v>5510</v>
      </c>
      <c r="BE289" s="13" t="s">
        <v>10917</v>
      </c>
      <c r="BF289" s="52" t="str">
        <f>HYPERLINK("http://dx.doi.org/10.1007/s10661-009-0758-3","http://dx.doi.org/10.1007/s10661-009-0758-3")</f>
        <v>http://dx.doi.org/10.1007/s10661-009-0758-3</v>
      </c>
      <c r="BG289" s="13" t="s">
        <v>5510</v>
      </c>
      <c r="BH289" s="13" t="s">
        <v>5510</v>
      </c>
      <c r="BI289" s="13">
        <v>16.0</v>
      </c>
      <c r="BJ289" s="13" t="s">
        <v>5768</v>
      </c>
      <c r="BK289" s="13" t="s">
        <v>5561</v>
      </c>
      <c r="BL289" s="13" t="s">
        <v>5535</v>
      </c>
      <c r="BM289" s="13" t="s">
        <v>10918</v>
      </c>
      <c r="BN289" s="13">
        <v>1.9267212E7</v>
      </c>
      <c r="BO289" s="13" t="s">
        <v>5510</v>
      </c>
      <c r="BP289" s="13" t="s">
        <v>5510</v>
      </c>
      <c r="BQ289" s="13" t="s">
        <v>5510</v>
      </c>
      <c r="BR289" s="13" t="s">
        <v>5538</v>
      </c>
      <c r="BS289" s="13" t="s">
        <v>10919</v>
      </c>
      <c r="BT289" s="13">
        <v>26090.0</v>
      </c>
      <c r="BU289" s="13" t="s">
        <v>5540</v>
      </c>
      <c r="BV289" s="13" t="s">
        <v>4864</v>
      </c>
      <c r="BW289" s="13" t="str">
        <f>VLOOKUP($BT289,Enriched!$A$2:$E$1070,5,false)</f>
        <v>["Climate Change &amp; Severe Weather"]</v>
      </c>
      <c r="BX289" s="13" t="str">
        <f>VLOOKUP($BT289,Enriched!$A$2:$E$1070,4,false)</f>
        <v>["Temperature extremes"]</v>
      </c>
      <c r="BY289" s="13" t="b">
        <f>VLOOKUP(BT289,Enriched!$A$1:$AA$1070,27,falsE)</f>
        <v>0</v>
      </c>
      <c r="BZ289" s="2" t="str">
        <f>VLOOKUP(BT289,Enriched!$A$1:$AA$1070,14,falsE)</f>
        <v>level2</v>
      </c>
      <c r="CA289" s="13" t="str">
        <f>HYPERLINK("https%3A%2F%2Fwww.webofscience.com%2Fwos%2Fwoscc%2Ffull-record%2FWOS:000273399900035","View Full Record in Web of Science")</f>
        <v>View Full Record in Web of Science</v>
      </c>
    </row>
    <row r="290" ht="12.75" customHeight="1">
      <c r="A290" s="13" t="s">
        <v>5508</v>
      </c>
      <c r="B290" s="13" t="s">
        <v>10920</v>
      </c>
      <c r="C290" s="13" t="s">
        <v>5510</v>
      </c>
      <c r="D290" s="13" t="s">
        <v>5510</v>
      </c>
      <c r="E290" s="13" t="s">
        <v>5510</v>
      </c>
      <c r="F290" s="13" t="s">
        <v>10921</v>
      </c>
      <c r="G290" s="13" t="s">
        <v>5510</v>
      </c>
      <c r="H290" s="13" t="s">
        <v>5510</v>
      </c>
      <c r="I290" s="13" t="s">
        <v>2192</v>
      </c>
      <c r="J290" s="13" t="s">
        <v>10883</v>
      </c>
      <c r="K290" s="13" t="s">
        <v>5510</v>
      </c>
      <c r="L290" s="13" t="s">
        <v>5510</v>
      </c>
      <c r="M290" s="13" t="s">
        <v>5513</v>
      </c>
      <c r="N290" s="13" t="s">
        <v>5514</v>
      </c>
      <c r="O290" s="13" t="s">
        <v>5510</v>
      </c>
      <c r="P290" s="13" t="s">
        <v>5510</v>
      </c>
      <c r="Q290" s="13" t="s">
        <v>5510</v>
      </c>
      <c r="R290" s="13" t="s">
        <v>5510</v>
      </c>
      <c r="S290" s="13" t="s">
        <v>5510</v>
      </c>
      <c r="T290" s="13" t="s">
        <v>10922</v>
      </c>
      <c r="U290" s="13" t="s">
        <v>10923</v>
      </c>
      <c r="V290" s="13" t="s">
        <v>10924</v>
      </c>
      <c r="W290" s="13" t="s">
        <v>10925</v>
      </c>
      <c r="X290" s="13" t="s">
        <v>10926</v>
      </c>
      <c r="Y290" s="13" t="s">
        <v>10927</v>
      </c>
      <c r="Z290" s="13" t="s">
        <v>10928</v>
      </c>
      <c r="AA290" s="13" t="s">
        <v>10929</v>
      </c>
      <c r="AB290" s="13" t="s">
        <v>10930</v>
      </c>
      <c r="AC290" s="13" t="s">
        <v>10931</v>
      </c>
      <c r="AD290" s="13" t="s">
        <v>10931</v>
      </c>
      <c r="AE290" s="13" t="s">
        <v>10932</v>
      </c>
      <c r="AF290" s="13" t="s">
        <v>5510</v>
      </c>
      <c r="AG290" s="13">
        <v>51.0</v>
      </c>
      <c r="AH290" s="13">
        <v>57.0</v>
      </c>
      <c r="AI290" s="13">
        <v>66.0</v>
      </c>
      <c r="AJ290" s="13">
        <v>0.0</v>
      </c>
      <c r="AK290" s="13">
        <v>79.0</v>
      </c>
      <c r="AL290" s="13" t="s">
        <v>9186</v>
      </c>
      <c r="AM290" s="13" t="s">
        <v>6046</v>
      </c>
      <c r="AN290" s="13" t="s">
        <v>9187</v>
      </c>
      <c r="AO290" s="13" t="s">
        <v>10896</v>
      </c>
      <c r="AP290" s="13" t="s">
        <v>10897</v>
      </c>
      <c r="AQ290" s="13" t="s">
        <v>5510</v>
      </c>
      <c r="AR290" s="13" t="s">
        <v>10898</v>
      </c>
      <c r="AS290" s="13" t="s">
        <v>10899</v>
      </c>
      <c r="AT290" s="13" t="s">
        <v>7409</v>
      </c>
      <c r="AU290" s="13">
        <v>2014.0</v>
      </c>
      <c r="AV290" s="13">
        <v>281.0</v>
      </c>
      <c r="AW290" s="13">
        <v>1777.0</v>
      </c>
      <c r="AX290" s="13" t="s">
        <v>5510</v>
      </c>
      <c r="AY290" s="13" t="s">
        <v>5510</v>
      </c>
      <c r="AZ290" s="13" t="s">
        <v>5510</v>
      </c>
      <c r="BA290" s="13" t="s">
        <v>5510</v>
      </c>
      <c r="BB290" s="13" t="s">
        <v>5510</v>
      </c>
      <c r="BC290" s="13" t="s">
        <v>5510</v>
      </c>
      <c r="BD290" s="13">
        <v>2.0132559E7</v>
      </c>
      <c r="BE290" s="13" t="s">
        <v>10933</v>
      </c>
      <c r="BF290" s="52" t="str">
        <f>HYPERLINK("http://dx.doi.org/10.1098/rspb.2013.2559","http://dx.doi.org/10.1098/rspb.2013.2559")</f>
        <v>http://dx.doi.org/10.1098/rspb.2013.2559</v>
      </c>
      <c r="BG290" s="13" t="s">
        <v>5510</v>
      </c>
      <c r="BH290" s="13" t="s">
        <v>5510</v>
      </c>
      <c r="BI290" s="13">
        <v>8.0</v>
      </c>
      <c r="BJ290" s="13" t="s">
        <v>9194</v>
      </c>
      <c r="BK290" s="13" t="s">
        <v>5561</v>
      </c>
      <c r="BL290" s="13" t="s">
        <v>9195</v>
      </c>
      <c r="BM290" s="13" t="s">
        <v>10934</v>
      </c>
      <c r="BN290" s="13">
        <v>2.4403331E7</v>
      </c>
      <c r="BO290" s="13" t="s">
        <v>6028</v>
      </c>
      <c r="BP290" s="13" t="s">
        <v>5510</v>
      </c>
      <c r="BQ290" s="13" t="s">
        <v>5510</v>
      </c>
      <c r="BR290" s="13" t="s">
        <v>5538</v>
      </c>
      <c r="BS290" s="13" t="s">
        <v>10935</v>
      </c>
      <c r="BT290" s="13">
        <v>25407.0</v>
      </c>
      <c r="BU290" s="13" t="s">
        <v>5540</v>
      </c>
      <c r="BV290" s="13" t="s">
        <v>4864</v>
      </c>
      <c r="BW290" s="13" t="str">
        <f>VLOOKUP($BT290,Enriched!$A$2:$E$1070,5,false)</f>
        <v>["Biological resource use"]</v>
      </c>
      <c r="BX290" s="13" t="str">
        <f>VLOOKUP($BT290,Enriched!$A$2:$E$1070,4,false)</f>
        <v>["Fishing &amp; harvesting aquatic resources"]</v>
      </c>
      <c r="BY290" s="13" t="b">
        <f>VLOOKUP(BT290,Enriched!$A$1:$AA$1070,27,falsE)</f>
        <v>0</v>
      </c>
      <c r="BZ290" s="2" t="str">
        <f>VLOOKUP(BT290,Enriched!$A$1:$AA$1070,14,falsE)</f>
        <v>level2</v>
      </c>
      <c r="CA290" s="13" t="str">
        <f>HYPERLINK("https%3A%2F%2Fwww.webofscience.com%2Fwos%2Fwoscc%2Ffull-record%2FWOS:000332382000013","View Full Record in Web of Science")</f>
        <v>View Full Record in Web of Science</v>
      </c>
    </row>
    <row r="291" ht="12.75" customHeight="1">
      <c r="A291" s="13" t="s">
        <v>5508</v>
      </c>
      <c r="B291" s="13" t="s">
        <v>10936</v>
      </c>
      <c r="C291" s="13" t="s">
        <v>5510</v>
      </c>
      <c r="D291" s="13" t="s">
        <v>5510</v>
      </c>
      <c r="E291" s="13" t="s">
        <v>5510</v>
      </c>
      <c r="F291" s="13" t="s">
        <v>10937</v>
      </c>
      <c r="G291" s="13" t="s">
        <v>5510</v>
      </c>
      <c r="H291" s="13" t="s">
        <v>5510</v>
      </c>
      <c r="I291" s="13" t="s">
        <v>2189</v>
      </c>
      <c r="J291" s="13" t="s">
        <v>6008</v>
      </c>
      <c r="K291" s="13" t="s">
        <v>5510</v>
      </c>
      <c r="L291" s="13" t="s">
        <v>5510</v>
      </c>
      <c r="M291" s="13" t="s">
        <v>5513</v>
      </c>
      <c r="N291" s="13" t="s">
        <v>5514</v>
      </c>
      <c r="O291" s="13" t="s">
        <v>5510</v>
      </c>
      <c r="P291" s="13" t="s">
        <v>5510</v>
      </c>
      <c r="Q291" s="13" t="s">
        <v>5510</v>
      </c>
      <c r="R291" s="13" t="s">
        <v>5510</v>
      </c>
      <c r="S291" s="13" t="s">
        <v>5510</v>
      </c>
      <c r="T291" s="13" t="s">
        <v>10938</v>
      </c>
      <c r="U291" s="13" t="s">
        <v>10939</v>
      </c>
      <c r="V291" s="13" t="s">
        <v>10940</v>
      </c>
      <c r="W291" s="13" t="s">
        <v>10941</v>
      </c>
      <c r="X291" s="13" t="s">
        <v>10942</v>
      </c>
      <c r="Y291" s="13" t="s">
        <v>10943</v>
      </c>
      <c r="Z291" s="13" t="s">
        <v>10944</v>
      </c>
      <c r="AA291" s="13" t="s">
        <v>10945</v>
      </c>
      <c r="AB291" s="13" t="s">
        <v>10946</v>
      </c>
      <c r="AC291" s="13" t="s">
        <v>5510</v>
      </c>
      <c r="AD291" s="13" t="s">
        <v>5510</v>
      </c>
      <c r="AE291" s="13" t="s">
        <v>5510</v>
      </c>
      <c r="AF291" s="13" t="s">
        <v>5510</v>
      </c>
      <c r="AG291" s="13">
        <v>42.0</v>
      </c>
      <c r="AH291" s="13">
        <v>9.0</v>
      </c>
      <c r="AI291" s="13">
        <v>10.0</v>
      </c>
      <c r="AJ291" s="13">
        <v>0.0</v>
      </c>
      <c r="AK291" s="13">
        <v>15.0</v>
      </c>
      <c r="AL291" s="13" t="s">
        <v>5527</v>
      </c>
      <c r="AM291" s="13" t="s">
        <v>5528</v>
      </c>
      <c r="AN291" s="13" t="s">
        <v>5529</v>
      </c>
      <c r="AO291" s="13" t="s">
        <v>6020</v>
      </c>
      <c r="AP291" s="13" t="s">
        <v>6021</v>
      </c>
      <c r="AQ291" s="13" t="s">
        <v>5510</v>
      </c>
      <c r="AR291" s="13" t="s">
        <v>6022</v>
      </c>
      <c r="AS291" s="13" t="s">
        <v>6023</v>
      </c>
      <c r="AT291" s="13" t="s">
        <v>5978</v>
      </c>
      <c r="AU291" s="13">
        <v>2009.0</v>
      </c>
      <c r="AV291" s="13">
        <v>19.0</v>
      </c>
      <c r="AW291" s="13">
        <v>8.0</v>
      </c>
      <c r="AX291" s="13" t="s">
        <v>5510</v>
      </c>
      <c r="AY291" s="13" t="s">
        <v>5510</v>
      </c>
      <c r="AZ291" s="13" t="s">
        <v>5510</v>
      </c>
      <c r="BA291" s="13" t="s">
        <v>5510</v>
      </c>
      <c r="BB291" s="13">
        <v>2026.0</v>
      </c>
      <c r="BC291" s="13">
        <v>2037.0</v>
      </c>
      <c r="BD291" s="13" t="s">
        <v>5510</v>
      </c>
      <c r="BE291" s="13" t="s">
        <v>10947</v>
      </c>
      <c r="BF291" s="52" t="str">
        <f>HYPERLINK("http://dx.doi.org/10.1890/08-0264.1","http://dx.doi.org/10.1890/08-0264.1")</f>
        <v>http://dx.doi.org/10.1890/08-0264.1</v>
      </c>
      <c r="BG291" s="13" t="s">
        <v>5510</v>
      </c>
      <c r="BH291" s="13" t="s">
        <v>5510</v>
      </c>
      <c r="BI291" s="13">
        <v>12.0</v>
      </c>
      <c r="BJ291" s="13" t="s">
        <v>6026</v>
      </c>
      <c r="BK291" s="13" t="s">
        <v>5561</v>
      </c>
      <c r="BL291" s="13" t="s">
        <v>5535</v>
      </c>
      <c r="BM291" s="13" t="s">
        <v>10948</v>
      </c>
      <c r="BN291" s="13">
        <v>2.0014576E7</v>
      </c>
      <c r="BO291" s="13" t="s">
        <v>5510</v>
      </c>
      <c r="BP291" s="13" t="s">
        <v>5510</v>
      </c>
      <c r="BQ291" s="13" t="s">
        <v>5510</v>
      </c>
      <c r="BR291" s="13" t="s">
        <v>5538</v>
      </c>
      <c r="BS291" s="13" t="s">
        <v>10949</v>
      </c>
      <c r="BT291" s="13">
        <v>25717.0</v>
      </c>
      <c r="BU291" s="13" t="s">
        <v>5540</v>
      </c>
      <c r="BV291" s="13" t="s">
        <v>4856</v>
      </c>
      <c r="BW291" s="13" t="str">
        <f>VLOOKUP($BT291,Enriched!$A$2:$E$1070,5,false)</f>
        <v>["Biological resource use"]</v>
      </c>
      <c r="BX291" s="13" t="str">
        <f>VLOOKUP($BT291,Enriched!$A$2:$E$1070,4,false)</f>
        <v>["Hunting &amp; collecting terrestrial animals"]</v>
      </c>
      <c r="BY291" s="13" t="b">
        <f>VLOOKUP(BT291,Enriched!$A$1:$AA$1070,27,falsE)</f>
        <v>0</v>
      </c>
      <c r="BZ291" s="2" t="str">
        <f>VLOOKUP(BT291,Enriched!$A$1:$AA$1070,14,falsE)</f>
        <v>level2</v>
      </c>
      <c r="CA291" s="13" t="str">
        <f>HYPERLINK("https%3A%2F%2Fwww.webofscience.com%2Fwos%2Fwoscc%2Ffull-record%2FWOS:000271874300006","View Full Record in Web of Science")</f>
        <v>View Full Record in Web of Science</v>
      </c>
    </row>
    <row r="292" ht="12.75" customHeight="1">
      <c r="A292" s="13" t="s">
        <v>5508</v>
      </c>
      <c r="B292" s="13" t="s">
        <v>10950</v>
      </c>
      <c r="C292" s="13" t="s">
        <v>5510</v>
      </c>
      <c r="D292" s="13" t="s">
        <v>5510</v>
      </c>
      <c r="E292" s="13" t="s">
        <v>5510</v>
      </c>
      <c r="F292" s="13" t="s">
        <v>10951</v>
      </c>
      <c r="G292" s="13" t="s">
        <v>5510</v>
      </c>
      <c r="H292" s="13" t="s">
        <v>5510</v>
      </c>
      <c r="I292" s="13" t="s">
        <v>2185</v>
      </c>
      <c r="J292" s="13" t="s">
        <v>10952</v>
      </c>
      <c r="K292" s="13" t="s">
        <v>5510</v>
      </c>
      <c r="L292" s="13" t="s">
        <v>5510</v>
      </c>
      <c r="M292" s="13" t="s">
        <v>5513</v>
      </c>
      <c r="N292" s="13" t="s">
        <v>5514</v>
      </c>
      <c r="O292" s="13" t="s">
        <v>5510</v>
      </c>
      <c r="P292" s="13" t="s">
        <v>5510</v>
      </c>
      <c r="Q292" s="13" t="s">
        <v>5510</v>
      </c>
      <c r="R292" s="13" t="s">
        <v>5510</v>
      </c>
      <c r="S292" s="13" t="s">
        <v>5510</v>
      </c>
      <c r="T292" s="13" t="s">
        <v>10953</v>
      </c>
      <c r="U292" s="13" t="s">
        <v>10954</v>
      </c>
      <c r="V292" s="13" t="s">
        <v>10955</v>
      </c>
      <c r="W292" s="13" t="s">
        <v>10956</v>
      </c>
      <c r="X292" s="13" t="s">
        <v>10957</v>
      </c>
      <c r="Y292" s="13" t="s">
        <v>10958</v>
      </c>
      <c r="Z292" s="13" t="s">
        <v>10959</v>
      </c>
      <c r="AA292" s="13" t="s">
        <v>10960</v>
      </c>
      <c r="AB292" s="13" t="s">
        <v>10961</v>
      </c>
      <c r="AC292" s="13" t="s">
        <v>5510</v>
      </c>
      <c r="AD292" s="13" t="s">
        <v>5510</v>
      </c>
      <c r="AE292" s="13" t="s">
        <v>5510</v>
      </c>
      <c r="AF292" s="13" t="s">
        <v>5510</v>
      </c>
      <c r="AG292" s="13">
        <v>50.0</v>
      </c>
      <c r="AH292" s="13">
        <v>47.0</v>
      </c>
      <c r="AI292" s="13">
        <v>61.0</v>
      </c>
      <c r="AJ292" s="13">
        <v>0.0</v>
      </c>
      <c r="AK292" s="13">
        <v>26.0</v>
      </c>
      <c r="AL292" s="13" t="s">
        <v>10962</v>
      </c>
      <c r="AM292" s="13" t="s">
        <v>10963</v>
      </c>
      <c r="AN292" s="13" t="s">
        <v>10964</v>
      </c>
      <c r="AO292" s="13" t="s">
        <v>10965</v>
      </c>
      <c r="AP292" s="13" t="s">
        <v>10966</v>
      </c>
      <c r="AQ292" s="13" t="s">
        <v>5510</v>
      </c>
      <c r="AR292" s="13" t="s">
        <v>10967</v>
      </c>
      <c r="AS292" s="13" t="s">
        <v>10968</v>
      </c>
      <c r="AT292" s="13" t="s">
        <v>5510</v>
      </c>
      <c r="AU292" s="13">
        <v>2006.0</v>
      </c>
      <c r="AV292" s="13">
        <v>15.0</v>
      </c>
      <c r="AW292" s="13">
        <v>2.0</v>
      </c>
      <c r="AX292" s="13" t="s">
        <v>5510</v>
      </c>
      <c r="AY292" s="13" t="s">
        <v>5510</v>
      </c>
      <c r="AZ292" s="13" t="s">
        <v>5510</v>
      </c>
      <c r="BA292" s="13" t="s">
        <v>5510</v>
      </c>
      <c r="BB292" s="13">
        <v>247.0</v>
      </c>
      <c r="BC292" s="13">
        <v>259.0</v>
      </c>
      <c r="BD292" s="13" t="s">
        <v>5510</v>
      </c>
      <c r="BE292" s="13" t="s">
        <v>10969</v>
      </c>
      <c r="BF292" s="52" t="str">
        <f>HYPERLINK("http://dx.doi.org/10.1071/WF05066","http://dx.doi.org/10.1071/WF05066")</f>
        <v>http://dx.doi.org/10.1071/WF05066</v>
      </c>
      <c r="BG292" s="13" t="s">
        <v>5510</v>
      </c>
      <c r="BH292" s="13" t="s">
        <v>5510</v>
      </c>
      <c r="BI292" s="13">
        <v>13.0</v>
      </c>
      <c r="BJ292" s="13" t="s">
        <v>8294</v>
      </c>
      <c r="BK292" s="13" t="s">
        <v>5561</v>
      </c>
      <c r="BL292" s="13" t="s">
        <v>8294</v>
      </c>
      <c r="BM292" s="13" t="s">
        <v>10970</v>
      </c>
      <c r="BN292" s="13" t="s">
        <v>5510</v>
      </c>
      <c r="BO292" s="13" t="s">
        <v>5510</v>
      </c>
      <c r="BP292" s="13" t="s">
        <v>5510</v>
      </c>
      <c r="BQ292" s="13" t="s">
        <v>5510</v>
      </c>
      <c r="BR292" s="13" t="s">
        <v>5538</v>
      </c>
      <c r="BS292" s="13" t="s">
        <v>10971</v>
      </c>
      <c r="BT292" s="13">
        <v>23913.0</v>
      </c>
      <c r="BU292" s="13" t="s">
        <v>5540</v>
      </c>
      <c r="BV292" s="13" t="s">
        <v>4856</v>
      </c>
      <c r="BW292" s="13" t="str">
        <f>VLOOKUP($BT292,Enriched!$A$2:$E$1070,5,false)</f>
        <v>["Natural System Modifications", "Invasive &amp; Other Problematic Species, Genes &amp; Diseases"]</v>
      </c>
      <c r="BX292" s="13" t="str">
        <f>VLOOKUP($BT292,Enriched!$A$2:$E$1070,4,false)</f>
        <v>["Fire &amp; fire suppression", "Invasive non-native/alien species/diseases"]</v>
      </c>
      <c r="BY292" s="13" t="b">
        <f>VLOOKUP(BT292,Enriched!$A$1:$AA$1070,27,falsE)</f>
        <v>0</v>
      </c>
      <c r="BZ292" s="2" t="str">
        <f>VLOOKUP(BT292,Enriched!$A$1:$AA$1070,14,falsE)</f>
        <v>level2</v>
      </c>
      <c r="CA292" s="13" t="str">
        <f>HYPERLINK("https%3A%2F%2Fwww.webofscience.com%2Fwos%2Fwoscc%2Ffull-record%2FWOS:000238760200011","View Full Record in Web of Science")</f>
        <v>View Full Record in Web of Science</v>
      </c>
    </row>
    <row r="293" ht="12.75" customHeight="1">
      <c r="A293" s="13" t="s">
        <v>5508</v>
      </c>
      <c r="B293" s="13" t="s">
        <v>10972</v>
      </c>
      <c r="C293" s="13" t="s">
        <v>5510</v>
      </c>
      <c r="D293" s="13" t="s">
        <v>5510</v>
      </c>
      <c r="E293" s="13" t="s">
        <v>5510</v>
      </c>
      <c r="F293" s="13" t="s">
        <v>10973</v>
      </c>
      <c r="G293" s="13" t="s">
        <v>5510</v>
      </c>
      <c r="H293" s="13" t="s">
        <v>5510</v>
      </c>
      <c r="I293" s="13" t="s">
        <v>2182</v>
      </c>
      <c r="J293" s="13" t="s">
        <v>5625</v>
      </c>
      <c r="K293" s="13" t="s">
        <v>5510</v>
      </c>
      <c r="L293" s="13" t="s">
        <v>5510</v>
      </c>
      <c r="M293" s="13" t="s">
        <v>5513</v>
      </c>
      <c r="N293" s="13" t="s">
        <v>5514</v>
      </c>
      <c r="O293" s="13" t="s">
        <v>5510</v>
      </c>
      <c r="P293" s="13" t="s">
        <v>5510</v>
      </c>
      <c r="Q293" s="13" t="s">
        <v>5510</v>
      </c>
      <c r="R293" s="13" t="s">
        <v>5510</v>
      </c>
      <c r="S293" s="13" t="s">
        <v>5510</v>
      </c>
      <c r="T293" s="13" t="s">
        <v>10974</v>
      </c>
      <c r="U293" s="13" t="s">
        <v>10975</v>
      </c>
      <c r="V293" s="13" t="s">
        <v>10976</v>
      </c>
      <c r="W293" s="13" t="s">
        <v>10977</v>
      </c>
      <c r="X293" s="13" t="s">
        <v>10873</v>
      </c>
      <c r="Y293" s="13" t="s">
        <v>10978</v>
      </c>
      <c r="Z293" s="13" t="s">
        <v>10979</v>
      </c>
      <c r="AA293" s="13" t="s">
        <v>5510</v>
      </c>
      <c r="AB293" s="13" t="s">
        <v>5510</v>
      </c>
      <c r="AC293" s="13" t="s">
        <v>10980</v>
      </c>
      <c r="AD293" s="13" t="s">
        <v>10980</v>
      </c>
      <c r="AE293" s="13" t="s">
        <v>10981</v>
      </c>
      <c r="AF293" s="13" t="s">
        <v>5510</v>
      </c>
      <c r="AG293" s="13">
        <v>62.0</v>
      </c>
      <c r="AH293" s="13">
        <v>10.0</v>
      </c>
      <c r="AI293" s="13">
        <v>11.0</v>
      </c>
      <c r="AJ293" s="13">
        <v>1.0</v>
      </c>
      <c r="AK293" s="13">
        <v>20.0</v>
      </c>
      <c r="AL293" s="13" t="s">
        <v>5639</v>
      </c>
      <c r="AM293" s="13" t="s">
        <v>5640</v>
      </c>
      <c r="AN293" s="13" t="s">
        <v>5641</v>
      </c>
      <c r="AO293" s="13" t="s">
        <v>5642</v>
      </c>
      <c r="AP293" s="13" t="s">
        <v>5643</v>
      </c>
      <c r="AQ293" s="13" t="s">
        <v>5510</v>
      </c>
      <c r="AR293" s="13" t="s">
        <v>5644</v>
      </c>
      <c r="AS293" s="13" t="s">
        <v>5645</v>
      </c>
      <c r="AT293" s="13" t="s">
        <v>10982</v>
      </c>
      <c r="AU293" s="13">
        <v>2019.0</v>
      </c>
      <c r="AV293" s="13" t="s">
        <v>5510</v>
      </c>
      <c r="AW293" s="13">
        <v>36.0</v>
      </c>
      <c r="AX293" s="13" t="s">
        <v>5510</v>
      </c>
      <c r="AY293" s="13" t="s">
        <v>5510</v>
      </c>
      <c r="AZ293" s="13" t="s">
        <v>5510</v>
      </c>
      <c r="BA293" s="13" t="s">
        <v>5510</v>
      </c>
      <c r="BB293" s="13">
        <v>1.0</v>
      </c>
      <c r="BC293" s="13">
        <v>16.0</v>
      </c>
      <c r="BD293" s="13" t="s">
        <v>5510</v>
      </c>
      <c r="BE293" s="13" t="s">
        <v>10983</v>
      </c>
      <c r="BF293" s="52" t="str">
        <f>HYPERLINK("http://dx.doi.org/10.3897/natureconservation.36.31826","http://dx.doi.org/10.3897/natureconservation.36.31826")</f>
        <v>http://dx.doi.org/10.3897/natureconservation.36.31826</v>
      </c>
      <c r="BG293" s="13" t="s">
        <v>5510</v>
      </c>
      <c r="BH293" s="13" t="s">
        <v>5510</v>
      </c>
      <c r="BI293" s="13">
        <v>16.0</v>
      </c>
      <c r="BJ293" s="13" t="s">
        <v>5648</v>
      </c>
      <c r="BK293" s="13" t="s">
        <v>5561</v>
      </c>
      <c r="BL293" s="13" t="s">
        <v>5650</v>
      </c>
      <c r="BM293" s="13" t="s">
        <v>10984</v>
      </c>
      <c r="BN293" s="13" t="s">
        <v>5510</v>
      </c>
      <c r="BO293" s="13" t="s">
        <v>5564</v>
      </c>
      <c r="BP293" s="13" t="s">
        <v>5510</v>
      </c>
      <c r="BQ293" s="13" t="s">
        <v>5510</v>
      </c>
      <c r="BR293" s="13" t="s">
        <v>5538</v>
      </c>
      <c r="BS293" s="13" t="s">
        <v>10985</v>
      </c>
      <c r="BT293" s="13">
        <v>24192.0</v>
      </c>
      <c r="BU293" s="13" t="s">
        <v>5540</v>
      </c>
      <c r="BV293" s="13" t="s">
        <v>4856</v>
      </c>
      <c r="BW293" s="13" t="str">
        <f>VLOOKUP($BT293,Enriched!$A$2:$E$1070,5,false)</f>
        <v>["Transportation &amp; Service Corridors"]</v>
      </c>
      <c r="BX293" s="13" t="str">
        <f>VLOOKUP($BT293,Enriched!$A$2:$E$1070,4,false)</f>
        <v>["Roads &amp; railroads"]</v>
      </c>
      <c r="BY293" s="13" t="b">
        <f>VLOOKUP(BT293,Enriched!$A$1:$AA$1070,27,falsE)</f>
        <v>0</v>
      </c>
      <c r="BZ293" s="2" t="str">
        <f>VLOOKUP(BT293,Enriched!$A$1:$AA$1070,14,falsE)</f>
        <v>level2</v>
      </c>
      <c r="CA293" s="13" t="str">
        <f>HYPERLINK("https%3A%2F%2Fwww.webofscience.com%2Fwos%2Fwoscc%2Ffull-record%2FWOS:000473722300001","View Full Record in Web of Science")</f>
        <v>View Full Record in Web of Science</v>
      </c>
    </row>
    <row r="294" ht="12.75" customHeight="1">
      <c r="A294" s="13" t="s">
        <v>5508</v>
      </c>
      <c r="B294" s="13" t="s">
        <v>10986</v>
      </c>
      <c r="C294" s="13" t="s">
        <v>5510</v>
      </c>
      <c r="D294" s="13" t="s">
        <v>5510</v>
      </c>
      <c r="E294" s="13" t="s">
        <v>5510</v>
      </c>
      <c r="F294" s="13" t="s">
        <v>10987</v>
      </c>
      <c r="G294" s="13" t="s">
        <v>5510</v>
      </c>
      <c r="H294" s="13" t="s">
        <v>5510</v>
      </c>
      <c r="I294" s="13" t="s">
        <v>10988</v>
      </c>
      <c r="J294" s="13" t="s">
        <v>5792</v>
      </c>
      <c r="K294" s="13" t="s">
        <v>5510</v>
      </c>
      <c r="L294" s="13" t="s">
        <v>5510</v>
      </c>
      <c r="M294" s="13" t="s">
        <v>5513</v>
      </c>
      <c r="N294" s="13" t="s">
        <v>5514</v>
      </c>
      <c r="O294" s="13" t="s">
        <v>5510</v>
      </c>
      <c r="P294" s="13" t="s">
        <v>5510</v>
      </c>
      <c r="Q294" s="13" t="s">
        <v>5510</v>
      </c>
      <c r="R294" s="13" t="s">
        <v>5510</v>
      </c>
      <c r="S294" s="13" t="s">
        <v>5510</v>
      </c>
      <c r="T294" s="13" t="s">
        <v>10989</v>
      </c>
      <c r="U294" s="13" t="s">
        <v>10990</v>
      </c>
      <c r="V294" s="13" t="s">
        <v>10991</v>
      </c>
      <c r="W294" s="13" t="s">
        <v>10992</v>
      </c>
      <c r="X294" s="13" t="s">
        <v>10993</v>
      </c>
      <c r="Y294" s="13" t="s">
        <v>10994</v>
      </c>
      <c r="Z294" s="13" t="s">
        <v>10995</v>
      </c>
      <c r="AA294" s="13" t="s">
        <v>10996</v>
      </c>
      <c r="AB294" s="13" t="s">
        <v>10997</v>
      </c>
      <c r="AC294" s="13" t="s">
        <v>10998</v>
      </c>
      <c r="AD294" s="13" t="s">
        <v>10998</v>
      </c>
      <c r="AE294" s="13" t="s">
        <v>10999</v>
      </c>
      <c r="AF294" s="13" t="s">
        <v>5510</v>
      </c>
      <c r="AG294" s="13">
        <v>136.0</v>
      </c>
      <c r="AH294" s="13">
        <v>17.0</v>
      </c>
      <c r="AI294" s="13">
        <v>24.0</v>
      </c>
      <c r="AJ294" s="13">
        <v>1.0</v>
      </c>
      <c r="AK294" s="13">
        <v>44.0</v>
      </c>
      <c r="AL294" s="13" t="s">
        <v>5800</v>
      </c>
      <c r="AM294" s="13" t="s">
        <v>5801</v>
      </c>
      <c r="AN294" s="13" t="s">
        <v>5802</v>
      </c>
      <c r="AO294" s="13" t="s">
        <v>5803</v>
      </c>
      <c r="AP294" s="13" t="s">
        <v>5804</v>
      </c>
      <c r="AQ294" s="13" t="s">
        <v>5510</v>
      </c>
      <c r="AR294" s="13" t="s">
        <v>5805</v>
      </c>
      <c r="AS294" s="13" t="s">
        <v>5806</v>
      </c>
      <c r="AT294" s="13" t="s">
        <v>5510</v>
      </c>
      <c r="AU294" s="13">
        <v>2017.0</v>
      </c>
      <c r="AV294" s="13">
        <v>32.0</v>
      </c>
      <c r="AW294" s="13" t="s">
        <v>5510</v>
      </c>
      <c r="AX294" s="13" t="s">
        <v>5510</v>
      </c>
      <c r="AY294" s="13" t="s">
        <v>5510</v>
      </c>
      <c r="AZ294" s="13" t="s">
        <v>5510</v>
      </c>
      <c r="BA294" s="13" t="s">
        <v>5510</v>
      </c>
      <c r="BB294" s="13">
        <v>437.0</v>
      </c>
      <c r="BC294" s="13">
        <v>458.0</v>
      </c>
      <c r="BD294" s="13" t="s">
        <v>5510</v>
      </c>
      <c r="BE294" s="13" t="s">
        <v>11000</v>
      </c>
      <c r="BF294" s="52" t="str">
        <f>HYPERLINK("http://dx.doi.org/10.3354/esr00823","http://dx.doi.org/10.3354/esr00823")</f>
        <v>http://dx.doi.org/10.3354/esr00823</v>
      </c>
      <c r="BG294" s="13" t="s">
        <v>5510</v>
      </c>
      <c r="BH294" s="13" t="s">
        <v>5510</v>
      </c>
      <c r="BI294" s="13">
        <v>22.0</v>
      </c>
      <c r="BJ294" s="13" t="s">
        <v>5648</v>
      </c>
      <c r="BK294" s="13" t="s">
        <v>5561</v>
      </c>
      <c r="BL294" s="13" t="s">
        <v>5650</v>
      </c>
      <c r="BM294" s="13" t="s">
        <v>11001</v>
      </c>
      <c r="BN294" s="13" t="s">
        <v>5510</v>
      </c>
      <c r="BO294" s="13" t="s">
        <v>5537</v>
      </c>
      <c r="BP294" s="13" t="s">
        <v>5510</v>
      </c>
      <c r="BQ294" s="13" t="s">
        <v>5510</v>
      </c>
      <c r="BR294" s="13" t="s">
        <v>5538</v>
      </c>
      <c r="BS294" s="13" t="s">
        <v>11002</v>
      </c>
      <c r="BT294" s="13">
        <v>24055.0</v>
      </c>
      <c r="BU294" s="13" t="s">
        <v>5540</v>
      </c>
      <c r="BV294" s="13" t="s">
        <v>4864</v>
      </c>
      <c r="BW294" s="13" t="str">
        <f>VLOOKUP($BT294,Enriched!$A$2:$E$1070,5,false)</f>
        <v>["Transportation &amp; Service Corridors", "Energy Production &amp; Mining"]</v>
      </c>
      <c r="BX294" s="13" t="str">
        <f>VLOOKUP($BT294,Enriched!$A$2:$E$1070,4,false)</f>
        <v>["Shipping lanes", "Oil &amp; gas drilling"]</v>
      </c>
      <c r="BY294" s="13" t="b">
        <f>VLOOKUP(BT294,Enriched!$A$1:$AA$1070,27,falsE)</f>
        <v>0</v>
      </c>
      <c r="BZ294" s="2" t="str">
        <f>VLOOKUP(BT294,Enriched!$A$1:$AA$1070,14,falsE)</f>
        <v>level2</v>
      </c>
      <c r="CA294" s="13" t="str">
        <f>HYPERLINK("https%3A%2F%2Fwww.webofscience.com%2Fwos%2Fwoscc%2Ffull-record%2FWOS:000402373500003","View Full Record in Web of Science")</f>
        <v>View Full Record in Web of Science</v>
      </c>
    </row>
    <row r="295" ht="12.75" customHeight="1">
      <c r="A295" s="13" t="s">
        <v>5508</v>
      </c>
      <c r="B295" s="13" t="s">
        <v>11003</v>
      </c>
      <c r="C295" s="13" t="s">
        <v>5510</v>
      </c>
      <c r="D295" s="13" t="s">
        <v>5510</v>
      </c>
      <c r="E295" s="13" t="s">
        <v>5510</v>
      </c>
      <c r="F295" s="13" t="s">
        <v>11004</v>
      </c>
      <c r="G295" s="13" t="s">
        <v>5510</v>
      </c>
      <c r="H295" s="13" t="s">
        <v>5510</v>
      </c>
      <c r="I295" s="13" t="s">
        <v>11005</v>
      </c>
      <c r="J295" s="13" t="s">
        <v>5512</v>
      </c>
      <c r="K295" s="13" t="s">
        <v>5510</v>
      </c>
      <c r="L295" s="13" t="s">
        <v>5510</v>
      </c>
      <c r="M295" s="13" t="s">
        <v>5513</v>
      </c>
      <c r="N295" s="13" t="s">
        <v>5514</v>
      </c>
      <c r="O295" s="13" t="s">
        <v>5510</v>
      </c>
      <c r="P295" s="13" t="s">
        <v>5510</v>
      </c>
      <c r="Q295" s="13" t="s">
        <v>5510</v>
      </c>
      <c r="R295" s="13" t="s">
        <v>5510</v>
      </c>
      <c r="S295" s="13" t="s">
        <v>5510</v>
      </c>
      <c r="T295" s="13" t="s">
        <v>11006</v>
      </c>
      <c r="U295" s="13" t="s">
        <v>11007</v>
      </c>
      <c r="V295" s="13" t="s">
        <v>11008</v>
      </c>
      <c r="W295" s="13" t="s">
        <v>11009</v>
      </c>
      <c r="X295" s="13" t="s">
        <v>11010</v>
      </c>
      <c r="Y295" s="13" t="s">
        <v>11011</v>
      </c>
      <c r="Z295" s="13" t="s">
        <v>11012</v>
      </c>
      <c r="AA295" s="13" t="s">
        <v>5510</v>
      </c>
      <c r="AB295" s="13" t="s">
        <v>5510</v>
      </c>
      <c r="AC295" s="13" t="s">
        <v>11013</v>
      </c>
      <c r="AD295" s="13" t="s">
        <v>11013</v>
      </c>
      <c r="AE295" s="13" t="s">
        <v>11014</v>
      </c>
      <c r="AF295" s="13" t="s">
        <v>5510</v>
      </c>
      <c r="AG295" s="13">
        <v>57.0</v>
      </c>
      <c r="AH295" s="13">
        <v>11.0</v>
      </c>
      <c r="AI295" s="13">
        <v>12.0</v>
      </c>
      <c r="AJ295" s="13">
        <v>0.0</v>
      </c>
      <c r="AK295" s="13">
        <v>32.0</v>
      </c>
      <c r="AL295" s="13" t="s">
        <v>5527</v>
      </c>
      <c r="AM295" s="13" t="s">
        <v>5528</v>
      </c>
      <c r="AN295" s="13" t="s">
        <v>5529</v>
      </c>
      <c r="AO295" s="13" t="s">
        <v>5530</v>
      </c>
      <c r="AP295" s="13" t="s">
        <v>5510</v>
      </c>
      <c r="AQ295" s="13" t="s">
        <v>5510</v>
      </c>
      <c r="AR295" s="13" t="s">
        <v>5512</v>
      </c>
      <c r="AS295" s="13" t="s">
        <v>53</v>
      </c>
      <c r="AT295" s="13" t="s">
        <v>5720</v>
      </c>
      <c r="AU295" s="13">
        <v>2017.0</v>
      </c>
      <c r="AV295" s="13">
        <v>8.0</v>
      </c>
      <c r="AW295" s="13">
        <v>6.0</v>
      </c>
      <c r="AX295" s="13" t="s">
        <v>5510</v>
      </c>
      <c r="AY295" s="13" t="s">
        <v>5510</v>
      </c>
      <c r="AZ295" s="13" t="s">
        <v>5510</v>
      </c>
      <c r="BA295" s="13" t="s">
        <v>5510</v>
      </c>
      <c r="BB295" s="13" t="s">
        <v>5510</v>
      </c>
      <c r="BC295" s="13" t="s">
        <v>5510</v>
      </c>
      <c r="BD295" s="13" t="s">
        <v>11015</v>
      </c>
      <c r="BE295" s="13" t="s">
        <v>11016</v>
      </c>
      <c r="BF295" s="52" t="str">
        <f>HYPERLINK("http://dx.doi.org/10.1002/ecs2.1835","http://dx.doi.org/10.1002/ecs2.1835")</f>
        <v>http://dx.doi.org/10.1002/ecs2.1835</v>
      </c>
      <c r="BG295" s="13" t="s">
        <v>5510</v>
      </c>
      <c r="BH295" s="13" t="s">
        <v>5510</v>
      </c>
      <c r="BI295" s="13">
        <v>15.0</v>
      </c>
      <c r="BJ295" s="13" t="s">
        <v>5533</v>
      </c>
      <c r="BK295" s="13" t="s">
        <v>5561</v>
      </c>
      <c r="BL295" s="13" t="s">
        <v>5535</v>
      </c>
      <c r="BM295" s="13" t="s">
        <v>11017</v>
      </c>
      <c r="BN295" s="13" t="s">
        <v>5510</v>
      </c>
      <c r="BO295" s="13" t="s">
        <v>5564</v>
      </c>
      <c r="BP295" s="13" t="s">
        <v>5510</v>
      </c>
      <c r="BQ295" s="13" t="s">
        <v>5510</v>
      </c>
      <c r="BR295" s="13" t="s">
        <v>5538</v>
      </c>
      <c r="BS295" s="13" t="s">
        <v>11018</v>
      </c>
      <c r="BT295" s="13">
        <v>25625.0</v>
      </c>
      <c r="BU295" s="13" t="s">
        <v>5540</v>
      </c>
      <c r="BV295" s="13" t="s">
        <v>4856</v>
      </c>
      <c r="BW295" s="13" t="str">
        <f>VLOOKUP($BT295,Enriched!$A$2:$E$1070,5,false)</f>
        <v>["Energy Production &amp; Mining"]</v>
      </c>
      <c r="BX295" s="13" t="str">
        <f>VLOOKUP($BT295,Enriched!$A$2:$E$1070,4,false)</f>
        <v>["Renewable energy"]</v>
      </c>
      <c r="BY295" s="13" t="b">
        <f>VLOOKUP(BT295,Enriched!$A$1:$AA$1070,27,falsE)</f>
        <v>0</v>
      </c>
      <c r="BZ295" s="2" t="str">
        <f>VLOOKUP(BT295,Enriched!$A$1:$AA$1070,14,falsE)</f>
        <v>level2</v>
      </c>
      <c r="CA295" s="13" t="str">
        <f>HYPERLINK("https%3A%2F%2Fwww.webofscience.com%2Fwos%2Fwoscc%2Ffull-record%2FWOS:000405626700017","View Full Record in Web of Science")</f>
        <v>View Full Record in Web of Science</v>
      </c>
    </row>
    <row r="296" ht="12.75" customHeight="1">
      <c r="A296" s="13" t="s">
        <v>5508</v>
      </c>
      <c r="B296" s="13" t="s">
        <v>11019</v>
      </c>
      <c r="C296" s="13" t="s">
        <v>5510</v>
      </c>
      <c r="D296" s="13" t="s">
        <v>5510</v>
      </c>
      <c r="E296" s="13" t="s">
        <v>5510</v>
      </c>
      <c r="F296" s="13" t="s">
        <v>11020</v>
      </c>
      <c r="G296" s="13" t="s">
        <v>5510</v>
      </c>
      <c r="H296" s="13" t="s">
        <v>5510</v>
      </c>
      <c r="I296" s="13" t="s">
        <v>11021</v>
      </c>
      <c r="J296" s="13" t="s">
        <v>11022</v>
      </c>
      <c r="K296" s="13" t="s">
        <v>5510</v>
      </c>
      <c r="L296" s="13" t="s">
        <v>5510</v>
      </c>
      <c r="M296" s="13" t="s">
        <v>5513</v>
      </c>
      <c r="N296" s="13" t="s">
        <v>5514</v>
      </c>
      <c r="O296" s="13" t="s">
        <v>5510</v>
      </c>
      <c r="P296" s="13" t="s">
        <v>5510</v>
      </c>
      <c r="Q296" s="13" t="s">
        <v>5510</v>
      </c>
      <c r="R296" s="13" t="s">
        <v>5510</v>
      </c>
      <c r="S296" s="13" t="s">
        <v>5510</v>
      </c>
      <c r="T296" s="13" t="s">
        <v>11023</v>
      </c>
      <c r="U296" s="13" t="s">
        <v>11024</v>
      </c>
      <c r="V296" s="13" t="s">
        <v>11025</v>
      </c>
      <c r="W296" s="13" t="s">
        <v>11026</v>
      </c>
      <c r="X296" s="13" t="s">
        <v>11027</v>
      </c>
      <c r="Y296" s="13" t="s">
        <v>11028</v>
      </c>
      <c r="Z296" s="13" t="s">
        <v>11029</v>
      </c>
      <c r="AA296" s="13" t="s">
        <v>11030</v>
      </c>
      <c r="AB296" s="13" t="s">
        <v>11031</v>
      </c>
      <c r="AC296" s="13" t="s">
        <v>5510</v>
      </c>
      <c r="AD296" s="13" t="s">
        <v>5510</v>
      </c>
      <c r="AE296" s="13" t="s">
        <v>5510</v>
      </c>
      <c r="AF296" s="13" t="s">
        <v>5510</v>
      </c>
      <c r="AG296" s="13">
        <v>42.0</v>
      </c>
      <c r="AH296" s="13">
        <v>75.0</v>
      </c>
      <c r="AI296" s="13">
        <v>80.0</v>
      </c>
      <c r="AJ296" s="13">
        <v>3.0</v>
      </c>
      <c r="AK296" s="13">
        <v>110.0</v>
      </c>
      <c r="AL296" s="13" t="s">
        <v>5690</v>
      </c>
      <c r="AM296" s="13" t="s">
        <v>6503</v>
      </c>
      <c r="AN296" s="13" t="s">
        <v>6504</v>
      </c>
      <c r="AO296" s="13" t="s">
        <v>11032</v>
      </c>
      <c r="AP296" s="13" t="s">
        <v>11033</v>
      </c>
      <c r="AQ296" s="13" t="s">
        <v>5510</v>
      </c>
      <c r="AR296" s="13" t="s">
        <v>11022</v>
      </c>
      <c r="AS296" s="13" t="s">
        <v>2175</v>
      </c>
      <c r="AT296" s="13" t="s">
        <v>1925</v>
      </c>
      <c r="AU296" s="13">
        <v>2008.0</v>
      </c>
      <c r="AV296" s="13">
        <v>5.0</v>
      </c>
      <c r="AW296" s="13">
        <v>3.0</v>
      </c>
      <c r="AX296" s="13" t="s">
        <v>5510</v>
      </c>
      <c r="AY296" s="13" t="s">
        <v>5510</v>
      </c>
      <c r="AZ296" s="13" t="s">
        <v>5510</v>
      </c>
      <c r="BA296" s="13" t="s">
        <v>5510</v>
      </c>
      <c r="BB296" s="13">
        <v>305.0</v>
      </c>
      <c r="BC296" s="13">
        <v>316.0</v>
      </c>
      <c r="BD296" s="13" t="s">
        <v>5510</v>
      </c>
      <c r="BE296" s="13" t="s">
        <v>11034</v>
      </c>
      <c r="BF296" s="52" t="str">
        <f>HYPERLINK("http://dx.doi.org/10.1007/s10393-008-0191-z","http://dx.doi.org/10.1007/s10393-008-0191-z")</f>
        <v>http://dx.doi.org/10.1007/s10393-008-0191-z</v>
      </c>
      <c r="BG296" s="13" t="s">
        <v>5510</v>
      </c>
      <c r="BH296" s="13" t="s">
        <v>5510</v>
      </c>
      <c r="BI296" s="13">
        <v>12.0</v>
      </c>
      <c r="BJ296" s="13" t="s">
        <v>5698</v>
      </c>
      <c r="BK296" s="13" t="s">
        <v>5561</v>
      </c>
      <c r="BL296" s="13" t="s">
        <v>5699</v>
      </c>
      <c r="BM296" s="13" t="s">
        <v>11035</v>
      </c>
      <c r="BN296" s="13">
        <v>1.8923872E7</v>
      </c>
      <c r="BO296" s="13" t="s">
        <v>5510</v>
      </c>
      <c r="BP296" s="13" t="s">
        <v>5510</v>
      </c>
      <c r="BQ296" s="13" t="s">
        <v>5510</v>
      </c>
      <c r="BR296" s="13" t="s">
        <v>5538</v>
      </c>
      <c r="BS296" s="13" t="s">
        <v>11036</v>
      </c>
      <c r="BT296" s="13">
        <v>25442.0</v>
      </c>
      <c r="BU296" s="13" t="s">
        <v>5540</v>
      </c>
      <c r="BV296" s="13" t="s">
        <v>4856</v>
      </c>
      <c r="BW296" s="13" t="str">
        <f>VLOOKUP($BT296,Enriched!$A$2:$E$1070,5,false)</f>
        <v>["Invasive &amp; other problematic species, genes &amp; diseases"]</v>
      </c>
      <c r="BX296" s="13" t="str">
        <f>VLOOKUP($BT296,Enriched!$A$2:$E$1070,4,false)</f>
        <v>["Invasive non-native/alien species/diseases"]</v>
      </c>
      <c r="BY296" s="13" t="b">
        <f>VLOOKUP(BT296,Enriched!$A$1:$AA$1070,27,falsE)</f>
        <v>0</v>
      </c>
      <c r="BZ296" s="2" t="str">
        <f>VLOOKUP(BT296,Enriched!$A$1:$AA$1070,14,falsE)</f>
        <v>level2</v>
      </c>
      <c r="CA296" s="13" t="str">
        <f>HYPERLINK("https%3A%2F%2Fwww.webofscience.com%2Fwos%2Fwoscc%2Ffull-record%2FWOS:000262696500010","View Full Record in Web of Science")</f>
        <v>View Full Record in Web of Science</v>
      </c>
    </row>
    <row r="297" ht="12.75" customHeight="1">
      <c r="A297" s="13" t="s">
        <v>5508</v>
      </c>
      <c r="B297" s="13" t="s">
        <v>11037</v>
      </c>
      <c r="C297" s="13" t="s">
        <v>5510</v>
      </c>
      <c r="D297" s="13" t="s">
        <v>5510</v>
      </c>
      <c r="E297" s="13" t="s">
        <v>5510</v>
      </c>
      <c r="F297" s="13" t="s">
        <v>11038</v>
      </c>
      <c r="G297" s="13" t="s">
        <v>5510</v>
      </c>
      <c r="H297" s="13" t="s">
        <v>5510</v>
      </c>
      <c r="I297" s="13" t="s">
        <v>2171</v>
      </c>
      <c r="J297" s="13" t="s">
        <v>8185</v>
      </c>
      <c r="K297" s="13" t="s">
        <v>5510</v>
      </c>
      <c r="L297" s="13" t="s">
        <v>5510</v>
      </c>
      <c r="M297" s="13" t="s">
        <v>5513</v>
      </c>
      <c r="N297" s="13" t="s">
        <v>5514</v>
      </c>
      <c r="O297" s="13" t="s">
        <v>5510</v>
      </c>
      <c r="P297" s="13" t="s">
        <v>5510</v>
      </c>
      <c r="Q297" s="13" t="s">
        <v>5510</v>
      </c>
      <c r="R297" s="13" t="s">
        <v>5510</v>
      </c>
      <c r="S297" s="13" t="s">
        <v>5510</v>
      </c>
      <c r="T297" s="13" t="s">
        <v>11039</v>
      </c>
      <c r="U297" s="13" t="s">
        <v>11040</v>
      </c>
      <c r="V297" s="13" t="s">
        <v>11041</v>
      </c>
      <c r="W297" s="13" t="s">
        <v>11042</v>
      </c>
      <c r="X297" s="13" t="s">
        <v>11043</v>
      </c>
      <c r="Y297" s="13" t="s">
        <v>11044</v>
      </c>
      <c r="Z297" s="13" t="s">
        <v>11045</v>
      </c>
      <c r="AA297" s="13" t="s">
        <v>5510</v>
      </c>
      <c r="AB297" s="13" t="s">
        <v>5510</v>
      </c>
      <c r="AC297" s="13" t="s">
        <v>11046</v>
      </c>
      <c r="AD297" s="13" t="s">
        <v>11047</v>
      </c>
      <c r="AE297" s="13" t="s">
        <v>11048</v>
      </c>
      <c r="AF297" s="13" t="s">
        <v>5510</v>
      </c>
      <c r="AG297" s="13">
        <v>41.0</v>
      </c>
      <c r="AH297" s="13">
        <v>26.0</v>
      </c>
      <c r="AI297" s="13">
        <v>28.0</v>
      </c>
      <c r="AJ297" s="13">
        <v>2.0</v>
      </c>
      <c r="AK297" s="13">
        <v>27.0</v>
      </c>
      <c r="AL297" s="13" t="s">
        <v>5527</v>
      </c>
      <c r="AM297" s="13" t="s">
        <v>5528</v>
      </c>
      <c r="AN297" s="13" t="s">
        <v>5529</v>
      </c>
      <c r="AO297" s="13" t="s">
        <v>8194</v>
      </c>
      <c r="AP297" s="13" t="s">
        <v>8195</v>
      </c>
      <c r="AQ297" s="13" t="s">
        <v>5510</v>
      </c>
      <c r="AR297" s="13" t="s">
        <v>8196</v>
      </c>
      <c r="AS297" s="13" t="s">
        <v>8197</v>
      </c>
      <c r="AT297" s="13" t="s">
        <v>5866</v>
      </c>
      <c r="AU297" s="13">
        <v>2016.0</v>
      </c>
      <c r="AV297" s="13">
        <v>80.0</v>
      </c>
      <c r="AW297" s="13">
        <v>4.0</v>
      </c>
      <c r="AX297" s="13" t="s">
        <v>5510</v>
      </c>
      <c r="AY297" s="13" t="s">
        <v>5510</v>
      </c>
      <c r="AZ297" s="13" t="s">
        <v>5510</v>
      </c>
      <c r="BA297" s="13" t="s">
        <v>5510</v>
      </c>
      <c r="BB297" s="13">
        <v>634.0</v>
      </c>
      <c r="BC297" s="13">
        <v>642.0</v>
      </c>
      <c r="BD297" s="13" t="s">
        <v>5510</v>
      </c>
      <c r="BE297" s="13" t="s">
        <v>11049</v>
      </c>
      <c r="BF297" s="52" t="str">
        <f>HYPERLINK("http://dx.doi.org/10.1002/jwmg.1048","http://dx.doi.org/10.1002/jwmg.1048")</f>
        <v>http://dx.doi.org/10.1002/jwmg.1048</v>
      </c>
      <c r="BG297" s="13" t="s">
        <v>5510</v>
      </c>
      <c r="BH297" s="13" t="s">
        <v>5510</v>
      </c>
      <c r="BI297" s="13">
        <v>9.0</v>
      </c>
      <c r="BJ297" s="13" t="s">
        <v>5584</v>
      </c>
      <c r="BK297" s="13" t="s">
        <v>5561</v>
      </c>
      <c r="BL297" s="13" t="s">
        <v>5585</v>
      </c>
      <c r="BM297" s="13" t="s">
        <v>11050</v>
      </c>
      <c r="BN297" s="13" t="s">
        <v>5510</v>
      </c>
      <c r="BO297" s="13" t="s">
        <v>5510</v>
      </c>
      <c r="BP297" s="13" t="s">
        <v>5510</v>
      </c>
      <c r="BQ297" s="13" t="s">
        <v>5510</v>
      </c>
      <c r="BR297" s="13" t="s">
        <v>5538</v>
      </c>
      <c r="BS297" s="13" t="s">
        <v>11051</v>
      </c>
      <c r="BT297" s="13">
        <v>23791.0</v>
      </c>
      <c r="BU297" s="13" t="s">
        <v>5540</v>
      </c>
      <c r="BV297" s="13" t="s">
        <v>4856</v>
      </c>
      <c r="BW297" s="13" t="str">
        <f>VLOOKUP($BT297,Enriched!$A$2:$E$1070,5,false)</f>
        <v>["Transportation &amp; Service Corridors"]</v>
      </c>
      <c r="BX297" s="13" t="str">
        <f>VLOOKUP($BT297,Enriched!$A$2:$E$1070,4,false)</f>
        <v>["Utility &amp; service lines"]</v>
      </c>
      <c r="BY297" s="13" t="b">
        <f>VLOOKUP(BT297,Enriched!$A$1:$AA$1070,27,falsE)</f>
        <v>0</v>
      </c>
      <c r="BZ297" s="2" t="str">
        <f>VLOOKUP(BT297,Enriched!$A$1:$AA$1070,14,falsE)</f>
        <v>level2</v>
      </c>
      <c r="CA297" s="13" t="str">
        <f>HYPERLINK("https%3A%2F%2Fwww.webofscience.com%2Fwos%2Fwoscc%2Ffull-record%2FWOS:000374486800005","View Full Record in Web of Science")</f>
        <v>View Full Record in Web of Science</v>
      </c>
    </row>
    <row r="298" ht="12.75" customHeight="1">
      <c r="A298" s="13" t="s">
        <v>5508</v>
      </c>
      <c r="B298" s="13" t="s">
        <v>11052</v>
      </c>
      <c r="C298" s="13" t="s">
        <v>5510</v>
      </c>
      <c r="D298" s="13" t="s">
        <v>5510</v>
      </c>
      <c r="E298" s="13" t="s">
        <v>5510</v>
      </c>
      <c r="F298" s="13" t="s">
        <v>11053</v>
      </c>
      <c r="G298" s="13" t="s">
        <v>5510</v>
      </c>
      <c r="H298" s="13" t="s">
        <v>5510</v>
      </c>
      <c r="I298" s="13" t="s">
        <v>2164</v>
      </c>
      <c r="J298" s="13" t="s">
        <v>6627</v>
      </c>
      <c r="K298" s="13" t="s">
        <v>5510</v>
      </c>
      <c r="L298" s="13" t="s">
        <v>5510</v>
      </c>
      <c r="M298" s="13" t="s">
        <v>5513</v>
      </c>
      <c r="N298" s="13" t="s">
        <v>5514</v>
      </c>
      <c r="O298" s="13" t="s">
        <v>5510</v>
      </c>
      <c r="P298" s="13" t="s">
        <v>5510</v>
      </c>
      <c r="Q298" s="13" t="s">
        <v>5510</v>
      </c>
      <c r="R298" s="13" t="s">
        <v>5510</v>
      </c>
      <c r="S298" s="13" t="s">
        <v>5510</v>
      </c>
      <c r="T298" s="13" t="s">
        <v>11054</v>
      </c>
      <c r="U298" s="13" t="s">
        <v>11055</v>
      </c>
      <c r="V298" s="13" t="s">
        <v>11056</v>
      </c>
      <c r="W298" s="13" t="s">
        <v>11057</v>
      </c>
      <c r="X298" s="13" t="s">
        <v>11058</v>
      </c>
      <c r="Y298" s="13" t="s">
        <v>11059</v>
      </c>
      <c r="Z298" s="13" t="s">
        <v>11060</v>
      </c>
      <c r="AA298" s="13" t="s">
        <v>11061</v>
      </c>
      <c r="AB298" s="13" t="s">
        <v>11062</v>
      </c>
      <c r="AC298" s="13" t="s">
        <v>11063</v>
      </c>
      <c r="AD298" s="13" t="s">
        <v>11064</v>
      </c>
      <c r="AE298" s="13" t="s">
        <v>11065</v>
      </c>
      <c r="AF298" s="13" t="s">
        <v>5510</v>
      </c>
      <c r="AG298" s="13">
        <v>76.0</v>
      </c>
      <c r="AH298" s="13">
        <v>15.0</v>
      </c>
      <c r="AI298" s="13">
        <v>18.0</v>
      </c>
      <c r="AJ298" s="13">
        <v>2.0</v>
      </c>
      <c r="AK298" s="13">
        <v>114.0</v>
      </c>
      <c r="AL298" s="13" t="s">
        <v>5527</v>
      </c>
      <c r="AM298" s="13" t="s">
        <v>5528</v>
      </c>
      <c r="AN298" s="13" t="s">
        <v>5529</v>
      </c>
      <c r="AO298" s="13" t="s">
        <v>6640</v>
      </c>
      <c r="AP298" s="13" t="s">
        <v>6641</v>
      </c>
      <c r="AQ298" s="13" t="s">
        <v>5510</v>
      </c>
      <c r="AR298" s="13" t="s">
        <v>6642</v>
      </c>
      <c r="AS298" s="13" t="s">
        <v>6643</v>
      </c>
      <c r="AT298" s="13" t="s">
        <v>6828</v>
      </c>
      <c r="AU298" s="13">
        <v>2014.0</v>
      </c>
      <c r="AV298" s="13">
        <v>20.0</v>
      </c>
      <c r="AW298" s="13">
        <v>4.0</v>
      </c>
      <c r="AX298" s="13" t="s">
        <v>5510</v>
      </c>
      <c r="AY298" s="13" t="s">
        <v>5510</v>
      </c>
      <c r="AZ298" s="13" t="s">
        <v>5510</v>
      </c>
      <c r="BA298" s="13" t="s">
        <v>5510</v>
      </c>
      <c r="BB298" s="13">
        <v>416.0</v>
      </c>
      <c r="BC298" s="13">
        <v>429.0</v>
      </c>
      <c r="BD298" s="13" t="s">
        <v>5510</v>
      </c>
      <c r="BE298" s="13" t="s">
        <v>11066</v>
      </c>
      <c r="BF298" s="52" t="str">
        <f>HYPERLINK("http://dx.doi.org/10.1111/ddi.12167","http://dx.doi.org/10.1111/ddi.12167")</f>
        <v>http://dx.doi.org/10.1111/ddi.12167</v>
      </c>
      <c r="BG298" s="13" t="s">
        <v>5510</v>
      </c>
      <c r="BH298" s="13" t="s">
        <v>5510</v>
      </c>
      <c r="BI298" s="13">
        <v>14.0</v>
      </c>
      <c r="BJ298" s="13" t="s">
        <v>5958</v>
      </c>
      <c r="BK298" s="13" t="s">
        <v>5561</v>
      </c>
      <c r="BL298" s="13" t="s">
        <v>5699</v>
      </c>
      <c r="BM298" s="13" t="s">
        <v>10792</v>
      </c>
      <c r="BN298" s="13" t="s">
        <v>5510</v>
      </c>
      <c r="BO298" s="13" t="s">
        <v>5809</v>
      </c>
      <c r="BP298" s="13" t="s">
        <v>5510</v>
      </c>
      <c r="BQ298" s="13" t="s">
        <v>5510</v>
      </c>
      <c r="BR298" s="13" t="s">
        <v>5538</v>
      </c>
      <c r="BS298" s="13" t="s">
        <v>11067</v>
      </c>
      <c r="BT298" s="13">
        <v>24443.0</v>
      </c>
      <c r="BU298" s="13" t="s">
        <v>5540</v>
      </c>
      <c r="BV298" s="13" t="s">
        <v>4856</v>
      </c>
      <c r="BW298" s="13" t="str">
        <f>VLOOKUP($BT298,Enriched!$A$2:$E$1070,5,false)</f>
        <v>["Residential &amp; Commercial Development", "Energy Production &amp; Mining"]</v>
      </c>
      <c r="BX298" s="13" t="str">
        <f>VLOOKUP($BT298,Enriched!$A$2:$E$1070,4,false)</f>
        <v>["Commercial &amp; industrial areas", "Oil &amp; gas drilling"]</v>
      </c>
      <c r="BY298" s="13" t="b">
        <f>VLOOKUP(BT298,Enriched!$A$1:$AA$1070,27,falsE)</f>
        <v>0</v>
      </c>
      <c r="BZ298" s="2" t="str">
        <f>VLOOKUP(BT298,Enriched!$A$1:$AA$1070,14,falsE)</f>
        <v>level2</v>
      </c>
      <c r="CA298" s="13" t="str">
        <f>HYPERLINK("https%3A%2F%2Fwww.webofscience.com%2Fwos%2Fwoscc%2Ffull-record%2FWOS:000332445900005","View Full Record in Web of Science")</f>
        <v>View Full Record in Web of Science</v>
      </c>
    </row>
    <row r="299" ht="12.75" customHeight="1">
      <c r="A299" s="13" t="s">
        <v>5508</v>
      </c>
      <c r="B299" s="13" t="s">
        <v>11068</v>
      </c>
      <c r="C299" s="13" t="s">
        <v>5510</v>
      </c>
      <c r="D299" s="13" t="s">
        <v>5510</v>
      </c>
      <c r="E299" s="13" t="s">
        <v>5510</v>
      </c>
      <c r="F299" s="13" t="s">
        <v>11069</v>
      </c>
      <c r="G299" s="13" t="s">
        <v>5510</v>
      </c>
      <c r="H299" s="13" t="s">
        <v>5510</v>
      </c>
      <c r="I299" s="13" t="s">
        <v>11070</v>
      </c>
      <c r="J299" s="13" t="s">
        <v>6836</v>
      </c>
      <c r="K299" s="13" t="s">
        <v>5510</v>
      </c>
      <c r="L299" s="13" t="s">
        <v>5510</v>
      </c>
      <c r="M299" s="13" t="s">
        <v>5513</v>
      </c>
      <c r="N299" s="13" t="s">
        <v>5514</v>
      </c>
      <c r="O299" s="13" t="s">
        <v>5510</v>
      </c>
      <c r="P299" s="13" t="s">
        <v>5510</v>
      </c>
      <c r="Q299" s="13" t="s">
        <v>5510</v>
      </c>
      <c r="R299" s="13" t="s">
        <v>5510</v>
      </c>
      <c r="S299" s="13" t="s">
        <v>5510</v>
      </c>
      <c r="T299" s="13" t="s">
        <v>11071</v>
      </c>
      <c r="U299" s="13" t="s">
        <v>11072</v>
      </c>
      <c r="V299" s="13" t="s">
        <v>11073</v>
      </c>
      <c r="W299" s="13" t="s">
        <v>11074</v>
      </c>
      <c r="X299" s="13" t="s">
        <v>11075</v>
      </c>
      <c r="Y299" s="13" t="s">
        <v>11076</v>
      </c>
      <c r="Z299" s="13" t="s">
        <v>11077</v>
      </c>
      <c r="AA299" s="13" t="s">
        <v>11078</v>
      </c>
      <c r="AB299" s="13" t="s">
        <v>11079</v>
      </c>
      <c r="AC299" s="13" t="s">
        <v>11080</v>
      </c>
      <c r="AD299" s="13" t="s">
        <v>11081</v>
      </c>
      <c r="AE299" s="13" t="s">
        <v>11082</v>
      </c>
      <c r="AF299" s="13" t="s">
        <v>5510</v>
      </c>
      <c r="AG299" s="13">
        <v>84.0</v>
      </c>
      <c r="AH299" s="13">
        <v>26.0</v>
      </c>
      <c r="AI299" s="13">
        <v>32.0</v>
      </c>
      <c r="AJ299" s="13">
        <v>5.0</v>
      </c>
      <c r="AK299" s="13">
        <v>50.0</v>
      </c>
      <c r="AL299" s="13" t="s">
        <v>6849</v>
      </c>
      <c r="AM299" s="13" t="s">
        <v>6850</v>
      </c>
      <c r="AN299" s="13" t="s">
        <v>7349</v>
      </c>
      <c r="AO299" s="13" t="s">
        <v>5510</v>
      </c>
      <c r="AP299" s="13" t="s">
        <v>6852</v>
      </c>
      <c r="AQ299" s="13" t="s">
        <v>5510</v>
      </c>
      <c r="AR299" s="13" t="s">
        <v>6853</v>
      </c>
      <c r="AS299" s="13" t="s">
        <v>1596</v>
      </c>
      <c r="AT299" s="13" t="s">
        <v>2738</v>
      </c>
      <c r="AU299" s="13">
        <v>2020.0</v>
      </c>
      <c r="AV299" s="13">
        <v>12.0</v>
      </c>
      <c r="AW299" s="13">
        <v>3.0</v>
      </c>
      <c r="AX299" s="13" t="s">
        <v>5510</v>
      </c>
      <c r="AY299" s="13" t="s">
        <v>5510</v>
      </c>
      <c r="AZ299" s="13" t="s">
        <v>5510</v>
      </c>
      <c r="BA299" s="13" t="s">
        <v>5510</v>
      </c>
      <c r="BB299" s="13" t="s">
        <v>5510</v>
      </c>
      <c r="BC299" s="13" t="s">
        <v>5510</v>
      </c>
      <c r="BD299" s="13">
        <v>1282.0</v>
      </c>
      <c r="BE299" s="13" t="s">
        <v>11083</v>
      </c>
      <c r="BF299" s="52" t="str">
        <f>HYPERLINK("http://dx.doi.org/10.3390/su12031282","http://dx.doi.org/10.3390/su12031282")</f>
        <v>http://dx.doi.org/10.3390/su12031282</v>
      </c>
      <c r="BG299" s="13" t="s">
        <v>5510</v>
      </c>
      <c r="BH299" s="13" t="s">
        <v>5510</v>
      </c>
      <c r="BI299" s="13">
        <v>13.0</v>
      </c>
      <c r="BJ299" s="13" t="s">
        <v>6855</v>
      </c>
      <c r="BK299" s="13" t="s">
        <v>5534</v>
      </c>
      <c r="BL299" s="13" t="s">
        <v>6488</v>
      </c>
      <c r="BM299" s="13" t="s">
        <v>11084</v>
      </c>
      <c r="BN299" s="13" t="s">
        <v>5510</v>
      </c>
      <c r="BO299" s="13" t="s">
        <v>5564</v>
      </c>
      <c r="BP299" s="13" t="s">
        <v>5510</v>
      </c>
      <c r="BQ299" s="13" t="s">
        <v>5510</v>
      </c>
      <c r="BR299" s="13" t="s">
        <v>5538</v>
      </c>
      <c r="BS299" s="13" t="s">
        <v>11085</v>
      </c>
      <c r="BT299" s="13">
        <v>25560.0</v>
      </c>
      <c r="BU299" s="13" t="s">
        <v>5540</v>
      </c>
      <c r="BV299" s="13" t="s">
        <v>4856</v>
      </c>
      <c r="BW299" s="13" t="str">
        <f>VLOOKUP($BT299,Enriched!$A$2:$E$1070,5,false)</f>
        <v>["Agriculture &amp; Aquaculture"]</v>
      </c>
      <c r="BX299" s="13" t="str">
        <f>VLOOKUP($BT299,Enriched!$A$2:$E$1070,4,false)</f>
        <v>["Housing &amp; urban area", "Annual &amp; perennial non-timber crops"]</v>
      </c>
      <c r="BY299" s="13" t="b">
        <f>VLOOKUP(BT299,Enriched!$A$1:$AA$1070,27,falsE)</f>
        <v>0</v>
      </c>
      <c r="BZ299" s="2" t="str">
        <f>VLOOKUP(BT299,Enriched!$A$1:$AA$1070,14,falsE)</f>
        <v>level2</v>
      </c>
      <c r="CA299" s="13" t="str">
        <f>HYPERLINK("https%3A%2F%2Fwww.webofscience.com%2Fwos%2Fwoscc%2Ffull-record%2FWOS:000524899605013","View Full Record in Web of Science")</f>
        <v>View Full Record in Web of Science</v>
      </c>
    </row>
    <row r="300" ht="12.75" customHeight="1">
      <c r="A300" s="13" t="s">
        <v>5508</v>
      </c>
      <c r="B300" s="13" t="s">
        <v>11086</v>
      </c>
      <c r="C300" s="13" t="s">
        <v>5510</v>
      </c>
      <c r="D300" s="13" t="s">
        <v>5510</v>
      </c>
      <c r="E300" s="13" t="s">
        <v>5510</v>
      </c>
      <c r="F300" s="13" t="s">
        <v>11087</v>
      </c>
      <c r="G300" s="13" t="s">
        <v>5510</v>
      </c>
      <c r="H300" s="13" t="s">
        <v>5510</v>
      </c>
      <c r="I300" s="13" t="s">
        <v>11088</v>
      </c>
      <c r="J300" s="13" t="s">
        <v>6650</v>
      </c>
      <c r="K300" s="13" t="s">
        <v>5510</v>
      </c>
      <c r="L300" s="13" t="s">
        <v>5510</v>
      </c>
      <c r="M300" s="13" t="s">
        <v>5513</v>
      </c>
      <c r="N300" s="13" t="s">
        <v>5514</v>
      </c>
      <c r="O300" s="13" t="s">
        <v>5510</v>
      </c>
      <c r="P300" s="13" t="s">
        <v>5510</v>
      </c>
      <c r="Q300" s="13" t="s">
        <v>5510</v>
      </c>
      <c r="R300" s="13" t="s">
        <v>5510</v>
      </c>
      <c r="S300" s="13" t="s">
        <v>5510</v>
      </c>
      <c r="T300" s="13" t="s">
        <v>11089</v>
      </c>
      <c r="U300" s="13" t="s">
        <v>11090</v>
      </c>
      <c r="V300" s="13" t="s">
        <v>11091</v>
      </c>
      <c r="W300" s="13" t="s">
        <v>11092</v>
      </c>
      <c r="X300" s="13" t="s">
        <v>11093</v>
      </c>
      <c r="Y300" s="13" t="s">
        <v>11094</v>
      </c>
      <c r="Z300" s="13" t="s">
        <v>11095</v>
      </c>
      <c r="AA300" s="13" t="s">
        <v>11096</v>
      </c>
      <c r="AB300" s="13" t="s">
        <v>11097</v>
      </c>
      <c r="AC300" s="13" t="s">
        <v>5510</v>
      </c>
      <c r="AD300" s="13" t="s">
        <v>5510</v>
      </c>
      <c r="AE300" s="13" t="s">
        <v>5510</v>
      </c>
      <c r="AF300" s="13" t="s">
        <v>5510</v>
      </c>
      <c r="AG300" s="13">
        <v>65.0</v>
      </c>
      <c r="AH300" s="13">
        <v>12.0</v>
      </c>
      <c r="AI300" s="13">
        <v>12.0</v>
      </c>
      <c r="AJ300" s="13">
        <v>0.0</v>
      </c>
      <c r="AK300" s="13">
        <v>24.0</v>
      </c>
      <c r="AL300" s="13" t="s">
        <v>5800</v>
      </c>
      <c r="AM300" s="13" t="s">
        <v>5801</v>
      </c>
      <c r="AN300" s="13" t="s">
        <v>5802</v>
      </c>
      <c r="AO300" s="13" t="s">
        <v>6663</v>
      </c>
      <c r="AP300" s="13" t="s">
        <v>6664</v>
      </c>
      <c r="AQ300" s="13" t="s">
        <v>5510</v>
      </c>
      <c r="AR300" s="13" t="s">
        <v>6665</v>
      </c>
      <c r="AS300" s="13" t="s">
        <v>6666</v>
      </c>
      <c r="AT300" s="13" t="s">
        <v>11098</v>
      </c>
      <c r="AU300" s="13">
        <v>2018.0</v>
      </c>
      <c r="AV300" s="13">
        <v>604.0</v>
      </c>
      <c r="AW300" s="13" t="s">
        <v>5510</v>
      </c>
      <c r="AX300" s="13" t="s">
        <v>5510</v>
      </c>
      <c r="AY300" s="13" t="s">
        <v>5510</v>
      </c>
      <c r="AZ300" s="13" t="s">
        <v>5510</v>
      </c>
      <c r="BA300" s="13" t="s">
        <v>5510</v>
      </c>
      <c r="BB300" s="13">
        <v>223.0</v>
      </c>
      <c r="BC300" s="13">
        <v>235.0</v>
      </c>
      <c r="BD300" s="13" t="s">
        <v>5510</v>
      </c>
      <c r="BE300" s="13" t="s">
        <v>11099</v>
      </c>
      <c r="BF300" s="52" t="str">
        <f>HYPERLINK("http://dx.doi.org/10.3354/meps12736","http://dx.doi.org/10.3354/meps12736")</f>
        <v>http://dx.doi.org/10.3354/meps12736</v>
      </c>
      <c r="BG300" s="13" t="s">
        <v>5510</v>
      </c>
      <c r="BH300" s="13" t="s">
        <v>5510</v>
      </c>
      <c r="BI300" s="13">
        <v>13.0</v>
      </c>
      <c r="BJ300" s="13" t="s">
        <v>6669</v>
      </c>
      <c r="BK300" s="13" t="s">
        <v>5561</v>
      </c>
      <c r="BL300" s="13" t="s">
        <v>6670</v>
      </c>
      <c r="BM300" s="13" t="s">
        <v>11100</v>
      </c>
      <c r="BN300" s="13" t="s">
        <v>5510</v>
      </c>
      <c r="BO300" s="13" t="s">
        <v>5510</v>
      </c>
      <c r="BP300" s="13" t="s">
        <v>5510</v>
      </c>
      <c r="BQ300" s="13" t="s">
        <v>5510</v>
      </c>
      <c r="BR300" s="13" t="s">
        <v>5538</v>
      </c>
      <c r="BS300" s="13" t="s">
        <v>11101</v>
      </c>
      <c r="BT300" s="13">
        <v>25551.0</v>
      </c>
      <c r="BU300" s="13" t="s">
        <v>5540</v>
      </c>
      <c r="BV300" s="13" t="s">
        <v>4864</v>
      </c>
      <c r="BW300" s="13" t="str">
        <f>VLOOKUP($BT300,Enriched!$A$2:$E$1070,5,false)</f>
        <v>["Climate change &amp; severe weather"]</v>
      </c>
      <c r="BX300" s="13" t="str">
        <f>VLOOKUP($BT300,Enriched!$A$2:$E$1070,4,false)</f>
        <v>["Habitat shifting &amp; alteration"]</v>
      </c>
      <c r="BY300" s="13" t="b">
        <f>VLOOKUP(BT300,Enriched!$A$1:$AA$1070,27,falsE)</f>
        <v>0</v>
      </c>
      <c r="BZ300" s="2" t="str">
        <f>VLOOKUP(BT300,Enriched!$A$1:$AA$1070,14,falsE)</f>
        <v>level2</v>
      </c>
      <c r="CA300" s="13" t="str">
        <f>HYPERLINK("https%3A%2F%2Fwww.webofscience.com%2Fwos%2Fwoscc%2Ffull-record%2FWOS:000446470100016","View Full Record in Web of Science")</f>
        <v>View Full Record in Web of Science</v>
      </c>
    </row>
    <row r="301" ht="12.75" customHeight="1">
      <c r="A301" s="13" t="s">
        <v>5508</v>
      </c>
      <c r="B301" s="13" t="s">
        <v>11102</v>
      </c>
      <c r="C301" s="13" t="s">
        <v>5510</v>
      </c>
      <c r="D301" s="13" t="s">
        <v>5510</v>
      </c>
      <c r="E301" s="13" t="s">
        <v>5510</v>
      </c>
      <c r="F301" s="13" t="s">
        <v>11103</v>
      </c>
      <c r="G301" s="13" t="s">
        <v>5510</v>
      </c>
      <c r="H301" s="13" t="s">
        <v>5510</v>
      </c>
      <c r="I301" s="13" t="s">
        <v>2155</v>
      </c>
      <c r="J301" s="13" t="s">
        <v>6407</v>
      </c>
      <c r="K301" s="13" t="s">
        <v>5510</v>
      </c>
      <c r="L301" s="13" t="s">
        <v>5510</v>
      </c>
      <c r="M301" s="13" t="s">
        <v>5513</v>
      </c>
      <c r="N301" s="13" t="s">
        <v>5514</v>
      </c>
      <c r="O301" s="13" t="s">
        <v>5510</v>
      </c>
      <c r="P301" s="13" t="s">
        <v>5510</v>
      </c>
      <c r="Q301" s="13" t="s">
        <v>5510</v>
      </c>
      <c r="R301" s="13" t="s">
        <v>5510</v>
      </c>
      <c r="S301" s="13" t="s">
        <v>5510</v>
      </c>
      <c r="T301" s="13" t="s">
        <v>11104</v>
      </c>
      <c r="U301" s="13" t="s">
        <v>11105</v>
      </c>
      <c r="V301" s="13" t="s">
        <v>11106</v>
      </c>
      <c r="W301" s="13" t="s">
        <v>11107</v>
      </c>
      <c r="X301" s="13" t="s">
        <v>11108</v>
      </c>
      <c r="Y301" s="13" t="s">
        <v>11109</v>
      </c>
      <c r="Z301" s="13" t="s">
        <v>11110</v>
      </c>
      <c r="AA301" s="13" t="s">
        <v>11111</v>
      </c>
      <c r="AB301" s="13" t="s">
        <v>11112</v>
      </c>
      <c r="AC301" s="13" t="s">
        <v>11113</v>
      </c>
      <c r="AD301" s="13" t="s">
        <v>11114</v>
      </c>
      <c r="AE301" s="13" t="s">
        <v>11115</v>
      </c>
      <c r="AF301" s="13" t="s">
        <v>5510</v>
      </c>
      <c r="AG301" s="13">
        <v>58.0</v>
      </c>
      <c r="AH301" s="13">
        <v>10.0</v>
      </c>
      <c r="AI301" s="13">
        <v>11.0</v>
      </c>
      <c r="AJ301" s="13">
        <v>0.0</v>
      </c>
      <c r="AK301" s="13">
        <v>36.0</v>
      </c>
      <c r="AL301" s="13" t="s">
        <v>5759</v>
      </c>
      <c r="AM301" s="13" t="s">
        <v>5760</v>
      </c>
      <c r="AN301" s="13" t="s">
        <v>5761</v>
      </c>
      <c r="AO301" s="13" t="s">
        <v>6417</v>
      </c>
      <c r="AP301" s="13" t="s">
        <v>6418</v>
      </c>
      <c r="AQ301" s="13" t="s">
        <v>5510</v>
      </c>
      <c r="AR301" s="13" t="s">
        <v>6419</v>
      </c>
      <c r="AS301" s="13" t="s">
        <v>6420</v>
      </c>
      <c r="AT301" s="13" t="s">
        <v>5720</v>
      </c>
      <c r="AU301" s="13">
        <v>2018.0</v>
      </c>
      <c r="AV301" s="13">
        <v>89.0</v>
      </c>
      <c r="AW301" s="13" t="s">
        <v>5510</v>
      </c>
      <c r="AX301" s="13" t="s">
        <v>5510</v>
      </c>
      <c r="AY301" s="13" t="s">
        <v>5510</v>
      </c>
      <c r="AZ301" s="13" t="s">
        <v>5510</v>
      </c>
      <c r="BA301" s="13" t="s">
        <v>5510</v>
      </c>
      <c r="BB301" s="13">
        <v>631.0</v>
      </c>
      <c r="BC301" s="13">
        <v>638.0</v>
      </c>
      <c r="BD301" s="13" t="s">
        <v>5510</v>
      </c>
      <c r="BE301" s="13" t="s">
        <v>11116</v>
      </c>
      <c r="BF301" s="52" t="str">
        <f>HYPERLINK("http://dx.doi.org/10.1016/j.ecolind.2018.02.031","http://dx.doi.org/10.1016/j.ecolind.2018.02.031")</f>
        <v>http://dx.doi.org/10.1016/j.ecolind.2018.02.031</v>
      </c>
      <c r="BG301" s="13" t="s">
        <v>5510</v>
      </c>
      <c r="BH301" s="13" t="s">
        <v>5510</v>
      </c>
      <c r="BI301" s="13">
        <v>8.0</v>
      </c>
      <c r="BJ301" s="13" t="s">
        <v>6422</v>
      </c>
      <c r="BK301" s="13" t="s">
        <v>5561</v>
      </c>
      <c r="BL301" s="13" t="s">
        <v>5699</v>
      </c>
      <c r="BM301" s="13" t="s">
        <v>11117</v>
      </c>
      <c r="BN301" s="13" t="s">
        <v>5510</v>
      </c>
      <c r="BO301" s="13" t="s">
        <v>5510</v>
      </c>
      <c r="BP301" s="13" t="s">
        <v>5510</v>
      </c>
      <c r="BQ301" s="13" t="s">
        <v>5510</v>
      </c>
      <c r="BR301" s="13" t="s">
        <v>5538</v>
      </c>
      <c r="BS301" s="13" t="s">
        <v>11118</v>
      </c>
      <c r="BT301" s="13">
        <v>24194.0</v>
      </c>
      <c r="BU301" s="13" t="s">
        <v>5540</v>
      </c>
      <c r="BV301" s="13" t="s">
        <v>4864</v>
      </c>
      <c r="BW301" s="13" t="str">
        <f>VLOOKUP($BT301,Enriched!$A$2:$E$1070,5,false)</f>
        <v>["Residential &amp; Commercial Development"]</v>
      </c>
      <c r="BX301" s="13" t="str">
        <f>VLOOKUP($BT301,Enriched!$A$2:$E$1070,4,false)</f>
        <v>["Commercial &amp; industrial areas"]</v>
      </c>
      <c r="BY301" s="13" t="b">
        <f>VLOOKUP(BT301,Enriched!$A$1:$AA$1070,27,falsE)</f>
        <v>0</v>
      </c>
      <c r="BZ301" s="2" t="str">
        <f>VLOOKUP(BT301,Enriched!$A$1:$AA$1070,14,falsE)</f>
        <v>level2</v>
      </c>
      <c r="CA301" s="13" t="str">
        <f>HYPERLINK("https%3A%2F%2Fwww.webofscience.com%2Fwos%2Fwoscc%2Ffull-record%2FWOS:000430760900062","View Full Record in Web of Science")</f>
        <v>View Full Record in Web of Science</v>
      </c>
    </row>
    <row r="302" ht="12.75" customHeight="1">
      <c r="A302" s="13" t="s">
        <v>5508</v>
      </c>
      <c r="B302" s="13" t="s">
        <v>11119</v>
      </c>
      <c r="C302" s="13" t="s">
        <v>5510</v>
      </c>
      <c r="D302" s="13" t="s">
        <v>5510</v>
      </c>
      <c r="E302" s="13" t="s">
        <v>5510</v>
      </c>
      <c r="F302" s="13" t="s">
        <v>11120</v>
      </c>
      <c r="G302" s="13" t="s">
        <v>5510</v>
      </c>
      <c r="H302" s="13" t="s">
        <v>5510</v>
      </c>
      <c r="I302" s="13" t="s">
        <v>2150</v>
      </c>
      <c r="J302" s="13" t="s">
        <v>7741</v>
      </c>
      <c r="K302" s="13" t="s">
        <v>5510</v>
      </c>
      <c r="L302" s="13" t="s">
        <v>5510</v>
      </c>
      <c r="M302" s="13" t="s">
        <v>5513</v>
      </c>
      <c r="N302" s="13" t="s">
        <v>5514</v>
      </c>
      <c r="O302" s="13" t="s">
        <v>5510</v>
      </c>
      <c r="P302" s="13" t="s">
        <v>5510</v>
      </c>
      <c r="Q302" s="13" t="s">
        <v>5510</v>
      </c>
      <c r="R302" s="13" t="s">
        <v>5510</v>
      </c>
      <c r="S302" s="13" t="s">
        <v>5510</v>
      </c>
      <c r="T302" s="13" t="s">
        <v>11121</v>
      </c>
      <c r="U302" s="13" t="s">
        <v>11122</v>
      </c>
      <c r="V302" s="13" t="s">
        <v>11123</v>
      </c>
      <c r="W302" s="13" t="s">
        <v>11124</v>
      </c>
      <c r="X302" s="13" t="s">
        <v>11125</v>
      </c>
      <c r="Y302" s="13" t="s">
        <v>11126</v>
      </c>
      <c r="Z302" s="13" t="s">
        <v>11127</v>
      </c>
      <c r="AA302" s="13" t="s">
        <v>11128</v>
      </c>
      <c r="AB302" s="13" t="s">
        <v>5510</v>
      </c>
      <c r="AC302" s="13" t="s">
        <v>5510</v>
      </c>
      <c r="AD302" s="13" t="s">
        <v>5510</v>
      </c>
      <c r="AE302" s="13" t="s">
        <v>5510</v>
      </c>
      <c r="AF302" s="13" t="s">
        <v>5510</v>
      </c>
      <c r="AG302" s="13">
        <v>49.0</v>
      </c>
      <c r="AH302" s="13">
        <v>36.0</v>
      </c>
      <c r="AI302" s="13">
        <v>41.0</v>
      </c>
      <c r="AJ302" s="13">
        <v>2.0</v>
      </c>
      <c r="AK302" s="13">
        <v>55.0</v>
      </c>
      <c r="AL302" s="13" t="s">
        <v>6717</v>
      </c>
      <c r="AM302" s="13" t="s">
        <v>5932</v>
      </c>
      <c r="AN302" s="13" t="s">
        <v>6718</v>
      </c>
      <c r="AO302" s="13" t="s">
        <v>7752</v>
      </c>
      <c r="AP302" s="13" t="s">
        <v>7753</v>
      </c>
      <c r="AQ302" s="13" t="s">
        <v>5510</v>
      </c>
      <c r="AR302" s="13" t="s">
        <v>7754</v>
      </c>
      <c r="AS302" s="13" t="s">
        <v>7755</v>
      </c>
      <c r="AT302" s="13" t="s">
        <v>7093</v>
      </c>
      <c r="AU302" s="13">
        <v>2015.0</v>
      </c>
      <c r="AV302" s="13">
        <v>100.0</v>
      </c>
      <c r="AW302" s="13">
        <v>1.0</v>
      </c>
      <c r="AX302" s="13" t="s">
        <v>5510</v>
      </c>
      <c r="AY302" s="13" t="s">
        <v>5510</v>
      </c>
      <c r="AZ302" s="13" t="s">
        <v>5510</v>
      </c>
      <c r="BA302" s="13" t="s">
        <v>5510</v>
      </c>
      <c r="BB302" s="13">
        <v>352.0</v>
      </c>
      <c r="BC302" s="13">
        <v>358.0</v>
      </c>
      <c r="BD302" s="13" t="s">
        <v>5510</v>
      </c>
      <c r="BE302" s="13" t="s">
        <v>11129</v>
      </c>
      <c r="BF302" s="52" t="str">
        <f>HYPERLINK("http://dx.doi.org/10.1016/j.marpolbul.2015.08.026","http://dx.doi.org/10.1016/j.marpolbul.2015.08.026")</f>
        <v>http://dx.doi.org/10.1016/j.marpolbul.2015.08.026</v>
      </c>
      <c r="BG302" s="13" t="s">
        <v>5510</v>
      </c>
      <c r="BH302" s="13" t="s">
        <v>5510</v>
      </c>
      <c r="BI302" s="13">
        <v>7.0</v>
      </c>
      <c r="BJ302" s="13" t="s">
        <v>6327</v>
      </c>
      <c r="BK302" s="13" t="s">
        <v>5561</v>
      </c>
      <c r="BL302" s="13" t="s">
        <v>6328</v>
      </c>
      <c r="BM302" s="13" t="s">
        <v>11130</v>
      </c>
      <c r="BN302" s="13">
        <v>2.6330016E7</v>
      </c>
      <c r="BO302" s="13" t="s">
        <v>5510</v>
      </c>
      <c r="BP302" s="13" t="s">
        <v>5510</v>
      </c>
      <c r="BQ302" s="13" t="s">
        <v>5510</v>
      </c>
      <c r="BR302" s="13" t="s">
        <v>5538</v>
      </c>
      <c r="BS302" s="13" t="s">
        <v>11131</v>
      </c>
      <c r="BT302" s="13">
        <v>25072.0</v>
      </c>
      <c r="BU302" s="13" t="s">
        <v>5540</v>
      </c>
      <c r="BV302" s="13" t="s">
        <v>4864</v>
      </c>
      <c r="BW302" s="13" t="str">
        <f>VLOOKUP($BT302,Enriched!$A$2:$E$1070,5,false)</f>
        <v>["Transportation &amp; Service Corridors", "Biological Resource Use", "Invasive &amp; Other Problematic Species, Genes &amp; Diseases", "Pollution"]</v>
      </c>
      <c r="BX302" s="13" t="str">
        <f>VLOOKUP($BT302,Enriched!$A$2:$E$1070,4,false)</f>
        <v>["Shipping lanes", "Fishing &amp; harvesting aquatic resources", "Invasive non-native/alien species/diseases", "Domestic &amp; urban waste water", "Industrial &amp; military effluents", "Agricultural &amp; forestry effluents"]</v>
      </c>
      <c r="BY302" s="13" t="b">
        <f>VLOOKUP(BT302,Enriched!$A$1:$AA$1070,27,falsE)</f>
        <v>0</v>
      </c>
      <c r="BZ302" s="2" t="str">
        <f>VLOOKUP(BT302,Enriched!$A$1:$AA$1070,14,falsE)</f>
        <v>cumulative</v>
      </c>
      <c r="CA302" s="13" t="str">
        <f>HYPERLINK("https%3A%2F%2Fwww.webofscience.com%2Fwos%2Fwoscc%2Ffull-record%2FWOS:000366771400052","View Full Record in Web of Science")</f>
        <v>View Full Record in Web of Science</v>
      </c>
    </row>
    <row r="303" ht="12.75" customHeight="1">
      <c r="A303" s="13" t="s">
        <v>5508</v>
      </c>
      <c r="B303" s="13" t="s">
        <v>11132</v>
      </c>
      <c r="C303" s="13" t="s">
        <v>5510</v>
      </c>
      <c r="D303" s="13" t="s">
        <v>5510</v>
      </c>
      <c r="E303" s="13" t="s">
        <v>5510</v>
      </c>
      <c r="F303" s="13" t="s">
        <v>11133</v>
      </c>
      <c r="G303" s="13" t="s">
        <v>5510</v>
      </c>
      <c r="H303" s="13" t="s">
        <v>5510</v>
      </c>
      <c r="I303" s="13" t="s">
        <v>2147</v>
      </c>
      <c r="J303" s="13" t="s">
        <v>6333</v>
      </c>
      <c r="K303" s="13" t="s">
        <v>5510</v>
      </c>
      <c r="L303" s="13" t="s">
        <v>5510</v>
      </c>
      <c r="M303" s="13" t="s">
        <v>5513</v>
      </c>
      <c r="N303" s="13" t="s">
        <v>5514</v>
      </c>
      <c r="O303" s="13" t="s">
        <v>5510</v>
      </c>
      <c r="P303" s="13" t="s">
        <v>5510</v>
      </c>
      <c r="Q303" s="13" t="s">
        <v>5510</v>
      </c>
      <c r="R303" s="13" t="s">
        <v>5510</v>
      </c>
      <c r="S303" s="13" t="s">
        <v>5510</v>
      </c>
      <c r="T303" s="13" t="s">
        <v>11134</v>
      </c>
      <c r="U303" s="13" t="s">
        <v>11135</v>
      </c>
      <c r="V303" s="13" t="s">
        <v>11136</v>
      </c>
      <c r="W303" s="13" t="s">
        <v>11137</v>
      </c>
      <c r="X303" s="13" t="s">
        <v>11138</v>
      </c>
      <c r="Y303" s="13" t="s">
        <v>11139</v>
      </c>
      <c r="Z303" s="13" t="s">
        <v>11140</v>
      </c>
      <c r="AA303" s="13" t="s">
        <v>11141</v>
      </c>
      <c r="AB303" s="13" t="s">
        <v>11142</v>
      </c>
      <c r="AC303" s="13" t="s">
        <v>11143</v>
      </c>
      <c r="AD303" s="13" t="s">
        <v>11144</v>
      </c>
      <c r="AE303" s="13" t="s">
        <v>11145</v>
      </c>
      <c r="AF303" s="13" t="s">
        <v>5510</v>
      </c>
      <c r="AG303" s="13">
        <v>47.0</v>
      </c>
      <c r="AH303" s="13">
        <v>62.0</v>
      </c>
      <c r="AI303" s="13">
        <v>77.0</v>
      </c>
      <c r="AJ303" s="13">
        <v>2.0</v>
      </c>
      <c r="AK303" s="13">
        <v>180.0</v>
      </c>
      <c r="AL303" s="13" t="s">
        <v>5527</v>
      </c>
      <c r="AM303" s="13" t="s">
        <v>5528</v>
      </c>
      <c r="AN303" s="13" t="s">
        <v>5529</v>
      </c>
      <c r="AO303" s="13" t="s">
        <v>6342</v>
      </c>
      <c r="AP303" s="13" t="s">
        <v>6343</v>
      </c>
      <c r="AQ303" s="13" t="s">
        <v>5510</v>
      </c>
      <c r="AR303" s="13" t="s">
        <v>6344</v>
      </c>
      <c r="AS303" s="13" t="s">
        <v>6345</v>
      </c>
      <c r="AT303" s="13" t="s">
        <v>2738</v>
      </c>
      <c r="AU303" s="13">
        <v>2013.0</v>
      </c>
      <c r="AV303" s="13">
        <v>27.0</v>
      </c>
      <c r="AW303" s="13">
        <v>1.0</v>
      </c>
      <c r="AX303" s="13" t="s">
        <v>5510</v>
      </c>
      <c r="AY303" s="13" t="s">
        <v>5510</v>
      </c>
      <c r="AZ303" s="13" t="s">
        <v>5510</v>
      </c>
      <c r="BA303" s="13" t="s">
        <v>5510</v>
      </c>
      <c r="BB303" s="13">
        <v>177.0</v>
      </c>
      <c r="BC303" s="13">
        <v>186.0</v>
      </c>
      <c r="BD303" s="13" t="s">
        <v>5510</v>
      </c>
      <c r="BE303" s="13" t="s">
        <v>11146</v>
      </c>
      <c r="BF303" s="52" t="str">
        <f>HYPERLINK("http://dx.doi.org/10.1111/j.1523-1739.2012.01960.x","http://dx.doi.org/10.1111/j.1523-1739.2012.01960.x")</f>
        <v>http://dx.doi.org/10.1111/j.1523-1739.2012.01960.x</v>
      </c>
      <c r="BG303" s="13" t="s">
        <v>5510</v>
      </c>
      <c r="BH303" s="13" t="s">
        <v>5510</v>
      </c>
      <c r="BI303" s="13">
        <v>10.0</v>
      </c>
      <c r="BJ303" s="13" t="s">
        <v>5698</v>
      </c>
      <c r="BK303" s="13" t="s">
        <v>5534</v>
      </c>
      <c r="BL303" s="13" t="s">
        <v>5699</v>
      </c>
      <c r="BM303" s="13" t="s">
        <v>11147</v>
      </c>
      <c r="BN303" s="13">
        <v>2.3163302E7</v>
      </c>
      <c r="BO303" s="13" t="s">
        <v>5510</v>
      </c>
      <c r="BP303" s="13" t="s">
        <v>5510</v>
      </c>
      <c r="BQ303" s="13" t="s">
        <v>5510</v>
      </c>
      <c r="BR303" s="13" t="s">
        <v>5538</v>
      </c>
      <c r="BS303" s="13" t="s">
        <v>11148</v>
      </c>
      <c r="BT303" s="13">
        <v>24341.0</v>
      </c>
      <c r="BU303" s="13" t="s">
        <v>5540</v>
      </c>
      <c r="BV303" s="13" t="s">
        <v>4856</v>
      </c>
      <c r="BW303" s="13" t="str">
        <f>VLOOKUP($BT303,Enriched!$A$2:$E$1070,5,false)</f>
        <v>["Biological resource use"]</v>
      </c>
      <c r="BX303" s="13" t="str">
        <f>VLOOKUP($BT303,Enriched!$A$2:$E$1070,4,false)</f>
        <v>["Hunting &amp; collecting terrestrial animals"]</v>
      </c>
      <c r="BY303" s="13" t="b">
        <f>VLOOKUP(BT303,Enriched!$A$1:$AA$1070,27,falsE)</f>
        <v>0</v>
      </c>
      <c r="BZ303" s="2" t="str">
        <f>VLOOKUP(BT303,Enriched!$A$1:$AA$1070,14,falsE)</f>
        <v>level2</v>
      </c>
      <c r="CA303" s="13" t="str">
        <f>HYPERLINK("https%3A%2F%2Fwww.webofscience.com%2Fwos%2Fwoscc%2Ffull-record%2FWOS:000313781600019","View Full Record in Web of Science")</f>
        <v>View Full Record in Web of Science</v>
      </c>
    </row>
    <row r="304" ht="12.75" customHeight="1">
      <c r="A304" s="13" t="s">
        <v>6232</v>
      </c>
      <c r="B304" s="13" t="s">
        <v>11149</v>
      </c>
      <c r="C304" s="13" t="s">
        <v>5510</v>
      </c>
      <c r="D304" s="13" t="s">
        <v>5510</v>
      </c>
      <c r="E304" s="13" t="s">
        <v>11150</v>
      </c>
      <c r="F304" s="13" t="s">
        <v>11151</v>
      </c>
      <c r="G304" s="13" t="s">
        <v>5510</v>
      </c>
      <c r="H304" s="13" t="s">
        <v>5510</v>
      </c>
      <c r="I304" s="13" t="s">
        <v>11152</v>
      </c>
      <c r="J304" s="13" t="s">
        <v>11153</v>
      </c>
      <c r="K304" s="13" t="s">
        <v>11154</v>
      </c>
      <c r="L304" s="13" t="s">
        <v>5510</v>
      </c>
      <c r="M304" s="13" t="s">
        <v>5513</v>
      </c>
      <c r="N304" s="13" t="s">
        <v>6238</v>
      </c>
      <c r="O304" s="13" t="s">
        <v>11155</v>
      </c>
      <c r="P304" s="13" t="s">
        <v>11156</v>
      </c>
      <c r="Q304" s="13" t="s">
        <v>11157</v>
      </c>
      <c r="R304" s="13" t="s">
        <v>11158</v>
      </c>
      <c r="S304" s="13" t="s">
        <v>5510</v>
      </c>
      <c r="T304" s="13" t="s">
        <v>11159</v>
      </c>
      <c r="U304" s="13" t="s">
        <v>5510</v>
      </c>
      <c r="V304" s="13" t="s">
        <v>11160</v>
      </c>
      <c r="W304" s="13" t="s">
        <v>11161</v>
      </c>
      <c r="X304" s="13" t="s">
        <v>5510</v>
      </c>
      <c r="Y304" s="13" t="s">
        <v>11162</v>
      </c>
      <c r="Z304" s="13" t="s">
        <v>11163</v>
      </c>
      <c r="AA304" s="13" t="s">
        <v>5510</v>
      </c>
      <c r="AB304" s="13" t="s">
        <v>5510</v>
      </c>
      <c r="AC304" s="13" t="s">
        <v>5510</v>
      </c>
      <c r="AD304" s="13" t="s">
        <v>5510</v>
      </c>
      <c r="AE304" s="13" t="s">
        <v>5510</v>
      </c>
      <c r="AF304" s="13" t="s">
        <v>5510</v>
      </c>
      <c r="AG304" s="13">
        <v>4.0</v>
      </c>
      <c r="AH304" s="13">
        <v>0.0</v>
      </c>
      <c r="AI304" s="13">
        <v>0.0</v>
      </c>
      <c r="AJ304" s="13">
        <v>0.0</v>
      </c>
      <c r="AK304" s="13">
        <v>8.0</v>
      </c>
      <c r="AL304" s="13" t="s">
        <v>11150</v>
      </c>
      <c r="AM304" s="13" t="s">
        <v>6503</v>
      </c>
      <c r="AN304" s="13" t="s">
        <v>11164</v>
      </c>
      <c r="AO304" s="13" t="s">
        <v>11165</v>
      </c>
      <c r="AP304" s="13" t="s">
        <v>5510</v>
      </c>
      <c r="AQ304" s="13" t="s">
        <v>11166</v>
      </c>
      <c r="AR304" s="13" t="s">
        <v>11167</v>
      </c>
      <c r="AS304" s="13" t="s">
        <v>5510</v>
      </c>
      <c r="AT304" s="13" t="s">
        <v>5510</v>
      </c>
      <c r="AU304" s="13">
        <v>2012.0</v>
      </c>
      <c r="AV304" s="13" t="s">
        <v>5510</v>
      </c>
      <c r="AW304" s="13" t="s">
        <v>5510</v>
      </c>
      <c r="AX304" s="13" t="s">
        <v>5510</v>
      </c>
      <c r="AY304" s="13" t="s">
        <v>5510</v>
      </c>
      <c r="AZ304" s="13" t="s">
        <v>5510</v>
      </c>
      <c r="BA304" s="13" t="s">
        <v>5510</v>
      </c>
      <c r="BB304" s="13">
        <v>7114.0</v>
      </c>
      <c r="BC304" s="13">
        <v>7116.0</v>
      </c>
      <c r="BD304" s="13" t="s">
        <v>5510</v>
      </c>
      <c r="BE304" s="13" t="s">
        <v>11168</v>
      </c>
      <c r="BF304" s="52" t="str">
        <f>HYPERLINK("http://dx.doi.org/10.1109/IGARSS.2012.6352023","http://dx.doi.org/10.1109/IGARSS.2012.6352023")</f>
        <v>http://dx.doi.org/10.1109/IGARSS.2012.6352023</v>
      </c>
      <c r="BG304" s="13" t="s">
        <v>5510</v>
      </c>
      <c r="BH304" s="13" t="s">
        <v>5510</v>
      </c>
      <c r="BI304" s="13">
        <v>3.0</v>
      </c>
      <c r="BJ304" s="13" t="s">
        <v>11169</v>
      </c>
      <c r="BK304" s="13" t="s">
        <v>6255</v>
      </c>
      <c r="BL304" s="13" t="s">
        <v>11170</v>
      </c>
      <c r="BM304" s="13" t="s">
        <v>11171</v>
      </c>
      <c r="BN304" s="13" t="s">
        <v>5510</v>
      </c>
      <c r="BO304" s="13" t="s">
        <v>5510</v>
      </c>
      <c r="BP304" s="13" t="s">
        <v>5510</v>
      </c>
      <c r="BQ304" s="13" t="s">
        <v>5510</v>
      </c>
      <c r="BR304" s="13" t="s">
        <v>5538</v>
      </c>
      <c r="BS304" s="13" t="s">
        <v>11172</v>
      </c>
      <c r="BT304" s="13">
        <v>23247.0</v>
      </c>
      <c r="BU304" s="13" t="s">
        <v>5540</v>
      </c>
      <c r="BV304" s="13" t="s">
        <v>4856</v>
      </c>
      <c r="BW304" s="13" t="str">
        <f>VLOOKUP($BT304,Enriched!$A$2:$E$1070,5,false)</f>
        <v>["Residential &amp; commercial development", "Transportation &amp; service corridors"]</v>
      </c>
      <c r="BX304" s="13" t="str">
        <f>VLOOKUP($BT304,Enriched!$A$2:$E$1070,4,false)</f>
        <v>["Housing &amp; urban area", "Roads &amp; railroads"]</v>
      </c>
      <c r="BY304" s="13" t="b">
        <f>VLOOKUP(BT304,Enriched!$A$1:$AA$1070,27,falsE)</f>
        <v>0</v>
      </c>
      <c r="BZ304" s="2" t="str">
        <f>VLOOKUP(BT304,Enriched!$A$1:$AA$1070,14,falsE)</f>
        <v>level2</v>
      </c>
      <c r="CA304" s="13" t="str">
        <f>HYPERLINK("https%3A%2F%2Fwww.webofscience.com%2Fwos%2Fwoscc%2Ffull-record%2FWOS:000313189407015","View Full Record in Web of Science")</f>
        <v>View Full Record in Web of Science</v>
      </c>
    </row>
    <row r="305" ht="12.75" customHeight="1">
      <c r="A305" s="13" t="s">
        <v>5508</v>
      </c>
      <c r="B305" s="13" t="s">
        <v>11173</v>
      </c>
      <c r="C305" s="13" t="s">
        <v>5510</v>
      </c>
      <c r="D305" s="13" t="s">
        <v>5510</v>
      </c>
      <c r="E305" s="13" t="s">
        <v>5510</v>
      </c>
      <c r="F305" s="13" t="s">
        <v>11174</v>
      </c>
      <c r="G305" s="13" t="s">
        <v>5510</v>
      </c>
      <c r="H305" s="13" t="s">
        <v>5510</v>
      </c>
      <c r="I305" s="13" t="s">
        <v>2142</v>
      </c>
      <c r="J305" s="13" t="s">
        <v>5919</v>
      </c>
      <c r="K305" s="13" t="s">
        <v>5510</v>
      </c>
      <c r="L305" s="13" t="s">
        <v>5510</v>
      </c>
      <c r="M305" s="13" t="s">
        <v>5513</v>
      </c>
      <c r="N305" s="13" t="s">
        <v>5514</v>
      </c>
      <c r="O305" s="13" t="s">
        <v>5510</v>
      </c>
      <c r="P305" s="13" t="s">
        <v>5510</v>
      </c>
      <c r="Q305" s="13" t="s">
        <v>5510</v>
      </c>
      <c r="R305" s="13" t="s">
        <v>5510</v>
      </c>
      <c r="S305" s="13" t="s">
        <v>5510</v>
      </c>
      <c r="T305" s="13" t="s">
        <v>11175</v>
      </c>
      <c r="U305" s="13" t="s">
        <v>11176</v>
      </c>
      <c r="V305" s="13" t="s">
        <v>11177</v>
      </c>
      <c r="W305" s="13" t="s">
        <v>11178</v>
      </c>
      <c r="X305" s="13" t="s">
        <v>11179</v>
      </c>
      <c r="Y305" s="13" t="s">
        <v>11180</v>
      </c>
      <c r="Z305" s="13" t="s">
        <v>11181</v>
      </c>
      <c r="AA305" s="13" t="s">
        <v>11182</v>
      </c>
      <c r="AB305" s="13" t="s">
        <v>11183</v>
      </c>
      <c r="AC305" s="13" t="s">
        <v>11184</v>
      </c>
      <c r="AD305" s="13" t="s">
        <v>11185</v>
      </c>
      <c r="AE305" s="13" t="s">
        <v>11186</v>
      </c>
      <c r="AF305" s="13" t="s">
        <v>5510</v>
      </c>
      <c r="AG305" s="13">
        <v>111.0</v>
      </c>
      <c r="AH305" s="13">
        <v>18.0</v>
      </c>
      <c r="AI305" s="13">
        <v>19.0</v>
      </c>
      <c r="AJ305" s="13">
        <v>1.0</v>
      </c>
      <c r="AK305" s="13">
        <v>76.0</v>
      </c>
      <c r="AL305" s="13" t="s">
        <v>5931</v>
      </c>
      <c r="AM305" s="13" t="s">
        <v>7486</v>
      </c>
      <c r="AN305" s="13" t="s">
        <v>7487</v>
      </c>
      <c r="AO305" s="13" t="s">
        <v>5934</v>
      </c>
      <c r="AP305" s="13" t="s">
        <v>5935</v>
      </c>
      <c r="AQ305" s="13" t="s">
        <v>5510</v>
      </c>
      <c r="AR305" s="13" t="s">
        <v>5936</v>
      </c>
      <c r="AS305" s="13" t="s">
        <v>5937</v>
      </c>
      <c r="AT305" s="13" t="s">
        <v>2514</v>
      </c>
      <c r="AU305" s="13">
        <v>2020.0</v>
      </c>
      <c r="AV305" s="13">
        <v>250.0</v>
      </c>
      <c r="AW305" s="13" t="s">
        <v>5510</v>
      </c>
      <c r="AX305" s="13" t="s">
        <v>5510</v>
      </c>
      <c r="AY305" s="13" t="s">
        <v>5510</v>
      </c>
      <c r="AZ305" s="13" t="s">
        <v>5510</v>
      </c>
      <c r="BA305" s="13" t="s">
        <v>5510</v>
      </c>
      <c r="BB305" s="13" t="s">
        <v>5510</v>
      </c>
      <c r="BC305" s="13" t="s">
        <v>5510</v>
      </c>
      <c r="BD305" s="13">
        <v>108743.0</v>
      </c>
      <c r="BE305" s="13" t="s">
        <v>11187</v>
      </c>
      <c r="BF305" s="52" t="str">
        <f>HYPERLINK("http://dx.doi.org/10.1016/j.biocon.2020.108743","http://dx.doi.org/10.1016/j.biocon.2020.108743")</f>
        <v>http://dx.doi.org/10.1016/j.biocon.2020.108743</v>
      </c>
      <c r="BG305" s="13" t="s">
        <v>5510</v>
      </c>
      <c r="BH305" s="13" t="s">
        <v>5510</v>
      </c>
      <c r="BI305" s="13">
        <v>34.0</v>
      </c>
      <c r="BJ305" s="13" t="s">
        <v>5698</v>
      </c>
      <c r="BK305" s="13" t="s">
        <v>5561</v>
      </c>
      <c r="BL305" s="13" t="s">
        <v>5699</v>
      </c>
      <c r="BM305" s="13" t="s">
        <v>11188</v>
      </c>
      <c r="BN305" s="13" t="s">
        <v>5510</v>
      </c>
      <c r="BO305" s="13" t="s">
        <v>5510</v>
      </c>
      <c r="BP305" s="13" t="s">
        <v>5510</v>
      </c>
      <c r="BQ305" s="13" t="s">
        <v>5510</v>
      </c>
      <c r="BR305" s="13" t="s">
        <v>5538</v>
      </c>
      <c r="BS305" s="13" t="s">
        <v>11189</v>
      </c>
      <c r="BT305" s="13">
        <v>24067.0</v>
      </c>
      <c r="BU305" s="13" t="s">
        <v>5540</v>
      </c>
      <c r="BV305" s="13" t="s">
        <v>4864</v>
      </c>
      <c r="BW305" s="13" t="str">
        <f>VLOOKUP($BT305,Enriched!$A$2:$E$1070,5,false)</f>
        <v>["Pollution"]</v>
      </c>
      <c r="BX305" s="13" t="str">
        <f>VLOOKUP($BT305,Enriched!$A$2:$E$1070,4,false)</f>
        <v>["Garbage &amp; solid waste"]</v>
      </c>
      <c r="BY305" s="13" t="b">
        <f>VLOOKUP(BT305,Enriched!$A$1:$AA$1070,27,falsE)</f>
        <v>0</v>
      </c>
      <c r="BZ305" s="2" t="str">
        <f>VLOOKUP(BT305,Enriched!$A$1:$AA$1070,14,falsE)</f>
        <v>level2</v>
      </c>
      <c r="CA305" s="13" t="str">
        <f>HYPERLINK("https%3A%2F%2Fwww.webofscience.com%2Fwos%2Fwoscc%2Ffull-record%2FWOS:000582432900005","View Full Record in Web of Science")</f>
        <v>View Full Record in Web of Science</v>
      </c>
    </row>
    <row r="306" ht="12.75" customHeight="1">
      <c r="A306" s="13" t="s">
        <v>5508</v>
      </c>
      <c r="B306" s="13" t="s">
        <v>11190</v>
      </c>
      <c r="C306" s="13" t="s">
        <v>5510</v>
      </c>
      <c r="D306" s="13" t="s">
        <v>5510</v>
      </c>
      <c r="E306" s="13" t="s">
        <v>5510</v>
      </c>
      <c r="F306" s="13" t="s">
        <v>11190</v>
      </c>
      <c r="G306" s="13" t="s">
        <v>5510</v>
      </c>
      <c r="H306" s="13" t="s">
        <v>5510</v>
      </c>
      <c r="I306" s="13" t="s">
        <v>11191</v>
      </c>
      <c r="J306" s="13" t="s">
        <v>11192</v>
      </c>
      <c r="K306" s="13" t="s">
        <v>5510</v>
      </c>
      <c r="L306" s="13" t="s">
        <v>5510</v>
      </c>
      <c r="M306" s="13" t="s">
        <v>5513</v>
      </c>
      <c r="N306" s="13" t="s">
        <v>5514</v>
      </c>
      <c r="O306" s="13" t="s">
        <v>5510</v>
      </c>
      <c r="P306" s="13" t="s">
        <v>5510</v>
      </c>
      <c r="Q306" s="13" t="s">
        <v>5510</v>
      </c>
      <c r="R306" s="13" t="s">
        <v>5510</v>
      </c>
      <c r="S306" s="13" t="s">
        <v>5510</v>
      </c>
      <c r="T306" s="13" t="s">
        <v>11193</v>
      </c>
      <c r="U306" s="13" t="s">
        <v>11194</v>
      </c>
      <c r="V306" s="13" t="s">
        <v>11195</v>
      </c>
      <c r="W306" s="13" t="s">
        <v>11196</v>
      </c>
      <c r="X306" s="13" t="s">
        <v>11197</v>
      </c>
      <c r="Y306" s="13" t="s">
        <v>11198</v>
      </c>
      <c r="Z306" s="13" t="s">
        <v>5510</v>
      </c>
      <c r="AA306" s="13" t="s">
        <v>11199</v>
      </c>
      <c r="AB306" s="13" t="s">
        <v>11200</v>
      </c>
      <c r="AC306" s="13" t="s">
        <v>5510</v>
      </c>
      <c r="AD306" s="13" t="s">
        <v>5510</v>
      </c>
      <c r="AE306" s="13" t="s">
        <v>5510</v>
      </c>
      <c r="AF306" s="13" t="s">
        <v>5510</v>
      </c>
      <c r="AG306" s="13">
        <v>43.0</v>
      </c>
      <c r="AH306" s="13">
        <v>41.0</v>
      </c>
      <c r="AI306" s="13">
        <v>47.0</v>
      </c>
      <c r="AJ306" s="13">
        <v>0.0</v>
      </c>
      <c r="AK306" s="13">
        <v>29.0</v>
      </c>
      <c r="AL306" s="13" t="s">
        <v>11201</v>
      </c>
      <c r="AM306" s="13" t="s">
        <v>11202</v>
      </c>
      <c r="AN306" s="13" t="s">
        <v>11203</v>
      </c>
      <c r="AO306" s="13" t="s">
        <v>11204</v>
      </c>
      <c r="AP306" s="13" t="s">
        <v>11205</v>
      </c>
      <c r="AQ306" s="13" t="s">
        <v>5510</v>
      </c>
      <c r="AR306" s="13" t="s">
        <v>11206</v>
      </c>
      <c r="AS306" s="13" t="s">
        <v>11207</v>
      </c>
      <c r="AT306" s="13" t="s">
        <v>2514</v>
      </c>
      <c r="AU306" s="13">
        <v>2003.0</v>
      </c>
      <c r="AV306" s="13">
        <v>63.0</v>
      </c>
      <c r="AW306" s="13">
        <v>4.0</v>
      </c>
      <c r="AX306" s="13" t="s">
        <v>5510</v>
      </c>
      <c r="AY306" s="13" t="s">
        <v>5510</v>
      </c>
      <c r="AZ306" s="13" t="s">
        <v>5510</v>
      </c>
      <c r="BA306" s="13" t="s">
        <v>5510</v>
      </c>
      <c r="BB306" s="13">
        <v>416.0</v>
      </c>
      <c r="BC306" s="13">
        <v>428.0</v>
      </c>
      <c r="BD306" s="13" t="s">
        <v>5510</v>
      </c>
      <c r="BE306" s="13" t="str">
        <f>#REF!</f>
        <v>#REF!</v>
      </c>
      <c r="BF306" s="13" t="s">
        <v>5510</v>
      </c>
      <c r="BG306" s="13" t="s">
        <v>5510</v>
      </c>
      <c r="BH306" s="13" t="s">
        <v>5510</v>
      </c>
      <c r="BI306" s="13">
        <v>13.0</v>
      </c>
      <c r="BJ306" s="13" t="s">
        <v>5958</v>
      </c>
      <c r="BK306" s="13" t="s">
        <v>5561</v>
      </c>
      <c r="BL306" s="13" t="s">
        <v>5699</v>
      </c>
      <c r="BM306" s="13" t="s">
        <v>11208</v>
      </c>
      <c r="BN306" s="13" t="s">
        <v>5510</v>
      </c>
      <c r="BO306" s="13" t="s">
        <v>5510</v>
      </c>
      <c r="BP306" s="13" t="s">
        <v>5510</v>
      </c>
      <c r="BQ306" s="13" t="s">
        <v>5510</v>
      </c>
      <c r="BR306" s="13" t="s">
        <v>5538</v>
      </c>
      <c r="BS306" s="13" t="s">
        <v>11209</v>
      </c>
      <c r="BT306" s="13">
        <v>25088.0</v>
      </c>
      <c r="BU306" s="13" t="s">
        <v>5540</v>
      </c>
      <c r="BV306" s="13" t="s">
        <v>4856</v>
      </c>
      <c r="BW306" s="13" t="str">
        <f>VLOOKUP($BT306,Enriched!$A$2:$E$1070,5,false)</f>
        <v>["Invasive &amp; other problematic species, genes &amp; diseases"]</v>
      </c>
      <c r="BX306" s="13" t="str">
        <f>VLOOKUP($BT306,Enriched!$A$2:$E$1070,4,false)</f>
        <v>["Invasive non-native/alien species/diseases"]</v>
      </c>
      <c r="BY306" s="13" t="b">
        <f>VLOOKUP(BT306,Enriched!$A$1:$AA$1070,27,falsE)</f>
        <v>0</v>
      </c>
      <c r="BZ306" s="2" t="str">
        <f>VLOOKUP(BT306,Enriched!$A$1:$AA$1070,14,falsE)</f>
        <v>level2</v>
      </c>
      <c r="CA306" s="13" t="str">
        <f>HYPERLINK("https%3A%2F%2Fwww.webofscience.com%2Fwos%2Fwoscc%2Ffull-record%2FWOS:000187292900002","View Full Record in Web of Science")</f>
        <v>View Full Record in Web of Science</v>
      </c>
    </row>
    <row r="307" ht="12.75" customHeight="1">
      <c r="A307" s="13" t="s">
        <v>5508</v>
      </c>
      <c r="B307" s="13" t="s">
        <v>11210</v>
      </c>
      <c r="C307" s="13" t="s">
        <v>5510</v>
      </c>
      <c r="D307" s="13" t="s">
        <v>5510</v>
      </c>
      <c r="E307" s="13" t="s">
        <v>5510</v>
      </c>
      <c r="F307" s="13" t="s">
        <v>11211</v>
      </c>
      <c r="G307" s="13" t="s">
        <v>5510</v>
      </c>
      <c r="H307" s="13" t="s">
        <v>5510</v>
      </c>
      <c r="I307" s="13" t="s">
        <v>2133</v>
      </c>
      <c r="J307" s="13" t="s">
        <v>9414</v>
      </c>
      <c r="K307" s="13" t="s">
        <v>5510</v>
      </c>
      <c r="L307" s="13" t="s">
        <v>5510</v>
      </c>
      <c r="M307" s="13" t="s">
        <v>5513</v>
      </c>
      <c r="N307" s="13" t="s">
        <v>5514</v>
      </c>
      <c r="O307" s="13" t="s">
        <v>5510</v>
      </c>
      <c r="P307" s="13" t="s">
        <v>5510</v>
      </c>
      <c r="Q307" s="13" t="s">
        <v>5510</v>
      </c>
      <c r="R307" s="13" t="s">
        <v>5510</v>
      </c>
      <c r="S307" s="13" t="s">
        <v>5510</v>
      </c>
      <c r="T307" s="13" t="s">
        <v>11212</v>
      </c>
      <c r="U307" s="13" t="s">
        <v>11213</v>
      </c>
      <c r="V307" s="13" t="s">
        <v>11214</v>
      </c>
      <c r="W307" s="13" t="s">
        <v>11215</v>
      </c>
      <c r="X307" s="13" t="s">
        <v>11216</v>
      </c>
      <c r="Y307" s="13" t="s">
        <v>11217</v>
      </c>
      <c r="Z307" s="13" t="s">
        <v>11218</v>
      </c>
      <c r="AA307" s="13" t="s">
        <v>11219</v>
      </c>
      <c r="AB307" s="13" t="s">
        <v>11220</v>
      </c>
      <c r="AC307" s="13" t="s">
        <v>11221</v>
      </c>
      <c r="AD307" s="13" t="s">
        <v>11222</v>
      </c>
      <c r="AE307" s="13" t="s">
        <v>11223</v>
      </c>
      <c r="AF307" s="13" t="s">
        <v>5510</v>
      </c>
      <c r="AG307" s="13">
        <v>38.0</v>
      </c>
      <c r="AH307" s="13">
        <v>23.0</v>
      </c>
      <c r="AI307" s="13">
        <v>27.0</v>
      </c>
      <c r="AJ307" s="13">
        <v>1.0</v>
      </c>
      <c r="AK307" s="13">
        <v>42.0</v>
      </c>
      <c r="AL307" s="13" t="s">
        <v>5931</v>
      </c>
      <c r="AM307" s="13" t="s">
        <v>5932</v>
      </c>
      <c r="AN307" s="13" t="s">
        <v>5933</v>
      </c>
      <c r="AO307" s="13" t="s">
        <v>9427</v>
      </c>
      <c r="AP307" s="13" t="s">
        <v>9428</v>
      </c>
      <c r="AQ307" s="13" t="s">
        <v>5510</v>
      </c>
      <c r="AR307" s="13" t="s">
        <v>9429</v>
      </c>
      <c r="AS307" s="13" t="s">
        <v>9430</v>
      </c>
      <c r="AT307" s="13" t="s">
        <v>2738</v>
      </c>
      <c r="AU307" s="13">
        <v>2016.0</v>
      </c>
      <c r="AV307" s="13">
        <v>64.0</v>
      </c>
      <c r="AW307" s="13" t="s">
        <v>5510</v>
      </c>
      <c r="AX307" s="13" t="s">
        <v>5510</v>
      </c>
      <c r="AY307" s="13" t="s">
        <v>5510</v>
      </c>
      <c r="AZ307" s="13" t="s">
        <v>5510</v>
      </c>
      <c r="BA307" s="13" t="s">
        <v>5510</v>
      </c>
      <c r="BB307" s="13">
        <v>38.0</v>
      </c>
      <c r="BC307" s="13">
        <v>45.0</v>
      </c>
      <c r="BD307" s="13" t="s">
        <v>5510</v>
      </c>
      <c r="BE307" s="13" t="s">
        <v>11224</v>
      </c>
      <c r="BF307" s="52" t="str">
        <f>HYPERLINK("http://dx.doi.org/10.1016/j.marpol.2015.10.010","http://dx.doi.org/10.1016/j.marpol.2015.10.010")</f>
        <v>http://dx.doi.org/10.1016/j.marpol.2015.10.010</v>
      </c>
      <c r="BG307" s="13" t="s">
        <v>5510</v>
      </c>
      <c r="BH307" s="13" t="s">
        <v>5510</v>
      </c>
      <c r="BI307" s="13">
        <v>8.0</v>
      </c>
      <c r="BJ307" s="13" t="s">
        <v>9432</v>
      </c>
      <c r="BK307" s="13" t="s">
        <v>8375</v>
      </c>
      <c r="BL307" s="13" t="s">
        <v>9433</v>
      </c>
      <c r="BM307" s="13" t="s">
        <v>11225</v>
      </c>
      <c r="BN307" s="13" t="s">
        <v>5510</v>
      </c>
      <c r="BO307" s="13" t="s">
        <v>11226</v>
      </c>
      <c r="BP307" s="13" t="s">
        <v>5510</v>
      </c>
      <c r="BQ307" s="13" t="s">
        <v>5510</v>
      </c>
      <c r="BR307" s="13" t="s">
        <v>5538</v>
      </c>
      <c r="BS307" s="13" t="s">
        <v>11227</v>
      </c>
      <c r="BT307" s="13">
        <v>25157.0</v>
      </c>
      <c r="BU307" s="13" t="s">
        <v>5540</v>
      </c>
      <c r="BV307" s="13" t="s">
        <v>4864</v>
      </c>
      <c r="BW307" s="13" t="str">
        <f>VLOOKUP($BT307,Enriched!$A$2:$E$1070,5,false)</f>
        <v>["Biological resource use"]</v>
      </c>
      <c r="BX307" s="13" t="str">
        <f>VLOOKUP($BT307,Enriched!$A$2:$E$1070,4,false)</f>
        <v>["Fishing &amp; harvesting aquatic resources"]</v>
      </c>
      <c r="BY307" s="13" t="b">
        <f>VLOOKUP(BT307,Enriched!$A$1:$AA$1070,27,falsE)</f>
        <v>0</v>
      </c>
      <c r="BZ307" s="2" t="str">
        <f>VLOOKUP(BT307,Enriched!$A$1:$AA$1070,14,falsE)</f>
        <v>level2</v>
      </c>
      <c r="CA307" s="13" t="str">
        <f>HYPERLINK("https%3A%2F%2Fwww.webofscience.com%2Fwos%2Fwoscc%2Ffull-record%2FWOS:000369205000006","View Full Record in Web of Science")</f>
        <v>View Full Record in Web of Science</v>
      </c>
    </row>
    <row r="308" ht="12.75" customHeight="1">
      <c r="A308" s="13" t="s">
        <v>5508</v>
      </c>
      <c r="B308" s="13" t="s">
        <v>11228</v>
      </c>
      <c r="C308" s="13" t="s">
        <v>5510</v>
      </c>
      <c r="D308" s="13" t="s">
        <v>5510</v>
      </c>
      <c r="E308" s="13" t="s">
        <v>5510</v>
      </c>
      <c r="F308" s="13" t="s">
        <v>11229</v>
      </c>
      <c r="G308" s="13" t="s">
        <v>5510</v>
      </c>
      <c r="H308" s="13" t="s">
        <v>5510</v>
      </c>
      <c r="I308" s="13" t="s">
        <v>2132</v>
      </c>
      <c r="J308" s="13" t="s">
        <v>5746</v>
      </c>
      <c r="K308" s="13" t="s">
        <v>5510</v>
      </c>
      <c r="L308" s="13" t="s">
        <v>5510</v>
      </c>
      <c r="M308" s="13" t="s">
        <v>5513</v>
      </c>
      <c r="N308" s="13" t="s">
        <v>5514</v>
      </c>
      <c r="O308" s="13" t="s">
        <v>5510</v>
      </c>
      <c r="P308" s="13" t="s">
        <v>5510</v>
      </c>
      <c r="Q308" s="13" t="s">
        <v>5510</v>
      </c>
      <c r="R308" s="13" t="s">
        <v>5510</v>
      </c>
      <c r="S308" s="13" t="s">
        <v>5510</v>
      </c>
      <c r="T308" s="13" t="s">
        <v>11230</v>
      </c>
      <c r="U308" s="13" t="s">
        <v>11231</v>
      </c>
      <c r="V308" s="13" t="s">
        <v>11232</v>
      </c>
      <c r="W308" s="13" t="s">
        <v>11233</v>
      </c>
      <c r="X308" s="13" t="s">
        <v>11234</v>
      </c>
      <c r="Y308" s="13" t="s">
        <v>11235</v>
      </c>
      <c r="Z308" s="13" t="s">
        <v>11236</v>
      </c>
      <c r="AA308" s="13" t="s">
        <v>11237</v>
      </c>
      <c r="AB308" s="13" t="s">
        <v>11238</v>
      </c>
      <c r="AC308" s="13" t="s">
        <v>11239</v>
      </c>
      <c r="AD308" s="13" t="s">
        <v>11240</v>
      </c>
      <c r="AE308" s="13" t="s">
        <v>11241</v>
      </c>
      <c r="AF308" s="13" t="s">
        <v>5510</v>
      </c>
      <c r="AG308" s="13">
        <v>66.0</v>
      </c>
      <c r="AH308" s="13">
        <v>90.0</v>
      </c>
      <c r="AI308" s="13">
        <v>114.0</v>
      </c>
      <c r="AJ308" s="13">
        <v>13.0</v>
      </c>
      <c r="AK308" s="13">
        <v>189.0</v>
      </c>
      <c r="AL308" s="13" t="s">
        <v>5759</v>
      </c>
      <c r="AM308" s="13" t="s">
        <v>5760</v>
      </c>
      <c r="AN308" s="13" t="s">
        <v>5761</v>
      </c>
      <c r="AO308" s="13" t="s">
        <v>5762</v>
      </c>
      <c r="AP308" s="13" t="s">
        <v>5763</v>
      </c>
      <c r="AQ308" s="13" t="s">
        <v>5510</v>
      </c>
      <c r="AR308" s="13" t="s">
        <v>5764</v>
      </c>
      <c r="AS308" s="13" t="s">
        <v>5765</v>
      </c>
      <c r="AT308" s="13" t="s">
        <v>11242</v>
      </c>
      <c r="AU308" s="13">
        <v>2020.0</v>
      </c>
      <c r="AV308" s="13">
        <v>734.0</v>
      </c>
      <c r="AW308" s="13" t="s">
        <v>5510</v>
      </c>
      <c r="AX308" s="13" t="s">
        <v>5510</v>
      </c>
      <c r="AY308" s="13" t="s">
        <v>5510</v>
      </c>
      <c r="AZ308" s="13" t="s">
        <v>5510</v>
      </c>
      <c r="BA308" s="13" t="s">
        <v>5510</v>
      </c>
      <c r="BB308" s="13" t="s">
        <v>5510</v>
      </c>
      <c r="BC308" s="13" t="s">
        <v>5510</v>
      </c>
      <c r="BD308" s="13">
        <v>139374.0</v>
      </c>
      <c r="BE308" s="13" t="s">
        <v>11243</v>
      </c>
      <c r="BF308" s="52" t="str">
        <f>HYPERLINK("http://dx.doi.org/10.1016/j.scitotenv.2020.139374","http://dx.doi.org/10.1016/j.scitotenv.2020.139374")</f>
        <v>http://dx.doi.org/10.1016/j.scitotenv.2020.139374</v>
      </c>
      <c r="BG308" s="13" t="s">
        <v>5510</v>
      </c>
      <c r="BH308" s="13" t="s">
        <v>5510</v>
      </c>
      <c r="BI308" s="13">
        <v>11.0</v>
      </c>
      <c r="BJ308" s="13" t="s">
        <v>5768</v>
      </c>
      <c r="BK308" s="13" t="s">
        <v>5561</v>
      </c>
      <c r="BL308" s="13" t="s">
        <v>5535</v>
      </c>
      <c r="BM308" s="13" t="s">
        <v>11244</v>
      </c>
      <c r="BN308" s="13">
        <v>3.2460076E7</v>
      </c>
      <c r="BO308" s="13" t="s">
        <v>5510</v>
      </c>
      <c r="BP308" s="13" t="s">
        <v>5510</v>
      </c>
      <c r="BQ308" s="13" t="s">
        <v>5510</v>
      </c>
      <c r="BR308" s="13" t="s">
        <v>5538</v>
      </c>
      <c r="BS308" s="13" t="s">
        <v>11245</v>
      </c>
      <c r="BT308" s="13">
        <v>23513.0</v>
      </c>
      <c r="BU308" s="13" t="s">
        <v>5540</v>
      </c>
      <c r="BV308" s="13" t="s">
        <v>4852</v>
      </c>
      <c r="BW308" s="13" t="str">
        <f>VLOOKUP($BT308,Enriched!$A$2:$E$1070,5,false)</f>
        <v>["Pollution"]</v>
      </c>
      <c r="BX308" s="13" t="str">
        <f>VLOOKUP($BT308,Enriched!$A$2:$E$1070,4,false)</f>
        <v>["Domestic &amp; urban waste water"]</v>
      </c>
      <c r="BY308" s="13" t="b">
        <f>VLOOKUP(BT308,Enriched!$A$1:$AA$1070,27,falsE)</f>
        <v>0</v>
      </c>
      <c r="BZ308" s="2" t="str">
        <f>VLOOKUP(BT308,Enriched!$A$1:$AA$1070,14,falsE)</f>
        <v>level2</v>
      </c>
      <c r="CA308" s="13" t="str">
        <f>HYPERLINK("https%3A%2F%2Fwww.webofscience.com%2Fwos%2Fwoscc%2Ffull-record%2FWOS:000540256200010","View Full Record in Web of Science")</f>
        <v>View Full Record in Web of Science</v>
      </c>
    </row>
    <row r="309" ht="12.75" customHeight="1">
      <c r="A309" s="13" t="s">
        <v>5508</v>
      </c>
      <c r="B309" s="13" t="s">
        <v>11246</v>
      </c>
      <c r="C309" s="13" t="s">
        <v>5510</v>
      </c>
      <c r="D309" s="13" t="s">
        <v>5510</v>
      </c>
      <c r="E309" s="13" t="s">
        <v>5510</v>
      </c>
      <c r="F309" s="13" t="s">
        <v>11247</v>
      </c>
      <c r="G309" s="13" t="s">
        <v>5510</v>
      </c>
      <c r="H309" s="13" t="s">
        <v>5510</v>
      </c>
      <c r="I309" s="13" t="s">
        <v>2129</v>
      </c>
      <c r="J309" s="13" t="s">
        <v>6008</v>
      </c>
      <c r="K309" s="13" t="s">
        <v>5510</v>
      </c>
      <c r="L309" s="13" t="s">
        <v>5510</v>
      </c>
      <c r="M309" s="13" t="s">
        <v>5513</v>
      </c>
      <c r="N309" s="13" t="s">
        <v>5514</v>
      </c>
      <c r="O309" s="13" t="s">
        <v>5510</v>
      </c>
      <c r="P309" s="13" t="s">
        <v>5510</v>
      </c>
      <c r="Q309" s="13" t="s">
        <v>5510</v>
      </c>
      <c r="R309" s="13" t="s">
        <v>5510</v>
      </c>
      <c r="S309" s="13" t="s">
        <v>5510</v>
      </c>
      <c r="T309" s="13" t="s">
        <v>11248</v>
      </c>
      <c r="U309" s="13" t="s">
        <v>11249</v>
      </c>
      <c r="V309" s="13" t="s">
        <v>11250</v>
      </c>
      <c r="W309" s="13" t="s">
        <v>11251</v>
      </c>
      <c r="X309" s="13" t="s">
        <v>11252</v>
      </c>
      <c r="Y309" s="13" t="s">
        <v>11253</v>
      </c>
      <c r="Z309" s="13" t="s">
        <v>11254</v>
      </c>
      <c r="AA309" s="13" t="s">
        <v>5510</v>
      </c>
      <c r="AB309" s="13" t="s">
        <v>11255</v>
      </c>
      <c r="AC309" s="13" t="s">
        <v>11256</v>
      </c>
      <c r="AD309" s="13" t="s">
        <v>11257</v>
      </c>
      <c r="AE309" s="13" t="s">
        <v>11258</v>
      </c>
      <c r="AF309" s="13" t="s">
        <v>5510</v>
      </c>
      <c r="AG309" s="13">
        <v>86.0</v>
      </c>
      <c r="AH309" s="13">
        <v>36.0</v>
      </c>
      <c r="AI309" s="13">
        <v>37.0</v>
      </c>
      <c r="AJ309" s="13">
        <v>0.0</v>
      </c>
      <c r="AK309" s="13">
        <v>51.0</v>
      </c>
      <c r="AL309" s="13" t="s">
        <v>5527</v>
      </c>
      <c r="AM309" s="13" t="s">
        <v>5528</v>
      </c>
      <c r="AN309" s="13" t="s">
        <v>5529</v>
      </c>
      <c r="AO309" s="13" t="s">
        <v>6020</v>
      </c>
      <c r="AP309" s="13" t="s">
        <v>6021</v>
      </c>
      <c r="AQ309" s="13" t="s">
        <v>5510</v>
      </c>
      <c r="AR309" s="13" t="s">
        <v>6022</v>
      </c>
      <c r="AS309" s="13" t="s">
        <v>6023</v>
      </c>
      <c r="AT309" s="13" t="s">
        <v>5510</v>
      </c>
      <c r="AU309" s="13">
        <v>2017.0</v>
      </c>
      <c r="AV309" s="13">
        <v>27.0</v>
      </c>
      <c r="AW309" s="13">
        <v>2.0</v>
      </c>
      <c r="AX309" s="13" t="s">
        <v>5510</v>
      </c>
      <c r="AY309" s="13" t="s">
        <v>5510</v>
      </c>
      <c r="AZ309" s="13" t="s">
        <v>5510</v>
      </c>
      <c r="BA309" s="13" t="s">
        <v>5510</v>
      </c>
      <c r="BB309" s="13">
        <v>560.0</v>
      </c>
      <c r="BC309" s="13">
        <v>574.0</v>
      </c>
      <c r="BD309" s="13" t="s">
        <v>5510</v>
      </c>
      <c r="BE309" s="13" t="s">
        <v>11259</v>
      </c>
      <c r="BF309" s="52" t="str">
        <f>HYPERLINK("http://dx.doi.org/10.1002/eap.1466","http://dx.doi.org/10.1002/eap.1466")</f>
        <v>http://dx.doi.org/10.1002/eap.1466</v>
      </c>
      <c r="BG309" s="13" t="s">
        <v>5510</v>
      </c>
      <c r="BH309" s="13" t="s">
        <v>5510</v>
      </c>
      <c r="BI309" s="13">
        <v>15.0</v>
      </c>
      <c r="BJ309" s="13" t="s">
        <v>6026</v>
      </c>
      <c r="BK309" s="13" t="s">
        <v>5561</v>
      </c>
      <c r="BL309" s="13" t="s">
        <v>5535</v>
      </c>
      <c r="BM309" s="13" t="s">
        <v>11260</v>
      </c>
      <c r="BN309" s="13">
        <v>2.7862556E7</v>
      </c>
      <c r="BO309" s="13" t="s">
        <v>5510</v>
      </c>
      <c r="BP309" s="13" t="s">
        <v>5510</v>
      </c>
      <c r="BQ309" s="13" t="s">
        <v>5510</v>
      </c>
      <c r="BR309" s="13" t="s">
        <v>5538</v>
      </c>
      <c r="BS309" s="13" t="s">
        <v>11261</v>
      </c>
      <c r="BT309" s="13">
        <v>25469.0</v>
      </c>
      <c r="BU309" s="13" t="s">
        <v>5540</v>
      </c>
      <c r="BV309" s="13" t="s">
        <v>4864</v>
      </c>
      <c r="BW309" s="13" t="str">
        <f>VLOOKUP($BT309,Enriched!$A$2:$E$1070,5,false)</f>
        <v>["Biological resource use"]</v>
      </c>
      <c r="BX309" s="13" t="str">
        <f>VLOOKUP($BT309,Enriched!$A$2:$E$1070,4,false)</f>
        <v>["Fishing &amp; harvesting aquatic resources"]</v>
      </c>
      <c r="BY309" s="13" t="b">
        <f>VLOOKUP(BT309,Enriched!$A$1:$AA$1070,27,falsE)</f>
        <v>0</v>
      </c>
      <c r="BZ309" s="2" t="str">
        <f>VLOOKUP(BT309,Enriched!$A$1:$AA$1070,14,falsE)</f>
        <v>level2</v>
      </c>
      <c r="CA309" s="13" t="str">
        <f>HYPERLINK("https%3A%2F%2Fwww.webofscience.com%2Fwos%2Fwoscc%2Ffull-record%2FWOS:000395634300019","View Full Record in Web of Science")</f>
        <v>View Full Record in Web of Science</v>
      </c>
    </row>
    <row r="310" ht="12.75" customHeight="1">
      <c r="A310" s="13" t="s">
        <v>5508</v>
      </c>
      <c r="B310" s="13" t="s">
        <v>11262</v>
      </c>
      <c r="C310" s="13" t="s">
        <v>5510</v>
      </c>
      <c r="D310" s="13" t="s">
        <v>5510</v>
      </c>
      <c r="E310" s="13" t="s">
        <v>5510</v>
      </c>
      <c r="F310" s="13" t="s">
        <v>11263</v>
      </c>
      <c r="G310" s="13" t="s">
        <v>5510</v>
      </c>
      <c r="H310" s="13" t="s">
        <v>5510</v>
      </c>
      <c r="I310" s="2" t="s">
        <v>2128</v>
      </c>
      <c r="J310" s="13" t="s">
        <v>5543</v>
      </c>
      <c r="K310" s="13" t="s">
        <v>5510</v>
      </c>
      <c r="L310" s="13" t="s">
        <v>5510</v>
      </c>
      <c r="M310" s="13" t="s">
        <v>5513</v>
      </c>
      <c r="N310" s="13" t="s">
        <v>5514</v>
      </c>
      <c r="O310" s="13" t="s">
        <v>5510</v>
      </c>
      <c r="P310" s="13" t="s">
        <v>5510</v>
      </c>
      <c r="Q310" s="13" t="s">
        <v>5510</v>
      </c>
      <c r="R310" s="13" t="s">
        <v>5510</v>
      </c>
      <c r="S310" s="13" t="s">
        <v>5510</v>
      </c>
      <c r="T310" s="13" t="s">
        <v>5510</v>
      </c>
      <c r="U310" s="13" t="s">
        <v>11264</v>
      </c>
      <c r="V310" s="13" t="s">
        <v>11265</v>
      </c>
      <c r="W310" s="13" t="s">
        <v>11266</v>
      </c>
      <c r="X310" s="13" t="s">
        <v>11267</v>
      </c>
      <c r="Y310" s="13" t="s">
        <v>11268</v>
      </c>
      <c r="Z310" s="13" t="s">
        <v>11269</v>
      </c>
      <c r="AA310" s="13" t="s">
        <v>11270</v>
      </c>
      <c r="AB310" s="13" t="s">
        <v>11271</v>
      </c>
      <c r="AC310" s="13" t="s">
        <v>5510</v>
      </c>
      <c r="AD310" s="13" t="s">
        <v>5510</v>
      </c>
      <c r="AE310" s="13" t="s">
        <v>5510</v>
      </c>
      <c r="AF310" s="13" t="s">
        <v>5510</v>
      </c>
      <c r="AG310" s="13">
        <v>41.0</v>
      </c>
      <c r="AH310" s="13">
        <v>23.0</v>
      </c>
      <c r="AI310" s="13">
        <v>23.0</v>
      </c>
      <c r="AJ310" s="13">
        <v>1.0</v>
      </c>
      <c r="AK310" s="13">
        <v>16.0</v>
      </c>
      <c r="AL310" s="13" t="s">
        <v>5552</v>
      </c>
      <c r="AM310" s="13" t="s">
        <v>5553</v>
      </c>
      <c r="AN310" s="13" t="s">
        <v>5554</v>
      </c>
      <c r="AO310" s="13" t="s">
        <v>5555</v>
      </c>
      <c r="AP310" s="13" t="s">
        <v>5510</v>
      </c>
      <c r="AQ310" s="13" t="s">
        <v>5510</v>
      </c>
      <c r="AR310" s="13" t="s">
        <v>5543</v>
      </c>
      <c r="AS310" s="13" t="s">
        <v>5556</v>
      </c>
      <c r="AT310" s="13" t="s">
        <v>11272</v>
      </c>
      <c r="AU310" s="13">
        <v>2018.0</v>
      </c>
      <c r="AV310" s="13">
        <v>13.0</v>
      </c>
      <c r="AW310" s="13">
        <v>4.0</v>
      </c>
      <c r="AX310" s="13" t="s">
        <v>5510</v>
      </c>
      <c r="AY310" s="13" t="s">
        <v>5510</v>
      </c>
      <c r="AZ310" s="13" t="s">
        <v>5510</v>
      </c>
      <c r="BA310" s="13" t="s">
        <v>5510</v>
      </c>
      <c r="BB310" s="13" t="s">
        <v>5510</v>
      </c>
      <c r="BC310" s="13" t="s">
        <v>5510</v>
      </c>
      <c r="BD310" s="13" t="s">
        <v>11273</v>
      </c>
      <c r="BE310" s="13" t="s">
        <v>11274</v>
      </c>
      <c r="BF310" s="52" t="str">
        <f>HYPERLINK("http://dx.doi.org/10.1371/journal.pone.0195387","http://dx.doi.org/10.1371/journal.pone.0195387")</f>
        <v>http://dx.doi.org/10.1371/journal.pone.0195387</v>
      </c>
      <c r="BG310" s="13" t="s">
        <v>5510</v>
      </c>
      <c r="BH310" s="13" t="s">
        <v>5510</v>
      </c>
      <c r="BI310" s="13">
        <v>12.0</v>
      </c>
      <c r="BJ310" s="13" t="s">
        <v>5560</v>
      </c>
      <c r="BK310" s="13" t="s">
        <v>5561</v>
      </c>
      <c r="BL310" s="13" t="s">
        <v>5562</v>
      </c>
      <c r="BM310" s="13" t="s">
        <v>11275</v>
      </c>
      <c r="BN310" s="13">
        <v>2.9694391E7</v>
      </c>
      <c r="BO310" s="13" t="s">
        <v>5564</v>
      </c>
      <c r="BP310" s="13" t="s">
        <v>5510</v>
      </c>
      <c r="BQ310" s="13" t="s">
        <v>5510</v>
      </c>
      <c r="BR310" s="13" t="s">
        <v>5538</v>
      </c>
      <c r="BS310" s="13" t="s">
        <v>11276</v>
      </c>
      <c r="BT310" s="13">
        <v>24917.0</v>
      </c>
      <c r="BU310" s="13" t="s">
        <v>5540</v>
      </c>
      <c r="BV310" s="13" t="s">
        <v>4856</v>
      </c>
      <c r="BW310" s="13" t="str">
        <f>VLOOKUP($BT310,Enriched!$A$2:$E$1070,5,false)</f>
        <v>["Transportation &amp; Service Corridors", "Biological Resource Use"]</v>
      </c>
      <c r="BX310" s="13" t="str">
        <f>VLOOKUP($BT310,Enriched!$A$2:$E$1070,4,false)</f>
        <v>["Roads &amp; railroads", "Hunting &amp; collecting terrestrial animals"]</v>
      </c>
      <c r="BY310" s="13" t="b">
        <f>VLOOKUP(BT310,Enriched!$A$1:$AA$1070,27,falsE)</f>
        <v>0</v>
      </c>
      <c r="BZ310" s="2" t="str">
        <f>VLOOKUP(BT310,Enriched!$A$1:$AA$1070,14,falsE)</f>
        <v>level2</v>
      </c>
      <c r="CA310" s="13" t="str">
        <f>HYPERLINK("https%3A%2F%2Fwww.webofscience.com%2Fwos%2Fwoscc%2Ffull-record%2FWOS:000430802400027","View Full Record in Web of Science")</f>
        <v>View Full Record in Web of Science</v>
      </c>
    </row>
    <row r="311" ht="12.75" customHeight="1">
      <c r="A311" s="13" t="s">
        <v>5508</v>
      </c>
      <c r="B311" s="13" t="s">
        <v>11277</v>
      </c>
      <c r="C311" s="13" t="s">
        <v>5510</v>
      </c>
      <c r="D311" s="13" t="s">
        <v>5510</v>
      </c>
      <c r="E311" s="13" t="s">
        <v>5510</v>
      </c>
      <c r="F311" s="13" t="s">
        <v>11278</v>
      </c>
      <c r="G311" s="13" t="s">
        <v>5510</v>
      </c>
      <c r="H311" s="13" t="s">
        <v>5510</v>
      </c>
      <c r="I311" s="13" t="s">
        <v>11279</v>
      </c>
      <c r="J311" s="13" t="s">
        <v>5849</v>
      </c>
      <c r="K311" s="13" t="s">
        <v>5510</v>
      </c>
      <c r="L311" s="13" t="s">
        <v>5510</v>
      </c>
      <c r="M311" s="13" t="s">
        <v>5513</v>
      </c>
      <c r="N311" s="13" t="s">
        <v>5514</v>
      </c>
      <c r="O311" s="13" t="s">
        <v>5510</v>
      </c>
      <c r="P311" s="13" t="s">
        <v>5510</v>
      </c>
      <c r="Q311" s="13" t="s">
        <v>5510</v>
      </c>
      <c r="R311" s="13" t="s">
        <v>5510</v>
      </c>
      <c r="S311" s="13" t="s">
        <v>5510</v>
      </c>
      <c r="T311" s="13" t="s">
        <v>11280</v>
      </c>
      <c r="U311" s="13" t="s">
        <v>11281</v>
      </c>
      <c r="V311" s="13" t="s">
        <v>11282</v>
      </c>
      <c r="W311" s="13" t="s">
        <v>11283</v>
      </c>
      <c r="X311" s="13" t="s">
        <v>11284</v>
      </c>
      <c r="Y311" s="13" t="s">
        <v>11285</v>
      </c>
      <c r="Z311" s="13" t="s">
        <v>6809</v>
      </c>
      <c r="AA311" s="13" t="s">
        <v>11286</v>
      </c>
      <c r="AB311" s="13" t="s">
        <v>11287</v>
      </c>
      <c r="AC311" s="13" t="s">
        <v>11288</v>
      </c>
      <c r="AD311" s="13" t="s">
        <v>11289</v>
      </c>
      <c r="AE311" s="13" t="s">
        <v>11290</v>
      </c>
      <c r="AF311" s="13" t="s">
        <v>5510</v>
      </c>
      <c r="AG311" s="13">
        <v>65.0</v>
      </c>
      <c r="AH311" s="13">
        <v>17.0</v>
      </c>
      <c r="AI311" s="13">
        <v>21.0</v>
      </c>
      <c r="AJ311" s="13">
        <v>1.0</v>
      </c>
      <c r="AK311" s="13">
        <v>59.0</v>
      </c>
      <c r="AL311" s="13" t="s">
        <v>5527</v>
      </c>
      <c r="AM311" s="13" t="s">
        <v>5528</v>
      </c>
      <c r="AN311" s="13" t="s">
        <v>5529</v>
      </c>
      <c r="AO311" s="13" t="s">
        <v>5862</v>
      </c>
      <c r="AP311" s="13" t="s">
        <v>5863</v>
      </c>
      <c r="AQ311" s="13" t="s">
        <v>5510</v>
      </c>
      <c r="AR311" s="13" t="s">
        <v>5864</v>
      </c>
      <c r="AS311" s="13" t="s">
        <v>5865</v>
      </c>
      <c r="AT311" s="13" t="s">
        <v>11291</v>
      </c>
      <c r="AU311" s="13">
        <v>2009.0</v>
      </c>
      <c r="AV311" s="13">
        <v>19.0</v>
      </c>
      <c r="AW311" s="13">
        <v>5.0</v>
      </c>
      <c r="AX311" s="13" t="s">
        <v>5510</v>
      </c>
      <c r="AY311" s="13" t="s">
        <v>5510</v>
      </c>
      <c r="AZ311" s="13" t="s">
        <v>5510</v>
      </c>
      <c r="BA311" s="13" t="s">
        <v>5510</v>
      </c>
      <c r="BB311" s="13">
        <v>554.0</v>
      </c>
      <c r="BC311" s="13">
        <v>565.0</v>
      </c>
      <c r="BD311" s="13" t="s">
        <v>5510</v>
      </c>
      <c r="BE311" s="13" t="s">
        <v>11292</v>
      </c>
      <c r="BF311" s="52" t="str">
        <f>HYPERLINK("http://dx.doi.org/10.1002/aqc.1003","http://dx.doi.org/10.1002/aqc.1003")</f>
        <v>http://dx.doi.org/10.1002/aqc.1003</v>
      </c>
      <c r="BG311" s="13" t="s">
        <v>5510</v>
      </c>
      <c r="BH311" s="13" t="s">
        <v>5510</v>
      </c>
      <c r="BI311" s="13">
        <v>12.0</v>
      </c>
      <c r="BJ311" s="13" t="s">
        <v>5869</v>
      </c>
      <c r="BK311" s="13" t="s">
        <v>5561</v>
      </c>
      <c r="BL311" s="13" t="s">
        <v>5870</v>
      </c>
      <c r="BM311" s="13" t="s">
        <v>11293</v>
      </c>
      <c r="BN311" s="13" t="s">
        <v>5510</v>
      </c>
      <c r="BO311" s="13" t="s">
        <v>5510</v>
      </c>
      <c r="BP311" s="13" t="s">
        <v>5510</v>
      </c>
      <c r="BQ311" s="13" t="s">
        <v>5510</v>
      </c>
      <c r="BR311" s="13" t="s">
        <v>5538</v>
      </c>
      <c r="BS311" s="13" t="s">
        <v>11294</v>
      </c>
      <c r="BT311" s="13">
        <v>25675.0</v>
      </c>
      <c r="BU311" s="13" t="s">
        <v>5540</v>
      </c>
      <c r="BV311" s="13" t="s">
        <v>4864</v>
      </c>
      <c r="BW311" s="13" t="str">
        <f>VLOOKUP($BT311,Enriched!$A$2:$E$1070,5,false)</f>
        <v>["Biological resource use"]</v>
      </c>
      <c r="BX311" s="13" t="str">
        <f>VLOOKUP($BT311,Enriched!$A$2:$E$1070,4,false)</f>
        <v>["Fishing &amp; harvesting aquatic resources"]</v>
      </c>
      <c r="BY311" s="13" t="b">
        <f>VLOOKUP(BT311,Enriched!$A$1:$AA$1070,27,falsE)</f>
        <v>0</v>
      </c>
      <c r="BZ311" s="2" t="str">
        <f>VLOOKUP(BT311,Enriched!$A$1:$AA$1070,14,falsE)</f>
        <v>level2</v>
      </c>
      <c r="CA311" s="13" t="str">
        <f>HYPERLINK("https%3A%2F%2Fwww.webofscience.com%2Fwos%2Fwoscc%2Ffull-record%2FWOS:000268072800007","View Full Record in Web of Science")</f>
        <v>View Full Record in Web of Science</v>
      </c>
    </row>
    <row r="312" ht="12.75" customHeight="1">
      <c r="A312" s="13" t="s">
        <v>5508</v>
      </c>
      <c r="B312" s="13" t="s">
        <v>11295</v>
      </c>
      <c r="C312" s="13" t="s">
        <v>5510</v>
      </c>
      <c r="D312" s="13" t="s">
        <v>5510</v>
      </c>
      <c r="E312" s="13" t="s">
        <v>5510</v>
      </c>
      <c r="F312" s="13" t="s">
        <v>11296</v>
      </c>
      <c r="G312" s="13" t="s">
        <v>5510</v>
      </c>
      <c r="H312" s="13" t="s">
        <v>5510</v>
      </c>
      <c r="I312" s="2" t="s">
        <v>2119</v>
      </c>
      <c r="J312" s="13" t="s">
        <v>5919</v>
      </c>
      <c r="K312" s="13" t="s">
        <v>5510</v>
      </c>
      <c r="L312" s="13" t="s">
        <v>5510</v>
      </c>
      <c r="M312" s="13" t="s">
        <v>5513</v>
      </c>
      <c r="N312" s="13" t="s">
        <v>5514</v>
      </c>
      <c r="O312" s="13" t="s">
        <v>5510</v>
      </c>
      <c r="P312" s="13" t="s">
        <v>5510</v>
      </c>
      <c r="Q312" s="13" t="s">
        <v>5510</v>
      </c>
      <c r="R312" s="13" t="s">
        <v>5510</v>
      </c>
      <c r="S312" s="13" t="s">
        <v>5510</v>
      </c>
      <c r="T312" s="13" t="s">
        <v>11297</v>
      </c>
      <c r="U312" s="13" t="s">
        <v>11298</v>
      </c>
      <c r="V312" s="13" t="s">
        <v>11299</v>
      </c>
      <c r="W312" s="13" t="s">
        <v>11300</v>
      </c>
      <c r="X312" s="13" t="s">
        <v>11301</v>
      </c>
      <c r="Y312" s="13" t="s">
        <v>11302</v>
      </c>
      <c r="Z312" s="13" t="s">
        <v>11303</v>
      </c>
      <c r="AA312" s="13" t="s">
        <v>11304</v>
      </c>
      <c r="AB312" s="13" t="s">
        <v>11305</v>
      </c>
      <c r="AC312" s="13" t="s">
        <v>5510</v>
      </c>
      <c r="AD312" s="13" t="s">
        <v>5510</v>
      </c>
      <c r="AE312" s="13" t="s">
        <v>5510</v>
      </c>
      <c r="AF312" s="13" t="s">
        <v>5510</v>
      </c>
      <c r="AG312" s="13">
        <v>52.0</v>
      </c>
      <c r="AH312" s="13">
        <v>114.0</v>
      </c>
      <c r="AI312" s="13">
        <v>133.0</v>
      </c>
      <c r="AJ312" s="13">
        <v>0.0</v>
      </c>
      <c r="AK312" s="13">
        <v>17.0</v>
      </c>
      <c r="AL312" s="13" t="s">
        <v>5931</v>
      </c>
      <c r="AM312" s="13" t="s">
        <v>5932</v>
      </c>
      <c r="AN312" s="13" t="s">
        <v>5933</v>
      </c>
      <c r="AO312" s="13" t="s">
        <v>5934</v>
      </c>
      <c r="AP312" s="13" t="s">
        <v>5510</v>
      </c>
      <c r="AQ312" s="13" t="s">
        <v>5510</v>
      </c>
      <c r="AR312" s="13" t="s">
        <v>5936</v>
      </c>
      <c r="AS312" s="13" t="s">
        <v>5937</v>
      </c>
      <c r="AT312" s="13" t="s">
        <v>5667</v>
      </c>
      <c r="AU312" s="13">
        <v>2007.0</v>
      </c>
      <c r="AV312" s="13">
        <v>137.0</v>
      </c>
      <c r="AW312" s="13">
        <v>3.0</v>
      </c>
      <c r="AX312" s="13" t="s">
        <v>5510</v>
      </c>
      <c r="AY312" s="13" t="s">
        <v>5510</v>
      </c>
      <c r="AZ312" s="13" t="s">
        <v>5510</v>
      </c>
      <c r="BA312" s="13" t="s">
        <v>5510</v>
      </c>
      <c r="BB312" s="13">
        <v>424.0</v>
      </c>
      <c r="BC312" s="13">
        <v>436.0</v>
      </c>
      <c r="BD312" s="13" t="s">
        <v>5510</v>
      </c>
      <c r="BE312" s="13" t="s">
        <v>11306</v>
      </c>
      <c r="BF312" s="52" t="str">
        <f>HYPERLINK("http://dx.doi.org/10.1016/j.biocon.2007.02.020","http://dx.doi.org/10.1016/j.biocon.2007.02.020")</f>
        <v>http://dx.doi.org/10.1016/j.biocon.2007.02.020</v>
      </c>
      <c r="BG312" s="13" t="s">
        <v>5510</v>
      </c>
      <c r="BH312" s="13" t="s">
        <v>5510</v>
      </c>
      <c r="BI312" s="13">
        <v>13.0</v>
      </c>
      <c r="BJ312" s="13" t="s">
        <v>5698</v>
      </c>
      <c r="BK312" s="13" t="s">
        <v>5561</v>
      </c>
      <c r="BL312" s="13" t="s">
        <v>5699</v>
      </c>
      <c r="BM312" s="13" t="s">
        <v>11307</v>
      </c>
      <c r="BN312" s="13" t="s">
        <v>5510</v>
      </c>
      <c r="BO312" s="13" t="s">
        <v>5510</v>
      </c>
      <c r="BP312" s="13" t="s">
        <v>5510</v>
      </c>
      <c r="BQ312" s="13" t="s">
        <v>5510</v>
      </c>
      <c r="BR312" s="13" t="s">
        <v>5538</v>
      </c>
      <c r="BS312" s="13" t="s">
        <v>11308</v>
      </c>
      <c r="BT312" s="13">
        <v>23985.0</v>
      </c>
      <c r="BU312" s="13" t="s">
        <v>5540</v>
      </c>
      <c r="BV312" s="13" t="s">
        <v>4856</v>
      </c>
      <c r="BW312" s="13" t="str">
        <f>VLOOKUP($BT312,Enriched!$A$2:$E$1070,5,false)</f>
        <v>["Biological resource use"]</v>
      </c>
      <c r="BX312" s="13" t="str">
        <f>VLOOKUP($BT312,Enriched!$A$2:$E$1070,4,false)</f>
        <v>["Gathering terrestrial plants"]</v>
      </c>
      <c r="BY312" s="13" t="b">
        <f>VLOOKUP(BT312,Enriched!$A$1:$AA$1070,27,falsE)</f>
        <v>0</v>
      </c>
      <c r="BZ312" s="2" t="str">
        <f>VLOOKUP(BT312,Enriched!$A$1:$AA$1070,14,falsE)</f>
        <v>level2</v>
      </c>
      <c r="CA312" s="13" t="str">
        <f>HYPERLINK("https%3A%2F%2Fwww.webofscience.com%2Fwos%2Fwoscc%2Ffull-record%2FWOS:000247775600011","View Full Record in Web of Science")</f>
        <v>View Full Record in Web of Science</v>
      </c>
    </row>
    <row r="313" ht="12.75" customHeight="1">
      <c r="A313" s="13" t="s">
        <v>5508</v>
      </c>
      <c r="B313" s="13" t="s">
        <v>11309</v>
      </c>
      <c r="C313" s="13" t="s">
        <v>5510</v>
      </c>
      <c r="D313" s="13" t="s">
        <v>5510</v>
      </c>
      <c r="E313" s="13" t="s">
        <v>5510</v>
      </c>
      <c r="F313" s="13" t="s">
        <v>11310</v>
      </c>
      <c r="G313" s="13" t="s">
        <v>5510</v>
      </c>
      <c r="H313" s="13" t="s">
        <v>5510</v>
      </c>
      <c r="I313" s="13" t="s">
        <v>2116</v>
      </c>
      <c r="J313" s="13" t="s">
        <v>6627</v>
      </c>
      <c r="K313" s="13" t="s">
        <v>5510</v>
      </c>
      <c r="L313" s="13" t="s">
        <v>5510</v>
      </c>
      <c r="M313" s="13" t="s">
        <v>5513</v>
      </c>
      <c r="N313" s="13" t="s">
        <v>5514</v>
      </c>
      <c r="O313" s="13" t="s">
        <v>5510</v>
      </c>
      <c r="P313" s="13" t="s">
        <v>5510</v>
      </c>
      <c r="Q313" s="13" t="s">
        <v>5510</v>
      </c>
      <c r="R313" s="13" t="s">
        <v>5510</v>
      </c>
      <c r="S313" s="13" t="s">
        <v>5510</v>
      </c>
      <c r="T313" s="13" t="s">
        <v>11311</v>
      </c>
      <c r="U313" s="13" t="s">
        <v>11312</v>
      </c>
      <c r="V313" s="13" t="s">
        <v>11313</v>
      </c>
      <c r="W313" s="13" t="s">
        <v>11314</v>
      </c>
      <c r="X313" s="13" t="s">
        <v>9725</v>
      </c>
      <c r="Y313" s="13" t="s">
        <v>11315</v>
      </c>
      <c r="Z313" s="13" t="s">
        <v>11316</v>
      </c>
      <c r="AA313" s="13" t="s">
        <v>11317</v>
      </c>
      <c r="AB313" s="13" t="s">
        <v>11318</v>
      </c>
      <c r="AC313" s="13" t="s">
        <v>11319</v>
      </c>
      <c r="AD313" s="13" t="s">
        <v>11320</v>
      </c>
      <c r="AE313" s="13" t="s">
        <v>11321</v>
      </c>
      <c r="AF313" s="13" t="s">
        <v>5510</v>
      </c>
      <c r="AG313" s="13">
        <v>50.0</v>
      </c>
      <c r="AH313" s="13">
        <v>56.0</v>
      </c>
      <c r="AI313" s="13">
        <v>66.0</v>
      </c>
      <c r="AJ313" s="13">
        <v>1.0</v>
      </c>
      <c r="AK313" s="13">
        <v>49.0</v>
      </c>
      <c r="AL313" s="13" t="s">
        <v>5527</v>
      </c>
      <c r="AM313" s="13" t="s">
        <v>5528</v>
      </c>
      <c r="AN313" s="13" t="s">
        <v>5529</v>
      </c>
      <c r="AO313" s="13" t="s">
        <v>6640</v>
      </c>
      <c r="AP313" s="13" t="s">
        <v>6641</v>
      </c>
      <c r="AQ313" s="13" t="s">
        <v>5510</v>
      </c>
      <c r="AR313" s="13" t="s">
        <v>6642</v>
      </c>
      <c r="AS313" s="13" t="s">
        <v>6643</v>
      </c>
      <c r="AT313" s="13" t="s">
        <v>5866</v>
      </c>
      <c r="AU313" s="13">
        <v>2009.0</v>
      </c>
      <c r="AV313" s="13">
        <v>15.0</v>
      </c>
      <c r="AW313" s="13">
        <v>3.0</v>
      </c>
      <c r="AX313" s="13" t="s">
        <v>5510</v>
      </c>
      <c r="AY313" s="13" t="s">
        <v>5510</v>
      </c>
      <c r="AZ313" s="13" t="s">
        <v>5510</v>
      </c>
      <c r="BA313" s="13" t="s">
        <v>5510</v>
      </c>
      <c r="BB313" s="13">
        <v>367.0</v>
      </c>
      <c r="BC313" s="13">
        <v>378.0</v>
      </c>
      <c r="BD313" s="13" t="s">
        <v>5510</v>
      </c>
      <c r="BE313" s="13" t="s">
        <v>11322</v>
      </c>
      <c r="BF313" s="52" t="str">
        <f>HYPERLINK("http://dx.doi.org/10.1111/j.1472-4642.2008.00544.x","http://dx.doi.org/10.1111/j.1472-4642.2008.00544.x")</f>
        <v>http://dx.doi.org/10.1111/j.1472-4642.2008.00544.x</v>
      </c>
      <c r="BG313" s="13" t="s">
        <v>5510</v>
      </c>
      <c r="BH313" s="13" t="s">
        <v>5510</v>
      </c>
      <c r="BI313" s="13">
        <v>12.0</v>
      </c>
      <c r="BJ313" s="13" t="s">
        <v>5958</v>
      </c>
      <c r="BK313" s="13" t="s">
        <v>5561</v>
      </c>
      <c r="BL313" s="13" t="s">
        <v>5699</v>
      </c>
      <c r="BM313" s="13" t="s">
        <v>11323</v>
      </c>
      <c r="BN313" s="13" t="s">
        <v>5510</v>
      </c>
      <c r="BO313" s="13" t="s">
        <v>6586</v>
      </c>
      <c r="BP313" s="13" t="s">
        <v>5510</v>
      </c>
      <c r="BQ313" s="13" t="s">
        <v>5510</v>
      </c>
      <c r="BR313" s="13" t="s">
        <v>5538</v>
      </c>
      <c r="BS313" s="13" t="s">
        <v>11324</v>
      </c>
      <c r="BT313" s="13">
        <v>23937.0</v>
      </c>
      <c r="BU313" s="13" t="s">
        <v>5540</v>
      </c>
      <c r="BV313" s="13" t="s">
        <v>4852</v>
      </c>
      <c r="BW313" s="13" t="str">
        <f>VLOOKUP($BT313,Enriched!$A$2:$E$1070,5,false)</f>
        <v>["Invasive &amp; other problematic species, genes &amp; diseases"]</v>
      </c>
      <c r="BX313" s="13" t="str">
        <f>VLOOKUP($BT313,Enriched!$A$2:$E$1070,4,false)</f>
        <v>["Invasive non-native/alien species/diseases"]</v>
      </c>
      <c r="BY313" s="13" t="b">
        <f>VLOOKUP(BT313,Enriched!$A$1:$AA$1070,27,falsE)</f>
        <v>0</v>
      </c>
      <c r="BZ313" s="2" t="str">
        <f>VLOOKUP(BT313,Enriched!$A$1:$AA$1070,14,falsE)</f>
        <v>level2</v>
      </c>
      <c r="CA313" s="13" t="str">
        <f>HYPERLINK("https%3A%2F%2Fwww.webofscience.com%2Fwos%2Fwoscc%2Ffull-record%2FWOS:000265070400001","View Full Record in Web of Science")</f>
        <v>View Full Record in Web of Science</v>
      </c>
    </row>
    <row r="314" ht="12.75" customHeight="1">
      <c r="A314" s="13" t="s">
        <v>5508</v>
      </c>
      <c r="B314" s="13" t="s">
        <v>11325</v>
      </c>
      <c r="C314" s="13" t="s">
        <v>5510</v>
      </c>
      <c r="D314" s="13" t="s">
        <v>5510</v>
      </c>
      <c r="E314" s="13" t="s">
        <v>5510</v>
      </c>
      <c r="F314" s="13" t="s">
        <v>11326</v>
      </c>
      <c r="G314" s="13" t="s">
        <v>5510</v>
      </c>
      <c r="H314" s="13" t="s">
        <v>5510</v>
      </c>
      <c r="I314" s="13" t="s">
        <v>2113</v>
      </c>
      <c r="J314" s="13" t="s">
        <v>7857</v>
      </c>
      <c r="K314" s="13" t="s">
        <v>5510</v>
      </c>
      <c r="L314" s="13" t="s">
        <v>5510</v>
      </c>
      <c r="M314" s="13" t="s">
        <v>5513</v>
      </c>
      <c r="N314" s="13" t="s">
        <v>5514</v>
      </c>
      <c r="O314" s="13" t="s">
        <v>5510</v>
      </c>
      <c r="P314" s="13" t="s">
        <v>5510</v>
      </c>
      <c r="Q314" s="13" t="s">
        <v>5510</v>
      </c>
      <c r="R314" s="13" t="s">
        <v>5510</v>
      </c>
      <c r="S314" s="13" t="s">
        <v>5510</v>
      </c>
      <c r="T314" s="13" t="s">
        <v>11327</v>
      </c>
      <c r="U314" s="13" t="s">
        <v>11328</v>
      </c>
      <c r="V314" s="13" t="s">
        <v>11329</v>
      </c>
      <c r="W314" s="13" t="s">
        <v>11330</v>
      </c>
      <c r="X314" s="13" t="s">
        <v>11331</v>
      </c>
      <c r="Y314" s="13" t="s">
        <v>11332</v>
      </c>
      <c r="Z314" s="13" t="s">
        <v>11333</v>
      </c>
      <c r="AA314" s="13" t="s">
        <v>11334</v>
      </c>
      <c r="AB314" s="13" t="s">
        <v>11335</v>
      </c>
      <c r="AC314" s="13" t="s">
        <v>11336</v>
      </c>
      <c r="AD314" s="13" t="s">
        <v>11337</v>
      </c>
      <c r="AE314" s="13" t="s">
        <v>11338</v>
      </c>
      <c r="AF314" s="13" t="s">
        <v>5510</v>
      </c>
      <c r="AG314" s="13">
        <v>55.0</v>
      </c>
      <c r="AH314" s="13">
        <v>38.0</v>
      </c>
      <c r="AI314" s="13">
        <v>51.0</v>
      </c>
      <c r="AJ314" s="13">
        <v>0.0</v>
      </c>
      <c r="AK314" s="13">
        <v>59.0</v>
      </c>
      <c r="AL314" s="13" t="s">
        <v>5527</v>
      </c>
      <c r="AM314" s="13" t="s">
        <v>5528</v>
      </c>
      <c r="AN314" s="13" t="s">
        <v>5529</v>
      </c>
      <c r="AO314" s="13" t="s">
        <v>7870</v>
      </c>
      <c r="AP314" s="13" t="s">
        <v>7871</v>
      </c>
      <c r="AQ314" s="13" t="s">
        <v>5510</v>
      </c>
      <c r="AR314" s="13" t="s">
        <v>7872</v>
      </c>
      <c r="AS314" s="13" t="s">
        <v>7873</v>
      </c>
      <c r="AT314" s="13" t="s">
        <v>6089</v>
      </c>
      <c r="AU314" s="13">
        <v>2018.0</v>
      </c>
      <c r="AV314" s="13">
        <v>24.0</v>
      </c>
      <c r="AW314" s="13">
        <v>3.0</v>
      </c>
      <c r="AX314" s="13" t="s">
        <v>5510</v>
      </c>
      <c r="AY314" s="13" t="s">
        <v>5510</v>
      </c>
      <c r="AZ314" s="13" t="s">
        <v>5510</v>
      </c>
      <c r="BA314" s="13" t="s">
        <v>5510</v>
      </c>
      <c r="BB314" s="13">
        <v>1175.0</v>
      </c>
      <c r="BC314" s="13">
        <v>1185.0</v>
      </c>
      <c r="BD314" s="13" t="s">
        <v>5510</v>
      </c>
      <c r="BE314" s="13" t="s">
        <v>11339</v>
      </c>
      <c r="BF314" s="52" t="str">
        <f>HYPERLINK("http://dx.doi.org/10.1111/gcb.13940","http://dx.doi.org/10.1111/gcb.13940")</f>
        <v>http://dx.doi.org/10.1111/gcb.13940</v>
      </c>
      <c r="BG314" s="13" t="s">
        <v>5510</v>
      </c>
      <c r="BH314" s="13" t="s">
        <v>5510</v>
      </c>
      <c r="BI314" s="13">
        <v>11.0</v>
      </c>
      <c r="BJ314" s="13" t="s">
        <v>5698</v>
      </c>
      <c r="BK314" s="13" t="s">
        <v>5561</v>
      </c>
      <c r="BL314" s="13" t="s">
        <v>5699</v>
      </c>
      <c r="BM314" s="13" t="s">
        <v>11340</v>
      </c>
      <c r="BN314" s="13">
        <v>2.9139216E7</v>
      </c>
      <c r="BO314" s="13" t="s">
        <v>5510</v>
      </c>
      <c r="BP314" s="13" t="s">
        <v>5510</v>
      </c>
      <c r="BQ314" s="13" t="s">
        <v>5510</v>
      </c>
      <c r="BR314" s="13" t="s">
        <v>5538</v>
      </c>
      <c r="BS314" s="13" t="s">
        <v>11341</v>
      </c>
      <c r="BT314" s="13">
        <v>24420.0</v>
      </c>
      <c r="BU314" s="13" t="s">
        <v>5540</v>
      </c>
      <c r="BV314" s="13" t="s">
        <v>4852</v>
      </c>
      <c r="BW314" s="13" t="str">
        <f>VLOOKUP($BT314,Enriched!$A$2:$E$1070,5,false)</f>
        <v>["Natural system modifications"]</v>
      </c>
      <c r="BX314" s="13" t="str">
        <f>VLOOKUP($BT314,Enriched!$A$2:$E$1070,4,false)</f>
        <v>["Dams &amp; water management/use"]</v>
      </c>
      <c r="BY314" s="13" t="b">
        <f>VLOOKUP(BT314,Enriched!$A$1:$AA$1070,27,falsE)</f>
        <v>0</v>
      </c>
      <c r="BZ314" s="2" t="str">
        <f>VLOOKUP(BT314,Enriched!$A$1:$AA$1070,14,falsE)</f>
        <v>level2</v>
      </c>
      <c r="CA314" s="13" t="str">
        <f>HYPERLINK("https%3A%2F%2Fwww.webofscience.com%2Fwos%2Fwoscc%2Ffull-record%2FWOS:000425396700026","View Full Record in Web of Science")</f>
        <v>View Full Record in Web of Science</v>
      </c>
    </row>
    <row r="315" ht="12.75" customHeight="1">
      <c r="A315" s="13" t="s">
        <v>5508</v>
      </c>
      <c r="B315" s="13" t="s">
        <v>11342</v>
      </c>
      <c r="C315" s="13" t="s">
        <v>5510</v>
      </c>
      <c r="D315" s="13" t="s">
        <v>5510</v>
      </c>
      <c r="E315" s="13" t="s">
        <v>5510</v>
      </c>
      <c r="F315" s="13" t="s">
        <v>11343</v>
      </c>
      <c r="G315" s="13" t="s">
        <v>5510</v>
      </c>
      <c r="H315" s="13" t="s">
        <v>5510</v>
      </c>
      <c r="I315" s="13" t="s">
        <v>2111</v>
      </c>
      <c r="J315" s="13" t="s">
        <v>6333</v>
      </c>
      <c r="K315" s="13" t="s">
        <v>5510</v>
      </c>
      <c r="L315" s="13" t="s">
        <v>5510</v>
      </c>
      <c r="M315" s="13" t="s">
        <v>5513</v>
      </c>
      <c r="N315" s="13" t="s">
        <v>5514</v>
      </c>
      <c r="O315" s="13" t="s">
        <v>5510</v>
      </c>
      <c r="P315" s="13" t="s">
        <v>5510</v>
      </c>
      <c r="Q315" s="13" t="s">
        <v>5510</v>
      </c>
      <c r="R315" s="13" t="s">
        <v>5510</v>
      </c>
      <c r="S315" s="13" t="s">
        <v>5510</v>
      </c>
      <c r="T315" s="13" t="s">
        <v>11344</v>
      </c>
      <c r="U315" s="13" t="s">
        <v>11345</v>
      </c>
      <c r="V315" s="13" t="s">
        <v>11346</v>
      </c>
      <c r="W315" s="13" t="s">
        <v>11347</v>
      </c>
      <c r="X315" s="13" t="s">
        <v>6498</v>
      </c>
      <c r="Y315" s="13" t="s">
        <v>7766</v>
      </c>
      <c r="Z315" s="13" t="s">
        <v>11348</v>
      </c>
      <c r="AA315" s="13" t="s">
        <v>11349</v>
      </c>
      <c r="AB315" s="13" t="s">
        <v>5510</v>
      </c>
      <c r="AC315" s="13" t="s">
        <v>11350</v>
      </c>
      <c r="AD315" s="13" t="s">
        <v>11350</v>
      </c>
      <c r="AE315" s="13" t="s">
        <v>11351</v>
      </c>
      <c r="AF315" s="13" t="s">
        <v>5510</v>
      </c>
      <c r="AG315" s="13">
        <v>45.0</v>
      </c>
      <c r="AH315" s="13">
        <v>57.0</v>
      </c>
      <c r="AI315" s="13">
        <v>67.0</v>
      </c>
      <c r="AJ315" s="13">
        <v>2.0</v>
      </c>
      <c r="AK315" s="13">
        <v>86.0</v>
      </c>
      <c r="AL315" s="13" t="s">
        <v>5527</v>
      </c>
      <c r="AM315" s="13" t="s">
        <v>5528</v>
      </c>
      <c r="AN315" s="13" t="s">
        <v>5529</v>
      </c>
      <c r="AO315" s="13" t="s">
        <v>6342</v>
      </c>
      <c r="AP315" s="13" t="s">
        <v>6343</v>
      </c>
      <c r="AQ315" s="13" t="s">
        <v>5510</v>
      </c>
      <c r="AR315" s="13" t="s">
        <v>6344</v>
      </c>
      <c r="AS315" s="13" t="s">
        <v>6345</v>
      </c>
      <c r="AT315" s="13" t="s">
        <v>2738</v>
      </c>
      <c r="AU315" s="13">
        <v>2018.0</v>
      </c>
      <c r="AV315" s="13">
        <v>32.0</v>
      </c>
      <c r="AW315" s="13">
        <v>1.0</v>
      </c>
      <c r="AX315" s="13" t="s">
        <v>5510</v>
      </c>
      <c r="AY315" s="13" t="s">
        <v>5510</v>
      </c>
      <c r="AZ315" s="13" t="s">
        <v>5510</v>
      </c>
      <c r="BA315" s="13" t="s">
        <v>5510</v>
      </c>
      <c r="BB315" s="13">
        <v>135.0</v>
      </c>
      <c r="BC315" s="13">
        <v>147.0</v>
      </c>
      <c r="BD315" s="13" t="s">
        <v>5510</v>
      </c>
      <c r="BE315" s="13" t="s">
        <v>11352</v>
      </c>
      <c r="BF315" s="52" t="str">
        <f>HYPERLINK("http://dx.doi.org/10.1111/cobi.13022","http://dx.doi.org/10.1111/cobi.13022")</f>
        <v>http://dx.doi.org/10.1111/cobi.13022</v>
      </c>
      <c r="BG315" s="13" t="s">
        <v>5510</v>
      </c>
      <c r="BH315" s="13" t="s">
        <v>5510</v>
      </c>
      <c r="BI315" s="13">
        <v>13.0</v>
      </c>
      <c r="BJ315" s="13" t="s">
        <v>5698</v>
      </c>
      <c r="BK315" s="13" t="s">
        <v>5561</v>
      </c>
      <c r="BL315" s="13" t="s">
        <v>5699</v>
      </c>
      <c r="BM315" s="13" t="s">
        <v>6403</v>
      </c>
      <c r="BN315" s="13">
        <v>2.8861903E7</v>
      </c>
      <c r="BO315" s="13" t="s">
        <v>5510</v>
      </c>
      <c r="BP315" s="13" t="s">
        <v>5510</v>
      </c>
      <c r="BQ315" s="13" t="s">
        <v>5510</v>
      </c>
      <c r="BR315" s="13" t="s">
        <v>5538</v>
      </c>
      <c r="BS315" s="13" t="s">
        <v>11353</v>
      </c>
      <c r="BT315" s="13">
        <v>25826.0</v>
      </c>
      <c r="BU315" s="13" t="s">
        <v>5540</v>
      </c>
      <c r="BV315" s="13" t="s">
        <v>4856</v>
      </c>
      <c r="BW315" s="13" t="str">
        <f>VLOOKUP($BT315,Enriched!$A$2:$E$1070,5,false)</f>
        <v>["Climate Change &amp; Severe Weather"]</v>
      </c>
      <c r="BX315" s="13" t="str">
        <f>VLOOKUP($BT315,Enriched!$A$2:$E$1070,4,false)</f>
        <v>["Habitat shifting &amp; alteration", "Droughts", "Temperature extremes", "Storms &amp; flooding", "Other impacts"]</v>
      </c>
      <c r="BY315" s="13" t="b">
        <f>VLOOKUP(BT315,Enriched!$A$1:$AA$1070,27,falsE)</f>
        <v>1</v>
      </c>
      <c r="BZ315" s="2" t="str">
        <f>VLOOKUP(BT315,Enriched!$A$1:$AA$1070,14,falsE)</f>
        <v>level1</v>
      </c>
      <c r="CA315" s="13" t="str">
        <f>HYPERLINK("https%3A%2F%2Fwww.webofscience.com%2Fwos%2Fwoscc%2Ffull-record%2FWOS:000419240100014","View Full Record in Web of Science")</f>
        <v>View Full Record in Web of Science</v>
      </c>
    </row>
    <row r="316" ht="12.75" customHeight="1">
      <c r="A316" s="13" t="s">
        <v>5508</v>
      </c>
      <c r="B316" s="13" t="s">
        <v>11354</v>
      </c>
      <c r="C316" s="13" t="s">
        <v>5510</v>
      </c>
      <c r="D316" s="13" t="s">
        <v>5510</v>
      </c>
      <c r="E316" s="13" t="s">
        <v>5510</v>
      </c>
      <c r="F316" s="13" t="s">
        <v>11355</v>
      </c>
      <c r="G316" s="13" t="s">
        <v>5510</v>
      </c>
      <c r="H316" s="13" t="s">
        <v>5510</v>
      </c>
      <c r="I316" s="13" t="s">
        <v>11356</v>
      </c>
      <c r="J316" s="13" t="s">
        <v>9981</v>
      </c>
      <c r="K316" s="13" t="s">
        <v>5510</v>
      </c>
      <c r="L316" s="13" t="s">
        <v>5510</v>
      </c>
      <c r="M316" s="13" t="s">
        <v>5513</v>
      </c>
      <c r="N316" s="13" t="s">
        <v>5514</v>
      </c>
      <c r="O316" s="13" t="s">
        <v>5510</v>
      </c>
      <c r="P316" s="13" t="s">
        <v>5510</v>
      </c>
      <c r="Q316" s="13" t="s">
        <v>5510</v>
      </c>
      <c r="R316" s="13" t="s">
        <v>5510</v>
      </c>
      <c r="S316" s="13" t="s">
        <v>5510</v>
      </c>
      <c r="T316" s="13" t="s">
        <v>11357</v>
      </c>
      <c r="U316" s="13" t="s">
        <v>11358</v>
      </c>
      <c r="V316" s="13" t="s">
        <v>11359</v>
      </c>
      <c r="W316" s="13" t="s">
        <v>11360</v>
      </c>
      <c r="X316" s="13" t="s">
        <v>11361</v>
      </c>
      <c r="Y316" s="13" t="s">
        <v>11362</v>
      </c>
      <c r="Z316" s="13" t="s">
        <v>11363</v>
      </c>
      <c r="AA316" s="13" t="s">
        <v>11364</v>
      </c>
      <c r="AB316" s="13" t="s">
        <v>11365</v>
      </c>
      <c r="AC316" s="13" t="s">
        <v>11366</v>
      </c>
      <c r="AD316" s="13" t="s">
        <v>11366</v>
      </c>
      <c r="AE316" s="13" t="s">
        <v>11367</v>
      </c>
      <c r="AF316" s="13" t="s">
        <v>5510</v>
      </c>
      <c r="AG316" s="13">
        <v>30.0</v>
      </c>
      <c r="AH316" s="13">
        <v>17.0</v>
      </c>
      <c r="AI316" s="13">
        <v>22.0</v>
      </c>
      <c r="AJ316" s="13">
        <v>2.0</v>
      </c>
      <c r="AK316" s="13">
        <v>36.0</v>
      </c>
      <c r="AL316" s="13" t="s">
        <v>9992</v>
      </c>
      <c r="AM316" s="13" t="s">
        <v>9993</v>
      </c>
      <c r="AN316" s="13" t="s">
        <v>9994</v>
      </c>
      <c r="AO316" s="13" t="s">
        <v>9995</v>
      </c>
      <c r="AP316" s="13" t="s">
        <v>5510</v>
      </c>
      <c r="AQ316" s="13" t="s">
        <v>5510</v>
      </c>
      <c r="AR316" s="13" t="s">
        <v>9996</v>
      </c>
      <c r="AS316" s="13" t="s">
        <v>9997</v>
      </c>
      <c r="AT316" s="13" t="s">
        <v>6089</v>
      </c>
      <c r="AU316" s="13">
        <v>2015.0</v>
      </c>
      <c r="AV316" s="13">
        <v>8.0</v>
      </c>
      <c r="AW316" s="13">
        <v>1.0</v>
      </c>
      <c r="AX316" s="13" t="s">
        <v>5510</v>
      </c>
      <c r="AY316" s="13" t="s">
        <v>5510</v>
      </c>
      <c r="AZ316" s="13" t="s">
        <v>5510</v>
      </c>
      <c r="BA316" s="13" t="s">
        <v>5510</v>
      </c>
      <c r="BB316" s="13">
        <v>274.0</v>
      </c>
      <c r="BC316" s="13">
        <v>283.0</v>
      </c>
      <c r="BD316" s="13" t="s">
        <v>5510</v>
      </c>
      <c r="BE316" s="13" t="s">
        <v>11368</v>
      </c>
      <c r="BF316" s="52" t="str">
        <f>HYPERLINK("http://dx.doi.org/10.1177/194008291500800120","http://dx.doi.org/10.1177/194008291500800120")</f>
        <v>http://dx.doi.org/10.1177/194008291500800120</v>
      </c>
      <c r="BG316" s="13" t="s">
        <v>5510</v>
      </c>
      <c r="BH316" s="13" t="s">
        <v>5510</v>
      </c>
      <c r="BI316" s="13">
        <v>10.0</v>
      </c>
      <c r="BJ316" s="13" t="s">
        <v>5648</v>
      </c>
      <c r="BK316" s="13" t="s">
        <v>5561</v>
      </c>
      <c r="BL316" s="13" t="s">
        <v>5650</v>
      </c>
      <c r="BM316" s="13" t="s">
        <v>11369</v>
      </c>
      <c r="BN316" s="13" t="s">
        <v>5510</v>
      </c>
      <c r="BO316" s="13" t="s">
        <v>5510</v>
      </c>
      <c r="BP316" s="13" t="s">
        <v>5510</v>
      </c>
      <c r="BQ316" s="13" t="s">
        <v>5510</v>
      </c>
      <c r="BR316" s="13" t="s">
        <v>5538</v>
      </c>
      <c r="BS316" s="13" t="s">
        <v>11370</v>
      </c>
      <c r="BT316" s="13">
        <v>23858.0</v>
      </c>
      <c r="BU316" s="13" t="s">
        <v>5540</v>
      </c>
      <c r="BV316" s="13" t="s">
        <v>4856</v>
      </c>
      <c r="BW316" s="13" t="str">
        <f>VLOOKUP($BT316,Enriched!$A$2:$E$1070,5,false)</f>
        <v>["Agriculture &amp; Aquaculture"]</v>
      </c>
      <c r="BX316" s="13" t="str">
        <f>VLOOKUP($BT316,Enriched!$A$2:$E$1070,4,false)</f>
        <v/>
      </c>
      <c r="BY316" s="13" t="b">
        <f>VLOOKUP(BT316,Enriched!$A$1:$AA$1070,27,falsE)</f>
        <v>1</v>
      </c>
      <c r="BZ316" s="2" t="str">
        <f>VLOOKUP(BT316,Enriched!$A$1:$AA$1070,14,falsE)</f>
        <v>level1</v>
      </c>
      <c r="CA316" s="13" t="str">
        <f>HYPERLINK("https%3A%2F%2Fwww.webofscience.com%2Fwos%2Fwoscc%2Ffull-record%2FWOS:000351545700020","View Full Record in Web of Science")</f>
        <v>View Full Record in Web of Science</v>
      </c>
    </row>
    <row r="317" ht="12.75" customHeight="1">
      <c r="A317" s="13" t="s">
        <v>5508</v>
      </c>
      <c r="B317" s="13" t="s">
        <v>11371</v>
      </c>
      <c r="C317" s="13" t="s">
        <v>5510</v>
      </c>
      <c r="D317" s="13" t="s">
        <v>5510</v>
      </c>
      <c r="E317" s="13" t="s">
        <v>5510</v>
      </c>
      <c r="F317" s="13" t="s">
        <v>11372</v>
      </c>
      <c r="G317" s="13" t="s">
        <v>5510</v>
      </c>
      <c r="H317" s="13" t="s">
        <v>5510</v>
      </c>
      <c r="I317" s="13" t="s">
        <v>2104</v>
      </c>
      <c r="J317" s="13" t="s">
        <v>11373</v>
      </c>
      <c r="K317" s="13" t="s">
        <v>5510</v>
      </c>
      <c r="L317" s="13" t="s">
        <v>5510</v>
      </c>
      <c r="M317" s="13" t="s">
        <v>5513</v>
      </c>
      <c r="N317" s="13" t="s">
        <v>5514</v>
      </c>
      <c r="O317" s="13" t="s">
        <v>5510</v>
      </c>
      <c r="P317" s="13" t="s">
        <v>5510</v>
      </c>
      <c r="Q317" s="13" t="s">
        <v>5510</v>
      </c>
      <c r="R317" s="13" t="s">
        <v>5510</v>
      </c>
      <c r="S317" s="13" t="s">
        <v>5510</v>
      </c>
      <c r="T317" s="13" t="s">
        <v>11374</v>
      </c>
      <c r="U317" s="13" t="s">
        <v>11375</v>
      </c>
      <c r="V317" s="13" t="s">
        <v>11376</v>
      </c>
      <c r="W317" s="13" t="s">
        <v>11377</v>
      </c>
      <c r="X317" s="13" t="s">
        <v>11378</v>
      </c>
      <c r="Y317" s="13" t="s">
        <v>11379</v>
      </c>
      <c r="Z317" s="13" t="s">
        <v>11380</v>
      </c>
      <c r="AA317" s="13" t="s">
        <v>11381</v>
      </c>
      <c r="AB317" s="13" t="s">
        <v>11382</v>
      </c>
      <c r="AC317" s="13" t="s">
        <v>5510</v>
      </c>
      <c r="AD317" s="13" t="s">
        <v>5510</v>
      </c>
      <c r="AE317" s="13" t="s">
        <v>5510</v>
      </c>
      <c r="AF317" s="13" t="s">
        <v>5510</v>
      </c>
      <c r="AG317" s="13">
        <v>47.0</v>
      </c>
      <c r="AH317" s="13">
        <v>2.0</v>
      </c>
      <c r="AI317" s="13">
        <v>5.0</v>
      </c>
      <c r="AJ317" s="13">
        <v>0.0</v>
      </c>
      <c r="AK317" s="13">
        <v>0.0</v>
      </c>
      <c r="AL317" s="13" t="s">
        <v>11383</v>
      </c>
      <c r="AM317" s="13" t="s">
        <v>11384</v>
      </c>
      <c r="AN317" s="13" t="s">
        <v>11385</v>
      </c>
      <c r="AO317" s="13" t="s">
        <v>11386</v>
      </c>
      <c r="AP317" s="13" t="s">
        <v>11387</v>
      </c>
      <c r="AQ317" s="13" t="s">
        <v>5510</v>
      </c>
      <c r="AR317" s="13" t="s">
        <v>11388</v>
      </c>
      <c r="AS317" s="13" t="s">
        <v>11389</v>
      </c>
      <c r="AT317" s="13" t="s">
        <v>5510</v>
      </c>
      <c r="AU317" s="13">
        <v>2020.0</v>
      </c>
      <c r="AV317" s="13">
        <v>93.0</v>
      </c>
      <c r="AW317" s="13">
        <v>1.0</v>
      </c>
      <c r="AX317" s="13" t="s">
        <v>5510</v>
      </c>
      <c r="AY317" s="13" t="s">
        <v>5510</v>
      </c>
      <c r="AZ317" s="13" t="s">
        <v>5510</v>
      </c>
      <c r="BA317" s="13" t="s">
        <v>5510</v>
      </c>
      <c r="BB317" s="13">
        <v>107.0</v>
      </c>
      <c r="BC317" s="13">
        <v>120.0</v>
      </c>
      <c r="BD317" s="13" t="s">
        <v>5510</v>
      </c>
      <c r="BE317" s="13" t="s">
        <v>11390</v>
      </c>
      <c r="BF317" s="52" t="str">
        <f>HYPERLINK("http://dx.doi.org/10.7163/GPol.0165","http://dx.doi.org/10.7163/GPol.0165")</f>
        <v>http://dx.doi.org/10.7163/GPol.0165</v>
      </c>
      <c r="BG317" s="13" t="s">
        <v>5510</v>
      </c>
      <c r="BH317" s="13" t="s">
        <v>5510</v>
      </c>
      <c r="BI317" s="13">
        <v>14.0</v>
      </c>
      <c r="BJ317" s="13" t="s">
        <v>8374</v>
      </c>
      <c r="BK317" s="13" t="s">
        <v>7985</v>
      </c>
      <c r="BL317" s="13" t="s">
        <v>8374</v>
      </c>
      <c r="BM317" s="13" t="s">
        <v>11391</v>
      </c>
      <c r="BN317" s="13" t="s">
        <v>5510</v>
      </c>
      <c r="BO317" s="13" t="s">
        <v>6028</v>
      </c>
      <c r="BP317" s="13" t="s">
        <v>5510</v>
      </c>
      <c r="BQ317" s="13" t="s">
        <v>5510</v>
      </c>
      <c r="BR317" s="13" t="s">
        <v>5538</v>
      </c>
      <c r="BS317" s="13" t="s">
        <v>11392</v>
      </c>
      <c r="BT317" s="13">
        <v>23404.0</v>
      </c>
      <c r="BU317" s="13" t="s">
        <v>5540</v>
      </c>
      <c r="BV317" s="13" t="s">
        <v>4856</v>
      </c>
      <c r="BW317" s="13" t="str">
        <f>VLOOKUP($BT317,Enriched!$A$2:$E$1070,5,false)</f>
        <v>["Residential &amp; commercial development"]</v>
      </c>
      <c r="BX317" s="13" t="str">
        <f>VLOOKUP($BT317,Enriched!$A$2:$E$1070,4,false)</f>
        <v/>
      </c>
      <c r="BY317" s="13" t="b">
        <f>VLOOKUP(BT317,Enriched!$A$1:$AA$1070,27,falsE)</f>
        <v>1</v>
      </c>
      <c r="BZ317" s="2" t="str">
        <f>VLOOKUP(BT317,Enriched!$A$1:$AA$1070,14,falsE)</f>
        <v>level1</v>
      </c>
      <c r="CA317" s="13" t="str">
        <f>HYPERLINK("https%3A%2F%2Fwww.webofscience.com%2Fwos%2Fwoscc%2Ffull-record%2FWOS:000540635900006","View Full Record in Web of Science")</f>
        <v>View Full Record in Web of Science</v>
      </c>
    </row>
    <row r="318" ht="12.75" customHeight="1">
      <c r="A318" s="13" t="s">
        <v>5508</v>
      </c>
      <c r="B318" s="13" t="s">
        <v>11393</v>
      </c>
      <c r="C318" s="13" t="s">
        <v>5510</v>
      </c>
      <c r="D318" s="13" t="s">
        <v>5510</v>
      </c>
      <c r="E318" s="13" t="s">
        <v>5510</v>
      </c>
      <c r="F318" s="13" t="s">
        <v>11394</v>
      </c>
      <c r="G318" s="13" t="s">
        <v>5510</v>
      </c>
      <c r="H318" s="13" t="s">
        <v>5510</v>
      </c>
      <c r="I318" s="13" t="s">
        <v>2102</v>
      </c>
      <c r="J318" s="13" t="s">
        <v>11395</v>
      </c>
      <c r="K318" s="13" t="s">
        <v>5510</v>
      </c>
      <c r="L318" s="13" t="s">
        <v>5510</v>
      </c>
      <c r="M318" s="13" t="s">
        <v>5513</v>
      </c>
      <c r="N318" s="13" t="s">
        <v>5514</v>
      </c>
      <c r="O318" s="13" t="s">
        <v>5510</v>
      </c>
      <c r="P318" s="13" t="s">
        <v>5510</v>
      </c>
      <c r="Q318" s="13" t="s">
        <v>5510</v>
      </c>
      <c r="R318" s="13" t="s">
        <v>5510</v>
      </c>
      <c r="S318" s="13" t="s">
        <v>5510</v>
      </c>
      <c r="T318" s="13" t="s">
        <v>11396</v>
      </c>
      <c r="U318" s="13" t="s">
        <v>11397</v>
      </c>
      <c r="V318" s="13" t="s">
        <v>11398</v>
      </c>
      <c r="W318" s="13" t="s">
        <v>11399</v>
      </c>
      <c r="X318" s="13" t="s">
        <v>11400</v>
      </c>
      <c r="Y318" s="13" t="s">
        <v>11401</v>
      </c>
      <c r="Z318" s="13" t="s">
        <v>11402</v>
      </c>
      <c r="AA318" s="13" t="s">
        <v>11403</v>
      </c>
      <c r="AB318" s="13" t="s">
        <v>11404</v>
      </c>
      <c r="AC318" s="13" t="s">
        <v>11405</v>
      </c>
      <c r="AD318" s="13" t="s">
        <v>11405</v>
      </c>
      <c r="AE318" s="13" t="s">
        <v>11406</v>
      </c>
      <c r="AF318" s="13" t="s">
        <v>5510</v>
      </c>
      <c r="AG318" s="13">
        <v>43.0</v>
      </c>
      <c r="AH318" s="13">
        <v>9.0</v>
      </c>
      <c r="AI318" s="13">
        <v>12.0</v>
      </c>
      <c r="AJ318" s="13">
        <v>0.0</v>
      </c>
      <c r="AK318" s="13">
        <v>24.0</v>
      </c>
      <c r="AL318" s="13" t="s">
        <v>5690</v>
      </c>
      <c r="AM318" s="13" t="s">
        <v>5691</v>
      </c>
      <c r="AN318" s="13" t="s">
        <v>5692</v>
      </c>
      <c r="AO318" s="13" t="s">
        <v>11407</v>
      </c>
      <c r="AP318" s="13" t="s">
        <v>11408</v>
      </c>
      <c r="AQ318" s="13" t="s">
        <v>5510</v>
      </c>
      <c r="AR318" s="13" t="s">
        <v>11409</v>
      </c>
      <c r="AS318" s="13" t="s">
        <v>11410</v>
      </c>
      <c r="AT318" s="13" t="s">
        <v>6828</v>
      </c>
      <c r="AU318" s="13">
        <v>2014.0</v>
      </c>
      <c r="AV318" s="13">
        <v>22.0</v>
      </c>
      <c r="AW318" s="13">
        <v>2.0</v>
      </c>
      <c r="AX318" s="13" t="s">
        <v>5510</v>
      </c>
      <c r="AY318" s="13" t="s">
        <v>5510</v>
      </c>
      <c r="AZ318" s="13" t="s">
        <v>5646</v>
      </c>
      <c r="BA318" s="13" t="s">
        <v>5510</v>
      </c>
      <c r="BB318" s="13">
        <v>115.0</v>
      </c>
      <c r="BC318" s="13">
        <v>127.0</v>
      </c>
      <c r="BD318" s="13" t="s">
        <v>5510</v>
      </c>
      <c r="BE318" s="13" t="s">
        <v>11411</v>
      </c>
      <c r="BF318" s="52" t="str">
        <f>HYPERLINK("http://dx.doi.org/10.1007/s11273-013-9292-8","http://dx.doi.org/10.1007/s11273-013-9292-8")</f>
        <v>http://dx.doi.org/10.1007/s11273-013-9292-8</v>
      </c>
      <c r="BG318" s="13" t="s">
        <v>5510</v>
      </c>
      <c r="BH318" s="13" t="s">
        <v>5510</v>
      </c>
      <c r="BI318" s="13">
        <v>13.0</v>
      </c>
      <c r="BJ318" s="13" t="s">
        <v>11412</v>
      </c>
      <c r="BK318" s="13" t="s">
        <v>5561</v>
      </c>
      <c r="BL318" s="13" t="s">
        <v>6092</v>
      </c>
      <c r="BM318" s="13" t="s">
        <v>11413</v>
      </c>
      <c r="BN318" s="13" t="s">
        <v>5510</v>
      </c>
      <c r="BO318" s="13" t="s">
        <v>5510</v>
      </c>
      <c r="BP318" s="13" t="s">
        <v>5510</v>
      </c>
      <c r="BQ318" s="13" t="s">
        <v>5510</v>
      </c>
      <c r="BR318" s="13" t="s">
        <v>5538</v>
      </c>
      <c r="BS318" s="13" t="s">
        <v>11414</v>
      </c>
      <c r="BT318" s="13">
        <v>24646.0</v>
      </c>
      <c r="BU318" s="13" t="s">
        <v>5540</v>
      </c>
      <c r="BV318" s="13" t="s">
        <v>4852</v>
      </c>
      <c r="BW318" s="13" t="str">
        <f>VLOOKUP($BT318,Enriched!$A$2:$E$1070,5,false)</f>
        <v>["Natural system modifications"]</v>
      </c>
      <c r="BX318" s="13" t="str">
        <f>VLOOKUP($BT318,Enriched!$A$2:$E$1070,4,false)</f>
        <v>["Dams &amp; water management/use"]</v>
      </c>
      <c r="BY318" s="13" t="b">
        <f>VLOOKUP(BT318,Enriched!$A$1:$AA$1070,27,falsE)</f>
        <v>0</v>
      </c>
      <c r="BZ318" s="2" t="str">
        <f>VLOOKUP(BT318,Enriched!$A$1:$AA$1070,14,falsE)</f>
        <v>level2</v>
      </c>
      <c r="CA318" s="13" t="str">
        <f>HYPERLINK("https%3A%2F%2Fwww.webofscience.com%2Fwos%2Fwoscc%2Ffull-record%2FWOS:000333163600002","View Full Record in Web of Science")</f>
        <v>View Full Record in Web of Science</v>
      </c>
    </row>
    <row r="319" ht="12.75" customHeight="1">
      <c r="A319" s="13" t="s">
        <v>5508</v>
      </c>
      <c r="B319" s="13" t="s">
        <v>11415</v>
      </c>
      <c r="C319" s="13" t="s">
        <v>5510</v>
      </c>
      <c r="D319" s="13" t="s">
        <v>5510</v>
      </c>
      <c r="E319" s="13" t="s">
        <v>5510</v>
      </c>
      <c r="F319" s="13" t="s">
        <v>11416</v>
      </c>
      <c r="G319" s="13" t="s">
        <v>5510</v>
      </c>
      <c r="H319" s="13" t="s">
        <v>5510</v>
      </c>
      <c r="I319" s="13" t="s">
        <v>2096</v>
      </c>
      <c r="J319" s="13" t="s">
        <v>6786</v>
      </c>
      <c r="K319" s="13" t="s">
        <v>5510</v>
      </c>
      <c r="L319" s="13" t="s">
        <v>5510</v>
      </c>
      <c r="M319" s="13" t="s">
        <v>5513</v>
      </c>
      <c r="N319" s="13" t="s">
        <v>5514</v>
      </c>
      <c r="O319" s="13" t="s">
        <v>5510</v>
      </c>
      <c r="P319" s="13" t="s">
        <v>5510</v>
      </c>
      <c r="Q319" s="13" t="s">
        <v>5510</v>
      </c>
      <c r="R319" s="13" t="s">
        <v>5510</v>
      </c>
      <c r="S319" s="13" t="s">
        <v>5510</v>
      </c>
      <c r="T319" s="13" t="s">
        <v>11417</v>
      </c>
      <c r="U319" s="13" t="s">
        <v>11418</v>
      </c>
      <c r="V319" s="13" t="s">
        <v>11419</v>
      </c>
      <c r="W319" s="13" t="s">
        <v>11420</v>
      </c>
      <c r="X319" s="13" t="s">
        <v>11421</v>
      </c>
      <c r="Y319" s="13" t="s">
        <v>11422</v>
      </c>
      <c r="Z319" s="13" t="s">
        <v>11423</v>
      </c>
      <c r="AA319" s="13" t="s">
        <v>11424</v>
      </c>
      <c r="AB319" s="13" t="s">
        <v>11425</v>
      </c>
      <c r="AC319" s="13" t="s">
        <v>11426</v>
      </c>
      <c r="AD319" s="13" t="s">
        <v>11427</v>
      </c>
      <c r="AE319" s="13" t="s">
        <v>11428</v>
      </c>
      <c r="AF319" s="13" t="s">
        <v>5510</v>
      </c>
      <c r="AG319" s="13">
        <v>37.0</v>
      </c>
      <c r="AH319" s="13">
        <v>20.0</v>
      </c>
      <c r="AI319" s="13">
        <v>21.0</v>
      </c>
      <c r="AJ319" s="13">
        <v>0.0</v>
      </c>
      <c r="AK319" s="13">
        <v>113.0</v>
      </c>
      <c r="AL319" s="13" t="s">
        <v>6717</v>
      </c>
      <c r="AM319" s="13" t="s">
        <v>5932</v>
      </c>
      <c r="AN319" s="13" t="s">
        <v>6718</v>
      </c>
      <c r="AO319" s="13" t="s">
        <v>6796</v>
      </c>
      <c r="AP319" s="13" t="s">
        <v>6797</v>
      </c>
      <c r="AQ319" s="13" t="s">
        <v>5510</v>
      </c>
      <c r="AR319" s="13" t="s">
        <v>6786</v>
      </c>
      <c r="AS319" s="13" t="s">
        <v>2097</v>
      </c>
      <c r="AT319" s="13" t="s">
        <v>2514</v>
      </c>
      <c r="AU319" s="13">
        <v>2020.0</v>
      </c>
      <c r="AV319" s="13">
        <v>256.0</v>
      </c>
      <c r="AW319" s="13" t="s">
        <v>5510</v>
      </c>
      <c r="AX319" s="13" t="s">
        <v>5510</v>
      </c>
      <c r="AY319" s="13" t="s">
        <v>5510</v>
      </c>
      <c r="AZ319" s="13" t="s">
        <v>5510</v>
      </c>
      <c r="BA319" s="13" t="s">
        <v>5510</v>
      </c>
      <c r="BB319" s="13" t="s">
        <v>5510</v>
      </c>
      <c r="BC319" s="13" t="s">
        <v>5510</v>
      </c>
      <c r="BD319" s="13">
        <v>127008.0</v>
      </c>
      <c r="BE319" s="13" t="s">
        <v>11429</v>
      </c>
      <c r="BF319" s="52" t="str">
        <f>HYPERLINK("http://dx.doi.org/10.1016/j.chemosphere.2020.127008","http://dx.doi.org/10.1016/j.chemosphere.2020.127008")</f>
        <v>http://dx.doi.org/10.1016/j.chemosphere.2020.127008</v>
      </c>
      <c r="BG319" s="13" t="s">
        <v>5510</v>
      </c>
      <c r="BH319" s="13" t="s">
        <v>5510</v>
      </c>
      <c r="BI319" s="13">
        <v>10.0</v>
      </c>
      <c r="BJ319" s="13" t="s">
        <v>5768</v>
      </c>
      <c r="BK319" s="13" t="s">
        <v>5561</v>
      </c>
      <c r="BL319" s="13" t="s">
        <v>5535</v>
      </c>
      <c r="BM319" s="13" t="s">
        <v>11430</v>
      </c>
      <c r="BN319" s="13">
        <v>3.2438126E7</v>
      </c>
      <c r="BO319" s="13" t="s">
        <v>5510</v>
      </c>
      <c r="BP319" s="13" t="s">
        <v>5510</v>
      </c>
      <c r="BQ319" s="13" t="s">
        <v>5510</v>
      </c>
      <c r="BR319" s="13" t="s">
        <v>5538</v>
      </c>
      <c r="BS319" s="13" t="s">
        <v>11431</v>
      </c>
      <c r="BT319" s="13">
        <v>23448.0</v>
      </c>
      <c r="BU319" s="13" t="s">
        <v>5540</v>
      </c>
      <c r="BV319" s="13" t="s">
        <v>4856</v>
      </c>
      <c r="BW319" s="13" t="str">
        <f>VLOOKUP($BT319,Enriched!$A$2:$E$1070,5,false)</f>
        <v>["Pollution"]</v>
      </c>
      <c r="BX319" s="13" t="str">
        <f>VLOOKUP($BT319,Enriched!$A$2:$E$1070,4,false)</f>
        <v>["Air-borne pollutants"]</v>
      </c>
      <c r="BY319" s="13" t="b">
        <f>VLOOKUP(BT319,Enriched!$A$1:$AA$1070,27,falsE)</f>
        <v>0</v>
      </c>
      <c r="BZ319" s="2" t="str">
        <f>VLOOKUP(BT319,Enriched!$A$1:$AA$1070,14,falsE)</f>
        <v>level2</v>
      </c>
      <c r="CA319" s="13" t="str">
        <f>HYPERLINK("https%3A%2F%2Fwww.webofscience.com%2Fwos%2Fwoscc%2Ffull-record%2FWOS:000540870300017","View Full Record in Web of Science")</f>
        <v>View Full Record in Web of Science</v>
      </c>
    </row>
    <row r="320" ht="12.75" customHeight="1">
      <c r="A320" s="13" t="s">
        <v>5508</v>
      </c>
      <c r="B320" s="13" t="s">
        <v>11432</v>
      </c>
      <c r="C320" s="13" t="s">
        <v>5510</v>
      </c>
      <c r="D320" s="13" t="s">
        <v>5510</v>
      </c>
      <c r="E320" s="13" t="s">
        <v>5510</v>
      </c>
      <c r="F320" s="13" t="s">
        <v>11433</v>
      </c>
      <c r="G320" s="13" t="s">
        <v>5510</v>
      </c>
      <c r="H320" s="13" t="s">
        <v>5510</v>
      </c>
      <c r="I320" s="2" t="s">
        <v>2093</v>
      </c>
      <c r="J320" s="13" t="s">
        <v>11434</v>
      </c>
      <c r="K320" s="13" t="s">
        <v>5510</v>
      </c>
      <c r="L320" s="13" t="s">
        <v>5510</v>
      </c>
      <c r="M320" s="13" t="s">
        <v>5513</v>
      </c>
      <c r="N320" s="13" t="s">
        <v>6168</v>
      </c>
      <c r="O320" s="13" t="s">
        <v>5510</v>
      </c>
      <c r="P320" s="13" t="s">
        <v>5510</v>
      </c>
      <c r="Q320" s="13" t="s">
        <v>5510</v>
      </c>
      <c r="R320" s="13" t="s">
        <v>5510</v>
      </c>
      <c r="S320" s="13" t="s">
        <v>5510</v>
      </c>
      <c r="T320" s="13" t="s">
        <v>5510</v>
      </c>
      <c r="U320" s="13" t="s">
        <v>5510</v>
      </c>
      <c r="V320" s="13" t="s">
        <v>5510</v>
      </c>
      <c r="W320" s="13" t="s">
        <v>5510</v>
      </c>
      <c r="X320" s="13" t="s">
        <v>5510</v>
      </c>
      <c r="Y320" s="13" t="s">
        <v>5510</v>
      </c>
      <c r="Z320" s="13" t="s">
        <v>5510</v>
      </c>
      <c r="AA320" s="13" t="s">
        <v>11435</v>
      </c>
      <c r="AB320" s="13" t="s">
        <v>5510</v>
      </c>
      <c r="AC320" s="13" t="s">
        <v>5510</v>
      </c>
      <c r="AD320" s="13" t="s">
        <v>5510</v>
      </c>
      <c r="AE320" s="13" t="s">
        <v>5510</v>
      </c>
      <c r="AF320" s="13" t="s">
        <v>5510</v>
      </c>
      <c r="AG320" s="13">
        <v>1.0</v>
      </c>
      <c r="AH320" s="13">
        <v>0.0</v>
      </c>
      <c r="AI320" s="13">
        <v>0.0</v>
      </c>
      <c r="AJ320" s="13">
        <v>0.0</v>
      </c>
      <c r="AK320" s="13">
        <v>2.0</v>
      </c>
      <c r="AL320" s="13" t="s">
        <v>6890</v>
      </c>
      <c r="AM320" s="13" t="s">
        <v>6891</v>
      </c>
      <c r="AN320" s="13" t="s">
        <v>6892</v>
      </c>
      <c r="AO320" s="13" t="s">
        <v>11436</v>
      </c>
      <c r="AP320" s="13" t="s">
        <v>11437</v>
      </c>
      <c r="AQ320" s="13" t="s">
        <v>5510</v>
      </c>
      <c r="AR320" s="13" t="s">
        <v>11434</v>
      </c>
      <c r="AS320" s="13" t="s">
        <v>3118</v>
      </c>
      <c r="AT320" s="13" t="s">
        <v>1453</v>
      </c>
      <c r="AU320" s="13">
        <v>2019.0</v>
      </c>
      <c r="AV320" s="13">
        <v>121.0</v>
      </c>
      <c r="AW320" s="13">
        <v>4.0</v>
      </c>
      <c r="AX320" s="13" t="s">
        <v>5510</v>
      </c>
      <c r="AY320" s="13" t="s">
        <v>5510</v>
      </c>
      <c r="AZ320" s="13" t="s">
        <v>5510</v>
      </c>
      <c r="BA320" s="13" t="s">
        <v>5510</v>
      </c>
      <c r="BB320" s="13" t="s">
        <v>5510</v>
      </c>
      <c r="BC320" s="13" t="s">
        <v>5510</v>
      </c>
      <c r="BD320" s="13" t="s">
        <v>11438</v>
      </c>
      <c r="BE320" s="13" t="s">
        <v>11439</v>
      </c>
      <c r="BF320" s="52" t="str">
        <f>HYPERLINK("http://dx.doi.org/10.1093/condor/duz047","http://dx.doi.org/10.1093/condor/duz047")</f>
        <v>http://dx.doi.org/10.1093/condor/duz047</v>
      </c>
      <c r="BG320" s="13" t="s">
        <v>5510</v>
      </c>
      <c r="BH320" s="13" t="s">
        <v>5510</v>
      </c>
      <c r="BI320" s="13">
        <v>1.0</v>
      </c>
      <c r="BJ320" s="13" t="s">
        <v>7513</v>
      </c>
      <c r="BK320" s="13" t="s">
        <v>5561</v>
      </c>
      <c r="BL320" s="13" t="s">
        <v>6899</v>
      </c>
      <c r="BM320" s="13" t="s">
        <v>11440</v>
      </c>
      <c r="BN320" s="13" t="s">
        <v>5510</v>
      </c>
      <c r="BO320" s="13" t="s">
        <v>5809</v>
      </c>
      <c r="BP320" s="13" t="s">
        <v>5510</v>
      </c>
      <c r="BQ320" s="13" t="s">
        <v>5510</v>
      </c>
      <c r="BR320" s="13" t="s">
        <v>5538</v>
      </c>
      <c r="BS320" s="13" t="s">
        <v>11441</v>
      </c>
      <c r="BT320" s="13">
        <v>23456.0</v>
      </c>
      <c r="BU320" s="13" t="s">
        <v>5540</v>
      </c>
      <c r="BV320" s="13" t="s">
        <v>4864</v>
      </c>
      <c r="BW320" s="13" t="str">
        <f>VLOOKUP($BT320,Enriched!$A$2:$E$1070,5,false)</f>
        <v>["Biological resource use"]</v>
      </c>
      <c r="BX320" s="13" t="str">
        <f>VLOOKUP($BT320,Enriched!$A$2:$E$1070,4,false)</f>
        <v>["Fishing &amp; harvesting aquatic resources"]</v>
      </c>
      <c r="BY320" s="13" t="b">
        <f>VLOOKUP(BT320,Enriched!$A$1:$AA$1070,27,falsE)</f>
        <v>0</v>
      </c>
      <c r="BZ320" s="2" t="str">
        <f>VLOOKUP(BT320,Enriched!$A$1:$AA$1070,14,falsE)</f>
        <v>level2</v>
      </c>
      <c r="CA320" s="13" t="str">
        <f>HYPERLINK("https%3A%2F%2Fwww.webofscience.com%2Fwos%2Fwoscc%2Ffull-record%2FWOS:000514612000007","View Full Record in Web of Science")</f>
        <v>View Full Record in Web of Science</v>
      </c>
    </row>
    <row r="321" ht="12.75" customHeight="1">
      <c r="A321" s="13" t="s">
        <v>5508</v>
      </c>
      <c r="B321" s="13" t="s">
        <v>11432</v>
      </c>
      <c r="C321" s="13" t="s">
        <v>5510</v>
      </c>
      <c r="D321" s="13" t="s">
        <v>5510</v>
      </c>
      <c r="E321" s="13" t="s">
        <v>5510</v>
      </c>
      <c r="F321" s="13" t="s">
        <v>11433</v>
      </c>
      <c r="G321" s="13" t="s">
        <v>5510</v>
      </c>
      <c r="H321" s="13" t="s">
        <v>5510</v>
      </c>
      <c r="I321" s="13" t="s">
        <v>2093</v>
      </c>
      <c r="J321" s="13" t="s">
        <v>11434</v>
      </c>
      <c r="K321" s="13" t="s">
        <v>5510</v>
      </c>
      <c r="L321" s="13" t="s">
        <v>5510</v>
      </c>
      <c r="M321" s="13" t="s">
        <v>5513</v>
      </c>
      <c r="N321" s="13" t="s">
        <v>5514</v>
      </c>
      <c r="O321" s="13" t="s">
        <v>5510</v>
      </c>
      <c r="P321" s="13" t="s">
        <v>5510</v>
      </c>
      <c r="Q321" s="13" t="s">
        <v>5510</v>
      </c>
      <c r="R321" s="13" t="s">
        <v>5510</v>
      </c>
      <c r="S321" s="13" t="s">
        <v>5510</v>
      </c>
      <c r="T321" s="13" t="s">
        <v>11442</v>
      </c>
      <c r="U321" s="13" t="s">
        <v>11443</v>
      </c>
      <c r="V321" s="13" t="s">
        <v>11444</v>
      </c>
      <c r="W321" s="13" t="s">
        <v>11445</v>
      </c>
      <c r="X321" s="13" t="s">
        <v>11446</v>
      </c>
      <c r="Y321" s="13" t="s">
        <v>11447</v>
      </c>
      <c r="Z321" s="13" t="s">
        <v>11448</v>
      </c>
      <c r="AA321" s="13" t="s">
        <v>11435</v>
      </c>
      <c r="AB321" s="13" t="s">
        <v>11449</v>
      </c>
      <c r="AC321" s="13" t="s">
        <v>11450</v>
      </c>
      <c r="AD321" s="13" t="s">
        <v>11451</v>
      </c>
      <c r="AE321" s="13" t="s">
        <v>11452</v>
      </c>
      <c r="AF321" s="13" t="s">
        <v>5510</v>
      </c>
      <c r="AG321" s="13">
        <v>66.0</v>
      </c>
      <c r="AH321" s="13">
        <v>8.0</v>
      </c>
      <c r="AI321" s="13">
        <v>11.0</v>
      </c>
      <c r="AJ321" s="13">
        <v>0.0</v>
      </c>
      <c r="AK321" s="13">
        <v>21.0</v>
      </c>
      <c r="AL321" s="13" t="s">
        <v>6890</v>
      </c>
      <c r="AM321" s="13" t="s">
        <v>6891</v>
      </c>
      <c r="AN321" s="13" t="s">
        <v>6892</v>
      </c>
      <c r="AO321" s="13" t="s">
        <v>11436</v>
      </c>
      <c r="AP321" s="13" t="s">
        <v>11437</v>
      </c>
      <c r="AQ321" s="13" t="s">
        <v>5510</v>
      </c>
      <c r="AR321" s="13" t="s">
        <v>11434</v>
      </c>
      <c r="AS321" s="13" t="s">
        <v>3118</v>
      </c>
      <c r="AT321" s="13" t="s">
        <v>6175</v>
      </c>
      <c r="AU321" s="13">
        <v>2019.0</v>
      </c>
      <c r="AV321" s="13">
        <v>121.0</v>
      </c>
      <c r="AW321" s="13">
        <v>3.0</v>
      </c>
      <c r="AX321" s="13" t="s">
        <v>5510</v>
      </c>
      <c r="AY321" s="13" t="s">
        <v>5510</v>
      </c>
      <c r="AZ321" s="13" t="s">
        <v>5510</v>
      </c>
      <c r="BA321" s="13" t="s">
        <v>5510</v>
      </c>
      <c r="BB321" s="13" t="s">
        <v>5510</v>
      </c>
      <c r="BC321" s="13" t="s">
        <v>5510</v>
      </c>
      <c r="BD321" s="13" t="s">
        <v>11453</v>
      </c>
      <c r="BE321" s="13" t="s">
        <v>11454</v>
      </c>
      <c r="BF321" s="52" t="str">
        <f>HYPERLINK("http://dx.doi.org/10.1093/condor/duz026","http://dx.doi.org/10.1093/condor/duz026")</f>
        <v>http://dx.doi.org/10.1093/condor/duz026</v>
      </c>
      <c r="BG321" s="13" t="s">
        <v>5510</v>
      </c>
      <c r="BH321" s="13" t="s">
        <v>5510</v>
      </c>
      <c r="BI321" s="13">
        <v>13.0</v>
      </c>
      <c r="BJ321" s="13" t="s">
        <v>7513</v>
      </c>
      <c r="BK321" s="13" t="s">
        <v>5561</v>
      </c>
      <c r="BL321" s="13" t="s">
        <v>6899</v>
      </c>
      <c r="BM321" s="13" t="s">
        <v>11455</v>
      </c>
      <c r="BN321" s="13" t="s">
        <v>5510</v>
      </c>
      <c r="BO321" s="13" t="s">
        <v>5809</v>
      </c>
      <c r="BP321" s="13" t="s">
        <v>5510</v>
      </c>
      <c r="BQ321" s="13" t="s">
        <v>5510</v>
      </c>
      <c r="BR321" s="13" t="s">
        <v>5538</v>
      </c>
      <c r="BS321" s="13" t="s">
        <v>11456</v>
      </c>
      <c r="BT321" s="13">
        <v>23456.0</v>
      </c>
      <c r="BU321" s="13" t="s">
        <v>5540</v>
      </c>
      <c r="BV321" s="13" t="s">
        <v>4864</v>
      </c>
      <c r="BW321" s="13" t="str">
        <f>VLOOKUP($BT321,Enriched!$A$2:$E$1070,5,false)</f>
        <v>["Biological resource use"]</v>
      </c>
      <c r="BX321" s="13" t="str">
        <f>VLOOKUP($BT321,Enriched!$A$2:$E$1070,4,false)</f>
        <v>["Fishing &amp; harvesting aquatic resources"]</v>
      </c>
      <c r="BY321" s="13" t="b">
        <f>VLOOKUP(BT321,Enriched!$A$1:$AA$1070,27,falsE)</f>
        <v>0</v>
      </c>
      <c r="BZ321" s="2" t="str">
        <f>VLOOKUP(BT321,Enriched!$A$1:$AA$1070,14,falsE)</f>
        <v>level2</v>
      </c>
      <c r="CA321" s="13" t="str">
        <f>HYPERLINK("https%3A%2F%2Fwww.webofscience.com%2Fwos%2Fwoscc%2Ffull-record%2FWOS:000488044400003","View Full Record in Web of Science")</f>
        <v>View Full Record in Web of Science</v>
      </c>
    </row>
    <row r="322" ht="12.75" customHeight="1">
      <c r="A322" s="13" t="s">
        <v>5508</v>
      </c>
      <c r="B322" s="13" t="s">
        <v>11457</v>
      </c>
      <c r="C322" s="13" t="s">
        <v>5510</v>
      </c>
      <c r="D322" s="13" t="s">
        <v>5510</v>
      </c>
      <c r="E322" s="13" t="s">
        <v>5510</v>
      </c>
      <c r="F322" s="13" t="s">
        <v>11458</v>
      </c>
      <c r="G322" s="13" t="s">
        <v>5510</v>
      </c>
      <c r="H322" s="13" t="s">
        <v>5510</v>
      </c>
      <c r="I322" s="13" t="s">
        <v>2089</v>
      </c>
      <c r="J322" s="13" t="s">
        <v>11459</v>
      </c>
      <c r="K322" s="13" t="s">
        <v>5510</v>
      </c>
      <c r="L322" s="13" t="s">
        <v>5510</v>
      </c>
      <c r="M322" s="13" t="s">
        <v>5513</v>
      </c>
      <c r="N322" s="13" t="s">
        <v>5514</v>
      </c>
      <c r="O322" s="13" t="s">
        <v>5510</v>
      </c>
      <c r="P322" s="13" t="s">
        <v>5510</v>
      </c>
      <c r="Q322" s="13" t="s">
        <v>5510</v>
      </c>
      <c r="R322" s="13" t="s">
        <v>5510</v>
      </c>
      <c r="S322" s="13" t="s">
        <v>5510</v>
      </c>
      <c r="T322" s="13" t="s">
        <v>5510</v>
      </c>
      <c r="U322" s="13" t="s">
        <v>11460</v>
      </c>
      <c r="V322" s="13" t="s">
        <v>11461</v>
      </c>
      <c r="W322" s="13" t="s">
        <v>11462</v>
      </c>
      <c r="X322" s="13" t="s">
        <v>8486</v>
      </c>
      <c r="Y322" s="13" t="s">
        <v>11463</v>
      </c>
      <c r="Z322" s="13" t="s">
        <v>11464</v>
      </c>
      <c r="AA322" s="13" t="s">
        <v>11465</v>
      </c>
      <c r="AB322" s="13" t="s">
        <v>11466</v>
      </c>
      <c r="AC322" s="13" t="s">
        <v>5510</v>
      </c>
      <c r="AD322" s="13" t="s">
        <v>5510</v>
      </c>
      <c r="AE322" s="13" t="s">
        <v>5510</v>
      </c>
      <c r="AF322" s="13" t="s">
        <v>5510</v>
      </c>
      <c r="AG322" s="13">
        <v>70.0</v>
      </c>
      <c r="AH322" s="13">
        <v>65.0</v>
      </c>
      <c r="AI322" s="13">
        <v>77.0</v>
      </c>
      <c r="AJ322" s="13">
        <v>2.0</v>
      </c>
      <c r="AK322" s="13">
        <v>86.0</v>
      </c>
      <c r="AL322" s="13" t="s">
        <v>5527</v>
      </c>
      <c r="AM322" s="13" t="s">
        <v>5528</v>
      </c>
      <c r="AN322" s="13" t="s">
        <v>5529</v>
      </c>
      <c r="AO322" s="13" t="s">
        <v>11467</v>
      </c>
      <c r="AP322" s="13" t="s">
        <v>11468</v>
      </c>
      <c r="AQ322" s="13" t="s">
        <v>5510</v>
      </c>
      <c r="AR322" s="13" t="s">
        <v>11469</v>
      </c>
      <c r="AS322" s="13" t="s">
        <v>11470</v>
      </c>
      <c r="AT322" s="13" t="s">
        <v>5978</v>
      </c>
      <c r="AU322" s="13">
        <v>2017.0</v>
      </c>
      <c r="AV322" s="13">
        <v>48.0</v>
      </c>
      <c r="AW322" s="13">
        <v>12.0</v>
      </c>
      <c r="AX322" s="13" t="s">
        <v>5510</v>
      </c>
      <c r="AY322" s="13" t="s">
        <v>5510</v>
      </c>
      <c r="AZ322" s="13" t="s">
        <v>5510</v>
      </c>
      <c r="BA322" s="13" t="s">
        <v>5510</v>
      </c>
      <c r="BB322" s="13">
        <v>1583.0</v>
      </c>
      <c r="BC322" s="13">
        <v>1594.0</v>
      </c>
      <c r="BD322" s="13" t="s">
        <v>5510</v>
      </c>
      <c r="BE322" s="13" t="s">
        <v>11471</v>
      </c>
      <c r="BF322" s="52" t="str">
        <f>HYPERLINK("http://dx.doi.org/10.1111/jav.01239","http://dx.doi.org/10.1111/jav.01239")</f>
        <v>http://dx.doi.org/10.1111/jav.01239</v>
      </c>
      <c r="BG322" s="13" t="s">
        <v>5510</v>
      </c>
      <c r="BH322" s="13" t="s">
        <v>5510</v>
      </c>
      <c r="BI322" s="13">
        <v>12.0</v>
      </c>
      <c r="BJ322" s="13" t="s">
        <v>7513</v>
      </c>
      <c r="BK322" s="13" t="s">
        <v>5561</v>
      </c>
      <c r="BL322" s="13" t="s">
        <v>6899</v>
      </c>
      <c r="BM322" s="13" t="s">
        <v>11472</v>
      </c>
      <c r="BN322" s="13" t="s">
        <v>5510</v>
      </c>
      <c r="BO322" s="13" t="s">
        <v>5510</v>
      </c>
      <c r="BP322" s="13" t="s">
        <v>5510</v>
      </c>
      <c r="BQ322" s="13" t="s">
        <v>5510</v>
      </c>
      <c r="BR322" s="13" t="s">
        <v>5538</v>
      </c>
      <c r="BS322" s="13" t="s">
        <v>11473</v>
      </c>
      <c r="BT322" s="13">
        <v>23595.0</v>
      </c>
      <c r="BU322" s="13" t="s">
        <v>5540</v>
      </c>
      <c r="BV322" s="13" t="s">
        <v>4856</v>
      </c>
      <c r="BW322" s="13" t="str">
        <f>VLOOKUP($BT322,Enriched!$A$2:$E$1070,5,false)</f>
        <v>["Human Intrusions &amp; Disturbance"]</v>
      </c>
      <c r="BX322" s="13" t="str">
        <f>VLOOKUP($BT322,Enriched!$A$2:$E$1070,4,false)</f>
        <v>["Recreational activities"]</v>
      </c>
      <c r="BY322" s="13" t="b">
        <f>VLOOKUP(BT322,Enriched!$A$1:$AA$1070,27,falsE)</f>
        <v>0</v>
      </c>
      <c r="BZ322" s="2" t="str">
        <f>VLOOKUP(BT322,Enriched!$A$1:$AA$1070,14,falsE)</f>
        <v>level2</v>
      </c>
      <c r="CA322" s="13" t="str">
        <f>HYPERLINK("https%3A%2F%2Fwww.webofscience.com%2Fwos%2Fwoscc%2Ffull-record%2FWOS:000418276300010","View Full Record in Web of Science")</f>
        <v>View Full Record in Web of Science</v>
      </c>
    </row>
    <row r="323" ht="12.75" customHeight="1">
      <c r="A323" s="13" t="s">
        <v>5508</v>
      </c>
      <c r="B323" s="13" t="s">
        <v>11474</v>
      </c>
      <c r="C323" s="13" t="s">
        <v>5510</v>
      </c>
      <c r="D323" s="13" t="s">
        <v>5510</v>
      </c>
      <c r="E323" s="13" t="s">
        <v>5510</v>
      </c>
      <c r="F323" s="13" t="s">
        <v>11475</v>
      </c>
      <c r="G323" s="13" t="s">
        <v>5510</v>
      </c>
      <c r="H323" s="13" t="s">
        <v>5510</v>
      </c>
      <c r="I323" s="13" t="s">
        <v>11476</v>
      </c>
      <c r="J323" s="13" t="s">
        <v>6008</v>
      </c>
      <c r="K323" s="13" t="s">
        <v>5510</v>
      </c>
      <c r="L323" s="13" t="s">
        <v>5510</v>
      </c>
      <c r="M323" s="13" t="s">
        <v>5513</v>
      </c>
      <c r="N323" s="13" t="s">
        <v>5514</v>
      </c>
      <c r="O323" s="13" t="s">
        <v>5510</v>
      </c>
      <c r="P323" s="13" t="s">
        <v>5510</v>
      </c>
      <c r="Q323" s="13" t="s">
        <v>5510</v>
      </c>
      <c r="R323" s="13" t="s">
        <v>5510</v>
      </c>
      <c r="S323" s="13" t="s">
        <v>5510</v>
      </c>
      <c r="T323" s="13" t="s">
        <v>11477</v>
      </c>
      <c r="U323" s="13" t="s">
        <v>11478</v>
      </c>
      <c r="V323" s="13" t="s">
        <v>11479</v>
      </c>
      <c r="W323" s="13" t="s">
        <v>11480</v>
      </c>
      <c r="X323" s="13" t="s">
        <v>11481</v>
      </c>
      <c r="Y323" s="13" t="s">
        <v>11482</v>
      </c>
      <c r="Z323" s="13" t="s">
        <v>11483</v>
      </c>
      <c r="AA323" s="13" t="s">
        <v>11484</v>
      </c>
      <c r="AB323" s="13" t="s">
        <v>11485</v>
      </c>
      <c r="AC323" s="13" t="s">
        <v>11486</v>
      </c>
      <c r="AD323" s="13" t="s">
        <v>11487</v>
      </c>
      <c r="AE323" s="13" t="s">
        <v>11488</v>
      </c>
      <c r="AF323" s="13" t="s">
        <v>5510</v>
      </c>
      <c r="AG323" s="13">
        <v>36.0</v>
      </c>
      <c r="AH323" s="13">
        <v>27.0</v>
      </c>
      <c r="AI323" s="13">
        <v>28.0</v>
      </c>
      <c r="AJ323" s="13">
        <v>1.0</v>
      </c>
      <c r="AK323" s="13">
        <v>52.0</v>
      </c>
      <c r="AL323" s="13" t="s">
        <v>5527</v>
      </c>
      <c r="AM323" s="13" t="s">
        <v>5528</v>
      </c>
      <c r="AN323" s="13" t="s">
        <v>5529</v>
      </c>
      <c r="AO323" s="13" t="s">
        <v>6020</v>
      </c>
      <c r="AP323" s="13" t="s">
        <v>6021</v>
      </c>
      <c r="AQ323" s="13" t="s">
        <v>5510</v>
      </c>
      <c r="AR323" s="13" t="s">
        <v>6022</v>
      </c>
      <c r="AS323" s="13" t="s">
        <v>6023</v>
      </c>
      <c r="AT323" s="13" t="s">
        <v>5720</v>
      </c>
      <c r="AU323" s="13">
        <v>2015.0</v>
      </c>
      <c r="AV323" s="13">
        <v>25.0</v>
      </c>
      <c r="AW323" s="13">
        <v>4.0</v>
      </c>
      <c r="AX323" s="13" t="s">
        <v>5510</v>
      </c>
      <c r="AY323" s="13" t="s">
        <v>5510</v>
      </c>
      <c r="AZ323" s="13" t="s">
        <v>5510</v>
      </c>
      <c r="BA323" s="13" t="s">
        <v>5510</v>
      </c>
      <c r="BB323" s="13">
        <v>1131.0</v>
      </c>
      <c r="BC323" s="13">
        <v>1141.0</v>
      </c>
      <c r="BD323" s="13" t="s">
        <v>5510</v>
      </c>
      <c r="BE323" s="13" t="s">
        <v>11489</v>
      </c>
      <c r="BF323" s="52" t="str">
        <f>HYPERLINK("http://dx.doi.org/10.1890/14-1062.1","http://dx.doi.org/10.1890/14-1062.1")</f>
        <v>http://dx.doi.org/10.1890/14-1062.1</v>
      </c>
      <c r="BG323" s="13" t="s">
        <v>5510</v>
      </c>
      <c r="BH323" s="13" t="s">
        <v>5510</v>
      </c>
      <c r="BI323" s="13">
        <v>11.0</v>
      </c>
      <c r="BJ323" s="13" t="s">
        <v>6026</v>
      </c>
      <c r="BK323" s="13" t="s">
        <v>5561</v>
      </c>
      <c r="BL323" s="13" t="s">
        <v>5535</v>
      </c>
      <c r="BM323" s="13" t="s">
        <v>11490</v>
      </c>
      <c r="BN323" s="13">
        <v>2.6465047E7</v>
      </c>
      <c r="BO323" s="13" t="s">
        <v>5809</v>
      </c>
      <c r="BP323" s="13" t="s">
        <v>5510</v>
      </c>
      <c r="BQ323" s="13" t="s">
        <v>5510</v>
      </c>
      <c r="BR323" s="13" t="s">
        <v>5538</v>
      </c>
      <c r="BS323" s="13" t="s">
        <v>11491</v>
      </c>
      <c r="BT323" s="13">
        <v>23030.0</v>
      </c>
      <c r="BU323" s="13" t="s">
        <v>5540</v>
      </c>
      <c r="BV323" s="13" t="s">
        <v>4856</v>
      </c>
      <c r="BW323" s="13" t="str">
        <f>VLOOKUP($BT323,Enriched!$A$2:$E$1070,5,false)</f>
        <v>["Invasive &amp; other problematic species, genes &amp; diseases"]</v>
      </c>
      <c r="BX323" s="13" t="str">
        <f>VLOOKUP($BT323,Enriched!$A$2:$E$1070,4,false)</f>
        <v>["Invasive non-native/alien species/diseases"]</v>
      </c>
      <c r="BY323" s="13" t="b">
        <f>VLOOKUP(BT323,Enriched!$A$1:$AA$1070,27,falsE)</f>
        <v>0</v>
      </c>
      <c r="BZ323" s="2" t="str">
        <f>VLOOKUP(BT323,Enriched!$A$1:$AA$1070,14,falsE)</f>
        <v>level2</v>
      </c>
      <c r="CA323" s="13" t="str">
        <f>HYPERLINK("https%3A%2F%2Fwww.webofscience.com%2Fwos%2Fwoscc%2Ffull-record%2FWOS:000355191900019","View Full Record in Web of Science")</f>
        <v>View Full Record in Web of Science</v>
      </c>
    </row>
    <row r="324" ht="12.75" customHeight="1">
      <c r="A324" s="13" t="s">
        <v>5508</v>
      </c>
      <c r="B324" s="13" t="s">
        <v>11492</v>
      </c>
      <c r="C324" s="13" t="s">
        <v>5510</v>
      </c>
      <c r="D324" s="13" t="s">
        <v>5510</v>
      </c>
      <c r="E324" s="13" t="s">
        <v>5510</v>
      </c>
      <c r="F324" s="13" t="s">
        <v>11493</v>
      </c>
      <c r="G324" s="13" t="s">
        <v>5510</v>
      </c>
      <c r="H324" s="13" t="s">
        <v>5510</v>
      </c>
      <c r="I324" s="2" t="s">
        <v>2083</v>
      </c>
      <c r="J324" s="13" t="s">
        <v>11494</v>
      </c>
      <c r="K324" s="13" t="s">
        <v>5510</v>
      </c>
      <c r="L324" s="13" t="s">
        <v>5510</v>
      </c>
      <c r="M324" s="13" t="s">
        <v>5513</v>
      </c>
      <c r="N324" s="13" t="s">
        <v>5514</v>
      </c>
      <c r="O324" s="13" t="s">
        <v>5510</v>
      </c>
      <c r="P324" s="13" t="s">
        <v>5510</v>
      </c>
      <c r="Q324" s="13" t="s">
        <v>5510</v>
      </c>
      <c r="R324" s="13" t="s">
        <v>5510</v>
      </c>
      <c r="S324" s="13" t="s">
        <v>5510</v>
      </c>
      <c r="T324" s="13" t="s">
        <v>11495</v>
      </c>
      <c r="U324" s="13" t="s">
        <v>11496</v>
      </c>
      <c r="V324" s="13" t="s">
        <v>11497</v>
      </c>
      <c r="W324" s="13" t="s">
        <v>11498</v>
      </c>
      <c r="X324" s="13" t="s">
        <v>11499</v>
      </c>
      <c r="Y324" s="13" t="s">
        <v>11500</v>
      </c>
      <c r="Z324" s="13" t="s">
        <v>11501</v>
      </c>
      <c r="AA324" s="13" t="s">
        <v>11502</v>
      </c>
      <c r="AB324" s="13" t="s">
        <v>11503</v>
      </c>
      <c r="AC324" s="13" t="s">
        <v>11504</v>
      </c>
      <c r="AD324" s="13" t="s">
        <v>11504</v>
      </c>
      <c r="AE324" s="13" t="s">
        <v>11505</v>
      </c>
      <c r="AF324" s="13" t="s">
        <v>5510</v>
      </c>
      <c r="AG324" s="13">
        <v>99.0</v>
      </c>
      <c r="AH324" s="13">
        <v>13.0</v>
      </c>
      <c r="AI324" s="13">
        <v>14.0</v>
      </c>
      <c r="AJ324" s="13">
        <v>1.0</v>
      </c>
      <c r="AK324" s="13">
        <v>24.0</v>
      </c>
      <c r="AL324" s="13" t="s">
        <v>5527</v>
      </c>
      <c r="AM324" s="13" t="s">
        <v>5528</v>
      </c>
      <c r="AN324" s="13" t="s">
        <v>5529</v>
      </c>
      <c r="AO324" s="13" t="s">
        <v>11506</v>
      </c>
      <c r="AP324" s="13" t="s">
        <v>11507</v>
      </c>
      <c r="AQ324" s="13" t="s">
        <v>5510</v>
      </c>
      <c r="AR324" s="13" t="s">
        <v>11494</v>
      </c>
      <c r="AS324" s="13" t="s">
        <v>404</v>
      </c>
      <c r="AT324" s="13" t="s">
        <v>6089</v>
      </c>
      <c r="AU324" s="13">
        <v>2019.0</v>
      </c>
      <c r="AV324" s="13">
        <v>42.0</v>
      </c>
      <c r="AW324" s="13">
        <v>3.0</v>
      </c>
      <c r="AX324" s="13" t="s">
        <v>5510</v>
      </c>
      <c r="AY324" s="13" t="s">
        <v>5510</v>
      </c>
      <c r="AZ324" s="13" t="s">
        <v>5510</v>
      </c>
      <c r="BA324" s="13" t="s">
        <v>5510</v>
      </c>
      <c r="BB324" s="13">
        <v>608.0</v>
      </c>
      <c r="BC324" s="13">
        <v>620.0</v>
      </c>
      <c r="BD324" s="13" t="s">
        <v>5510</v>
      </c>
      <c r="BE324" s="13" t="s">
        <v>11508</v>
      </c>
      <c r="BF324" s="52" t="str">
        <f>HYPERLINK("http://dx.doi.org/10.1111/ecog.04122","http://dx.doi.org/10.1111/ecog.04122")</f>
        <v>http://dx.doi.org/10.1111/ecog.04122</v>
      </c>
      <c r="BG324" s="13" t="s">
        <v>5510</v>
      </c>
      <c r="BH324" s="13" t="s">
        <v>5510</v>
      </c>
      <c r="BI324" s="13">
        <v>13.0</v>
      </c>
      <c r="BJ324" s="13" t="s">
        <v>5958</v>
      </c>
      <c r="BK324" s="13" t="s">
        <v>5561</v>
      </c>
      <c r="BL324" s="13" t="s">
        <v>5699</v>
      </c>
      <c r="BM324" s="13" t="s">
        <v>11509</v>
      </c>
      <c r="BN324" s="13" t="s">
        <v>5510</v>
      </c>
      <c r="BO324" s="13" t="s">
        <v>5510</v>
      </c>
      <c r="BP324" s="13" t="s">
        <v>5510</v>
      </c>
      <c r="BQ324" s="13" t="s">
        <v>5510</v>
      </c>
      <c r="BR324" s="13" t="s">
        <v>5538</v>
      </c>
      <c r="BS324" s="13" t="s">
        <v>11510</v>
      </c>
      <c r="BT324" s="13">
        <v>23689.0</v>
      </c>
      <c r="BU324" s="13" t="s">
        <v>5540</v>
      </c>
      <c r="BV324" s="13" t="s">
        <v>4856</v>
      </c>
      <c r="BW324" s="13" t="str">
        <f>VLOOKUP($BT324,Enriched!$A$2:$E$1070,5,false)</f>
        <v>["Transportation &amp; Service Corridors"]</v>
      </c>
      <c r="BX324" s="13" t="str">
        <f>VLOOKUP($BT324,Enriched!$A$2:$E$1070,4,false)</f>
        <v>["Roads &amp; railroads"]</v>
      </c>
      <c r="BY324" s="13" t="b">
        <f>VLOOKUP(BT324,Enriched!$A$1:$AA$1070,27,falsE)</f>
        <v>0</v>
      </c>
      <c r="BZ324" s="2" t="str">
        <f>VLOOKUP(BT324,Enriched!$A$1:$AA$1070,14,falsE)</f>
        <v>level2</v>
      </c>
      <c r="CA324" s="13" t="str">
        <f>HYPERLINK("https%3A%2F%2Fwww.webofscience.com%2Fwos%2Fwoscc%2Ffull-record%2FWOS:000460078900020","View Full Record in Web of Science")</f>
        <v>View Full Record in Web of Science</v>
      </c>
    </row>
    <row r="325" ht="12.75" customHeight="1">
      <c r="A325" s="13" t="s">
        <v>5508</v>
      </c>
      <c r="B325" s="13" t="s">
        <v>11511</v>
      </c>
      <c r="C325" s="13" t="s">
        <v>5510</v>
      </c>
      <c r="D325" s="13" t="s">
        <v>5510</v>
      </c>
      <c r="E325" s="13" t="s">
        <v>5510</v>
      </c>
      <c r="F325" s="13" t="s">
        <v>11512</v>
      </c>
      <c r="G325" s="13" t="s">
        <v>5510</v>
      </c>
      <c r="H325" s="13" t="s">
        <v>5510</v>
      </c>
      <c r="I325" s="13" t="s">
        <v>11513</v>
      </c>
      <c r="J325" s="13" t="s">
        <v>7300</v>
      </c>
      <c r="K325" s="13" t="s">
        <v>5510</v>
      </c>
      <c r="L325" s="13" t="s">
        <v>5510</v>
      </c>
      <c r="M325" s="13" t="s">
        <v>5513</v>
      </c>
      <c r="N325" s="13" t="s">
        <v>5514</v>
      </c>
      <c r="O325" s="13" t="s">
        <v>5510</v>
      </c>
      <c r="P325" s="13" t="s">
        <v>5510</v>
      </c>
      <c r="Q325" s="13" t="s">
        <v>5510</v>
      </c>
      <c r="R325" s="13" t="s">
        <v>5510</v>
      </c>
      <c r="S325" s="13" t="s">
        <v>5510</v>
      </c>
      <c r="T325" s="13" t="s">
        <v>11514</v>
      </c>
      <c r="U325" s="13" t="s">
        <v>11515</v>
      </c>
      <c r="V325" s="13" t="s">
        <v>11516</v>
      </c>
      <c r="W325" s="13" t="s">
        <v>11517</v>
      </c>
      <c r="X325" s="13" t="s">
        <v>11518</v>
      </c>
      <c r="Y325" s="13" t="s">
        <v>11519</v>
      </c>
      <c r="Z325" s="13" t="s">
        <v>11520</v>
      </c>
      <c r="AA325" s="13" t="s">
        <v>11521</v>
      </c>
      <c r="AB325" s="13" t="s">
        <v>11522</v>
      </c>
      <c r="AC325" s="13" t="s">
        <v>11523</v>
      </c>
      <c r="AD325" s="13" t="s">
        <v>11524</v>
      </c>
      <c r="AE325" s="13" t="s">
        <v>11525</v>
      </c>
      <c r="AF325" s="13" t="s">
        <v>5510</v>
      </c>
      <c r="AG325" s="13">
        <v>42.0</v>
      </c>
      <c r="AH325" s="13">
        <v>84.0</v>
      </c>
      <c r="AI325" s="13">
        <v>95.0</v>
      </c>
      <c r="AJ325" s="13">
        <v>2.0</v>
      </c>
      <c r="AK325" s="13">
        <v>52.0</v>
      </c>
      <c r="AL325" s="13" t="s">
        <v>6849</v>
      </c>
      <c r="AM325" s="13" t="s">
        <v>6850</v>
      </c>
      <c r="AN325" s="13" t="s">
        <v>6851</v>
      </c>
      <c r="AO325" s="13" t="s">
        <v>5510</v>
      </c>
      <c r="AP325" s="13" t="s">
        <v>7313</v>
      </c>
      <c r="AQ325" s="13" t="s">
        <v>5510</v>
      </c>
      <c r="AR325" s="13" t="s">
        <v>7314</v>
      </c>
      <c r="AS325" s="13" t="s">
        <v>7315</v>
      </c>
      <c r="AT325" s="13" t="s">
        <v>6131</v>
      </c>
      <c r="AU325" s="13">
        <v>2019.0</v>
      </c>
      <c r="AV325" s="13">
        <v>11.0</v>
      </c>
      <c r="AW325" s="13">
        <v>3.0</v>
      </c>
      <c r="AX325" s="13" t="s">
        <v>5510</v>
      </c>
      <c r="AY325" s="13" t="s">
        <v>5510</v>
      </c>
      <c r="AZ325" s="13" t="s">
        <v>5510</v>
      </c>
      <c r="BA325" s="13" t="s">
        <v>5510</v>
      </c>
      <c r="BB325" s="13" t="s">
        <v>5510</v>
      </c>
      <c r="BC325" s="13" t="s">
        <v>5510</v>
      </c>
      <c r="BD325" s="13">
        <v>293.0</v>
      </c>
      <c r="BE325" s="13" t="s">
        <v>11526</v>
      </c>
      <c r="BF325" s="52" t="str">
        <f>HYPERLINK("http://dx.doi.org/10.3390/rs11030293","http://dx.doi.org/10.3390/rs11030293")</f>
        <v>http://dx.doi.org/10.3390/rs11030293</v>
      </c>
      <c r="BG325" s="13" t="s">
        <v>5510</v>
      </c>
      <c r="BH325" s="13" t="s">
        <v>5510</v>
      </c>
      <c r="BI325" s="13">
        <v>28.0</v>
      </c>
      <c r="BJ325" s="13" t="s">
        <v>7317</v>
      </c>
      <c r="BK325" s="13" t="s">
        <v>5561</v>
      </c>
      <c r="BL325" s="13" t="s">
        <v>7318</v>
      </c>
      <c r="BM325" s="13" t="s">
        <v>11527</v>
      </c>
      <c r="BN325" s="13" t="s">
        <v>5510</v>
      </c>
      <c r="BO325" s="13" t="s">
        <v>5564</v>
      </c>
      <c r="BP325" s="13" t="s">
        <v>5510</v>
      </c>
      <c r="BQ325" s="13" t="s">
        <v>5510</v>
      </c>
      <c r="BR325" s="13" t="s">
        <v>5538</v>
      </c>
      <c r="BS325" s="13" t="s">
        <v>11528</v>
      </c>
      <c r="BT325" s="13">
        <v>24450.0</v>
      </c>
      <c r="BU325" s="13" t="s">
        <v>5540</v>
      </c>
      <c r="BV325" s="13" t="s">
        <v>4864</v>
      </c>
      <c r="BW325" s="13" t="str">
        <f>VLOOKUP($BT325,Enriched!$A$2:$E$1070,5,false)</f>
        <v>["Biological resource use"]</v>
      </c>
      <c r="BX325" s="13" t="str">
        <f>VLOOKUP($BT325,Enriched!$A$2:$E$1070,4,false)</f>
        <v>["Fishing &amp; harvesting aquatic resources"]</v>
      </c>
      <c r="BY325" s="13" t="b">
        <f>VLOOKUP(BT325,Enriched!$A$1:$AA$1070,27,falsE)</f>
        <v>0</v>
      </c>
      <c r="BZ325" s="2" t="str">
        <f>VLOOKUP(BT325,Enriched!$A$1:$AA$1070,14,falsE)</f>
        <v>level2</v>
      </c>
      <c r="CA325" s="13" t="str">
        <f>HYPERLINK("https%3A%2F%2Fwww.webofscience.com%2Fwos%2Fwoscc%2Ffull-record%2FWOS:000459944400081","View Full Record in Web of Science")</f>
        <v>View Full Record in Web of Science</v>
      </c>
    </row>
    <row r="326" ht="12.75" customHeight="1">
      <c r="A326" s="13" t="s">
        <v>5508</v>
      </c>
      <c r="B326" s="13" t="s">
        <v>11529</v>
      </c>
      <c r="C326" s="13" t="s">
        <v>5510</v>
      </c>
      <c r="D326" s="13" t="s">
        <v>5510</v>
      </c>
      <c r="E326" s="13" t="s">
        <v>5510</v>
      </c>
      <c r="F326" s="13" t="s">
        <v>11530</v>
      </c>
      <c r="G326" s="13" t="s">
        <v>5510</v>
      </c>
      <c r="H326" s="13" t="s">
        <v>5510</v>
      </c>
      <c r="I326" s="13" t="s">
        <v>2078</v>
      </c>
      <c r="J326" s="13" t="s">
        <v>5919</v>
      </c>
      <c r="K326" s="13" t="s">
        <v>5510</v>
      </c>
      <c r="L326" s="13" t="s">
        <v>5510</v>
      </c>
      <c r="M326" s="13" t="s">
        <v>5513</v>
      </c>
      <c r="N326" s="13" t="s">
        <v>5514</v>
      </c>
      <c r="O326" s="13" t="s">
        <v>5510</v>
      </c>
      <c r="P326" s="13" t="s">
        <v>5510</v>
      </c>
      <c r="Q326" s="13" t="s">
        <v>5510</v>
      </c>
      <c r="R326" s="13" t="s">
        <v>5510</v>
      </c>
      <c r="S326" s="13" t="s">
        <v>5510</v>
      </c>
      <c r="T326" s="13" t="s">
        <v>11531</v>
      </c>
      <c r="U326" s="13" t="s">
        <v>11532</v>
      </c>
      <c r="V326" s="13" t="s">
        <v>11533</v>
      </c>
      <c r="W326" s="13" t="s">
        <v>11534</v>
      </c>
      <c r="X326" s="13" t="s">
        <v>11535</v>
      </c>
      <c r="Y326" s="13" t="s">
        <v>11536</v>
      </c>
      <c r="Z326" s="13" t="s">
        <v>11537</v>
      </c>
      <c r="AA326" s="13" t="s">
        <v>11538</v>
      </c>
      <c r="AB326" s="13" t="s">
        <v>11539</v>
      </c>
      <c r="AC326" s="13" t="s">
        <v>11540</v>
      </c>
      <c r="AD326" s="13" t="s">
        <v>11541</v>
      </c>
      <c r="AE326" s="13" t="s">
        <v>11542</v>
      </c>
      <c r="AF326" s="13" t="s">
        <v>5510</v>
      </c>
      <c r="AG326" s="13">
        <v>56.0</v>
      </c>
      <c r="AH326" s="13">
        <v>30.0</v>
      </c>
      <c r="AI326" s="13">
        <v>34.0</v>
      </c>
      <c r="AJ326" s="13">
        <v>0.0</v>
      </c>
      <c r="AK326" s="13">
        <v>35.0</v>
      </c>
      <c r="AL326" s="13" t="s">
        <v>5931</v>
      </c>
      <c r="AM326" s="13" t="s">
        <v>7486</v>
      </c>
      <c r="AN326" s="13" t="s">
        <v>7487</v>
      </c>
      <c r="AO326" s="13" t="s">
        <v>5934</v>
      </c>
      <c r="AP326" s="13" t="s">
        <v>5935</v>
      </c>
      <c r="AQ326" s="13" t="s">
        <v>5510</v>
      </c>
      <c r="AR326" s="13" t="s">
        <v>5936</v>
      </c>
      <c r="AS326" s="13" t="s">
        <v>5937</v>
      </c>
      <c r="AT326" s="13" t="s">
        <v>1453</v>
      </c>
      <c r="AU326" s="13">
        <v>2018.0</v>
      </c>
      <c r="AV326" s="13">
        <v>227.0</v>
      </c>
      <c r="AW326" s="13" t="s">
        <v>5510</v>
      </c>
      <c r="AX326" s="13" t="s">
        <v>5510</v>
      </c>
      <c r="AY326" s="13" t="s">
        <v>5510</v>
      </c>
      <c r="AZ326" s="13" t="s">
        <v>5510</v>
      </c>
      <c r="BA326" s="13" t="s">
        <v>5510</v>
      </c>
      <c r="BB326" s="13">
        <v>133.0</v>
      </c>
      <c r="BC326" s="13">
        <v>140.0</v>
      </c>
      <c r="BD326" s="13" t="s">
        <v>5510</v>
      </c>
      <c r="BE326" s="13" t="s">
        <v>11543</v>
      </c>
      <c r="BF326" s="52" t="str">
        <f>HYPERLINK("http://dx.doi.org/10.1016/j.biocon.2018.09.009","http://dx.doi.org/10.1016/j.biocon.2018.09.009")</f>
        <v>http://dx.doi.org/10.1016/j.biocon.2018.09.009</v>
      </c>
      <c r="BG326" s="13" t="s">
        <v>5510</v>
      </c>
      <c r="BH326" s="13" t="s">
        <v>5510</v>
      </c>
      <c r="BI326" s="13">
        <v>8.0</v>
      </c>
      <c r="BJ326" s="13" t="s">
        <v>5698</v>
      </c>
      <c r="BK326" s="13" t="s">
        <v>5561</v>
      </c>
      <c r="BL326" s="13" t="s">
        <v>5699</v>
      </c>
      <c r="BM326" s="13" t="s">
        <v>11544</v>
      </c>
      <c r="BN326" s="13" t="s">
        <v>5510</v>
      </c>
      <c r="BO326" s="13" t="s">
        <v>5510</v>
      </c>
      <c r="BP326" s="13" t="s">
        <v>5510</v>
      </c>
      <c r="BQ326" s="13" t="s">
        <v>5510</v>
      </c>
      <c r="BR326" s="13" t="s">
        <v>5538</v>
      </c>
      <c r="BS326" s="13" t="s">
        <v>11545</v>
      </c>
      <c r="BT326" s="13">
        <v>23893.0</v>
      </c>
      <c r="BU326" s="13" t="s">
        <v>5540</v>
      </c>
      <c r="BV326" s="13" t="s">
        <v>4856</v>
      </c>
      <c r="BW326" s="13" t="str">
        <f>VLOOKUP($BT326,Enriched!$A$2:$E$1070,5,false)</f>
        <v>["Biological resource use"]</v>
      </c>
      <c r="BX326" s="13" t="str">
        <f>VLOOKUP($BT326,Enriched!$A$2:$E$1070,4,false)</f>
        <v>["Hunting &amp; collecting terrestrial animals"]</v>
      </c>
      <c r="BY326" s="13" t="b">
        <f>VLOOKUP(BT326,Enriched!$A$1:$AA$1070,27,falsE)</f>
        <v>0</v>
      </c>
      <c r="BZ326" s="2" t="str">
        <f>VLOOKUP(BT326,Enriched!$A$1:$AA$1070,14,falsE)</f>
        <v>level2</v>
      </c>
      <c r="CA326" s="13" t="str">
        <f>HYPERLINK("https%3A%2F%2Fwww.webofscience.com%2Fwos%2Fwoscc%2Ffull-record%2FWOS:000449129700015","View Full Record in Web of Science")</f>
        <v>View Full Record in Web of Science</v>
      </c>
    </row>
    <row r="327" ht="12.75" customHeight="1">
      <c r="A327" s="13" t="s">
        <v>5508</v>
      </c>
      <c r="B327" s="13" t="s">
        <v>11546</v>
      </c>
      <c r="C327" s="13" t="s">
        <v>5510</v>
      </c>
      <c r="D327" s="13" t="s">
        <v>5510</v>
      </c>
      <c r="E327" s="13" t="s">
        <v>5510</v>
      </c>
      <c r="F327" s="13" t="s">
        <v>11547</v>
      </c>
      <c r="G327" s="13" t="s">
        <v>5510</v>
      </c>
      <c r="H327" s="13" t="s">
        <v>5510</v>
      </c>
      <c r="I327" s="13" t="s">
        <v>2075</v>
      </c>
      <c r="J327" s="13" t="s">
        <v>7990</v>
      </c>
      <c r="K327" s="13" t="s">
        <v>5510</v>
      </c>
      <c r="L327" s="13" t="s">
        <v>5510</v>
      </c>
      <c r="M327" s="13" t="s">
        <v>5513</v>
      </c>
      <c r="N327" s="13" t="s">
        <v>5514</v>
      </c>
      <c r="O327" s="13" t="s">
        <v>5510</v>
      </c>
      <c r="P327" s="13" t="s">
        <v>5510</v>
      </c>
      <c r="Q327" s="13" t="s">
        <v>5510</v>
      </c>
      <c r="R327" s="13" t="s">
        <v>5510</v>
      </c>
      <c r="S327" s="13" t="s">
        <v>5510</v>
      </c>
      <c r="T327" s="13" t="s">
        <v>11548</v>
      </c>
      <c r="U327" s="13" t="s">
        <v>11549</v>
      </c>
      <c r="V327" s="13" t="s">
        <v>11550</v>
      </c>
      <c r="W327" s="13" t="s">
        <v>11551</v>
      </c>
      <c r="X327" s="13" t="s">
        <v>11552</v>
      </c>
      <c r="Y327" s="13" t="s">
        <v>11553</v>
      </c>
      <c r="Z327" s="13" t="s">
        <v>11554</v>
      </c>
      <c r="AA327" s="13" t="s">
        <v>11555</v>
      </c>
      <c r="AB327" s="13" t="s">
        <v>11556</v>
      </c>
      <c r="AC327" s="13" t="s">
        <v>11557</v>
      </c>
      <c r="AD327" s="13" t="s">
        <v>11558</v>
      </c>
      <c r="AE327" s="13" t="s">
        <v>11559</v>
      </c>
      <c r="AF327" s="13" t="s">
        <v>5510</v>
      </c>
      <c r="AG327" s="13">
        <v>57.0</v>
      </c>
      <c r="AH327" s="13">
        <v>7.0</v>
      </c>
      <c r="AI327" s="13">
        <v>7.0</v>
      </c>
      <c r="AJ327" s="13">
        <v>1.0</v>
      </c>
      <c r="AK327" s="13">
        <v>45.0</v>
      </c>
      <c r="AL327" s="13" t="s">
        <v>8003</v>
      </c>
      <c r="AM327" s="13" t="s">
        <v>8004</v>
      </c>
      <c r="AN327" s="13" t="s">
        <v>8005</v>
      </c>
      <c r="AO327" s="13" t="s">
        <v>8006</v>
      </c>
      <c r="AP327" s="13" t="s">
        <v>8007</v>
      </c>
      <c r="AQ327" s="13" t="s">
        <v>5510</v>
      </c>
      <c r="AR327" s="13" t="s">
        <v>8008</v>
      </c>
      <c r="AS327" s="13" t="s">
        <v>8009</v>
      </c>
      <c r="AT327" s="13" t="s">
        <v>1925</v>
      </c>
      <c r="AU327" s="13">
        <v>2016.0</v>
      </c>
      <c r="AV327" s="13">
        <v>33.0</v>
      </c>
      <c r="AW327" s="13" t="s">
        <v>5510</v>
      </c>
      <c r="AX327" s="13" t="s">
        <v>5510</v>
      </c>
      <c r="AY327" s="13" t="s">
        <v>5510</v>
      </c>
      <c r="AZ327" s="13" t="s">
        <v>5510</v>
      </c>
      <c r="BA327" s="13" t="s">
        <v>5510</v>
      </c>
      <c r="BB327" s="13">
        <v>76.0</v>
      </c>
      <c r="BC327" s="13">
        <v>84.0</v>
      </c>
      <c r="BD327" s="13" t="s">
        <v>5510</v>
      </c>
      <c r="BE327" s="13" t="s">
        <v>11560</v>
      </c>
      <c r="BF327" s="52" t="str">
        <f>HYPERLINK("http://dx.doi.org/10.1016/j.jnc.2016.08.001","http://dx.doi.org/10.1016/j.jnc.2016.08.001")</f>
        <v>http://dx.doi.org/10.1016/j.jnc.2016.08.001</v>
      </c>
      <c r="BG327" s="13" t="s">
        <v>5510</v>
      </c>
      <c r="BH327" s="13" t="s">
        <v>5510</v>
      </c>
      <c r="BI327" s="13">
        <v>9.0</v>
      </c>
      <c r="BJ327" s="13" t="s">
        <v>5958</v>
      </c>
      <c r="BK327" s="13" t="s">
        <v>5534</v>
      </c>
      <c r="BL327" s="13" t="s">
        <v>5699</v>
      </c>
      <c r="BM327" s="13" t="s">
        <v>11561</v>
      </c>
      <c r="BN327" s="13" t="s">
        <v>5510</v>
      </c>
      <c r="BO327" s="13" t="s">
        <v>6623</v>
      </c>
      <c r="BP327" s="13" t="s">
        <v>5510</v>
      </c>
      <c r="BQ327" s="13" t="s">
        <v>5510</v>
      </c>
      <c r="BR327" s="13" t="s">
        <v>5538</v>
      </c>
      <c r="BS327" s="13" t="s">
        <v>11562</v>
      </c>
      <c r="BT327" s="13">
        <v>24208.0</v>
      </c>
      <c r="BU327" s="13" t="s">
        <v>5540</v>
      </c>
      <c r="BV327" s="13" t="s">
        <v>4886</v>
      </c>
      <c r="BW327" s="13" t="str">
        <f>VLOOKUP($BT327,Enriched!$A$2:$E$1070,5,false)</f>
        <v>["Transportation &amp; Service Corridors", "Agriculture &amp; aquaculture"]</v>
      </c>
      <c r="BX327" s="13" t="str">
        <f>VLOOKUP($BT327,Enriched!$A$2:$E$1070,4,false)</f>
        <v>["Roads &amp; railroads", "Housing &amp; urban area"]</v>
      </c>
      <c r="BY327" s="13" t="b">
        <f>VLOOKUP(BT327,Enriched!$A$1:$AA$1070,27,falsE)</f>
        <v>1</v>
      </c>
      <c r="BZ327" s="2" t="str">
        <f>VLOOKUP(BT327,Enriched!$A$1:$AA$1070,14,falsE)</f>
        <v>cumulative</v>
      </c>
      <c r="CA327" s="13" t="str">
        <f>HYPERLINK("https%3A%2F%2Fwww.webofscience.com%2Fwos%2Fwoscc%2Ffull-record%2FWOS:000382125000009","View Full Record in Web of Science")</f>
        <v>View Full Record in Web of Science</v>
      </c>
    </row>
    <row r="328" ht="12.75" customHeight="1">
      <c r="A328" s="13" t="s">
        <v>5508</v>
      </c>
      <c r="B328" s="13" t="s">
        <v>11563</v>
      </c>
      <c r="C328" s="13" t="s">
        <v>5510</v>
      </c>
      <c r="D328" s="13" t="s">
        <v>5510</v>
      </c>
      <c r="E328" s="13" t="s">
        <v>5510</v>
      </c>
      <c r="F328" s="13" t="s">
        <v>11564</v>
      </c>
      <c r="G328" s="13" t="s">
        <v>5510</v>
      </c>
      <c r="H328" s="13" t="s">
        <v>5510</v>
      </c>
      <c r="I328" s="13" t="s">
        <v>2073</v>
      </c>
      <c r="J328" s="13" t="s">
        <v>5543</v>
      </c>
      <c r="K328" s="13" t="s">
        <v>5510</v>
      </c>
      <c r="L328" s="13" t="s">
        <v>5510</v>
      </c>
      <c r="M328" s="13" t="s">
        <v>5513</v>
      </c>
      <c r="N328" s="13" t="s">
        <v>5514</v>
      </c>
      <c r="O328" s="13" t="s">
        <v>5510</v>
      </c>
      <c r="P328" s="13" t="s">
        <v>5510</v>
      </c>
      <c r="Q328" s="13" t="s">
        <v>5510</v>
      </c>
      <c r="R328" s="13" t="s">
        <v>5510</v>
      </c>
      <c r="S328" s="13" t="s">
        <v>5510</v>
      </c>
      <c r="T328" s="13" t="s">
        <v>5510</v>
      </c>
      <c r="U328" s="13" t="s">
        <v>11565</v>
      </c>
      <c r="V328" s="13" t="s">
        <v>11566</v>
      </c>
      <c r="W328" s="13" t="s">
        <v>11567</v>
      </c>
      <c r="X328" s="13" t="s">
        <v>11568</v>
      </c>
      <c r="Y328" s="13" t="s">
        <v>11569</v>
      </c>
      <c r="Z328" s="13" t="s">
        <v>11570</v>
      </c>
      <c r="AA328" s="13" t="s">
        <v>11571</v>
      </c>
      <c r="AB328" s="13" t="s">
        <v>11572</v>
      </c>
      <c r="AC328" s="13" t="s">
        <v>11573</v>
      </c>
      <c r="AD328" s="13" t="s">
        <v>11574</v>
      </c>
      <c r="AE328" s="13" t="s">
        <v>11575</v>
      </c>
      <c r="AF328" s="13" t="s">
        <v>5510</v>
      </c>
      <c r="AG328" s="13">
        <v>85.0</v>
      </c>
      <c r="AH328" s="13">
        <v>18.0</v>
      </c>
      <c r="AI328" s="13">
        <v>20.0</v>
      </c>
      <c r="AJ328" s="13">
        <v>3.0</v>
      </c>
      <c r="AK328" s="13">
        <v>17.0</v>
      </c>
      <c r="AL328" s="13" t="s">
        <v>5552</v>
      </c>
      <c r="AM328" s="13" t="s">
        <v>5553</v>
      </c>
      <c r="AN328" s="13" t="s">
        <v>5554</v>
      </c>
      <c r="AO328" s="13" t="s">
        <v>5555</v>
      </c>
      <c r="AP328" s="13" t="s">
        <v>5510</v>
      </c>
      <c r="AQ328" s="13" t="s">
        <v>5510</v>
      </c>
      <c r="AR328" s="13" t="s">
        <v>5543</v>
      </c>
      <c r="AS328" s="13" t="s">
        <v>5556</v>
      </c>
      <c r="AT328" s="13" t="s">
        <v>5739</v>
      </c>
      <c r="AU328" s="13">
        <v>2020.0</v>
      </c>
      <c r="AV328" s="13">
        <v>15.0</v>
      </c>
      <c r="AW328" s="13">
        <v>4.0</v>
      </c>
      <c r="AX328" s="13" t="s">
        <v>5510</v>
      </c>
      <c r="AY328" s="13" t="s">
        <v>5510</v>
      </c>
      <c r="AZ328" s="13" t="s">
        <v>5510</v>
      </c>
      <c r="BA328" s="13" t="s">
        <v>5510</v>
      </c>
      <c r="BB328" s="13" t="s">
        <v>5510</v>
      </c>
      <c r="BC328" s="13" t="s">
        <v>5510</v>
      </c>
      <c r="BD328" s="13" t="s">
        <v>11576</v>
      </c>
      <c r="BE328" s="13" t="s">
        <v>11577</v>
      </c>
      <c r="BF328" s="52" t="str">
        <f>HYPERLINK("http://dx.doi.org/10.1371/journal.pone.0231224","http://dx.doi.org/10.1371/journal.pone.0231224")</f>
        <v>http://dx.doi.org/10.1371/journal.pone.0231224</v>
      </c>
      <c r="BG328" s="13" t="s">
        <v>5510</v>
      </c>
      <c r="BH328" s="13" t="s">
        <v>5510</v>
      </c>
      <c r="BI328" s="13">
        <v>17.0</v>
      </c>
      <c r="BJ328" s="13" t="s">
        <v>5560</v>
      </c>
      <c r="BK328" s="13" t="s">
        <v>5561</v>
      </c>
      <c r="BL328" s="13" t="s">
        <v>5562</v>
      </c>
      <c r="BM328" s="13" t="s">
        <v>11578</v>
      </c>
      <c r="BN328" s="13">
        <v>3.2320415E7</v>
      </c>
      <c r="BO328" s="13" t="s">
        <v>5564</v>
      </c>
      <c r="BP328" s="13" t="s">
        <v>5510</v>
      </c>
      <c r="BQ328" s="13" t="s">
        <v>5510</v>
      </c>
      <c r="BR328" s="13" t="s">
        <v>5538</v>
      </c>
      <c r="BS328" s="13" t="s">
        <v>11579</v>
      </c>
      <c r="BT328" s="13">
        <v>25073.0</v>
      </c>
      <c r="BU328" s="13" t="s">
        <v>5540</v>
      </c>
      <c r="BV328" s="13" t="s">
        <v>4852</v>
      </c>
      <c r="BW328" s="13" t="str">
        <f>VLOOKUP($BT328,Enriched!$A$2:$E$1070,5,false)</f>
        <v>["Natural system modifications"]</v>
      </c>
      <c r="BX328" s="13" t="str">
        <f>VLOOKUP($BT328,Enriched!$A$2:$E$1070,4,false)</f>
        <v>["Dams &amp; water management/use"]</v>
      </c>
      <c r="BY328" s="13" t="b">
        <f>VLOOKUP(BT328,Enriched!$A$1:$AA$1070,27,falsE)</f>
        <v>0</v>
      </c>
      <c r="BZ328" s="2" t="str">
        <f>VLOOKUP(BT328,Enriched!$A$1:$AA$1070,14,falsE)</f>
        <v>level2</v>
      </c>
      <c r="CA328" s="13" t="str">
        <f>HYPERLINK("https%3A%2F%2Fwww.webofscience.com%2Fwos%2Fwoscc%2Ffull-record%2FWOS:000536028800016","View Full Record in Web of Science")</f>
        <v>View Full Record in Web of Science</v>
      </c>
    </row>
    <row r="329" ht="12.75" customHeight="1">
      <c r="A329" s="13" t="s">
        <v>5508</v>
      </c>
      <c r="B329" s="13" t="s">
        <v>11580</v>
      </c>
      <c r="C329" s="13" t="s">
        <v>5510</v>
      </c>
      <c r="D329" s="13" t="s">
        <v>5510</v>
      </c>
      <c r="E329" s="13" t="s">
        <v>5510</v>
      </c>
      <c r="F329" s="13" t="s">
        <v>11581</v>
      </c>
      <c r="G329" s="13" t="s">
        <v>5510</v>
      </c>
      <c r="H329" s="13" t="s">
        <v>5510</v>
      </c>
      <c r="I329" s="13" t="s">
        <v>2070</v>
      </c>
      <c r="J329" s="13" t="s">
        <v>8356</v>
      </c>
      <c r="K329" s="13" t="s">
        <v>5510</v>
      </c>
      <c r="L329" s="13" t="s">
        <v>5510</v>
      </c>
      <c r="M329" s="13" t="s">
        <v>5513</v>
      </c>
      <c r="N329" s="13" t="s">
        <v>5514</v>
      </c>
      <c r="O329" s="13" t="s">
        <v>5510</v>
      </c>
      <c r="P329" s="13" t="s">
        <v>5510</v>
      </c>
      <c r="Q329" s="13" t="s">
        <v>5510</v>
      </c>
      <c r="R329" s="13" t="s">
        <v>5510</v>
      </c>
      <c r="S329" s="13" t="s">
        <v>5510</v>
      </c>
      <c r="T329" s="13" t="s">
        <v>11582</v>
      </c>
      <c r="U329" s="13" t="s">
        <v>11583</v>
      </c>
      <c r="V329" s="13" t="s">
        <v>11584</v>
      </c>
      <c r="W329" s="13" t="s">
        <v>11585</v>
      </c>
      <c r="X329" s="13" t="s">
        <v>11586</v>
      </c>
      <c r="Y329" s="13" t="s">
        <v>11587</v>
      </c>
      <c r="Z329" s="13" t="s">
        <v>11588</v>
      </c>
      <c r="AA329" s="13" t="s">
        <v>5510</v>
      </c>
      <c r="AB329" s="13" t="s">
        <v>11589</v>
      </c>
      <c r="AC329" s="13" t="s">
        <v>11590</v>
      </c>
      <c r="AD329" s="13" t="s">
        <v>11590</v>
      </c>
      <c r="AE329" s="13" t="s">
        <v>11591</v>
      </c>
      <c r="AF329" s="13" t="s">
        <v>5510</v>
      </c>
      <c r="AG329" s="13">
        <v>46.0</v>
      </c>
      <c r="AH329" s="13">
        <v>21.0</v>
      </c>
      <c r="AI329" s="13">
        <v>24.0</v>
      </c>
      <c r="AJ329" s="13">
        <v>1.0</v>
      </c>
      <c r="AK329" s="13">
        <v>53.0</v>
      </c>
      <c r="AL329" s="13" t="s">
        <v>5931</v>
      </c>
      <c r="AM329" s="13" t="s">
        <v>5932</v>
      </c>
      <c r="AN329" s="13" t="s">
        <v>5933</v>
      </c>
      <c r="AO329" s="13" t="s">
        <v>8369</v>
      </c>
      <c r="AP329" s="13" t="s">
        <v>8370</v>
      </c>
      <c r="AQ329" s="13" t="s">
        <v>5510</v>
      </c>
      <c r="AR329" s="13" t="s">
        <v>8371</v>
      </c>
      <c r="AS329" s="13" t="s">
        <v>8372</v>
      </c>
      <c r="AT329" s="13" t="s">
        <v>5582</v>
      </c>
      <c r="AU329" s="13">
        <v>2019.0</v>
      </c>
      <c r="AV329" s="13">
        <v>102.0</v>
      </c>
      <c r="AW329" s="13" t="s">
        <v>5510</v>
      </c>
      <c r="AX329" s="13" t="s">
        <v>5510</v>
      </c>
      <c r="AY329" s="13" t="s">
        <v>5510</v>
      </c>
      <c r="AZ329" s="13" t="s">
        <v>5510</v>
      </c>
      <c r="BA329" s="13" t="s">
        <v>5510</v>
      </c>
      <c r="BB329" s="13">
        <v>28.0</v>
      </c>
      <c r="BC329" s="13">
        <v>38.0</v>
      </c>
      <c r="BD329" s="13" t="s">
        <v>5510</v>
      </c>
      <c r="BE329" s="13" t="s">
        <v>11592</v>
      </c>
      <c r="BF329" s="52" t="str">
        <f>HYPERLINK("http://dx.doi.org/10.1016/j.apgeog.2018.12.001","http://dx.doi.org/10.1016/j.apgeog.2018.12.001")</f>
        <v>http://dx.doi.org/10.1016/j.apgeog.2018.12.001</v>
      </c>
      <c r="BG329" s="13" t="s">
        <v>5510</v>
      </c>
      <c r="BH329" s="13" t="s">
        <v>5510</v>
      </c>
      <c r="BI329" s="13">
        <v>11.0</v>
      </c>
      <c r="BJ329" s="13" t="s">
        <v>8374</v>
      </c>
      <c r="BK329" s="13" t="s">
        <v>8375</v>
      </c>
      <c r="BL329" s="13" t="s">
        <v>8374</v>
      </c>
      <c r="BM329" s="13" t="s">
        <v>11593</v>
      </c>
      <c r="BN329" s="13" t="s">
        <v>5510</v>
      </c>
      <c r="BO329" s="13" t="s">
        <v>5510</v>
      </c>
      <c r="BP329" s="13" t="s">
        <v>5510</v>
      </c>
      <c r="BQ329" s="13" t="s">
        <v>5510</v>
      </c>
      <c r="BR329" s="13" t="s">
        <v>5538</v>
      </c>
      <c r="BS329" s="13" t="s">
        <v>11594</v>
      </c>
      <c r="BT329" s="13">
        <v>23581.0</v>
      </c>
      <c r="BU329" s="13" t="s">
        <v>5540</v>
      </c>
      <c r="BV329" s="13" t="s">
        <v>4856</v>
      </c>
      <c r="BW329" s="13" t="str">
        <f>VLOOKUP($BT329,Enriched!$A$2:$E$1070,5,false)</f>
        <v>["Energy Production &amp; Mining"]</v>
      </c>
      <c r="BX329" s="13" t="str">
        <f>VLOOKUP($BT329,Enriched!$A$2:$E$1070,4,false)</f>
        <v>["Oil &amp; gas drilling"]</v>
      </c>
      <c r="BY329" s="13" t="b">
        <f>VLOOKUP(BT329,Enriched!$A$1:$AA$1070,27,falsE)</f>
        <v>0</v>
      </c>
      <c r="BZ329" s="2" t="str">
        <f>VLOOKUP(BT329,Enriched!$A$1:$AA$1070,14,falsE)</f>
        <v>level2</v>
      </c>
      <c r="CA329" s="13" t="str">
        <f>HYPERLINK("https%3A%2F%2Fwww.webofscience.com%2Fwos%2Fwoscc%2Ffull-record%2FWOS:000457667700004","View Full Record in Web of Science")</f>
        <v>View Full Record in Web of Science</v>
      </c>
    </row>
    <row r="330" ht="12.75" customHeight="1">
      <c r="A330" s="13" t="s">
        <v>5508</v>
      </c>
      <c r="B330" s="13" t="s">
        <v>11595</v>
      </c>
      <c r="C330" s="13" t="s">
        <v>5510</v>
      </c>
      <c r="D330" s="13" t="s">
        <v>5510</v>
      </c>
      <c r="E330" s="13" t="s">
        <v>5510</v>
      </c>
      <c r="F330" s="13" t="s">
        <v>11596</v>
      </c>
      <c r="G330" s="13" t="s">
        <v>5510</v>
      </c>
      <c r="H330" s="13" t="s">
        <v>5510</v>
      </c>
      <c r="I330" s="13" t="s">
        <v>11597</v>
      </c>
      <c r="J330" s="13" t="s">
        <v>11598</v>
      </c>
      <c r="K330" s="13" t="s">
        <v>5510</v>
      </c>
      <c r="L330" s="13" t="s">
        <v>5510</v>
      </c>
      <c r="M330" s="13" t="s">
        <v>5513</v>
      </c>
      <c r="N330" s="13" t="s">
        <v>5514</v>
      </c>
      <c r="O330" s="13" t="s">
        <v>5510</v>
      </c>
      <c r="P330" s="13" t="s">
        <v>5510</v>
      </c>
      <c r="Q330" s="13" t="s">
        <v>5510</v>
      </c>
      <c r="R330" s="13" t="s">
        <v>5510</v>
      </c>
      <c r="S330" s="13" t="s">
        <v>5510</v>
      </c>
      <c r="T330" s="13" t="s">
        <v>11599</v>
      </c>
      <c r="U330" s="13" t="s">
        <v>11600</v>
      </c>
      <c r="V330" s="13" t="s">
        <v>11601</v>
      </c>
      <c r="W330" s="13" t="s">
        <v>11602</v>
      </c>
      <c r="X330" s="13" t="s">
        <v>11603</v>
      </c>
      <c r="Y330" s="13" t="s">
        <v>10441</v>
      </c>
      <c r="Z330" s="13" t="s">
        <v>11604</v>
      </c>
      <c r="AA330" s="13" t="s">
        <v>11605</v>
      </c>
      <c r="AB330" s="13" t="s">
        <v>11606</v>
      </c>
      <c r="AC330" s="13" t="s">
        <v>5510</v>
      </c>
      <c r="AD330" s="13" t="s">
        <v>5510</v>
      </c>
      <c r="AE330" s="13" t="s">
        <v>5510</v>
      </c>
      <c r="AF330" s="13" t="s">
        <v>5510</v>
      </c>
      <c r="AG330" s="13">
        <v>99.0</v>
      </c>
      <c r="AH330" s="13">
        <v>29.0</v>
      </c>
      <c r="AI330" s="13">
        <v>37.0</v>
      </c>
      <c r="AJ330" s="13">
        <v>0.0</v>
      </c>
      <c r="AK330" s="13">
        <v>43.0</v>
      </c>
      <c r="AL330" s="13" t="s">
        <v>9186</v>
      </c>
      <c r="AM330" s="13" t="s">
        <v>6046</v>
      </c>
      <c r="AN330" s="13" t="s">
        <v>9187</v>
      </c>
      <c r="AO330" s="13" t="s">
        <v>11607</v>
      </c>
      <c r="AP330" s="13" t="s">
        <v>11608</v>
      </c>
      <c r="AQ330" s="13" t="s">
        <v>5510</v>
      </c>
      <c r="AR330" s="13" t="s">
        <v>11609</v>
      </c>
      <c r="AS330" s="13" t="s">
        <v>11610</v>
      </c>
      <c r="AT330" s="13" t="s">
        <v>11611</v>
      </c>
      <c r="AU330" s="13">
        <v>2014.0</v>
      </c>
      <c r="AV330" s="13">
        <v>369.0</v>
      </c>
      <c r="AW330" s="13">
        <v>1643.0</v>
      </c>
      <c r="AX330" s="13" t="s">
        <v>5510</v>
      </c>
      <c r="AY330" s="13" t="s">
        <v>5510</v>
      </c>
      <c r="AZ330" s="13" t="s">
        <v>5646</v>
      </c>
      <c r="BA330" s="13" t="s">
        <v>5510</v>
      </c>
      <c r="BB330" s="13" t="s">
        <v>5510</v>
      </c>
      <c r="BC330" s="13" t="s">
        <v>5510</v>
      </c>
      <c r="BD330" s="13">
        <v>2.0130191E7</v>
      </c>
      <c r="BE330" s="13" t="s">
        <v>11612</v>
      </c>
      <c r="BF330" s="52" t="str">
        <f>HYPERLINK("http://dx.doi.org/10.1098/rstb.2013.0191","http://dx.doi.org/10.1098/rstb.2013.0191")</f>
        <v>http://dx.doi.org/10.1098/rstb.2013.0191</v>
      </c>
      <c r="BG330" s="13" t="s">
        <v>5510</v>
      </c>
      <c r="BH330" s="13" t="s">
        <v>5510</v>
      </c>
      <c r="BI330" s="13">
        <v>12.0</v>
      </c>
      <c r="BJ330" s="13" t="s">
        <v>7022</v>
      </c>
      <c r="BK330" s="13" t="s">
        <v>5561</v>
      </c>
      <c r="BL330" s="13" t="s">
        <v>7023</v>
      </c>
      <c r="BM330" s="13" t="s">
        <v>11613</v>
      </c>
      <c r="BN330" s="13">
        <v>2.4733946E7</v>
      </c>
      <c r="BO330" s="13" t="s">
        <v>5809</v>
      </c>
      <c r="BP330" s="13" t="s">
        <v>5510</v>
      </c>
      <c r="BQ330" s="13" t="s">
        <v>5510</v>
      </c>
      <c r="BR330" s="13" t="s">
        <v>5538</v>
      </c>
      <c r="BS330" s="13" t="s">
        <v>11614</v>
      </c>
      <c r="BT330" s="13">
        <v>23780.0</v>
      </c>
      <c r="BU330" s="13" t="s">
        <v>5540</v>
      </c>
      <c r="BV330" s="13" t="s">
        <v>4856</v>
      </c>
      <c r="BW330" s="13" t="str">
        <f>VLOOKUP($BT330,Enriched!$A$2:$E$1070,5,false)</f>
        <v>["Energy Production &amp; Mining"]</v>
      </c>
      <c r="BX330" s="13" t="str">
        <f>VLOOKUP($BT330,Enriched!$A$2:$E$1070,4,false)</f>
        <v>["Oil &amp; gas drilling"]</v>
      </c>
      <c r="BY330" s="13" t="b">
        <f>VLOOKUP(BT330,Enriched!$A$1:$AA$1070,27,falsE)</f>
        <v>0</v>
      </c>
      <c r="BZ330" s="2" t="str">
        <f>VLOOKUP(BT330,Enriched!$A$1:$AA$1070,14,falsE)</f>
        <v>level2</v>
      </c>
      <c r="CA330" s="13" t="str">
        <f>HYPERLINK("https%3A%2F%2Fwww.webofscience.com%2Fwos%2Fwoscc%2Ffull-record%2FWOS:000334594400002","View Full Record in Web of Science")</f>
        <v>View Full Record in Web of Science</v>
      </c>
    </row>
    <row r="331" ht="12.75" customHeight="1">
      <c r="A331" s="13" t="s">
        <v>5508</v>
      </c>
      <c r="B331" s="13" t="s">
        <v>11615</v>
      </c>
      <c r="C331" s="13" t="s">
        <v>5510</v>
      </c>
      <c r="D331" s="13" t="s">
        <v>5510</v>
      </c>
      <c r="E331" s="13" t="s">
        <v>5510</v>
      </c>
      <c r="F331" s="13" t="s">
        <v>11616</v>
      </c>
      <c r="G331" s="13" t="s">
        <v>5510</v>
      </c>
      <c r="H331" s="13" t="s">
        <v>5510</v>
      </c>
      <c r="I331" s="13" t="s">
        <v>11617</v>
      </c>
      <c r="J331" s="13" t="s">
        <v>5543</v>
      </c>
      <c r="K331" s="13" t="s">
        <v>5510</v>
      </c>
      <c r="L331" s="13" t="s">
        <v>5510</v>
      </c>
      <c r="M331" s="13" t="s">
        <v>5513</v>
      </c>
      <c r="N331" s="13" t="s">
        <v>5514</v>
      </c>
      <c r="O331" s="13" t="s">
        <v>5510</v>
      </c>
      <c r="P331" s="13" t="s">
        <v>5510</v>
      </c>
      <c r="Q331" s="13" t="s">
        <v>5510</v>
      </c>
      <c r="R331" s="13" t="s">
        <v>5510</v>
      </c>
      <c r="S331" s="13" t="s">
        <v>5510</v>
      </c>
      <c r="T331" s="13" t="s">
        <v>5510</v>
      </c>
      <c r="U331" s="13" t="s">
        <v>11618</v>
      </c>
      <c r="V331" s="13" t="s">
        <v>11619</v>
      </c>
      <c r="W331" s="13" t="s">
        <v>11620</v>
      </c>
      <c r="X331" s="13" t="s">
        <v>5948</v>
      </c>
      <c r="Y331" s="13" t="s">
        <v>11621</v>
      </c>
      <c r="Z331" s="13" t="s">
        <v>11622</v>
      </c>
      <c r="AA331" s="13" t="s">
        <v>11623</v>
      </c>
      <c r="AB331" s="13" t="s">
        <v>11624</v>
      </c>
      <c r="AC331" s="13" t="s">
        <v>11625</v>
      </c>
      <c r="AD331" s="13" t="s">
        <v>11625</v>
      </c>
      <c r="AE331" s="13" t="s">
        <v>11626</v>
      </c>
      <c r="AF331" s="13" t="s">
        <v>5510</v>
      </c>
      <c r="AG331" s="13">
        <v>56.0</v>
      </c>
      <c r="AH331" s="13">
        <v>365.0</v>
      </c>
      <c r="AI331" s="13">
        <v>420.0</v>
      </c>
      <c r="AJ331" s="13">
        <v>0.0</v>
      </c>
      <c r="AK331" s="13">
        <v>179.0</v>
      </c>
      <c r="AL331" s="13" t="s">
        <v>5552</v>
      </c>
      <c r="AM331" s="13" t="s">
        <v>5553</v>
      </c>
      <c r="AN331" s="13" t="s">
        <v>5554</v>
      </c>
      <c r="AO331" s="13" t="s">
        <v>5555</v>
      </c>
      <c r="AP331" s="13" t="s">
        <v>5510</v>
      </c>
      <c r="AQ331" s="13" t="s">
        <v>5510</v>
      </c>
      <c r="AR331" s="13" t="s">
        <v>5543</v>
      </c>
      <c r="AS331" s="13" t="s">
        <v>5556</v>
      </c>
      <c r="AT331" s="13" t="s">
        <v>5602</v>
      </c>
      <c r="AU331" s="13">
        <v>2008.0</v>
      </c>
      <c r="AV331" s="13">
        <v>3.0</v>
      </c>
      <c r="AW331" s="13">
        <v>8.0</v>
      </c>
      <c r="AX331" s="13" t="s">
        <v>5510</v>
      </c>
      <c r="AY331" s="13" t="s">
        <v>5510</v>
      </c>
      <c r="AZ331" s="13" t="s">
        <v>5510</v>
      </c>
      <c r="BA331" s="13" t="s">
        <v>5510</v>
      </c>
      <c r="BB331" s="13" t="s">
        <v>5510</v>
      </c>
      <c r="BC331" s="13" t="s">
        <v>5510</v>
      </c>
      <c r="BD331" s="13" t="s">
        <v>11627</v>
      </c>
      <c r="BE331" s="13" t="s">
        <v>11628</v>
      </c>
      <c r="BF331" s="52" t="str">
        <f>HYPERLINK("http://dx.doi.org/10.1371/journal.pone.0002932","http://dx.doi.org/10.1371/journal.pone.0002932")</f>
        <v>http://dx.doi.org/10.1371/journal.pone.0002932</v>
      </c>
      <c r="BG331" s="13" t="s">
        <v>5510</v>
      </c>
      <c r="BH331" s="13" t="s">
        <v>5510</v>
      </c>
      <c r="BI331" s="13">
        <v>9.0</v>
      </c>
      <c r="BJ331" s="13" t="s">
        <v>5560</v>
      </c>
      <c r="BK331" s="13" t="s">
        <v>5534</v>
      </c>
      <c r="BL331" s="13" t="s">
        <v>5562</v>
      </c>
      <c r="BM331" s="13" t="s">
        <v>11629</v>
      </c>
      <c r="BN331" s="13">
        <v>1.8716679E7</v>
      </c>
      <c r="BO331" s="13" t="s">
        <v>5564</v>
      </c>
      <c r="BP331" s="13" t="s">
        <v>5510</v>
      </c>
      <c r="BQ331" s="13" t="s">
        <v>5510</v>
      </c>
      <c r="BR331" s="13" t="s">
        <v>5538</v>
      </c>
      <c r="BS331" s="13" t="s">
        <v>11630</v>
      </c>
      <c r="BT331" s="13">
        <v>23905.0</v>
      </c>
      <c r="BU331" s="13" t="s">
        <v>5540</v>
      </c>
      <c r="BV331" s="13" t="s">
        <v>4856</v>
      </c>
      <c r="BW331" s="13" t="str">
        <f>VLOOKUP($BT331,Enriched!$A$2:$E$1070,5,false)</f>
        <v>["Energy Production &amp; Mining", "Transportation &amp; Service Corridors"]</v>
      </c>
      <c r="BX331" s="13" t="str">
        <f>VLOOKUP($BT331,Enriched!$A$2:$E$1070,4,false)</f>
        <v>["Oil &amp; gas drilling", "Utility &amp; service lines"]</v>
      </c>
      <c r="BY331" s="13" t="b">
        <f>VLOOKUP(BT331,Enriched!$A$1:$AA$1070,27,falsE)</f>
        <v>0</v>
      </c>
      <c r="BZ331" s="2" t="str">
        <f>VLOOKUP(BT331,Enriched!$A$1:$AA$1070,14,falsE)</f>
        <v>level2</v>
      </c>
      <c r="CA331" s="13" t="str">
        <f>HYPERLINK("https%3A%2F%2Fwww.webofscience.com%2Fwos%2Fwoscc%2Ffull-record%2FWOS:000264412600018","View Full Record in Web of Science")</f>
        <v>View Full Record in Web of Science</v>
      </c>
    </row>
    <row r="332" ht="12.75" customHeight="1">
      <c r="A332" s="13" t="s">
        <v>5508</v>
      </c>
      <c r="B332" s="13" t="s">
        <v>11631</v>
      </c>
      <c r="C332" s="13" t="s">
        <v>5510</v>
      </c>
      <c r="D332" s="13" t="s">
        <v>5510</v>
      </c>
      <c r="E332" s="13" t="s">
        <v>5510</v>
      </c>
      <c r="F332" s="13" t="s">
        <v>11632</v>
      </c>
      <c r="G332" s="13" t="s">
        <v>5510</v>
      </c>
      <c r="H332" s="13" t="s">
        <v>5510</v>
      </c>
      <c r="I332" s="13" t="s">
        <v>2062</v>
      </c>
      <c r="J332" s="13" t="s">
        <v>5895</v>
      </c>
      <c r="K332" s="13" t="s">
        <v>5510</v>
      </c>
      <c r="L332" s="13" t="s">
        <v>5510</v>
      </c>
      <c r="M332" s="13" t="s">
        <v>5513</v>
      </c>
      <c r="N332" s="13" t="s">
        <v>5514</v>
      </c>
      <c r="O332" s="13" t="s">
        <v>5510</v>
      </c>
      <c r="P332" s="13" t="s">
        <v>5510</v>
      </c>
      <c r="Q332" s="13" t="s">
        <v>5510</v>
      </c>
      <c r="R332" s="13" t="s">
        <v>5510</v>
      </c>
      <c r="S332" s="13" t="s">
        <v>5510</v>
      </c>
      <c r="T332" s="13" t="s">
        <v>11633</v>
      </c>
      <c r="U332" s="13" t="s">
        <v>11634</v>
      </c>
      <c r="V332" s="13" t="s">
        <v>11635</v>
      </c>
      <c r="W332" s="13" t="s">
        <v>11636</v>
      </c>
      <c r="X332" s="13" t="s">
        <v>11637</v>
      </c>
      <c r="Y332" s="13" t="s">
        <v>11638</v>
      </c>
      <c r="Z332" s="13" t="s">
        <v>9180</v>
      </c>
      <c r="AA332" s="13" t="s">
        <v>11639</v>
      </c>
      <c r="AB332" s="13" t="s">
        <v>11640</v>
      </c>
      <c r="AC332" s="13" t="s">
        <v>11641</v>
      </c>
      <c r="AD332" s="13" t="s">
        <v>11642</v>
      </c>
      <c r="AE332" s="13" t="s">
        <v>11643</v>
      </c>
      <c r="AF332" s="13" t="s">
        <v>5510</v>
      </c>
      <c r="AG332" s="13">
        <v>32.0</v>
      </c>
      <c r="AH332" s="13">
        <v>204.0</v>
      </c>
      <c r="AI332" s="13">
        <v>230.0</v>
      </c>
      <c r="AJ332" s="13">
        <v>6.0</v>
      </c>
      <c r="AK332" s="13">
        <v>199.0</v>
      </c>
      <c r="AL332" s="13" t="s">
        <v>5907</v>
      </c>
      <c r="AM332" s="13" t="s">
        <v>5908</v>
      </c>
      <c r="AN332" s="13" t="s">
        <v>5909</v>
      </c>
      <c r="AO332" s="13" t="s">
        <v>5910</v>
      </c>
      <c r="AP332" s="13" t="s">
        <v>5510</v>
      </c>
      <c r="AQ332" s="13" t="s">
        <v>5510</v>
      </c>
      <c r="AR332" s="13" t="s">
        <v>5911</v>
      </c>
      <c r="AS332" s="13" t="s">
        <v>5912</v>
      </c>
      <c r="AT332" s="13" t="s">
        <v>9357</v>
      </c>
      <c r="AU332" s="13">
        <v>2016.0</v>
      </c>
      <c r="AV332" s="13">
        <v>113.0</v>
      </c>
      <c r="AW332" s="13">
        <v>6.0</v>
      </c>
      <c r="AX332" s="13" t="s">
        <v>5510</v>
      </c>
      <c r="AY332" s="13" t="s">
        <v>5510</v>
      </c>
      <c r="AZ332" s="13" t="s">
        <v>5510</v>
      </c>
      <c r="BA332" s="13" t="s">
        <v>5510</v>
      </c>
      <c r="BB332" s="13">
        <v>1582.0</v>
      </c>
      <c r="BC332" s="13">
        <v>1587.0</v>
      </c>
      <c r="BD332" s="13" t="s">
        <v>5510</v>
      </c>
      <c r="BE332" s="13" t="s">
        <v>11644</v>
      </c>
      <c r="BF332" s="52" t="str">
        <f>HYPERLINK("http://dx.doi.org/10.1073/pnas.1510090113","http://dx.doi.org/10.1073/pnas.1510090113")</f>
        <v>http://dx.doi.org/10.1073/pnas.1510090113</v>
      </c>
      <c r="BG332" s="13" t="s">
        <v>5510</v>
      </c>
      <c r="BH332" s="13" t="s">
        <v>5510</v>
      </c>
      <c r="BI332" s="13">
        <v>6.0</v>
      </c>
      <c r="BJ332" s="13" t="s">
        <v>5560</v>
      </c>
      <c r="BK332" s="13" t="s">
        <v>5561</v>
      </c>
      <c r="BL332" s="13" t="s">
        <v>5562</v>
      </c>
      <c r="BM332" s="13" t="s">
        <v>11645</v>
      </c>
      <c r="BN332" s="13">
        <v>2.6811467E7</v>
      </c>
      <c r="BO332" s="13" t="s">
        <v>5587</v>
      </c>
      <c r="BP332" s="13" t="s">
        <v>5510</v>
      </c>
      <c r="BQ332" s="13" t="s">
        <v>5510</v>
      </c>
      <c r="BR332" s="13" t="s">
        <v>5538</v>
      </c>
      <c r="BS332" s="13" t="s">
        <v>11646</v>
      </c>
      <c r="BT332" s="13">
        <v>25246.0</v>
      </c>
      <c r="BU332" s="13" t="s">
        <v>5540</v>
      </c>
      <c r="BV332" s="13" t="s">
        <v>4864</v>
      </c>
      <c r="BW332" s="13" t="str">
        <f>VLOOKUP($BT332,Enriched!$A$2:$E$1070,5,false)</f>
        <v>["Biological resource use"]</v>
      </c>
      <c r="BX332" s="13" t="str">
        <f>VLOOKUP($BT332,Enriched!$A$2:$E$1070,4,false)</f>
        <v>["Fishing &amp; harvesting aquatic resources"]</v>
      </c>
      <c r="BY332" s="13" t="b">
        <f>VLOOKUP(BT332,Enriched!$A$1:$AA$1070,27,falsE)</f>
        <v>0</v>
      </c>
      <c r="BZ332" s="2" t="str">
        <f>VLOOKUP(BT332,Enriched!$A$1:$AA$1070,14,falsE)</f>
        <v>level2</v>
      </c>
      <c r="CA332" s="13" t="str">
        <f>HYPERLINK("https%3A%2F%2Fwww.webofscience.com%2Fwos%2Fwoscc%2Ffull-record%2FWOS:000369571700045","View Full Record in Web of Science")</f>
        <v>View Full Record in Web of Science</v>
      </c>
    </row>
    <row r="333" ht="12.75" customHeight="1">
      <c r="A333" s="13" t="s">
        <v>5508</v>
      </c>
      <c r="B333" s="13" t="s">
        <v>11647</v>
      </c>
      <c r="C333" s="13" t="s">
        <v>5510</v>
      </c>
      <c r="D333" s="13" t="s">
        <v>5510</v>
      </c>
      <c r="E333" s="13" t="s">
        <v>5510</v>
      </c>
      <c r="F333" s="13" t="s">
        <v>11648</v>
      </c>
      <c r="G333" s="13" t="s">
        <v>5510</v>
      </c>
      <c r="H333" s="13" t="s">
        <v>5510</v>
      </c>
      <c r="I333" s="13" t="s">
        <v>2061</v>
      </c>
      <c r="J333" s="13" t="s">
        <v>5543</v>
      </c>
      <c r="K333" s="13" t="s">
        <v>5510</v>
      </c>
      <c r="L333" s="13" t="s">
        <v>5510</v>
      </c>
      <c r="M333" s="13" t="s">
        <v>5513</v>
      </c>
      <c r="N333" s="13" t="s">
        <v>5514</v>
      </c>
      <c r="O333" s="13" t="s">
        <v>5510</v>
      </c>
      <c r="P333" s="13" t="s">
        <v>5510</v>
      </c>
      <c r="Q333" s="13" t="s">
        <v>5510</v>
      </c>
      <c r="R333" s="13" t="s">
        <v>5510</v>
      </c>
      <c r="S333" s="13" t="s">
        <v>5510</v>
      </c>
      <c r="T333" s="13" t="s">
        <v>5510</v>
      </c>
      <c r="U333" s="13" t="s">
        <v>11649</v>
      </c>
      <c r="V333" s="13" t="s">
        <v>11650</v>
      </c>
      <c r="W333" s="13" t="s">
        <v>11651</v>
      </c>
      <c r="X333" s="13" t="s">
        <v>11652</v>
      </c>
      <c r="Y333" s="13" t="s">
        <v>11653</v>
      </c>
      <c r="Z333" s="13" t="s">
        <v>11654</v>
      </c>
      <c r="AA333" s="13" t="s">
        <v>11655</v>
      </c>
      <c r="AB333" s="13" t="s">
        <v>11656</v>
      </c>
      <c r="AC333" s="13" t="s">
        <v>11657</v>
      </c>
      <c r="AD333" s="13" t="s">
        <v>11658</v>
      </c>
      <c r="AE333" s="13" t="s">
        <v>11659</v>
      </c>
      <c r="AF333" s="13" t="s">
        <v>5510</v>
      </c>
      <c r="AG333" s="13">
        <v>64.0</v>
      </c>
      <c r="AH333" s="13">
        <v>32.0</v>
      </c>
      <c r="AI333" s="13">
        <v>34.0</v>
      </c>
      <c r="AJ333" s="13">
        <v>1.0</v>
      </c>
      <c r="AK333" s="13">
        <v>29.0</v>
      </c>
      <c r="AL333" s="13" t="s">
        <v>5552</v>
      </c>
      <c r="AM333" s="13" t="s">
        <v>5553</v>
      </c>
      <c r="AN333" s="13" t="s">
        <v>5554</v>
      </c>
      <c r="AO333" s="13" t="s">
        <v>5555</v>
      </c>
      <c r="AP333" s="13" t="s">
        <v>5510</v>
      </c>
      <c r="AQ333" s="13" t="s">
        <v>5510</v>
      </c>
      <c r="AR333" s="13" t="s">
        <v>5543</v>
      </c>
      <c r="AS333" s="13" t="s">
        <v>5556</v>
      </c>
      <c r="AT333" s="13" t="s">
        <v>11660</v>
      </c>
      <c r="AU333" s="13">
        <v>2018.0</v>
      </c>
      <c r="AV333" s="13">
        <v>13.0</v>
      </c>
      <c r="AW333" s="13">
        <v>12.0</v>
      </c>
      <c r="AX333" s="13" t="s">
        <v>5510</v>
      </c>
      <c r="AY333" s="13" t="s">
        <v>5510</v>
      </c>
      <c r="AZ333" s="13" t="s">
        <v>5510</v>
      </c>
      <c r="BA333" s="13" t="s">
        <v>5510</v>
      </c>
      <c r="BB333" s="13" t="s">
        <v>5510</v>
      </c>
      <c r="BC333" s="13" t="s">
        <v>5510</v>
      </c>
      <c r="BD333" s="13" t="s">
        <v>11661</v>
      </c>
      <c r="BE333" s="13" t="s">
        <v>11662</v>
      </c>
      <c r="BF333" s="52" t="str">
        <f>HYPERLINK("http://dx.doi.org/10.1371/journal.pone.0208338","http://dx.doi.org/10.1371/journal.pone.0208338")</f>
        <v>http://dx.doi.org/10.1371/journal.pone.0208338</v>
      </c>
      <c r="BG333" s="13" t="s">
        <v>5510</v>
      </c>
      <c r="BH333" s="13" t="s">
        <v>5510</v>
      </c>
      <c r="BI333" s="13">
        <v>21.0</v>
      </c>
      <c r="BJ333" s="13" t="s">
        <v>5560</v>
      </c>
      <c r="BK333" s="13" t="s">
        <v>5561</v>
      </c>
      <c r="BL333" s="13" t="s">
        <v>5562</v>
      </c>
      <c r="BM333" s="13" t="s">
        <v>11663</v>
      </c>
      <c r="BN333" s="13">
        <v>3.0562357E7</v>
      </c>
      <c r="BO333" s="13" t="s">
        <v>8477</v>
      </c>
      <c r="BP333" s="13" t="s">
        <v>5510</v>
      </c>
      <c r="BQ333" s="13" t="s">
        <v>5510</v>
      </c>
      <c r="BR333" s="13" t="s">
        <v>5538</v>
      </c>
      <c r="BS333" s="13" t="s">
        <v>11664</v>
      </c>
      <c r="BT333" s="13">
        <v>25866.0</v>
      </c>
      <c r="BU333" s="13" t="s">
        <v>5540</v>
      </c>
      <c r="BV333" s="13" t="s">
        <v>4864</v>
      </c>
      <c r="BW333" s="13" t="str">
        <f>VLOOKUP($BT333,Enriched!$A$2:$E$1070,5,false)</f>
        <v>["Biological resource use"]</v>
      </c>
      <c r="BX333" s="13" t="str">
        <f>VLOOKUP($BT333,Enriched!$A$2:$E$1070,4,false)</f>
        <v>["Fishing &amp; harvesting aquatic resources"]</v>
      </c>
      <c r="BY333" s="13" t="b">
        <f>VLOOKUP(BT333,Enriched!$A$1:$AA$1070,27,falsE)</f>
        <v>0</v>
      </c>
      <c r="BZ333" s="2" t="str">
        <f>VLOOKUP(BT333,Enriched!$A$1:$AA$1070,14,falsE)</f>
        <v>level2</v>
      </c>
      <c r="CA333" s="13" t="str">
        <f>HYPERLINK("https%3A%2F%2Fwww.webofscience.com%2Fwos%2Fwoscc%2Ffull-record%2FWOS:000453774100013","View Full Record in Web of Science")</f>
        <v>View Full Record in Web of Science</v>
      </c>
    </row>
    <row r="334" ht="12.75" customHeight="1">
      <c r="A334" s="13" t="s">
        <v>5508</v>
      </c>
      <c r="B334" s="13" t="s">
        <v>11665</v>
      </c>
      <c r="C334" s="13" t="s">
        <v>5510</v>
      </c>
      <c r="D334" s="13" t="s">
        <v>5510</v>
      </c>
      <c r="E334" s="13" t="s">
        <v>5510</v>
      </c>
      <c r="F334" s="13" t="s">
        <v>11666</v>
      </c>
      <c r="G334" s="13" t="s">
        <v>5510</v>
      </c>
      <c r="H334" s="13" t="s">
        <v>5510</v>
      </c>
      <c r="I334" s="13" t="s">
        <v>11667</v>
      </c>
      <c r="J334" s="13" t="s">
        <v>7300</v>
      </c>
      <c r="K334" s="13" t="s">
        <v>5510</v>
      </c>
      <c r="L334" s="13" t="s">
        <v>5510</v>
      </c>
      <c r="M334" s="13" t="s">
        <v>5513</v>
      </c>
      <c r="N334" s="13" t="s">
        <v>5514</v>
      </c>
      <c r="O334" s="13" t="s">
        <v>5510</v>
      </c>
      <c r="P334" s="13" t="s">
        <v>5510</v>
      </c>
      <c r="Q334" s="13" t="s">
        <v>5510</v>
      </c>
      <c r="R334" s="13" t="s">
        <v>5510</v>
      </c>
      <c r="S334" s="13" t="s">
        <v>5510</v>
      </c>
      <c r="T334" s="13" t="s">
        <v>11668</v>
      </c>
      <c r="U334" s="13" t="s">
        <v>11669</v>
      </c>
      <c r="V334" s="13" t="s">
        <v>11670</v>
      </c>
      <c r="W334" s="13" t="s">
        <v>11671</v>
      </c>
      <c r="X334" s="13" t="s">
        <v>11672</v>
      </c>
      <c r="Y334" s="13" t="s">
        <v>11673</v>
      </c>
      <c r="Z334" s="13" t="s">
        <v>11674</v>
      </c>
      <c r="AA334" s="13" t="s">
        <v>11675</v>
      </c>
      <c r="AB334" s="13" t="s">
        <v>11676</v>
      </c>
      <c r="AC334" s="13" t="s">
        <v>11677</v>
      </c>
      <c r="AD334" s="13" t="s">
        <v>11678</v>
      </c>
      <c r="AE334" s="13" t="s">
        <v>11679</v>
      </c>
      <c r="AF334" s="13" t="s">
        <v>5510</v>
      </c>
      <c r="AG334" s="13">
        <v>166.0</v>
      </c>
      <c r="AH334" s="13">
        <v>22.0</v>
      </c>
      <c r="AI334" s="13">
        <v>24.0</v>
      </c>
      <c r="AJ334" s="13">
        <v>3.0</v>
      </c>
      <c r="AK334" s="13">
        <v>46.0</v>
      </c>
      <c r="AL334" s="13" t="s">
        <v>6849</v>
      </c>
      <c r="AM334" s="13" t="s">
        <v>6850</v>
      </c>
      <c r="AN334" s="13" t="s">
        <v>6851</v>
      </c>
      <c r="AO334" s="13" t="s">
        <v>5510</v>
      </c>
      <c r="AP334" s="13" t="s">
        <v>7313</v>
      </c>
      <c r="AQ334" s="13" t="s">
        <v>5510</v>
      </c>
      <c r="AR334" s="13" t="s">
        <v>7314</v>
      </c>
      <c r="AS334" s="13" t="s">
        <v>7315</v>
      </c>
      <c r="AT334" s="13" t="s">
        <v>5720</v>
      </c>
      <c r="AU334" s="13">
        <v>2018.0</v>
      </c>
      <c r="AV334" s="13">
        <v>10.0</v>
      </c>
      <c r="AW334" s="13">
        <v>6.0</v>
      </c>
      <c r="AX334" s="13" t="s">
        <v>5510</v>
      </c>
      <c r="AY334" s="13" t="s">
        <v>5510</v>
      </c>
      <c r="AZ334" s="13" t="s">
        <v>5510</v>
      </c>
      <c r="BA334" s="13" t="s">
        <v>5510</v>
      </c>
      <c r="BB334" s="13" t="s">
        <v>5510</v>
      </c>
      <c r="BC334" s="13" t="s">
        <v>5510</v>
      </c>
      <c r="BD334" s="13">
        <v>897.0</v>
      </c>
      <c r="BE334" s="13" t="s">
        <v>11680</v>
      </c>
      <c r="BF334" s="52" t="str">
        <f>HYPERLINK("http://dx.doi.org/10.3390/rs10060897","http://dx.doi.org/10.3390/rs10060897")</f>
        <v>http://dx.doi.org/10.3390/rs10060897</v>
      </c>
      <c r="BG334" s="13" t="s">
        <v>5510</v>
      </c>
      <c r="BH334" s="13" t="s">
        <v>5510</v>
      </c>
      <c r="BI334" s="13">
        <v>34.0</v>
      </c>
      <c r="BJ334" s="13" t="s">
        <v>7317</v>
      </c>
      <c r="BK334" s="13" t="s">
        <v>5561</v>
      </c>
      <c r="BL334" s="13" t="s">
        <v>7318</v>
      </c>
      <c r="BM334" s="13" t="s">
        <v>11681</v>
      </c>
      <c r="BN334" s="13" t="s">
        <v>5510</v>
      </c>
      <c r="BO334" s="13" t="s">
        <v>5564</v>
      </c>
      <c r="BP334" s="13" t="s">
        <v>5510</v>
      </c>
      <c r="BQ334" s="13" t="s">
        <v>5510</v>
      </c>
      <c r="BR334" s="13" t="s">
        <v>5538</v>
      </c>
      <c r="BS334" s="13" t="s">
        <v>11682</v>
      </c>
      <c r="BT334" s="13">
        <v>25030.0</v>
      </c>
      <c r="BU334" s="13" t="s">
        <v>11683</v>
      </c>
      <c r="BV334" s="13" t="s">
        <v>4856</v>
      </c>
      <c r="BW334" s="13" t="str">
        <f>VLOOKUP($BT334,Enriched!$A$2:$E$1070,5,false)</f>
        <v>["Pollution"]</v>
      </c>
      <c r="BX334" s="13" t="str">
        <f>VLOOKUP($BT334,Enriched!$A$2:$E$1070,4,false)</f>
        <v>["Industrial &amp; military effluents"]</v>
      </c>
      <c r="BY334" s="13" t="b">
        <f>VLOOKUP(BT334,Enriched!$A$1:$AA$1070,27,falsE)</f>
        <v>0</v>
      </c>
      <c r="BZ334" s="2" t="str">
        <f>VLOOKUP(BT334,Enriched!$A$1:$AA$1070,14,falsE)</f>
        <v>level2</v>
      </c>
      <c r="CA334" s="13" t="str">
        <f>HYPERLINK("https%3A%2F%2Fwww.webofscience.com%2Fwos%2Fwoscc%2Ffull-record%2FWOS:000436561800091","View Full Record in Web of Science")</f>
        <v>View Full Record in Web of Science</v>
      </c>
    </row>
    <row r="335" ht="12.75" customHeight="1">
      <c r="A335" s="13" t="s">
        <v>5508</v>
      </c>
      <c r="B335" s="13" t="s">
        <v>11684</v>
      </c>
      <c r="C335" s="13" t="s">
        <v>5510</v>
      </c>
      <c r="D335" s="13" t="s">
        <v>5510</v>
      </c>
      <c r="E335" s="13" t="s">
        <v>5510</v>
      </c>
      <c r="F335" s="13" t="s">
        <v>11685</v>
      </c>
      <c r="G335" s="13" t="s">
        <v>5510</v>
      </c>
      <c r="H335" s="13" t="s">
        <v>5510</v>
      </c>
      <c r="I335" s="13" t="s">
        <v>2055</v>
      </c>
      <c r="J335" s="13" t="s">
        <v>11686</v>
      </c>
      <c r="K335" s="13" t="s">
        <v>5510</v>
      </c>
      <c r="L335" s="13" t="s">
        <v>5510</v>
      </c>
      <c r="M335" s="13" t="s">
        <v>5513</v>
      </c>
      <c r="N335" s="13" t="s">
        <v>5514</v>
      </c>
      <c r="O335" s="13" t="s">
        <v>5510</v>
      </c>
      <c r="P335" s="13" t="s">
        <v>5510</v>
      </c>
      <c r="Q335" s="13" t="s">
        <v>5510</v>
      </c>
      <c r="R335" s="13" t="s">
        <v>5510</v>
      </c>
      <c r="S335" s="13" t="s">
        <v>5510</v>
      </c>
      <c r="T335" s="13" t="s">
        <v>11687</v>
      </c>
      <c r="U335" s="13" t="s">
        <v>11688</v>
      </c>
      <c r="V335" s="13" t="s">
        <v>11689</v>
      </c>
      <c r="W335" s="13" t="s">
        <v>11690</v>
      </c>
      <c r="X335" s="13" t="s">
        <v>11691</v>
      </c>
      <c r="Y335" s="13" t="s">
        <v>11692</v>
      </c>
      <c r="Z335" s="13" t="s">
        <v>11693</v>
      </c>
      <c r="AA335" s="13" t="s">
        <v>11694</v>
      </c>
      <c r="AB335" s="13" t="s">
        <v>11695</v>
      </c>
      <c r="AC335" s="13" t="s">
        <v>11696</v>
      </c>
      <c r="AD335" s="13" t="s">
        <v>11697</v>
      </c>
      <c r="AE335" s="13" t="s">
        <v>11698</v>
      </c>
      <c r="AF335" s="13" t="s">
        <v>5510</v>
      </c>
      <c r="AG335" s="13">
        <v>68.0</v>
      </c>
      <c r="AH335" s="13">
        <v>17.0</v>
      </c>
      <c r="AI335" s="13">
        <v>19.0</v>
      </c>
      <c r="AJ335" s="13">
        <v>1.0</v>
      </c>
      <c r="AK335" s="13">
        <v>33.0</v>
      </c>
      <c r="AL335" s="13" t="s">
        <v>5690</v>
      </c>
      <c r="AM335" s="13" t="s">
        <v>6503</v>
      </c>
      <c r="AN335" s="13" t="s">
        <v>7040</v>
      </c>
      <c r="AO335" s="13" t="s">
        <v>11699</v>
      </c>
      <c r="AP335" s="13" t="s">
        <v>11700</v>
      </c>
      <c r="AQ335" s="13" t="s">
        <v>5510</v>
      </c>
      <c r="AR335" s="13" t="s">
        <v>11686</v>
      </c>
      <c r="AS335" s="13" t="s">
        <v>2056</v>
      </c>
      <c r="AT335" s="13" t="s">
        <v>6828</v>
      </c>
      <c r="AU335" s="13">
        <v>2018.0</v>
      </c>
      <c r="AV335" s="13">
        <v>21.0</v>
      </c>
      <c r="AW335" s="13">
        <v>3.0</v>
      </c>
      <c r="AX335" s="13" t="s">
        <v>5510</v>
      </c>
      <c r="AY335" s="13" t="s">
        <v>5510</v>
      </c>
      <c r="AZ335" s="13" t="s">
        <v>5510</v>
      </c>
      <c r="BA335" s="13" t="s">
        <v>5510</v>
      </c>
      <c r="BB335" s="13">
        <v>395.0</v>
      </c>
      <c r="BC335" s="13">
        <v>409.0</v>
      </c>
      <c r="BD335" s="13" t="s">
        <v>5510</v>
      </c>
      <c r="BE335" s="13" t="s">
        <v>11701</v>
      </c>
      <c r="BF335" s="52" t="str">
        <f>HYPERLINK("http://dx.doi.org/10.1007/s10021-017-0156-6","http://dx.doi.org/10.1007/s10021-017-0156-6")</f>
        <v>http://dx.doi.org/10.1007/s10021-017-0156-6</v>
      </c>
      <c r="BG335" s="13" t="s">
        <v>5510</v>
      </c>
      <c r="BH335" s="13" t="s">
        <v>5510</v>
      </c>
      <c r="BI335" s="13">
        <v>15.0</v>
      </c>
      <c r="BJ335" s="13" t="s">
        <v>5533</v>
      </c>
      <c r="BK335" s="13" t="s">
        <v>5561</v>
      </c>
      <c r="BL335" s="13" t="s">
        <v>5535</v>
      </c>
      <c r="BM335" s="13" t="s">
        <v>11702</v>
      </c>
      <c r="BN335" s="13" t="s">
        <v>5510</v>
      </c>
      <c r="BO335" s="13" t="s">
        <v>5587</v>
      </c>
      <c r="BP335" s="13" t="s">
        <v>5510</v>
      </c>
      <c r="BQ335" s="13" t="s">
        <v>5510</v>
      </c>
      <c r="BR335" s="13" t="s">
        <v>5538</v>
      </c>
      <c r="BS335" s="13" t="s">
        <v>11703</v>
      </c>
      <c r="BT335" s="13">
        <v>25820.0</v>
      </c>
      <c r="BU335" s="13" t="s">
        <v>5540</v>
      </c>
      <c r="BV335" s="13" t="s">
        <v>4852</v>
      </c>
      <c r="BW335" s="13" t="str">
        <f>VLOOKUP($BT335,Enriched!$A$2:$E$1070,5,false)</f>
        <v>["Invasive &amp; other problematic species, genes &amp; diseases"]</v>
      </c>
      <c r="BX335" s="13" t="str">
        <f>VLOOKUP($BT335,Enriched!$A$2:$E$1070,4,false)</f>
        <v>["Invasive non-native/alien species/diseases"]</v>
      </c>
      <c r="BY335" s="13" t="b">
        <f>VLOOKUP(BT335,Enriched!$A$1:$AA$1070,27,falsE)</f>
        <v>0</v>
      </c>
      <c r="BZ335" s="2" t="str">
        <f>VLOOKUP(BT335,Enriched!$A$1:$AA$1070,14,falsE)</f>
        <v>level2</v>
      </c>
      <c r="CA335" s="13" t="str">
        <f>HYPERLINK("https%3A%2F%2Fwww.webofscience.com%2Fwos%2Fwoscc%2Ffull-record%2FWOS:000428556200001","View Full Record in Web of Science")</f>
        <v>View Full Record in Web of Science</v>
      </c>
    </row>
    <row r="336" ht="12.75" customHeight="1">
      <c r="A336" s="13" t="s">
        <v>5508</v>
      </c>
      <c r="B336" s="13" t="s">
        <v>11704</v>
      </c>
      <c r="C336" s="13" t="s">
        <v>5510</v>
      </c>
      <c r="D336" s="13" t="s">
        <v>5510</v>
      </c>
      <c r="E336" s="13" t="s">
        <v>5510</v>
      </c>
      <c r="F336" s="13" t="s">
        <v>11705</v>
      </c>
      <c r="G336" s="13" t="s">
        <v>5510</v>
      </c>
      <c r="H336" s="13" t="s">
        <v>5510</v>
      </c>
      <c r="I336" s="13" t="s">
        <v>11706</v>
      </c>
      <c r="J336" s="13" t="s">
        <v>11707</v>
      </c>
      <c r="K336" s="13" t="s">
        <v>5510</v>
      </c>
      <c r="L336" s="13" t="s">
        <v>5510</v>
      </c>
      <c r="M336" s="13" t="s">
        <v>5513</v>
      </c>
      <c r="N336" s="13" t="s">
        <v>5514</v>
      </c>
      <c r="O336" s="13" t="s">
        <v>5510</v>
      </c>
      <c r="P336" s="13" t="s">
        <v>5510</v>
      </c>
      <c r="Q336" s="13" t="s">
        <v>5510</v>
      </c>
      <c r="R336" s="13" t="s">
        <v>5510</v>
      </c>
      <c r="S336" s="13" t="s">
        <v>5510</v>
      </c>
      <c r="T336" s="13" t="s">
        <v>11708</v>
      </c>
      <c r="U336" s="13" t="s">
        <v>11709</v>
      </c>
      <c r="V336" s="13" t="s">
        <v>11710</v>
      </c>
      <c r="W336" s="13" t="s">
        <v>11711</v>
      </c>
      <c r="X336" s="13" t="s">
        <v>11712</v>
      </c>
      <c r="Y336" s="13" t="s">
        <v>11713</v>
      </c>
      <c r="Z336" s="13" t="s">
        <v>11714</v>
      </c>
      <c r="AA336" s="13" t="s">
        <v>5510</v>
      </c>
      <c r="AB336" s="13" t="s">
        <v>11715</v>
      </c>
      <c r="AC336" s="13" t="s">
        <v>11716</v>
      </c>
      <c r="AD336" s="13" t="s">
        <v>11717</v>
      </c>
      <c r="AE336" s="13" t="s">
        <v>11718</v>
      </c>
      <c r="AF336" s="13" t="s">
        <v>5510</v>
      </c>
      <c r="AG336" s="13">
        <v>47.0</v>
      </c>
      <c r="AH336" s="13">
        <v>4.0</v>
      </c>
      <c r="AI336" s="13">
        <v>6.0</v>
      </c>
      <c r="AJ336" s="13">
        <v>0.0</v>
      </c>
      <c r="AK336" s="13">
        <v>17.0</v>
      </c>
      <c r="AL336" s="13" t="s">
        <v>11719</v>
      </c>
      <c r="AM336" s="13" t="s">
        <v>11720</v>
      </c>
      <c r="AN336" s="13" t="s">
        <v>11721</v>
      </c>
      <c r="AO336" s="13" t="s">
        <v>11722</v>
      </c>
      <c r="AP336" s="13" t="s">
        <v>5510</v>
      </c>
      <c r="AQ336" s="13" t="s">
        <v>5510</v>
      </c>
      <c r="AR336" s="13" t="s">
        <v>11723</v>
      </c>
      <c r="AS336" s="13" t="s">
        <v>11724</v>
      </c>
      <c r="AT336" s="13" t="s">
        <v>5510</v>
      </c>
      <c r="AU336" s="13">
        <v>2008.0</v>
      </c>
      <c r="AV336" s="13">
        <v>141.0</v>
      </c>
      <c r="AW336" s="13">
        <v>2.0</v>
      </c>
      <c r="AX336" s="13" t="s">
        <v>5510</v>
      </c>
      <c r="AY336" s="13" t="s">
        <v>5510</v>
      </c>
      <c r="AZ336" s="13" t="s">
        <v>5510</v>
      </c>
      <c r="BA336" s="13" t="s">
        <v>5510</v>
      </c>
      <c r="BB336" s="13">
        <v>113.0</v>
      </c>
      <c r="BC336" s="13">
        <v>124.0</v>
      </c>
      <c r="BD336" s="13" t="s">
        <v>5510</v>
      </c>
      <c r="BE336" s="13" t="str">
        <f>#REF!</f>
        <v>#REF!</v>
      </c>
      <c r="BF336" s="13" t="s">
        <v>5510</v>
      </c>
      <c r="BG336" s="13" t="s">
        <v>5510</v>
      </c>
      <c r="BH336" s="13" t="s">
        <v>5510</v>
      </c>
      <c r="BI336" s="13">
        <v>12.0</v>
      </c>
      <c r="BJ336" s="13" t="s">
        <v>7394</v>
      </c>
      <c r="BK336" s="13" t="s">
        <v>5561</v>
      </c>
      <c r="BL336" s="13" t="s">
        <v>7394</v>
      </c>
      <c r="BM336" s="13" t="s">
        <v>11725</v>
      </c>
      <c r="BN336" s="13" t="s">
        <v>5510</v>
      </c>
      <c r="BO336" s="13" t="s">
        <v>5510</v>
      </c>
      <c r="BP336" s="13" t="s">
        <v>5510</v>
      </c>
      <c r="BQ336" s="13" t="s">
        <v>5510</v>
      </c>
      <c r="BR336" s="13" t="s">
        <v>5538</v>
      </c>
      <c r="BS336" s="13" t="s">
        <v>11726</v>
      </c>
      <c r="BT336" s="13">
        <v>25166.0</v>
      </c>
      <c r="BU336" s="13" t="s">
        <v>5540</v>
      </c>
      <c r="BV336" s="13" t="s">
        <v>4856</v>
      </c>
      <c r="BW336" s="13" t="str">
        <f>VLOOKUP($BT336,Enriched!$A$2:$E$1070,5,false)</f>
        <v>["Invasive &amp; other problematic species, genes &amp; diseases"]</v>
      </c>
      <c r="BX336" s="13" t="str">
        <f>VLOOKUP($BT336,Enriched!$A$2:$E$1070,4,false)</f>
        <v>["Invasive non-native/alien species/diseases"]</v>
      </c>
      <c r="BY336" s="13" t="b">
        <f>VLOOKUP(BT336,Enriched!$A$1:$AA$1070,27,falsE)</f>
        <v>0</v>
      </c>
      <c r="BZ336" s="2" t="str">
        <f>VLOOKUP(BT336,Enriched!$A$1:$AA$1070,14,falsE)</f>
        <v>level2</v>
      </c>
      <c r="CA336" s="13" t="str">
        <f>HYPERLINK("https%3A%2F%2Fwww.webofscience.com%2Fwos%2Fwoscc%2Ffull-record%2FWOS:000264436600001","View Full Record in Web of Science")</f>
        <v>View Full Record in Web of Science</v>
      </c>
    </row>
    <row r="337" ht="12.75" customHeight="1">
      <c r="A337" s="13" t="s">
        <v>5508</v>
      </c>
      <c r="B337" s="13" t="s">
        <v>11727</v>
      </c>
      <c r="C337" s="13" t="s">
        <v>5510</v>
      </c>
      <c r="D337" s="13" t="s">
        <v>5510</v>
      </c>
      <c r="E337" s="13" t="s">
        <v>5510</v>
      </c>
      <c r="F337" s="13" t="s">
        <v>11728</v>
      </c>
      <c r="G337" s="13" t="s">
        <v>5510</v>
      </c>
      <c r="H337" s="13" t="s">
        <v>5510</v>
      </c>
      <c r="I337" s="13" t="s">
        <v>11729</v>
      </c>
      <c r="J337" s="13" t="s">
        <v>7119</v>
      </c>
      <c r="K337" s="13" t="s">
        <v>5510</v>
      </c>
      <c r="L337" s="13" t="s">
        <v>5510</v>
      </c>
      <c r="M337" s="13" t="s">
        <v>5513</v>
      </c>
      <c r="N337" s="13" t="s">
        <v>5626</v>
      </c>
      <c r="O337" s="13" t="s">
        <v>11730</v>
      </c>
      <c r="P337" s="13" t="s">
        <v>11731</v>
      </c>
      <c r="Q337" s="13" t="s">
        <v>11732</v>
      </c>
      <c r="R337" s="13" t="s">
        <v>11733</v>
      </c>
      <c r="S337" s="13" t="s">
        <v>5510</v>
      </c>
      <c r="T337" s="13" t="s">
        <v>11734</v>
      </c>
      <c r="U337" s="13" t="s">
        <v>11735</v>
      </c>
      <c r="V337" s="13" t="s">
        <v>11736</v>
      </c>
      <c r="W337" s="13" t="s">
        <v>11737</v>
      </c>
      <c r="X337" s="13" t="s">
        <v>11738</v>
      </c>
      <c r="Y337" s="13" t="s">
        <v>11739</v>
      </c>
      <c r="Z337" s="13" t="s">
        <v>11740</v>
      </c>
      <c r="AA337" s="13" t="s">
        <v>11741</v>
      </c>
      <c r="AB337" s="13" t="s">
        <v>11742</v>
      </c>
      <c r="AC337" s="13" t="s">
        <v>11743</v>
      </c>
      <c r="AD337" s="13" t="s">
        <v>11743</v>
      </c>
      <c r="AE337" s="13" t="s">
        <v>11744</v>
      </c>
      <c r="AF337" s="13" t="s">
        <v>5510</v>
      </c>
      <c r="AG337" s="13">
        <v>66.0</v>
      </c>
      <c r="AH337" s="13">
        <v>6.0</v>
      </c>
      <c r="AI337" s="13">
        <v>6.0</v>
      </c>
      <c r="AJ337" s="13">
        <v>1.0</v>
      </c>
      <c r="AK337" s="13">
        <v>28.0</v>
      </c>
      <c r="AL337" s="13" t="s">
        <v>7129</v>
      </c>
      <c r="AM337" s="13" t="s">
        <v>7130</v>
      </c>
      <c r="AN337" s="13" t="s">
        <v>7131</v>
      </c>
      <c r="AO337" s="13" t="s">
        <v>7132</v>
      </c>
      <c r="AP337" s="13" t="s">
        <v>5510</v>
      </c>
      <c r="AQ337" s="13" t="s">
        <v>5510</v>
      </c>
      <c r="AR337" s="13" t="s">
        <v>7133</v>
      </c>
      <c r="AS337" s="13" t="s">
        <v>7134</v>
      </c>
      <c r="AT337" s="13" t="s">
        <v>1925</v>
      </c>
      <c r="AU337" s="13">
        <v>2017.0</v>
      </c>
      <c r="AV337" s="13">
        <v>8.0</v>
      </c>
      <c r="AW337" s="13">
        <v>3.0</v>
      </c>
      <c r="AX337" s="13" t="s">
        <v>5510</v>
      </c>
      <c r="AY337" s="13" t="s">
        <v>5510</v>
      </c>
      <c r="AZ337" s="13" t="s">
        <v>5646</v>
      </c>
      <c r="BA337" s="13" t="s">
        <v>5510</v>
      </c>
      <c r="BB337" s="13">
        <v>443.0</v>
      </c>
      <c r="BC337" s="13">
        <v>454.0</v>
      </c>
      <c r="BD337" s="13" t="s">
        <v>5510</v>
      </c>
      <c r="BE337" s="13" t="s">
        <v>11745</v>
      </c>
      <c r="BF337" s="52" t="str">
        <f>HYPERLINK("http://dx.doi.org/10.3391/mbi.2017.8.3.18","http://dx.doi.org/10.3391/mbi.2017.8.3.18")</f>
        <v>http://dx.doi.org/10.3391/mbi.2017.8.3.18</v>
      </c>
      <c r="BG337" s="13" t="s">
        <v>5510</v>
      </c>
      <c r="BH337" s="13" t="s">
        <v>5510</v>
      </c>
      <c r="BI337" s="13">
        <v>12.0</v>
      </c>
      <c r="BJ337" s="13" t="s">
        <v>5648</v>
      </c>
      <c r="BK337" s="13" t="s">
        <v>5649</v>
      </c>
      <c r="BL337" s="13" t="s">
        <v>5650</v>
      </c>
      <c r="BM337" s="13" t="s">
        <v>11746</v>
      </c>
      <c r="BN337" s="13" t="s">
        <v>5510</v>
      </c>
      <c r="BO337" s="13" t="s">
        <v>5564</v>
      </c>
      <c r="BP337" s="13" t="s">
        <v>5510</v>
      </c>
      <c r="BQ337" s="13" t="s">
        <v>5510</v>
      </c>
      <c r="BR337" s="13" t="s">
        <v>5538</v>
      </c>
      <c r="BS337" s="13" t="s">
        <v>11747</v>
      </c>
      <c r="BT337" s="13">
        <v>24622.0</v>
      </c>
      <c r="BU337" s="13" t="s">
        <v>5540</v>
      </c>
      <c r="BV337" s="13" t="s">
        <v>4852</v>
      </c>
      <c r="BW337" s="13" t="str">
        <f>VLOOKUP($BT337,Enriched!$A$2:$E$1070,5,false)</f>
        <v>["Invasive &amp; other problematic species, genes &amp; diseases"]</v>
      </c>
      <c r="BX337" s="13" t="str">
        <f>VLOOKUP($BT337,Enriched!$A$2:$E$1070,4,false)</f>
        <v>["Invasive non-native/alien species/diseases"]</v>
      </c>
      <c r="BY337" s="13" t="b">
        <f>VLOOKUP(BT337,Enriched!$A$1:$AA$1070,27,falsE)</f>
        <v>0</v>
      </c>
      <c r="BZ337" s="2" t="str">
        <f>VLOOKUP(BT337,Enriched!$A$1:$AA$1070,14,falsE)</f>
        <v>level2</v>
      </c>
      <c r="CA337" s="13" t="str">
        <f>HYPERLINK("https%3A%2F%2Fwww.webofscience.com%2Fwos%2Fwoscc%2Ffull-record%2FWOS:000412582000018","View Full Record in Web of Science")</f>
        <v>View Full Record in Web of Science</v>
      </c>
    </row>
    <row r="338" ht="12.75" customHeight="1">
      <c r="A338" s="13" t="s">
        <v>5508</v>
      </c>
      <c r="B338" s="13" t="s">
        <v>11748</v>
      </c>
      <c r="C338" s="13" t="s">
        <v>5510</v>
      </c>
      <c r="D338" s="13" t="s">
        <v>5510</v>
      </c>
      <c r="E338" s="13" t="s">
        <v>5510</v>
      </c>
      <c r="F338" s="13" t="s">
        <v>11749</v>
      </c>
      <c r="G338" s="13" t="s">
        <v>5510</v>
      </c>
      <c r="H338" s="13" t="s">
        <v>5510</v>
      </c>
      <c r="I338" s="13" t="s">
        <v>2036</v>
      </c>
      <c r="J338" s="13" t="s">
        <v>11750</v>
      </c>
      <c r="K338" s="13" t="s">
        <v>5510</v>
      </c>
      <c r="L338" s="13" t="s">
        <v>5510</v>
      </c>
      <c r="M338" s="13" t="s">
        <v>5513</v>
      </c>
      <c r="N338" s="13" t="s">
        <v>5514</v>
      </c>
      <c r="O338" s="13" t="s">
        <v>5510</v>
      </c>
      <c r="P338" s="13" t="s">
        <v>5510</v>
      </c>
      <c r="Q338" s="13" t="s">
        <v>5510</v>
      </c>
      <c r="R338" s="13" t="s">
        <v>5510</v>
      </c>
      <c r="S338" s="13" t="s">
        <v>5510</v>
      </c>
      <c r="T338" s="13" t="s">
        <v>11751</v>
      </c>
      <c r="U338" s="13" t="s">
        <v>11752</v>
      </c>
      <c r="V338" s="13" t="s">
        <v>11753</v>
      </c>
      <c r="W338" s="13" t="s">
        <v>11754</v>
      </c>
      <c r="X338" s="13" t="s">
        <v>11755</v>
      </c>
      <c r="Y338" s="13" t="s">
        <v>11756</v>
      </c>
      <c r="Z338" s="13" t="s">
        <v>5510</v>
      </c>
      <c r="AA338" s="13" t="s">
        <v>5510</v>
      </c>
      <c r="AB338" s="13" t="s">
        <v>5510</v>
      </c>
      <c r="AC338" s="13" t="s">
        <v>5510</v>
      </c>
      <c r="AD338" s="13" t="s">
        <v>5510</v>
      </c>
      <c r="AE338" s="13" t="s">
        <v>5510</v>
      </c>
      <c r="AF338" s="13" t="s">
        <v>5510</v>
      </c>
      <c r="AG338" s="13">
        <v>54.0</v>
      </c>
      <c r="AH338" s="13">
        <v>68.0</v>
      </c>
      <c r="AI338" s="13">
        <v>72.0</v>
      </c>
      <c r="AJ338" s="13">
        <v>4.0</v>
      </c>
      <c r="AK338" s="13">
        <v>193.0</v>
      </c>
      <c r="AL338" s="13" t="s">
        <v>6717</v>
      </c>
      <c r="AM338" s="13" t="s">
        <v>5932</v>
      </c>
      <c r="AN338" s="13" t="s">
        <v>6718</v>
      </c>
      <c r="AO338" s="13" t="s">
        <v>11757</v>
      </c>
      <c r="AP338" s="13" t="s">
        <v>11758</v>
      </c>
      <c r="AQ338" s="13" t="s">
        <v>5510</v>
      </c>
      <c r="AR338" s="13" t="s">
        <v>11759</v>
      </c>
      <c r="AS338" s="13" t="s">
        <v>11760</v>
      </c>
      <c r="AT338" s="13" t="s">
        <v>1925</v>
      </c>
      <c r="AU338" s="13">
        <v>2019.0</v>
      </c>
      <c r="AV338" s="13">
        <v>121.0</v>
      </c>
      <c r="AW338" s="13" t="s">
        <v>5510</v>
      </c>
      <c r="AX338" s="13" t="s">
        <v>5510</v>
      </c>
      <c r="AY338" s="13" t="s">
        <v>5510</v>
      </c>
      <c r="AZ338" s="13" t="s">
        <v>5646</v>
      </c>
      <c r="BA338" s="13" t="s">
        <v>5510</v>
      </c>
      <c r="BB338" s="13">
        <v>178.0</v>
      </c>
      <c r="BC338" s="13">
        <v>187.0</v>
      </c>
      <c r="BD338" s="13" t="s">
        <v>5510</v>
      </c>
      <c r="BE338" s="13" t="s">
        <v>11761</v>
      </c>
      <c r="BF338" s="52" t="str">
        <f>HYPERLINK("http://dx.doi.org/10.1016/j.worlddev.2017.10.012","http://dx.doi.org/10.1016/j.worlddev.2017.10.012")</f>
        <v>http://dx.doi.org/10.1016/j.worlddev.2017.10.012</v>
      </c>
      <c r="BG338" s="13" t="s">
        <v>5510</v>
      </c>
      <c r="BH338" s="13" t="s">
        <v>5510</v>
      </c>
      <c r="BI338" s="13">
        <v>10.0</v>
      </c>
      <c r="BJ338" s="13" t="s">
        <v>11762</v>
      </c>
      <c r="BK338" s="13" t="s">
        <v>8375</v>
      </c>
      <c r="BL338" s="13" t="s">
        <v>11763</v>
      </c>
      <c r="BM338" s="13" t="s">
        <v>11764</v>
      </c>
      <c r="BN338" s="13" t="s">
        <v>5510</v>
      </c>
      <c r="BO338" s="13" t="s">
        <v>5510</v>
      </c>
      <c r="BP338" s="13" t="s">
        <v>5510</v>
      </c>
      <c r="BQ338" s="13" t="s">
        <v>5510</v>
      </c>
      <c r="BR338" s="13" t="s">
        <v>5538</v>
      </c>
      <c r="BS338" s="13" t="s">
        <v>11765</v>
      </c>
      <c r="BT338" s="13">
        <v>23509.0</v>
      </c>
      <c r="BU338" s="13" t="s">
        <v>5540</v>
      </c>
      <c r="BV338" s="13" t="s">
        <v>4856</v>
      </c>
      <c r="BW338" s="13" t="str">
        <f>VLOOKUP($BT338,Enriched!$A$2:$E$1070,5,false)</f>
        <v>["Agriculture &amp; Aquaculture"]</v>
      </c>
      <c r="BX338" s="13" t="str">
        <f>VLOOKUP($BT338,Enriched!$A$2:$E$1070,4,false)</f>
        <v>["Housing &amp; urban area", "Annual &amp; perennial non-timber crops", "Livestock farming &amp; ranching", "Wood &amp; pulp plantations"]</v>
      </c>
      <c r="BY338" s="13" t="b">
        <f>VLOOKUP(BT338,Enriched!$A$1:$AA$1070,27,falsE)</f>
        <v>0</v>
      </c>
      <c r="BZ338" s="2" t="str">
        <f>VLOOKUP(BT338,Enriched!$A$1:$AA$1070,14,falsE)</f>
        <v>cumulative</v>
      </c>
      <c r="CA338" s="13" t="str">
        <f>HYPERLINK("https%3A%2F%2Fwww.webofscience.com%2Fwos%2Fwoscc%2Ffull-record%2FWOS:000472699700013","View Full Record in Web of Science")</f>
        <v>View Full Record in Web of Science</v>
      </c>
    </row>
    <row r="339" ht="12.75" customHeight="1">
      <c r="A339" s="13" t="s">
        <v>8739</v>
      </c>
      <c r="B339" s="13" t="s">
        <v>11766</v>
      </c>
      <c r="C339" s="13" t="s">
        <v>5510</v>
      </c>
      <c r="D339" s="13" t="s">
        <v>11767</v>
      </c>
      <c r="E339" s="13" t="s">
        <v>5510</v>
      </c>
      <c r="F339" s="13" t="s">
        <v>11768</v>
      </c>
      <c r="G339" s="13" t="s">
        <v>5510</v>
      </c>
      <c r="H339" s="13" t="s">
        <v>5510</v>
      </c>
      <c r="I339" s="13" t="s">
        <v>11769</v>
      </c>
      <c r="J339" s="13" t="s">
        <v>11770</v>
      </c>
      <c r="K339" s="13" t="s">
        <v>2033</v>
      </c>
      <c r="L339" s="13" t="s">
        <v>5510</v>
      </c>
      <c r="M339" s="13" t="s">
        <v>5513</v>
      </c>
      <c r="N339" s="13" t="s">
        <v>8622</v>
      </c>
      <c r="O339" s="13" t="s">
        <v>5510</v>
      </c>
      <c r="P339" s="13" t="s">
        <v>5510</v>
      </c>
      <c r="Q339" s="13" t="s">
        <v>5510</v>
      </c>
      <c r="R339" s="13" t="s">
        <v>5510</v>
      </c>
      <c r="S339" s="13" t="s">
        <v>5510</v>
      </c>
      <c r="T339" s="13" t="s">
        <v>11771</v>
      </c>
      <c r="U339" s="13" t="s">
        <v>11772</v>
      </c>
      <c r="V339" s="13" t="s">
        <v>11773</v>
      </c>
      <c r="W339" s="13" t="s">
        <v>11774</v>
      </c>
      <c r="X339" s="13" t="s">
        <v>11775</v>
      </c>
      <c r="Y339" s="13" t="s">
        <v>11776</v>
      </c>
      <c r="Z339" s="13" t="s">
        <v>11777</v>
      </c>
      <c r="AA339" s="13" t="s">
        <v>11778</v>
      </c>
      <c r="AB339" s="13" t="s">
        <v>11779</v>
      </c>
      <c r="AC339" s="13" t="s">
        <v>5510</v>
      </c>
      <c r="AD339" s="13" t="s">
        <v>5510</v>
      </c>
      <c r="AE339" s="13" t="s">
        <v>5510</v>
      </c>
      <c r="AF339" s="13" t="s">
        <v>5510</v>
      </c>
      <c r="AG339" s="13">
        <v>44.0</v>
      </c>
      <c r="AH339" s="13">
        <v>25.0</v>
      </c>
      <c r="AI339" s="13">
        <v>30.0</v>
      </c>
      <c r="AJ339" s="13">
        <v>0.0</v>
      </c>
      <c r="AK339" s="13">
        <v>8.0</v>
      </c>
      <c r="AL339" s="13" t="s">
        <v>5690</v>
      </c>
      <c r="AM339" s="13" t="s">
        <v>6503</v>
      </c>
      <c r="AN339" s="13" t="s">
        <v>11780</v>
      </c>
      <c r="AO339" s="13" t="s">
        <v>11781</v>
      </c>
      <c r="AP339" s="13" t="s">
        <v>11782</v>
      </c>
      <c r="AQ339" s="13" t="s">
        <v>11783</v>
      </c>
      <c r="AR339" s="13" t="s">
        <v>11784</v>
      </c>
      <c r="AS339" s="13" t="s">
        <v>5510</v>
      </c>
      <c r="AT339" s="13" t="s">
        <v>5510</v>
      </c>
      <c r="AU339" s="13">
        <v>2016.0</v>
      </c>
      <c r="AV339" s="13" t="s">
        <v>5510</v>
      </c>
      <c r="AW339" s="13" t="s">
        <v>5510</v>
      </c>
      <c r="AX339" s="13" t="s">
        <v>5510</v>
      </c>
      <c r="AY339" s="13" t="s">
        <v>5510</v>
      </c>
      <c r="AZ339" s="13" t="s">
        <v>5510</v>
      </c>
      <c r="BA339" s="13" t="s">
        <v>5510</v>
      </c>
      <c r="BB339" s="13">
        <v>51.0</v>
      </c>
      <c r="BC339" s="13">
        <v>72.0</v>
      </c>
      <c r="BD339" s="13" t="s">
        <v>5510</v>
      </c>
      <c r="BE339" s="13" t="s">
        <v>11785</v>
      </c>
      <c r="BF339" s="52" t="str">
        <f>HYPERLINK("http://dx.doi.org/10.1007/978-3-319-18787-7_4","http://dx.doi.org/10.1007/978-3-319-18787-7_4")</f>
        <v>http://dx.doi.org/10.1007/978-3-319-18787-7_4</v>
      </c>
      <c r="BG339" s="13" t="s">
        <v>11786</v>
      </c>
      <c r="BH339" s="13" t="s">
        <v>5510</v>
      </c>
      <c r="BI339" s="13">
        <v>22.0</v>
      </c>
      <c r="BJ339" s="13" t="s">
        <v>11787</v>
      </c>
      <c r="BK339" s="13" t="s">
        <v>8635</v>
      </c>
      <c r="BL339" s="13" t="s">
        <v>11788</v>
      </c>
      <c r="BM339" s="13" t="s">
        <v>11789</v>
      </c>
      <c r="BN339" s="13" t="s">
        <v>5510</v>
      </c>
      <c r="BO339" s="13" t="s">
        <v>5510</v>
      </c>
      <c r="BP339" s="13" t="s">
        <v>5510</v>
      </c>
      <c r="BQ339" s="13" t="s">
        <v>5510</v>
      </c>
      <c r="BR339" s="13" t="s">
        <v>5538</v>
      </c>
      <c r="BS339" s="13" t="s">
        <v>11790</v>
      </c>
      <c r="BT339" s="13">
        <v>23171.0</v>
      </c>
      <c r="BU339" s="13" t="s">
        <v>5540</v>
      </c>
      <c r="BV339" s="13" t="s">
        <v>4856</v>
      </c>
      <c r="BW339" s="13" t="str">
        <f>VLOOKUP($BT339,Enriched!$A$2:$E$1070,5,false)</f>
        <v>["Agriculture &amp; Aquaculture"]</v>
      </c>
      <c r="BX339" s="13" t="str">
        <f>VLOOKUP($BT339,Enriched!$A$2:$E$1070,4,false)</f>
        <v>["Annual &amp; perennial non-timber crops", "Livestock farming &amp; ranching"]</v>
      </c>
      <c r="BY339" s="13" t="b">
        <f>VLOOKUP(BT339,Enriched!$A$1:$AA$1070,27,falsE)</f>
        <v>0</v>
      </c>
      <c r="BZ339" s="2" t="str">
        <f>VLOOKUP(BT339,Enriched!$A$1:$AA$1070,14,falsE)</f>
        <v>level2</v>
      </c>
      <c r="CA339" s="13" t="str">
        <f>HYPERLINK("https%3A%2F%2Fwww.webofscience.com%2Fwos%2Fwoscc%2Ffull-record%2FWOS:000376132100005","View Full Record in Web of Science")</f>
        <v>View Full Record in Web of Science</v>
      </c>
    </row>
    <row r="340" ht="12.75" customHeight="1">
      <c r="A340" s="13" t="s">
        <v>5508</v>
      </c>
      <c r="B340" s="13" t="s">
        <v>11791</v>
      </c>
      <c r="C340" s="13" t="s">
        <v>5510</v>
      </c>
      <c r="D340" s="13" t="s">
        <v>5510</v>
      </c>
      <c r="E340" s="13" t="s">
        <v>5510</v>
      </c>
      <c r="F340" s="13" t="s">
        <v>11792</v>
      </c>
      <c r="G340" s="13" t="s">
        <v>5510</v>
      </c>
      <c r="H340" s="13" t="s">
        <v>5510</v>
      </c>
      <c r="I340" s="13" t="s">
        <v>2029</v>
      </c>
      <c r="J340" s="13" t="s">
        <v>11793</v>
      </c>
      <c r="K340" s="13" t="s">
        <v>5510</v>
      </c>
      <c r="L340" s="13" t="s">
        <v>5510</v>
      </c>
      <c r="M340" s="13" t="s">
        <v>5513</v>
      </c>
      <c r="N340" s="13" t="s">
        <v>5514</v>
      </c>
      <c r="O340" s="13" t="s">
        <v>5510</v>
      </c>
      <c r="P340" s="13" t="s">
        <v>5510</v>
      </c>
      <c r="Q340" s="13" t="s">
        <v>5510</v>
      </c>
      <c r="R340" s="13" t="s">
        <v>5510</v>
      </c>
      <c r="S340" s="13" t="s">
        <v>5510</v>
      </c>
      <c r="T340" s="13" t="s">
        <v>5510</v>
      </c>
      <c r="U340" s="13" t="s">
        <v>11794</v>
      </c>
      <c r="V340" s="13" t="s">
        <v>11795</v>
      </c>
      <c r="W340" s="13" t="s">
        <v>11796</v>
      </c>
      <c r="X340" s="13" t="s">
        <v>11797</v>
      </c>
      <c r="Y340" s="13" t="s">
        <v>11798</v>
      </c>
      <c r="Z340" s="13" t="s">
        <v>11799</v>
      </c>
      <c r="AA340" s="13" t="s">
        <v>5510</v>
      </c>
      <c r="AB340" s="13" t="s">
        <v>11800</v>
      </c>
      <c r="AC340" s="13" t="s">
        <v>11801</v>
      </c>
      <c r="AD340" s="13" t="s">
        <v>11802</v>
      </c>
      <c r="AE340" s="13" t="s">
        <v>11803</v>
      </c>
      <c r="AF340" s="13" t="s">
        <v>5510</v>
      </c>
      <c r="AG340" s="13">
        <v>114.0</v>
      </c>
      <c r="AH340" s="13">
        <v>6.0</v>
      </c>
      <c r="AI340" s="13">
        <v>8.0</v>
      </c>
      <c r="AJ340" s="13">
        <v>0.0</v>
      </c>
      <c r="AK340" s="13">
        <v>5.0</v>
      </c>
      <c r="AL340" s="13" t="s">
        <v>5527</v>
      </c>
      <c r="AM340" s="13" t="s">
        <v>5528</v>
      </c>
      <c r="AN340" s="13" t="s">
        <v>5529</v>
      </c>
      <c r="AO340" s="13" t="s">
        <v>11804</v>
      </c>
      <c r="AP340" s="13" t="s">
        <v>11805</v>
      </c>
      <c r="AQ340" s="13" t="s">
        <v>5510</v>
      </c>
      <c r="AR340" s="13" t="s">
        <v>11806</v>
      </c>
      <c r="AS340" s="13" t="s">
        <v>11807</v>
      </c>
      <c r="AT340" s="13" t="s">
        <v>5866</v>
      </c>
      <c r="AU340" s="13">
        <v>2020.0</v>
      </c>
      <c r="AV340" s="13">
        <v>149.0</v>
      </c>
      <c r="AW340" s="13">
        <v>3.0</v>
      </c>
      <c r="AX340" s="13" t="s">
        <v>5510</v>
      </c>
      <c r="AY340" s="13" t="s">
        <v>5510</v>
      </c>
      <c r="AZ340" s="13" t="s">
        <v>5510</v>
      </c>
      <c r="BA340" s="13" t="s">
        <v>5510</v>
      </c>
      <c r="BB340" s="13">
        <v>298.0</v>
      </c>
      <c r="BC340" s="13">
        <v>319.0</v>
      </c>
      <c r="BD340" s="13" t="s">
        <v>5510</v>
      </c>
      <c r="BE340" s="13" t="s">
        <v>11808</v>
      </c>
      <c r="BF340" s="52" t="str">
        <f>HYPERLINK("http://dx.doi.org/10.1002/tafs.10230","http://dx.doi.org/10.1002/tafs.10230")</f>
        <v>http://dx.doi.org/10.1002/tafs.10230</v>
      </c>
      <c r="BG340" s="13" t="s">
        <v>5510</v>
      </c>
      <c r="BH340" s="13" t="s">
        <v>11809</v>
      </c>
      <c r="BI340" s="13">
        <v>22.0</v>
      </c>
      <c r="BJ340" s="13" t="s">
        <v>7608</v>
      </c>
      <c r="BK340" s="13" t="s">
        <v>5561</v>
      </c>
      <c r="BL340" s="13" t="s">
        <v>7608</v>
      </c>
      <c r="BM340" s="13" t="s">
        <v>11810</v>
      </c>
      <c r="BN340" s="13" t="s">
        <v>5510</v>
      </c>
      <c r="BO340" s="13" t="s">
        <v>5510</v>
      </c>
      <c r="BP340" s="13" t="s">
        <v>5510</v>
      </c>
      <c r="BQ340" s="13" t="s">
        <v>5510</v>
      </c>
      <c r="BR340" s="13" t="s">
        <v>5538</v>
      </c>
      <c r="BS340" s="13" t="s">
        <v>11811</v>
      </c>
      <c r="BT340" s="13">
        <v>23160.0</v>
      </c>
      <c r="BU340" s="13" t="s">
        <v>5540</v>
      </c>
      <c r="BV340" s="13" t="s">
        <v>4852</v>
      </c>
      <c r="BW340" s="13" t="str">
        <f>VLOOKUP($BT340,Enriched!$A$2:$E$1070,5,false)</f>
        <v>["Energy Production &amp; Mining", "Biological Resource Use", "Pollution"]</v>
      </c>
      <c r="BX340" s="13" t="str">
        <f>VLOOKUP($BT340,Enriched!$A$2:$E$1070,4,false)</f>
        <v>["Mining &amp; quarrying", "Fishing &amp; harvesting aquatic resources", "Domestic &amp; urban waste water", "Agricultural &amp; forestry effluents"]</v>
      </c>
      <c r="BY340" s="13" t="b">
        <f>VLOOKUP(BT340,Enriched!$A$1:$AA$1070,27,falsE)</f>
        <v>0</v>
      </c>
      <c r="BZ340" s="2" t="str">
        <f>VLOOKUP(BT340,Enriched!$A$1:$AA$1070,14,falsE)</f>
        <v>level2</v>
      </c>
      <c r="CA340" s="13" t="str">
        <f>HYPERLINK("https%3A%2F%2Fwww.webofscience.com%2Fwos%2Fwoscc%2Ffull-record%2FWOS:000532980700001","View Full Record in Web of Science")</f>
        <v>View Full Record in Web of Science</v>
      </c>
    </row>
    <row r="341" ht="12.75" customHeight="1">
      <c r="A341" s="13" t="s">
        <v>5508</v>
      </c>
      <c r="B341" s="13" t="s">
        <v>11812</v>
      </c>
      <c r="C341" s="13" t="s">
        <v>5510</v>
      </c>
      <c r="D341" s="13" t="s">
        <v>5510</v>
      </c>
      <c r="E341" s="13" t="s">
        <v>5510</v>
      </c>
      <c r="F341" s="13" t="s">
        <v>11813</v>
      </c>
      <c r="G341" s="13" t="s">
        <v>5510</v>
      </c>
      <c r="H341" s="13" t="s">
        <v>5510</v>
      </c>
      <c r="I341" s="13" t="s">
        <v>2026</v>
      </c>
      <c r="J341" s="13" t="s">
        <v>11814</v>
      </c>
      <c r="K341" s="13" t="s">
        <v>5510</v>
      </c>
      <c r="L341" s="13" t="s">
        <v>5510</v>
      </c>
      <c r="M341" s="13" t="s">
        <v>5513</v>
      </c>
      <c r="N341" s="13" t="s">
        <v>5514</v>
      </c>
      <c r="O341" s="13" t="s">
        <v>5510</v>
      </c>
      <c r="P341" s="13" t="s">
        <v>5510</v>
      </c>
      <c r="Q341" s="13" t="s">
        <v>5510</v>
      </c>
      <c r="R341" s="13" t="s">
        <v>5510</v>
      </c>
      <c r="S341" s="13" t="s">
        <v>5510</v>
      </c>
      <c r="T341" s="13" t="s">
        <v>11815</v>
      </c>
      <c r="U341" s="13" t="s">
        <v>11816</v>
      </c>
      <c r="V341" s="13" t="s">
        <v>11817</v>
      </c>
      <c r="W341" s="13" t="s">
        <v>11818</v>
      </c>
      <c r="X341" s="13" t="s">
        <v>11819</v>
      </c>
      <c r="Y341" s="13" t="s">
        <v>11820</v>
      </c>
      <c r="Z341" s="13" t="s">
        <v>11821</v>
      </c>
      <c r="AA341" s="13" t="s">
        <v>11822</v>
      </c>
      <c r="AB341" s="13" t="s">
        <v>11823</v>
      </c>
      <c r="AC341" s="13" t="s">
        <v>11824</v>
      </c>
      <c r="AD341" s="13" t="s">
        <v>11825</v>
      </c>
      <c r="AE341" s="13" t="s">
        <v>11826</v>
      </c>
      <c r="AF341" s="13" t="s">
        <v>5510</v>
      </c>
      <c r="AG341" s="13">
        <v>72.0</v>
      </c>
      <c r="AH341" s="13">
        <v>16.0</v>
      </c>
      <c r="AI341" s="13">
        <v>20.0</v>
      </c>
      <c r="AJ341" s="13">
        <v>1.0</v>
      </c>
      <c r="AK341" s="13">
        <v>26.0</v>
      </c>
      <c r="AL341" s="13" t="s">
        <v>11827</v>
      </c>
      <c r="AM341" s="13" t="s">
        <v>6046</v>
      </c>
      <c r="AN341" s="13" t="s">
        <v>11828</v>
      </c>
      <c r="AO341" s="13" t="s">
        <v>5510</v>
      </c>
      <c r="AP341" s="13" t="s">
        <v>11829</v>
      </c>
      <c r="AQ341" s="13" t="s">
        <v>5510</v>
      </c>
      <c r="AR341" s="13" t="s">
        <v>11830</v>
      </c>
      <c r="AS341" s="13" t="s">
        <v>11831</v>
      </c>
      <c r="AT341" s="13" t="s">
        <v>11832</v>
      </c>
      <c r="AU341" s="13">
        <v>2020.0</v>
      </c>
      <c r="AV341" s="13">
        <v>5.0</v>
      </c>
      <c r="AW341" s="13">
        <v>1.0</v>
      </c>
      <c r="AX341" s="13" t="s">
        <v>5510</v>
      </c>
      <c r="AY341" s="13" t="s">
        <v>5510</v>
      </c>
      <c r="AZ341" s="13" t="s">
        <v>5510</v>
      </c>
      <c r="BA341" s="13" t="s">
        <v>5510</v>
      </c>
      <c r="BB341" s="13" t="s">
        <v>5510</v>
      </c>
      <c r="BC341" s="13" t="s">
        <v>5510</v>
      </c>
      <c r="BD341" s="13">
        <v>20.0</v>
      </c>
      <c r="BE341" s="13" t="s">
        <v>11833</v>
      </c>
      <c r="BF341" s="52" t="str">
        <f>HYPERLINK("http://dx.doi.org/10.1007/s41109-020-00262-6","http://dx.doi.org/10.1007/s41109-020-00262-6")</f>
        <v>http://dx.doi.org/10.1007/s41109-020-00262-6</v>
      </c>
      <c r="BG341" s="13" t="s">
        <v>5510</v>
      </c>
      <c r="BH341" s="13" t="s">
        <v>5510</v>
      </c>
      <c r="BI341" s="13">
        <v>20.0</v>
      </c>
      <c r="BJ341" s="13" t="s">
        <v>11834</v>
      </c>
      <c r="BK341" s="13" t="s">
        <v>7985</v>
      </c>
      <c r="BL341" s="13" t="s">
        <v>11835</v>
      </c>
      <c r="BM341" s="13" t="s">
        <v>11836</v>
      </c>
      <c r="BN341" s="13" t="s">
        <v>5510</v>
      </c>
      <c r="BO341" s="13" t="s">
        <v>5564</v>
      </c>
      <c r="BP341" s="13" t="s">
        <v>5510</v>
      </c>
      <c r="BQ341" s="13" t="s">
        <v>5510</v>
      </c>
      <c r="BR341" s="13" t="s">
        <v>5538</v>
      </c>
      <c r="BS341" s="13" t="s">
        <v>11837</v>
      </c>
      <c r="BT341" s="13">
        <v>23142.0</v>
      </c>
      <c r="BU341" s="13" t="s">
        <v>5540</v>
      </c>
      <c r="BV341" s="13" t="s">
        <v>4856</v>
      </c>
      <c r="BW341" s="13" t="str">
        <f>VLOOKUP($BT341,Enriched!$A$2:$E$1070,5,false)</f>
        <v>["Biological resource use", "Human intrusions &amp; disturbance"]</v>
      </c>
      <c r="BX341" s="13" t="str">
        <f>VLOOKUP($BT341,Enriched!$A$2:$E$1070,4,false)</f>
        <v>["Hunting &amp; collecting terrestrial animals", "Work &amp; other activities"]</v>
      </c>
      <c r="BY341" s="13" t="b">
        <f>VLOOKUP(BT341,Enriched!$A$1:$AA$1070,27,falsE)</f>
        <v>0</v>
      </c>
      <c r="BZ341" s="2" t="str">
        <f>VLOOKUP(BT341,Enriched!$A$1:$AA$1070,14,falsE)</f>
        <v>level2</v>
      </c>
      <c r="CA341" s="13" t="str">
        <f>HYPERLINK("https%3A%2F%2Fwww.webofscience.com%2Fwos%2Fwoscc%2Ffull-record%2FWOS:000680418200001","View Full Record in Web of Science")</f>
        <v>View Full Record in Web of Science</v>
      </c>
    </row>
    <row r="342" ht="12.75" customHeight="1">
      <c r="A342" s="13" t="s">
        <v>5508</v>
      </c>
      <c r="B342" s="13" t="s">
        <v>11838</v>
      </c>
      <c r="C342" s="13" t="s">
        <v>5510</v>
      </c>
      <c r="D342" s="13" t="s">
        <v>5510</v>
      </c>
      <c r="E342" s="13" t="s">
        <v>5510</v>
      </c>
      <c r="F342" s="13" t="s">
        <v>11839</v>
      </c>
      <c r="G342" s="13" t="s">
        <v>5510</v>
      </c>
      <c r="H342" s="13" t="s">
        <v>5510</v>
      </c>
      <c r="I342" s="13" t="s">
        <v>2023</v>
      </c>
      <c r="J342" s="13" t="s">
        <v>6627</v>
      </c>
      <c r="K342" s="13" t="s">
        <v>5510</v>
      </c>
      <c r="L342" s="13" t="s">
        <v>5510</v>
      </c>
      <c r="M342" s="13" t="s">
        <v>5513</v>
      </c>
      <c r="N342" s="13" t="s">
        <v>5514</v>
      </c>
      <c r="O342" s="13" t="s">
        <v>5510</v>
      </c>
      <c r="P342" s="13" t="s">
        <v>5510</v>
      </c>
      <c r="Q342" s="13" t="s">
        <v>5510</v>
      </c>
      <c r="R342" s="13" t="s">
        <v>5510</v>
      </c>
      <c r="S342" s="13" t="s">
        <v>5510</v>
      </c>
      <c r="T342" s="13" t="s">
        <v>11840</v>
      </c>
      <c r="U342" s="13" t="s">
        <v>11841</v>
      </c>
      <c r="V342" s="13" t="s">
        <v>11842</v>
      </c>
      <c r="W342" s="13" t="s">
        <v>11843</v>
      </c>
      <c r="X342" s="13" t="s">
        <v>11844</v>
      </c>
      <c r="Y342" s="13" t="s">
        <v>11845</v>
      </c>
      <c r="Z342" s="13" t="s">
        <v>11846</v>
      </c>
      <c r="AA342" s="13" t="s">
        <v>11847</v>
      </c>
      <c r="AB342" s="13" t="s">
        <v>11848</v>
      </c>
      <c r="AC342" s="13" t="s">
        <v>11849</v>
      </c>
      <c r="AD342" s="13" t="s">
        <v>11850</v>
      </c>
      <c r="AE342" s="13" t="s">
        <v>11849</v>
      </c>
      <c r="AF342" s="13" t="s">
        <v>5510</v>
      </c>
      <c r="AG342" s="13">
        <v>66.0</v>
      </c>
      <c r="AH342" s="13">
        <v>35.0</v>
      </c>
      <c r="AI342" s="13">
        <v>39.0</v>
      </c>
      <c r="AJ342" s="13">
        <v>6.0</v>
      </c>
      <c r="AK342" s="13">
        <v>91.0</v>
      </c>
      <c r="AL342" s="13" t="s">
        <v>5527</v>
      </c>
      <c r="AM342" s="13" t="s">
        <v>5528</v>
      </c>
      <c r="AN342" s="13" t="s">
        <v>5529</v>
      </c>
      <c r="AO342" s="13" t="s">
        <v>6640</v>
      </c>
      <c r="AP342" s="13" t="s">
        <v>6641</v>
      </c>
      <c r="AQ342" s="13" t="s">
        <v>5510</v>
      </c>
      <c r="AR342" s="13" t="s">
        <v>6642</v>
      </c>
      <c r="AS342" s="13" t="s">
        <v>6643</v>
      </c>
      <c r="AT342" s="13" t="s">
        <v>5720</v>
      </c>
      <c r="AU342" s="13">
        <v>2017.0</v>
      </c>
      <c r="AV342" s="13">
        <v>23.0</v>
      </c>
      <c r="AW342" s="13">
        <v>6.0</v>
      </c>
      <c r="AX342" s="13" t="s">
        <v>5510</v>
      </c>
      <c r="AY342" s="13" t="s">
        <v>5510</v>
      </c>
      <c r="AZ342" s="13" t="s">
        <v>5510</v>
      </c>
      <c r="BA342" s="13" t="s">
        <v>5510</v>
      </c>
      <c r="BB342" s="13">
        <v>615.0</v>
      </c>
      <c r="BC342" s="13">
        <v>626.0</v>
      </c>
      <c r="BD342" s="13" t="s">
        <v>5510</v>
      </c>
      <c r="BE342" s="13" t="s">
        <v>11851</v>
      </c>
      <c r="BF342" s="52" t="str">
        <f>HYPERLINK("http://dx.doi.org/10.1111/ddi.12556","http://dx.doi.org/10.1111/ddi.12556")</f>
        <v>http://dx.doi.org/10.1111/ddi.12556</v>
      </c>
      <c r="BG342" s="13" t="s">
        <v>5510</v>
      </c>
      <c r="BH342" s="13" t="s">
        <v>5510</v>
      </c>
      <c r="BI342" s="13">
        <v>12.0</v>
      </c>
      <c r="BJ342" s="13" t="s">
        <v>5958</v>
      </c>
      <c r="BK342" s="13" t="s">
        <v>5561</v>
      </c>
      <c r="BL342" s="13" t="s">
        <v>5699</v>
      </c>
      <c r="BM342" s="13" t="s">
        <v>11852</v>
      </c>
      <c r="BN342" s="13" t="s">
        <v>5510</v>
      </c>
      <c r="BO342" s="13" t="s">
        <v>5537</v>
      </c>
      <c r="BP342" s="13" t="s">
        <v>5510</v>
      </c>
      <c r="BQ342" s="13" t="s">
        <v>5510</v>
      </c>
      <c r="BR342" s="13" t="s">
        <v>5538</v>
      </c>
      <c r="BS342" s="13" t="s">
        <v>11853</v>
      </c>
      <c r="BT342" s="13">
        <v>23061.0</v>
      </c>
      <c r="BU342" s="13" t="s">
        <v>5540</v>
      </c>
      <c r="BV342" s="13" t="s">
        <v>4864</v>
      </c>
      <c r="BW342" s="13" t="str">
        <f>VLOOKUP($BT342,Enriched!$A$2:$E$1070,5,false)</f>
        <v>["Residential &amp; Commercial Development", "Energy Production &amp; Mining", "Transportation &amp; Service Corridors", "Biological Resource Use", "Invasive &amp; Other Problematic Species, Genes &amp; Diseases", "Pollution", "Climate Change &amp; Severe Weather"]</v>
      </c>
      <c r="BX342" s="13" t="str">
        <f>VLOOKUP($BT342,Enriched!$A$2:$E$1070,4,false)</f>
        <v>["Commercial &amp; industrial areas", "Oil &amp; gas drilling", "Shipping lanes", "Fishing &amp; harvesting aquatic resources", "Invasive non-native/alien species/diseases", "Domestic &amp; urban waste water", "Habitat shifting &amp; alteration", "Temperature extremes", "Other impacts"]</v>
      </c>
      <c r="BY342" s="13" t="b">
        <f>VLOOKUP(BT342,Enriched!$A$1:$AA$1070,27,falsE)</f>
        <v>1</v>
      </c>
      <c r="BZ342" s="2" t="str">
        <f>VLOOKUP(BT342,Enriched!$A$1:$AA$1070,14,falsE)</f>
        <v>cumulative</v>
      </c>
      <c r="CA342" s="13" t="str">
        <f>HYPERLINK("https%3A%2F%2Fwww.webofscience.com%2Fwos%2Fwoscc%2Ffull-record%2FWOS:000401434600004","View Full Record in Web of Science")</f>
        <v>View Full Record in Web of Science</v>
      </c>
    </row>
    <row r="343" ht="12.75" customHeight="1">
      <c r="A343" s="13" t="s">
        <v>5508</v>
      </c>
      <c r="B343" s="13" t="s">
        <v>11854</v>
      </c>
      <c r="C343" s="13" t="s">
        <v>5510</v>
      </c>
      <c r="D343" s="13" t="s">
        <v>5510</v>
      </c>
      <c r="E343" s="13" t="s">
        <v>5510</v>
      </c>
      <c r="F343" s="13" t="s">
        <v>11855</v>
      </c>
      <c r="G343" s="13" t="s">
        <v>5510</v>
      </c>
      <c r="H343" s="13" t="s">
        <v>5510</v>
      </c>
      <c r="I343" s="13" t="s">
        <v>2021</v>
      </c>
      <c r="J343" s="13" t="s">
        <v>7990</v>
      </c>
      <c r="K343" s="13" t="s">
        <v>5510</v>
      </c>
      <c r="L343" s="13" t="s">
        <v>5510</v>
      </c>
      <c r="M343" s="13" t="s">
        <v>5513</v>
      </c>
      <c r="N343" s="13" t="s">
        <v>5514</v>
      </c>
      <c r="O343" s="13" t="s">
        <v>5510</v>
      </c>
      <c r="P343" s="13" t="s">
        <v>5510</v>
      </c>
      <c r="Q343" s="13" t="s">
        <v>5510</v>
      </c>
      <c r="R343" s="13" t="s">
        <v>5510</v>
      </c>
      <c r="S343" s="13" t="s">
        <v>5510</v>
      </c>
      <c r="T343" s="13" t="s">
        <v>11856</v>
      </c>
      <c r="U343" s="13" t="s">
        <v>11857</v>
      </c>
      <c r="V343" s="13" t="s">
        <v>11858</v>
      </c>
      <c r="W343" s="13" t="s">
        <v>11859</v>
      </c>
      <c r="X343" s="13" t="s">
        <v>11860</v>
      </c>
      <c r="Y343" s="13" t="s">
        <v>11861</v>
      </c>
      <c r="Z343" s="13" t="s">
        <v>11862</v>
      </c>
      <c r="AA343" s="13" t="s">
        <v>11863</v>
      </c>
      <c r="AB343" s="13" t="s">
        <v>11864</v>
      </c>
      <c r="AC343" s="13" t="s">
        <v>11865</v>
      </c>
      <c r="AD343" s="13" t="s">
        <v>11865</v>
      </c>
      <c r="AE343" s="13" t="s">
        <v>11866</v>
      </c>
      <c r="AF343" s="13" t="s">
        <v>5510</v>
      </c>
      <c r="AG343" s="13">
        <v>77.0</v>
      </c>
      <c r="AH343" s="13">
        <v>12.0</v>
      </c>
      <c r="AI343" s="13">
        <v>14.0</v>
      </c>
      <c r="AJ343" s="13">
        <v>0.0</v>
      </c>
      <c r="AK343" s="13">
        <v>44.0</v>
      </c>
      <c r="AL343" s="13" t="s">
        <v>8003</v>
      </c>
      <c r="AM343" s="13" t="s">
        <v>8004</v>
      </c>
      <c r="AN343" s="13" t="s">
        <v>8005</v>
      </c>
      <c r="AO343" s="13" t="s">
        <v>8006</v>
      </c>
      <c r="AP343" s="13" t="s">
        <v>8007</v>
      </c>
      <c r="AQ343" s="13" t="s">
        <v>5510</v>
      </c>
      <c r="AR343" s="13" t="s">
        <v>8008</v>
      </c>
      <c r="AS343" s="13" t="s">
        <v>8009</v>
      </c>
      <c r="AT343" s="13" t="s">
        <v>2738</v>
      </c>
      <c r="AU343" s="13">
        <v>2014.0</v>
      </c>
      <c r="AV343" s="13">
        <v>22.0</v>
      </c>
      <c r="AW343" s="13">
        <v>1.0</v>
      </c>
      <c r="AX343" s="13" t="s">
        <v>5510</v>
      </c>
      <c r="AY343" s="13" t="s">
        <v>5510</v>
      </c>
      <c r="AZ343" s="13" t="s">
        <v>5510</v>
      </c>
      <c r="BA343" s="13" t="s">
        <v>5510</v>
      </c>
      <c r="BB343" s="13">
        <v>1.0</v>
      </c>
      <c r="BC343" s="13">
        <v>14.0</v>
      </c>
      <c r="BD343" s="13" t="s">
        <v>5510</v>
      </c>
      <c r="BE343" s="13" t="s">
        <v>11867</v>
      </c>
      <c r="BF343" s="52" t="str">
        <f>HYPERLINK("http://dx.doi.org/10.1016/j.jnc.2013.07.003","http://dx.doi.org/10.1016/j.jnc.2013.07.003")</f>
        <v>http://dx.doi.org/10.1016/j.jnc.2013.07.003</v>
      </c>
      <c r="BG343" s="13" t="s">
        <v>5510</v>
      </c>
      <c r="BH343" s="13" t="s">
        <v>5510</v>
      </c>
      <c r="BI343" s="13">
        <v>14.0</v>
      </c>
      <c r="BJ343" s="13" t="s">
        <v>5958</v>
      </c>
      <c r="BK343" s="13" t="s">
        <v>5561</v>
      </c>
      <c r="BL343" s="13" t="s">
        <v>5699</v>
      </c>
      <c r="BM343" s="13" t="s">
        <v>11868</v>
      </c>
      <c r="BN343" s="13" t="s">
        <v>5510</v>
      </c>
      <c r="BO343" s="13" t="s">
        <v>5510</v>
      </c>
      <c r="BP343" s="13" t="s">
        <v>5510</v>
      </c>
      <c r="BQ343" s="13" t="s">
        <v>5510</v>
      </c>
      <c r="BR343" s="13" t="s">
        <v>5538</v>
      </c>
      <c r="BS343" s="13" t="s">
        <v>11869</v>
      </c>
      <c r="BT343" s="13">
        <v>23082.0</v>
      </c>
      <c r="BU343" s="13" t="s">
        <v>5540</v>
      </c>
      <c r="BV343" s="13" t="s">
        <v>4864</v>
      </c>
      <c r="BW343" s="13" t="str">
        <f>VLOOKUP($BT343,Enriched!$A$2:$E$1070,5,false)</f>
        <v>["Agriculture &amp; Aquaculture", "Biological Resource Use", "Human Intrusions &amp; Disturbance"]</v>
      </c>
      <c r="BX343" s="13" t="str">
        <f>VLOOKUP($BT343,Enriched!$A$2:$E$1070,4,false)</f>
        <v>["Housing &amp; urban area", "Marine &amp; freshwater aquaculture", "Fishing &amp; harvesting aquatic resources", "Recreational activities"]</v>
      </c>
      <c r="BY343" s="13" t="b">
        <f>VLOOKUP(BT343,Enriched!$A$1:$AA$1070,27,falsE)</f>
        <v>0</v>
      </c>
      <c r="BZ343" s="2" t="str">
        <f>VLOOKUP(BT343,Enriched!$A$1:$AA$1070,14,falsE)</f>
        <v>cumulative</v>
      </c>
      <c r="CA343" s="13" t="str">
        <f>HYPERLINK("https%3A%2F%2Fwww.webofscience.com%2Fwos%2Fwoscc%2Ffull-record%2FWOS:000331131000001","View Full Record in Web of Science")</f>
        <v>View Full Record in Web of Science</v>
      </c>
    </row>
    <row r="344" ht="12.75" customHeight="1">
      <c r="A344" s="13" t="s">
        <v>5508</v>
      </c>
      <c r="B344" s="13" t="s">
        <v>11870</v>
      </c>
      <c r="C344" s="13" t="s">
        <v>5510</v>
      </c>
      <c r="D344" s="13" t="s">
        <v>5510</v>
      </c>
      <c r="E344" s="13" t="s">
        <v>5510</v>
      </c>
      <c r="F344" s="13" t="s">
        <v>11871</v>
      </c>
      <c r="G344" s="13" t="s">
        <v>5510</v>
      </c>
      <c r="H344" s="13" t="s">
        <v>5510</v>
      </c>
      <c r="I344" s="13" t="s">
        <v>2018</v>
      </c>
      <c r="J344" s="13" t="s">
        <v>6627</v>
      </c>
      <c r="K344" s="13" t="s">
        <v>5510</v>
      </c>
      <c r="L344" s="13" t="s">
        <v>5510</v>
      </c>
      <c r="M344" s="13" t="s">
        <v>5513</v>
      </c>
      <c r="N344" s="13" t="s">
        <v>5514</v>
      </c>
      <c r="O344" s="13" t="s">
        <v>5510</v>
      </c>
      <c r="P344" s="13" t="s">
        <v>5510</v>
      </c>
      <c r="Q344" s="13" t="s">
        <v>5510</v>
      </c>
      <c r="R344" s="13" t="s">
        <v>5510</v>
      </c>
      <c r="S344" s="13" t="s">
        <v>5510</v>
      </c>
      <c r="T344" s="13" t="s">
        <v>11872</v>
      </c>
      <c r="U344" s="13" t="s">
        <v>11873</v>
      </c>
      <c r="V344" s="13" t="s">
        <v>11874</v>
      </c>
      <c r="W344" s="13" t="s">
        <v>11875</v>
      </c>
      <c r="X344" s="13" t="s">
        <v>11876</v>
      </c>
      <c r="Y344" s="13" t="s">
        <v>11877</v>
      </c>
      <c r="Z344" s="13" t="s">
        <v>11878</v>
      </c>
      <c r="AA344" s="13" t="s">
        <v>11879</v>
      </c>
      <c r="AB344" s="13" t="s">
        <v>11880</v>
      </c>
      <c r="AC344" s="13" t="s">
        <v>11881</v>
      </c>
      <c r="AD344" s="13" t="s">
        <v>11882</v>
      </c>
      <c r="AE344" s="13" t="s">
        <v>11883</v>
      </c>
      <c r="AF344" s="13" t="s">
        <v>5510</v>
      </c>
      <c r="AG344" s="13">
        <v>45.0</v>
      </c>
      <c r="AH344" s="13">
        <v>66.0</v>
      </c>
      <c r="AI344" s="13">
        <v>73.0</v>
      </c>
      <c r="AJ344" s="13">
        <v>1.0</v>
      </c>
      <c r="AK344" s="13">
        <v>154.0</v>
      </c>
      <c r="AL344" s="13" t="s">
        <v>5527</v>
      </c>
      <c r="AM344" s="13" t="s">
        <v>5528</v>
      </c>
      <c r="AN344" s="13" t="s">
        <v>5529</v>
      </c>
      <c r="AO344" s="13" t="s">
        <v>6640</v>
      </c>
      <c r="AP344" s="13" t="s">
        <v>6641</v>
      </c>
      <c r="AQ344" s="13" t="s">
        <v>5510</v>
      </c>
      <c r="AR344" s="13" t="s">
        <v>6642</v>
      </c>
      <c r="AS344" s="13" t="s">
        <v>6643</v>
      </c>
      <c r="AT344" s="13" t="s">
        <v>2514</v>
      </c>
      <c r="AU344" s="13">
        <v>2013.0</v>
      </c>
      <c r="AV344" s="13">
        <v>19.0</v>
      </c>
      <c r="AW344" s="13">
        <v>10.0</v>
      </c>
      <c r="AX344" s="13" t="s">
        <v>5510</v>
      </c>
      <c r="AY344" s="13" t="s">
        <v>5510</v>
      </c>
      <c r="AZ344" s="13" t="s">
        <v>5510</v>
      </c>
      <c r="BA344" s="13" t="s">
        <v>5510</v>
      </c>
      <c r="BB344" s="13">
        <v>1322.0</v>
      </c>
      <c r="BC344" s="13">
        <v>1332.0</v>
      </c>
      <c r="BD344" s="13" t="s">
        <v>5510</v>
      </c>
      <c r="BE344" s="13" t="s">
        <v>11884</v>
      </c>
      <c r="BF344" s="52" t="str">
        <f>HYPERLINK("http://dx.doi.org/10.1111/ddi.12105","http://dx.doi.org/10.1111/ddi.12105")</f>
        <v>http://dx.doi.org/10.1111/ddi.12105</v>
      </c>
      <c r="BG344" s="13" t="s">
        <v>5510</v>
      </c>
      <c r="BH344" s="13" t="s">
        <v>5510</v>
      </c>
      <c r="BI344" s="13">
        <v>11.0</v>
      </c>
      <c r="BJ344" s="13" t="s">
        <v>5958</v>
      </c>
      <c r="BK344" s="13" t="s">
        <v>5561</v>
      </c>
      <c r="BL344" s="13" t="s">
        <v>5699</v>
      </c>
      <c r="BM344" s="13" t="s">
        <v>11885</v>
      </c>
      <c r="BN344" s="13" t="s">
        <v>5510</v>
      </c>
      <c r="BO344" s="13" t="s">
        <v>6623</v>
      </c>
      <c r="BP344" s="13" t="s">
        <v>5510</v>
      </c>
      <c r="BQ344" s="13" t="s">
        <v>5510</v>
      </c>
      <c r="BR344" s="13" t="s">
        <v>5538</v>
      </c>
      <c r="BS344" s="13" t="s">
        <v>11886</v>
      </c>
      <c r="BT344" s="13">
        <v>23927.0</v>
      </c>
      <c r="BU344" s="13" t="s">
        <v>5540</v>
      </c>
      <c r="BV344" s="13" t="s">
        <v>4864</v>
      </c>
      <c r="BW344" s="13" t="str">
        <f>VLOOKUP($BT344,Enriched!$A$2:$E$1070,5,false)</f>
        <v>["Energy Production &amp; Mining", "Climate Change &amp; Severe Weather", "Transportation &amp; Service Corridors"]</v>
      </c>
      <c r="BX344" s="13" t="str">
        <f>VLOOKUP($BT344,Enriched!$A$2:$E$1070,4,false)</f>
        <v>["Oil &amp; gas drilling", "Habitat shifting &amp; alteration", "Shipping lanes"]</v>
      </c>
      <c r="BY344" s="13" t="b">
        <f>VLOOKUP(BT344,Enriched!$A$1:$AA$1070,27,falsE)</f>
        <v>0</v>
      </c>
      <c r="BZ344" s="2" t="str">
        <f>VLOOKUP(BT344,Enriched!$A$1:$AA$1070,14,falsE)</f>
        <v>level2</v>
      </c>
      <c r="CA344" s="13" t="str">
        <f>HYPERLINK("https%3A%2F%2Fwww.webofscience.com%2Fwos%2Fwoscc%2Ffull-record%2FWOS:000324019000010","View Full Record in Web of Science")</f>
        <v>View Full Record in Web of Science</v>
      </c>
    </row>
    <row r="345" ht="12.75" customHeight="1">
      <c r="A345" s="13" t="s">
        <v>5508</v>
      </c>
      <c r="B345" s="13" t="s">
        <v>11887</v>
      </c>
      <c r="C345" s="13" t="s">
        <v>5510</v>
      </c>
      <c r="D345" s="13" t="s">
        <v>5510</v>
      </c>
      <c r="E345" s="13" t="s">
        <v>5510</v>
      </c>
      <c r="F345" s="13" t="s">
        <v>11888</v>
      </c>
      <c r="G345" s="13" t="s">
        <v>5510</v>
      </c>
      <c r="H345" s="13" t="s">
        <v>5510</v>
      </c>
      <c r="I345" s="13" t="s">
        <v>11889</v>
      </c>
      <c r="J345" s="13" t="s">
        <v>5543</v>
      </c>
      <c r="K345" s="13" t="s">
        <v>5510</v>
      </c>
      <c r="L345" s="13" t="s">
        <v>5510</v>
      </c>
      <c r="M345" s="13" t="s">
        <v>5513</v>
      </c>
      <c r="N345" s="13" t="s">
        <v>5514</v>
      </c>
      <c r="O345" s="13" t="s">
        <v>5510</v>
      </c>
      <c r="P345" s="13" t="s">
        <v>5510</v>
      </c>
      <c r="Q345" s="13" t="s">
        <v>5510</v>
      </c>
      <c r="R345" s="13" t="s">
        <v>5510</v>
      </c>
      <c r="S345" s="13" t="s">
        <v>5510</v>
      </c>
      <c r="T345" s="13" t="s">
        <v>5510</v>
      </c>
      <c r="U345" s="13" t="s">
        <v>11890</v>
      </c>
      <c r="V345" s="13" t="s">
        <v>11891</v>
      </c>
      <c r="W345" s="13" t="s">
        <v>11892</v>
      </c>
      <c r="X345" s="13" t="s">
        <v>11893</v>
      </c>
      <c r="Y345" s="13" t="s">
        <v>11894</v>
      </c>
      <c r="Z345" s="13" t="s">
        <v>11895</v>
      </c>
      <c r="AA345" s="13" t="s">
        <v>11896</v>
      </c>
      <c r="AB345" s="13" t="s">
        <v>11897</v>
      </c>
      <c r="AC345" s="13" t="s">
        <v>11898</v>
      </c>
      <c r="AD345" s="13" t="s">
        <v>11899</v>
      </c>
      <c r="AE345" s="13" t="s">
        <v>11900</v>
      </c>
      <c r="AF345" s="13" t="s">
        <v>5510</v>
      </c>
      <c r="AG345" s="13">
        <v>76.0</v>
      </c>
      <c r="AH345" s="13">
        <v>37.0</v>
      </c>
      <c r="AI345" s="13">
        <v>40.0</v>
      </c>
      <c r="AJ345" s="13">
        <v>1.0</v>
      </c>
      <c r="AK345" s="13">
        <v>38.0</v>
      </c>
      <c r="AL345" s="13" t="s">
        <v>5552</v>
      </c>
      <c r="AM345" s="13" t="s">
        <v>5553</v>
      </c>
      <c r="AN345" s="13" t="s">
        <v>5554</v>
      </c>
      <c r="AO345" s="13" t="s">
        <v>5555</v>
      </c>
      <c r="AP345" s="13" t="s">
        <v>5510</v>
      </c>
      <c r="AQ345" s="13" t="s">
        <v>5510</v>
      </c>
      <c r="AR345" s="13" t="s">
        <v>5543</v>
      </c>
      <c r="AS345" s="13" t="s">
        <v>5556</v>
      </c>
      <c r="AT345" s="13" t="s">
        <v>11901</v>
      </c>
      <c r="AU345" s="13">
        <v>2018.0</v>
      </c>
      <c r="AV345" s="13">
        <v>13.0</v>
      </c>
      <c r="AW345" s="13">
        <v>7.0</v>
      </c>
      <c r="AX345" s="13" t="s">
        <v>5510</v>
      </c>
      <c r="AY345" s="13" t="s">
        <v>5510</v>
      </c>
      <c r="AZ345" s="13" t="s">
        <v>5510</v>
      </c>
      <c r="BA345" s="13" t="s">
        <v>5510</v>
      </c>
      <c r="BB345" s="13" t="s">
        <v>5510</v>
      </c>
      <c r="BC345" s="13" t="s">
        <v>5510</v>
      </c>
      <c r="BD345" s="13" t="s">
        <v>11902</v>
      </c>
      <c r="BE345" s="13" t="s">
        <v>11903</v>
      </c>
      <c r="BF345" s="52" t="str">
        <f>HYPERLINK("http://dx.doi.org/10.1371/journal.pone.0192582","http://dx.doi.org/10.1371/journal.pone.0192582")</f>
        <v>http://dx.doi.org/10.1371/journal.pone.0192582</v>
      </c>
      <c r="BG345" s="13" t="s">
        <v>5510</v>
      </c>
      <c r="BH345" s="13" t="s">
        <v>5510</v>
      </c>
      <c r="BI345" s="13">
        <v>29.0</v>
      </c>
      <c r="BJ345" s="13" t="s">
        <v>5560</v>
      </c>
      <c r="BK345" s="13" t="s">
        <v>5534</v>
      </c>
      <c r="BL345" s="13" t="s">
        <v>5562</v>
      </c>
      <c r="BM345" s="13" t="s">
        <v>11904</v>
      </c>
      <c r="BN345" s="13">
        <v>2.9969441E7</v>
      </c>
      <c r="BO345" s="13" t="s">
        <v>5564</v>
      </c>
      <c r="BP345" s="13" t="s">
        <v>5510</v>
      </c>
      <c r="BQ345" s="13" t="s">
        <v>5510</v>
      </c>
      <c r="BR345" s="13" t="s">
        <v>5538</v>
      </c>
      <c r="BS345" s="13" t="s">
        <v>11905</v>
      </c>
      <c r="BT345" s="13">
        <v>24461.0</v>
      </c>
      <c r="BU345" s="13" t="s">
        <v>5540</v>
      </c>
      <c r="BV345" s="13" t="s">
        <v>4864</v>
      </c>
      <c r="BW345" s="13" t="str">
        <f>VLOOKUP($BT345,Enriched!$A$2:$E$1070,5,false)</f>
        <v>["Biological Resource Use", "Human Intrusions &amp; Disturbance", "Agriculture &amp; Aquaculture", "Invasive &amp; Other Problematic Species, Genes &amp; Diseases", "Energy Production &amp; Mining", "Natural System Modifications", "Transportation &amp; Service Corridors", "Pollution", "Residential &amp; Commercial Development", "Climate Change &amp; Severe Weather"]</v>
      </c>
      <c r="BX345" s="13" t="str">
        <f>VLOOKUP($BT345,Enriched!$A$2:$E$1070,4,false)</f>
        <v>["Fishing &amp; harvesting aquatic resources", "Recreational activities", "Marine &amp; freshwater aquaculture", "Invasive non-native/alien species/diseases", "Oil &amp; gas drilling", "Other ecosystem modifications", "Shipping lanes", "Industrial &amp; military effluents", "Domestic &amp; urban waste water", "Dams &amp; water management/use", "Housing &amp; urban area", "Commercial &amp; industrial areas", "Habitat shifting &amp; alteration"]</v>
      </c>
      <c r="BY345" s="13" t="b">
        <f>VLOOKUP(BT345,Enriched!$A$1:$AA$1070,27,falsE)</f>
        <v>0</v>
      </c>
      <c r="BZ345" s="2" t="str">
        <f>VLOOKUP(BT345,Enriched!$A$1:$AA$1070,14,falsE)</f>
        <v>cumulative</v>
      </c>
      <c r="CA345" s="13" t="str">
        <f>HYPERLINK("https%3A%2F%2Fwww.webofscience.com%2Fwos%2Fwoscc%2Ffull-record%2FWOS:000437246700001","View Full Record in Web of Science")</f>
        <v>View Full Record in Web of Science</v>
      </c>
    </row>
    <row r="346" ht="12.75" customHeight="1">
      <c r="A346" s="13" t="s">
        <v>5508</v>
      </c>
      <c r="B346" s="13" t="s">
        <v>11906</v>
      </c>
      <c r="C346" s="13" t="s">
        <v>5510</v>
      </c>
      <c r="D346" s="13" t="s">
        <v>5510</v>
      </c>
      <c r="E346" s="13" t="s">
        <v>5510</v>
      </c>
      <c r="F346" s="13" t="s">
        <v>11907</v>
      </c>
      <c r="G346" s="13" t="s">
        <v>5510</v>
      </c>
      <c r="H346" s="13" t="s">
        <v>5510</v>
      </c>
      <c r="I346" s="13" t="s">
        <v>2013</v>
      </c>
      <c r="J346" s="13" t="s">
        <v>11908</v>
      </c>
      <c r="K346" s="13" t="s">
        <v>5510</v>
      </c>
      <c r="L346" s="13" t="s">
        <v>5510</v>
      </c>
      <c r="M346" s="13" t="s">
        <v>5513</v>
      </c>
      <c r="N346" s="13" t="s">
        <v>5514</v>
      </c>
      <c r="O346" s="13" t="s">
        <v>5510</v>
      </c>
      <c r="P346" s="13" t="s">
        <v>5510</v>
      </c>
      <c r="Q346" s="13" t="s">
        <v>5510</v>
      </c>
      <c r="R346" s="13" t="s">
        <v>5510</v>
      </c>
      <c r="S346" s="13" t="s">
        <v>5510</v>
      </c>
      <c r="T346" s="13" t="s">
        <v>11909</v>
      </c>
      <c r="U346" s="13" t="s">
        <v>11910</v>
      </c>
      <c r="V346" s="13" t="s">
        <v>11911</v>
      </c>
      <c r="W346" s="13" t="s">
        <v>11912</v>
      </c>
      <c r="X346" s="13" t="s">
        <v>8677</v>
      </c>
      <c r="Y346" s="13" t="s">
        <v>11913</v>
      </c>
      <c r="Z346" s="13" t="s">
        <v>11914</v>
      </c>
      <c r="AA346" s="13" t="s">
        <v>5510</v>
      </c>
      <c r="AB346" s="13" t="s">
        <v>5510</v>
      </c>
      <c r="AC346" s="13" t="s">
        <v>11915</v>
      </c>
      <c r="AD346" s="13" t="s">
        <v>11916</v>
      </c>
      <c r="AE346" s="13" t="s">
        <v>11917</v>
      </c>
      <c r="AF346" s="13" t="s">
        <v>5510</v>
      </c>
      <c r="AG346" s="13">
        <v>37.0</v>
      </c>
      <c r="AH346" s="13">
        <v>16.0</v>
      </c>
      <c r="AI346" s="13">
        <v>21.0</v>
      </c>
      <c r="AJ346" s="13">
        <v>3.0</v>
      </c>
      <c r="AK346" s="13">
        <v>35.0</v>
      </c>
      <c r="AL346" s="13" t="s">
        <v>10790</v>
      </c>
      <c r="AM346" s="13" t="s">
        <v>5528</v>
      </c>
      <c r="AN346" s="13" t="s">
        <v>5529</v>
      </c>
      <c r="AO346" s="13" t="s">
        <v>11918</v>
      </c>
      <c r="AP346" s="13" t="s">
        <v>11919</v>
      </c>
      <c r="AQ346" s="13" t="s">
        <v>5510</v>
      </c>
      <c r="AR346" s="13" t="s">
        <v>11920</v>
      </c>
      <c r="AS346" s="13" t="s">
        <v>11921</v>
      </c>
      <c r="AT346" s="13" t="s">
        <v>5667</v>
      </c>
      <c r="AU346" s="13">
        <v>2016.0</v>
      </c>
      <c r="AV346" s="13">
        <v>32.0</v>
      </c>
      <c r="AW346" s="13">
        <v>3.0</v>
      </c>
      <c r="AX346" s="13" t="s">
        <v>5510</v>
      </c>
      <c r="AY346" s="13" t="s">
        <v>5510</v>
      </c>
      <c r="AZ346" s="13" t="s">
        <v>5510</v>
      </c>
      <c r="BA346" s="13" t="s">
        <v>5510</v>
      </c>
      <c r="BB346" s="13">
        <v>1022.0</v>
      </c>
      <c r="BC346" s="13">
        <v>1043.0</v>
      </c>
      <c r="BD346" s="13" t="s">
        <v>5510</v>
      </c>
      <c r="BE346" s="13" t="s">
        <v>11922</v>
      </c>
      <c r="BF346" s="52" t="str">
        <f>HYPERLINK("http://dx.doi.org/10.1111/mms.12322","http://dx.doi.org/10.1111/mms.12322")</f>
        <v>http://dx.doi.org/10.1111/mms.12322</v>
      </c>
      <c r="BG346" s="13" t="s">
        <v>5510</v>
      </c>
      <c r="BH346" s="13" t="s">
        <v>5510</v>
      </c>
      <c r="BI346" s="13">
        <v>22.0</v>
      </c>
      <c r="BJ346" s="13" t="s">
        <v>11923</v>
      </c>
      <c r="BK346" s="13" t="s">
        <v>5561</v>
      </c>
      <c r="BL346" s="13" t="s">
        <v>11923</v>
      </c>
      <c r="BM346" s="13" t="s">
        <v>11924</v>
      </c>
      <c r="BN346" s="13" t="s">
        <v>5510</v>
      </c>
      <c r="BO346" s="13" t="s">
        <v>5510</v>
      </c>
      <c r="BP346" s="13" t="s">
        <v>5510</v>
      </c>
      <c r="BQ346" s="13" t="s">
        <v>5510</v>
      </c>
      <c r="BR346" s="13" t="s">
        <v>5538</v>
      </c>
      <c r="BS346" s="13" t="s">
        <v>11925</v>
      </c>
      <c r="BT346" s="13">
        <v>26002.0</v>
      </c>
      <c r="BU346" s="13" t="s">
        <v>5540</v>
      </c>
      <c r="BV346" s="13" t="s">
        <v>4864</v>
      </c>
      <c r="BW346" s="13" t="str">
        <f>VLOOKUP($BT346,Enriched!$A$2:$E$1070,5,false)</f>
        <v>["Biological resource use"]</v>
      </c>
      <c r="BX346" s="13" t="str">
        <f>VLOOKUP($BT346,Enriched!$A$2:$E$1070,4,false)</f>
        <v>["Fishing &amp; harvesting aquatic resources"]</v>
      </c>
      <c r="BY346" s="13" t="b">
        <f>VLOOKUP(BT346,Enriched!$A$1:$AA$1070,27,falsE)</f>
        <v>0</v>
      </c>
      <c r="BZ346" s="2" t="str">
        <f>VLOOKUP(BT346,Enriched!$A$1:$AA$1070,14,falsE)</f>
        <v>level2</v>
      </c>
      <c r="CA346" s="13" t="str">
        <f>HYPERLINK("https%3A%2F%2Fwww.webofscience.com%2Fwos%2Fwoscc%2Ffull-record%2FWOS:000385006800012","View Full Record in Web of Science")</f>
        <v>View Full Record in Web of Science</v>
      </c>
    </row>
    <row r="347" ht="12.75" customHeight="1">
      <c r="A347" s="13" t="s">
        <v>5508</v>
      </c>
      <c r="B347" s="13" t="s">
        <v>11926</v>
      </c>
      <c r="C347" s="13" t="s">
        <v>5510</v>
      </c>
      <c r="D347" s="13" t="s">
        <v>5510</v>
      </c>
      <c r="E347" s="13" t="s">
        <v>5510</v>
      </c>
      <c r="F347" s="13" t="s">
        <v>11927</v>
      </c>
      <c r="G347" s="13" t="s">
        <v>5510</v>
      </c>
      <c r="H347" s="13" t="s">
        <v>5510</v>
      </c>
      <c r="I347" s="13" t="s">
        <v>11928</v>
      </c>
      <c r="J347" s="13" t="s">
        <v>8163</v>
      </c>
      <c r="K347" s="13" t="s">
        <v>5510</v>
      </c>
      <c r="L347" s="13" t="s">
        <v>5510</v>
      </c>
      <c r="M347" s="13" t="s">
        <v>5513</v>
      </c>
      <c r="N347" s="13" t="s">
        <v>5626</v>
      </c>
      <c r="O347" s="13" t="s">
        <v>11929</v>
      </c>
      <c r="P347" s="13" t="s">
        <v>11930</v>
      </c>
      <c r="Q347" s="13" t="s">
        <v>11931</v>
      </c>
      <c r="R347" s="13" t="s">
        <v>5510</v>
      </c>
      <c r="S347" s="13" t="s">
        <v>5510</v>
      </c>
      <c r="T347" s="13" t="s">
        <v>11932</v>
      </c>
      <c r="U347" s="13" t="s">
        <v>11933</v>
      </c>
      <c r="V347" s="13" t="s">
        <v>11934</v>
      </c>
      <c r="W347" s="13" t="s">
        <v>11935</v>
      </c>
      <c r="X347" s="13" t="s">
        <v>11936</v>
      </c>
      <c r="Y347" s="13" t="s">
        <v>11937</v>
      </c>
      <c r="Z347" s="13" t="s">
        <v>11938</v>
      </c>
      <c r="AA347" s="13" t="s">
        <v>11939</v>
      </c>
      <c r="AB347" s="13" t="s">
        <v>11940</v>
      </c>
      <c r="AC347" s="13" t="s">
        <v>5510</v>
      </c>
      <c r="AD347" s="13" t="s">
        <v>5510</v>
      </c>
      <c r="AE347" s="13" t="s">
        <v>5510</v>
      </c>
      <c r="AF347" s="13" t="s">
        <v>5510</v>
      </c>
      <c r="AG347" s="13">
        <v>118.0</v>
      </c>
      <c r="AH347" s="13">
        <v>86.0</v>
      </c>
      <c r="AI347" s="13">
        <v>102.0</v>
      </c>
      <c r="AJ347" s="13">
        <v>1.0</v>
      </c>
      <c r="AK347" s="13">
        <v>153.0</v>
      </c>
      <c r="AL347" s="13" t="s">
        <v>5690</v>
      </c>
      <c r="AM347" s="13" t="s">
        <v>5691</v>
      </c>
      <c r="AN347" s="13" t="s">
        <v>5692</v>
      </c>
      <c r="AO347" s="13" t="s">
        <v>8176</v>
      </c>
      <c r="AP347" s="13" t="s">
        <v>8177</v>
      </c>
      <c r="AQ347" s="13" t="s">
        <v>5510</v>
      </c>
      <c r="AR347" s="13" t="s">
        <v>8178</v>
      </c>
      <c r="AS347" s="13" t="s">
        <v>8179</v>
      </c>
      <c r="AT347" s="13" t="s">
        <v>2514</v>
      </c>
      <c r="AU347" s="13">
        <v>2010.0</v>
      </c>
      <c r="AV347" s="13">
        <v>25.0</v>
      </c>
      <c r="AW347" s="13">
        <v>8.0</v>
      </c>
      <c r="AX347" s="13" t="s">
        <v>5510</v>
      </c>
      <c r="AY347" s="13" t="s">
        <v>5510</v>
      </c>
      <c r="AZ347" s="13" t="s">
        <v>5510</v>
      </c>
      <c r="BA347" s="13" t="s">
        <v>5510</v>
      </c>
      <c r="BB347" s="13">
        <v>1231.0</v>
      </c>
      <c r="BC347" s="13">
        <v>1246.0</v>
      </c>
      <c r="BD347" s="13" t="s">
        <v>5510</v>
      </c>
      <c r="BE347" s="13" t="s">
        <v>11941</v>
      </c>
      <c r="BF347" s="52" t="str">
        <f>HYPERLINK("http://dx.doi.org/10.1007/s10980-010-9495-9","http://dx.doi.org/10.1007/s10980-010-9495-9")</f>
        <v>http://dx.doi.org/10.1007/s10980-010-9495-9</v>
      </c>
      <c r="BG347" s="13" t="s">
        <v>5510</v>
      </c>
      <c r="BH347" s="13" t="s">
        <v>5510</v>
      </c>
      <c r="BI347" s="13">
        <v>16.0</v>
      </c>
      <c r="BJ347" s="13" t="s">
        <v>8181</v>
      </c>
      <c r="BK347" s="13" t="s">
        <v>11942</v>
      </c>
      <c r="BL347" s="13" t="s">
        <v>6551</v>
      </c>
      <c r="BM347" s="13" t="s">
        <v>11943</v>
      </c>
      <c r="BN347" s="13" t="s">
        <v>5510</v>
      </c>
      <c r="BO347" s="13" t="s">
        <v>5510</v>
      </c>
      <c r="BP347" s="13" t="s">
        <v>5510</v>
      </c>
      <c r="BQ347" s="13" t="s">
        <v>5510</v>
      </c>
      <c r="BR347" s="13" t="s">
        <v>5538</v>
      </c>
      <c r="BS347" s="13" t="s">
        <v>11944</v>
      </c>
      <c r="BT347" s="13">
        <v>25012.0</v>
      </c>
      <c r="BU347" s="13" t="s">
        <v>5540</v>
      </c>
      <c r="BV347" s="13" t="s">
        <v>4856</v>
      </c>
      <c r="BW347" s="13" t="str">
        <f>VLOOKUP($BT347,Enriched!$A$2:$E$1070,5,false)</f>
        <v>["Agriculture &amp; Aquaculture", "Residential &amp; Commercial Development"]</v>
      </c>
      <c r="BX347" s="13" t="str">
        <f>VLOOKUP($BT347,Enriched!$A$2:$E$1070,4,false)</f>
        <v>["Livestock farming &amp; ranching", "Tourism &amp; recreation areas"]</v>
      </c>
      <c r="BY347" s="13" t="b">
        <f>VLOOKUP(BT347,Enriched!$A$1:$AA$1070,27,falsE)</f>
        <v>0</v>
      </c>
      <c r="BZ347" s="2" t="str">
        <f>VLOOKUP(BT347,Enriched!$A$1:$AA$1070,14,falsE)</f>
        <v>level2</v>
      </c>
      <c r="CA347" s="13" t="str">
        <f>HYPERLINK("https%3A%2F%2Fwww.webofscience.com%2Fwos%2Fwoscc%2Ffull-record%2FWOS:000281725700008","View Full Record in Web of Science")</f>
        <v>View Full Record in Web of Science</v>
      </c>
    </row>
    <row r="348" ht="12.75" customHeight="1">
      <c r="A348" s="13" t="s">
        <v>5508</v>
      </c>
      <c r="B348" s="13" t="s">
        <v>11945</v>
      </c>
      <c r="C348" s="13" t="s">
        <v>5510</v>
      </c>
      <c r="D348" s="13" t="s">
        <v>5510</v>
      </c>
      <c r="E348" s="13" t="s">
        <v>5510</v>
      </c>
      <c r="F348" s="13" t="s">
        <v>11946</v>
      </c>
      <c r="G348" s="13" t="s">
        <v>5510</v>
      </c>
      <c r="H348" s="13" t="s">
        <v>5510</v>
      </c>
      <c r="I348" s="13" t="s">
        <v>2007</v>
      </c>
      <c r="J348" s="13" t="s">
        <v>11947</v>
      </c>
      <c r="K348" s="13" t="s">
        <v>5510</v>
      </c>
      <c r="L348" s="13" t="s">
        <v>5510</v>
      </c>
      <c r="M348" s="13" t="s">
        <v>5513</v>
      </c>
      <c r="N348" s="13" t="s">
        <v>5514</v>
      </c>
      <c r="O348" s="13" t="s">
        <v>5510</v>
      </c>
      <c r="P348" s="13" t="s">
        <v>5510</v>
      </c>
      <c r="Q348" s="13" t="s">
        <v>5510</v>
      </c>
      <c r="R348" s="13" t="s">
        <v>5510</v>
      </c>
      <c r="S348" s="13" t="s">
        <v>5510</v>
      </c>
      <c r="T348" s="13" t="s">
        <v>5510</v>
      </c>
      <c r="U348" s="13" t="s">
        <v>11948</v>
      </c>
      <c r="V348" s="13" t="s">
        <v>11949</v>
      </c>
      <c r="W348" s="13" t="s">
        <v>11950</v>
      </c>
      <c r="X348" s="13" t="s">
        <v>11951</v>
      </c>
      <c r="Y348" s="13" t="s">
        <v>11952</v>
      </c>
      <c r="Z348" s="13" t="s">
        <v>11953</v>
      </c>
      <c r="AA348" s="13" t="s">
        <v>11954</v>
      </c>
      <c r="AB348" s="13" t="s">
        <v>11955</v>
      </c>
      <c r="AC348" s="13" t="s">
        <v>11956</v>
      </c>
      <c r="AD348" s="13" t="s">
        <v>11957</v>
      </c>
      <c r="AE348" s="13" t="s">
        <v>11958</v>
      </c>
      <c r="AF348" s="13" t="s">
        <v>5510</v>
      </c>
      <c r="AG348" s="13">
        <v>30.0</v>
      </c>
      <c r="AH348" s="13">
        <v>905.0</v>
      </c>
      <c r="AI348" s="13">
        <v>1042.0</v>
      </c>
      <c r="AJ348" s="13">
        <v>23.0</v>
      </c>
      <c r="AK348" s="13">
        <v>531.0</v>
      </c>
      <c r="AL348" s="13" t="s">
        <v>11959</v>
      </c>
      <c r="AM348" s="13" t="s">
        <v>5908</v>
      </c>
      <c r="AN348" s="13" t="s">
        <v>11960</v>
      </c>
      <c r="AO348" s="13" t="s">
        <v>11961</v>
      </c>
      <c r="AP348" s="13" t="s">
        <v>11962</v>
      </c>
      <c r="AQ348" s="13" t="s">
        <v>5510</v>
      </c>
      <c r="AR348" s="13" t="s">
        <v>11947</v>
      </c>
      <c r="AS348" s="13" t="s">
        <v>117</v>
      </c>
      <c r="AT348" s="13" t="s">
        <v>11963</v>
      </c>
      <c r="AU348" s="13">
        <v>2018.0</v>
      </c>
      <c r="AV348" s="13">
        <v>359.0</v>
      </c>
      <c r="AW348" s="13">
        <v>6374.0</v>
      </c>
      <c r="AX348" s="13" t="s">
        <v>5510</v>
      </c>
      <c r="AY348" s="13" t="s">
        <v>5510</v>
      </c>
      <c r="AZ348" s="13" t="s">
        <v>5510</v>
      </c>
      <c r="BA348" s="13" t="s">
        <v>5510</v>
      </c>
      <c r="BB348" s="13">
        <v>466.0</v>
      </c>
      <c r="BC348" s="13">
        <v>469.0</v>
      </c>
      <c r="BD348" s="13" t="s">
        <v>5510</v>
      </c>
      <c r="BE348" s="13" t="s">
        <v>11964</v>
      </c>
      <c r="BF348" s="52" t="str">
        <f>HYPERLINK("http://dx.doi.org/10.1126/science.aam9712","http://dx.doi.org/10.1126/science.aam9712")</f>
        <v>http://dx.doi.org/10.1126/science.aam9712</v>
      </c>
      <c r="BG348" s="13" t="s">
        <v>5510</v>
      </c>
      <c r="BH348" s="13" t="s">
        <v>5510</v>
      </c>
      <c r="BI348" s="13">
        <v>4.0</v>
      </c>
      <c r="BJ348" s="13" t="s">
        <v>5560</v>
      </c>
      <c r="BK348" s="13" t="s">
        <v>5561</v>
      </c>
      <c r="BL348" s="13" t="s">
        <v>5562</v>
      </c>
      <c r="BM348" s="13" t="s">
        <v>11965</v>
      </c>
      <c r="BN348" s="13">
        <v>2.9371471E7</v>
      </c>
      <c r="BO348" s="13" t="s">
        <v>6623</v>
      </c>
      <c r="BP348" s="13" t="s">
        <v>5510</v>
      </c>
      <c r="BQ348" s="13" t="s">
        <v>5510</v>
      </c>
      <c r="BR348" s="13" t="s">
        <v>5538</v>
      </c>
      <c r="BS348" s="13" t="s">
        <v>11966</v>
      </c>
      <c r="BT348" s="13">
        <v>25830.0</v>
      </c>
      <c r="BU348" s="13" t="s">
        <v>5540</v>
      </c>
      <c r="BV348" s="13" t="s">
        <v>4856</v>
      </c>
      <c r="BW348" s="13" t="str">
        <f>VLOOKUP($BT348,Enriched!$A$2:$E$1070,5,false)</f>
        <v>["Residential &amp; Commercial Development", "Agriculture &amp; Aquaculture", "Transportation &amp; Service Corridors", "Pollution"]</v>
      </c>
      <c r="BX348" s="13" t="str">
        <f>VLOOKUP($BT348,Enriched!$A$2:$E$1070,4,false)</f>
        <v>["Housing &amp; urban area", "Commercial &amp; industrial areas", "Tourism &amp; recreation areas", "Annual &amp; perennial non-timber crops", "Livestock farming &amp; ranching", "Roads &amp; railroads", "Excess energy"]</v>
      </c>
      <c r="BY348" s="13" t="b">
        <f>VLOOKUP(BT348,Enriched!$A$1:$AA$1070,27,falsE)</f>
        <v>0</v>
      </c>
      <c r="BZ348" s="2" t="str">
        <f>VLOOKUP(BT348,Enriched!$A$1:$AA$1070,14,falsE)</f>
        <v>cumulative</v>
      </c>
      <c r="CA348" s="13" t="str">
        <f>HYPERLINK("https%3A%2F%2Fwww.webofscience.com%2Fwos%2Fwoscc%2Ffull-record%2FWOS:000423283200049","View Full Record in Web of Science")</f>
        <v>View Full Record in Web of Science</v>
      </c>
    </row>
    <row r="349" ht="12.75" customHeight="1">
      <c r="A349" s="13" t="s">
        <v>5508</v>
      </c>
      <c r="B349" s="13" t="s">
        <v>11967</v>
      </c>
      <c r="C349" s="13" t="s">
        <v>5510</v>
      </c>
      <c r="D349" s="13" t="s">
        <v>5510</v>
      </c>
      <c r="E349" s="13" t="s">
        <v>5510</v>
      </c>
      <c r="F349" s="13" t="s">
        <v>11968</v>
      </c>
      <c r="G349" s="13" t="s">
        <v>5510</v>
      </c>
      <c r="H349" s="13" t="s">
        <v>5510</v>
      </c>
      <c r="I349" s="13" t="s">
        <v>2004</v>
      </c>
      <c r="J349" s="13" t="s">
        <v>8582</v>
      </c>
      <c r="K349" s="13" t="s">
        <v>5510</v>
      </c>
      <c r="L349" s="13" t="s">
        <v>5510</v>
      </c>
      <c r="M349" s="13" t="s">
        <v>5513</v>
      </c>
      <c r="N349" s="13" t="s">
        <v>5514</v>
      </c>
      <c r="O349" s="13" t="s">
        <v>5510</v>
      </c>
      <c r="P349" s="13" t="s">
        <v>5510</v>
      </c>
      <c r="Q349" s="13" t="s">
        <v>5510</v>
      </c>
      <c r="R349" s="13" t="s">
        <v>5510</v>
      </c>
      <c r="S349" s="13" t="s">
        <v>5510</v>
      </c>
      <c r="T349" s="13" t="s">
        <v>11969</v>
      </c>
      <c r="U349" s="13" t="s">
        <v>11970</v>
      </c>
      <c r="V349" s="13" t="s">
        <v>11971</v>
      </c>
      <c r="W349" s="13" t="s">
        <v>11972</v>
      </c>
      <c r="X349" s="13" t="s">
        <v>11973</v>
      </c>
      <c r="Y349" s="13" t="s">
        <v>11974</v>
      </c>
      <c r="Z349" s="13" t="s">
        <v>11975</v>
      </c>
      <c r="AA349" s="13" t="s">
        <v>11976</v>
      </c>
      <c r="AB349" s="13" t="s">
        <v>11977</v>
      </c>
      <c r="AC349" s="13" t="s">
        <v>11978</v>
      </c>
      <c r="AD349" s="13" t="s">
        <v>11979</v>
      </c>
      <c r="AE349" s="13" t="s">
        <v>11980</v>
      </c>
      <c r="AF349" s="13" t="s">
        <v>5510</v>
      </c>
      <c r="AG349" s="13">
        <v>54.0</v>
      </c>
      <c r="AH349" s="13">
        <v>12.0</v>
      </c>
      <c r="AI349" s="13">
        <v>12.0</v>
      </c>
      <c r="AJ349" s="13">
        <v>0.0</v>
      </c>
      <c r="AK349" s="13">
        <v>30.0</v>
      </c>
      <c r="AL349" s="13" t="s">
        <v>5690</v>
      </c>
      <c r="AM349" s="13" t="s">
        <v>6503</v>
      </c>
      <c r="AN349" s="13" t="s">
        <v>7040</v>
      </c>
      <c r="AO349" s="13" t="s">
        <v>8592</v>
      </c>
      <c r="AP349" s="13" t="s">
        <v>8593</v>
      </c>
      <c r="AQ349" s="13" t="s">
        <v>5510</v>
      </c>
      <c r="AR349" s="13" t="s">
        <v>8594</v>
      </c>
      <c r="AS349" s="13" t="s">
        <v>8595</v>
      </c>
      <c r="AT349" s="13" t="s">
        <v>1925</v>
      </c>
      <c r="AU349" s="13">
        <v>2018.0</v>
      </c>
      <c r="AV349" s="13">
        <v>62.0</v>
      </c>
      <c r="AW349" s="13">
        <v>3.0</v>
      </c>
      <c r="AX349" s="13" t="s">
        <v>5510</v>
      </c>
      <c r="AY349" s="13" t="s">
        <v>5510</v>
      </c>
      <c r="AZ349" s="13" t="s">
        <v>5510</v>
      </c>
      <c r="BA349" s="13" t="s">
        <v>5510</v>
      </c>
      <c r="BB349" s="13">
        <v>595.0</v>
      </c>
      <c r="BC349" s="13">
        <v>607.0</v>
      </c>
      <c r="BD349" s="13" t="s">
        <v>5510</v>
      </c>
      <c r="BE349" s="13" t="s">
        <v>11981</v>
      </c>
      <c r="BF349" s="52" t="str">
        <f>HYPERLINK("http://dx.doi.org/10.1007/s00267-018-1063-0","http://dx.doi.org/10.1007/s00267-018-1063-0")</f>
        <v>http://dx.doi.org/10.1007/s00267-018-1063-0</v>
      </c>
      <c r="BG349" s="13" t="s">
        <v>5510</v>
      </c>
      <c r="BH349" s="13" t="s">
        <v>5510</v>
      </c>
      <c r="BI349" s="13">
        <v>13.0</v>
      </c>
      <c r="BJ349" s="13" t="s">
        <v>5768</v>
      </c>
      <c r="BK349" s="13" t="s">
        <v>5561</v>
      </c>
      <c r="BL349" s="13" t="s">
        <v>5535</v>
      </c>
      <c r="BM349" s="13" t="s">
        <v>11982</v>
      </c>
      <c r="BN349" s="13">
        <v>2.9752497E7</v>
      </c>
      <c r="BO349" s="13" t="s">
        <v>5510</v>
      </c>
      <c r="BP349" s="13" t="s">
        <v>5510</v>
      </c>
      <c r="BQ349" s="13" t="s">
        <v>5510</v>
      </c>
      <c r="BR349" s="13" t="s">
        <v>5538</v>
      </c>
      <c r="BS349" s="13" t="s">
        <v>11983</v>
      </c>
      <c r="BT349" s="13">
        <v>24232.0</v>
      </c>
      <c r="BU349" s="13" t="s">
        <v>5540</v>
      </c>
      <c r="BV349" s="13" t="s">
        <v>4856</v>
      </c>
      <c r="BW349" s="13" t="str">
        <f>VLOOKUP($BT349,Enriched!$A$2:$E$1070,5,false)</f>
        <v>["Human Intrusions &amp; Disturbance"]</v>
      </c>
      <c r="BX349" s="13" t="str">
        <f>VLOOKUP($BT349,Enriched!$A$2:$E$1070,4,false)</f>
        <v>["Recreational activities"]</v>
      </c>
      <c r="BY349" s="13" t="b">
        <f>VLOOKUP(BT349,Enriched!$A$1:$AA$1070,27,falsE)</f>
        <v>0</v>
      </c>
      <c r="BZ349" s="2" t="str">
        <f>VLOOKUP(BT349,Enriched!$A$1:$AA$1070,14,falsE)</f>
        <v>level2</v>
      </c>
      <c r="CA349" s="13" t="str">
        <f>HYPERLINK("https%3A%2F%2Fwww.webofscience.com%2Fwos%2Fwoscc%2Ffull-record%2FWOS:000443834900013","View Full Record in Web of Science")</f>
        <v>View Full Record in Web of Science</v>
      </c>
    </row>
    <row r="350" ht="12.75" customHeight="1">
      <c r="A350" s="13" t="s">
        <v>5508</v>
      </c>
      <c r="B350" s="13" t="s">
        <v>11984</v>
      </c>
      <c r="C350" s="13" t="s">
        <v>5510</v>
      </c>
      <c r="D350" s="13" t="s">
        <v>5510</v>
      </c>
      <c r="E350" s="13" t="s">
        <v>5510</v>
      </c>
      <c r="F350" s="13" t="s">
        <v>11985</v>
      </c>
      <c r="G350" s="13" t="s">
        <v>5510</v>
      </c>
      <c r="H350" s="13" t="s">
        <v>5510</v>
      </c>
      <c r="I350" s="13" t="s">
        <v>2001</v>
      </c>
      <c r="J350" s="13" t="s">
        <v>5919</v>
      </c>
      <c r="K350" s="13" t="s">
        <v>5510</v>
      </c>
      <c r="L350" s="13" t="s">
        <v>5510</v>
      </c>
      <c r="M350" s="13" t="s">
        <v>5513</v>
      </c>
      <c r="N350" s="13" t="s">
        <v>5514</v>
      </c>
      <c r="O350" s="13" t="s">
        <v>5510</v>
      </c>
      <c r="P350" s="13" t="s">
        <v>5510</v>
      </c>
      <c r="Q350" s="13" t="s">
        <v>5510</v>
      </c>
      <c r="R350" s="13" t="s">
        <v>5510</v>
      </c>
      <c r="S350" s="13" t="s">
        <v>5510</v>
      </c>
      <c r="T350" s="13" t="s">
        <v>11986</v>
      </c>
      <c r="U350" s="13" t="s">
        <v>11987</v>
      </c>
      <c r="V350" s="13" t="s">
        <v>11988</v>
      </c>
      <c r="W350" s="13" t="s">
        <v>11989</v>
      </c>
      <c r="X350" s="13" t="s">
        <v>11990</v>
      </c>
      <c r="Y350" s="13" t="s">
        <v>11991</v>
      </c>
      <c r="Z350" s="13" t="s">
        <v>11992</v>
      </c>
      <c r="AA350" s="13" t="s">
        <v>11993</v>
      </c>
      <c r="AB350" s="13" t="s">
        <v>11994</v>
      </c>
      <c r="AC350" s="13" t="s">
        <v>11995</v>
      </c>
      <c r="AD350" s="13" t="s">
        <v>11996</v>
      </c>
      <c r="AE350" s="13" t="s">
        <v>11997</v>
      </c>
      <c r="AF350" s="13" t="s">
        <v>5510</v>
      </c>
      <c r="AG350" s="13">
        <v>43.0</v>
      </c>
      <c r="AH350" s="13">
        <v>102.0</v>
      </c>
      <c r="AI350" s="13">
        <v>118.0</v>
      </c>
      <c r="AJ350" s="13">
        <v>4.0</v>
      </c>
      <c r="AK350" s="13">
        <v>130.0</v>
      </c>
      <c r="AL350" s="13" t="s">
        <v>5931</v>
      </c>
      <c r="AM350" s="13" t="s">
        <v>5932</v>
      </c>
      <c r="AN350" s="13" t="s">
        <v>5933</v>
      </c>
      <c r="AO350" s="13" t="s">
        <v>5934</v>
      </c>
      <c r="AP350" s="13" t="s">
        <v>5935</v>
      </c>
      <c r="AQ350" s="13" t="s">
        <v>5510</v>
      </c>
      <c r="AR350" s="13" t="s">
        <v>5936</v>
      </c>
      <c r="AS350" s="13" t="s">
        <v>5937</v>
      </c>
      <c r="AT350" s="13" t="s">
        <v>5582</v>
      </c>
      <c r="AU350" s="13">
        <v>2012.0</v>
      </c>
      <c r="AV350" s="13">
        <v>145.0</v>
      </c>
      <c r="AW350" s="13">
        <v>1.0</v>
      </c>
      <c r="AX350" s="13" t="s">
        <v>5510</v>
      </c>
      <c r="AY350" s="13" t="s">
        <v>5510</v>
      </c>
      <c r="AZ350" s="13" t="s">
        <v>5510</v>
      </c>
      <c r="BA350" s="13" t="s">
        <v>5510</v>
      </c>
      <c r="BB350" s="13">
        <v>102.0</v>
      </c>
      <c r="BC350" s="13">
        <v>108.0</v>
      </c>
      <c r="BD350" s="13" t="s">
        <v>5510</v>
      </c>
      <c r="BE350" s="13" t="s">
        <v>11998</v>
      </c>
      <c r="BF350" s="52" t="str">
        <f>HYPERLINK("http://dx.doi.org/10.1016/j.biocon.2011.10.017","http://dx.doi.org/10.1016/j.biocon.2011.10.017")</f>
        <v>http://dx.doi.org/10.1016/j.biocon.2011.10.017</v>
      </c>
      <c r="BG350" s="13" t="s">
        <v>5510</v>
      </c>
      <c r="BH350" s="13" t="s">
        <v>5510</v>
      </c>
      <c r="BI350" s="13">
        <v>7.0</v>
      </c>
      <c r="BJ350" s="13" t="s">
        <v>5698</v>
      </c>
      <c r="BK350" s="13" t="s">
        <v>5561</v>
      </c>
      <c r="BL350" s="13" t="s">
        <v>5699</v>
      </c>
      <c r="BM350" s="13" t="s">
        <v>11999</v>
      </c>
      <c r="BN350" s="13" t="s">
        <v>5510</v>
      </c>
      <c r="BO350" s="13" t="s">
        <v>6623</v>
      </c>
      <c r="BP350" s="13" t="s">
        <v>5510</v>
      </c>
      <c r="BQ350" s="13" t="s">
        <v>5510</v>
      </c>
      <c r="BR350" s="13" t="s">
        <v>5538</v>
      </c>
      <c r="BS350" s="13" t="s">
        <v>12000</v>
      </c>
      <c r="BT350" s="13">
        <v>23466.0</v>
      </c>
      <c r="BU350" s="13" t="s">
        <v>11683</v>
      </c>
      <c r="BV350" s="13" t="s">
        <v>4856</v>
      </c>
      <c r="BW350" s="13" t="str">
        <f>VLOOKUP($BT350,Enriched!$A$2:$E$1070,5,false)</f>
        <v>["Energy Production &amp; Mining"]</v>
      </c>
      <c r="BX350" s="13" t="str">
        <f>VLOOKUP($BT350,Enriched!$A$2:$E$1070,4,false)</f>
        <v>["Renewable energy"]</v>
      </c>
      <c r="BY350" s="13" t="b">
        <f>VLOOKUP(BT350,Enriched!$A$1:$AA$1070,27,falsE)</f>
        <v>0</v>
      </c>
      <c r="BZ350" s="2" t="str">
        <f>VLOOKUP(BT350,Enriched!$A$1:$AA$1070,14,falsE)</f>
        <v>level2</v>
      </c>
      <c r="CA350" s="13" t="str">
        <f>HYPERLINK("https%3A%2F%2Fwww.webofscience.com%2Fwos%2Fwoscc%2Ffull-record%2FWOS:000301092400016","View Full Record in Web of Science")</f>
        <v>View Full Record in Web of Science</v>
      </c>
    </row>
    <row r="351" ht="12.75" customHeight="1">
      <c r="A351" s="13" t="s">
        <v>5508</v>
      </c>
      <c r="B351" s="13" t="s">
        <v>12001</v>
      </c>
      <c r="C351" s="13" t="s">
        <v>5510</v>
      </c>
      <c r="D351" s="13" t="s">
        <v>5510</v>
      </c>
      <c r="E351" s="13" t="s">
        <v>5510</v>
      </c>
      <c r="F351" s="13" t="s">
        <v>12002</v>
      </c>
      <c r="G351" s="13" t="s">
        <v>5510</v>
      </c>
      <c r="H351" s="13" t="s">
        <v>5510</v>
      </c>
      <c r="I351" s="13" t="s">
        <v>1998</v>
      </c>
      <c r="J351" s="13" t="s">
        <v>5792</v>
      </c>
      <c r="K351" s="13" t="s">
        <v>5510</v>
      </c>
      <c r="L351" s="13" t="s">
        <v>5510</v>
      </c>
      <c r="M351" s="13" t="s">
        <v>5513</v>
      </c>
      <c r="N351" s="13" t="s">
        <v>5514</v>
      </c>
      <c r="O351" s="13" t="s">
        <v>5510</v>
      </c>
      <c r="P351" s="13" t="s">
        <v>5510</v>
      </c>
      <c r="Q351" s="13" t="s">
        <v>5510</v>
      </c>
      <c r="R351" s="13" t="s">
        <v>5510</v>
      </c>
      <c r="S351" s="13" t="s">
        <v>5510</v>
      </c>
      <c r="T351" s="13" t="s">
        <v>5510</v>
      </c>
      <c r="U351" s="13" t="s">
        <v>12003</v>
      </c>
      <c r="V351" s="13" t="s">
        <v>12004</v>
      </c>
      <c r="W351" s="13" t="s">
        <v>12005</v>
      </c>
      <c r="X351" s="13" t="s">
        <v>12006</v>
      </c>
      <c r="Y351" s="13" t="s">
        <v>12007</v>
      </c>
      <c r="Z351" s="13" t="s">
        <v>12008</v>
      </c>
      <c r="AA351" s="13" t="s">
        <v>5510</v>
      </c>
      <c r="AB351" s="13" t="s">
        <v>12009</v>
      </c>
      <c r="AC351" s="13" t="s">
        <v>12010</v>
      </c>
      <c r="AD351" s="13" t="s">
        <v>12010</v>
      </c>
      <c r="AE351" s="13" t="s">
        <v>12011</v>
      </c>
      <c r="AF351" s="13" t="s">
        <v>5510</v>
      </c>
      <c r="AG351" s="13">
        <v>60.0</v>
      </c>
      <c r="AH351" s="13">
        <v>27.0</v>
      </c>
      <c r="AI351" s="13">
        <v>28.0</v>
      </c>
      <c r="AJ351" s="13">
        <v>2.0</v>
      </c>
      <c r="AK351" s="13">
        <v>22.0</v>
      </c>
      <c r="AL351" s="13" t="s">
        <v>5800</v>
      </c>
      <c r="AM351" s="13" t="s">
        <v>5801</v>
      </c>
      <c r="AN351" s="13" t="s">
        <v>5802</v>
      </c>
      <c r="AO351" s="13" t="s">
        <v>5803</v>
      </c>
      <c r="AP351" s="13" t="s">
        <v>5804</v>
      </c>
      <c r="AQ351" s="13" t="s">
        <v>5510</v>
      </c>
      <c r="AR351" s="13" t="s">
        <v>5805</v>
      </c>
      <c r="AS351" s="13" t="s">
        <v>5806</v>
      </c>
      <c r="AT351" s="13" t="s">
        <v>5510</v>
      </c>
      <c r="AU351" s="13">
        <v>2015.0</v>
      </c>
      <c r="AV351" s="13">
        <v>28.0</v>
      </c>
      <c r="AW351" s="13">
        <v>3.0</v>
      </c>
      <c r="AX351" s="13" t="s">
        <v>5510</v>
      </c>
      <c r="AY351" s="13" t="s">
        <v>5510</v>
      </c>
      <c r="AZ351" s="13" t="s">
        <v>5510</v>
      </c>
      <c r="BA351" s="13" t="s">
        <v>5510</v>
      </c>
      <c r="BB351" s="13">
        <v>187.0</v>
      </c>
      <c r="BC351" s="13">
        <v>208.0</v>
      </c>
      <c r="BD351" s="13" t="s">
        <v>5510</v>
      </c>
      <c r="BE351" s="13" t="s">
        <v>12012</v>
      </c>
      <c r="BF351" s="52" t="str">
        <f>HYPERLINK("http://dx.doi.org/10.3354/esr00670","http://dx.doi.org/10.3354/esr00670")</f>
        <v>http://dx.doi.org/10.3354/esr00670</v>
      </c>
      <c r="BG351" s="13" t="s">
        <v>5510</v>
      </c>
      <c r="BH351" s="13" t="s">
        <v>5510</v>
      </c>
      <c r="BI351" s="13">
        <v>22.0</v>
      </c>
      <c r="BJ351" s="13" t="s">
        <v>5648</v>
      </c>
      <c r="BK351" s="13" t="s">
        <v>5561</v>
      </c>
      <c r="BL351" s="13" t="s">
        <v>5650</v>
      </c>
      <c r="BM351" s="13" t="s">
        <v>12013</v>
      </c>
      <c r="BN351" s="13" t="s">
        <v>5510</v>
      </c>
      <c r="BO351" s="13" t="s">
        <v>8477</v>
      </c>
      <c r="BP351" s="13" t="s">
        <v>5510</v>
      </c>
      <c r="BQ351" s="13" t="s">
        <v>5510</v>
      </c>
      <c r="BR351" s="13" t="s">
        <v>5538</v>
      </c>
      <c r="BS351" s="13" t="s">
        <v>12014</v>
      </c>
      <c r="BT351" s="13">
        <v>23378.0</v>
      </c>
      <c r="BU351" s="13" t="s">
        <v>5540</v>
      </c>
      <c r="BV351" s="13" t="s">
        <v>4864</v>
      </c>
      <c r="BW351" s="13" t="str">
        <f>VLOOKUP($BT351,Enriched!$A$2:$E$1070,5,false)</f>
        <v>["Pollution", "Human intrusions &amp; disturbance"]</v>
      </c>
      <c r="BX351" s="13" t="str">
        <f>VLOOKUP($BT351,Enriched!$A$2:$E$1070,4,false)</f>
        <v>["Excess energy", "Work &amp; other activities"]</v>
      </c>
      <c r="BY351" s="13" t="b">
        <f>VLOOKUP(BT351,Enriched!$A$1:$AA$1070,27,falsE)</f>
        <v>0</v>
      </c>
      <c r="BZ351" s="2" t="str">
        <f>VLOOKUP(BT351,Enriched!$A$1:$AA$1070,14,falsE)</f>
        <v>level2</v>
      </c>
      <c r="CA351" s="13" t="str">
        <f>HYPERLINK("https%3A%2F%2Fwww.webofscience.com%2Fwos%2Fwoscc%2Ffull-record%2FWOS:000363405400001","View Full Record in Web of Science")</f>
        <v>View Full Record in Web of Science</v>
      </c>
    </row>
    <row r="352" ht="12.75" customHeight="1">
      <c r="A352" s="13" t="s">
        <v>5508</v>
      </c>
      <c r="B352" s="13" t="s">
        <v>12015</v>
      </c>
      <c r="C352" s="13" t="s">
        <v>5510</v>
      </c>
      <c r="D352" s="13" t="s">
        <v>5510</v>
      </c>
      <c r="E352" s="13" t="s">
        <v>5510</v>
      </c>
      <c r="F352" s="13" t="s">
        <v>12016</v>
      </c>
      <c r="G352" s="13" t="s">
        <v>5510</v>
      </c>
      <c r="H352" s="13" t="s">
        <v>5510</v>
      </c>
      <c r="I352" s="13" t="s">
        <v>12017</v>
      </c>
      <c r="J352" s="13" t="s">
        <v>11494</v>
      </c>
      <c r="K352" s="13" t="s">
        <v>5510</v>
      </c>
      <c r="L352" s="13" t="s">
        <v>5510</v>
      </c>
      <c r="M352" s="13" t="s">
        <v>5513</v>
      </c>
      <c r="N352" s="13" t="s">
        <v>5514</v>
      </c>
      <c r="O352" s="13" t="s">
        <v>5510</v>
      </c>
      <c r="P352" s="13" t="s">
        <v>5510</v>
      </c>
      <c r="Q352" s="13" t="s">
        <v>5510</v>
      </c>
      <c r="R352" s="13" t="s">
        <v>5510</v>
      </c>
      <c r="S352" s="13" t="s">
        <v>5510</v>
      </c>
      <c r="T352" s="13" t="s">
        <v>5510</v>
      </c>
      <c r="U352" s="13" t="s">
        <v>12018</v>
      </c>
      <c r="V352" s="13" t="s">
        <v>12019</v>
      </c>
      <c r="W352" s="13" t="s">
        <v>12020</v>
      </c>
      <c r="X352" s="13" t="s">
        <v>11216</v>
      </c>
      <c r="Y352" s="13" t="s">
        <v>12021</v>
      </c>
      <c r="Z352" s="13" t="s">
        <v>12022</v>
      </c>
      <c r="AA352" s="13" t="s">
        <v>12023</v>
      </c>
      <c r="AB352" s="13" t="s">
        <v>12024</v>
      </c>
      <c r="AC352" s="13" t="s">
        <v>12025</v>
      </c>
      <c r="AD352" s="13" t="s">
        <v>12026</v>
      </c>
      <c r="AE352" s="13" t="s">
        <v>12027</v>
      </c>
      <c r="AF352" s="13" t="s">
        <v>5510</v>
      </c>
      <c r="AG352" s="13">
        <v>72.0</v>
      </c>
      <c r="AH352" s="13">
        <v>44.0</v>
      </c>
      <c r="AI352" s="13">
        <v>47.0</v>
      </c>
      <c r="AJ352" s="13">
        <v>3.0</v>
      </c>
      <c r="AK352" s="13">
        <v>82.0</v>
      </c>
      <c r="AL352" s="13" t="s">
        <v>5527</v>
      </c>
      <c r="AM352" s="13" t="s">
        <v>5528</v>
      </c>
      <c r="AN352" s="13" t="s">
        <v>5529</v>
      </c>
      <c r="AO352" s="13" t="s">
        <v>11506</v>
      </c>
      <c r="AP352" s="13" t="s">
        <v>11507</v>
      </c>
      <c r="AQ352" s="13" t="s">
        <v>5510</v>
      </c>
      <c r="AR352" s="13" t="s">
        <v>11494</v>
      </c>
      <c r="AS352" s="13" t="s">
        <v>404</v>
      </c>
      <c r="AT352" s="13" t="s">
        <v>6175</v>
      </c>
      <c r="AU352" s="13">
        <v>2015.0</v>
      </c>
      <c r="AV352" s="13">
        <v>38.0</v>
      </c>
      <c r="AW352" s="13">
        <v>8.0</v>
      </c>
      <c r="AX352" s="13" t="s">
        <v>5510</v>
      </c>
      <c r="AY352" s="13" t="s">
        <v>5510</v>
      </c>
      <c r="AZ352" s="13" t="s">
        <v>5510</v>
      </c>
      <c r="BA352" s="13" t="s">
        <v>5510</v>
      </c>
      <c r="BB352" s="13">
        <v>803.0</v>
      </c>
      <c r="BC352" s="13">
        <v>812.0</v>
      </c>
      <c r="BD352" s="13" t="s">
        <v>5510</v>
      </c>
      <c r="BE352" s="13" t="s">
        <v>12028</v>
      </c>
      <c r="BF352" s="52" t="str">
        <f>HYPERLINK("http://dx.doi.org/10.1111/ecog.01245","http://dx.doi.org/10.1111/ecog.01245")</f>
        <v>http://dx.doi.org/10.1111/ecog.01245</v>
      </c>
      <c r="BG352" s="13" t="s">
        <v>5510</v>
      </c>
      <c r="BH352" s="13" t="s">
        <v>5510</v>
      </c>
      <c r="BI352" s="13">
        <v>10.0</v>
      </c>
      <c r="BJ352" s="13" t="s">
        <v>5958</v>
      </c>
      <c r="BK352" s="13" t="s">
        <v>5561</v>
      </c>
      <c r="BL352" s="13" t="s">
        <v>5699</v>
      </c>
      <c r="BM352" s="13" t="s">
        <v>12029</v>
      </c>
      <c r="BN352" s="13" t="s">
        <v>5510</v>
      </c>
      <c r="BO352" s="13" t="s">
        <v>5537</v>
      </c>
      <c r="BP352" s="13" t="s">
        <v>5510</v>
      </c>
      <c r="BQ352" s="13" t="s">
        <v>5510</v>
      </c>
      <c r="BR352" s="13" t="s">
        <v>5538</v>
      </c>
      <c r="BS352" s="13" t="s">
        <v>12030</v>
      </c>
      <c r="BT352" s="13">
        <v>25156.0</v>
      </c>
      <c r="BU352" s="13" t="s">
        <v>5540</v>
      </c>
      <c r="BV352" s="13" t="s">
        <v>4864</v>
      </c>
      <c r="BW352" s="13" t="str">
        <f>VLOOKUP($BT352,Enriched!$A$2:$E$1070,5,false)</f>
        <v>["Biological resource use"]</v>
      </c>
      <c r="BX352" s="13" t="str">
        <f>VLOOKUP($BT352,Enriched!$A$2:$E$1070,4,false)</f>
        <v>["Fishing &amp; harvesting aquatic resources"]</v>
      </c>
      <c r="BY352" s="13" t="b">
        <f>VLOOKUP(BT352,Enriched!$A$1:$AA$1070,27,falsE)</f>
        <v>0</v>
      </c>
      <c r="BZ352" s="2" t="str">
        <f>VLOOKUP(BT352,Enriched!$A$1:$AA$1070,14,falsE)</f>
        <v>level2</v>
      </c>
      <c r="CA352" s="13" t="str">
        <f>HYPERLINK("https%3A%2F%2Fwww.webofscience.com%2Fwos%2Fwoscc%2Ffull-record%2FWOS:000359310700006","View Full Record in Web of Science")</f>
        <v>View Full Record in Web of Science</v>
      </c>
    </row>
    <row r="353" ht="12.75" customHeight="1">
      <c r="A353" s="13" t="s">
        <v>5508</v>
      </c>
      <c r="B353" s="13" t="s">
        <v>12031</v>
      </c>
      <c r="C353" s="13" t="s">
        <v>5510</v>
      </c>
      <c r="D353" s="13" t="s">
        <v>5510</v>
      </c>
      <c r="E353" s="13" t="s">
        <v>5510</v>
      </c>
      <c r="F353" s="13" t="s">
        <v>12032</v>
      </c>
      <c r="G353" s="13" t="s">
        <v>5510</v>
      </c>
      <c r="H353" s="13" t="s">
        <v>5510</v>
      </c>
      <c r="I353" s="13" t="s">
        <v>1986</v>
      </c>
      <c r="J353" s="13" t="s">
        <v>5677</v>
      </c>
      <c r="K353" s="13" t="s">
        <v>5510</v>
      </c>
      <c r="L353" s="13" t="s">
        <v>5510</v>
      </c>
      <c r="M353" s="13" t="s">
        <v>5513</v>
      </c>
      <c r="N353" s="13" t="s">
        <v>5514</v>
      </c>
      <c r="O353" s="13" t="s">
        <v>5510</v>
      </c>
      <c r="P353" s="13" t="s">
        <v>5510</v>
      </c>
      <c r="Q353" s="13" t="s">
        <v>5510</v>
      </c>
      <c r="R353" s="13" t="s">
        <v>5510</v>
      </c>
      <c r="S353" s="13" t="s">
        <v>5510</v>
      </c>
      <c r="T353" s="13" t="s">
        <v>12033</v>
      </c>
      <c r="U353" s="13" t="s">
        <v>12034</v>
      </c>
      <c r="V353" s="13" t="s">
        <v>12035</v>
      </c>
      <c r="W353" s="13" t="s">
        <v>12036</v>
      </c>
      <c r="X353" s="13" t="s">
        <v>12037</v>
      </c>
      <c r="Y353" s="13" t="s">
        <v>12038</v>
      </c>
      <c r="Z353" s="13" t="s">
        <v>12039</v>
      </c>
      <c r="AA353" s="13" t="s">
        <v>5510</v>
      </c>
      <c r="AB353" s="13" t="s">
        <v>12040</v>
      </c>
      <c r="AC353" s="13" t="s">
        <v>5510</v>
      </c>
      <c r="AD353" s="13" t="s">
        <v>5510</v>
      </c>
      <c r="AE353" s="13" t="s">
        <v>5510</v>
      </c>
      <c r="AF353" s="13" t="s">
        <v>5510</v>
      </c>
      <c r="AG353" s="13">
        <v>123.0</v>
      </c>
      <c r="AH353" s="13">
        <v>81.0</v>
      </c>
      <c r="AI353" s="13">
        <v>83.0</v>
      </c>
      <c r="AJ353" s="13">
        <v>4.0</v>
      </c>
      <c r="AK353" s="13">
        <v>104.0</v>
      </c>
      <c r="AL353" s="13" t="s">
        <v>5690</v>
      </c>
      <c r="AM353" s="13" t="s">
        <v>5691</v>
      </c>
      <c r="AN353" s="13" t="s">
        <v>5692</v>
      </c>
      <c r="AO353" s="13" t="s">
        <v>5693</v>
      </c>
      <c r="AP353" s="13" t="s">
        <v>5694</v>
      </c>
      <c r="AQ353" s="13" t="s">
        <v>5510</v>
      </c>
      <c r="AR353" s="13" t="s">
        <v>5695</v>
      </c>
      <c r="AS353" s="13" t="s">
        <v>5696</v>
      </c>
      <c r="AT353" s="13" t="s">
        <v>5866</v>
      </c>
      <c r="AU353" s="13">
        <v>2020.0</v>
      </c>
      <c r="AV353" s="13">
        <v>29.0</v>
      </c>
      <c r="AW353" s="13">
        <v>6.0</v>
      </c>
      <c r="AX353" s="13" t="s">
        <v>5510</v>
      </c>
      <c r="AY353" s="13" t="s">
        <v>5510</v>
      </c>
      <c r="AZ353" s="13" t="s">
        <v>5510</v>
      </c>
      <c r="BA353" s="13" t="s">
        <v>5510</v>
      </c>
      <c r="BB353" s="13">
        <v>1959.0</v>
      </c>
      <c r="BC353" s="13">
        <v>1976.0</v>
      </c>
      <c r="BD353" s="13" t="s">
        <v>5510</v>
      </c>
      <c r="BE353" s="13" t="s">
        <v>12041</v>
      </c>
      <c r="BF353" s="52" t="str">
        <f>HYPERLINK("http://dx.doi.org/10.1007/s10531-020-01961-3","http://dx.doi.org/10.1007/s10531-020-01961-3")</f>
        <v>http://dx.doi.org/10.1007/s10531-020-01961-3</v>
      </c>
      <c r="BG353" s="13" t="s">
        <v>5510</v>
      </c>
      <c r="BH353" s="13" t="s">
        <v>5510</v>
      </c>
      <c r="BI353" s="13">
        <v>18.0</v>
      </c>
      <c r="BJ353" s="13" t="s">
        <v>5698</v>
      </c>
      <c r="BK353" s="13" t="s">
        <v>5561</v>
      </c>
      <c r="BL353" s="13" t="s">
        <v>5699</v>
      </c>
      <c r="BM353" s="13" t="s">
        <v>9246</v>
      </c>
      <c r="BN353" s="13" t="s">
        <v>5510</v>
      </c>
      <c r="BO353" s="13" t="s">
        <v>5510</v>
      </c>
      <c r="BP353" s="13" t="s">
        <v>5510</v>
      </c>
      <c r="BQ353" s="13" t="s">
        <v>5510</v>
      </c>
      <c r="BR353" s="13" t="s">
        <v>5538</v>
      </c>
      <c r="BS353" s="13" t="s">
        <v>12042</v>
      </c>
      <c r="BT353" s="13">
        <v>25619.0</v>
      </c>
      <c r="BU353" s="13" t="s">
        <v>5540</v>
      </c>
      <c r="BV353" s="13" t="s">
        <v>4856</v>
      </c>
      <c r="BW353" s="13" t="str">
        <f>VLOOKUP($BT353,Enriched!$A$2:$E$1070,5,false)</f>
        <v>["Energy Production &amp; Mining", "Transportation &amp; Service Corridors"]</v>
      </c>
      <c r="BX353" s="13" t="str">
        <f>VLOOKUP($BT353,Enriched!$A$2:$E$1070,4,false)</f>
        <v>["Renewable energy", "Utility &amp; service lines"]</v>
      </c>
      <c r="BY353" s="13" t="b">
        <f>VLOOKUP(BT353,Enriched!$A$1:$AA$1070,27,falsE)</f>
        <v>0</v>
      </c>
      <c r="BZ353" s="2" t="str">
        <f>VLOOKUP(BT353,Enriched!$A$1:$AA$1070,14,falsE)</f>
        <v>level2</v>
      </c>
      <c r="CA353" s="13" t="str">
        <f>HYPERLINK("https%3A%2F%2Fwww.webofscience.com%2Fwos%2Fwoscc%2Ffull-record%2FWOS:000522656400013","View Full Record in Web of Science")</f>
        <v>View Full Record in Web of Science</v>
      </c>
    </row>
    <row r="354" ht="12.75" customHeight="1">
      <c r="A354" s="13" t="s">
        <v>5508</v>
      </c>
      <c r="B354" s="13" t="s">
        <v>12043</v>
      </c>
      <c r="C354" s="13" t="s">
        <v>5510</v>
      </c>
      <c r="D354" s="13" t="s">
        <v>5510</v>
      </c>
      <c r="E354" s="13" t="s">
        <v>5510</v>
      </c>
      <c r="F354" s="13" t="s">
        <v>12044</v>
      </c>
      <c r="G354" s="13" t="s">
        <v>5510</v>
      </c>
      <c r="H354" s="13" t="s">
        <v>5510</v>
      </c>
      <c r="I354" s="13" t="s">
        <v>1983</v>
      </c>
      <c r="J354" s="13" t="s">
        <v>9546</v>
      </c>
      <c r="K354" s="13" t="s">
        <v>5510</v>
      </c>
      <c r="L354" s="13" t="s">
        <v>5510</v>
      </c>
      <c r="M354" s="13" t="s">
        <v>5513</v>
      </c>
      <c r="N354" s="13" t="s">
        <v>5514</v>
      </c>
      <c r="O354" s="13" t="s">
        <v>5510</v>
      </c>
      <c r="P354" s="13" t="s">
        <v>5510</v>
      </c>
      <c r="Q354" s="13" t="s">
        <v>5510</v>
      </c>
      <c r="R354" s="13" t="s">
        <v>5510</v>
      </c>
      <c r="S354" s="13" t="s">
        <v>5510</v>
      </c>
      <c r="T354" s="13" t="s">
        <v>12045</v>
      </c>
      <c r="U354" s="13" t="s">
        <v>12046</v>
      </c>
      <c r="V354" s="13" t="s">
        <v>12047</v>
      </c>
      <c r="W354" s="13" t="s">
        <v>12048</v>
      </c>
      <c r="X354" s="13" t="s">
        <v>12049</v>
      </c>
      <c r="Y354" s="13" t="s">
        <v>12050</v>
      </c>
      <c r="Z354" s="13" t="s">
        <v>12051</v>
      </c>
      <c r="AA354" s="13" t="s">
        <v>12052</v>
      </c>
      <c r="AB354" s="13" t="s">
        <v>12053</v>
      </c>
      <c r="AC354" s="13" t="s">
        <v>12054</v>
      </c>
      <c r="AD354" s="13" t="s">
        <v>12055</v>
      </c>
      <c r="AE354" s="13" t="s">
        <v>12056</v>
      </c>
      <c r="AF354" s="13" t="s">
        <v>5510</v>
      </c>
      <c r="AG354" s="13">
        <v>46.0</v>
      </c>
      <c r="AH354" s="13">
        <v>43.0</v>
      </c>
      <c r="AI354" s="13">
        <v>50.0</v>
      </c>
      <c r="AJ354" s="13">
        <v>1.0</v>
      </c>
      <c r="AK354" s="13">
        <v>46.0</v>
      </c>
      <c r="AL354" s="13" t="s">
        <v>7450</v>
      </c>
      <c r="AM354" s="13" t="s">
        <v>6046</v>
      </c>
      <c r="AN354" s="13" t="s">
        <v>7451</v>
      </c>
      <c r="AO354" s="13" t="s">
        <v>9559</v>
      </c>
      <c r="AP354" s="13" t="s">
        <v>9560</v>
      </c>
      <c r="AQ354" s="13" t="s">
        <v>5510</v>
      </c>
      <c r="AR354" s="13" t="s">
        <v>9561</v>
      </c>
      <c r="AS354" s="13" t="s">
        <v>9562</v>
      </c>
      <c r="AT354" s="13" t="s">
        <v>10756</v>
      </c>
      <c r="AU354" s="13">
        <v>2018.0</v>
      </c>
      <c r="AV354" s="13">
        <v>206.0</v>
      </c>
      <c r="AW354" s="13" t="s">
        <v>5510</v>
      </c>
      <c r="AX354" s="13" t="s">
        <v>5510</v>
      </c>
      <c r="AY354" s="13" t="s">
        <v>5510</v>
      </c>
      <c r="AZ354" s="13" t="s">
        <v>5510</v>
      </c>
      <c r="BA354" s="13" t="s">
        <v>5510</v>
      </c>
      <c r="BB354" s="13">
        <v>1253.0</v>
      </c>
      <c r="BC354" s="13">
        <v>1262.0</v>
      </c>
      <c r="BD354" s="13" t="s">
        <v>5510</v>
      </c>
      <c r="BE354" s="13" t="s">
        <v>12057</v>
      </c>
      <c r="BF354" s="52" t="str">
        <f>HYPERLINK("http://dx.doi.org/10.1016/j.jenvman.2017.08.001","http://dx.doi.org/10.1016/j.jenvman.2017.08.001")</f>
        <v>http://dx.doi.org/10.1016/j.jenvman.2017.08.001</v>
      </c>
      <c r="BG354" s="13" t="s">
        <v>5510</v>
      </c>
      <c r="BH354" s="13" t="s">
        <v>5510</v>
      </c>
      <c r="BI354" s="13">
        <v>10.0</v>
      </c>
      <c r="BJ354" s="13" t="s">
        <v>5768</v>
      </c>
      <c r="BK354" s="13" t="s">
        <v>5561</v>
      </c>
      <c r="BL354" s="13" t="s">
        <v>5535</v>
      </c>
      <c r="BM354" s="13" t="s">
        <v>12058</v>
      </c>
      <c r="BN354" s="13">
        <v>2.8800978E7</v>
      </c>
      <c r="BO354" s="13" t="s">
        <v>5510</v>
      </c>
      <c r="BP354" s="13" t="s">
        <v>5510</v>
      </c>
      <c r="BQ354" s="13" t="s">
        <v>5510</v>
      </c>
      <c r="BR354" s="13" t="s">
        <v>5538</v>
      </c>
      <c r="BS354" s="13" t="s">
        <v>12059</v>
      </c>
      <c r="BT354" s="13">
        <v>25275.0</v>
      </c>
      <c r="BU354" s="13" t="s">
        <v>5540</v>
      </c>
      <c r="BV354" s="13" t="s">
        <v>4856</v>
      </c>
      <c r="BW354" s="13" t="str">
        <f>VLOOKUP($BT354,Enriched!$A$2:$E$1070,5,false)</f>
        <v>["Residential &amp; Commercial Development", "Agriculture &amp; Aquaculture"]</v>
      </c>
      <c r="BX354" s="13" t="str">
        <f>VLOOKUP($BT354,Enriched!$A$2:$E$1070,4,false)</f>
        <v>["Wood &amp; pulp plantations"]</v>
      </c>
      <c r="BY354" s="13" t="b">
        <f>VLOOKUP(BT354,Enriched!$A$1:$AA$1070,27,falsE)</f>
        <v>1</v>
      </c>
      <c r="BZ354" s="2" t="str">
        <f>VLOOKUP(BT354,Enriched!$A$1:$AA$1070,14,falsE)</f>
        <v>level1</v>
      </c>
      <c r="CA354" s="13" t="str">
        <f>HYPERLINK("https%3A%2F%2Fwww.webofscience.com%2Fwos%2Fwoscc%2Ffull-record%2FWOS:000423245500124","View Full Record in Web of Science")</f>
        <v>View Full Record in Web of Science</v>
      </c>
    </row>
    <row r="355" ht="12.75" customHeight="1">
      <c r="A355" s="13" t="s">
        <v>5508</v>
      </c>
      <c r="B355" s="13" t="s">
        <v>12060</v>
      </c>
      <c r="C355" s="13" t="s">
        <v>5510</v>
      </c>
      <c r="D355" s="13" t="s">
        <v>5510</v>
      </c>
      <c r="E355" s="13" t="s">
        <v>5510</v>
      </c>
      <c r="F355" s="13" t="s">
        <v>12061</v>
      </c>
      <c r="G355" s="13" t="s">
        <v>5510</v>
      </c>
      <c r="H355" s="13" t="s">
        <v>5510</v>
      </c>
      <c r="I355" s="13" t="s">
        <v>1981</v>
      </c>
      <c r="J355" s="13" t="s">
        <v>5849</v>
      </c>
      <c r="K355" s="13" t="s">
        <v>5510</v>
      </c>
      <c r="L355" s="13" t="s">
        <v>5510</v>
      </c>
      <c r="M355" s="13" t="s">
        <v>5513</v>
      </c>
      <c r="N355" s="13" t="s">
        <v>5514</v>
      </c>
      <c r="O355" s="13" t="s">
        <v>5510</v>
      </c>
      <c r="P355" s="13" t="s">
        <v>5510</v>
      </c>
      <c r="Q355" s="13" t="s">
        <v>5510</v>
      </c>
      <c r="R355" s="13" t="s">
        <v>5510</v>
      </c>
      <c r="S355" s="13" t="s">
        <v>5510</v>
      </c>
      <c r="T355" s="13" t="s">
        <v>12062</v>
      </c>
      <c r="U355" s="13" t="s">
        <v>12063</v>
      </c>
      <c r="V355" s="13" t="s">
        <v>12064</v>
      </c>
      <c r="W355" s="13" t="s">
        <v>12065</v>
      </c>
      <c r="X355" s="13" t="s">
        <v>12066</v>
      </c>
      <c r="Y355" s="13" t="s">
        <v>12067</v>
      </c>
      <c r="Z355" s="13" t="s">
        <v>12068</v>
      </c>
      <c r="AA355" s="13" t="s">
        <v>12069</v>
      </c>
      <c r="AB355" s="13" t="s">
        <v>12070</v>
      </c>
      <c r="AC355" s="13" t="s">
        <v>12071</v>
      </c>
      <c r="AD355" s="13" t="s">
        <v>12071</v>
      </c>
      <c r="AE355" s="13" t="s">
        <v>12071</v>
      </c>
      <c r="AF355" s="13" t="s">
        <v>5510</v>
      </c>
      <c r="AG355" s="13">
        <v>87.0</v>
      </c>
      <c r="AH355" s="13">
        <v>15.0</v>
      </c>
      <c r="AI355" s="13">
        <v>18.0</v>
      </c>
      <c r="AJ355" s="13">
        <v>4.0</v>
      </c>
      <c r="AK355" s="13">
        <v>85.0</v>
      </c>
      <c r="AL355" s="13" t="s">
        <v>5527</v>
      </c>
      <c r="AM355" s="13" t="s">
        <v>5528</v>
      </c>
      <c r="AN355" s="13" t="s">
        <v>5529</v>
      </c>
      <c r="AO355" s="13" t="s">
        <v>5862</v>
      </c>
      <c r="AP355" s="13" t="s">
        <v>5863</v>
      </c>
      <c r="AQ355" s="13" t="s">
        <v>5510</v>
      </c>
      <c r="AR355" s="13" t="s">
        <v>5864</v>
      </c>
      <c r="AS355" s="13" t="s">
        <v>5865</v>
      </c>
      <c r="AT355" s="13" t="s">
        <v>5720</v>
      </c>
      <c r="AU355" s="13">
        <v>2018.0</v>
      </c>
      <c r="AV355" s="13">
        <v>28.0</v>
      </c>
      <c r="AW355" s="13">
        <v>3.0</v>
      </c>
      <c r="AX355" s="13" t="s">
        <v>5510</v>
      </c>
      <c r="AY355" s="13" t="s">
        <v>5510</v>
      </c>
      <c r="AZ355" s="13" t="s">
        <v>5510</v>
      </c>
      <c r="BA355" s="13" t="s">
        <v>5510</v>
      </c>
      <c r="BB355" s="13">
        <v>713.0</v>
      </c>
      <c r="BC355" s="13">
        <v>722.0</v>
      </c>
      <c r="BD355" s="13" t="s">
        <v>5510</v>
      </c>
      <c r="BE355" s="13" t="s">
        <v>12072</v>
      </c>
      <c r="BF355" s="52" t="str">
        <f>HYPERLINK("http://dx.doi.org/10.1002/aqc.2892","http://dx.doi.org/10.1002/aqc.2892")</f>
        <v>http://dx.doi.org/10.1002/aqc.2892</v>
      </c>
      <c r="BG355" s="13" t="s">
        <v>5510</v>
      </c>
      <c r="BH355" s="13" t="s">
        <v>5510</v>
      </c>
      <c r="BI355" s="13">
        <v>10.0</v>
      </c>
      <c r="BJ355" s="13" t="s">
        <v>5869</v>
      </c>
      <c r="BK355" s="13" t="s">
        <v>5561</v>
      </c>
      <c r="BL355" s="13" t="s">
        <v>5870</v>
      </c>
      <c r="BM355" s="13" t="s">
        <v>12073</v>
      </c>
      <c r="BN355" s="13" t="s">
        <v>5510</v>
      </c>
      <c r="BO355" s="13" t="s">
        <v>5510</v>
      </c>
      <c r="BP355" s="13" t="s">
        <v>5510</v>
      </c>
      <c r="BQ355" s="13" t="s">
        <v>5510</v>
      </c>
      <c r="BR355" s="13" t="s">
        <v>5538</v>
      </c>
      <c r="BS355" s="13" t="s">
        <v>12074</v>
      </c>
      <c r="BT355" s="13">
        <v>25169.0</v>
      </c>
      <c r="BU355" s="13" t="s">
        <v>5540</v>
      </c>
      <c r="BV355" s="13" t="s">
        <v>4864</v>
      </c>
      <c r="BW355" s="13" t="str">
        <f>VLOOKUP($BT355,Enriched!$A$2:$E$1070,5,false)</f>
        <v>["Transportation &amp; Service Corridors"]</v>
      </c>
      <c r="BX355" s="13" t="str">
        <f>VLOOKUP($BT355,Enriched!$A$2:$E$1070,4,false)</f>
        <v>["Shipping lanes"]</v>
      </c>
      <c r="BY355" s="13" t="b">
        <f>VLOOKUP(BT355,Enriched!$A$1:$AA$1070,27,falsE)</f>
        <v>0</v>
      </c>
      <c r="BZ355" s="2" t="str">
        <f>VLOOKUP(BT355,Enriched!$A$1:$AA$1070,14,falsE)</f>
        <v>level2</v>
      </c>
      <c r="CA355" s="13" t="str">
        <f>HYPERLINK("https%3A%2F%2Fwww.webofscience.com%2Fwos%2Fwoscc%2Ffull-record%2FWOS:000435930100019","View Full Record in Web of Science")</f>
        <v>View Full Record in Web of Science</v>
      </c>
    </row>
    <row r="356" ht="12.75" customHeight="1">
      <c r="A356" s="13" t="s">
        <v>5508</v>
      </c>
      <c r="B356" s="13" t="s">
        <v>12075</v>
      </c>
      <c r="C356" s="13" t="s">
        <v>5510</v>
      </c>
      <c r="D356" s="13" t="s">
        <v>5510</v>
      </c>
      <c r="E356" s="13" t="s">
        <v>5510</v>
      </c>
      <c r="F356" s="13" t="s">
        <v>12076</v>
      </c>
      <c r="G356" s="13" t="s">
        <v>5510</v>
      </c>
      <c r="H356" s="13" t="s">
        <v>5510</v>
      </c>
      <c r="I356" s="13" t="s">
        <v>12077</v>
      </c>
      <c r="J356" s="13" t="s">
        <v>12078</v>
      </c>
      <c r="K356" s="13" t="s">
        <v>5510</v>
      </c>
      <c r="L356" s="13" t="s">
        <v>5510</v>
      </c>
      <c r="M356" s="13" t="s">
        <v>5513</v>
      </c>
      <c r="N356" s="13" t="s">
        <v>5514</v>
      </c>
      <c r="O356" s="13" t="s">
        <v>5510</v>
      </c>
      <c r="P356" s="13" t="s">
        <v>5510</v>
      </c>
      <c r="Q356" s="13" t="s">
        <v>5510</v>
      </c>
      <c r="R356" s="13" t="s">
        <v>5510</v>
      </c>
      <c r="S356" s="13" t="s">
        <v>5510</v>
      </c>
      <c r="T356" s="13" t="s">
        <v>12079</v>
      </c>
      <c r="U356" s="13" t="s">
        <v>12080</v>
      </c>
      <c r="V356" s="13" t="s">
        <v>12081</v>
      </c>
      <c r="W356" s="13" t="s">
        <v>12082</v>
      </c>
      <c r="X356" s="13" t="s">
        <v>12083</v>
      </c>
      <c r="Y356" s="13" t="s">
        <v>12084</v>
      </c>
      <c r="Z356" s="13" t="s">
        <v>12085</v>
      </c>
      <c r="AA356" s="13" t="s">
        <v>12086</v>
      </c>
      <c r="AB356" s="13" t="s">
        <v>12087</v>
      </c>
      <c r="AC356" s="13" t="s">
        <v>12088</v>
      </c>
      <c r="AD356" s="13" t="s">
        <v>12089</v>
      </c>
      <c r="AE356" s="13" t="s">
        <v>12090</v>
      </c>
      <c r="AF356" s="13" t="s">
        <v>5510</v>
      </c>
      <c r="AG356" s="13">
        <v>42.0</v>
      </c>
      <c r="AH356" s="13">
        <v>17.0</v>
      </c>
      <c r="AI356" s="13">
        <v>17.0</v>
      </c>
      <c r="AJ356" s="13">
        <v>1.0</v>
      </c>
      <c r="AK356" s="13">
        <v>13.0</v>
      </c>
      <c r="AL356" s="13" t="s">
        <v>12091</v>
      </c>
      <c r="AM356" s="13" t="s">
        <v>8874</v>
      </c>
      <c r="AN356" s="13" t="s">
        <v>12092</v>
      </c>
      <c r="AO356" s="13" t="s">
        <v>12093</v>
      </c>
      <c r="AP356" s="13" t="s">
        <v>12094</v>
      </c>
      <c r="AQ356" s="13" t="s">
        <v>5510</v>
      </c>
      <c r="AR356" s="13" t="s">
        <v>12095</v>
      </c>
      <c r="AS356" s="13" t="s">
        <v>1978</v>
      </c>
      <c r="AT356" s="13" t="s">
        <v>5978</v>
      </c>
      <c r="AU356" s="13">
        <v>2010.0</v>
      </c>
      <c r="AV356" s="13">
        <v>57.0</v>
      </c>
      <c r="AW356" s="13" t="s">
        <v>5510</v>
      </c>
      <c r="AX356" s="13" t="s">
        <v>5510</v>
      </c>
      <c r="AY356" s="13" t="s">
        <v>5510</v>
      </c>
      <c r="AZ356" s="13" t="s">
        <v>5646</v>
      </c>
      <c r="BA356" s="13" t="s">
        <v>5510</v>
      </c>
      <c r="BB356" s="13">
        <v>65.0</v>
      </c>
      <c r="BC356" s="13">
        <v>78.0</v>
      </c>
      <c r="BD356" s="13" t="s">
        <v>5510</v>
      </c>
      <c r="BE356" s="13" t="str">
        <f>#REF!</f>
        <v>#REF!</v>
      </c>
      <c r="BF356" s="13" t="s">
        <v>5510</v>
      </c>
      <c r="BG356" s="13" t="s">
        <v>5510</v>
      </c>
      <c r="BH356" s="13" t="s">
        <v>5510</v>
      </c>
      <c r="BI356" s="13">
        <v>14.0</v>
      </c>
      <c r="BJ356" s="13" t="s">
        <v>7513</v>
      </c>
      <c r="BK356" s="13" t="s">
        <v>5561</v>
      </c>
      <c r="BL356" s="13" t="s">
        <v>6899</v>
      </c>
      <c r="BM356" s="13" t="s">
        <v>12096</v>
      </c>
      <c r="BN356" s="13" t="s">
        <v>5510</v>
      </c>
      <c r="BO356" s="13" t="s">
        <v>5510</v>
      </c>
      <c r="BP356" s="13" t="s">
        <v>5510</v>
      </c>
      <c r="BQ356" s="13" t="s">
        <v>5510</v>
      </c>
      <c r="BR356" s="13" t="s">
        <v>5538</v>
      </c>
      <c r="BS356" s="13" t="s">
        <v>12097</v>
      </c>
      <c r="BT356" s="13">
        <v>23991.0</v>
      </c>
      <c r="BU356" s="13" t="s">
        <v>5540</v>
      </c>
      <c r="BV356" s="13" t="s">
        <v>4864</v>
      </c>
      <c r="BW356" s="13" t="str">
        <f>VLOOKUP($BT356,Enriched!$A$2:$E$1070,5,false)</f>
        <v>["Biological resource use"]</v>
      </c>
      <c r="BX356" s="13" t="str">
        <f>VLOOKUP($BT356,Enriched!$A$2:$E$1070,4,false)</f>
        <v>["Fishing &amp; harvesting aquatic resources"]</v>
      </c>
      <c r="BY356" s="13" t="b">
        <f>VLOOKUP(BT356,Enriched!$A$1:$AA$1070,27,falsE)</f>
        <v>0</v>
      </c>
      <c r="BZ356" s="2" t="str">
        <f>VLOOKUP(BT356,Enriched!$A$1:$AA$1070,14,falsE)</f>
        <v>level2</v>
      </c>
      <c r="CA356" s="13" t="str">
        <f>HYPERLINK("https%3A%2F%2Fwww.webofscience.com%2Fwos%2Fwoscc%2Ffull-record%2FWOS:000297566400006","View Full Record in Web of Science")</f>
        <v>View Full Record in Web of Science</v>
      </c>
    </row>
    <row r="357" ht="12.75" customHeight="1">
      <c r="A357" s="13" t="s">
        <v>5508</v>
      </c>
      <c r="B357" s="13" t="s">
        <v>12098</v>
      </c>
      <c r="C357" s="13" t="s">
        <v>5510</v>
      </c>
      <c r="D357" s="13" t="s">
        <v>5510</v>
      </c>
      <c r="E357" s="13" t="s">
        <v>5510</v>
      </c>
      <c r="F357" s="13" t="s">
        <v>12099</v>
      </c>
      <c r="G357" s="13" t="s">
        <v>5510</v>
      </c>
      <c r="H357" s="13" t="s">
        <v>5510</v>
      </c>
      <c r="I357" s="13" t="s">
        <v>1971</v>
      </c>
      <c r="J357" s="13" t="s">
        <v>5919</v>
      </c>
      <c r="K357" s="13" t="s">
        <v>5510</v>
      </c>
      <c r="L357" s="13" t="s">
        <v>5510</v>
      </c>
      <c r="M357" s="13" t="s">
        <v>5513</v>
      </c>
      <c r="N357" s="13" t="s">
        <v>5514</v>
      </c>
      <c r="O357" s="13" t="s">
        <v>5510</v>
      </c>
      <c r="P357" s="13" t="s">
        <v>5510</v>
      </c>
      <c r="Q357" s="13" t="s">
        <v>5510</v>
      </c>
      <c r="R357" s="13" t="s">
        <v>5510</v>
      </c>
      <c r="S357" s="13" t="s">
        <v>5510</v>
      </c>
      <c r="T357" s="13" t="s">
        <v>12100</v>
      </c>
      <c r="U357" s="13" t="s">
        <v>12101</v>
      </c>
      <c r="V357" s="13" t="s">
        <v>12102</v>
      </c>
      <c r="W357" s="13" t="s">
        <v>12103</v>
      </c>
      <c r="X357" s="13" t="s">
        <v>12104</v>
      </c>
      <c r="Y357" s="13" t="s">
        <v>12105</v>
      </c>
      <c r="Z357" s="13" t="s">
        <v>12106</v>
      </c>
      <c r="AA357" s="13" t="s">
        <v>5510</v>
      </c>
      <c r="AB357" s="13" t="s">
        <v>12107</v>
      </c>
      <c r="AC357" s="13" t="s">
        <v>12108</v>
      </c>
      <c r="AD357" s="13" t="s">
        <v>12108</v>
      </c>
      <c r="AE357" s="13" t="s">
        <v>12109</v>
      </c>
      <c r="AF357" s="13" t="s">
        <v>5510</v>
      </c>
      <c r="AG357" s="13">
        <v>32.0</v>
      </c>
      <c r="AH357" s="13">
        <v>78.0</v>
      </c>
      <c r="AI357" s="13">
        <v>88.0</v>
      </c>
      <c r="AJ357" s="13">
        <v>1.0</v>
      </c>
      <c r="AK357" s="13">
        <v>56.0</v>
      </c>
      <c r="AL357" s="13" t="s">
        <v>5931</v>
      </c>
      <c r="AM357" s="13" t="s">
        <v>5932</v>
      </c>
      <c r="AN357" s="13" t="s">
        <v>5933</v>
      </c>
      <c r="AO357" s="13" t="s">
        <v>5934</v>
      </c>
      <c r="AP357" s="13" t="s">
        <v>5935</v>
      </c>
      <c r="AQ357" s="13" t="s">
        <v>5510</v>
      </c>
      <c r="AR357" s="13" t="s">
        <v>5936</v>
      </c>
      <c r="AS357" s="13" t="s">
        <v>5937</v>
      </c>
      <c r="AT357" s="13" t="s">
        <v>1925</v>
      </c>
      <c r="AU357" s="13">
        <v>2011.0</v>
      </c>
      <c r="AV357" s="13">
        <v>144.0</v>
      </c>
      <c r="AW357" s="13">
        <v>9.0</v>
      </c>
      <c r="AX357" s="13" t="s">
        <v>5510</v>
      </c>
      <c r="AY357" s="13" t="s">
        <v>5510</v>
      </c>
      <c r="AZ357" s="13" t="s">
        <v>5510</v>
      </c>
      <c r="BA357" s="13" t="s">
        <v>5510</v>
      </c>
      <c r="BB357" s="13">
        <v>2377.0</v>
      </c>
      <c r="BC357" s="13">
        <v>2381.0</v>
      </c>
      <c r="BD357" s="13" t="s">
        <v>5510</v>
      </c>
      <c r="BE357" s="13" t="s">
        <v>12110</v>
      </c>
      <c r="BF357" s="52" t="str">
        <f>HYPERLINK("http://dx.doi.org/10.1016/j.biocon.2011.05.007","http://dx.doi.org/10.1016/j.biocon.2011.05.007")</f>
        <v>http://dx.doi.org/10.1016/j.biocon.2011.05.007</v>
      </c>
      <c r="BG357" s="13" t="s">
        <v>5510</v>
      </c>
      <c r="BH357" s="13" t="s">
        <v>5510</v>
      </c>
      <c r="BI357" s="13">
        <v>5.0</v>
      </c>
      <c r="BJ357" s="13" t="s">
        <v>5698</v>
      </c>
      <c r="BK357" s="13" t="s">
        <v>5561</v>
      </c>
      <c r="BL357" s="13" t="s">
        <v>5699</v>
      </c>
      <c r="BM357" s="13" t="s">
        <v>12111</v>
      </c>
      <c r="BN357" s="13" t="s">
        <v>5510</v>
      </c>
      <c r="BO357" s="13" t="s">
        <v>5510</v>
      </c>
      <c r="BP357" s="13" t="s">
        <v>5510</v>
      </c>
      <c r="BQ357" s="13" t="s">
        <v>5510</v>
      </c>
      <c r="BR357" s="13" t="s">
        <v>5538</v>
      </c>
      <c r="BS357" s="13" t="s">
        <v>12112</v>
      </c>
      <c r="BT357" s="13">
        <v>26011.0</v>
      </c>
      <c r="BU357" s="13" t="s">
        <v>5540</v>
      </c>
      <c r="BV357" s="13" t="s">
        <v>4864</v>
      </c>
      <c r="BW357" s="13" t="str">
        <f>VLOOKUP($BT357,Enriched!$A$2:$E$1070,5,false)</f>
        <v>["Transportation &amp; Service Corridors"]</v>
      </c>
      <c r="BX357" s="13" t="str">
        <f>VLOOKUP($BT357,Enriched!$A$2:$E$1070,4,false)</f>
        <v>["Shipping lanes"]</v>
      </c>
      <c r="BY357" s="13" t="b">
        <f>VLOOKUP(BT357,Enriched!$A$1:$AA$1070,27,falsE)</f>
        <v>0</v>
      </c>
      <c r="BZ357" s="2" t="str">
        <f>VLOOKUP(BT357,Enriched!$A$1:$AA$1070,14,falsE)</f>
        <v>level2</v>
      </c>
      <c r="CA357" s="13" t="str">
        <f>HYPERLINK("https%3A%2F%2Fwww.webofscience.com%2Fwos%2Fwoscc%2Ffull-record%2FWOS:000294030900030","View Full Record in Web of Science")</f>
        <v>View Full Record in Web of Science</v>
      </c>
    </row>
    <row r="358" ht="12.75" customHeight="1">
      <c r="A358" s="13" t="s">
        <v>5508</v>
      </c>
      <c r="B358" s="13" t="s">
        <v>12113</v>
      </c>
      <c r="C358" s="13" t="s">
        <v>5510</v>
      </c>
      <c r="D358" s="13" t="s">
        <v>5510</v>
      </c>
      <c r="E358" s="13" t="s">
        <v>5510</v>
      </c>
      <c r="F358" s="13" t="s">
        <v>12114</v>
      </c>
      <c r="G358" s="13" t="s">
        <v>5510</v>
      </c>
      <c r="H358" s="13" t="s">
        <v>5510</v>
      </c>
      <c r="I358" s="13" t="s">
        <v>1969</v>
      </c>
      <c r="J358" s="13" t="s">
        <v>6306</v>
      </c>
      <c r="K358" s="13" t="s">
        <v>5510</v>
      </c>
      <c r="L358" s="13" t="s">
        <v>5510</v>
      </c>
      <c r="M358" s="13" t="s">
        <v>5513</v>
      </c>
      <c r="N358" s="13" t="s">
        <v>5514</v>
      </c>
      <c r="O358" s="13" t="s">
        <v>5510</v>
      </c>
      <c r="P358" s="13" t="s">
        <v>5510</v>
      </c>
      <c r="Q358" s="13" t="s">
        <v>5510</v>
      </c>
      <c r="R358" s="13" t="s">
        <v>5510</v>
      </c>
      <c r="S358" s="13" t="s">
        <v>5510</v>
      </c>
      <c r="T358" s="13" t="s">
        <v>12115</v>
      </c>
      <c r="U358" s="13" t="s">
        <v>12116</v>
      </c>
      <c r="V358" s="13" t="s">
        <v>12117</v>
      </c>
      <c r="W358" s="13" t="s">
        <v>12118</v>
      </c>
      <c r="X358" s="13" t="s">
        <v>12119</v>
      </c>
      <c r="Y358" s="13" t="s">
        <v>12120</v>
      </c>
      <c r="Z358" s="13" t="s">
        <v>12121</v>
      </c>
      <c r="AA358" s="13" t="s">
        <v>12122</v>
      </c>
      <c r="AB358" s="13" t="s">
        <v>12123</v>
      </c>
      <c r="AC358" s="13" t="s">
        <v>12124</v>
      </c>
      <c r="AD358" s="13" t="s">
        <v>12125</v>
      </c>
      <c r="AE358" s="13" t="s">
        <v>12126</v>
      </c>
      <c r="AF358" s="13" t="s">
        <v>5510</v>
      </c>
      <c r="AG358" s="13">
        <v>66.0</v>
      </c>
      <c r="AH358" s="13">
        <v>41.0</v>
      </c>
      <c r="AI358" s="13">
        <v>46.0</v>
      </c>
      <c r="AJ358" s="13">
        <v>1.0</v>
      </c>
      <c r="AK358" s="13">
        <v>55.0</v>
      </c>
      <c r="AL358" s="13" t="s">
        <v>6319</v>
      </c>
      <c r="AM358" s="13" t="s">
        <v>6320</v>
      </c>
      <c r="AN358" s="13" t="s">
        <v>6321</v>
      </c>
      <c r="AO358" s="13" t="s">
        <v>5510</v>
      </c>
      <c r="AP358" s="13" t="s">
        <v>6322</v>
      </c>
      <c r="AQ358" s="13" t="s">
        <v>5510</v>
      </c>
      <c r="AR358" s="13" t="s">
        <v>6323</v>
      </c>
      <c r="AS358" s="13" t="s">
        <v>6324</v>
      </c>
      <c r="AT358" s="13" t="s">
        <v>12127</v>
      </c>
      <c r="AU358" s="13">
        <v>2019.0</v>
      </c>
      <c r="AV358" s="13">
        <v>6.0</v>
      </c>
      <c r="AW358" s="13" t="s">
        <v>5510</v>
      </c>
      <c r="AX358" s="13" t="s">
        <v>5510</v>
      </c>
      <c r="AY358" s="13" t="s">
        <v>5510</v>
      </c>
      <c r="AZ358" s="13" t="s">
        <v>5510</v>
      </c>
      <c r="BA358" s="13" t="s">
        <v>5510</v>
      </c>
      <c r="BB358" s="13" t="s">
        <v>5510</v>
      </c>
      <c r="BC358" s="13" t="s">
        <v>5510</v>
      </c>
      <c r="BD358" s="13">
        <v>299.0</v>
      </c>
      <c r="BE358" s="13" t="s">
        <v>12128</v>
      </c>
      <c r="BF358" s="52" t="str">
        <f>HYPERLINK("http://dx.doi.org/10.3389/fmars.2019.00299","http://dx.doi.org/10.3389/fmars.2019.00299")</f>
        <v>http://dx.doi.org/10.3389/fmars.2019.00299</v>
      </c>
      <c r="BG358" s="13" t="s">
        <v>5510</v>
      </c>
      <c r="BH358" s="13" t="s">
        <v>5510</v>
      </c>
      <c r="BI358" s="13">
        <v>10.0</v>
      </c>
      <c r="BJ358" s="13" t="s">
        <v>6327</v>
      </c>
      <c r="BK358" s="13" t="s">
        <v>5561</v>
      </c>
      <c r="BL358" s="13" t="s">
        <v>6328</v>
      </c>
      <c r="BM358" s="13" t="s">
        <v>12129</v>
      </c>
      <c r="BN358" s="13" t="s">
        <v>5510</v>
      </c>
      <c r="BO358" s="13" t="s">
        <v>5564</v>
      </c>
      <c r="BP358" s="13" t="s">
        <v>5510</v>
      </c>
      <c r="BQ358" s="13" t="s">
        <v>5510</v>
      </c>
      <c r="BR358" s="13" t="s">
        <v>5538</v>
      </c>
      <c r="BS358" s="13" t="s">
        <v>12130</v>
      </c>
      <c r="BT358" s="13">
        <v>24104.0</v>
      </c>
      <c r="BU358" s="13" t="s">
        <v>5540</v>
      </c>
      <c r="BV358" s="13" t="s">
        <v>4864</v>
      </c>
      <c r="BW358" s="13" t="str">
        <f>VLOOKUP($BT358,Enriched!$A$2:$E$1070,5,false)</f>
        <v>["Pollution"]</v>
      </c>
      <c r="BX358" s="13" t="str">
        <f>VLOOKUP($BT358,Enriched!$A$2:$E$1070,4,false)</f>
        <v>["Garbage &amp; solid waste"]</v>
      </c>
      <c r="BY358" s="13" t="b">
        <f>VLOOKUP(BT358,Enriched!$A$1:$AA$1070,27,falsE)</f>
        <v>0</v>
      </c>
      <c r="BZ358" s="2" t="str">
        <f>VLOOKUP(BT358,Enriched!$A$1:$AA$1070,14,falsE)</f>
        <v>level2</v>
      </c>
      <c r="CA358" s="13" t="str">
        <f>HYPERLINK("https%3A%2F%2Fwww.webofscience.com%2Fwos%2Fwoscc%2Ffull-record%2FWOS:000470790300002","View Full Record in Web of Science")</f>
        <v>View Full Record in Web of Science</v>
      </c>
    </row>
    <row r="359" ht="12.75" customHeight="1">
      <c r="A359" s="13" t="s">
        <v>5508</v>
      </c>
      <c r="B359" s="13" t="s">
        <v>12131</v>
      </c>
      <c r="C359" s="13" t="s">
        <v>5510</v>
      </c>
      <c r="D359" s="13" t="s">
        <v>5510</v>
      </c>
      <c r="E359" s="13" t="s">
        <v>5510</v>
      </c>
      <c r="F359" s="13" t="s">
        <v>12132</v>
      </c>
      <c r="G359" s="13" t="s">
        <v>5510</v>
      </c>
      <c r="H359" s="13" t="s">
        <v>5510</v>
      </c>
      <c r="I359" s="13" t="s">
        <v>1966</v>
      </c>
      <c r="J359" s="13" t="s">
        <v>5792</v>
      </c>
      <c r="K359" s="13" t="s">
        <v>5510</v>
      </c>
      <c r="L359" s="13" t="s">
        <v>5510</v>
      </c>
      <c r="M359" s="13" t="s">
        <v>5513</v>
      </c>
      <c r="N359" s="13" t="s">
        <v>5514</v>
      </c>
      <c r="O359" s="13" t="s">
        <v>5510</v>
      </c>
      <c r="P359" s="13" t="s">
        <v>5510</v>
      </c>
      <c r="Q359" s="13" t="s">
        <v>5510</v>
      </c>
      <c r="R359" s="13" t="s">
        <v>5510</v>
      </c>
      <c r="S359" s="13" t="s">
        <v>5510</v>
      </c>
      <c r="T359" s="13" t="s">
        <v>5510</v>
      </c>
      <c r="U359" s="13" t="s">
        <v>12133</v>
      </c>
      <c r="V359" s="13" t="s">
        <v>12134</v>
      </c>
      <c r="W359" s="13" t="s">
        <v>5510</v>
      </c>
      <c r="X359" s="13" t="s">
        <v>5510</v>
      </c>
      <c r="Y359" s="13" t="s">
        <v>12135</v>
      </c>
      <c r="Z359" s="13" t="s">
        <v>12136</v>
      </c>
      <c r="AA359" s="13" t="s">
        <v>5510</v>
      </c>
      <c r="AB359" s="13" t="s">
        <v>5510</v>
      </c>
      <c r="AC359" s="13" t="s">
        <v>5510</v>
      </c>
      <c r="AD359" s="13" t="s">
        <v>5510</v>
      </c>
      <c r="AE359" s="13" t="s">
        <v>5510</v>
      </c>
      <c r="AF359" s="13" t="s">
        <v>5510</v>
      </c>
      <c r="AG359" s="13">
        <v>76.0</v>
      </c>
      <c r="AH359" s="13">
        <v>29.0</v>
      </c>
      <c r="AI359" s="13">
        <v>35.0</v>
      </c>
      <c r="AJ359" s="13">
        <v>0.0</v>
      </c>
      <c r="AK359" s="13">
        <v>47.0</v>
      </c>
      <c r="AL359" s="13" t="s">
        <v>5800</v>
      </c>
      <c r="AM359" s="13" t="s">
        <v>5801</v>
      </c>
      <c r="AN359" s="13" t="s">
        <v>5802</v>
      </c>
      <c r="AO359" s="13" t="s">
        <v>5803</v>
      </c>
      <c r="AP359" s="13" t="s">
        <v>5804</v>
      </c>
      <c r="AQ359" s="13" t="s">
        <v>5510</v>
      </c>
      <c r="AR359" s="13" t="s">
        <v>5805</v>
      </c>
      <c r="AS359" s="13" t="s">
        <v>5806</v>
      </c>
      <c r="AT359" s="13" t="s">
        <v>5510</v>
      </c>
      <c r="AU359" s="13">
        <v>2014.0</v>
      </c>
      <c r="AV359" s="13">
        <v>24.0</v>
      </c>
      <c r="AW359" s="13">
        <v>3.0</v>
      </c>
      <c r="AX359" s="13" t="s">
        <v>5510</v>
      </c>
      <c r="AY359" s="13" t="s">
        <v>5510</v>
      </c>
      <c r="AZ359" s="13" t="s">
        <v>5510</v>
      </c>
      <c r="BA359" s="13" t="s">
        <v>5510</v>
      </c>
      <c r="BB359" s="13">
        <v>237.0</v>
      </c>
      <c r="BC359" s="13" t="s">
        <v>12137</v>
      </c>
      <c r="BD359" s="13" t="s">
        <v>5510</v>
      </c>
      <c r="BE359" s="13" t="s">
        <v>12138</v>
      </c>
      <c r="BF359" s="52" t="str">
        <f>HYPERLINK("http://dx.doi.org/10.3354/esr00600","http://dx.doi.org/10.3354/esr00600")</f>
        <v>http://dx.doi.org/10.3354/esr00600</v>
      </c>
      <c r="BG359" s="13" t="s">
        <v>5510</v>
      </c>
      <c r="BH359" s="13" t="s">
        <v>5510</v>
      </c>
      <c r="BI359" s="13">
        <v>13.0</v>
      </c>
      <c r="BJ359" s="13" t="s">
        <v>5648</v>
      </c>
      <c r="BK359" s="13" t="s">
        <v>5561</v>
      </c>
      <c r="BL359" s="13" t="s">
        <v>5650</v>
      </c>
      <c r="BM359" s="13" t="s">
        <v>12139</v>
      </c>
      <c r="BN359" s="13" t="s">
        <v>5510</v>
      </c>
      <c r="BO359" s="13" t="s">
        <v>5587</v>
      </c>
      <c r="BP359" s="13" t="s">
        <v>5510</v>
      </c>
      <c r="BQ359" s="13" t="s">
        <v>5510</v>
      </c>
      <c r="BR359" s="13" t="s">
        <v>5538</v>
      </c>
      <c r="BS359" s="13" t="s">
        <v>12140</v>
      </c>
      <c r="BT359" s="13">
        <v>23371.0</v>
      </c>
      <c r="BU359" s="13" t="s">
        <v>5540</v>
      </c>
      <c r="BV359" s="13" t="s">
        <v>4856</v>
      </c>
      <c r="BW359" s="13" t="str">
        <f>VLOOKUP($BT359,Enriched!$A$2:$E$1070,5,false)</f>
        <v>["Biological resource use"]</v>
      </c>
      <c r="BX359" s="13" t="str">
        <f>VLOOKUP($BT359,Enriched!$A$2:$E$1070,4,false)</f>
        <v>["Fishing &amp; harvesting aquatic resources"]</v>
      </c>
      <c r="BY359" s="13" t="b">
        <f>VLOOKUP(BT359,Enriched!$A$1:$AA$1070,27,falsE)</f>
        <v>0</v>
      </c>
      <c r="BZ359" s="2" t="str">
        <f>VLOOKUP(BT359,Enriched!$A$1:$AA$1070,14,falsE)</f>
        <v>level2</v>
      </c>
      <c r="CA359" s="13" t="str">
        <f>HYPERLINK("https%3A%2F%2Fwww.webofscience.com%2Fwos%2Fwoscc%2Ffull-record%2FWOS:000337973100005","View Full Record in Web of Science")</f>
        <v>View Full Record in Web of Science</v>
      </c>
    </row>
    <row r="360" ht="12.75" customHeight="1">
      <c r="A360" s="13" t="s">
        <v>5508</v>
      </c>
      <c r="B360" s="13" t="s">
        <v>12141</v>
      </c>
      <c r="C360" s="13" t="s">
        <v>5510</v>
      </c>
      <c r="D360" s="13" t="s">
        <v>5510</v>
      </c>
      <c r="E360" s="13" t="s">
        <v>5510</v>
      </c>
      <c r="F360" s="13" t="s">
        <v>12142</v>
      </c>
      <c r="G360" s="13" t="s">
        <v>5510</v>
      </c>
      <c r="H360" s="13" t="s">
        <v>5510</v>
      </c>
      <c r="I360" s="13" t="s">
        <v>1963</v>
      </c>
      <c r="J360" s="13" t="s">
        <v>8163</v>
      </c>
      <c r="K360" s="13" t="s">
        <v>5510</v>
      </c>
      <c r="L360" s="13" t="s">
        <v>5510</v>
      </c>
      <c r="M360" s="13" t="s">
        <v>5513</v>
      </c>
      <c r="N360" s="13" t="s">
        <v>5514</v>
      </c>
      <c r="O360" s="13" t="s">
        <v>5510</v>
      </c>
      <c r="P360" s="13" t="s">
        <v>5510</v>
      </c>
      <c r="Q360" s="13" t="s">
        <v>5510</v>
      </c>
      <c r="R360" s="13" t="s">
        <v>5510</v>
      </c>
      <c r="S360" s="13" t="s">
        <v>5510</v>
      </c>
      <c r="T360" s="13" t="s">
        <v>12143</v>
      </c>
      <c r="U360" s="13" t="s">
        <v>12144</v>
      </c>
      <c r="V360" s="13" t="s">
        <v>12145</v>
      </c>
      <c r="W360" s="13" t="s">
        <v>12146</v>
      </c>
      <c r="X360" s="13" t="s">
        <v>12147</v>
      </c>
      <c r="Y360" s="13" t="s">
        <v>12148</v>
      </c>
      <c r="Z360" s="13" t="s">
        <v>12149</v>
      </c>
      <c r="AA360" s="13" t="s">
        <v>12150</v>
      </c>
      <c r="AB360" s="13" t="s">
        <v>12151</v>
      </c>
      <c r="AC360" s="13" t="s">
        <v>12152</v>
      </c>
      <c r="AD360" s="13" t="s">
        <v>12153</v>
      </c>
      <c r="AE360" s="13" t="s">
        <v>12154</v>
      </c>
      <c r="AF360" s="13" t="s">
        <v>5510</v>
      </c>
      <c r="AG360" s="13">
        <v>74.0</v>
      </c>
      <c r="AH360" s="13">
        <v>32.0</v>
      </c>
      <c r="AI360" s="13">
        <v>35.0</v>
      </c>
      <c r="AJ360" s="13">
        <v>0.0</v>
      </c>
      <c r="AK360" s="13">
        <v>73.0</v>
      </c>
      <c r="AL360" s="13" t="s">
        <v>5690</v>
      </c>
      <c r="AM360" s="13" t="s">
        <v>5691</v>
      </c>
      <c r="AN360" s="13" t="s">
        <v>5692</v>
      </c>
      <c r="AO360" s="13" t="s">
        <v>8176</v>
      </c>
      <c r="AP360" s="13" t="s">
        <v>8177</v>
      </c>
      <c r="AQ360" s="13" t="s">
        <v>5510</v>
      </c>
      <c r="AR360" s="13" t="s">
        <v>8178</v>
      </c>
      <c r="AS360" s="13" t="s">
        <v>8179</v>
      </c>
      <c r="AT360" s="13" t="s">
        <v>2738</v>
      </c>
      <c r="AU360" s="13">
        <v>2019.0</v>
      </c>
      <c r="AV360" s="13">
        <v>34.0</v>
      </c>
      <c r="AW360" s="13">
        <v>2.0</v>
      </c>
      <c r="AX360" s="13" t="s">
        <v>5510</v>
      </c>
      <c r="AY360" s="13" t="s">
        <v>5510</v>
      </c>
      <c r="AZ360" s="13" t="s">
        <v>5510</v>
      </c>
      <c r="BA360" s="13" t="s">
        <v>5510</v>
      </c>
      <c r="BB360" s="13">
        <v>443.0</v>
      </c>
      <c r="BC360" s="13">
        <v>458.0</v>
      </c>
      <c r="BD360" s="13" t="s">
        <v>5510</v>
      </c>
      <c r="BE360" s="13" t="s">
        <v>12155</v>
      </c>
      <c r="BF360" s="52" t="str">
        <f>HYPERLINK("http://dx.doi.org/10.1007/s10980-019-00776-0","http://dx.doi.org/10.1007/s10980-019-00776-0")</f>
        <v>http://dx.doi.org/10.1007/s10980-019-00776-0</v>
      </c>
      <c r="BG360" s="13" t="s">
        <v>5510</v>
      </c>
      <c r="BH360" s="13" t="s">
        <v>5510</v>
      </c>
      <c r="BI360" s="13">
        <v>16.0</v>
      </c>
      <c r="BJ360" s="13" t="s">
        <v>8181</v>
      </c>
      <c r="BK360" s="13" t="s">
        <v>5561</v>
      </c>
      <c r="BL360" s="13" t="s">
        <v>6551</v>
      </c>
      <c r="BM360" s="13" t="s">
        <v>12156</v>
      </c>
      <c r="BN360" s="13" t="s">
        <v>5510</v>
      </c>
      <c r="BO360" s="13" t="s">
        <v>5510</v>
      </c>
      <c r="BP360" s="13" t="s">
        <v>5510</v>
      </c>
      <c r="BQ360" s="13" t="s">
        <v>5510</v>
      </c>
      <c r="BR360" s="13" t="s">
        <v>5538</v>
      </c>
      <c r="BS360" s="13" t="s">
        <v>12157</v>
      </c>
      <c r="BT360" s="13">
        <v>25803.0</v>
      </c>
      <c r="BU360" s="13" t="s">
        <v>5540</v>
      </c>
      <c r="BV360" s="13" t="s">
        <v>4856</v>
      </c>
      <c r="BW360" s="13" t="str">
        <f>VLOOKUP($BT360,Enriched!$A$2:$E$1070,5,false)</f>
        <v>["Transportation &amp; Service Corridors", "Biological Resource Use"]</v>
      </c>
      <c r="BX360" s="13" t="str">
        <f>VLOOKUP($BT360,Enriched!$A$2:$E$1070,4,false)</f>
        <v>["Roads &amp; railroads", "Hunting &amp; collecting terrestrial animals"]</v>
      </c>
      <c r="BY360" s="13" t="b">
        <f>VLOOKUP(BT360,Enriched!$A$1:$AA$1070,27,falsE)</f>
        <v>0</v>
      </c>
      <c r="BZ360" s="2" t="str">
        <f>VLOOKUP(BT360,Enriched!$A$1:$AA$1070,14,falsE)</f>
        <v>level2</v>
      </c>
      <c r="CA360" s="13" t="str">
        <f>HYPERLINK("https%3A%2F%2Fwww.webofscience.com%2Fwos%2Fwoscc%2Ffull-record%2FWOS:000462018500015","View Full Record in Web of Science")</f>
        <v>View Full Record in Web of Science</v>
      </c>
    </row>
    <row r="361" ht="12.75" customHeight="1">
      <c r="A361" s="13" t="s">
        <v>5508</v>
      </c>
      <c r="B361" s="13" t="s">
        <v>12158</v>
      </c>
      <c r="C361" s="13" t="s">
        <v>5510</v>
      </c>
      <c r="D361" s="13" t="s">
        <v>5510</v>
      </c>
      <c r="E361" s="13" t="s">
        <v>5510</v>
      </c>
      <c r="F361" s="13" t="s">
        <v>12159</v>
      </c>
      <c r="G361" s="13" t="s">
        <v>5510</v>
      </c>
      <c r="H361" s="13" t="s">
        <v>5510</v>
      </c>
      <c r="I361" s="13" t="s">
        <v>1959</v>
      </c>
      <c r="J361" s="13" t="s">
        <v>12160</v>
      </c>
      <c r="K361" s="13" t="s">
        <v>5510</v>
      </c>
      <c r="L361" s="13" t="s">
        <v>5510</v>
      </c>
      <c r="M361" s="13" t="s">
        <v>5513</v>
      </c>
      <c r="N361" s="13" t="s">
        <v>5514</v>
      </c>
      <c r="O361" s="13" t="s">
        <v>5510</v>
      </c>
      <c r="P361" s="13" t="s">
        <v>5510</v>
      </c>
      <c r="Q361" s="13" t="s">
        <v>5510</v>
      </c>
      <c r="R361" s="13" t="s">
        <v>5510</v>
      </c>
      <c r="S361" s="13" t="s">
        <v>5510</v>
      </c>
      <c r="T361" s="13" t="s">
        <v>5510</v>
      </c>
      <c r="U361" s="13" t="s">
        <v>12161</v>
      </c>
      <c r="V361" s="13" t="s">
        <v>12162</v>
      </c>
      <c r="W361" s="13" t="s">
        <v>12163</v>
      </c>
      <c r="X361" s="13" t="s">
        <v>12164</v>
      </c>
      <c r="Y361" s="13" t="s">
        <v>12165</v>
      </c>
      <c r="Z361" s="13" t="s">
        <v>12166</v>
      </c>
      <c r="AA361" s="13" t="s">
        <v>12167</v>
      </c>
      <c r="AB361" s="13" t="s">
        <v>12168</v>
      </c>
      <c r="AC361" s="13" t="s">
        <v>5510</v>
      </c>
      <c r="AD361" s="13" t="s">
        <v>5510</v>
      </c>
      <c r="AE361" s="13" t="s">
        <v>5510</v>
      </c>
      <c r="AF361" s="13" t="s">
        <v>5510</v>
      </c>
      <c r="AG361" s="13">
        <v>73.0</v>
      </c>
      <c r="AH361" s="13">
        <v>40.0</v>
      </c>
      <c r="AI361" s="13">
        <v>44.0</v>
      </c>
      <c r="AJ361" s="13">
        <v>1.0</v>
      </c>
      <c r="AK361" s="13">
        <v>14.0</v>
      </c>
      <c r="AL361" s="13" t="s">
        <v>12169</v>
      </c>
      <c r="AM361" s="13" t="s">
        <v>12170</v>
      </c>
      <c r="AN361" s="13" t="s">
        <v>12171</v>
      </c>
      <c r="AO361" s="13" t="s">
        <v>12172</v>
      </c>
      <c r="AP361" s="13" t="s">
        <v>5510</v>
      </c>
      <c r="AQ361" s="13" t="s">
        <v>5510</v>
      </c>
      <c r="AR361" s="13" t="s">
        <v>12173</v>
      </c>
      <c r="AS361" s="13" t="s">
        <v>12174</v>
      </c>
      <c r="AT361" s="13" t="s">
        <v>12175</v>
      </c>
      <c r="AU361" s="13">
        <v>2018.0</v>
      </c>
      <c r="AV361" s="13">
        <v>18.0</v>
      </c>
      <c r="AW361" s="13">
        <v>3.0</v>
      </c>
      <c r="AX361" s="13" t="s">
        <v>5510</v>
      </c>
      <c r="AY361" s="13" t="s">
        <v>5510</v>
      </c>
      <c r="AZ361" s="13" t="s">
        <v>5510</v>
      </c>
      <c r="BA361" s="13" t="s">
        <v>5510</v>
      </c>
      <c r="BB361" s="13">
        <v>935.0</v>
      </c>
      <c r="BC361" s="13">
        <v>948.0</v>
      </c>
      <c r="BD361" s="13" t="s">
        <v>5510</v>
      </c>
      <c r="BE361" s="13" t="s">
        <v>12176</v>
      </c>
      <c r="BF361" s="52" t="str">
        <f>HYPERLINK("http://dx.doi.org/10.5194/nhess-18-935-2018","http://dx.doi.org/10.5194/nhess-18-935-2018")</f>
        <v>http://dx.doi.org/10.5194/nhess-18-935-2018</v>
      </c>
      <c r="BG361" s="13" t="s">
        <v>5510</v>
      </c>
      <c r="BH361" s="13" t="s">
        <v>5510</v>
      </c>
      <c r="BI361" s="13">
        <v>14.0</v>
      </c>
      <c r="BJ361" s="13" t="s">
        <v>12177</v>
      </c>
      <c r="BK361" s="13" t="s">
        <v>5561</v>
      </c>
      <c r="BL361" s="13" t="s">
        <v>12178</v>
      </c>
      <c r="BM361" s="13" t="s">
        <v>12179</v>
      </c>
      <c r="BN361" s="13" t="s">
        <v>5510</v>
      </c>
      <c r="BO361" s="13" t="s">
        <v>5564</v>
      </c>
      <c r="BP361" s="13" t="s">
        <v>5510</v>
      </c>
      <c r="BQ361" s="13" t="s">
        <v>5510</v>
      </c>
      <c r="BR361" s="13" t="s">
        <v>5538</v>
      </c>
      <c r="BS361" s="13" t="s">
        <v>12180</v>
      </c>
      <c r="BT361" s="13">
        <v>25850.0</v>
      </c>
      <c r="BU361" s="13" t="s">
        <v>5540</v>
      </c>
      <c r="BV361" s="13" t="s">
        <v>4856</v>
      </c>
      <c r="BW361" s="13" t="str">
        <f>VLOOKUP($BT361,Enriched!$A$2:$E$1070,5,false)</f>
        <v>["Natural System Modifications"]</v>
      </c>
      <c r="BX361" s="13" t="str">
        <f>VLOOKUP($BT361,Enriched!$A$2:$E$1070,4,false)</f>
        <v>["Fire &amp; fire suppression"]</v>
      </c>
      <c r="BY361" s="13" t="b">
        <f>VLOOKUP(BT361,Enriched!$A$1:$AA$1070,27,falsE)</f>
        <v>0</v>
      </c>
      <c r="BZ361" s="2" t="str">
        <f>VLOOKUP(BT361,Enriched!$A$1:$AA$1070,14,falsE)</f>
        <v>level2</v>
      </c>
      <c r="CA361" s="13" t="str">
        <f>HYPERLINK("https%3A%2F%2Fwww.webofscience.com%2Fwos%2Fwoscc%2Ffull-record%2FWOS:000428480600002","View Full Record in Web of Science")</f>
        <v>View Full Record in Web of Science</v>
      </c>
    </row>
    <row r="362" ht="12.75" customHeight="1">
      <c r="A362" s="13" t="s">
        <v>5508</v>
      </c>
      <c r="B362" s="13" t="s">
        <v>12181</v>
      </c>
      <c r="C362" s="13" t="s">
        <v>5510</v>
      </c>
      <c r="D362" s="13" t="s">
        <v>5510</v>
      </c>
      <c r="E362" s="13" t="s">
        <v>5510</v>
      </c>
      <c r="F362" s="13" t="s">
        <v>12182</v>
      </c>
      <c r="G362" s="13" t="s">
        <v>5510</v>
      </c>
      <c r="H362" s="13" t="s">
        <v>5510</v>
      </c>
      <c r="I362" s="13" t="s">
        <v>12183</v>
      </c>
      <c r="J362" s="13" t="s">
        <v>6836</v>
      </c>
      <c r="K362" s="13" t="s">
        <v>5510</v>
      </c>
      <c r="L362" s="13" t="s">
        <v>5510</v>
      </c>
      <c r="M362" s="13" t="s">
        <v>5513</v>
      </c>
      <c r="N362" s="13" t="s">
        <v>5514</v>
      </c>
      <c r="O362" s="13" t="s">
        <v>5510</v>
      </c>
      <c r="P362" s="13" t="s">
        <v>5510</v>
      </c>
      <c r="Q362" s="13" t="s">
        <v>5510</v>
      </c>
      <c r="R362" s="13" t="s">
        <v>5510</v>
      </c>
      <c r="S362" s="13" t="s">
        <v>5510</v>
      </c>
      <c r="T362" s="13" t="s">
        <v>12184</v>
      </c>
      <c r="U362" s="13" t="s">
        <v>12185</v>
      </c>
      <c r="V362" s="13" t="s">
        <v>12186</v>
      </c>
      <c r="W362" s="13" t="s">
        <v>12187</v>
      </c>
      <c r="X362" s="13" t="s">
        <v>12188</v>
      </c>
      <c r="Y362" s="13" t="s">
        <v>12189</v>
      </c>
      <c r="Z362" s="13" t="s">
        <v>12190</v>
      </c>
      <c r="AA362" s="13" t="s">
        <v>12191</v>
      </c>
      <c r="AB362" s="13" t="s">
        <v>12192</v>
      </c>
      <c r="AC362" s="13" t="s">
        <v>12193</v>
      </c>
      <c r="AD362" s="13" t="s">
        <v>12194</v>
      </c>
      <c r="AE362" s="13" t="s">
        <v>12195</v>
      </c>
      <c r="AF362" s="13" t="s">
        <v>5510</v>
      </c>
      <c r="AG362" s="13">
        <v>97.0</v>
      </c>
      <c r="AH362" s="13">
        <v>27.0</v>
      </c>
      <c r="AI362" s="13">
        <v>31.0</v>
      </c>
      <c r="AJ362" s="13">
        <v>0.0</v>
      </c>
      <c r="AK362" s="13">
        <v>44.0</v>
      </c>
      <c r="AL362" s="13" t="s">
        <v>6849</v>
      </c>
      <c r="AM362" s="13" t="s">
        <v>6850</v>
      </c>
      <c r="AN362" s="13" t="s">
        <v>6851</v>
      </c>
      <c r="AO362" s="13" t="s">
        <v>5510</v>
      </c>
      <c r="AP362" s="13" t="s">
        <v>6852</v>
      </c>
      <c r="AQ362" s="13" t="s">
        <v>5510</v>
      </c>
      <c r="AR362" s="13" t="s">
        <v>6853</v>
      </c>
      <c r="AS362" s="13" t="s">
        <v>1596</v>
      </c>
      <c r="AT362" s="13" t="s">
        <v>5720</v>
      </c>
      <c r="AU362" s="13">
        <v>2018.0</v>
      </c>
      <c r="AV362" s="13">
        <v>10.0</v>
      </c>
      <c r="AW362" s="13">
        <v>6.0</v>
      </c>
      <c r="AX362" s="13" t="s">
        <v>5510</v>
      </c>
      <c r="AY362" s="13" t="s">
        <v>5510</v>
      </c>
      <c r="AZ362" s="13" t="s">
        <v>5510</v>
      </c>
      <c r="BA362" s="13" t="s">
        <v>5510</v>
      </c>
      <c r="BB362" s="13" t="s">
        <v>5510</v>
      </c>
      <c r="BC362" s="13" t="s">
        <v>5510</v>
      </c>
      <c r="BD362" s="13">
        <v>1747.0</v>
      </c>
      <c r="BE362" s="13" t="s">
        <v>12196</v>
      </c>
      <c r="BF362" s="52" t="str">
        <f>HYPERLINK("http://dx.doi.org/10.3390/su10061747","http://dx.doi.org/10.3390/su10061747")</f>
        <v>http://dx.doi.org/10.3390/su10061747</v>
      </c>
      <c r="BG362" s="13" t="s">
        <v>5510</v>
      </c>
      <c r="BH362" s="13" t="s">
        <v>5510</v>
      </c>
      <c r="BI362" s="13">
        <v>27.0</v>
      </c>
      <c r="BJ362" s="13" t="s">
        <v>6855</v>
      </c>
      <c r="BK362" s="13" t="s">
        <v>5534</v>
      </c>
      <c r="BL362" s="13" t="s">
        <v>6488</v>
      </c>
      <c r="BM362" s="13" t="s">
        <v>12197</v>
      </c>
      <c r="BN362" s="13" t="s">
        <v>5510</v>
      </c>
      <c r="BO362" s="13" t="s">
        <v>5564</v>
      </c>
      <c r="BP362" s="13" t="s">
        <v>5510</v>
      </c>
      <c r="BQ362" s="13" t="s">
        <v>5510</v>
      </c>
      <c r="BR362" s="13" t="s">
        <v>5538</v>
      </c>
      <c r="BS362" s="13" t="s">
        <v>12198</v>
      </c>
      <c r="BT362" s="13">
        <v>26141.0</v>
      </c>
      <c r="BU362" s="13" t="s">
        <v>5540</v>
      </c>
      <c r="BV362" s="13" t="s">
        <v>4852</v>
      </c>
      <c r="BW362" s="13" t="str">
        <f>VLOOKUP($BT362,Enriched!$A$2:$E$1070,5,false)</f>
        <v>["Human Intrusions &amp; Disturbance"]</v>
      </c>
      <c r="BX362" s="13" t="str">
        <f>VLOOKUP($BT362,Enriched!$A$2:$E$1070,4,false)</f>
        <v>["Recreational activities"]</v>
      </c>
      <c r="BY362" s="13" t="b">
        <f>VLOOKUP(BT362,Enriched!$A$1:$AA$1070,27,falsE)</f>
        <v>0</v>
      </c>
      <c r="BZ362" s="2" t="str">
        <f>VLOOKUP(BT362,Enriched!$A$1:$AA$1070,14,falsE)</f>
        <v>level2</v>
      </c>
      <c r="CA362" s="13" t="str">
        <f>HYPERLINK("https%3A%2F%2Fwww.webofscience.com%2Fwos%2Fwoscc%2Ffull-record%2FWOS:000436570100059","View Full Record in Web of Science")</f>
        <v>View Full Record in Web of Science</v>
      </c>
    </row>
    <row r="363" ht="12.75" customHeight="1">
      <c r="A363" s="13" t="s">
        <v>5508</v>
      </c>
      <c r="B363" s="13" t="s">
        <v>12199</v>
      </c>
      <c r="C363" s="13" t="s">
        <v>5510</v>
      </c>
      <c r="D363" s="13" t="s">
        <v>5510</v>
      </c>
      <c r="E363" s="13" t="s">
        <v>5510</v>
      </c>
      <c r="F363" s="13" t="s">
        <v>12200</v>
      </c>
      <c r="G363" s="13" t="s">
        <v>5510</v>
      </c>
      <c r="H363" s="13" t="s">
        <v>5510</v>
      </c>
      <c r="I363" s="13" t="s">
        <v>12201</v>
      </c>
      <c r="J363" s="13" t="s">
        <v>5543</v>
      </c>
      <c r="K363" s="13" t="s">
        <v>5510</v>
      </c>
      <c r="L363" s="13" t="s">
        <v>5510</v>
      </c>
      <c r="M363" s="13" t="s">
        <v>5513</v>
      </c>
      <c r="N363" s="13" t="s">
        <v>5514</v>
      </c>
      <c r="O363" s="13" t="s">
        <v>5510</v>
      </c>
      <c r="P363" s="13" t="s">
        <v>5510</v>
      </c>
      <c r="Q363" s="13" t="s">
        <v>5510</v>
      </c>
      <c r="R363" s="13" t="s">
        <v>5510</v>
      </c>
      <c r="S363" s="13" t="s">
        <v>5510</v>
      </c>
      <c r="T363" s="13" t="s">
        <v>5510</v>
      </c>
      <c r="U363" s="13" t="s">
        <v>12202</v>
      </c>
      <c r="V363" s="13" t="s">
        <v>12203</v>
      </c>
      <c r="W363" s="13" t="s">
        <v>12204</v>
      </c>
      <c r="X363" s="13" t="s">
        <v>12205</v>
      </c>
      <c r="Y363" s="13" t="s">
        <v>12206</v>
      </c>
      <c r="Z363" s="13" t="s">
        <v>12207</v>
      </c>
      <c r="AA363" s="13" t="s">
        <v>12208</v>
      </c>
      <c r="AB363" s="13" t="s">
        <v>12209</v>
      </c>
      <c r="AC363" s="13" t="s">
        <v>12210</v>
      </c>
      <c r="AD363" s="13" t="s">
        <v>12211</v>
      </c>
      <c r="AE363" s="13" t="s">
        <v>12212</v>
      </c>
      <c r="AF363" s="13" t="s">
        <v>5510</v>
      </c>
      <c r="AG363" s="13">
        <v>45.0</v>
      </c>
      <c r="AH363" s="13">
        <v>41.0</v>
      </c>
      <c r="AI363" s="13">
        <v>43.0</v>
      </c>
      <c r="AJ363" s="13">
        <v>1.0</v>
      </c>
      <c r="AK363" s="13">
        <v>35.0</v>
      </c>
      <c r="AL363" s="13" t="s">
        <v>5552</v>
      </c>
      <c r="AM363" s="13" t="s">
        <v>5553</v>
      </c>
      <c r="AN363" s="13" t="s">
        <v>5554</v>
      </c>
      <c r="AO363" s="13" t="s">
        <v>5555</v>
      </c>
      <c r="AP363" s="13" t="s">
        <v>5510</v>
      </c>
      <c r="AQ363" s="13" t="s">
        <v>5510</v>
      </c>
      <c r="AR363" s="13" t="s">
        <v>5543</v>
      </c>
      <c r="AS363" s="13" t="s">
        <v>5556</v>
      </c>
      <c r="AT363" s="13" t="s">
        <v>12213</v>
      </c>
      <c r="AU363" s="13">
        <v>2011.0</v>
      </c>
      <c r="AV363" s="13">
        <v>6.0</v>
      </c>
      <c r="AW363" s="13">
        <v>7.0</v>
      </c>
      <c r="AX363" s="13" t="s">
        <v>5510</v>
      </c>
      <c r="AY363" s="13" t="s">
        <v>5510</v>
      </c>
      <c r="AZ363" s="13" t="s">
        <v>5510</v>
      </c>
      <c r="BA363" s="13" t="s">
        <v>5510</v>
      </c>
      <c r="BB363" s="13" t="s">
        <v>5510</v>
      </c>
      <c r="BC363" s="13" t="s">
        <v>5510</v>
      </c>
      <c r="BD363" s="13" t="s">
        <v>12214</v>
      </c>
      <c r="BE363" s="13" t="s">
        <v>12215</v>
      </c>
      <c r="BF363" s="52" t="str">
        <f>HYPERLINK("http://dx.doi.org/10.1371/journal.pone.0021693","http://dx.doi.org/10.1371/journal.pone.0021693")</f>
        <v>http://dx.doi.org/10.1371/journal.pone.0021693</v>
      </c>
      <c r="BG363" s="13" t="s">
        <v>5510</v>
      </c>
      <c r="BH363" s="13" t="s">
        <v>5510</v>
      </c>
      <c r="BI363" s="13">
        <v>7.0</v>
      </c>
      <c r="BJ363" s="13" t="s">
        <v>5560</v>
      </c>
      <c r="BK363" s="13" t="s">
        <v>5561</v>
      </c>
      <c r="BL363" s="13" t="s">
        <v>5562</v>
      </c>
      <c r="BM363" s="13" t="s">
        <v>12216</v>
      </c>
      <c r="BN363" s="13">
        <v>2.1789177E7</v>
      </c>
      <c r="BO363" s="13" t="s">
        <v>5564</v>
      </c>
      <c r="BP363" s="13" t="s">
        <v>5510</v>
      </c>
      <c r="BQ363" s="13" t="s">
        <v>5510</v>
      </c>
      <c r="BR363" s="13" t="s">
        <v>5538</v>
      </c>
      <c r="BS363" s="13" t="s">
        <v>12217</v>
      </c>
      <c r="BT363" s="13">
        <v>24974.0</v>
      </c>
      <c r="BU363" s="13" t="s">
        <v>5540</v>
      </c>
      <c r="BV363" s="13" t="s">
        <v>4856</v>
      </c>
      <c r="BW363" s="13" t="str">
        <f>VLOOKUP($BT363,Enriched!$A$2:$E$1070,5,false)</f>
        <v>["Invasive &amp; other problematic species, genes &amp; diseases"]</v>
      </c>
      <c r="BX363" s="13" t="str">
        <f>VLOOKUP($BT363,Enriched!$A$2:$E$1070,4,false)</f>
        <v>["Invasive non-native/alien species/diseases"]</v>
      </c>
      <c r="BY363" s="13" t="b">
        <f>VLOOKUP(BT363,Enriched!$A$1:$AA$1070,27,falsE)</f>
        <v>0</v>
      </c>
      <c r="BZ363" s="2" t="str">
        <f>VLOOKUP(BT363,Enriched!$A$1:$AA$1070,14,falsE)</f>
        <v>level2</v>
      </c>
      <c r="CA363" s="13" t="str">
        <f>HYPERLINK("https%3A%2F%2Fwww.webofscience.com%2Fwos%2Fwoscc%2Ffull-record%2FWOS:000292812400013","View Full Record in Web of Science")</f>
        <v>View Full Record in Web of Science</v>
      </c>
    </row>
    <row r="364" ht="12.75" customHeight="1">
      <c r="A364" s="13" t="s">
        <v>5508</v>
      </c>
      <c r="B364" s="13" t="s">
        <v>12218</v>
      </c>
      <c r="C364" s="13" t="s">
        <v>5510</v>
      </c>
      <c r="D364" s="13" t="s">
        <v>5510</v>
      </c>
      <c r="E364" s="13" t="s">
        <v>5510</v>
      </c>
      <c r="F364" s="13" t="s">
        <v>12219</v>
      </c>
      <c r="G364" s="13" t="s">
        <v>5510</v>
      </c>
      <c r="H364" s="13" t="s">
        <v>5510</v>
      </c>
      <c r="I364" s="13" t="s">
        <v>1952</v>
      </c>
      <c r="J364" s="13" t="s">
        <v>12220</v>
      </c>
      <c r="K364" s="13" t="s">
        <v>5510</v>
      </c>
      <c r="L364" s="13" t="s">
        <v>5510</v>
      </c>
      <c r="M364" s="13" t="s">
        <v>5513</v>
      </c>
      <c r="N364" s="13" t="s">
        <v>5514</v>
      </c>
      <c r="O364" s="13" t="s">
        <v>5510</v>
      </c>
      <c r="P364" s="13" t="s">
        <v>5510</v>
      </c>
      <c r="Q364" s="13" t="s">
        <v>5510</v>
      </c>
      <c r="R364" s="13" t="s">
        <v>5510</v>
      </c>
      <c r="S364" s="13" t="s">
        <v>5510</v>
      </c>
      <c r="T364" s="13" t="s">
        <v>12221</v>
      </c>
      <c r="U364" s="13" t="s">
        <v>12222</v>
      </c>
      <c r="V364" s="13" t="s">
        <v>12223</v>
      </c>
      <c r="W364" s="13" t="s">
        <v>12224</v>
      </c>
      <c r="X364" s="13" t="s">
        <v>12225</v>
      </c>
      <c r="Y364" s="13" t="s">
        <v>12226</v>
      </c>
      <c r="Z364" s="13" t="s">
        <v>12227</v>
      </c>
      <c r="AA364" s="13" t="s">
        <v>12228</v>
      </c>
      <c r="AB364" s="13" t="s">
        <v>12229</v>
      </c>
      <c r="AC364" s="13" t="s">
        <v>12230</v>
      </c>
      <c r="AD364" s="13" t="s">
        <v>12231</v>
      </c>
      <c r="AE364" s="13" t="s">
        <v>12232</v>
      </c>
      <c r="AF364" s="13" t="s">
        <v>5510</v>
      </c>
      <c r="AG364" s="13">
        <v>91.0</v>
      </c>
      <c r="AH364" s="13">
        <v>19.0</v>
      </c>
      <c r="AI364" s="13">
        <v>22.0</v>
      </c>
      <c r="AJ364" s="13">
        <v>1.0</v>
      </c>
      <c r="AK364" s="13">
        <v>53.0</v>
      </c>
      <c r="AL364" s="13" t="s">
        <v>5931</v>
      </c>
      <c r="AM364" s="13" t="s">
        <v>5932</v>
      </c>
      <c r="AN364" s="13" t="s">
        <v>5933</v>
      </c>
      <c r="AO364" s="13" t="s">
        <v>12233</v>
      </c>
      <c r="AP364" s="13" t="s">
        <v>12234</v>
      </c>
      <c r="AQ364" s="13" t="s">
        <v>5510</v>
      </c>
      <c r="AR364" s="13" t="s">
        <v>12235</v>
      </c>
      <c r="AS364" s="13" t="s">
        <v>12236</v>
      </c>
      <c r="AT364" s="13" t="s">
        <v>6828</v>
      </c>
      <c r="AU364" s="13">
        <v>2016.0</v>
      </c>
      <c r="AV364" s="13">
        <v>115.0</v>
      </c>
      <c r="AW364" s="13" t="s">
        <v>5510</v>
      </c>
      <c r="AX364" s="13" t="s">
        <v>5510</v>
      </c>
      <c r="AY364" s="13" t="s">
        <v>5510</v>
      </c>
      <c r="AZ364" s="13" t="s">
        <v>5510</v>
      </c>
      <c r="BA364" s="13" t="s">
        <v>5510</v>
      </c>
      <c r="BB364" s="13">
        <v>36.0</v>
      </c>
      <c r="BC364" s="13">
        <v>48.0</v>
      </c>
      <c r="BD364" s="13" t="s">
        <v>5510</v>
      </c>
      <c r="BE364" s="13" t="s">
        <v>12237</v>
      </c>
      <c r="BF364" s="52" t="str">
        <f>HYPERLINK("http://dx.doi.org/10.1016/j.marenvres.2016.02.003","http://dx.doi.org/10.1016/j.marenvres.2016.02.003")</f>
        <v>http://dx.doi.org/10.1016/j.marenvres.2016.02.003</v>
      </c>
      <c r="BG364" s="13" t="s">
        <v>5510</v>
      </c>
      <c r="BH364" s="13" t="s">
        <v>5510</v>
      </c>
      <c r="BI364" s="13">
        <v>13.0</v>
      </c>
      <c r="BJ364" s="13" t="s">
        <v>12238</v>
      </c>
      <c r="BK364" s="13" t="s">
        <v>5561</v>
      </c>
      <c r="BL364" s="13" t="s">
        <v>12239</v>
      </c>
      <c r="BM364" s="13" t="s">
        <v>12240</v>
      </c>
      <c r="BN364" s="13">
        <v>2.687489E7</v>
      </c>
      <c r="BO364" s="13" t="s">
        <v>5510</v>
      </c>
      <c r="BP364" s="13" t="s">
        <v>5510</v>
      </c>
      <c r="BQ364" s="13" t="s">
        <v>5510</v>
      </c>
      <c r="BR364" s="13" t="s">
        <v>5538</v>
      </c>
      <c r="BS364" s="13" t="s">
        <v>12241</v>
      </c>
      <c r="BT364" s="13">
        <v>24170.0</v>
      </c>
      <c r="BU364" s="13" t="s">
        <v>5540</v>
      </c>
      <c r="BV364" s="13" t="s">
        <v>4864</v>
      </c>
      <c r="BW364" s="13" t="str">
        <f>VLOOKUP($BT364,Enriched!$A$2:$E$1070,5,false)</f>
        <v>["Pollution"]</v>
      </c>
      <c r="BX364" s="13" t="str">
        <f>VLOOKUP($BT364,Enriched!$A$2:$E$1070,4,false)</f>
        <v>["Industrial &amp; military effluents"]</v>
      </c>
      <c r="BY364" s="13" t="b">
        <f>VLOOKUP(BT364,Enriched!$A$1:$AA$1070,27,falsE)</f>
        <v>0</v>
      </c>
      <c r="BZ364" s="2" t="str">
        <f>VLOOKUP(BT364,Enriched!$A$1:$AA$1070,14,falsE)</f>
        <v>level2</v>
      </c>
      <c r="CA364" s="13" t="str">
        <f>HYPERLINK("https%3A%2F%2Fwww.webofscience.com%2Fwos%2Fwoscc%2Ffull-record%2FWOS:000372557500005","View Full Record in Web of Science")</f>
        <v>View Full Record in Web of Science</v>
      </c>
    </row>
    <row r="365" ht="12.75" customHeight="1">
      <c r="A365" s="13" t="s">
        <v>5508</v>
      </c>
      <c r="B365" s="13" t="s">
        <v>12242</v>
      </c>
      <c r="C365" s="13" t="s">
        <v>5510</v>
      </c>
      <c r="D365" s="13" t="s">
        <v>5510</v>
      </c>
      <c r="E365" s="13" t="s">
        <v>5510</v>
      </c>
      <c r="F365" s="13" t="s">
        <v>12243</v>
      </c>
      <c r="G365" s="13" t="s">
        <v>5510</v>
      </c>
      <c r="H365" s="13" t="s">
        <v>5510</v>
      </c>
      <c r="I365" s="13" t="s">
        <v>12244</v>
      </c>
      <c r="J365" s="13" t="s">
        <v>5543</v>
      </c>
      <c r="K365" s="13" t="s">
        <v>5510</v>
      </c>
      <c r="L365" s="13" t="s">
        <v>5510</v>
      </c>
      <c r="M365" s="13" t="s">
        <v>5513</v>
      </c>
      <c r="N365" s="13" t="s">
        <v>5514</v>
      </c>
      <c r="O365" s="13" t="s">
        <v>5510</v>
      </c>
      <c r="P365" s="13" t="s">
        <v>5510</v>
      </c>
      <c r="Q365" s="13" t="s">
        <v>5510</v>
      </c>
      <c r="R365" s="13" t="s">
        <v>5510</v>
      </c>
      <c r="S365" s="13" t="s">
        <v>5510</v>
      </c>
      <c r="T365" s="13" t="s">
        <v>5510</v>
      </c>
      <c r="U365" s="13" t="s">
        <v>12245</v>
      </c>
      <c r="V365" s="13" t="s">
        <v>12246</v>
      </c>
      <c r="W365" s="13" t="s">
        <v>12247</v>
      </c>
      <c r="X365" s="13" t="s">
        <v>12248</v>
      </c>
      <c r="Y365" s="13" t="s">
        <v>12249</v>
      </c>
      <c r="Z365" s="13" t="s">
        <v>12250</v>
      </c>
      <c r="AA365" s="13" t="s">
        <v>5510</v>
      </c>
      <c r="AB365" s="13" t="s">
        <v>12251</v>
      </c>
      <c r="AC365" s="13" t="s">
        <v>12252</v>
      </c>
      <c r="AD365" s="13" t="s">
        <v>12252</v>
      </c>
      <c r="AE365" s="13" t="s">
        <v>12253</v>
      </c>
      <c r="AF365" s="13" t="s">
        <v>5510</v>
      </c>
      <c r="AG365" s="13">
        <v>116.0</v>
      </c>
      <c r="AH365" s="13">
        <v>53.0</v>
      </c>
      <c r="AI365" s="13">
        <v>59.0</v>
      </c>
      <c r="AJ365" s="13">
        <v>0.0</v>
      </c>
      <c r="AK365" s="13">
        <v>66.0</v>
      </c>
      <c r="AL365" s="13" t="s">
        <v>5552</v>
      </c>
      <c r="AM365" s="13" t="s">
        <v>5553</v>
      </c>
      <c r="AN365" s="13" t="s">
        <v>5554</v>
      </c>
      <c r="AO365" s="13" t="s">
        <v>5555</v>
      </c>
      <c r="AP365" s="13" t="s">
        <v>5510</v>
      </c>
      <c r="AQ365" s="13" t="s">
        <v>5510</v>
      </c>
      <c r="AR365" s="13" t="s">
        <v>5543</v>
      </c>
      <c r="AS365" s="13" t="s">
        <v>5556</v>
      </c>
      <c r="AT365" s="13" t="s">
        <v>8307</v>
      </c>
      <c r="AU365" s="13">
        <v>2014.0</v>
      </c>
      <c r="AV365" s="13">
        <v>9.0</v>
      </c>
      <c r="AW365" s="13">
        <v>7.0</v>
      </c>
      <c r="AX365" s="13" t="s">
        <v>5510</v>
      </c>
      <c r="AY365" s="13" t="s">
        <v>5510</v>
      </c>
      <c r="AZ365" s="13" t="s">
        <v>5510</v>
      </c>
      <c r="BA365" s="13" t="s">
        <v>5510</v>
      </c>
      <c r="BB365" s="13" t="s">
        <v>5510</v>
      </c>
      <c r="BC365" s="13" t="s">
        <v>5510</v>
      </c>
      <c r="BD365" s="13" t="s">
        <v>12254</v>
      </c>
      <c r="BE365" s="13" t="s">
        <v>12255</v>
      </c>
      <c r="BF365" s="52" t="str">
        <f>HYPERLINK("http://dx.doi.org/10.1371/journal.pone.0103453","http://dx.doi.org/10.1371/journal.pone.0103453")</f>
        <v>http://dx.doi.org/10.1371/journal.pone.0103453</v>
      </c>
      <c r="BG365" s="13" t="s">
        <v>5510</v>
      </c>
      <c r="BH365" s="13" t="s">
        <v>5510</v>
      </c>
      <c r="BI365" s="13">
        <v>20.0</v>
      </c>
      <c r="BJ365" s="13" t="s">
        <v>5560</v>
      </c>
      <c r="BK365" s="13" t="s">
        <v>5561</v>
      </c>
      <c r="BL365" s="13" t="s">
        <v>5562</v>
      </c>
      <c r="BM365" s="13" t="s">
        <v>12256</v>
      </c>
      <c r="BN365" s="13">
        <v>2.5076053E7</v>
      </c>
      <c r="BO365" s="13" t="s">
        <v>5564</v>
      </c>
      <c r="BP365" s="13" t="s">
        <v>5510</v>
      </c>
      <c r="BQ365" s="13" t="s">
        <v>5510</v>
      </c>
      <c r="BR365" s="13" t="s">
        <v>5538</v>
      </c>
      <c r="BS365" s="13" t="s">
        <v>12257</v>
      </c>
      <c r="BT365" s="13">
        <v>24158.0</v>
      </c>
      <c r="BU365" s="13" t="s">
        <v>5540</v>
      </c>
      <c r="BV365" s="13" t="s">
        <v>4864</v>
      </c>
      <c r="BW365" s="13" t="str">
        <f>VLOOKUP($BT365,Enriched!$A$2:$E$1070,5,false)</f>
        <v>["Energy Production &amp; Mining", "Biological Resource Use"]</v>
      </c>
      <c r="BX365" s="13" t="str">
        <f>VLOOKUP($BT365,Enriched!$A$2:$E$1070,4,false)</f>
        <v>["Oil &amp; gas drilling", "Fishing &amp; harvesting aquatic resources"]</v>
      </c>
      <c r="BY365" s="13" t="b">
        <f>VLOOKUP(BT365,Enriched!$A$1:$AA$1070,27,falsE)</f>
        <v>0</v>
      </c>
      <c r="BZ365" s="2" t="str">
        <f>VLOOKUP(BT365,Enriched!$A$1:$AA$1070,14,falsE)</f>
        <v>level2</v>
      </c>
      <c r="CA365" s="13" t="str">
        <f>HYPERLINK("https%3A%2F%2Fwww.webofscience.com%2Fwos%2Fwoscc%2Ffull-record%2FWOS:000340028800047","View Full Record in Web of Science")</f>
        <v>View Full Record in Web of Science</v>
      </c>
    </row>
    <row r="366" ht="12.75" customHeight="1">
      <c r="A366" s="13" t="s">
        <v>5508</v>
      </c>
      <c r="B366" s="13" t="s">
        <v>12258</v>
      </c>
      <c r="C366" s="13" t="s">
        <v>5510</v>
      </c>
      <c r="D366" s="13" t="s">
        <v>5510</v>
      </c>
      <c r="E366" s="13" t="s">
        <v>5510</v>
      </c>
      <c r="F366" s="13" t="s">
        <v>12259</v>
      </c>
      <c r="G366" s="13" t="s">
        <v>5510</v>
      </c>
      <c r="H366" s="13" t="s">
        <v>5510</v>
      </c>
      <c r="I366" s="13" t="s">
        <v>1949</v>
      </c>
      <c r="J366" s="13" t="s">
        <v>12220</v>
      </c>
      <c r="K366" s="13" t="s">
        <v>5510</v>
      </c>
      <c r="L366" s="13" t="s">
        <v>5510</v>
      </c>
      <c r="M366" s="13" t="s">
        <v>5513</v>
      </c>
      <c r="N366" s="13" t="s">
        <v>5514</v>
      </c>
      <c r="O366" s="13" t="s">
        <v>5510</v>
      </c>
      <c r="P366" s="13" t="s">
        <v>5510</v>
      </c>
      <c r="Q366" s="13" t="s">
        <v>5510</v>
      </c>
      <c r="R366" s="13" t="s">
        <v>5510</v>
      </c>
      <c r="S366" s="13" t="s">
        <v>5510</v>
      </c>
      <c r="T366" s="13" t="s">
        <v>12260</v>
      </c>
      <c r="U366" s="13" t="s">
        <v>12261</v>
      </c>
      <c r="V366" s="13" t="s">
        <v>12262</v>
      </c>
      <c r="W366" s="13" t="s">
        <v>12263</v>
      </c>
      <c r="X366" s="13" t="s">
        <v>12264</v>
      </c>
      <c r="Y366" s="13" t="s">
        <v>12265</v>
      </c>
      <c r="Z366" s="13" t="s">
        <v>12266</v>
      </c>
      <c r="AA366" s="13" t="s">
        <v>12267</v>
      </c>
      <c r="AB366" s="13" t="s">
        <v>12268</v>
      </c>
      <c r="AC366" s="13" t="s">
        <v>12269</v>
      </c>
      <c r="AD366" s="13" t="s">
        <v>12270</v>
      </c>
      <c r="AE366" s="13" t="s">
        <v>12271</v>
      </c>
      <c r="AF366" s="13" t="s">
        <v>5510</v>
      </c>
      <c r="AG366" s="13">
        <v>84.0</v>
      </c>
      <c r="AH366" s="13">
        <v>13.0</v>
      </c>
      <c r="AI366" s="13">
        <v>17.0</v>
      </c>
      <c r="AJ366" s="13">
        <v>1.0</v>
      </c>
      <c r="AK366" s="13">
        <v>11.0</v>
      </c>
      <c r="AL366" s="13" t="s">
        <v>5931</v>
      </c>
      <c r="AM366" s="13" t="s">
        <v>5932</v>
      </c>
      <c r="AN366" s="13" t="s">
        <v>5933</v>
      </c>
      <c r="AO366" s="13" t="s">
        <v>12233</v>
      </c>
      <c r="AP366" s="13" t="s">
        <v>12234</v>
      </c>
      <c r="AQ366" s="13" t="s">
        <v>5510</v>
      </c>
      <c r="AR366" s="13" t="s">
        <v>12235</v>
      </c>
      <c r="AS366" s="13" t="s">
        <v>12236</v>
      </c>
      <c r="AT366" s="13" t="s">
        <v>5667</v>
      </c>
      <c r="AU366" s="13">
        <v>2020.0</v>
      </c>
      <c r="AV366" s="13">
        <v>159.0</v>
      </c>
      <c r="AW366" s="13" t="s">
        <v>5510</v>
      </c>
      <c r="AX366" s="13" t="s">
        <v>5510</v>
      </c>
      <c r="AY366" s="13" t="s">
        <v>5510</v>
      </c>
      <c r="AZ366" s="13" t="s">
        <v>5510</v>
      </c>
      <c r="BA366" s="13" t="s">
        <v>5510</v>
      </c>
      <c r="BB366" s="13" t="s">
        <v>5510</v>
      </c>
      <c r="BC366" s="13" t="s">
        <v>5510</v>
      </c>
      <c r="BD366" s="13">
        <v>105000.0</v>
      </c>
      <c r="BE366" s="13" t="s">
        <v>12272</v>
      </c>
      <c r="BF366" s="52" t="str">
        <f>HYPERLINK("http://dx.doi.org/10.1016/j.marenvres.2020.105000","http://dx.doi.org/10.1016/j.marenvres.2020.105000")</f>
        <v>http://dx.doi.org/10.1016/j.marenvres.2020.105000</v>
      </c>
      <c r="BG366" s="13" t="s">
        <v>5510</v>
      </c>
      <c r="BH366" s="13" t="s">
        <v>5510</v>
      </c>
      <c r="BI366" s="13">
        <v>12.0</v>
      </c>
      <c r="BJ366" s="13" t="s">
        <v>12238</v>
      </c>
      <c r="BK366" s="13" t="s">
        <v>5561</v>
      </c>
      <c r="BL366" s="13" t="s">
        <v>12239</v>
      </c>
      <c r="BM366" s="13" t="s">
        <v>12273</v>
      </c>
      <c r="BN366" s="13">
        <v>3.2662434E7</v>
      </c>
      <c r="BO366" s="13" t="s">
        <v>5510</v>
      </c>
      <c r="BP366" s="13" t="s">
        <v>5510</v>
      </c>
      <c r="BQ366" s="13" t="s">
        <v>5510</v>
      </c>
      <c r="BR366" s="13" t="s">
        <v>5538</v>
      </c>
      <c r="BS366" s="13" t="s">
        <v>12274</v>
      </c>
      <c r="BT366" s="13">
        <v>23266.0</v>
      </c>
      <c r="BU366" s="13" t="s">
        <v>5540</v>
      </c>
      <c r="BV366" s="13" t="s">
        <v>4852</v>
      </c>
      <c r="BW366" s="13" t="str">
        <f>VLOOKUP($BT366,Enriched!$A$2:$E$1070,5,false)</f>
        <v>["Agriculture &amp; Aquaculture", "Residential &amp; Commercial Development", "Transportation &amp; Service Corridors", "Biological Resource Use"]</v>
      </c>
      <c r="BX366" s="13" t="str">
        <f>VLOOKUP($BT366,Enriched!$A$2:$E$1070,4,false)</f>
        <v>["Marine &amp; freshwater aquaculture", "Housing &amp; urban area", "Commercial &amp; industrial areas", "Shipping lanes", "Fishing &amp; harvesting aquatic resources"]</v>
      </c>
      <c r="BY366" s="13" t="b">
        <f>VLOOKUP(BT366,Enriched!$A$1:$AA$1070,27,falsE)</f>
        <v>0</v>
      </c>
      <c r="BZ366" s="2" t="str">
        <f>VLOOKUP(BT366,Enriched!$A$1:$AA$1070,14,falsE)</f>
        <v>level1</v>
      </c>
      <c r="CA366" s="13" t="str">
        <f>HYPERLINK("https%3A%2F%2Fwww.webofscience.com%2Fwos%2Fwoscc%2Ffull-record%2FWOS:000549328000021","View Full Record in Web of Science")</f>
        <v>View Full Record in Web of Science</v>
      </c>
    </row>
    <row r="367" ht="12.75" customHeight="1">
      <c r="A367" s="13" t="s">
        <v>5508</v>
      </c>
      <c r="B367" s="13" t="s">
        <v>12275</v>
      </c>
      <c r="C367" s="13" t="s">
        <v>5510</v>
      </c>
      <c r="D367" s="13" t="s">
        <v>5510</v>
      </c>
      <c r="E367" s="13" t="s">
        <v>5510</v>
      </c>
      <c r="F367" s="13" t="s">
        <v>12276</v>
      </c>
      <c r="G367" s="13" t="s">
        <v>5510</v>
      </c>
      <c r="H367" s="13" t="s">
        <v>5510</v>
      </c>
      <c r="I367" s="13" t="s">
        <v>1942</v>
      </c>
      <c r="J367" s="13" t="s">
        <v>9302</v>
      </c>
      <c r="K367" s="13" t="s">
        <v>5510</v>
      </c>
      <c r="L367" s="13" t="s">
        <v>5510</v>
      </c>
      <c r="M367" s="13" t="s">
        <v>5513</v>
      </c>
      <c r="N367" s="13" t="s">
        <v>5514</v>
      </c>
      <c r="O367" s="13" t="s">
        <v>5510</v>
      </c>
      <c r="P367" s="13" t="s">
        <v>5510</v>
      </c>
      <c r="Q367" s="13" t="s">
        <v>5510</v>
      </c>
      <c r="R367" s="13" t="s">
        <v>5510</v>
      </c>
      <c r="S367" s="13" t="s">
        <v>5510</v>
      </c>
      <c r="T367" s="13" t="s">
        <v>12277</v>
      </c>
      <c r="U367" s="13" t="s">
        <v>12278</v>
      </c>
      <c r="V367" s="13" t="s">
        <v>12279</v>
      </c>
      <c r="W367" s="13" t="s">
        <v>12280</v>
      </c>
      <c r="X367" s="13" t="s">
        <v>12281</v>
      </c>
      <c r="Y367" s="13" t="s">
        <v>12282</v>
      </c>
      <c r="Z367" s="13" t="s">
        <v>12283</v>
      </c>
      <c r="AA367" s="13" t="s">
        <v>12284</v>
      </c>
      <c r="AB367" s="13" t="s">
        <v>12285</v>
      </c>
      <c r="AC367" s="13" t="s">
        <v>5510</v>
      </c>
      <c r="AD367" s="13" t="s">
        <v>5510</v>
      </c>
      <c r="AE367" s="13" t="s">
        <v>5510</v>
      </c>
      <c r="AF367" s="13" t="s">
        <v>5510</v>
      </c>
      <c r="AG367" s="13">
        <v>31.0</v>
      </c>
      <c r="AH367" s="13">
        <v>25.0</v>
      </c>
      <c r="AI367" s="13">
        <v>25.0</v>
      </c>
      <c r="AJ367" s="13">
        <v>0.0</v>
      </c>
      <c r="AK367" s="13">
        <v>19.0</v>
      </c>
      <c r="AL367" s="13" t="s">
        <v>9312</v>
      </c>
      <c r="AM367" s="13" t="s">
        <v>9313</v>
      </c>
      <c r="AN367" s="13" t="s">
        <v>9314</v>
      </c>
      <c r="AO367" s="13" t="s">
        <v>9315</v>
      </c>
      <c r="AP367" s="13" t="s">
        <v>9316</v>
      </c>
      <c r="AQ367" s="13" t="s">
        <v>5510</v>
      </c>
      <c r="AR367" s="13" t="s">
        <v>9317</v>
      </c>
      <c r="AS367" s="13" t="s">
        <v>9318</v>
      </c>
      <c r="AT367" s="13" t="s">
        <v>5978</v>
      </c>
      <c r="AU367" s="13">
        <v>2018.0</v>
      </c>
      <c r="AV367" s="13">
        <v>29.0</v>
      </c>
      <c r="AW367" s="13">
        <v>4.0</v>
      </c>
      <c r="AX367" s="13" t="s">
        <v>5510</v>
      </c>
      <c r="AY367" s="13" t="s">
        <v>5510</v>
      </c>
      <c r="AZ367" s="13" t="s">
        <v>5510</v>
      </c>
      <c r="BA367" s="13" t="s">
        <v>5510</v>
      </c>
      <c r="BB367" s="13">
        <v>817.0</v>
      </c>
      <c r="BC367" s="13">
        <v>824.0</v>
      </c>
      <c r="BD367" s="13" t="s">
        <v>5510</v>
      </c>
      <c r="BE367" s="13" t="s">
        <v>12286</v>
      </c>
      <c r="BF367" s="52" t="str">
        <f>HYPERLINK("http://dx.doi.org/10.1007/s12210-018-0738-z","http://dx.doi.org/10.1007/s12210-018-0738-z")</f>
        <v>http://dx.doi.org/10.1007/s12210-018-0738-z</v>
      </c>
      <c r="BG367" s="13" t="s">
        <v>5510</v>
      </c>
      <c r="BH367" s="13" t="s">
        <v>5510</v>
      </c>
      <c r="BI367" s="13">
        <v>8.0</v>
      </c>
      <c r="BJ367" s="13" t="s">
        <v>5560</v>
      </c>
      <c r="BK367" s="13" t="s">
        <v>5561</v>
      </c>
      <c r="BL367" s="13" t="s">
        <v>5562</v>
      </c>
      <c r="BM367" s="13" t="s">
        <v>12287</v>
      </c>
      <c r="BN367" s="13" t="s">
        <v>5510</v>
      </c>
      <c r="BO367" s="13" t="s">
        <v>5510</v>
      </c>
      <c r="BP367" s="13" t="s">
        <v>5510</v>
      </c>
      <c r="BQ367" s="13" t="s">
        <v>5510</v>
      </c>
      <c r="BR367" s="13" t="s">
        <v>5538</v>
      </c>
      <c r="BS367" s="13" t="s">
        <v>12288</v>
      </c>
      <c r="BT367" s="13">
        <v>25837.0</v>
      </c>
      <c r="BU367" s="13" t="s">
        <v>5540</v>
      </c>
      <c r="BV367" s="13" t="s">
        <v>4864</v>
      </c>
      <c r="BW367" s="13" t="str">
        <f>VLOOKUP($BT367,Enriched!$A$2:$E$1070,5,false)</f>
        <v>["Pollution"]</v>
      </c>
      <c r="BX367" s="13" t="str">
        <f>VLOOKUP($BT367,Enriched!$A$2:$E$1070,4,false)</f>
        <v>["Garbage &amp; solid waste"]</v>
      </c>
      <c r="BY367" s="13" t="b">
        <f>VLOOKUP(BT367,Enriched!$A$1:$AA$1070,27,falsE)</f>
        <v>0</v>
      </c>
      <c r="BZ367" s="2" t="str">
        <f>VLOOKUP(BT367,Enriched!$A$1:$AA$1070,14,falsE)</f>
        <v>level2</v>
      </c>
      <c r="CA367" s="13" t="str">
        <f>HYPERLINK("https%3A%2F%2Fwww.webofscience.com%2Fwos%2Fwoscc%2Ffull-record%2FWOS:000452080600009","View Full Record in Web of Science")</f>
        <v>View Full Record in Web of Science</v>
      </c>
    </row>
    <row r="368" ht="12.75" customHeight="1">
      <c r="A368" s="13" t="s">
        <v>5508</v>
      </c>
      <c r="B368" s="13" t="s">
        <v>12289</v>
      </c>
      <c r="C368" s="13" t="s">
        <v>5510</v>
      </c>
      <c r="D368" s="13" t="s">
        <v>5510</v>
      </c>
      <c r="E368" s="13" t="s">
        <v>5510</v>
      </c>
      <c r="F368" s="13" t="s">
        <v>12290</v>
      </c>
      <c r="G368" s="13" t="s">
        <v>5510</v>
      </c>
      <c r="H368" s="13" t="s">
        <v>5510</v>
      </c>
      <c r="I368" s="13" t="s">
        <v>12291</v>
      </c>
      <c r="J368" s="13" t="s">
        <v>7741</v>
      </c>
      <c r="K368" s="13" t="s">
        <v>5510</v>
      </c>
      <c r="L368" s="13" t="s">
        <v>5510</v>
      </c>
      <c r="M368" s="13" t="s">
        <v>5513</v>
      </c>
      <c r="N368" s="13" t="s">
        <v>5514</v>
      </c>
      <c r="O368" s="13" t="s">
        <v>5510</v>
      </c>
      <c r="P368" s="13" t="s">
        <v>5510</v>
      </c>
      <c r="Q368" s="13" t="s">
        <v>5510</v>
      </c>
      <c r="R368" s="13" t="s">
        <v>5510</v>
      </c>
      <c r="S368" s="13" t="s">
        <v>5510</v>
      </c>
      <c r="T368" s="13" t="s">
        <v>12292</v>
      </c>
      <c r="U368" s="13" t="s">
        <v>12293</v>
      </c>
      <c r="V368" s="13" t="s">
        <v>12294</v>
      </c>
      <c r="W368" s="13" t="s">
        <v>12295</v>
      </c>
      <c r="X368" s="13" t="s">
        <v>12296</v>
      </c>
      <c r="Y368" s="13" t="s">
        <v>12297</v>
      </c>
      <c r="Z368" s="13" t="s">
        <v>12298</v>
      </c>
      <c r="AA368" s="13" t="s">
        <v>12299</v>
      </c>
      <c r="AB368" s="13" t="s">
        <v>12300</v>
      </c>
      <c r="AC368" s="13" t="s">
        <v>5510</v>
      </c>
      <c r="AD368" s="13" t="s">
        <v>5510</v>
      </c>
      <c r="AE368" s="13" t="s">
        <v>5510</v>
      </c>
      <c r="AF368" s="13" t="s">
        <v>5510</v>
      </c>
      <c r="AG368" s="13">
        <v>90.0</v>
      </c>
      <c r="AH368" s="13">
        <v>223.0</v>
      </c>
      <c r="AI368" s="13">
        <v>248.0</v>
      </c>
      <c r="AJ368" s="13">
        <v>4.0</v>
      </c>
      <c r="AK368" s="13">
        <v>245.0</v>
      </c>
      <c r="AL368" s="13" t="s">
        <v>6717</v>
      </c>
      <c r="AM368" s="13" t="s">
        <v>5932</v>
      </c>
      <c r="AN368" s="13" t="s">
        <v>6718</v>
      </c>
      <c r="AO368" s="13" t="s">
        <v>7752</v>
      </c>
      <c r="AP368" s="13" t="s">
        <v>7753</v>
      </c>
      <c r="AQ368" s="13" t="s">
        <v>5510</v>
      </c>
      <c r="AR368" s="13" t="s">
        <v>7754</v>
      </c>
      <c r="AS368" s="13" t="s">
        <v>7755</v>
      </c>
      <c r="AT368" s="13" t="s">
        <v>12301</v>
      </c>
      <c r="AU368" s="13">
        <v>2015.0</v>
      </c>
      <c r="AV368" s="13">
        <v>98.0</v>
      </c>
      <c r="AW368" s="13" t="s">
        <v>12302</v>
      </c>
      <c r="AX368" s="13" t="s">
        <v>5510</v>
      </c>
      <c r="AY368" s="13" t="s">
        <v>5510</v>
      </c>
      <c r="AZ368" s="13" t="s">
        <v>5510</v>
      </c>
      <c r="BA368" s="13" t="s">
        <v>5510</v>
      </c>
      <c r="BB368" s="13">
        <v>58.0</v>
      </c>
      <c r="BC368" s="13">
        <v>68.0</v>
      </c>
      <c r="BD368" s="13" t="s">
        <v>5510</v>
      </c>
      <c r="BE368" s="13" t="s">
        <v>12303</v>
      </c>
      <c r="BF368" s="52" t="str">
        <f>HYPERLINK("http://dx.doi.org/10.1016/j.marpolbul.2015.07.012","http://dx.doi.org/10.1016/j.marpolbul.2015.07.012")</f>
        <v>http://dx.doi.org/10.1016/j.marpolbul.2015.07.012</v>
      </c>
      <c r="BG368" s="13" t="s">
        <v>5510</v>
      </c>
      <c r="BH368" s="13" t="s">
        <v>5510</v>
      </c>
      <c r="BI368" s="13">
        <v>11.0</v>
      </c>
      <c r="BJ368" s="13" t="s">
        <v>6327</v>
      </c>
      <c r="BK368" s="13" t="s">
        <v>5561</v>
      </c>
      <c r="BL368" s="13" t="s">
        <v>6328</v>
      </c>
      <c r="BM368" s="13" t="s">
        <v>12304</v>
      </c>
      <c r="BN368" s="13">
        <v>2.6183308E7</v>
      </c>
      <c r="BO368" s="13" t="s">
        <v>6623</v>
      </c>
      <c r="BP368" s="13" t="s">
        <v>5510</v>
      </c>
      <c r="BQ368" s="13" t="s">
        <v>5510</v>
      </c>
      <c r="BR368" s="13" t="s">
        <v>5538</v>
      </c>
      <c r="BS368" s="13" t="s">
        <v>12305</v>
      </c>
      <c r="BT368" s="13">
        <v>23718.0</v>
      </c>
      <c r="BU368" s="13" t="s">
        <v>9118</v>
      </c>
      <c r="BV368" s="13" t="s">
        <v>4864</v>
      </c>
      <c r="BW368" s="13" t="str">
        <f>VLOOKUP($BT368,Enriched!$A$2:$E$1070,5,false)</f>
        <v>["Pollution"]</v>
      </c>
      <c r="BX368" s="13" t="str">
        <f>VLOOKUP($BT368,Enriched!$A$2:$E$1070,4,false)</f>
        <v>["Garbage &amp; solid waste"]</v>
      </c>
      <c r="BY368" s="13" t="b">
        <f>VLOOKUP(BT368,Enriched!$A$1:$AA$1070,27,falsE)</f>
        <v>0</v>
      </c>
      <c r="BZ368" s="2" t="str">
        <f>VLOOKUP(BT368,Enriched!$A$1:$AA$1070,14,falsE)</f>
        <v>level2</v>
      </c>
      <c r="CA368" s="13" t="str">
        <f>HYPERLINK("https%3A%2F%2Fwww.webofscience.com%2Fwos%2Fwoscc%2Ffull-record%2FWOS:000362134100020","View Full Record in Web of Science")</f>
        <v>View Full Record in Web of Science</v>
      </c>
    </row>
    <row r="369" ht="12.75" customHeight="1">
      <c r="A369" s="13" t="s">
        <v>5508</v>
      </c>
      <c r="B369" s="13" t="s">
        <v>12306</v>
      </c>
      <c r="C369" s="13" t="s">
        <v>5510</v>
      </c>
      <c r="D369" s="13" t="s">
        <v>5510</v>
      </c>
      <c r="E369" s="13" t="s">
        <v>5510</v>
      </c>
      <c r="F369" s="13" t="s">
        <v>12307</v>
      </c>
      <c r="G369" s="13" t="s">
        <v>5510</v>
      </c>
      <c r="H369" s="13" t="s">
        <v>5510</v>
      </c>
      <c r="I369" s="13" t="s">
        <v>1936</v>
      </c>
      <c r="J369" s="13" t="s">
        <v>5543</v>
      </c>
      <c r="K369" s="13" t="s">
        <v>5510</v>
      </c>
      <c r="L369" s="13" t="s">
        <v>5510</v>
      </c>
      <c r="M369" s="13" t="s">
        <v>5513</v>
      </c>
      <c r="N369" s="13" t="s">
        <v>5514</v>
      </c>
      <c r="O369" s="13" t="s">
        <v>5510</v>
      </c>
      <c r="P369" s="13" t="s">
        <v>5510</v>
      </c>
      <c r="Q369" s="13" t="s">
        <v>5510</v>
      </c>
      <c r="R369" s="13" t="s">
        <v>5510</v>
      </c>
      <c r="S369" s="13" t="s">
        <v>5510</v>
      </c>
      <c r="T369" s="13" t="s">
        <v>5510</v>
      </c>
      <c r="U369" s="13" t="s">
        <v>12308</v>
      </c>
      <c r="V369" s="13" t="s">
        <v>12309</v>
      </c>
      <c r="W369" s="13" t="s">
        <v>12310</v>
      </c>
      <c r="X369" s="13" t="s">
        <v>12311</v>
      </c>
      <c r="Y369" s="13" t="s">
        <v>12312</v>
      </c>
      <c r="Z369" s="13" t="s">
        <v>12313</v>
      </c>
      <c r="AA369" s="13" t="s">
        <v>12314</v>
      </c>
      <c r="AB369" s="13" t="s">
        <v>12315</v>
      </c>
      <c r="AC369" s="13" t="s">
        <v>12316</v>
      </c>
      <c r="AD369" s="13" t="s">
        <v>12317</v>
      </c>
      <c r="AE369" s="13" t="s">
        <v>12318</v>
      </c>
      <c r="AF369" s="13" t="s">
        <v>5510</v>
      </c>
      <c r="AG369" s="13">
        <v>91.0</v>
      </c>
      <c r="AH369" s="13">
        <v>58.0</v>
      </c>
      <c r="AI369" s="13">
        <v>68.0</v>
      </c>
      <c r="AJ369" s="13">
        <v>6.0</v>
      </c>
      <c r="AK369" s="13">
        <v>89.0</v>
      </c>
      <c r="AL369" s="13" t="s">
        <v>5552</v>
      </c>
      <c r="AM369" s="13" t="s">
        <v>5553</v>
      </c>
      <c r="AN369" s="13" t="s">
        <v>5554</v>
      </c>
      <c r="AO369" s="13" t="s">
        <v>5555</v>
      </c>
      <c r="AP369" s="13" t="s">
        <v>5510</v>
      </c>
      <c r="AQ369" s="13" t="s">
        <v>5510</v>
      </c>
      <c r="AR369" s="13" t="s">
        <v>5543</v>
      </c>
      <c r="AS369" s="13" t="s">
        <v>5556</v>
      </c>
      <c r="AT369" s="13" t="s">
        <v>12319</v>
      </c>
      <c r="AU369" s="13">
        <v>2018.0</v>
      </c>
      <c r="AV369" s="13">
        <v>13.0</v>
      </c>
      <c r="AW369" s="13">
        <v>3.0</v>
      </c>
      <c r="AX369" s="13" t="s">
        <v>5510</v>
      </c>
      <c r="AY369" s="13" t="s">
        <v>5510</v>
      </c>
      <c r="AZ369" s="13" t="s">
        <v>5510</v>
      </c>
      <c r="BA369" s="13" t="s">
        <v>5510</v>
      </c>
      <c r="BB369" s="13" t="s">
        <v>5510</v>
      </c>
      <c r="BC369" s="13" t="s">
        <v>5510</v>
      </c>
      <c r="BD369" s="13" t="s">
        <v>12320</v>
      </c>
      <c r="BE369" s="13" t="s">
        <v>12321</v>
      </c>
      <c r="BF369" s="52" t="str">
        <f>HYPERLINK("http://dx.doi.org/10.1371/journal.pone.0194654","http://dx.doi.org/10.1371/journal.pone.0194654")</f>
        <v>http://dx.doi.org/10.1371/journal.pone.0194654</v>
      </c>
      <c r="BG369" s="13" t="s">
        <v>5510</v>
      </c>
      <c r="BH369" s="13" t="s">
        <v>5510</v>
      </c>
      <c r="BI369" s="13">
        <v>15.0</v>
      </c>
      <c r="BJ369" s="13" t="s">
        <v>5560</v>
      </c>
      <c r="BK369" s="13" t="s">
        <v>5561</v>
      </c>
      <c r="BL369" s="13" t="s">
        <v>5562</v>
      </c>
      <c r="BM369" s="13" t="s">
        <v>12322</v>
      </c>
      <c r="BN369" s="13">
        <v>2.9554132E7</v>
      </c>
      <c r="BO369" s="13" t="s">
        <v>5564</v>
      </c>
      <c r="BP369" s="13" t="s">
        <v>5510</v>
      </c>
      <c r="BQ369" s="13" t="s">
        <v>5510</v>
      </c>
      <c r="BR369" s="13" t="s">
        <v>5538</v>
      </c>
      <c r="BS369" s="13" t="s">
        <v>12323</v>
      </c>
      <c r="BT369" s="13">
        <v>23114.0</v>
      </c>
      <c r="BU369" s="13" t="s">
        <v>5540</v>
      </c>
      <c r="BV369" s="13" t="s">
        <v>4856</v>
      </c>
      <c r="BW369" s="13" t="str">
        <f>VLOOKUP($BT369,Enriched!$A$2:$E$1070,5,false)</f>
        <v>["Climate change &amp; severe weather"]</v>
      </c>
      <c r="BX369" s="13" t="str">
        <f>VLOOKUP($BT369,Enriched!$A$2:$E$1070,4,false)</f>
        <v>["Habitat shifting &amp; alteration"]</v>
      </c>
      <c r="BY369" s="13" t="b">
        <f>VLOOKUP(BT369,Enriched!$A$1:$AA$1070,27,falsE)</f>
        <v>0</v>
      </c>
      <c r="BZ369" s="2" t="str">
        <f>VLOOKUP(BT369,Enriched!$A$1:$AA$1070,14,falsE)</f>
        <v>level2</v>
      </c>
      <c r="CA369" s="13" t="str">
        <f>HYPERLINK("https%3A%2F%2Fwww.webofscience.com%2Fwos%2Fwoscc%2Ffull-record%2FWOS:000427796800047","View Full Record in Web of Science")</f>
        <v>View Full Record in Web of Science</v>
      </c>
    </row>
    <row r="370" ht="12.75" customHeight="1">
      <c r="A370" s="13" t="s">
        <v>5508</v>
      </c>
      <c r="B370" s="13" t="s">
        <v>12324</v>
      </c>
      <c r="C370" s="13" t="s">
        <v>5510</v>
      </c>
      <c r="D370" s="13" t="s">
        <v>5510</v>
      </c>
      <c r="E370" s="13" t="s">
        <v>5510</v>
      </c>
      <c r="F370" s="13" t="s">
        <v>12324</v>
      </c>
      <c r="G370" s="13" t="s">
        <v>5510</v>
      </c>
      <c r="H370" s="13" t="s">
        <v>5510</v>
      </c>
      <c r="I370" s="13" t="s">
        <v>1933</v>
      </c>
      <c r="J370" s="13" t="s">
        <v>6333</v>
      </c>
      <c r="K370" s="13" t="s">
        <v>5510</v>
      </c>
      <c r="L370" s="13" t="s">
        <v>5510</v>
      </c>
      <c r="M370" s="13" t="s">
        <v>5513</v>
      </c>
      <c r="N370" s="13" t="s">
        <v>5514</v>
      </c>
      <c r="O370" s="13" t="s">
        <v>5510</v>
      </c>
      <c r="P370" s="13" t="s">
        <v>5510</v>
      </c>
      <c r="Q370" s="13" t="s">
        <v>5510</v>
      </c>
      <c r="R370" s="13" t="s">
        <v>5510</v>
      </c>
      <c r="S370" s="13" t="s">
        <v>5510</v>
      </c>
      <c r="T370" s="13" t="s">
        <v>12325</v>
      </c>
      <c r="U370" s="13" t="s">
        <v>12326</v>
      </c>
      <c r="V370" s="13" t="s">
        <v>12327</v>
      </c>
      <c r="W370" s="13" t="s">
        <v>12328</v>
      </c>
      <c r="X370" s="13" t="s">
        <v>12329</v>
      </c>
      <c r="Y370" s="13" t="s">
        <v>12330</v>
      </c>
      <c r="Z370" s="13" t="s">
        <v>12331</v>
      </c>
      <c r="AA370" s="13" t="s">
        <v>12332</v>
      </c>
      <c r="AB370" s="13" t="s">
        <v>12333</v>
      </c>
      <c r="AC370" s="13" t="s">
        <v>5510</v>
      </c>
      <c r="AD370" s="13" t="s">
        <v>5510</v>
      </c>
      <c r="AE370" s="13" t="s">
        <v>5510</v>
      </c>
      <c r="AF370" s="13" t="s">
        <v>5510</v>
      </c>
      <c r="AG370" s="13">
        <v>20.0</v>
      </c>
      <c r="AH370" s="13">
        <v>30.0</v>
      </c>
      <c r="AI370" s="13">
        <v>36.0</v>
      </c>
      <c r="AJ370" s="13">
        <v>0.0</v>
      </c>
      <c r="AK370" s="13">
        <v>12.0</v>
      </c>
      <c r="AL370" s="13" t="s">
        <v>5527</v>
      </c>
      <c r="AM370" s="13" t="s">
        <v>5528</v>
      </c>
      <c r="AN370" s="13" t="s">
        <v>5529</v>
      </c>
      <c r="AO370" s="13" t="s">
        <v>6342</v>
      </c>
      <c r="AP370" s="13" t="s">
        <v>6343</v>
      </c>
      <c r="AQ370" s="13" t="s">
        <v>5510</v>
      </c>
      <c r="AR370" s="13" t="s">
        <v>6344</v>
      </c>
      <c r="AS370" s="13" t="s">
        <v>6345</v>
      </c>
      <c r="AT370" s="13" t="s">
        <v>2738</v>
      </c>
      <c r="AU370" s="13">
        <v>2005.0</v>
      </c>
      <c r="AV370" s="13">
        <v>19.0</v>
      </c>
      <c r="AW370" s="13">
        <v>1.0</v>
      </c>
      <c r="AX370" s="13" t="s">
        <v>5510</v>
      </c>
      <c r="AY370" s="13" t="s">
        <v>5510</v>
      </c>
      <c r="AZ370" s="13" t="s">
        <v>5510</v>
      </c>
      <c r="BA370" s="13" t="s">
        <v>5510</v>
      </c>
      <c r="BB370" s="13">
        <v>122.0</v>
      </c>
      <c r="BC370" s="13">
        <v>130.0</v>
      </c>
      <c r="BD370" s="13" t="s">
        <v>5510</v>
      </c>
      <c r="BE370" s="13" t="s">
        <v>12334</v>
      </c>
      <c r="BF370" s="52" t="str">
        <f>HYPERLINK("http://dx.doi.org/10.1111/j.1523-1739.2005.00532.x","http://dx.doi.org/10.1111/j.1523-1739.2005.00532.x")</f>
        <v>http://dx.doi.org/10.1111/j.1523-1739.2005.00532.x</v>
      </c>
      <c r="BG370" s="13" t="s">
        <v>5510</v>
      </c>
      <c r="BH370" s="13" t="s">
        <v>5510</v>
      </c>
      <c r="BI370" s="13">
        <v>9.0</v>
      </c>
      <c r="BJ370" s="13" t="s">
        <v>5698</v>
      </c>
      <c r="BK370" s="13" t="s">
        <v>5561</v>
      </c>
      <c r="BL370" s="13" t="s">
        <v>5699</v>
      </c>
      <c r="BM370" s="13" t="s">
        <v>9229</v>
      </c>
      <c r="BN370" s="13" t="s">
        <v>5510</v>
      </c>
      <c r="BO370" s="13" t="s">
        <v>5510</v>
      </c>
      <c r="BP370" s="13" t="s">
        <v>5510</v>
      </c>
      <c r="BQ370" s="13" t="s">
        <v>5510</v>
      </c>
      <c r="BR370" s="13" t="s">
        <v>5538</v>
      </c>
      <c r="BS370" s="13" t="s">
        <v>12335</v>
      </c>
      <c r="BT370" s="13">
        <v>23237.0</v>
      </c>
      <c r="BU370" s="13" t="s">
        <v>5540</v>
      </c>
      <c r="BV370" s="13" t="s">
        <v>4856</v>
      </c>
      <c r="BW370" s="13" t="str">
        <f>VLOOKUP($BT370,Enriched!$A$2:$E$1070,5,false)</f>
        <v>["Agriculture &amp; Aquaculture", "Biological Resource Use", "Natural System Modifications", "Invasive &amp; Other Problematic Species, Genes &amp; Diseases"]</v>
      </c>
      <c r="BX370" s="13" t="str">
        <f>VLOOKUP($BT370,Enriched!$A$2:$E$1070,4,false)</f>
        <v>["Housing &amp; urban area", "Annual &amp; perennial non-timber crops", "Livestock farming &amp; ranching", "Hunting &amp; collecting terrestrial animals", "Gathering terrestrial plants", "Logging &amp; wood harvesting", "Fire &amp; fire suppression", "Invasive non-native/alien species/diseases"]</v>
      </c>
      <c r="BY370" s="13" t="b">
        <f>VLOOKUP(BT370,Enriched!$A$1:$AA$1070,27,falsE)</f>
        <v>0</v>
      </c>
      <c r="BZ370" s="2" t="str">
        <f>VLOOKUP(BT370,Enriched!$A$1:$AA$1070,14,falsE)</f>
        <v>level1</v>
      </c>
      <c r="CA370" s="13" t="str">
        <f>HYPERLINK("https%3A%2F%2Fwww.webofscience.com%2Fwos%2Fwoscc%2Ffull-record%2FWOS:000226438600018","View Full Record in Web of Science")</f>
        <v>View Full Record in Web of Science</v>
      </c>
    </row>
    <row r="371" ht="12.75" customHeight="1">
      <c r="A371" s="13" t="s">
        <v>5508</v>
      </c>
      <c r="B371" s="13" t="s">
        <v>12336</v>
      </c>
      <c r="C371" s="13" t="s">
        <v>5510</v>
      </c>
      <c r="D371" s="13" t="s">
        <v>5510</v>
      </c>
      <c r="E371" s="13" t="s">
        <v>5510</v>
      </c>
      <c r="F371" s="13" t="s">
        <v>12337</v>
      </c>
      <c r="G371" s="13" t="s">
        <v>5510</v>
      </c>
      <c r="H371" s="13" t="s">
        <v>5510</v>
      </c>
      <c r="I371" s="13" t="s">
        <v>1930</v>
      </c>
      <c r="J371" s="13" t="s">
        <v>6445</v>
      </c>
      <c r="K371" s="13" t="s">
        <v>5510</v>
      </c>
      <c r="L371" s="13" t="s">
        <v>5510</v>
      </c>
      <c r="M371" s="13" t="s">
        <v>5513</v>
      </c>
      <c r="N371" s="13" t="s">
        <v>5514</v>
      </c>
      <c r="O371" s="13" t="s">
        <v>5510</v>
      </c>
      <c r="P371" s="13" t="s">
        <v>5510</v>
      </c>
      <c r="Q371" s="13" t="s">
        <v>5510</v>
      </c>
      <c r="R371" s="13" t="s">
        <v>5510</v>
      </c>
      <c r="S371" s="13" t="s">
        <v>5510</v>
      </c>
      <c r="T371" s="13" t="s">
        <v>12338</v>
      </c>
      <c r="U371" s="13" t="s">
        <v>12339</v>
      </c>
      <c r="V371" s="13" t="s">
        <v>12340</v>
      </c>
      <c r="W371" s="13" t="s">
        <v>12341</v>
      </c>
      <c r="X371" s="13" t="s">
        <v>12342</v>
      </c>
      <c r="Y371" s="13" t="s">
        <v>12343</v>
      </c>
      <c r="Z371" s="13" t="s">
        <v>12344</v>
      </c>
      <c r="AA371" s="13" t="s">
        <v>12345</v>
      </c>
      <c r="AB371" s="13" t="s">
        <v>12346</v>
      </c>
      <c r="AC371" s="13" t="s">
        <v>12347</v>
      </c>
      <c r="AD371" s="13" t="s">
        <v>12348</v>
      </c>
      <c r="AE371" s="13" t="s">
        <v>12349</v>
      </c>
      <c r="AF371" s="13" t="s">
        <v>5510</v>
      </c>
      <c r="AG371" s="13">
        <v>75.0</v>
      </c>
      <c r="AH371" s="13">
        <v>70.0</v>
      </c>
      <c r="AI371" s="13">
        <v>79.0</v>
      </c>
      <c r="AJ371" s="13">
        <v>0.0</v>
      </c>
      <c r="AK371" s="13">
        <v>139.0</v>
      </c>
      <c r="AL371" s="13" t="s">
        <v>5527</v>
      </c>
      <c r="AM371" s="13" t="s">
        <v>5528</v>
      </c>
      <c r="AN371" s="13" t="s">
        <v>5529</v>
      </c>
      <c r="AO371" s="13" t="s">
        <v>6457</v>
      </c>
      <c r="AP371" s="13" t="s">
        <v>6458</v>
      </c>
      <c r="AQ371" s="13" t="s">
        <v>5510</v>
      </c>
      <c r="AR371" s="13" t="s">
        <v>6459</v>
      </c>
      <c r="AS371" s="13" t="s">
        <v>6460</v>
      </c>
      <c r="AT371" s="13" t="s">
        <v>6828</v>
      </c>
      <c r="AU371" s="13">
        <v>2014.0</v>
      </c>
      <c r="AV371" s="13">
        <v>41.0</v>
      </c>
      <c r="AW371" s="13">
        <v>4.0</v>
      </c>
      <c r="AX371" s="13" t="s">
        <v>5510</v>
      </c>
      <c r="AY371" s="13" t="s">
        <v>5510</v>
      </c>
      <c r="AZ371" s="13" t="s">
        <v>5510</v>
      </c>
      <c r="BA371" s="13" t="s">
        <v>5510</v>
      </c>
      <c r="BB371" s="13">
        <v>724.0</v>
      </c>
      <c r="BC371" s="13">
        <v>735.0</v>
      </c>
      <c r="BD371" s="13" t="s">
        <v>5510</v>
      </c>
      <c r="BE371" s="13" t="s">
        <v>12350</v>
      </c>
      <c r="BF371" s="52" t="str">
        <f>HYPERLINK("http://dx.doi.org/10.1111/jbi.12257","http://dx.doi.org/10.1111/jbi.12257")</f>
        <v>http://dx.doi.org/10.1111/jbi.12257</v>
      </c>
      <c r="BG371" s="13" t="s">
        <v>5510</v>
      </c>
      <c r="BH371" s="13" t="s">
        <v>5510</v>
      </c>
      <c r="BI371" s="13">
        <v>12.0</v>
      </c>
      <c r="BJ371" s="13" t="s">
        <v>6463</v>
      </c>
      <c r="BK371" s="13" t="s">
        <v>5561</v>
      </c>
      <c r="BL371" s="13" t="s">
        <v>6464</v>
      </c>
      <c r="BM371" s="13" t="s">
        <v>12351</v>
      </c>
      <c r="BN371" s="13">
        <v>2.5505356E7</v>
      </c>
      <c r="BO371" s="13" t="s">
        <v>6028</v>
      </c>
      <c r="BP371" s="13" t="s">
        <v>5510</v>
      </c>
      <c r="BQ371" s="13" t="s">
        <v>5510</v>
      </c>
      <c r="BR371" s="13" t="s">
        <v>5538</v>
      </c>
      <c r="BS371" s="13" t="s">
        <v>12352</v>
      </c>
      <c r="BT371" s="13">
        <v>23989.0</v>
      </c>
      <c r="BU371" s="13" t="s">
        <v>5540</v>
      </c>
      <c r="BV371" s="13" t="s">
        <v>4886</v>
      </c>
      <c r="BW371" s="13" t="str">
        <f>VLOOKUP($BT371,Enriched!$A$2:$E$1070,5,false)</f>
        <v>["Climate Change &amp; Severe Weather"]</v>
      </c>
      <c r="BX371" s="13" t="str">
        <f>VLOOKUP($BT371,Enriched!$A$2:$E$1070,4,false)</f>
        <v>["Temperature extremes", "Habitat shifting &amp; alteration"]</v>
      </c>
      <c r="BY371" s="13" t="b">
        <f>VLOOKUP(BT371,Enriched!$A$1:$AA$1070,27,falsE)</f>
        <v>0</v>
      </c>
      <c r="BZ371" s="2" t="str">
        <f>VLOOKUP(BT371,Enriched!$A$1:$AA$1070,14,falsE)</f>
        <v>level2</v>
      </c>
      <c r="CA371" s="13" t="str">
        <f>HYPERLINK("https%3A%2F%2Fwww.webofscience.com%2Fwos%2Fwoscc%2Ffull-record%2FWOS:000332781100008","View Full Record in Web of Science")</f>
        <v>View Full Record in Web of Science</v>
      </c>
    </row>
    <row r="372" ht="12.75" customHeight="1">
      <c r="A372" s="13" t="s">
        <v>5508</v>
      </c>
      <c r="B372" s="13" t="s">
        <v>12353</v>
      </c>
      <c r="C372" s="13" t="s">
        <v>5510</v>
      </c>
      <c r="D372" s="13" t="s">
        <v>5510</v>
      </c>
      <c r="E372" s="13" t="s">
        <v>5510</v>
      </c>
      <c r="F372" s="13" t="s">
        <v>12354</v>
      </c>
      <c r="G372" s="13" t="s">
        <v>5510</v>
      </c>
      <c r="H372" s="13" t="s">
        <v>5510</v>
      </c>
      <c r="I372" s="13" t="s">
        <v>12355</v>
      </c>
      <c r="J372" s="13" t="s">
        <v>7857</v>
      </c>
      <c r="K372" s="13" t="s">
        <v>5510</v>
      </c>
      <c r="L372" s="13" t="s">
        <v>5510</v>
      </c>
      <c r="M372" s="13" t="s">
        <v>5513</v>
      </c>
      <c r="N372" s="13" t="s">
        <v>5514</v>
      </c>
      <c r="O372" s="13" t="s">
        <v>5510</v>
      </c>
      <c r="P372" s="13" t="s">
        <v>5510</v>
      </c>
      <c r="Q372" s="13" t="s">
        <v>5510</v>
      </c>
      <c r="R372" s="13" t="s">
        <v>5510</v>
      </c>
      <c r="S372" s="13" t="s">
        <v>5510</v>
      </c>
      <c r="T372" s="13" t="s">
        <v>12356</v>
      </c>
      <c r="U372" s="13" t="s">
        <v>12357</v>
      </c>
      <c r="V372" s="13" t="s">
        <v>12358</v>
      </c>
      <c r="W372" s="13" t="s">
        <v>12359</v>
      </c>
      <c r="X372" s="13" t="s">
        <v>12360</v>
      </c>
      <c r="Y372" s="13" t="s">
        <v>12361</v>
      </c>
      <c r="Z372" s="13" t="s">
        <v>12362</v>
      </c>
      <c r="AA372" s="13" t="s">
        <v>12363</v>
      </c>
      <c r="AB372" s="13" t="s">
        <v>12364</v>
      </c>
      <c r="AC372" s="13" t="s">
        <v>12365</v>
      </c>
      <c r="AD372" s="13" t="s">
        <v>12365</v>
      </c>
      <c r="AE372" s="13" t="s">
        <v>12366</v>
      </c>
      <c r="AF372" s="13" t="s">
        <v>5510</v>
      </c>
      <c r="AG372" s="13">
        <v>47.0</v>
      </c>
      <c r="AH372" s="13">
        <v>52.0</v>
      </c>
      <c r="AI372" s="13">
        <v>58.0</v>
      </c>
      <c r="AJ372" s="13">
        <v>1.0</v>
      </c>
      <c r="AK372" s="13">
        <v>57.0</v>
      </c>
      <c r="AL372" s="13" t="s">
        <v>5527</v>
      </c>
      <c r="AM372" s="13" t="s">
        <v>5528</v>
      </c>
      <c r="AN372" s="13" t="s">
        <v>5529</v>
      </c>
      <c r="AO372" s="13" t="s">
        <v>7870</v>
      </c>
      <c r="AP372" s="13" t="s">
        <v>7871</v>
      </c>
      <c r="AQ372" s="13" t="s">
        <v>5510</v>
      </c>
      <c r="AR372" s="13" t="s">
        <v>7872</v>
      </c>
      <c r="AS372" s="13" t="s">
        <v>7873</v>
      </c>
      <c r="AT372" s="13" t="s">
        <v>5582</v>
      </c>
      <c r="AU372" s="13">
        <v>2015.0</v>
      </c>
      <c r="AV372" s="13">
        <v>21.0</v>
      </c>
      <c r="AW372" s="13">
        <v>1.0</v>
      </c>
      <c r="AX372" s="13" t="s">
        <v>5510</v>
      </c>
      <c r="AY372" s="13" t="s">
        <v>5510</v>
      </c>
      <c r="AZ372" s="13" t="s">
        <v>5510</v>
      </c>
      <c r="BA372" s="13" t="s">
        <v>5510</v>
      </c>
      <c r="BB372" s="13">
        <v>195.0</v>
      </c>
      <c r="BC372" s="13">
        <v>205.0</v>
      </c>
      <c r="BD372" s="13" t="s">
        <v>5510</v>
      </c>
      <c r="BE372" s="13" t="s">
        <v>12367</v>
      </c>
      <c r="BF372" s="52" t="str">
        <f>HYPERLINK("http://dx.doi.org/10.1111/gcb.12699","http://dx.doi.org/10.1111/gcb.12699")</f>
        <v>http://dx.doi.org/10.1111/gcb.12699</v>
      </c>
      <c r="BG372" s="13" t="s">
        <v>5510</v>
      </c>
      <c r="BH372" s="13" t="s">
        <v>5510</v>
      </c>
      <c r="BI372" s="13">
        <v>11.0</v>
      </c>
      <c r="BJ372" s="13" t="s">
        <v>5698</v>
      </c>
      <c r="BK372" s="13" t="s">
        <v>5561</v>
      </c>
      <c r="BL372" s="13" t="s">
        <v>5699</v>
      </c>
      <c r="BM372" s="13" t="s">
        <v>7908</v>
      </c>
      <c r="BN372" s="13">
        <v>2.5088977E7</v>
      </c>
      <c r="BO372" s="13" t="s">
        <v>5510</v>
      </c>
      <c r="BP372" s="13" t="s">
        <v>5510</v>
      </c>
      <c r="BQ372" s="13" t="s">
        <v>5510</v>
      </c>
      <c r="BR372" s="13" t="s">
        <v>5538</v>
      </c>
      <c r="BS372" s="13" t="s">
        <v>12368</v>
      </c>
      <c r="BT372" s="13">
        <v>23106.0</v>
      </c>
      <c r="BU372" s="13" t="s">
        <v>5540</v>
      </c>
      <c r="BV372" s="13" t="s">
        <v>4864</v>
      </c>
      <c r="BW372" s="13" t="str">
        <f>VLOOKUP($BT372,Enriched!$A$2:$E$1070,5,false)</f>
        <v>["Climate Change &amp; Severe Weather"]</v>
      </c>
      <c r="BX372" s="13" t="str">
        <f>VLOOKUP($BT372,Enriched!$A$2:$E$1070,4,false)</f>
        <v>["Temperature extremes"]</v>
      </c>
      <c r="BY372" s="13" t="b">
        <f>VLOOKUP(BT372,Enriched!$A$1:$AA$1070,27,falsE)</f>
        <v>0</v>
      </c>
      <c r="BZ372" s="2" t="str">
        <f>VLOOKUP(BT372,Enriched!$A$1:$AA$1070,14,falsE)</f>
        <v>level2</v>
      </c>
      <c r="CA372" s="13" t="str">
        <f>HYPERLINK("https%3A%2F%2Fwww.webofscience.com%2Fwos%2Fwoscc%2Ffull-record%2FWOS:000346698100020","View Full Record in Web of Science")</f>
        <v>View Full Record in Web of Science</v>
      </c>
    </row>
    <row r="373" ht="12.75" customHeight="1">
      <c r="A373" s="13" t="s">
        <v>5508</v>
      </c>
      <c r="B373" s="13" t="s">
        <v>12369</v>
      </c>
      <c r="C373" s="13" t="s">
        <v>5510</v>
      </c>
      <c r="D373" s="13" t="s">
        <v>5510</v>
      </c>
      <c r="E373" s="13" t="s">
        <v>5510</v>
      </c>
      <c r="F373" s="13" t="s">
        <v>12370</v>
      </c>
      <c r="G373" s="13" t="s">
        <v>5510</v>
      </c>
      <c r="H373" s="13" t="s">
        <v>5510</v>
      </c>
      <c r="I373" s="13" t="s">
        <v>12371</v>
      </c>
      <c r="J373" s="13" t="s">
        <v>6306</v>
      </c>
      <c r="K373" s="13" t="s">
        <v>5510</v>
      </c>
      <c r="L373" s="13" t="s">
        <v>5510</v>
      </c>
      <c r="M373" s="13" t="s">
        <v>5513</v>
      </c>
      <c r="N373" s="13" t="s">
        <v>5514</v>
      </c>
      <c r="O373" s="13" t="s">
        <v>5510</v>
      </c>
      <c r="P373" s="13" t="s">
        <v>5510</v>
      </c>
      <c r="Q373" s="13" t="s">
        <v>5510</v>
      </c>
      <c r="R373" s="13" t="s">
        <v>5510</v>
      </c>
      <c r="S373" s="13" t="s">
        <v>5510</v>
      </c>
      <c r="T373" s="13" t="s">
        <v>12372</v>
      </c>
      <c r="U373" s="13" t="s">
        <v>12373</v>
      </c>
      <c r="V373" s="13" t="s">
        <v>12374</v>
      </c>
      <c r="W373" s="13" t="s">
        <v>12375</v>
      </c>
      <c r="X373" s="13" t="s">
        <v>12376</v>
      </c>
      <c r="Y373" s="13" t="s">
        <v>12377</v>
      </c>
      <c r="Z373" s="13" t="s">
        <v>12250</v>
      </c>
      <c r="AA373" s="13" t="s">
        <v>12378</v>
      </c>
      <c r="AB373" s="13" t="s">
        <v>12379</v>
      </c>
      <c r="AC373" s="13" t="s">
        <v>12380</v>
      </c>
      <c r="AD373" s="13" t="s">
        <v>12381</v>
      </c>
      <c r="AE373" s="13" t="s">
        <v>12382</v>
      </c>
      <c r="AF373" s="13" t="s">
        <v>5510</v>
      </c>
      <c r="AG373" s="13">
        <v>53.0</v>
      </c>
      <c r="AH373" s="13">
        <v>44.0</v>
      </c>
      <c r="AI373" s="13">
        <v>48.0</v>
      </c>
      <c r="AJ373" s="13">
        <v>0.0</v>
      </c>
      <c r="AK373" s="13">
        <v>17.0</v>
      </c>
      <c r="AL373" s="13" t="s">
        <v>6319</v>
      </c>
      <c r="AM373" s="13" t="s">
        <v>6320</v>
      </c>
      <c r="AN373" s="13" t="s">
        <v>6321</v>
      </c>
      <c r="AO373" s="13" t="s">
        <v>5510</v>
      </c>
      <c r="AP373" s="13" t="s">
        <v>6322</v>
      </c>
      <c r="AQ373" s="13" t="s">
        <v>5510</v>
      </c>
      <c r="AR373" s="13" t="s">
        <v>6323</v>
      </c>
      <c r="AS373" s="13" t="s">
        <v>6324</v>
      </c>
      <c r="AT373" s="13" t="s">
        <v>12383</v>
      </c>
      <c r="AU373" s="13">
        <v>2018.0</v>
      </c>
      <c r="AV373" s="13">
        <v>5.0</v>
      </c>
      <c r="AW373" s="13" t="s">
        <v>5510</v>
      </c>
      <c r="AX373" s="13" t="s">
        <v>5510</v>
      </c>
      <c r="AY373" s="13" t="s">
        <v>5510</v>
      </c>
      <c r="AZ373" s="13" t="s">
        <v>5510</v>
      </c>
      <c r="BA373" s="13" t="s">
        <v>5510</v>
      </c>
      <c r="BB373" s="13" t="s">
        <v>5510</v>
      </c>
      <c r="BC373" s="13" t="s">
        <v>5510</v>
      </c>
      <c r="BD373" s="13">
        <v>336.0</v>
      </c>
      <c r="BE373" s="13" t="s">
        <v>12384</v>
      </c>
      <c r="BF373" s="52" t="str">
        <f>HYPERLINK("http://dx.doi.org/10.3389/fmars.2018.00336","http://dx.doi.org/10.3389/fmars.2018.00336")</f>
        <v>http://dx.doi.org/10.3389/fmars.2018.00336</v>
      </c>
      <c r="BG373" s="13" t="s">
        <v>5510</v>
      </c>
      <c r="BH373" s="13" t="s">
        <v>5510</v>
      </c>
      <c r="BI373" s="13">
        <v>9.0</v>
      </c>
      <c r="BJ373" s="13" t="s">
        <v>6327</v>
      </c>
      <c r="BK373" s="13" t="s">
        <v>5561</v>
      </c>
      <c r="BL373" s="13" t="s">
        <v>6328</v>
      </c>
      <c r="BM373" s="13" t="s">
        <v>12385</v>
      </c>
      <c r="BN373" s="13" t="s">
        <v>5510</v>
      </c>
      <c r="BO373" s="13" t="s">
        <v>5564</v>
      </c>
      <c r="BP373" s="13" t="s">
        <v>5510</v>
      </c>
      <c r="BQ373" s="13" t="s">
        <v>5510</v>
      </c>
      <c r="BR373" s="13" t="s">
        <v>5538</v>
      </c>
      <c r="BS373" s="13" t="s">
        <v>12386</v>
      </c>
      <c r="BT373" s="13">
        <v>24159.0</v>
      </c>
      <c r="BU373" s="13" t="s">
        <v>5540</v>
      </c>
      <c r="BV373" s="13" t="s">
        <v>4864</v>
      </c>
      <c r="BW373" s="13" t="str">
        <f>VLOOKUP($BT373,Enriched!$A$2:$E$1070,5,false)</f>
        <v>["Energy Production &amp; Mining", "Pollution", "Residential &amp; Commercial Development", "Biological Resource Use", "Transportation &amp; Service Corridors"]</v>
      </c>
      <c r="BX373" s="13" t="str">
        <f>VLOOKUP($BT373,Enriched!$A$2:$E$1070,4,false)</f>
        <v>["Oil &amp; gas drilling", "Industrial &amp; military effluents", "Commercial &amp; industrial areas", "Fishing &amp; harvesting aquatic resources", "Shipping lanes"]</v>
      </c>
      <c r="BY373" s="13" t="b">
        <f>VLOOKUP(BT373,Enriched!$A$1:$AA$1070,27,falsE)</f>
        <v>0</v>
      </c>
      <c r="BZ373" s="2" t="str">
        <f>VLOOKUP(BT373,Enriched!$A$1:$AA$1070,14,falsE)</f>
        <v>cumulative</v>
      </c>
      <c r="CA373" s="13" t="str">
        <f>HYPERLINK("https%3A%2F%2Fwww.webofscience.com%2Fwos%2Fwoscc%2Ffull-record%2FWOS:000457320300002","View Full Record in Web of Science")</f>
        <v>View Full Record in Web of Science</v>
      </c>
    </row>
    <row r="374" ht="12.75" customHeight="1">
      <c r="A374" s="13" t="s">
        <v>5508</v>
      </c>
      <c r="B374" s="13" t="s">
        <v>12387</v>
      </c>
      <c r="C374" s="13" t="s">
        <v>5510</v>
      </c>
      <c r="D374" s="13" t="s">
        <v>5510</v>
      </c>
      <c r="E374" s="13" t="s">
        <v>5510</v>
      </c>
      <c r="F374" s="13" t="s">
        <v>12388</v>
      </c>
      <c r="G374" s="13" t="s">
        <v>5510</v>
      </c>
      <c r="H374" s="13" t="s">
        <v>5510</v>
      </c>
      <c r="I374" s="13" t="s">
        <v>1921</v>
      </c>
      <c r="J374" s="13" t="s">
        <v>5919</v>
      </c>
      <c r="K374" s="13" t="s">
        <v>5510</v>
      </c>
      <c r="L374" s="13" t="s">
        <v>5510</v>
      </c>
      <c r="M374" s="13" t="s">
        <v>5513</v>
      </c>
      <c r="N374" s="13" t="s">
        <v>5514</v>
      </c>
      <c r="O374" s="13" t="s">
        <v>5510</v>
      </c>
      <c r="P374" s="13" t="s">
        <v>5510</v>
      </c>
      <c r="Q374" s="13" t="s">
        <v>5510</v>
      </c>
      <c r="R374" s="13" t="s">
        <v>5510</v>
      </c>
      <c r="S374" s="13" t="s">
        <v>5510</v>
      </c>
      <c r="T374" s="13" t="s">
        <v>12389</v>
      </c>
      <c r="U374" s="13" t="s">
        <v>12390</v>
      </c>
      <c r="V374" s="13" t="s">
        <v>12391</v>
      </c>
      <c r="W374" s="13" t="s">
        <v>12392</v>
      </c>
      <c r="X374" s="13" t="s">
        <v>12393</v>
      </c>
      <c r="Y374" s="13" t="s">
        <v>12394</v>
      </c>
      <c r="Z374" s="13" t="s">
        <v>12395</v>
      </c>
      <c r="AA374" s="13" t="s">
        <v>12396</v>
      </c>
      <c r="AB374" s="13" t="s">
        <v>12397</v>
      </c>
      <c r="AC374" s="13" t="s">
        <v>12398</v>
      </c>
      <c r="AD374" s="13" t="s">
        <v>12399</v>
      </c>
      <c r="AE374" s="13" t="s">
        <v>12400</v>
      </c>
      <c r="AF374" s="13" t="s">
        <v>5510</v>
      </c>
      <c r="AG374" s="13">
        <v>67.0</v>
      </c>
      <c r="AH374" s="13">
        <v>17.0</v>
      </c>
      <c r="AI374" s="13">
        <v>18.0</v>
      </c>
      <c r="AJ374" s="13">
        <v>1.0</v>
      </c>
      <c r="AK374" s="13">
        <v>55.0</v>
      </c>
      <c r="AL374" s="13" t="s">
        <v>5931</v>
      </c>
      <c r="AM374" s="13" t="s">
        <v>5932</v>
      </c>
      <c r="AN374" s="13" t="s">
        <v>5933</v>
      </c>
      <c r="AO374" s="13" t="s">
        <v>5934</v>
      </c>
      <c r="AP374" s="13" t="s">
        <v>5935</v>
      </c>
      <c r="AQ374" s="13" t="s">
        <v>5510</v>
      </c>
      <c r="AR374" s="13" t="s">
        <v>5936</v>
      </c>
      <c r="AS374" s="13" t="s">
        <v>5937</v>
      </c>
      <c r="AT374" s="13" t="s">
        <v>5720</v>
      </c>
      <c r="AU374" s="13">
        <v>2016.0</v>
      </c>
      <c r="AV374" s="13">
        <v>198.0</v>
      </c>
      <c r="AW374" s="13" t="s">
        <v>5510</v>
      </c>
      <c r="AX374" s="13" t="s">
        <v>5510</v>
      </c>
      <c r="AY374" s="13" t="s">
        <v>5510</v>
      </c>
      <c r="AZ374" s="13" t="s">
        <v>5510</v>
      </c>
      <c r="BA374" s="13" t="s">
        <v>5510</v>
      </c>
      <c r="BB374" s="13">
        <v>165.0</v>
      </c>
      <c r="BC374" s="13">
        <v>176.0</v>
      </c>
      <c r="BD374" s="13" t="s">
        <v>5510</v>
      </c>
      <c r="BE374" s="13" t="s">
        <v>12401</v>
      </c>
      <c r="BF374" s="52" t="str">
        <f>HYPERLINK("http://dx.doi.org/10.1016/j.biocon.2016.03.020","http://dx.doi.org/10.1016/j.biocon.2016.03.020")</f>
        <v>http://dx.doi.org/10.1016/j.biocon.2016.03.020</v>
      </c>
      <c r="BG374" s="13" t="s">
        <v>5510</v>
      </c>
      <c r="BH374" s="13" t="s">
        <v>5510</v>
      </c>
      <c r="BI374" s="13">
        <v>12.0</v>
      </c>
      <c r="BJ374" s="13" t="s">
        <v>5698</v>
      </c>
      <c r="BK374" s="13" t="s">
        <v>5561</v>
      </c>
      <c r="BL374" s="13" t="s">
        <v>5699</v>
      </c>
      <c r="BM374" s="13" t="s">
        <v>12402</v>
      </c>
      <c r="BN374" s="13" t="s">
        <v>5510</v>
      </c>
      <c r="BO374" s="13" t="s">
        <v>5510</v>
      </c>
      <c r="BP374" s="13" t="s">
        <v>5510</v>
      </c>
      <c r="BQ374" s="13" t="s">
        <v>5510</v>
      </c>
      <c r="BR374" s="13" t="s">
        <v>5538</v>
      </c>
      <c r="BS374" s="13" t="s">
        <v>12403</v>
      </c>
      <c r="BT374" s="13">
        <v>25732.0</v>
      </c>
      <c r="BU374" s="13" t="s">
        <v>5540</v>
      </c>
      <c r="BV374" s="13" t="s">
        <v>4864</v>
      </c>
      <c r="BW374" s="13" t="str">
        <f>VLOOKUP($BT374,Enriched!$A$2:$E$1070,5,false)</f>
        <v>["Biological resource use"]</v>
      </c>
      <c r="BX374" s="13" t="str">
        <f>VLOOKUP($BT374,Enriched!$A$2:$E$1070,4,false)</f>
        <v>["Fishing &amp; harvesting aquatic resources"]</v>
      </c>
      <c r="BY374" s="13" t="b">
        <f>VLOOKUP(BT374,Enriched!$A$1:$AA$1070,27,falsE)</f>
        <v>0</v>
      </c>
      <c r="BZ374" s="2" t="str">
        <f>VLOOKUP(BT374,Enriched!$A$1:$AA$1070,14,falsE)</f>
        <v>level2</v>
      </c>
      <c r="CA374" s="13" t="str">
        <f>HYPERLINK("https%3A%2F%2Fwww.webofscience.com%2Fwos%2Fwoscc%2Ffull-record%2FWOS:000377735400019","View Full Record in Web of Science")</f>
        <v>View Full Record in Web of Science</v>
      </c>
    </row>
    <row r="375" ht="12.75" customHeight="1">
      <c r="A375" s="13" t="s">
        <v>5508</v>
      </c>
      <c r="B375" s="13" t="s">
        <v>12404</v>
      </c>
      <c r="C375" s="13" t="s">
        <v>5510</v>
      </c>
      <c r="D375" s="13" t="s">
        <v>5510</v>
      </c>
      <c r="E375" s="13" t="s">
        <v>5510</v>
      </c>
      <c r="F375" s="13" t="s">
        <v>12405</v>
      </c>
      <c r="G375" s="13" t="s">
        <v>5510</v>
      </c>
      <c r="H375" s="13" t="s">
        <v>5510</v>
      </c>
      <c r="I375" s="13" t="s">
        <v>1918</v>
      </c>
      <c r="J375" s="13" t="s">
        <v>7741</v>
      </c>
      <c r="K375" s="13" t="s">
        <v>5510</v>
      </c>
      <c r="L375" s="13" t="s">
        <v>5510</v>
      </c>
      <c r="M375" s="13" t="s">
        <v>5513</v>
      </c>
      <c r="N375" s="13" t="s">
        <v>5514</v>
      </c>
      <c r="O375" s="13" t="s">
        <v>5510</v>
      </c>
      <c r="P375" s="13" t="s">
        <v>5510</v>
      </c>
      <c r="Q375" s="13" t="s">
        <v>5510</v>
      </c>
      <c r="R375" s="13" t="s">
        <v>5510</v>
      </c>
      <c r="S375" s="13" t="s">
        <v>5510</v>
      </c>
      <c r="T375" s="13" t="s">
        <v>12406</v>
      </c>
      <c r="U375" s="13" t="s">
        <v>12407</v>
      </c>
      <c r="V375" s="13" t="s">
        <v>12408</v>
      </c>
      <c r="W375" s="13" t="s">
        <v>12409</v>
      </c>
      <c r="X375" s="13" t="s">
        <v>12410</v>
      </c>
      <c r="Y375" s="13" t="s">
        <v>12411</v>
      </c>
      <c r="Z375" s="13" t="s">
        <v>12412</v>
      </c>
      <c r="AA375" s="13" t="s">
        <v>12413</v>
      </c>
      <c r="AB375" s="13" t="s">
        <v>12414</v>
      </c>
      <c r="AC375" s="13" t="s">
        <v>12415</v>
      </c>
      <c r="AD375" s="13" t="s">
        <v>12416</v>
      </c>
      <c r="AE375" s="13" t="s">
        <v>12417</v>
      </c>
      <c r="AF375" s="13" t="s">
        <v>5510</v>
      </c>
      <c r="AG375" s="13">
        <v>56.0</v>
      </c>
      <c r="AH375" s="13">
        <v>74.0</v>
      </c>
      <c r="AI375" s="13">
        <v>89.0</v>
      </c>
      <c r="AJ375" s="13">
        <v>4.0</v>
      </c>
      <c r="AK375" s="13">
        <v>201.0</v>
      </c>
      <c r="AL375" s="13" t="s">
        <v>6717</v>
      </c>
      <c r="AM375" s="13" t="s">
        <v>5932</v>
      </c>
      <c r="AN375" s="13" t="s">
        <v>6718</v>
      </c>
      <c r="AO375" s="13" t="s">
        <v>7752</v>
      </c>
      <c r="AP375" s="13" t="s">
        <v>7753</v>
      </c>
      <c r="AQ375" s="13" t="s">
        <v>5510</v>
      </c>
      <c r="AR375" s="13" t="s">
        <v>7754</v>
      </c>
      <c r="AS375" s="13" t="s">
        <v>7755</v>
      </c>
      <c r="AT375" s="13" t="s">
        <v>5720</v>
      </c>
      <c r="AU375" s="13">
        <v>2011.0</v>
      </c>
      <c r="AV375" s="13">
        <v>62.0</v>
      </c>
      <c r="AW375" s="13">
        <v>6.0</v>
      </c>
      <c r="AX375" s="13" t="s">
        <v>5510</v>
      </c>
      <c r="AY375" s="13" t="s">
        <v>5510</v>
      </c>
      <c r="AZ375" s="13" t="s">
        <v>5510</v>
      </c>
      <c r="BA375" s="13" t="s">
        <v>5510</v>
      </c>
      <c r="BB375" s="13">
        <v>1303.0</v>
      </c>
      <c r="BC375" s="13">
        <v>1316.0</v>
      </c>
      <c r="BD375" s="13" t="s">
        <v>5510</v>
      </c>
      <c r="BE375" s="13" t="s">
        <v>12418</v>
      </c>
      <c r="BF375" s="52" t="str">
        <f>HYPERLINK("http://dx.doi.org/10.1016/j.marpolbul.2011.02.029","http://dx.doi.org/10.1016/j.marpolbul.2011.02.029")</f>
        <v>http://dx.doi.org/10.1016/j.marpolbul.2011.02.029</v>
      </c>
      <c r="BG375" s="13" t="s">
        <v>5510</v>
      </c>
      <c r="BH375" s="13" t="s">
        <v>5510</v>
      </c>
      <c r="BI375" s="13">
        <v>14.0</v>
      </c>
      <c r="BJ375" s="13" t="s">
        <v>6327</v>
      </c>
      <c r="BK375" s="13" t="s">
        <v>5561</v>
      </c>
      <c r="BL375" s="13" t="s">
        <v>6328</v>
      </c>
      <c r="BM375" s="13" t="s">
        <v>12419</v>
      </c>
      <c r="BN375" s="13">
        <v>2.1665015E7</v>
      </c>
      <c r="BO375" s="13" t="s">
        <v>5510</v>
      </c>
      <c r="BP375" s="13" t="s">
        <v>5510</v>
      </c>
      <c r="BQ375" s="13" t="s">
        <v>5510</v>
      </c>
      <c r="BR375" s="13" t="s">
        <v>5538</v>
      </c>
      <c r="BS375" s="13" t="s">
        <v>12420</v>
      </c>
      <c r="BT375" s="13">
        <v>26016.0</v>
      </c>
      <c r="BU375" s="13" t="s">
        <v>5540</v>
      </c>
      <c r="BV375" s="13" t="s">
        <v>4864</v>
      </c>
      <c r="BW375" s="13" t="str">
        <f>VLOOKUP($BT375,Enriched!$A$2:$E$1070,5,false)</f>
        <v>["Pollution"]</v>
      </c>
      <c r="BX375" s="13" t="str">
        <f>VLOOKUP($BT375,Enriched!$A$2:$E$1070,4,false)</f>
        <v>["Garbage &amp; solid waste"]</v>
      </c>
      <c r="BY375" s="13" t="b">
        <f>VLOOKUP(BT375,Enriched!$A$1:$AA$1070,27,falsE)</f>
        <v>0</v>
      </c>
      <c r="BZ375" s="2" t="str">
        <f>VLOOKUP(BT375,Enriched!$A$1:$AA$1070,14,falsE)</f>
        <v>level2</v>
      </c>
      <c r="CA375" s="13" t="str">
        <f>HYPERLINK("https%3A%2F%2Fwww.webofscience.com%2Fwos%2Fwoscc%2Ffull-record%2FWOS:000292677000031","View Full Record in Web of Science")</f>
        <v>View Full Record in Web of Science</v>
      </c>
    </row>
    <row r="376" ht="12.75" customHeight="1">
      <c r="A376" s="13" t="s">
        <v>5508</v>
      </c>
      <c r="B376" s="13" t="s">
        <v>12421</v>
      </c>
      <c r="C376" s="13" t="s">
        <v>5510</v>
      </c>
      <c r="D376" s="13" t="s">
        <v>5510</v>
      </c>
      <c r="E376" s="13" t="s">
        <v>5510</v>
      </c>
      <c r="F376" s="13" t="s">
        <v>12422</v>
      </c>
      <c r="G376" s="13" t="s">
        <v>5510</v>
      </c>
      <c r="H376" s="13" t="s">
        <v>5510</v>
      </c>
      <c r="I376" s="13" t="s">
        <v>1914</v>
      </c>
      <c r="J376" s="13" t="s">
        <v>12423</v>
      </c>
      <c r="K376" s="13" t="s">
        <v>5510</v>
      </c>
      <c r="L376" s="13" t="s">
        <v>5510</v>
      </c>
      <c r="M376" s="13" t="s">
        <v>5513</v>
      </c>
      <c r="N376" s="13" t="s">
        <v>5514</v>
      </c>
      <c r="O376" s="13" t="s">
        <v>5510</v>
      </c>
      <c r="P376" s="13" t="s">
        <v>5510</v>
      </c>
      <c r="Q376" s="13" t="s">
        <v>5510</v>
      </c>
      <c r="R376" s="13" t="s">
        <v>5510</v>
      </c>
      <c r="S376" s="13" t="s">
        <v>5510</v>
      </c>
      <c r="T376" s="13" t="s">
        <v>12424</v>
      </c>
      <c r="U376" s="13" t="s">
        <v>12425</v>
      </c>
      <c r="V376" s="13" t="s">
        <v>12426</v>
      </c>
      <c r="W376" s="13" t="s">
        <v>12427</v>
      </c>
      <c r="X376" s="13" t="s">
        <v>12428</v>
      </c>
      <c r="Y376" s="13" t="s">
        <v>12429</v>
      </c>
      <c r="Z376" s="13" t="s">
        <v>12430</v>
      </c>
      <c r="AA376" s="13" t="s">
        <v>12431</v>
      </c>
      <c r="AB376" s="13" t="s">
        <v>12432</v>
      </c>
      <c r="AC376" s="13" t="s">
        <v>5510</v>
      </c>
      <c r="AD376" s="13" t="s">
        <v>5510</v>
      </c>
      <c r="AE376" s="13" t="s">
        <v>5510</v>
      </c>
      <c r="AF376" s="13" t="s">
        <v>5510</v>
      </c>
      <c r="AG376" s="13">
        <v>50.0</v>
      </c>
      <c r="AH376" s="13">
        <v>19.0</v>
      </c>
      <c r="AI376" s="13">
        <v>19.0</v>
      </c>
      <c r="AJ376" s="13">
        <v>1.0</v>
      </c>
      <c r="AK376" s="13">
        <v>22.0</v>
      </c>
      <c r="AL376" s="13" t="s">
        <v>7065</v>
      </c>
      <c r="AM376" s="13" t="s">
        <v>6503</v>
      </c>
      <c r="AN376" s="13" t="s">
        <v>7066</v>
      </c>
      <c r="AO376" s="13" t="s">
        <v>12433</v>
      </c>
      <c r="AP376" s="13" t="s">
        <v>12434</v>
      </c>
      <c r="AQ376" s="13" t="s">
        <v>5510</v>
      </c>
      <c r="AR376" s="13" t="s">
        <v>12435</v>
      </c>
      <c r="AS376" s="13" t="s">
        <v>12436</v>
      </c>
      <c r="AT376" s="13" t="s">
        <v>6175</v>
      </c>
      <c r="AU376" s="13">
        <v>2018.0</v>
      </c>
      <c r="AV376" s="13">
        <v>98.0</v>
      </c>
      <c r="AW376" s="13">
        <v>5.0</v>
      </c>
      <c r="AX376" s="13" t="s">
        <v>5510</v>
      </c>
      <c r="AY376" s="13" t="s">
        <v>5510</v>
      </c>
      <c r="AZ376" s="13" t="s">
        <v>5646</v>
      </c>
      <c r="BA376" s="13" t="s">
        <v>5510</v>
      </c>
      <c r="BB376" s="13">
        <v>993.0</v>
      </c>
      <c r="BC376" s="13">
        <v>1001.0</v>
      </c>
      <c r="BD376" s="13" t="s">
        <v>5510</v>
      </c>
      <c r="BE376" s="13" t="s">
        <v>12437</v>
      </c>
      <c r="BF376" s="52" t="str">
        <f>HYPERLINK("http://dx.doi.org/10.1017/S0025315417000406","http://dx.doi.org/10.1017/S0025315417000406")</f>
        <v>http://dx.doi.org/10.1017/S0025315417000406</v>
      </c>
      <c r="BG376" s="13" t="s">
        <v>5510</v>
      </c>
      <c r="BH376" s="13" t="s">
        <v>5510</v>
      </c>
      <c r="BI376" s="13">
        <v>9.0</v>
      </c>
      <c r="BJ376" s="13" t="s">
        <v>6508</v>
      </c>
      <c r="BK376" s="13" t="s">
        <v>5561</v>
      </c>
      <c r="BL376" s="13" t="s">
        <v>6508</v>
      </c>
      <c r="BM376" s="13" t="s">
        <v>12438</v>
      </c>
      <c r="BN376" s="13" t="s">
        <v>5510</v>
      </c>
      <c r="BO376" s="13" t="s">
        <v>11226</v>
      </c>
      <c r="BP376" s="13" t="s">
        <v>5510</v>
      </c>
      <c r="BQ376" s="13" t="s">
        <v>5510</v>
      </c>
      <c r="BR376" s="13" t="s">
        <v>5538</v>
      </c>
      <c r="BS376" s="13" t="s">
        <v>12439</v>
      </c>
      <c r="BT376" s="13">
        <v>23706.0</v>
      </c>
      <c r="BU376" s="13" t="s">
        <v>5540</v>
      </c>
      <c r="BV376" s="13" t="s">
        <v>4864</v>
      </c>
      <c r="BW376" s="13" t="str">
        <f>VLOOKUP($BT376,Enriched!$A$2:$E$1070,5,false)</f>
        <v>["Energy Production &amp; Mining"]</v>
      </c>
      <c r="BX376" s="13" t="str">
        <f>VLOOKUP($BT376,Enriched!$A$2:$E$1070,4,false)</f>
        <v>["Oil &amp; gas drilling"]</v>
      </c>
      <c r="BY376" s="13" t="b">
        <f>VLOOKUP(BT376,Enriched!$A$1:$AA$1070,27,falsE)</f>
        <v>0</v>
      </c>
      <c r="BZ376" s="2" t="str">
        <f>VLOOKUP(BT376,Enriched!$A$1:$AA$1070,14,falsE)</f>
        <v>level2</v>
      </c>
      <c r="CA376" s="13" t="str">
        <f>HYPERLINK("https%3A%2F%2Fwww.webofscience.com%2Fwos%2Fwoscc%2Ffull-record%2FWOS:000442228000004","View Full Record in Web of Science")</f>
        <v>View Full Record in Web of Science</v>
      </c>
    </row>
    <row r="377" ht="12.75" customHeight="1">
      <c r="A377" s="13" t="s">
        <v>5508</v>
      </c>
      <c r="B377" s="13" t="s">
        <v>12440</v>
      </c>
      <c r="C377" s="13" t="s">
        <v>5510</v>
      </c>
      <c r="D377" s="13" t="s">
        <v>5510</v>
      </c>
      <c r="E377" s="13" t="s">
        <v>5510</v>
      </c>
      <c r="F377" s="13" t="s">
        <v>12441</v>
      </c>
      <c r="G377" s="13" t="s">
        <v>5510</v>
      </c>
      <c r="H377" s="13" t="s">
        <v>5510</v>
      </c>
      <c r="I377" s="13" t="s">
        <v>1911</v>
      </c>
      <c r="J377" s="13" t="s">
        <v>5919</v>
      </c>
      <c r="K377" s="13" t="s">
        <v>5510</v>
      </c>
      <c r="L377" s="13" t="s">
        <v>5510</v>
      </c>
      <c r="M377" s="13" t="s">
        <v>5513</v>
      </c>
      <c r="N377" s="13" t="s">
        <v>5514</v>
      </c>
      <c r="O377" s="13" t="s">
        <v>5510</v>
      </c>
      <c r="P377" s="13" t="s">
        <v>5510</v>
      </c>
      <c r="Q377" s="13" t="s">
        <v>5510</v>
      </c>
      <c r="R377" s="13" t="s">
        <v>5510</v>
      </c>
      <c r="S377" s="13" t="s">
        <v>5510</v>
      </c>
      <c r="T377" s="13" t="s">
        <v>12442</v>
      </c>
      <c r="U377" s="13" t="s">
        <v>12443</v>
      </c>
      <c r="V377" s="13" t="s">
        <v>12444</v>
      </c>
      <c r="W377" s="13" t="s">
        <v>12445</v>
      </c>
      <c r="X377" s="13" t="s">
        <v>12446</v>
      </c>
      <c r="Y377" s="13" t="s">
        <v>12447</v>
      </c>
      <c r="Z377" s="13" t="s">
        <v>12448</v>
      </c>
      <c r="AA377" s="13" t="s">
        <v>5510</v>
      </c>
      <c r="AB377" s="13" t="s">
        <v>5510</v>
      </c>
      <c r="AC377" s="13" t="s">
        <v>12449</v>
      </c>
      <c r="AD377" s="13" t="s">
        <v>12449</v>
      </c>
      <c r="AE377" s="13" t="s">
        <v>12450</v>
      </c>
      <c r="AF377" s="13" t="s">
        <v>5510</v>
      </c>
      <c r="AG377" s="13">
        <v>84.0</v>
      </c>
      <c r="AH377" s="13">
        <v>23.0</v>
      </c>
      <c r="AI377" s="13">
        <v>24.0</v>
      </c>
      <c r="AJ377" s="13">
        <v>0.0</v>
      </c>
      <c r="AK377" s="13">
        <v>90.0</v>
      </c>
      <c r="AL377" s="13" t="s">
        <v>5931</v>
      </c>
      <c r="AM377" s="13" t="s">
        <v>7486</v>
      </c>
      <c r="AN377" s="13" t="s">
        <v>7487</v>
      </c>
      <c r="AO377" s="13" t="s">
        <v>5934</v>
      </c>
      <c r="AP377" s="13" t="s">
        <v>5935</v>
      </c>
      <c r="AQ377" s="13" t="s">
        <v>5510</v>
      </c>
      <c r="AR377" s="13" t="s">
        <v>5936</v>
      </c>
      <c r="AS377" s="13" t="s">
        <v>5937</v>
      </c>
      <c r="AT377" s="13" t="s">
        <v>6828</v>
      </c>
      <c r="AU377" s="13">
        <v>2014.0</v>
      </c>
      <c r="AV377" s="13">
        <v>172.0</v>
      </c>
      <c r="AW377" s="13" t="s">
        <v>5510</v>
      </c>
      <c r="AX377" s="13" t="s">
        <v>5510</v>
      </c>
      <c r="AY377" s="13" t="s">
        <v>5510</v>
      </c>
      <c r="AZ377" s="13" t="s">
        <v>5510</v>
      </c>
      <c r="BA377" s="13" t="s">
        <v>5510</v>
      </c>
      <c r="BB377" s="13">
        <v>15.0</v>
      </c>
      <c r="BC377" s="13">
        <v>28.0</v>
      </c>
      <c r="BD377" s="13" t="s">
        <v>5510</v>
      </c>
      <c r="BE377" s="13" t="s">
        <v>12451</v>
      </c>
      <c r="BF377" s="52" t="str">
        <f>HYPERLINK("http://dx.doi.org/10.1016/j.biocon.2014.02.010","http://dx.doi.org/10.1016/j.biocon.2014.02.010")</f>
        <v>http://dx.doi.org/10.1016/j.biocon.2014.02.010</v>
      </c>
      <c r="BG377" s="13" t="s">
        <v>5510</v>
      </c>
      <c r="BH377" s="13" t="s">
        <v>5510</v>
      </c>
      <c r="BI377" s="13">
        <v>14.0</v>
      </c>
      <c r="BJ377" s="13" t="s">
        <v>5698</v>
      </c>
      <c r="BK377" s="13" t="s">
        <v>5561</v>
      </c>
      <c r="BL377" s="13" t="s">
        <v>5699</v>
      </c>
      <c r="BM377" s="13" t="s">
        <v>12452</v>
      </c>
      <c r="BN377" s="13" t="s">
        <v>5510</v>
      </c>
      <c r="BO377" s="13" t="s">
        <v>5510</v>
      </c>
      <c r="BP377" s="13" t="s">
        <v>5510</v>
      </c>
      <c r="BQ377" s="13" t="s">
        <v>5510</v>
      </c>
      <c r="BR377" s="13" t="s">
        <v>5538</v>
      </c>
      <c r="BS377" s="13" t="s">
        <v>12453</v>
      </c>
      <c r="BT377" s="13">
        <v>24557.0</v>
      </c>
      <c r="BU377" s="13" t="s">
        <v>5540</v>
      </c>
      <c r="BV377" s="13" t="s">
        <v>4864</v>
      </c>
      <c r="BW377" s="13" t="str">
        <f>VLOOKUP($BT377,Enriched!$A$2:$E$1070,5,false)</f>
        <v>["Energy Production &amp; Mining"]</v>
      </c>
      <c r="BX377" s="13" t="str">
        <f>VLOOKUP($BT377,Enriched!$A$2:$E$1070,4,false)</f>
        <v>["Oil &amp; gas drilling"]</v>
      </c>
      <c r="BY377" s="13" t="b">
        <f>VLOOKUP(BT377,Enriched!$A$1:$AA$1070,27,falsE)</f>
        <v>0</v>
      </c>
      <c r="BZ377" s="2" t="str">
        <f>VLOOKUP(BT377,Enriched!$A$1:$AA$1070,14,falsE)</f>
        <v>level2</v>
      </c>
      <c r="CA377" s="13" t="str">
        <f>HYPERLINK("https%3A%2F%2Fwww.webofscience.com%2Fwos%2Fwoscc%2Ffull-record%2FWOS:000336337800003","View Full Record in Web of Science")</f>
        <v>View Full Record in Web of Science</v>
      </c>
    </row>
    <row r="378" ht="12.75" customHeight="1">
      <c r="A378" s="13" t="s">
        <v>5508</v>
      </c>
      <c r="B378" s="13" t="s">
        <v>12454</v>
      </c>
      <c r="C378" s="13" t="s">
        <v>5510</v>
      </c>
      <c r="D378" s="13" t="s">
        <v>5510</v>
      </c>
      <c r="E378" s="13" t="s">
        <v>5510</v>
      </c>
      <c r="F378" s="13" t="s">
        <v>12455</v>
      </c>
      <c r="G378" s="13" t="s">
        <v>5510</v>
      </c>
      <c r="H378" s="13" t="s">
        <v>5510</v>
      </c>
      <c r="I378" s="13" t="s">
        <v>1905</v>
      </c>
      <c r="J378" s="13" t="s">
        <v>7741</v>
      </c>
      <c r="K378" s="13" t="s">
        <v>5510</v>
      </c>
      <c r="L378" s="13" t="s">
        <v>5510</v>
      </c>
      <c r="M378" s="13" t="s">
        <v>5513</v>
      </c>
      <c r="N378" s="13" t="s">
        <v>5514</v>
      </c>
      <c r="O378" s="13" t="s">
        <v>5510</v>
      </c>
      <c r="P378" s="13" t="s">
        <v>5510</v>
      </c>
      <c r="Q378" s="13" t="s">
        <v>5510</v>
      </c>
      <c r="R378" s="13" t="s">
        <v>5510</v>
      </c>
      <c r="S378" s="13" t="s">
        <v>5510</v>
      </c>
      <c r="T378" s="13" t="s">
        <v>12456</v>
      </c>
      <c r="U378" s="13" t="s">
        <v>12457</v>
      </c>
      <c r="V378" s="13" t="s">
        <v>12458</v>
      </c>
      <c r="W378" s="13" t="s">
        <v>12459</v>
      </c>
      <c r="X378" s="13" t="s">
        <v>12460</v>
      </c>
      <c r="Y378" s="13" t="s">
        <v>12461</v>
      </c>
      <c r="Z378" s="13" t="s">
        <v>12462</v>
      </c>
      <c r="AA378" s="13" t="s">
        <v>12463</v>
      </c>
      <c r="AB378" s="13" t="s">
        <v>12464</v>
      </c>
      <c r="AC378" s="13" t="s">
        <v>12465</v>
      </c>
      <c r="AD378" s="13" t="s">
        <v>12465</v>
      </c>
      <c r="AE378" s="13" t="s">
        <v>12466</v>
      </c>
      <c r="AF378" s="13" t="s">
        <v>5510</v>
      </c>
      <c r="AG378" s="13">
        <v>43.0</v>
      </c>
      <c r="AH378" s="13">
        <v>26.0</v>
      </c>
      <c r="AI378" s="13">
        <v>27.0</v>
      </c>
      <c r="AJ378" s="13">
        <v>1.0</v>
      </c>
      <c r="AK378" s="13">
        <v>58.0</v>
      </c>
      <c r="AL378" s="13" t="s">
        <v>6717</v>
      </c>
      <c r="AM378" s="13" t="s">
        <v>5932</v>
      </c>
      <c r="AN378" s="13" t="s">
        <v>6718</v>
      </c>
      <c r="AO378" s="13" t="s">
        <v>7752</v>
      </c>
      <c r="AP378" s="13" t="s">
        <v>7753</v>
      </c>
      <c r="AQ378" s="13" t="s">
        <v>5510</v>
      </c>
      <c r="AR378" s="13" t="s">
        <v>7754</v>
      </c>
      <c r="AS378" s="13" t="s">
        <v>7755</v>
      </c>
      <c r="AT378" s="13" t="s">
        <v>2514</v>
      </c>
      <c r="AU378" s="13">
        <v>2018.0</v>
      </c>
      <c r="AV378" s="13">
        <v>135.0</v>
      </c>
      <c r="AW378" s="13" t="s">
        <v>5510</v>
      </c>
      <c r="AX378" s="13" t="s">
        <v>5510</v>
      </c>
      <c r="AY378" s="13" t="s">
        <v>5510</v>
      </c>
      <c r="AZ378" s="13" t="s">
        <v>5510</v>
      </c>
      <c r="BA378" s="13" t="s">
        <v>5510</v>
      </c>
      <c r="BB378" s="13">
        <v>1042.0</v>
      </c>
      <c r="BC378" s="13">
        <v>1050.0</v>
      </c>
      <c r="BD378" s="13" t="s">
        <v>5510</v>
      </c>
      <c r="BE378" s="13" t="s">
        <v>12467</v>
      </c>
      <c r="BF378" s="52" t="str">
        <f>HYPERLINK("http://dx.doi.org/10.1016/j.marpolbul.2018.08.042","http://dx.doi.org/10.1016/j.marpolbul.2018.08.042")</f>
        <v>http://dx.doi.org/10.1016/j.marpolbul.2018.08.042</v>
      </c>
      <c r="BG378" s="13" t="s">
        <v>5510</v>
      </c>
      <c r="BH378" s="13" t="s">
        <v>5510</v>
      </c>
      <c r="BI378" s="13">
        <v>9.0</v>
      </c>
      <c r="BJ378" s="13" t="s">
        <v>6327</v>
      </c>
      <c r="BK378" s="13" t="s">
        <v>5561</v>
      </c>
      <c r="BL378" s="13" t="s">
        <v>6328</v>
      </c>
      <c r="BM378" s="13" t="s">
        <v>12468</v>
      </c>
      <c r="BN378" s="13">
        <v>3.0300998E7</v>
      </c>
      <c r="BO378" s="13" t="s">
        <v>5510</v>
      </c>
      <c r="BP378" s="13" t="s">
        <v>5510</v>
      </c>
      <c r="BQ378" s="13" t="s">
        <v>5510</v>
      </c>
      <c r="BR378" s="13" t="s">
        <v>5538</v>
      </c>
      <c r="BS378" s="13" t="s">
        <v>12469</v>
      </c>
      <c r="BT378" s="13">
        <v>23904.0</v>
      </c>
      <c r="BU378" s="13" t="s">
        <v>5540</v>
      </c>
      <c r="BV378" s="13" t="s">
        <v>4864</v>
      </c>
      <c r="BW378" s="13" t="str">
        <f>VLOOKUP($BT378,Enriched!$A$2:$E$1070,5,false)</f>
        <v>["Agriculture &amp; Aquaculture", "Pollution"]</v>
      </c>
      <c r="BX378" s="13" t="str">
        <f>VLOOKUP($BT378,Enriched!$A$2:$E$1070,4,false)</f>
        <v>["Marine &amp; freshwater aquaculture", "Excess energy"]</v>
      </c>
      <c r="BY378" s="13" t="b">
        <f>VLOOKUP(BT378,Enriched!$A$1:$AA$1070,27,falsE)</f>
        <v>0</v>
      </c>
      <c r="BZ378" s="2" t="str">
        <f>VLOOKUP(BT378,Enriched!$A$1:$AA$1070,14,falsE)</f>
        <v>level2</v>
      </c>
      <c r="CA378" s="13" t="str">
        <f>HYPERLINK("https%3A%2F%2Fwww.webofscience.com%2Fwos%2Fwoscc%2Ffull-record%2FWOS:000448094200113","View Full Record in Web of Science")</f>
        <v>View Full Record in Web of Science</v>
      </c>
    </row>
    <row r="379" ht="12.75" customHeight="1">
      <c r="A379" s="13" t="s">
        <v>5508</v>
      </c>
      <c r="B379" s="13" t="s">
        <v>12470</v>
      </c>
      <c r="C379" s="13" t="s">
        <v>5510</v>
      </c>
      <c r="D379" s="13" t="s">
        <v>5510</v>
      </c>
      <c r="E379" s="13" t="s">
        <v>5510</v>
      </c>
      <c r="F379" s="13" t="s">
        <v>12471</v>
      </c>
      <c r="G379" s="13" t="s">
        <v>5510</v>
      </c>
      <c r="H379" s="13" t="s">
        <v>5510</v>
      </c>
      <c r="I379" s="13" t="s">
        <v>1902</v>
      </c>
      <c r="J379" s="13" t="s">
        <v>7857</v>
      </c>
      <c r="K379" s="13" t="s">
        <v>5510</v>
      </c>
      <c r="L379" s="13" t="s">
        <v>5510</v>
      </c>
      <c r="M379" s="13" t="s">
        <v>5513</v>
      </c>
      <c r="N379" s="13" t="s">
        <v>5514</v>
      </c>
      <c r="O379" s="13" t="s">
        <v>5510</v>
      </c>
      <c r="P379" s="13" t="s">
        <v>5510</v>
      </c>
      <c r="Q379" s="13" t="s">
        <v>5510</v>
      </c>
      <c r="R379" s="13" t="s">
        <v>5510</v>
      </c>
      <c r="S379" s="13" t="s">
        <v>5510</v>
      </c>
      <c r="T379" s="13" t="s">
        <v>12472</v>
      </c>
      <c r="U379" s="13" t="s">
        <v>12473</v>
      </c>
      <c r="V379" s="13" t="s">
        <v>12474</v>
      </c>
      <c r="W379" s="13" t="s">
        <v>12475</v>
      </c>
      <c r="X379" s="13" t="s">
        <v>12476</v>
      </c>
      <c r="Y379" s="13" t="s">
        <v>12477</v>
      </c>
      <c r="Z379" s="13" t="s">
        <v>12478</v>
      </c>
      <c r="AA379" s="13" t="s">
        <v>12479</v>
      </c>
      <c r="AB379" s="13" t="s">
        <v>12480</v>
      </c>
      <c r="AC379" s="13" t="s">
        <v>12481</v>
      </c>
      <c r="AD379" s="13" t="s">
        <v>12482</v>
      </c>
      <c r="AE379" s="13" t="s">
        <v>12483</v>
      </c>
      <c r="AF379" s="13" t="s">
        <v>5510</v>
      </c>
      <c r="AG379" s="13">
        <v>119.0</v>
      </c>
      <c r="AH379" s="13">
        <v>72.0</v>
      </c>
      <c r="AI379" s="13">
        <v>75.0</v>
      </c>
      <c r="AJ379" s="13">
        <v>2.0</v>
      </c>
      <c r="AK379" s="13">
        <v>70.0</v>
      </c>
      <c r="AL379" s="13" t="s">
        <v>5527</v>
      </c>
      <c r="AM379" s="13" t="s">
        <v>5528</v>
      </c>
      <c r="AN379" s="13" t="s">
        <v>5529</v>
      </c>
      <c r="AO379" s="13" t="s">
        <v>7870</v>
      </c>
      <c r="AP379" s="13" t="s">
        <v>7871</v>
      </c>
      <c r="AQ379" s="13" t="s">
        <v>5510</v>
      </c>
      <c r="AR379" s="13" t="s">
        <v>7872</v>
      </c>
      <c r="AS379" s="13" t="s">
        <v>7873</v>
      </c>
      <c r="AT379" s="13" t="s">
        <v>5720</v>
      </c>
      <c r="AU379" s="13">
        <v>2020.0</v>
      </c>
      <c r="AV379" s="13">
        <v>26.0</v>
      </c>
      <c r="AW379" s="13">
        <v>6.0</v>
      </c>
      <c r="AX379" s="13" t="s">
        <v>5510</v>
      </c>
      <c r="AY379" s="13" t="s">
        <v>5510</v>
      </c>
      <c r="AZ379" s="13" t="s">
        <v>5510</v>
      </c>
      <c r="BA379" s="13" t="s">
        <v>5510</v>
      </c>
      <c r="BB379" s="13">
        <v>3552.0</v>
      </c>
      <c r="BC379" s="13">
        <v>3568.0</v>
      </c>
      <c r="BD379" s="13" t="s">
        <v>5510</v>
      </c>
      <c r="BE379" s="13" t="s">
        <v>12484</v>
      </c>
      <c r="BF379" s="52" t="str">
        <f>HYPERLINK("http://dx.doi.org/10.1111/gcb.15028","http://dx.doi.org/10.1111/gcb.15028")</f>
        <v>http://dx.doi.org/10.1111/gcb.15028</v>
      </c>
      <c r="BG379" s="13" t="s">
        <v>5510</v>
      </c>
      <c r="BH379" s="13" t="s">
        <v>6462</v>
      </c>
      <c r="BI379" s="13">
        <v>17.0</v>
      </c>
      <c r="BJ379" s="13" t="s">
        <v>5698</v>
      </c>
      <c r="BK379" s="13" t="s">
        <v>5561</v>
      </c>
      <c r="BL379" s="13" t="s">
        <v>5699</v>
      </c>
      <c r="BM379" s="13" t="s">
        <v>12485</v>
      </c>
      <c r="BN379" s="13">
        <v>3.2020698E7</v>
      </c>
      <c r="BO379" s="13" t="s">
        <v>12486</v>
      </c>
      <c r="BP379" s="13" t="s">
        <v>5510</v>
      </c>
      <c r="BQ379" s="13" t="s">
        <v>5510</v>
      </c>
      <c r="BR379" s="13" t="s">
        <v>5538</v>
      </c>
      <c r="BS379" s="13" t="s">
        <v>12487</v>
      </c>
      <c r="BT379" s="13">
        <v>23946.0</v>
      </c>
      <c r="BU379" s="13" t="s">
        <v>5540</v>
      </c>
      <c r="BV379" s="13" t="s">
        <v>4856</v>
      </c>
      <c r="BW379" s="13" t="str">
        <f>VLOOKUP($BT379,Enriched!$A$2:$E$1070,5,false)</f>
        <v>["Agriculture &amp; Aquaculture", "Biological Resource Use", "Natural System Modifications", "Climate Change &amp; Severe Weather"]</v>
      </c>
      <c r="BX379" s="13" t="str">
        <f>VLOOKUP($BT379,Enriched!$A$2:$E$1070,4,false)</f>
        <v>["Annual &amp; perennial non-timber crops", "Gathering terrestrial plants", "Fire &amp; fire suppression", "Habitat shifting &amp; alteration"]</v>
      </c>
      <c r="BY379" s="13" t="b">
        <f>VLOOKUP(BT379,Enriched!$A$1:$AA$1070,27,falsE)</f>
        <v>0</v>
      </c>
      <c r="BZ379" s="2" t="str">
        <f>VLOOKUP(BT379,Enriched!$A$1:$AA$1070,14,falsE)</f>
        <v>level2</v>
      </c>
      <c r="CA379" s="13" t="str">
        <f>HYPERLINK("https%3A%2F%2Fwww.webofscience.com%2Fwos%2Fwoscc%2Ffull-record%2FWOS:000521628000001","View Full Record in Web of Science")</f>
        <v>View Full Record in Web of Science</v>
      </c>
    </row>
    <row r="380" ht="12.75" customHeight="1">
      <c r="A380" s="13" t="s">
        <v>5508</v>
      </c>
      <c r="B380" s="13" t="s">
        <v>12488</v>
      </c>
      <c r="C380" s="13" t="s">
        <v>5510</v>
      </c>
      <c r="D380" s="13" t="s">
        <v>5510</v>
      </c>
      <c r="E380" s="13" t="s">
        <v>5510</v>
      </c>
      <c r="F380" s="13" t="s">
        <v>12489</v>
      </c>
      <c r="G380" s="13" t="s">
        <v>5510</v>
      </c>
      <c r="H380" s="13" t="s">
        <v>5510</v>
      </c>
      <c r="I380" s="13" t="s">
        <v>1899</v>
      </c>
      <c r="J380" s="13" t="s">
        <v>12490</v>
      </c>
      <c r="K380" s="13" t="s">
        <v>5510</v>
      </c>
      <c r="L380" s="13" t="s">
        <v>5510</v>
      </c>
      <c r="M380" s="13" t="s">
        <v>5513</v>
      </c>
      <c r="N380" s="13" t="s">
        <v>5514</v>
      </c>
      <c r="O380" s="13" t="s">
        <v>5510</v>
      </c>
      <c r="P380" s="13" t="s">
        <v>5510</v>
      </c>
      <c r="Q380" s="13" t="s">
        <v>5510</v>
      </c>
      <c r="R380" s="13" t="s">
        <v>5510</v>
      </c>
      <c r="S380" s="13" t="s">
        <v>5510</v>
      </c>
      <c r="T380" s="13" t="s">
        <v>12491</v>
      </c>
      <c r="U380" s="13" t="s">
        <v>12492</v>
      </c>
      <c r="V380" s="13" t="s">
        <v>12493</v>
      </c>
      <c r="W380" s="13" t="s">
        <v>12494</v>
      </c>
      <c r="X380" s="13" t="s">
        <v>12495</v>
      </c>
      <c r="Y380" s="13" t="s">
        <v>12496</v>
      </c>
      <c r="Z380" s="13" t="s">
        <v>12497</v>
      </c>
      <c r="AA380" s="13" t="s">
        <v>8553</v>
      </c>
      <c r="AB380" s="13" t="s">
        <v>12498</v>
      </c>
      <c r="AC380" s="13" t="s">
        <v>12499</v>
      </c>
      <c r="AD380" s="13" t="s">
        <v>12499</v>
      </c>
      <c r="AE380" s="13" t="s">
        <v>12500</v>
      </c>
      <c r="AF380" s="13" t="s">
        <v>5510</v>
      </c>
      <c r="AG380" s="13">
        <v>61.0</v>
      </c>
      <c r="AH380" s="13">
        <v>25.0</v>
      </c>
      <c r="AI380" s="13">
        <v>28.0</v>
      </c>
      <c r="AJ380" s="13">
        <v>1.0</v>
      </c>
      <c r="AK380" s="13">
        <v>100.0</v>
      </c>
      <c r="AL380" s="13" t="s">
        <v>7505</v>
      </c>
      <c r="AM380" s="13" t="s">
        <v>7506</v>
      </c>
      <c r="AN380" s="13" t="s">
        <v>7507</v>
      </c>
      <c r="AO380" s="13" t="s">
        <v>12501</v>
      </c>
      <c r="AP380" s="13" t="s">
        <v>12502</v>
      </c>
      <c r="AQ380" s="13" t="s">
        <v>5510</v>
      </c>
      <c r="AR380" s="13" t="s">
        <v>12503</v>
      </c>
      <c r="AS380" s="13" t="s">
        <v>12504</v>
      </c>
      <c r="AT380" s="13" t="s">
        <v>5582</v>
      </c>
      <c r="AU380" s="13">
        <v>2016.0</v>
      </c>
      <c r="AV380" s="13">
        <v>61.0</v>
      </c>
      <c r="AW380" s="13">
        <v>1.0</v>
      </c>
      <c r="AX380" s="13" t="s">
        <v>5510</v>
      </c>
      <c r="AY380" s="13" t="s">
        <v>5510</v>
      </c>
      <c r="AZ380" s="13" t="s">
        <v>5510</v>
      </c>
      <c r="BA380" s="13" t="s">
        <v>5510</v>
      </c>
      <c r="BB380" s="13">
        <v>1.0</v>
      </c>
      <c r="BC380" s="13">
        <v>11.0</v>
      </c>
      <c r="BD380" s="13" t="s">
        <v>5510</v>
      </c>
      <c r="BE380" s="13" t="s">
        <v>12505</v>
      </c>
      <c r="BF380" s="52" t="str">
        <f>HYPERLINK("http://dx.doi.org/10.1007/s13364-015-0253-x","http://dx.doi.org/10.1007/s13364-015-0253-x")</f>
        <v>http://dx.doi.org/10.1007/s13364-015-0253-x</v>
      </c>
      <c r="BG380" s="13" t="s">
        <v>5510</v>
      </c>
      <c r="BH380" s="13" t="s">
        <v>5510</v>
      </c>
      <c r="BI380" s="13">
        <v>11.0</v>
      </c>
      <c r="BJ380" s="13" t="s">
        <v>6899</v>
      </c>
      <c r="BK380" s="13" t="s">
        <v>5561</v>
      </c>
      <c r="BL380" s="13" t="s">
        <v>6899</v>
      </c>
      <c r="BM380" s="13" t="s">
        <v>12506</v>
      </c>
      <c r="BN380" s="13" t="s">
        <v>5510</v>
      </c>
      <c r="BO380" s="13" t="s">
        <v>5510</v>
      </c>
      <c r="BP380" s="13" t="s">
        <v>5510</v>
      </c>
      <c r="BQ380" s="13" t="s">
        <v>5510</v>
      </c>
      <c r="BR380" s="13" t="s">
        <v>5538</v>
      </c>
      <c r="BS380" s="13" t="s">
        <v>12507</v>
      </c>
      <c r="BT380" s="13">
        <v>24391.0</v>
      </c>
      <c r="BU380" s="13" t="s">
        <v>5540</v>
      </c>
      <c r="BV380" s="13" t="s">
        <v>4856</v>
      </c>
      <c r="BW380" s="13" t="str">
        <f>VLOOKUP($BT380,Enriched!$A$2:$E$1070,5,false)</f>
        <v>["Invasive &amp; other problematic species, genes &amp; diseases"]</v>
      </c>
      <c r="BX380" s="13" t="str">
        <f>VLOOKUP($BT380,Enriched!$A$2:$E$1070,4,false)</f>
        <v>["Invasive non-native/alien species/diseases"]</v>
      </c>
      <c r="BY380" s="13" t="b">
        <f>VLOOKUP(BT380,Enriched!$A$1:$AA$1070,27,falsE)</f>
        <v>0</v>
      </c>
      <c r="BZ380" s="2" t="str">
        <f>VLOOKUP(BT380,Enriched!$A$1:$AA$1070,14,falsE)</f>
        <v>level2</v>
      </c>
      <c r="CA380" s="13" t="str">
        <f>HYPERLINK("https%3A%2F%2Fwww.webofscience.com%2Fwos%2Fwoscc%2Ffull-record%2FWOS:000372879900001","View Full Record in Web of Science")</f>
        <v>View Full Record in Web of Science</v>
      </c>
    </row>
    <row r="381" ht="12.75" customHeight="1">
      <c r="A381" s="13" t="s">
        <v>5508</v>
      </c>
      <c r="B381" s="13" t="s">
        <v>12508</v>
      </c>
      <c r="C381" s="13" t="s">
        <v>5510</v>
      </c>
      <c r="D381" s="13" t="s">
        <v>5510</v>
      </c>
      <c r="E381" s="13" t="s">
        <v>5510</v>
      </c>
      <c r="F381" s="13" t="s">
        <v>12509</v>
      </c>
      <c r="G381" s="13" t="s">
        <v>5510</v>
      </c>
      <c r="H381" s="13" t="s">
        <v>5510</v>
      </c>
      <c r="I381" s="13" t="s">
        <v>12510</v>
      </c>
      <c r="J381" s="13" t="s">
        <v>12511</v>
      </c>
      <c r="K381" s="13" t="s">
        <v>5510</v>
      </c>
      <c r="L381" s="13" t="s">
        <v>5510</v>
      </c>
      <c r="M381" s="13" t="s">
        <v>5513</v>
      </c>
      <c r="N381" s="13" t="s">
        <v>5514</v>
      </c>
      <c r="O381" s="13" t="s">
        <v>5510</v>
      </c>
      <c r="P381" s="13" t="s">
        <v>5510</v>
      </c>
      <c r="Q381" s="13" t="s">
        <v>5510</v>
      </c>
      <c r="R381" s="13" t="s">
        <v>5510</v>
      </c>
      <c r="S381" s="13" t="s">
        <v>5510</v>
      </c>
      <c r="T381" s="13" t="s">
        <v>12512</v>
      </c>
      <c r="U381" s="13" t="s">
        <v>12513</v>
      </c>
      <c r="V381" s="13" t="s">
        <v>12514</v>
      </c>
      <c r="W381" s="13" t="s">
        <v>12515</v>
      </c>
      <c r="X381" s="13" t="s">
        <v>12516</v>
      </c>
      <c r="Y381" s="13" t="s">
        <v>12517</v>
      </c>
      <c r="Z381" s="13" t="s">
        <v>12518</v>
      </c>
      <c r="AA381" s="13" t="s">
        <v>12519</v>
      </c>
      <c r="AB381" s="13" t="s">
        <v>12520</v>
      </c>
      <c r="AC381" s="13" t="s">
        <v>12521</v>
      </c>
      <c r="AD381" s="13" t="s">
        <v>12522</v>
      </c>
      <c r="AE381" s="13" t="s">
        <v>12523</v>
      </c>
      <c r="AF381" s="13" t="s">
        <v>5510</v>
      </c>
      <c r="AG381" s="13">
        <v>53.0</v>
      </c>
      <c r="AH381" s="13">
        <v>11.0</v>
      </c>
      <c r="AI381" s="13">
        <v>13.0</v>
      </c>
      <c r="AJ381" s="13">
        <v>0.0</v>
      </c>
      <c r="AK381" s="13">
        <v>20.0</v>
      </c>
      <c r="AL381" s="13" t="s">
        <v>6849</v>
      </c>
      <c r="AM381" s="13" t="s">
        <v>6850</v>
      </c>
      <c r="AN381" s="13" t="s">
        <v>6851</v>
      </c>
      <c r="AO381" s="13" t="s">
        <v>5510</v>
      </c>
      <c r="AP381" s="13" t="s">
        <v>12524</v>
      </c>
      <c r="AQ381" s="13" t="s">
        <v>5510</v>
      </c>
      <c r="AR381" s="13" t="s">
        <v>12525</v>
      </c>
      <c r="AS381" s="13" t="s">
        <v>805</v>
      </c>
      <c r="AT381" s="13" t="s">
        <v>12526</v>
      </c>
      <c r="AU381" s="13">
        <v>2019.0</v>
      </c>
      <c r="AV381" s="13">
        <v>8.0</v>
      </c>
      <c r="AW381" s="13">
        <v>3.0</v>
      </c>
      <c r="AX381" s="13" t="s">
        <v>5510</v>
      </c>
      <c r="AY381" s="13" t="s">
        <v>5510</v>
      </c>
      <c r="AZ381" s="13" t="s">
        <v>5510</v>
      </c>
      <c r="BA381" s="13" t="s">
        <v>5510</v>
      </c>
      <c r="BB381" s="13" t="s">
        <v>5510</v>
      </c>
      <c r="BC381" s="13" t="s">
        <v>5510</v>
      </c>
      <c r="BD381" s="13">
        <v>51.0</v>
      </c>
      <c r="BE381" s="13" t="s">
        <v>12527</v>
      </c>
      <c r="BF381" s="52" t="str">
        <f>HYPERLINK("http://dx.doi.org/10.3390/land8030051","http://dx.doi.org/10.3390/land8030051")</f>
        <v>http://dx.doi.org/10.3390/land8030051</v>
      </c>
      <c r="BG381" s="13" t="s">
        <v>5510</v>
      </c>
      <c r="BH381" s="13" t="s">
        <v>5510</v>
      </c>
      <c r="BI381" s="13">
        <v>18.0</v>
      </c>
      <c r="BJ381" s="13" t="s">
        <v>12528</v>
      </c>
      <c r="BK381" s="13" t="s">
        <v>8375</v>
      </c>
      <c r="BL381" s="13" t="s">
        <v>5535</v>
      </c>
      <c r="BM381" s="13" t="s">
        <v>12529</v>
      </c>
      <c r="BN381" s="13" t="s">
        <v>5510</v>
      </c>
      <c r="BO381" s="13" t="s">
        <v>5564</v>
      </c>
      <c r="BP381" s="13" t="s">
        <v>5510</v>
      </c>
      <c r="BQ381" s="13" t="s">
        <v>5510</v>
      </c>
      <c r="BR381" s="13" t="s">
        <v>5538</v>
      </c>
      <c r="BS381" s="13" t="s">
        <v>12530</v>
      </c>
      <c r="BT381" s="13">
        <v>24673.0</v>
      </c>
      <c r="BU381" s="13" t="s">
        <v>5540</v>
      </c>
      <c r="BV381" s="13" t="s">
        <v>4856</v>
      </c>
      <c r="BW381" s="13" t="str">
        <f>VLOOKUP($BT381,Enriched!$A$2:$E$1070,5,false)</f>
        <v>["Human Intrusions &amp; Disturbance", "Agriculture &amp; Aquaculture"]</v>
      </c>
      <c r="BX381" s="13" t="str">
        <f>VLOOKUP($BT381,Enriched!$A$2:$E$1070,4,false)</f>
        <v>["Housing &amp; urban area", "Work &amp; other activities", "Wood &amp; pulp plantations", "Annual &amp; perennial non-timber crops"]</v>
      </c>
      <c r="BY381" s="13" t="b">
        <f>VLOOKUP(BT381,Enriched!$A$1:$AA$1070,27,falsE)</f>
        <v>0</v>
      </c>
      <c r="BZ381" s="2" t="str">
        <f>VLOOKUP(BT381,Enriched!$A$1:$AA$1070,14,falsE)</f>
        <v>level2</v>
      </c>
      <c r="CA381" s="13" t="str">
        <f>HYPERLINK("https%3A%2F%2Fwww.webofscience.com%2Fwos%2Fwoscc%2Ffull-record%2FWOS:000464346500001","View Full Record in Web of Science")</f>
        <v>View Full Record in Web of Science</v>
      </c>
    </row>
    <row r="382" ht="12.75" customHeight="1">
      <c r="A382" s="13" t="s">
        <v>5508</v>
      </c>
      <c r="B382" s="13" t="s">
        <v>12531</v>
      </c>
      <c r="C382" s="13" t="s">
        <v>5510</v>
      </c>
      <c r="D382" s="13" t="s">
        <v>5510</v>
      </c>
      <c r="E382" s="13" t="s">
        <v>5510</v>
      </c>
      <c r="F382" s="13" t="s">
        <v>12532</v>
      </c>
      <c r="G382" s="13" t="s">
        <v>5510</v>
      </c>
      <c r="H382" s="13" t="s">
        <v>5510</v>
      </c>
      <c r="I382" s="13" t="s">
        <v>1895</v>
      </c>
      <c r="J382" s="13" t="s">
        <v>5746</v>
      </c>
      <c r="K382" s="13" t="s">
        <v>5510</v>
      </c>
      <c r="L382" s="13" t="s">
        <v>5510</v>
      </c>
      <c r="M382" s="13" t="s">
        <v>5513</v>
      </c>
      <c r="N382" s="13" t="s">
        <v>5514</v>
      </c>
      <c r="O382" s="13" t="s">
        <v>5510</v>
      </c>
      <c r="P382" s="13" t="s">
        <v>5510</v>
      </c>
      <c r="Q382" s="13" t="s">
        <v>5510</v>
      </c>
      <c r="R382" s="13" t="s">
        <v>5510</v>
      </c>
      <c r="S382" s="13" t="s">
        <v>5510</v>
      </c>
      <c r="T382" s="13" t="s">
        <v>12533</v>
      </c>
      <c r="U382" s="13" t="s">
        <v>12534</v>
      </c>
      <c r="V382" s="13" t="s">
        <v>12535</v>
      </c>
      <c r="W382" s="13" t="s">
        <v>12536</v>
      </c>
      <c r="X382" s="13" t="s">
        <v>12537</v>
      </c>
      <c r="Y382" s="13" t="s">
        <v>12538</v>
      </c>
      <c r="Z382" s="13" t="s">
        <v>12539</v>
      </c>
      <c r="AA382" s="13" t="s">
        <v>12540</v>
      </c>
      <c r="AB382" s="13" t="s">
        <v>12541</v>
      </c>
      <c r="AC382" s="13" t="s">
        <v>12542</v>
      </c>
      <c r="AD382" s="13" t="s">
        <v>12543</v>
      </c>
      <c r="AE382" s="13" t="s">
        <v>12544</v>
      </c>
      <c r="AF382" s="13" t="s">
        <v>5510</v>
      </c>
      <c r="AG382" s="13">
        <v>52.0</v>
      </c>
      <c r="AH382" s="13">
        <v>9.0</v>
      </c>
      <c r="AI382" s="13">
        <v>11.0</v>
      </c>
      <c r="AJ382" s="13">
        <v>0.0</v>
      </c>
      <c r="AK382" s="13">
        <v>15.0</v>
      </c>
      <c r="AL382" s="13" t="s">
        <v>5759</v>
      </c>
      <c r="AM382" s="13" t="s">
        <v>5760</v>
      </c>
      <c r="AN382" s="13" t="s">
        <v>5761</v>
      </c>
      <c r="AO382" s="13" t="s">
        <v>5762</v>
      </c>
      <c r="AP382" s="13" t="s">
        <v>5763</v>
      </c>
      <c r="AQ382" s="13" t="s">
        <v>5510</v>
      </c>
      <c r="AR382" s="13" t="s">
        <v>5764</v>
      </c>
      <c r="AS382" s="13" t="s">
        <v>5765</v>
      </c>
      <c r="AT382" s="13" t="s">
        <v>12545</v>
      </c>
      <c r="AU382" s="13">
        <v>2020.0</v>
      </c>
      <c r="AV382" s="13">
        <v>715.0</v>
      </c>
      <c r="AW382" s="13" t="s">
        <v>5510</v>
      </c>
      <c r="AX382" s="13" t="s">
        <v>5510</v>
      </c>
      <c r="AY382" s="13" t="s">
        <v>5510</v>
      </c>
      <c r="AZ382" s="13" t="s">
        <v>5510</v>
      </c>
      <c r="BA382" s="13" t="s">
        <v>5510</v>
      </c>
      <c r="BB382" s="13" t="s">
        <v>5510</v>
      </c>
      <c r="BC382" s="13" t="s">
        <v>5510</v>
      </c>
      <c r="BD382" s="13">
        <v>136863.0</v>
      </c>
      <c r="BE382" s="13" t="s">
        <v>12546</v>
      </c>
      <c r="BF382" s="52" t="str">
        <f>HYPERLINK("http://dx.doi.org/10.1016/j.scitotenv.2020.136863","http://dx.doi.org/10.1016/j.scitotenv.2020.136863")</f>
        <v>http://dx.doi.org/10.1016/j.scitotenv.2020.136863</v>
      </c>
      <c r="BG382" s="13" t="s">
        <v>5510</v>
      </c>
      <c r="BH382" s="13" t="s">
        <v>5510</v>
      </c>
      <c r="BI382" s="13">
        <v>13.0</v>
      </c>
      <c r="BJ382" s="13" t="s">
        <v>5768</v>
      </c>
      <c r="BK382" s="13" t="s">
        <v>5534</v>
      </c>
      <c r="BL382" s="13" t="s">
        <v>5535</v>
      </c>
      <c r="BM382" s="13" t="s">
        <v>12547</v>
      </c>
      <c r="BN382" s="13">
        <v>3.2018101E7</v>
      </c>
      <c r="BO382" s="13" t="s">
        <v>5510</v>
      </c>
      <c r="BP382" s="13" t="s">
        <v>5510</v>
      </c>
      <c r="BQ382" s="13" t="s">
        <v>5510</v>
      </c>
      <c r="BR382" s="13" t="s">
        <v>5538</v>
      </c>
      <c r="BS382" s="13" t="s">
        <v>12548</v>
      </c>
      <c r="BT382" s="13">
        <v>23889.0</v>
      </c>
      <c r="BU382" s="13" t="s">
        <v>5540</v>
      </c>
      <c r="BV382" s="13" t="s">
        <v>4864</v>
      </c>
      <c r="BW382" s="13" t="str">
        <f>VLOOKUP($BT382,Enriched!$A$2:$E$1070,5,false)</f>
        <v>["Agriculture &amp; Aquaculture", "Pollution", "Invasive &amp; Other Problematic Species, Genes &amp; Diseases", "Energy Production &amp; Mining", "Residential &amp; Commercial Development"]</v>
      </c>
      <c r="BX382" s="13" t="str">
        <f>VLOOKUP($BT382,Enriched!$A$2:$E$1070,4,false)</f>
        <v>["Marine &amp; freshwater aquaculture", "Agricultural &amp; forestry effluents", "Garbage &amp; solid waste", "Invasive non-native/alien species/diseases", "Renewable energy", "Tourism &amp; recreation areas"]</v>
      </c>
      <c r="BY382" s="13" t="b">
        <f>VLOOKUP(BT382,Enriched!$A$1:$AA$1070,27,falsE)</f>
        <v>1</v>
      </c>
      <c r="BZ382" s="2" t="str">
        <f>VLOOKUP(BT382,Enriched!$A$1:$AA$1070,14,falsE)</f>
        <v>level2</v>
      </c>
      <c r="CA382" s="13" t="str">
        <f>HYPERLINK("https%3A%2F%2Fwww.webofscience.com%2Fwos%2Fwoscc%2Ffull-record%2FWOS:000518409900084","View Full Record in Web of Science")</f>
        <v>View Full Record in Web of Science</v>
      </c>
    </row>
    <row r="383" ht="12.75" customHeight="1">
      <c r="A383" s="13" t="s">
        <v>5508</v>
      </c>
      <c r="B383" s="13" t="s">
        <v>12549</v>
      </c>
      <c r="C383" s="13" t="s">
        <v>5510</v>
      </c>
      <c r="D383" s="13" t="s">
        <v>5510</v>
      </c>
      <c r="E383" s="13" t="s">
        <v>5510</v>
      </c>
      <c r="F383" s="13" t="s">
        <v>12550</v>
      </c>
      <c r="G383" s="13" t="s">
        <v>5510</v>
      </c>
      <c r="H383" s="13" t="s">
        <v>5510</v>
      </c>
      <c r="I383" s="13" t="s">
        <v>1893</v>
      </c>
      <c r="J383" s="13" t="s">
        <v>5746</v>
      </c>
      <c r="K383" s="13" t="s">
        <v>5510</v>
      </c>
      <c r="L383" s="13" t="s">
        <v>5510</v>
      </c>
      <c r="M383" s="13" t="s">
        <v>5513</v>
      </c>
      <c r="N383" s="13" t="s">
        <v>5514</v>
      </c>
      <c r="O383" s="13" t="s">
        <v>5510</v>
      </c>
      <c r="P383" s="13" t="s">
        <v>5510</v>
      </c>
      <c r="Q383" s="13" t="s">
        <v>5510</v>
      </c>
      <c r="R383" s="13" t="s">
        <v>5510</v>
      </c>
      <c r="S383" s="13" t="s">
        <v>5510</v>
      </c>
      <c r="T383" s="13" t="s">
        <v>12551</v>
      </c>
      <c r="U383" s="13" t="s">
        <v>12552</v>
      </c>
      <c r="V383" s="13" t="s">
        <v>12553</v>
      </c>
      <c r="W383" s="13" t="s">
        <v>12554</v>
      </c>
      <c r="X383" s="13" t="s">
        <v>12555</v>
      </c>
      <c r="Y383" s="13" t="s">
        <v>12556</v>
      </c>
      <c r="Z383" s="13" t="s">
        <v>12557</v>
      </c>
      <c r="AA383" s="13" t="s">
        <v>12558</v>
      </c>
      <c r="AB383" s="13" t="s">
        <v>12559</v>
      </c>
      <c r="AC383" s="13" t="s">
        <v>12560</v>
      </c>
      <c r="AD383" s="13" t="s">
        <v>12561</v>
      </c>
      <c r="AE383" s="13" t="s">
        <v>12562</v>
      </c>
      <c r="AF383" s="13" t="s">
        <v>5510</v>
      </c>
      <c r="AG383" s="13">
        <v>67.0</v>
      </c>
      <c r="AH383" s="13">
        <v>44.0</v>
      </c>
      <c r="AI383" s="13">
        <v>48.0</v>
      </c>
      <c r="AJ383" s="13">
        <v>4.0</v>
      </c>
      <c r="AK383" s="13">
        <v>79.0</v>
      </c>
      <c r="AL383" s="13" t="s">
        <v>5759</v>
      </c>
      <c r="AM383" s="13" t="s">
        <v>5760</v>
      </c>
      <c r="AN383" s="13" t="s">
        <v>5761</v>
      </c>
      <c r="AO383" s="13" t="s">
        <v>5762</v>
      </c>
      <c r="AP383" s="13" t="s">
        <v>5763</v>
      </c>
      <c r="AQ383" s="13" t="s">
        <v>5510</v>
      </c>
      <c r="AR383" s="13" t="s">
        <v>5764</v>
      </c>
      <c r="AS383" s="13" t="s">
        <v>5765</v>
      </c>
      <c r="AT383" s="13" t="s">
        <v>7093</v>
      </c>
      <c r="AU383" s="13">
        <v>2019.0</v>
      </c>
      <c r="AV383" s="13">
        <v>691.0</v>
      </c>
      <c r="AW383" s="13" t="s">
        <v>5510</v>
      </c>
      <c r="AX383" s="13" t="s">
        <v>5510</v>
      </c>
      <c r="AY383" s="13" t="s">
        <v>5510</v>
      </c>
      <c r="AZ383" s="13" t="s">
        <v>5510</v>
      </c>
      <c r="BA383" s="13" t="s">
        <v>5510</v>
      </c>
      <c r="BB383" s="13">
        <v>760.0</v>
      </c>
      <c r="BC383" s="13">
        <v>768.0</v>
      </c>
      <c r="BD383" s="13" t="s">
        <v>5510</v>
      </c>
      <c r="BE383" s="13" t="s">
        <v>12563</v>
      </c>
      <c r="BF383" s="52" t="str">
        <f>HYPERLINK("http://dx.doi.org/10.1016/j.scitotenv.2019.07.156","http://dx.doi.org/10.1016/j.scitotenv.2019.07.156")</f>
        <v>http://dx.doi.org/10.1016/j.scitotenv.2019.07.156</v>
      </c>
      <c r="BG383" s="13" t="s">
        <v>5510</v>
      </c>
      <c r="BH383" s="13" t="s">
        <v>5510</v>
      </c>
      <c r="BI383" s="13">
        <v>9.0</v>
      </c>
      <c r="BJ383" s="13" t="s">
        <v>5768</v>
      </c>
      <c r="BK383" s="13" t="s">
        <v>5561</v>
      </c>
      <c r="BL383" s="13" t="s">
        <v>5535</v>
      </c>
      <c r="BM383" s="13" t="s">
        <v>12564</v>
      </c>
      <c r="BN383" s="13">
        <v>3.1326799E7</v>
      </c>
      <c r="BO383" s="13" t="s">
        <v>6586</v>
      </c>
      <c r="BP383" s="13" t="s">
        <v>5510</v>
      </c>
      <c r="BQ383" s="13" t="s">
        <v>5510</v>
      </c>
      <c r="BR383" s="13" t="s">
        <v>5538</v>
      </c>
      <c r="BS383" s="13" t="s">
        <v>12565</v>
      </c>
      <c r="BT383" s="13">
        <v>24001.0</v>
      </c>
      <c r="BU383" s="13" t="s">
        <v>5540</v>
      </c>
      <c r="BV383" s="13" t="s">
        <v>4855</v>
      </c>
      <c r="BW383" s="13" t="str">
        <f>VLOOKUP($BT383,Enriched!$A$2:$E$1070,5,false)</f>
        <v>["Pollution"]</v>
      </c>
      <c r="BX383" s="13" t="str">
        <f>VLOOKUP($BT383,Enriched!$A$2:$E$1070,4,false)</f>
        <v>["Excess energy"]</v>
      </c>
      <c r="BY383" s="13" t="b">
        <f>VLOOKUP(BT383,Enriched!$A$1:$AA$1070,27,falsE)</f>
        <v>0</v>
      </c>
      <c r="BZ383" s="2" t="str">
        <f>VLOOKUP(BT383,Enriched!$A$1:$AA$1070,14,falsE)</f>
        <v>level2</v>
      </c>
      <c r="CA383" s="13" t="str">
        <f>HYPERLINK("https%3A%2F%2Fwww.webofscience.com%2Fwos%2Fwoscc%2Ffull-record%2FWOS:000504009600072","View Full Record in Web of Science")</f>
        <v>View Full Record in Web of Science</v>
      </c>
    </row>
    <row r="384" ht="12.75" customHeight="1">
      <c r="A384" s="13" t="s">
        <v>5508</v>
      </c>
      <c r="B384" s="13" t="s">
        <v>12566</v>
      </c>
      <c r="C384" s="13" t="s">
        <v>5510</v>
      </c>
      <c r="D384" s="13" t="s">
        <v>5510</v>
      </c>
      <c r="E384" s="13" t="s">
        <v>5510</v>
      </c>
      <c r="F384" s="13" t="s">
        <v>12567</v>
      </c>
      <c r="G384" s="13" t="s">
        <v>5510</v>
      </c>
      <c r="H384" s="13" t="s">
        <v>5510</v>
      </c>
      <c r="I384" s="13" t="s">
        <v>1890</v>
      </c>
      <c r="J384" s="13" t="s">
        <v>6407</v>
      </c>
      <c r="K384" s="13" t="s">
        <v>5510</v>
      </c>
      <c r="L384" s="13" t="s">
        <v>5510</v>
      </c>
      <c r="M384" s="13" t="s">
        <v>5513</v>
      </c>
      <c r="N384" s="13" t="s">
        <v>5514</v>
      </c>
      <c r="O384" s="13" t="s">
        <v>5510</v>
      </c>
      <c r="P384" s="13" t="s">
        <v>5510</v>
      </c>
      <c r="Q384" s="13" t="s">
        <v>5510</v>
      </c>
      <c r="R384" s="13" t="s">
        <v>5510</v>
      </c>
      <c r="S384" s="13" t="s">
        <v>5510</v>
      </c>
      <c r="T384" s="13" t="s">
        <v>12568</v>
      </c>
      <c r="U384" s="13" t="s">
        <v>12569</v>
      </c>
      <c r="V384" s="13" t="s">
        <v>12570</v>
      </c>
      <c r="W384" s="13" t="s">
        <v>12571</v>
      </c>
      <c r="X384" s="13" t="s">
        <v>12572</v>
      </c>
      <c r="Y384" s="13" t="s">
        <v>12573</v>
      </c>
      <c r="Z384" s="13" t="s">
        <v>12574</v>
      </c>
      <c r="AA384" s="13" t="s">
        <v>12575</v>
      </c>
      <c r="AB384" s="13" t="s">
        <v>12576</v>
      </c>
      <c r="AC384" s="13" t="s">
        <v>12577</v>
      </c>
      <c r="AD384" s="13" t="s">
        <v>12578</v>
      </c>
      <c r="AE384" s="13" t="s">
        <v>12579</v>
      </c>
      <c r="AF384" s="13" t="s">
        <v>5510</v>
      </c>
      <c r="AG384" s="13">
        <v>47.0</v>
      </c>
      <c r="AH384" s="13">
        <v>11.0</v>
      </c>
      <c r="AI384" s="13">
        <v>13.0</v>
      </c>
      <c r="AJ384" s="13">
        <v>0.0</v>
      </c>
      <c r="AK384" s="13">
        <v>46.0</v>
      </c>
      <c r="AL384" s="13" t="s">
        <v>7714</v>
      </c>
      <c r="AM384" s="13" t="s">
        <v>5760</v>
      </c>
      <c r="AN384" s="13" t="s">
        <v>7715</v>
      </c>
      <c r="AO384" s="13" t="s">
        <v>6417</v>
      </c>
      <c r="AP384" s="13" t="s">
        <v>6418</v>
      </c>
      <c r="AQ384" s="13" t="s">
        <v>5510</v>
      </c>
      <c r="AR384" s="13" t="s">
        <v>6419</v>
      </c>
      <c r="AS384" s="13" t="s">
        <v>6420</v>
      </c>
      <c r="AT384" s="13" t="s">
        <v>1453</v>
      </c>
      <c r="AU384" s="13">
        <v>2016.0</v>
      </c>
      <c r="AV384" s="13">
        <v>70.0</v>
      </c>
      <c r="AW384" s="13" t="s">
        <v>5510</v>
      </c>
      <c r="AX384" s="13" t="s">
        <v>5510</v>
      </c>
      <c r="AY384" s="13" t="s">
        <v>5510</v>
      </c>
      <c r="AZ384" s="13" t="s">
        <v>5646</v>
      </c>
      <c r="BA384" s="13" t="s">
        <v>5510</v>
      </c>
      <c r="BB384" s="13">
        <v>209.0</v>
      </c>
      <c r="BC384" s="13">
        <v>221.0</v>
      </c>
      <c r="BD384" s="13" t="s">
        <v>5510</v>
      </c>
      <c r="BE384" s="13" t="s">
        <v>12580</v>
      </c>
      <c r="BF384" s="52" t="str">
        <f>HYPERLINK("http://dx.doi.org/10.1016/j.ecolind.2016.03.055","http://dx.doi.org/10.1016/j.ecolind.2016.03.055")</f>
        <v>http://dx.doi.org/10.1016/j.ecolind.2016.03.055</v>
      </c>
      <c r="BG384" s="13" t="s">
        <v>5510</v>
      </c>
      <c r="BH384" s="13" t="s">
        <v>5510</v>
      </c>
      <c r="BI384" s="13">
        <v>13.0</v>
      </c>
      <c r="BJ384" s="13" t="s">
        <v>6422</v>
      </c>
      <c r="BK384" s="13" t="s">
        <v>5561</v>
      </c>
      <c r="BL384" s="13" t="s">
        <v>5699</v>
      </c>
      <c r="BM384" s="13" t="s">
        <v>12581</v>
      </c>
      <c r="BN384" s="13" t="s">
        <v>5510</v>
      </c>
      <c r="BO384" s="13" t="s">
        <v>5510</v>
      </c>
      <c r="BP384" s="13" t="s">
        <v>5510</v>
      </c>
      <c r="BQ384" s="13" t="s">
        <v>5510</v>
      </c>
      <c r="BR384" s="13" t="s">
        <v>5538</v>
      </c>
      <c r="BS384" s="13" t="s">
        <v>12582</v>
      </c>
      <c r="BT384" s="13">
        <v>24930.0</v>
      </c>
      <c r="BU384" s="13" t="s">
        <v>5540</v>
      </c>
      <c r="BV384" s="13" t="s">
        <v>4852</v>
      </c>
      <c r="BW384" s="13" t="str">
        <f>VLOOKUP($BT384,Enriched!$A$2:$E$1070,5,false)</f>
        <v>["Pollution"]</v>
      </c>
      <c r="BX384" s="13" t="str">
        <f>VLOOKUP($BT384,Enriched!$A$2:$E$1070,4,false)</f>
        <v>["Agricultural &amp; forestry effluents"]</v>
      </c>
      <c r="BY384" s="13" t="b">
        <f>VLOOKUP(BT384,Enriched!$A$1:$AA$1070,27,falsE)</f>
        <v>0</v>
      </c>
      <c r="BZ384" s="2" t="str">
        <f>VLOOKUP(BT384,Enriched!$A$1:$AA$1070,14,falsE)</f>
        <v>level2</v>
      </c>
      <c r="CA384" s="13" t="str">
        <f>HYPERLINK("https%3A%2F%2Fwww.webofscience.com%2Fwos%2Fwoscc%2Ffull-record%2FWOS:000388785200019","View Full Record in Web of Science")</f>
        <v>View Full Record in Web of Science</v>
      </c>
    </row>
    <row r="385" ht="12.75" customHeight="1">
      <c r="A385" s="13" t="s">
        <v>5508</v>
      </c>
      <c r="B385" s="13" t="s">
        <v>12583</v>
      </c>
      <c r="C385" s="13" t="s">
        <v>5510</v>
      </c>
      <c r="D385" s="13" t="s">
        <v>5510</v>
      </c>
      <c r="E385" s="13" t="s">
        <v>5510</v>
      </c>
      <c r="F385" s="13" t="s">
        <v>12584</v>
      </c>
      <c r="G385" s="13" t="s">
        <v>5510</v>
      </c>
      <c r="H385" s="13" t="s">
        <v>5510</v>
      </c>
      <c r="I385" s="13" t="s">
        <v>1887</v>
      </c>
      <c r="J385" s="13" t="s">
        <v>5919</v>
      </c>
      <c r="K385" s="13" t="s">
        <v>5510</v>
      </c>
      <c r="L385" s="13" t="s">
        <v>5510</v>
      </c>
      <c r="M385" s="13" t="s">
        <v>5513</v>
      </c>
      <c r="N385" s="13" t="s">
        <v>5514</v>
      </c>
      <c r="O385" s="13" t="s">
        <v>5510</v>
      </c>
      <c r="P385" s="13" t="s">
        <v>5510</v>
      </c>
      <c r="Q385" s="13" t="s">
        <v>5510</v>
      </c>
      <c r="R385" s="13" t="s">
        <v>5510</v>
      </c>
      <c r="S385" s="13" t="s">
        <v>5510</v>
      </c>
      <c r="T385" s="13" t="s">
        <v>12585</v>
      </c>
      <c r="U385" s="13" t="s">
        <v>12586</v>
      </c>
      <c r="V385" s="13" t="s">
        <v>12587</v>
      </c>
      <c r="W385" s="13" t="s">
        <v>12588</v>
      </c>
      <c r="X385" s="13" t="s">
        <v>12589</v>
      </c>
      <c r="Y385" s="13" t="s">
        <v>12590</v>
      </c>
      <c r="Z385" s="13" t="s">
        <v>12591</v>
      </c>
      <c r="AA385" s="13" t="s">
        <v>12592</v>
      </c>
      <c r="AB385" s="13" t="s">
        <v>12593</v>
      </c>
      <c r="AC385" s="13" t="s">
        <v>12594</v>
      </c>
      <c r="AD385" s="13" t="s">
        <v>12595</v>
      </c>
      <c r="AE385" s="13" t="s">
        <v>12596</v>
      </c>
      <c r="AF385" s="13" t="s">
        <v>5510</v>
      </c>
      <c r="AG385" s="13">
        <v>52.0</v>
      </c>
      <c r="AH385" s="13">
        <v>46.0</v>
      </c>
      <c r="AI385" s="13">
        <v>50.0</v>
      </c>
      <c r="AJ385" s="13">
        <v>2.0</v>
      </c>
      <c r="AK385" s="13">
        <v>69.0</v>
      </c>
      <c r="AL385" s="13" t="s">
        <v>5931</v>
      </c>
      <c r="AM385" s="13" t="s">
        <v>5932</v>
      </c>
      <c r="AN385" s="13" t="s">
        <v>5933</v>
      </c>
      <c r="AO385" s="13" t="s">
        <v>5934</v>
      </c>
      <c r="AP385" s="13" t="s">
        <v>5935</v>
      </c>
      <c r="AQ385" s="13" t="s">
        <v>5510</v>
      </c>
      <c r="AR385" s="13" t="s">
        <v>5936</v>
      </c>
      <c r="AS385" s="13" t="s">
        <v>5937</v>
      </c>
      <c r="AT385" s="13" t="s">
        <v>5866</v>
      </c>
      <c r="AU385" s="13">
        <v>2011.0</v>
      </c>
      <c r="AV385" s="13">
        <v>144.0</v>
      </c>
      <c r="AW385" s="13">
        <v>5.0</v>
      </c>
      <c r="AX385" s="13" t="s">
        <v>5510</v>
      </c>
      <c r="AY385" s="13" t="s">
        <v>5510</v>
      </c>
      <c r="AZ385" s="13" t="s">
        <v>5510</v>
      </c>
      <c r="BA385" s="13" t="s">
        <v>5510</v>
      </c>
      <c r="BB385" s="13">
        <v>1758.0</v>
      </c>
      <c r="BC385" s="13">
        <v>1766.0</v>
      </c>
      <c r="BD385" s="13" t="s">
        <v>5510</v>
      </c>
      <c r="BE385" s="13" t="s">
        <v>12597</v>
      </c>
      <c r="BF385" s="52" t="str">
        <f>HYPERLINK("http://dx.doi.org/10.1016/j.biocon.2011.02.024","http://dx.doi.org/10.1016/j.biocon.2011.02.024")</f>
        <v>http://dx.doi.org/10.1016/j.biocon.2011.02.024</v>
      </c>
      <c r="BG385" s="13" t="s">
        <v>5510</v>
      </c>
      <c r="BH385" s="13" t="s">
        <v>5510</v>
      </c>
      <c r="BI385" s="13">
        <v>9.0</v>
      </c>
      <c r="BJ385" s="13" t="s">
        <v>5698</v>
      </c>
      <c r="BK385" s="13" t="s">
        <v>5561</v>
      </c>
      <c r="BL385" s="13" t="s">
        <v>5699</v>
      </c>
      <c r="BM385" s="13" t="s">
        <v>12598</v>
      </c>
      <c r="BN385" s="13" t="s">
        <v>5510</v>
      </c>
      <c r="BO385" s="13" t="s">
        <v>5510</v>
      </c>
      <c r="BP385" s="13" t="s">
        <v>5510</v>
      </c>
      <c r="BQ385" s="13" t="s">
        <v>5510</v>
      </c>
      <c r="BR385" s="13" t="s">
        <v>5538</v>
      </c>
      <c r="BS385" s="13" t="s">
        <v>12599</v>
      </c>
      <c r="BT385" s="13">
        <v>25806.0</v>
      </c>
      <c r="BU385" s="13" t="s">
        <v>5540</v>
      </c>
      <c r="BV385" s="13" t="s">
        <v>4864</v>
      </c>
      <c r="BW385" s="13" t="str">
        <f>VLOOKUP($BT385,Enriched!$A$2:$E$1070,5,false)</f>
        <v>["Biological Resource Use", "Climate Change &amp; Severe Weather"]</v>
      </c>
      <c r="BX385" s="13" t="str">
        <f>VLOOKUP($BT385,Enriched!$A$2:$E$1070,4,false)</f>
        <v>["Fishing &amp; harvesting aquatic resources", "Habitat shifting &amp; alteration"]</v>
      </c>
      <c r="BY385" s="13" t="b">
        <f>VLOOKUP(BT385,Enriched!$A$1:$AA$1070,27,falsE)</f>
        <v>0</v>
      </c>
      <c r="BZ385" s="2" t="str">
        <f>VLOOKUP(BT385,Enriched!$A$1:$AA$1070,14,falsE)</f>
        <v>level2</v>
      </c>
      <c r="CA385" s="13" t="str">
        <f>HYPERLINK("https%3A%2F%2Fwww.webofscience.com%2Fwos%2Fwoscc%2Ffull-record%2FWOS:000292668200061","View Full Record in Web of Science")</f>
        <v>View Full Record in Web of Science</v>
      </c>
    </row>
    <row r="386" ht="12.75" customHeight="1">
      <c r="A386" s="13" t="s">
        <v>5508</v>
      </c>
      <c r="B386" s="13" t="s">
        <v>12600</v>
      </c>
      <c r="C386" s="13" t="s">
        <v>5510</v>
      </c>
      <c r="D386" s="13" t="s">
        <v>5510</v>
      </c>
      <c r="E386" s="13" t="s">
        <v>5510</v>
      </c>
      <c r="F386" s="13" t="s">
        <v>12601</v>
      </c>
      <c r="G386" s="13" t="s">
        <v>5510</v>
      </c>
      <c r="H386" s="13" t="s">
        <v>5510</v>
      </c>
      <c r="I386" s="13" t="s">
        <v>1886</v>
      </c>
      <c r="J386" s="13" t="s">
        <v>5543</v>
      </c>
      <c r="K386" s="13" t="s">
        <v>5510</v>
      </c>
      <c r="L386" s="13" t="s">
        <v>5510</v>
      </c>
      <c r="M386" s="13" t="s">
        <v>5513</v>
      </c>
      <c r="N386" s="13" t="s">
        <v>5514</v>
      </c>
      <c r="O386" s="13" t="s">
        <v>5510</v>
      </c>
      <c r="P386" s="13" t="s">
        <v>5510</v>
      </c>
      <c r="Q386" s="13" t="s">
        <v>5510</v>
      </c>
      <c r="R386" s="13" t="s">
        <v>5510</v>
      </c>
      <c r="S386" s="13" t="s">
        <v>5510</v>
      </c>
      <c r="T386" s="13" t="s">
        <v>5510</v>
      </c>
      <c r="U386" s="13" t="s">
        <v>12602</v>
      </c>
      <c r="V386" s="13" t="s">
        <v>12603</v>
      </c>
      <c r="W386" s="13" t="s">
        <v>12604</v>
      </c>
      <c r="X386" s="13" t="s">
        <v>12605</v>
      </c>
      <c r="Y386" s="13" t="s">
        <v>12606</v>
      </c>
      <c r="Z386" s="13" t="s">
        <v>12607</v>
      </c>
      <c r="AA386" s="13" t="s">
        <v>12608</v>
      </c>
      <c r="AB386" s="13" t="s">
        <v>12609</v>
      </c>
      <c r="AC386" s="13" t="s">
        <v>12610</v>
      </c>
      <c r="AD386" s="13" t="s">
        <v>12611</v>
      </c>
      <c r="AE386" s="13" t="s">
        <v>12612</v>
      </c>
      <c r="AF386" s="13" t="s">
        <v>5510</v>
      </c>
      <c r="AG386" s="13">
        <v>57.0</v>
      </c>
      <c r="AH386" s="13">
        <v>3.0</v>
      </c>
      <c r="AI386" s="13">
        <v>4.0</v>
      </c>
      <c r="AJ386" s="13">
        <v>0.0</v>
      </c>
      <c r="AK386" s="13">
        <v>17.0</v>
      </c>
      <c r="AL386" s="13" t="s">
        <v>5552</v>
      </c>
      <c r="AM386" s="13" t="s">
        <v>5553</v>
      </c>
      <c r="AN386" s="13" t="s">
        <v>5554</v>
      </c>
      <c r="AO386" s="13" t="s">
        <v>5555</v>
      </c>
      <c r="AP386" s="13" t="s">
        <v>5510</v>
      </c>
      <c r="AQ386" s="13" t="s">
        <v>5510</v>
      </c>
      <c r="AR386" s="13" t="s">
        <v>5543</v>
      </c>
      <c r="AS386" s="13" t="s">
        <v>5556</v>
      </c>
      <c r="AT386" s="13" t="s">
        <v>12613</v>
      </c>
      <c r="AU386" s="13">
        <v>2018.0</v>
      </c>
      <c r="AV386" s="13">
        <v>13.0</v>
      </c>
      <c r="AW386" s="13">
        <v>6.0</v>
      </c>
      <c r="AX386" s="13" t="s">
        <v>5510</v>
      </c>
      <c r="AY386" s="13" t="s">
        <v>5510</v>
      </c>
      <c r="AZ386" s="13" t="s">
        <v>5510</v>
      </c>
      <c r="BA386" s="13" t="s">
        <v>5510</v>
      </c>
      <c r="BB386" s="13" t="s">
        <v>5510</v>
      </c>
      <c r="BC386" s="13" t="s">
        <v>5510</v>
      </c>
      <c r="BD386" s="13" t="s">
        <v>12614</v>
      </c>
      <c r="BE386" s="13" t="s">
        <v>12615</v>
      </c>
      <c r="BF386" s="52" t="str">
        <f>HYPERLINK("http://dx.doi.org/10.1371/journal.pone.0198955","http://dx.doi.org/10.1371/journal.pone.0198955")</f>
        <v>http://dx.doi.org/10.1371/journal.pone.0198955</v>
      </c>
      <c r="BG386" s="13" t="s">
        <v>5510</v>
      </c>
      <c r="BH386" s="13" t="s">
        <v>5510</v>
      </c>
      <c r="BI386" s="13">
        <v>19.0</v>
      </c>
      <c r="BJ386" s="13" t="s">
        <v>5560</v>
      </c>
      <c r="BK386" s="13" t="s">
        <v>5561</v>
      </c>
      <c r="BL386" s="13" t="s">
        <v>5562</v>
      </c>
      <c r="BM386" s="13" t="s">
        <v>12616</v>
      </c>
      <c r="BN386" s="13">
        <v>2.9927996E7</v>
      </c>
      <c r="BO386" s="13" t="s">
        <v>5564</v>
      </c>
      <c r="BP386" s="13" t="s">
        <v>5510</v>
      </c>
      <c r="BQ386" s="13" t="s">
        <v>5510</v>
      </c>
      <c r="BR386" s="13" t="s">
        <v>5538</v>
      </c>
      <c r="BS386" s="13" t="s">
        <v>12617</v>
      </c>
      <c r="BT386" s="13">
        <v>25162.0</v>
      </c>
      <c r="BU386" s="13" t="s">
        <v>5540</v>
      </c>
      <c r="BV386" s="13" t="s">
        <v>4856</v>
      </c>
      <c r="BW386" s="13" t="str">
        <f>VLOOKUP($BT386,Enriched!$A$2:$E$1070,5,false)</f>
        <v>["Pollution"]</v>
      </c>
      <c r="BX386" s="13" t="str">
        <f>VLOOKUP($BT386,Enriched!$A$2:$E$1070,4,false)</f>
        <v>["Air-borne pollutants"]</v>
      </c>
      <c r="BY386" s="13" t="b">
        <f>VLOOKUP(BT386,Enriched!$A$1:$AA$1070,27,falsE)</f>
        <v>0</v>
      </c>
      <c r="BZ386" s="2" t="str">
        <f>VLOOKUP(BT386,Enriched!$A$1:$AA$1070,14,falsE)</f>
        <v>level2</v>
      </c>
      <c r="CA386" s="13" t="str">
        <f>HYPERLINK("https%3A%2F%2Fwww.webofscience.com%2Fwos%2Fwoscc%2Ffull-record%2FWOS:000435802500037","View Full Record in Web of Science")</f>
        <v>View Full Record in Web of Science</v>
      </c>
    </row>
    <row r="387" ht="12.75" customHeight="1">
      <c r="A387" s="13" t="s">
        <v>5508</v>
      </c>
      <c r="B387" s="13" t="s">
        <v>12618</v>
      </c>
      <c r="C387" s="13" t="s">
        <v>5510</v>
      </c>
      <c r="D387" s="13" t="s">
        <v>5510</v>
      </c>
      <c r="E387" s="13" t="s">
        <v>5510</v>
      </c>
      <c r="F387" s="13" t="s">
        <v>12619</v>
      </c>
      <c r="G387" s="13" t="s">
        <v>5510</v>
      </c>
      <c r="H387" s="13" t="s">
        <v>5510</v>
      </c>
      <c r="I387" s="13" t="s">
        <v>12620</v>
      </c>
      <c r="J387" s="13" t="s">
        <v>6627</v>
      </c>
      <c r="K387" s="13" t="s">
        <v>5510</v>
      </c>
      <c r="L387" s="13" t="s">
        <v>5510</v>
      </c>
      <c r="M387" s="13" t="s">
        <v>5513</v>
      </c>
      <c r="N387" s="13" t="s">
        <v>5514</v>
      </c>
      <c r="O387" s="13" t="s">
        <v>5510</v>
      </c>
      <c r="P387" s="13" t="s">
        <v>5510</v>
      </c>
      <c r="Q387" s="13" t="s">
        <v>5510</v>
      </c>
      <c r="R387" s="13" t="s">
        <v>5510</v>
      </c>
      <c r="S387" s="13" t="s">
        <v>5510</v>
      </c>
      <c r="T387" s="13" t="s">
        <v>12621</v>
      </c>
      <c r="U387" s="13" t="s">
        <v>12622</v>
      </c>
      <c r="V387" s="13" t="s">
        <v>12623</v>
      </c>
      <c r="W387" s="13" t="s">
        <v>12624</v>
      </c>
      <c r="X387" s="13" t="s">
        <v>12625</v>
      </c>
      <c r="Y387" s="13" t="s">
        <v>12626</v>
      </c>
      <c r="Z387" s="13" t="s">
        <v>12627</v>
      </c>
      <c r="AA387" s="13" t="s">
        <v>12628</v>
      </c>
      <c r="AB387" s="13" t="s">
        <v>12629</v>
      </c>
      <c r="AC387" s="13" t="s">
        <v>12630</v>
      </c>
      <c r="AD387" s="13" t="s">
        <v>12631</v>
      </c>
      <c r="AE387" s="13" t="s">
        <v>12632</v>
      </c>
      <c r="AF387" s="13" t="s">
        <v>5510</v>
      </c>
      <c r="AG387" s="13">
        <v>39.0</v>
      </c>
      <c r="AH387" s="13">
        <v>38.0</v>
      </c>
      <c r="AI387" s="13">
        <v>47.0</v>
      </c>
      <c r="AJ387" s="13">
        <v>2.0</v>
      </c>
      <c r="AK387" s="13">
        <v>267.0</v>
      </c>
      <c r="AL387" s="13" t="s">
        <v>5527</v>
      </c>
      <c r="AM387" s="13" t="s">
        <v>5528</v>
      </c>
      <c r="AN387" s="13" t="s">
        <v>5529</v>
      </c>
      <c r="AO387" s="13" t="s">
        <v>6640</v>
      </c>
      <c r="AP387" s="13" t="s">
        <v>6641</v>
      </c>
      <c r="AQ387" s="13" t="s">
        <v>5510</v>
      </c>
      <c r="AR387" s="13" t="s">
        <v>6642</v>
      </c>
      <c r="AS387" s="13" t="s">
        <v>6643</v>
      </c>
      <c r="AT387" s="13" t="s">
        <v>5866</v>
      </c>
      <c r="AU387" s="13">
        <v>2015.0</v>
      </c>
      <c r="AV387" s="13">
        <v>21.0</v>
      </c>
      <c r="AW387" s="13">
        <v>5.0</v>
      </c>
      <c r="AX387" s="13" t="s">
        <v>5510</v>
      </c>
      <c r="AY387" s="13" t="s">
        <v>5510</v>
      </c>
      <c r="AZ387" s="13" t="s">
        <v>5510</v>
      </c>
      <c r="BA387" s="13" t="s">
        <v>5510</v>
      </c>
      <c r="BB387" s="13">
        <v>487.0</v>
      </c>
      <c r="BC387" s="13">
        <v>499.0</v>
      </c>
      <c r="BD387" s="13" t="s">
        <v>5510</v>
      </c>
      <c r="BE387" s="13" t="s">
        <v>12633</v>
      </c>
      <c r="BF387" s="52" t="str">
        <f>HYPERLINK("http://dx.doi.org/10.1111/ddi.12286","http://dx.doi.org/10.1111/ddi.12286")</f>
        <v>http://dx.doi.org/10.1111/ddi.12286</v>
      </c>
      <c r="BG387" s="13" t="s">
        <v>5510</v>
      </c>
      <c r="BH387" s="13" t="s">
        <v>5510</v>
      </c>
      <c r="BI387" s="13">
        <v>13.0</v>
      </c>
      <c r="BJ387" s="13" t="s">
        <v>5958</v>
      </c>
      <c r="BK387" s="13" t="s">
        <v>5561</v>
      </c>
      <c r="BL387" s="13" t="s">
        <v>5699</v>
      </c>
      <c r="BM387" s="13" t="s">
        <v>12634</v>
      </c>
      <c r="BN387" s="13" t="s">
        <v>5510</v>
      </c>
      <c r="BO387" s="13" t="s">
        <v>5510</v>
      </c>
      <c r="BP387" s="13" t="s">
        <v>5510</v>
      </c>
      <c r="BQ387" s="13" t="s">
        <v>5510</v>
      </c>
      <c r="BR387" s="13" t="s">
        <v>5538</v>
      </c>
      <c r="BS387" s="13" t="s">
        <v>12635</v>
      </c>
      <c r="BT387" s="13">
        <v>23019.0</v>
      </c>
      <c r="BU387" s="13" t="s">
        <v>5540</v>
      </c>
      <c r="BV387" s="13" t="s">
        <v>4856</v>
      </c>
      <c r="BW387" s="13" t="str">
        <f>VLOOKUP($BT387,Enriched!$A$2:$E$1070,5,false)</f>
        <v>["Human Intrusions &amp; Disturbance"]</v>
      </c>
      <c r="BX387" s="13" t="str">
        <f>VLOOKUP($BT387,Enriched!$A$2:$E$1070,4,false)</f>
        <v>["Work &amp; other activities"]</v>
      </c>
      <c r="BY387" s="13" t="b">
        <f>VLOOKUP(BT387,Enriched!$A$1:$AA$1070,27,falsE)</f>
        <v>0</v>
      </c>
      <c r="BZ387" s="2" t="str">
        <f>VLOOKUP(BT387,Enriched!$A$1:$AA$1070,14,falsE)</f>
        <v>level2</v>
      </c>
      <c r="CA387" s="13" t="str">
        <f>HYPERLINK("https%3A%2F%2Fwww.webofscience.com%2Fwos%2Fwoscc%2Ffull-record%2FWOS:000352586400001","View Full Record in Web of Science")</f>
        <v>View Full Record in Web of Science</v>
      </c>
    </row>
    <row r="388" ht="12.75" customHeight="1">
      <c r="A388" s="13" t="s">
        <v>5508</v>
      </c>
      <c r="B388" s="13" t="s">
        <v>12636</v>
      </c>
      <c r="C388" s="13" t="s">
        <v>5510</v>
      </c>
      <c r="D388" s="13" t="s">
        <v>5510</v>
      </c>
      <c r="E388" s="13" t="s">
        <v>5510</v>
      </c>
      <c r="F388" s="13" t="s">
        <v>12637</v>
      </c>
      <c r="G388" s="13" t="s">
        <v>5510</v>
      </c>
      <c r="H388" s="13" t="s">
        <v>5510</v>
      </c>
      <c r="I388" s="13" t="s">
        <v>1879</v>
      </c>
      <c r="J388" s="13" t="s">
        <v>6114</v>
      </c>
      <c r="K388" s="13" t="s">
        <v>5510</v>
      </c>
      <c r="L388" s="13" t="s">
        <v>5510</v>
      </c>
      <c r="M388" s="13" t="s">
        <v>5513</v>
      </c>
      <c r="N388" s="13" t="s">
        <v>5514</v>
      </c>
      <c r="O388" s="13" t="s">
        <v>5510</v>
      </c>
      <c r="P388" s="13" t="s">
        <v>5510</v>
      </c>
      <c r="Q388" s="13" t="s">
        <v>5510</v>
      </c>
      <c r="R388" s="13" t="s">
        <v>5510</v>
      </c>
      <c r="S388" s="13" t="s">
        <v>5510</v>
      </c>
      <c r="T388" s="13" t="s">
        <v>12638</v>
      </c>
      <c r="U388" s="13" t="s">
        <v>12639</v>
      </c>
      <c r="V388" s="13" t="s">
        <v>12640</v>
      </c>
      <c r="W388" s="13" t="s">
        <v>12641</v>
      </c>
      <c r="X388" s="13" t="s">
        <v>12642</v>
      </c>
      <c r="Y388" s="13" t="s">
        <v>12643</v>
      </c>
      <c r="Z388" s="13" t="s">
        <v>12644</v>
      </c>
      <c r="AA388" s="13" t="s">
        <v>12645</v>
      </c>
      <c r="AB388" s="13" t="s">
        <v>12646</v>
      </c>
      <c r="AC388" s="13" t="s">
        <v>12647</v>
      </c>
      <c r="AD388" s="13" t="s">
        <v>12648</v>
      </c>
      <c r="AE388" s="13" t="s">
        <v>12649</v>
      </c>
      <c r="AF388" s="13" t="s">
        <v>5510</v>
      </c>
      <c r="AG388" s="13">
        <v>89.0</v>
      </c>
      <c r="AH388" s="13">
        <v>86.0</v>
      </c>
      <c r="AI388" s="13">
        <v>106.0</v>
      </c>
      <c r="AJ388" s="13">
        <v>7.0</v>
      </c>
      <c r="AK388" s="13">
        <v>146.0</v>
      </c>
      <c r="AL388" s="13" t="s">
        <v>5931</v>
      </c>
      <c r="AM388" s="13" t="s">
        <v>5932</v>
      </c>
      <c r="AN388" s="13" t="s">
        <v>5933</v>
      </c>
      <c r="AO388" s="13" t="s">
        <v>6127</v>
      </c>
      <c r="AP388" s="13" t="s">
        <v>6128</v>
      </c>
      <c r="AQ388" s="13" t="s">
        <v>5510</v>
      </c>
      <c r="AR388" s="13" t="s">
        <v>6129</v>
      </c>
      <c r="AS388" s="13" t="s">
        <v>6130</v>
      </c>
      <c r="AT388" s="13" t="s">
        <v>1925</v>
      </c>
      <c r="AU388" s="13">
        <v>2015.0</v>
      </c>
      <c r="AV388" s="13">
        <v>114.0</v>
      </c>
      <c r="AW388" s="13" t="s">
        <v>5510</v>
      </c>
      <c r="AX388" s="13" t="s">
        <v>5510</v>
      </c>
      <c r="AY388" s="13" t="s">
        <v>5510</v>
      </c>
      <c r="AZ388" s="13" t="s">
        <v>5510</v>
      </c>
      <c r="BA388" s="13" t="s">
        <v>5510</v>
      </c>
      <c r="BB388" s="13">
        <v>64.0</v>
      </c>
      <c r="BC388" s="13">
        <v>76.0</v>
      </c>
      <c r="BD388" s="13" t="s">
        <v>5510</v>
      </c>
      <c r="BE388" s="13" t="s">
        <v>12650</v>
      </c>
      <c r="BF388" s="52" t="str">
        <f>HYPERLINK("http://dx.doi.org/10.1016/j.ocecoaman.2015.06.005","http://dx.doi.org/10.1016/j.ocecoaman.2015.06.005")</f>
        <v>http://dx.doi.org/10.1016/j.ocecoaman.2015.06.005</v>
      </c>
      <c r="BG388" s="13" t="s">
        <v>5510</v>
      </c>
      <c r="BH388" s="13" t="s">
        <v>5510</v>
      </c>
      <c r="BI388" s="13">
        <v>13.0</v>
      </c>
      <c r="BJ388" s="13" t="s">
        <v>6133</v>
      </c>
      <c r="BK388" s="13" t="s">
        <v>5561</v>
      </c>
      <c r="BL388" s="13" t="s">
        <v>6133</v>
      </c>
      <c r="BM388" s="13" t="s">
        <v>12651</v>
      </c>
      <c r="BN388" s="13" t="s">
        <v>5510</v>
      </c>
      <c r="BO388" s="13" t="s">
        <v>5510</v>
      </c>
      <c r="BP388" s="13" t="s">
        <v>5510</v>
      </c>
      <c r="BQ388" s="13" t="s">
        <v>5510</v>
      </c>
      <c r="BR388" s="13" t="s">
        <v>5538</v>
      </c>
      <c r="BS388" s="13" t="s">
        <v>12652</v>
      </c>
      <c r="BT388" s="13">
        <v>24269.0</v>
      </c>
      <c r="BU388" s="13" t="s">
        <v>5540</v>
      </c>
      <c r="BV388" s="13" t="s">
        <v>4855</v>
      </c>
      <c r="BW388" s="13" t="str">
        <f>VLOOKUP($BT388,Enriched!$A$2:$E$1070,5,false)</f>
        <v>["Residential &amp; Commercial Development", "Agriculture &amp; Aquaculture", "Climate Change &amp; Severe Weather"]</v>
      </c>
      <c r="BX388" s="13" t="str">
        <f>VLOOKUP($BT388,Enriched!$A$2:$E$1070,4,false)</f>
        <v>["Housing &amp; urban area", "Tourism &amp; recreation areas", "Annual &amp; perennial non-timber crops", "Marine &amp; freshwater aquaculture", "Habitat shifting &amp; alteration"]</v>
      </c>
      <c r="BY388" s="13" t="b">
        <f>VLOOKUP(BT388,Enriched!$A$1:$AA$1070,27,falsE)</f>
        <v>0</v>
      </c>
      <c r="BZ388" s="2" t="str">
        <f>VLOOKUP(BT388,Enriched!$A$1:$AA$1070,14,falsE)</f>
        <v>level2</v>
      </c>
      <c r="CA388" s="13" t="str">
        <f>HYPERLINK("https%3A%2F%2Fwww.webofscience.com%2Fwos%2Fwoscc%2Ffull-record%2FWOS:000359502100007","View Full Record in Web of Science")</f>
        <v>View Full Record in Web of Science</v>
      </c>
    </row>
    <row r="389" ht="12.75" customHeight="1">
      <c r="A389" s="13" t="s">
        <v>5508</v>
      </c>
      <c r="B389" s="13" t="s">
        <v>12653</v>
      </c>
      <c r="C389" s="13" t="s">
        <v>5510</v>
      </c>
      <c r="D389" s="13" t="s">
        <v>5510</v>
      </c>
      <c r="E389" s="13" t="s">
        <v>5510</v>
      </c>
      <c r="F389" s="13" t="s">
        <v>12654</v>
      </c>
      <c r="G389" s="13" t="s">
        <v>5510</v>
      </c>
      <c r="H389" s="13" t="s">
        <v>5510</v>
      </c>
      <c r="I389" s="13" t="s">
        <v>1876</v>
      </c>
      <c r="J389" s="13" t="s">
        <v>12655</v>
      </c>
      <c r="K389" s="13" t="s">
        <v>5510</v>
      </c>
      <c r="L389" s="13" t="s">
        <v>5510</v>
      </c>
      <c r="M389" s="13" t="s">
        <v>5513</v>
      </c>
      <c r="N389" s="13" t="s">
        <v>5514</v>
      </c>
      <c r="O389" s="13" t="s">
        <v>5510</v>
      </c>
      <c r="P389" s="13" t="s">
        <v>5510</v>
      </c>
      <c r="Q389" s="13" t="s">
        <v>5510</v>
      </c>
      <c r="R389" s="13" t="s">
        <v>5510</v>
      </c>
      <c r="S389" s="13" t="s">
        <v>5510</v>
      </c>
      <c r="T389" s="13" t="s">
        <v>12656</v>
      </c>
      <c r="U389" s="13" t="s">
        <v>12657</v>
      </c>
      <c r="V389" s="13" t="s">
        <v>12658</v>
      </c>
      <c r="W389" s="13" t="s">
        <v>12659</v>
      </c>
      <c r="X389" s="13" t="s">
        <v>12660</v>
      </c>
      <c r="Y389" s="13" t="s">
        <v>12661</v>
      </c>
      <c r="Z389" s="13" t="s">
        <v>12662</v>
      </c>
      <c r="AA389" s="13" t="s">
        <v>12663</v>
      </c>
      <c r="AB389" s="13" t="s">
        <v>12664</v>
      </c>
      <c r="AC389" s="13" t="s">
        <v>12665</v>
      </c>
      <c r="AD389" s="13" t="s">
        <v>12666</v>
      </c>
      <c r="AE389" s="13" t="s">
        <v>12667</v>
      </c>
      <c r="AF389" s="13" t="s">
        <v>5510</v>
      </c>
      <c r="AG389" s="13">
        <v>52.0</v>
      </c>
      <c r="AH389" s="13">
        <v>173.0</v>
      </c>
      <c r="AI389" s="13">
        <v>217.0</v>
      </c>
      <c r="AJ389" s="13">
        <v>10.0</v>
      </c>
      <c r="AK389" s="13">
        <v>274.0</v>
      </c>
      <c r="AL389" s="13" t="s">
        <v>5759</v>
      </c>
      <c r="AM389" s="13" t="s">
        <v>5760</v>
      </c>
      <c r="AN389" s="13" t="s">
        <v>5761</v>
      </c>
      <c r="AO389" s="13" t="s">
        <v>12668</v>
      </c>
      <c r="AP389" s="13" t="s">
        <v>5510</v>
      </c>
      <c r="AQ389" s="13" t="s">
        <v>5510</v>
      </c>
      <c r="AR389" s="13" t="s">
        <v>12669</v>
      </c>
      <c r="AS389" s="13" t="s">
        <v>12670</v>
      </c>
      <c r="AT389" s="13" t="s">
        <v>6828</v>
      </c>
      <c r="AU389" s="13">
        <v>2018.0</v>
      </c>
      <c r="AV389" s="13">
        <v>30.0</v>
      </c>
      <c r="AW389" s="13" t="s">
        <v>5510</v>
      </c>
      <c r="AX389" s="13" t="s">
        <v>8616</v>
      </c>
      <c r="AY389" s="13" t="s">
        <v>5510</v>
      </c>
      <c r="AZ389" s="13" t="s">
        <v>5646</v>
      </c>
      <c r="BA389" s="13" t="s">
        <v>5510</v>
      </c>
      <c r="BB389" s="13">
        <v>276.0</v>
      </c>
      <c r="BC389" s="13">
        <v>286.0</v>
      </c>
      <c r="BD389" s="13" t="s">
        <v>5510</v>
      </c>
      <c r="BE389" s="13" t="s">
        <v>12671</v>
      </c>
      <c r="BF389" s="52" t="str">
        <f>HYPERLINK("http://dx.doi.org/10.1016/j.ecoser.2017.10.003","http://dx.doi.org/10.1016/j.ecoser.2017.10.003")</f>
        <v>http://dx.doi.org/10.1016/j.ecoser.2017.10.003</v>
      </c>
      <c r="BG389" s="13" t="s">
        <v>5510</v>
      </c>
      <c r="BH389" s="13" t="s">
        <v>5510</v>
      </c>
      <c r="BI389" s="13">
        <v>11.0</v>
      </c>
      <c r="BJ389" s="13" t="s">
        <v>12672</v>
      </c>
      <c r="BK389" s="13" t="s">
        <v>5534</v>
      </c>
      <c r="BL389" s="13" t="s">
        <v>5535</v>
      </c>
      <c r="BM389" s="13" t="s">
        <v>12673</v>
      </c>
      <c r="BN389" s="13" t="s">
        <v>5510</v>
      </c>
      <c r="BO389" s="13" t="s">
        <v>5510</v>
      </c>
      <c r="BP389" s="13" t="s">
        <v>5510</v>
      </c>
      <c r="BQ389" s="13" t="s">
        <v>5510</v>
      </c>
      <c r="BR389" s="13" t="s">
        <v>5538</v>
      </c>
      <c r="BS389" s="13" t="s">
        <v>12674</v>
      </c>
      <c r="BT389" s="13">
        <v>24545.0</v>
      </c>
      <c r="BU389" s="13" t="s">
        <v>5540</v>
      </c>
      <c r="BV389" s="13" t="s">
        <v>4856</v>
      </c>
      <c r="BW389" s="13" t="str">
        <f>VLOOKUP($BT389,Enriched!$A$2:$E$1070,5,false)</f>
        <v>["Residential &amp; Commercial Development", "Agriculture &amp; Aquaculture", "Transportation &amp; Service Corridors"]</v>
      </c>
      <c r="BX389" s="13" t="str">
        <f>VLOOKUP($BT389,Enriched!$A$2:$E$1070,4,false)</f>
        <v>["Livestock farming &amp; ranching", "Annual &amp; perennial non-timber crops", "Roads &amp; railroads"]</v>
      </c>
      <c r="BY389" s="13" t="b">
        <f>VLOOKUP(BT389,Enriched!$A$1:$AA$1070,27,falsE)</f>
        <v>1</v>
      </c>
      <c r="BZ389" s="2" t="str">
        <f>VLOOKUP(BT389,Enriched!$A$1:$AA$1070,14,falsE)</f>
        <v>cumulative</v>
      </c>
      <c r="CA389" s="13" t="str">
        <f>HYPERLINK("https%3A%2F%2Fwww.webofscience.com%2Fwos%2Fwoscc%2Ffull-record%2FWOS:000432655100010","View Full Record in Web of Science")</f>
        <v>View Full Record in Web of Science</v>
      </c>
    </row>
    <row r="390" ht="12.75" customHeight="1">
      <c r="A390" s="13" t="s">
        <v>5508</v>
      </c>
      <c r="B390" s="13" t="s">
        <v>12675</v>
      </c>
      <c r="C390" s="13" t="s">
        <v>5510</v>
      </c>
      <c r="D390" s="13" t="s">
        <v>5510</v>
      </c>
      <c r="E390" s="13" t="s">
        <v>5510</v>
      </c>
      <c r="F390" s="13" t="s">
        <v>12676</v>
      </c>
      <c r="G390" s="13" t="s">
        <v>5510</v>
      </c>
      <c r="H390" s="13" t="s">
        <v>5510</v>
      </c>
      <c r="I390" s="13" t="s">
        <v>1874</v>
      </c>
      <c r="J390" s="13" t="s">
        <v>6333</v>
      </c>
      <c r="K390" s="13" t="s">
        <v>5510</v>
      </c>
      <c r="L390" s="13" t="s">
        <v>5510</v>
      </c>
      <c r="M390" s="13" t="s">
        <v>5513</v>
      </c>
      <c r="N390" s="13" t="s">
        <v>5514</v>
      </c>
      <c r="O390" s="13" t="s">
        <v>5510</v>
      </c>
      <c r="P390" s="13" t="s">
        <v>5510</v>
      </c>
      <c r="Q390" s="13" t="s">
        <v>5510</v>
      </c>
      <c r="R390" s="13" t="s">
        <v>5510</v>
      </c>
      <c r="S390" s="13" t="s">
        <v>5510</v>
      </c>
      <c r="T390" s="13" t="s">
        <v>12677</v>
      </c>
      <c r="U390" s="13" t="s">
        <v>12678</v>
      </c>
      <c r="V390" s="13" t="s">
        <v>12679</v>
      </c>
      <c r="W390" s="13" t="s">
        <v>12680</v>
      </c>
      <c r="X390" s="13" t="s">
        <v>12681</v>
      </c>
      <c r="Y390" s="13" t="s">
        <v>12682</v>
      </c>
      <c r="Z390" s="13" t="s">
        <v>9710</v>
      </c>
      <c r="AA390" s="13" t="s">
        <v>12683</v>
      </c>
      <c r="AB390" s="13" t="s">
        <v>12684</v>
      </c>
      <c r="AC390" s="13" t="s">
        <v>12685</v>
      </c>
      <c r="AD390" s="13" t="s">
        <v>12686</v>
      </c>
      <c r="AE390" s="13" t="s">
        <v>12687</v>
      </c>
      <c r="AF390" s="13" t="s">
        <v>5510</v>
      </c>
      <c r="AG390" s="13">
        <v>53.0</v>
      </c>
      <c r="AH390" s="13">
        <v>20.0</v>
      </c>
      <c r="AI390" s="13">
        <v>25.0</v>
      </c>
      <c r="AJ390" s="13">
        <v>0.0</v>
      </c>
      <c r="AK390" s="13">
        <v>57.0</v>
      </c>
      <c r="AL390" s="13" t="s">
        <v>5527</v>
      </c>
      <c r="AM390" s="13" t="s">
        <v>5528</v>
      </c>
      <c r="AN390" s="13" t="s">
        <v>5529</v>
      </c>
      <c r="AO390" s="13" t="s">
        <v>6342</v>
      </c>
      <c r="AP390" s="13" t="s">
        <v>6343</v>
      </c>
      <c r="AQ390" s="13" t="s">
        <v>5510</v>
      </c>
      <c r="AR390" s="13" t="s">
        <v>6344</v>
      </c>
      <c r="AS390" s="13" t="s">
        <v>6345</v>
      </c>
      <c r="AT390" s="13" t="s">
        <v>2738</v>
      </c>
      <c r="AU390" s="13">
        <v>2014.0</v>
      </c>
      <c r="AV390" s="13">
        <v>28.0</v>
      </c>
      <c r="AW390" s="13">
        <v>1.0</v>
      </c>
      <c r="AX390" s="13" t="s">
        <v>5510</v>
      </c>
      <c r="AY390" s="13" t="s">
        <v>5510</v>
      </c>
      <c r="AZ390" s="13" t="s">
        <v>5510</v>
      </c>
      <c r="BA390" s="13" t="s">
        <v>5510</v>
      </c>
      <c r="BB390" s="13">
        <v>224.0</v>
      </c>
      <c r="BC390" s="13">
        <v>233.0</v>
      </c>
      <c r="BD390" s="13" t="s">
        <v>5510</v>
      </c>
      <c r="BE390" s="13" t="s">
        <v>12688</v>
      </c>
      <c r="BF390" s="52" t="str">
        <f>HYPERLINK("http://dx.doi.org/10.1111/cobi.12151","http://dx.doi.org/10.1111/cobi.12151")</f>
        <v>http://dx.doi.org/10.1111/cobi.12151</v>
      </c>
      <c r="BG390" s="13" t="s">
        <v>5510</v>
      </c>
      <c r="BH390" s="13" t="s">
        <v>5510</v>
      </c>
      <c r="BI390" s="13">
        <v>10.0</v>
      </c>
      <c r="BJ390" s="13" t="s">
        <v>5698</v>
      </c>
      <c r="BK390" s="13" t="s">
        <v>5561</v>
      </c>
      <c r="BL390" s="13" t="s">
        <v>5699</v>
      </c>
      <c r="BM390" s="13" t="s">
        <v>12689</v>
      </c>
      <c r="BN390" s="13">
        <v>2.402496E7</v>
      </c>
      <c r="BO390" s="13" t="s">
        <v>5510</v>
      </c>
      <c r="BP390" s="13" t="s">
        <v>5510</v>
      </c>
      <c r="BQ390" s="13" t="s">
        <v>5510</v>
      </c>
      <c r="BR390" s="13" t="s">
        <v>5538</v>
      </c>
      <c r="BS390" s="13" t="s">
        <v>12690</v>
      </c>
      <c r="BT390" s="13">
        <v>23854.0</v>
      </c>
      <c r="BU390" s="13" t="s">
        <v>5540</v>
      </c>
      <c r="BV390" s="13" t="s">
        <v>4856</v>
      </c>
      <c r="BW390" s="13" t="str">
        <f>VLOOKUP($BT390,Enriched!$A$2:$E$1070,5,false)</f>
        <v>["Biological resource use"]</v>
      </c>
      <c r="BX390" s="13" t="str">
        <f>VLOOKUP($BT390,Enriched!$A$2:$E$1070,4,false)</f>
        <v>["Hunting &amp; collecting terrestrial animals"]</v>
      </c>
      <c r="BY390" s="13" t="b">
        <f>VLOOKUP(BT390,Enriched!$A$1:$AA$1070,27,falsE)</f>
        <v>0</v>
      </c>
      <c r="BZ390" s="2" t="str">
        <f>VLOOKUP(BT390,Enriched!$A$1:$AA$1070,14,falsE)</f>
        <v>level2</v>
      </c>
      <c r="CA390" s="13" t="str">
        <f>HYPERLINK("https%3A%2F%2Fwww.webofscience.com%2Fwos%2Fwoscc%2Ffull-record%2FWOS:000330265900023","View Full Record in Web of Science")</f>
        <v>View Full Record in Web of Science</v>
      </c>
    </row>
    <row r="391" ht="12.75" customHeight="1">
      <c r="A391" s="13" t="s">
        <v>5508</v>
      </c>
      <c r="B391" s="13" t="s">
        <v>12691</v>
      </c>
      <c r="C391" s="13" t="s">
        <v>5510</v>
      </c>
      <c r="D391" s="13" t="s">
        <v>5510</v>
      </c>
      <c r="E391" s="13" t="s">
        <v>5510</v>
      </c>
      <c r="F391" s="13" t="s">
        <v>12692</v>
      </c>
      <c r="G391" s="13" t="s">
        <v>5510</v>
      </c>
      <c r="H391" s="13" t="s">
        <v>5510</v>
      </c>
      <c r="I391" s="13" t="s">
        <v>1871</v>
      </c>
      <c r="J391" s="13" t="s">
        <v>5895</v>
      </c>
      <c r="K391" s="13" t="s">
        <v>5510</v>
      </c>
      <c r="L391" s="13" t="s">
        <v>5510</v>
      </c>
      <c r="M391" s="13" t="s">
        <v>5513</v>
      </c>
      <c r="N391" s="13" t="s">
        <v>5514</v>
      </c>
      <c r="O391" s="13" t="s">
        <v>5510</v>
      </c>
      <c r="P391" s="13" t="s">
        <v>5510</v>
      </c>
      <c r="Q391" s="13" t="s">
        <v>5510</v>
      </c>
      <c r="R391" s="13" t="s">
        <v>5510</v>
      </c>
      <c r="S391" s="13" t="s">
        <v>5510</v>
      </c>
      <c r="T391" s="13" t="s">
        <v>12693</v>
      </c>
      <c r="U391" s="13" t="s">
        <v>12694</v>
      </c>
      <c r="V391" s="13" t="s">
        <v>12695</v>
      </c>
      <c r="W391" s="13" t="s">
        <v>12696</v>
      </c>
      <c r="X391" s="13" t="s">
        <v>12697</v>
      </c>
      <c r="Y391" s="13" t="s">
        <v>12698</v>
      </c>
      <c r="Z391" s="13" t="s">
        <v>12699</v>
      </c>
      <c r="AA391" s="13" t="s">
        <v>12700</v>
      </c>
      <c r="AB391" s="13" t="s">
        <v>5510</v>
      </c>
      <c r="AC391" s="13" t="s">
        <v>12701</v>
      </c>
      <c r="AD391" s="13" t="s">
        <v>12702</v>
      </c>
      <c r="AE391" s="13" t="s">
        <v>12703</v>
      </c>
      <c r="AF391" s="13" t="s">
        <v>5510</v>
      </c>
      <c r="AG391" s="13">
        <v>39.0</v>
      </c>
      <c r="AH391" s="13">
        <v>189.0</v>
      </c>
      <c r="AI391" s="13">
        <v>208.0</v>
      </c>
      <c r="AJ391" s="13">
        <v>1.0</v>
      </c>
      <c r="AK391" s="13">
        <v>54.0</v>
      </c>
      <c r="AL391" s="13" t="s">
        <v>5907</v>
      </c>
      <c r="AM391" s="13" t="s">
        <v>5908</v>
      </c>
      <c r="AN391" s="13" t="s">
        <v>5909</v>
      </c>
      <c r="AO391" s="13" t="s">
        <v>5910</v>
      </c>
      <c r="AP391" s="13" t="s">
        <v>6619</v>
      </c>
      <c r="AQ391" s="13" t="s">
        <v>5510</v>
      </c>
      <c r="AR391" s="13" t="s">
        <v>5911</v>
      </c>
      <c r="AS391" s="13" t="s">
        <v>5912</v>
      </c>
      <c r="AT391" s="13" t="s">
        <v>12704</v>
      </c>
      <c r="AU391" s="13">
        <v>2017.0</v>
      </c>
      <c r="AV391" s="13">
        <v>114.0</v>
      </c>
      <c r="AW391" s="13">
        <v>9.0</v>
      </c>
      <c r="AX391" s="13" t="s">
        <v>5510</v>
      </c>
      <c r="AY391" s="13" t="s">
        <v>5510</v>
      </c>
      <c r="AZ391" s="13" t="s">
        <v>5510</v>
      </c>
      <c r="BA391" s="13" t="s">
        <v>5510</v>
      </c>
      <c r="BB391" s="13">
        <v>2283.0</v>
      </c>
      <c r="BC391" s="13">
        <v>2288.0</v>
      </c>
      <c r="BD391" s="13" t="s">
        <v>5510</v>
      </c>
      <c r="BE391" s="13" t="s">
        <v>12705</v>
      </c>
      <c r="BF391" s="52" t="str">
        <f>HYPERLINK("http://dx.doi.org/10.1073/pnas.1613625114","http://dx.doi.org/10.1073/pnas.1613625114")</f>
        <v>http://dx.doi.org/10.1073/pnas.1613625114</v>
      </c>
      <c r="BG391" s="13" t="s">
        <v>5510</v>
      </c>
      <c r="BH391" s="13" t="s">
        <v>5510</v>
      </c>
      <c r="BI391" s="13">
        <v>6.0</v>
      </c>
      <c r="BJ391" s="13" t="s">
        <v>5560</v>
      </c>
      <c r="BK391" s="13" t="s">
        <v>5561</v>
      </c>
      <c r="BL391" s="13" t="s">
        <v>5562</v>
      </c>
      <c r="BM391" s="13" t="s">
        <v>12706</v>
      </c>
      <c r="BN391" s="13">
        <v>2.8193891E7</v>
      </c>
      <c r="BO391" s="13" t="s">
        <v>5587</v>
      </c>
      <c r="BP391" s="13" t="s">
        <v>5510</v>
      </c>
      <c r="BQ391" s="13" t="s">
        <v>5510</v>
      </c>
      <c r="BR391" s="13" t="s">
        <v>5538</v>
      </c>
      <c r="BS391" s="13" t="s">
        <v>12707</v>
      </c>
      <c r="BT391" s="13">
        <v>23062.0</v>
      </c>
      <c r="BU391" s="13" t="s">
        <v>5540</v>
      </c>
      <c r="BV391" s="13" t="s">
        <v>4856</v>
      </c>
      <c r="BW391" s="13" t="str">
        <f>VLOOKUP($BT391,Enriched!$A$2:$E$1070,5,false)</f>
        <v>["Climate change &amp; severe weather"]</v>
      </c>
      <c r="BX391" s="13" t="str">
        <f>VLOOKUP($BT391,Enriched!$A$2:$E$1070,4,false)</f>
        <v>["Droughts"]</v>
      </c>
      <c r="BY391" s="13" t="b">
        <f>VLOOKUP(BT391,Enriched!$A$1:$AA$1070,27,falsE)</f>
        <v>0</v>
      </c>
      <c r="BZ391" s="2" t="str">
        <f>VLOOKUP(BT391,Enriched!$A$1:$AA$1070,14,falsE)</f>
        <v>level2</v>
      </c>
      <c r="CA391" s="13" t="str">
        <f>HYPERLINK("https%3A%2F%2Fwww.webofscience.com%2Fwos%2Fwoscc%2Ffull-record%2FWOS:000395101200059","View Full Record in Web of Science")</f>
        <v>View Full Record in Web of Science</v>
      </c>
    </row>
    <row r="392" ht="12.75" customHeight="1">
      <c r="A392" s="13" t="s">
        <v>5508</v>
      </c>
      <c r="B392" s="13" t="s">
        <v>12708</v>
      </c>
      <c r="C392" s="13" t="s">
        <v>5510</v>
      </c>
      <c r="D392" s="13" t="s">
        <v>5510</v>
      </c>
      <c r="E392" s="13" t="s">
        <v>5510</v>
      </c>
      <c r="F392" s="13" t="s">
        <v>12709</v>
      </c>
      <c r="G392" s="13" t="s">
        <v>5510</v>
      </c>
      <c r="H392" s="13" t="s">
        <v>5510</v>
      </c>
      <c r="I392" s="13" t="s">
        <v>1867</v>
      </c>
      <c r="J392" s="13" t="s">
        <v>12710</v>
      </c>
      <c r="K392" s="13" t="s">
        <v>5510</v>
      </c>
      <c r="L392" s="13" t="s">
        <v>5510</v>
      </c>
      <c r="M392" s="13" t="s">
        <v>5513</v>
      </c>
      <c r="N392" s="13" t="s">
        <v>5514</v>
      </c>
      <c r="O392" s="13" t="s">
        <v>5510</v>
      </c>
      <c r="P392" s="13" t="s">
        <v>5510</v>
      </c>
      <c r="Q392" s="13" t="s">
        <v>5510</v>
      </c>
      <c r="R392" s="13" t="s">
        <v>5510</v>
      </c>
      <c r="S392" s="13" t="s">
        <v>5510</v>
      </c>
      <c r="T392" s="13" t="s">
        <v>12711</v>
      </c>
      <c r="U392" s="13" t="s">
        <v>12712</v>
      </c>
      <c r="V392" s="13" t="s">
        <v>12713</v>
      </c>
      <c r="W392" s="13" t="s">
        <v>12714</v>
      </c>
      <c r="X392" s="13" t="s">
        <v>12715</v>
      </c>
      <c r="Y392" s="13" t="s">
        <v>12716</v>
      </c>
      <c r="Z392" s="13" t="s">
        <v>6596</v>
      </c>
      <c r="AA392" s="13" t="s">
        <v>5510</v>
      </c>
      <c r="AB392" s="13" t="s">
        <v>12717</v>
      </c>
      <c r="AC392" s="13" t="s">
        <v>12718</v>
      </c>
      <c r="AD392" s="13" t="s">
        <v>12719</v>
      </c>
      <c r="AE392" s="13" t="s">
        <v>12720</v>
      </c>
      <c r="AF392" s="13" t="s">
        <v>5510</v>
      </c>
      <c r="AG392" s="13">
        <v>84.0</v>
      </c>
      <c r="AH392" s="13">
        <v>31.0</v>
      </c>
      <c r="AI392" s="13">
        <v>32.0</v>
      </c>
      <c r="AJ392" s="13">
        <v>3.0</v>
      </c>
      <c r="AK392" s="13">
        <v>63.0</v>
      </c>
      <c r="AL392" s="13" t="s">
        <v>5759</v>
      </c>
      <c r="AM392" s="13" t="s">
        <v>5760</v>
      </c>
      <c r="AN392" s="13" t="s">
        <v>5761</v>
      </c>
      <c r="AO392" s="13" t="s">
        <v>12721</v>
      </c>
      <c r="AP392" s="13" t="s">
        <v>12722</v>
      </c>
      <c r="AQ392" s="13" t="s">
        <v>5510</v>
      </c>
      <c r="AR392" s="13" t="s">
        <v>12723</v>
      </c>
      <c r="AS392" s="13" t="s">
        <v>12724</v>
      </c>
      <c r="AT392" s="13" t="s">
        <v>1453</v>
      </c>
      <c r="AU392" s="13">
        <v>2018.0</v>
      </c>
      <c r="AV392" s="13">
        <v>48.0</v>
      </c>
      <c r="AW392" s="13" t="s">
        <v>5510</v>
      </c>
      <c r="AX392" s="13" t="s">
        <v>5510</v>
      </c>
      <c r="AY392" s="13" t="s">
        <v>5510</v>
      </c>
      <c r="AZ392" s="13" t="s">
        <v>5510</v>
      </c>
      <c r="BA392" s="13" t="s">
        <v>5510</v>
      </c>
      <c r="BB392" s="13">
        <v>37.0</v>
      </c>
      <c r="BC392" s="13">
        <v>47.0</v>
      </c>
      <c r="BD392" s="13" t="s">
        <v>5510</v>
      </c>
      <c r="BE392" s="13" t="s">
        <v>12725</v>
      </c>
      <c r="BF392" s="52" t="str">
        <f>HYPERLINK("http://dx.doi.org/10.1016/j.ecoinf.2018.07.007","http://dx.doi.org/10.1016/j.ecoinf.2018.07.007")</f>
        <v>http://dx.doi.org/10.1016/j.ecoinf.2018.07.007</v>
      </c>
      <c r="BG392" s="13" t="s">
        <v>5510</v>
      </c>
      <c r="BH392" s="13" t="s">
        <v>5510</v>
      </c>
      <c r="BI392" s="13">
        <v>11.0</v>
      </c>
      <c r="BJ392" s="13" t="s">
        <v>5533</v>
      </c>
      <c r="BK392" s="13" t="s">
        <v>5534</v>
      </c>
      <c r="BL392" s="13" t="s">
        <v>5535</v>
      </c>
      <c r="BM392" s="13" t="s">
        <v>12726</v>
      </c>
      <c r="BN392" s="13" t="s">
        <v>5510</v>
      </c>
      <c r="BO392" s="13" t="s">
        <v>5510</v>
      </c>
      <c r="BP392" s="13" t="s">
        <v>5510</v>
      </c>
      <c r="BQ392" s="13" t="s">
        <v>5510</v>
      </c>
      <c r="BR392" s="13" t="s">
        <v>5538</v>
      </c>
      <c r="BS392" s="13" t="s">
        <v>12727</v>
      </c>
      <c r="BT392" s="13">
        <v>25687.0</v>
      </c>
      <c r="BU392" s="13" t="s">
        <v>5540</v>
      </c>
      <c r="BV392" s="13" t="s">
        <v>4864</v>
      </c>
      <c r="BW392" s="13" t="str">
        <f>VLOOKUP($BT392,Enriched!$A$2:$E$1070,5,false)</f>
        <v>["Residential &amp; Commercial Development", "Energy Production &amp; Mining", "Transportation &amp; Service Corridors", "Biological Resource Use", "Invasive &amp; Other Problematic Species, Genes &amp; Diseases", "Pollution", "Climate Change &amp; Severe Weather"]</v>
      </c>
      <c r="BX392" s="13" t="str">
        <f>VLOOKUP($BT392,Enriched!$A$2:$E$1070,4,false)</f>
        <v>["Commercial &amp; industrial areas", "Oil &amp; gas drilling", "Shipping lanes", "Fishing &amp; harvesting aquatic resources", "Invasive non-native/alien species/diseases", "Agricultural &amp; forestry effluents", "Habitat shifting &amp; alteration", "Temperature extremes", "Other impacts"]</v>
      </c>
      <c r="BY392" s="13" t="b">
        <f>VLOOKUP(BT392,Enriched!$A$1:$AA$1070,27,falsE)</f>
        <v>1</v>
      </c>
      <c r="BZ392" s="2" t="str">
        <f>VLOOKUP(BT392,Enriched!$A$1:$AA$1070,14,falsE)</f>
        <v>cumulative</v>
      </c>
      <c r="CA392" s="13" t="str">
        <f>HYPERLINK("https%3A%2F%2Fwww.webofscience.com%2Fwos%2Fwoscc%2Ffull-record%2FWOS:000453641900004","View Full Record in Web of Science")</f>
        <v>View Full Record in Web of Science</v>
      </c>
    </row>
    <row r="393" ht="12.75" customHeight="1">
      <c r="A393" s="13" t="s">
        <v>5508</v>
      </c>
      <c r="B393" s="13" t="s">
        <v>12728</v>
      </c>
      <c r="C393" s="13" t="s">
        <v>5510</v>
      </c>
      <c r="D393" s="13" t="s">
        <v>5510</v>
      </c>
      <c r="E393" s="13" t="s">
        <v>5510</v>
      </c>
      <c r="F393" s="13" t="s">
        <v>12729</v>
      </c>
      <c r="G393" s="13" t="s">
        <v>5510</v>
      </c>
      <c r="H393" s="13" t="s">
        <v>5510</v>
      </c>
      <c r="I393" s="13" t="s">
        <v>12730</v>
      </c>
      <c r="J393" s="13" t="s">
        <v>12731</v>
      </c>
      <c r="K393" s="13" t="s">
        <v>5510</v>
      </c>
      <c r="L393" s="13" t="s">
        <v>5510</v>
      </c>
      <c r="M393" s="13" t="s">
        <v>5513</v>
      </c>
      <c r="N393" s="13" t="s">
        <v>5514</v>
      </c>
      <c r="O393" s="13" t="s">
        <v>5510</v>
      </c>
      <c r="P393" s="13" t="s">
        <v>5510</v>
      </c>
      <c r="Q393" s="13" t="s">
        <v>5510</v>
      </c>
      <c r="R393" s="13" t="s">
        <v>5510</v>
      </c>
      <c r="S393" s="13" t="s">
        <v>5510</v>
      </c>
      <c r="T393" s="13" t="s">
        <v>12732</v>
      </c>
      <c r="U393" s="13" t="s">
        <v>12513</v>
      </c>
      <c r="V393" s="13" t="s">
        <v>12733</v>
      </c>
      <c r="W393" s="13" t="s">
        <v>12734</v>
      </c>
      <c r="X393" s="13" t="s">
        <v>12735</v>
      </c>
      <c r="Y393" s="13" t="s">
        <v>12736</v>
      </c>
      <c r="Z393" s="13" t="s">
        <v>12737</v>
      </c>
      <c r="AA393" s="13" t="s">
        <v>12738</v>
      </c>
      <c r="AB393" s="13" t="s">
        <v>12739</v>
      </c>
      <c r="AC393" s="13" t="s">
        <v>5510</v>
      </c>
      <c r="AD393" s="13" t="s">
        <v>5510</v>
      </c>
      <c r="AE393" s="13" t="s">
        <v>5510</v>
      </c>
      <c r="AF393" s="13" t="s">
        <v>5510</v>
      </c>
      <c r="AG393" s="13">
        <v>31.0</v>
      </c>
      <c r="AH393" s="13">
        <v>23.0</v>
      </c>
      <c r="AI393" s="13">
        <v>28.0</v>
      </c>
      <c r="AJ393" s="13">
        <v>2.0</v>
      </c>
      <c r="AK393" s="13">
        <v>49.0</v>
      </c>
      <c r="AL393" s="13" t="s">
        <v>12740</v>
      </c>
      <c r="AM393" s="13" t="s">
        <v>12741</v>
      </c>
      <c r="AN393" s="13" t="s">
        <v>12742</v>
      </c>
      <c r="AO393" s="13" t="s">
        <v>12743</v>
      </c>
      <c r="AP393" s="13" t="s">
        <v>12744</v>
      </c>
      <c r="AQ393" s="13" t="s">
        <v>5510</v>
      </c>
      <c r="AR393" s="13" t="s">
        <v>12745</v>
      </c>
      <c r="AS393" s="13" t="s">
        <v>12746</v>
      </c>
      <c r="AT393" s="13" t="s">
        <v>5866</v>
      </c>
      <c r="AU393" s="13">
        <v>2012.0</v>
      </c>
      <c r="AV393" s="13">
        <v>32.0</v>
      </c>
      <c r="AW393" s="13">
        <v>2.0</v>
      </c>
      <c r="AX393" s="13" t="s">
        <v>5510</v>
      </c>
      <c r="AY393" s="13" t="s">
        <v>5510</v>
      </c>
      <c r="AZ393" s="13" t="s">
        <v>5510</v>
      </c>
      <c r="BA393" s="13" t="s">
        <v>5510</v>
      </c>
      <c r="BB393" s="13">
        <v>197.0</v>
      </c>
      <c r="BC393" s="13">
        <v>202.0</v>
      </c>
      <c r="BD393" s="13" t="s">
        <v>5510</v>
      </c>
      <c r="BE393" s="13" t="s">
        <v>12747</v>
      </c>
      <c r="BF393" s="52" t="str">
        <f>HYPERLINK("http://dx.doi.org/10.1659/MRD-JOURNAL-D-10-00111.1","http://dx.doi.org/10.1659/MRD-JOURNAL-D-10-00111.1")</f>
        <v>http://dx.doi.org/10.1659/MRD-JOURNAL-D-10-00111.1</v>
      </c>
      <c r="BG393" s="13" t="s">
        <v>5510</v>
      </c>
      <c r="BH393" s="13" t="s">
        <v>5510</v>
      </c>
      <c r="BI393" s="13">
        <v>6.0</v>
      </c>
      <c r="BJ393" s="13" t="s">
        <v>12748</v>
      </c>
      <c r="BK393" s="13" t="s">
        <v>5561</v>
      </c>
      <c r="BL393" s="13" t="s">
        <v>6464</v>
      </c>
      <c r="BM393" s="13" t="s">
        <v>12749</v>
      </c>
      <c r="BN393" s="13" t="s">
        <v>5510</v>
      </c>
      <c r="BO393" s="13" t="s">
        <v>5537</v>
      </c>
      <c r="BP393" s="13" t="s">
        <v>5510</v>
      </c>
      <c r="BQ393" s="13" t="s">
        <v>5510</v>
      </c>
      <c r="BR393" s="13" t="s">
        <v>5538</v>
      </c>
      <c r="BS393" s="13" t="s">
        <v>12750</v>
      </c>
      <c r="BT393" s="13">
        <v>25402.0</v>
      </c>
      <c r="BU393" s="13" t="s">
        <v>5540</v>
      </c>
      <c r="BV393" s="13" t="s">
        <v>4856</v>
      </c>
      <c r="BW393" s="13" t="str">
        <f>VLOOKUP($BT393,Enriched!$A$2:$E$1070,5,false)</f>
        <v>["Residential &amp; Commercial Development", "Agriculture &amp; Aquaculture", "Transportation &amp; Service Corridors", "Energy Production &amp; Mining", "Human Intrusions &amp; Disturbance"]</v>
      </c>
      <c r="BX393" s="13" t="str">
        <f>VLOOKUP($BT393,Enriched!$A$2:$E$1070,4,false)</f>
        <v>["Roads &amp; railroads", "Work &amp; other activities"]</v>
      </c>
      <c r="BY393" s="13" t="b">
        <f>VLOOKUP(BT393,Enriched!$A$1:$AA$1070,27,falsE)</f>
        <v>1</v>
      </c>
      <c r="BZ393" s="2" t="str">
        <f>VLOOKUP(BT393,Enriched!$A$1:$AA$1070,14,falsE)</f>
        <v>cumulative</v>
      </c>
      <c r="CA393" s="13" t="str">
        <f>HYPERLINK("https%3A%2F%2Fwww.webofscience.com%2Fwos%2Fwoscc%2Ffull-record%2FWOS:000305478400011","View Full Record in Web of Science")</f>
        <v>View Full Record in Web of Science</v>
      </c>
    </row>
    <row r="394" ht="12.75" customHeight="1">
      <c r="A394" s="13" t="s">
        <v>5508</v>
      </c>
      <c r="B394" s="13" t="s">
        <v>12751</v>
      </c>
      <c r="C394" s="13" t="s">
        <v>5510</v>
      </c>
      <c r="D394" s="13" t="s">
        <v>5510</v>
      </c>
      <c r="E394" s="13" t="s">
        <v>5510</v>
      </c>
      <c r="F394" s="13" t="s">
        <v>12752</v>
      </c>
      <c r="G394" s="13" t="s">
        <v>5510</v>
      </c>
      <c r="H394" s="13" t="s">
        <v>5510</v>
      </c>
      <c r="I394" s="13" t="s">
        <v>1858</v>
      </c>
      <c r="J394" s="13" t="s">
        <v>12753</v>
      </c>
      <c r="K394" s="13" t="s">
        <v>5510</v>
      </c>
      <c r="L394" s="13" t="s">
        <v>5510</v>
      </c>
      <c r="M394" s="13" t="s">
        <v>5513</v>
      </c>
      <c r="N394" s="13" t="s">
        <v>5514</v>
      </c>
      <c r="O394" s="13" t="s">
        <v>5510</v>
      </c>
      <c r="P394" s="13" t="s">
        <v>5510</v>
      </c>
      <c r="Q394" s="13" t="s">
        <v>5510</v>
      </c>
      <c r="R394" s="13" t="s">
        <v>5510</v>
      </c>
      <c r="S394" s="13" t="s">
        <v>5510</v>
      </c>
      <c r="T394" s="13" t="s">
        <v>12754</v>
      </c>
      <c r="U394" s="13" t="s">
        <v>12755</v>
      </c>
      <c r="V394" s="13" t="s">
        <v>12756</v>
      </c>
      <c r="W394" s="13" t="s">
        <v>12757</v>
      </c>
      <c r="X394" s="13" t="s">
        <v>12758</v>
      </c>
      <c r="Y394" s="13" t="s">
        <v>12759</v>
      </c>
      <c r="Z394" s="13" t="s">
        <v>12760</v>
      </c>
      <c r="AA394" s="13" t="s">
        <v>12761</v>
      </c>
      <c r="AB394" s="13" t="s">
        <v>12762</v>
      </c>
      <c r="AC394" s="13" t="s">
        <v>12763</v>
      </c>
      <c r="AD394" s="13" t="s">
        <v>12764</v>
      </c>
      <c r="AE394" s="13" t="s">
        <v>12765</v>
      </c>
      <c r="AF394" s="13" t="s">
        <v>5510</v>
      </c>
      <c r="AG394" s="13">
        <v>24.0</v>
      </c>
      <c r="AH394" s="13">
        <v>161.0</v>
      </c>
      <c r="AI394" s="13">
        <v>187.0</v>
      </c>
      <c r="AJ394" s="13">
        <v>1.0</v>
      </c>
      <c r="AK394" s="13">
        <v>102.0</v>
      </c>
      <c r="AL394" s="13" t="s">
        <v>5527</v>
      </c>
      <c r="AM394" s="13" t="s">
        <v>5528</v>
      </c>
      <c r="AN394" s="13" t="s">
        <v>5529</v>
      </c>
      <c r="AO394" s="13" t="s">
        <v>12766</v>
      </c>
      <c r="AP394" s="13" t="s">
        <v>5510</v>
      </c>
      <c r="AQ394" s="13" t="s">
        <v>5510</v>
      </c>
      <c r="AR394" s="13" t="s">
        <v>12767</v>
      </c>
      <c r="AS394" s="13" t="s">
        <v>12768</v>
      </c>
      <c r="AT394" s="13" t="s">
        <v>5720</v>
      </c>
      <c r="AU394" s="13">
        <v>2009.0</v>
      </c>
      <c r="AV394" s="13">
        <v>2.0</v>
      </c>
      <c r="AW394" s="13">
        <v>3.0</v>
      </c>
      <c r="AX394" s="13" t="s">
        <v>5510</v>
      </c>
      <c r="AY394" s="13" t="s">
        <v>5510</v>
      </c>
      <c r="AZ394" s="13" t="s">
        <v>5510</v>
      </c>
      <c r="BA394" s="13" t="s">
        <v>5510</v>
      </c>
      <c r="BB394" s="13">
        <v>138.0</v>
      </c>
      <c r="BC394" s="13">
        <v>148.0</v>
      </c>
      <c r="BD394" s="13" t="s">
        <v>5510</v>
      </c>
      <c r="BE394" s="13" t="s">
        <v>12769</v>
      </c>
      <c r="BF394" s="52" t="str">
        <f>HYPERLINK("http://dx.doi.org/10.1111/j.1755-263X.2009.00058.x","http://dx.doi.org/10.1111/j.1755-263X.2009.00058.x")</f>
        <v>http://dx.doi.org/10.1111/j.1755-263X.2009.00058.x</v>
      </c>
      <c r="BG394" s="13" t="s">
        <v>5510</v>
      </c>
      <c r="BH394" s="13" t="s">
        <v>5510</v>
      </c>
      <c r="BI394" s="13">
        <v>11.0</v>
      </c>
      <c r="BJ394" s="13" t="s">
        <v>5648</v>
      </c>
      <c r="BK394" s="13" t="s">
        <v>5561</v>
      </c>
      <c r="BL394" s="13" t="s">
        <v>5650</v>
      </c>
      <c r="BM394" s="13" t="s">
        <v>12770</v>
      </c>
      <c r="BN394" s="13" t="s">
        <v>5510</v>
      </c>
      <c r="BO394" s="13" t="s">
        <v>5510</v>
      </c>
      <c r="BP394" s="13" t="s">
        <v>5510</v>
      </c>
      <c r="BQ394" s="13" t="s">
        <v>5510</v>
      </c>
      <c r="BR394" s="13" t="s">
        <v>5538</v>
      </c>
      <c r="BS394" s="13" t="s">
        <v>12771</v>
      </c>
      <c r="BT394" s="13">
        <v>24127.0</v>
      </c>
      <c r="BU394" s="13" t="s">
        <v>5540</v>
      </c>
      <c r="BV394" s="13" t="s">
        <v>4864</v>
      </c>
      <c r="BW394" s="13" t="str">
        <f>VLOOKUP($BT394,Enriched!$A$2:$E$1070,5,false)</f>
        <v>["Pollution", "Residential &amp; Commercial Development", "Human Intrusions &amp; Disturbance", "Energy Production &amp; Mining", "Climate Change &amp; Severe Weather", "Transportation &amp; Service Corridors", "Invasive &amp; Other Problematic Species, Genes &amp; Diseases", "Agriculture &amp; Aquaculture", "Biological Resource Use"]</v>
      </c>
      <c r="BX394" s="13" t="str">
        <f>VLOOKUP($BT394,Enriched!$A$2:$E$1070,4,false)</f>
        <v>["Agricultural &amp; forestry effluents", "Industrial &amp; military effluents", "Domestic &amp; urban waste water", "Commercial &amp; industrial areas", "Recreational activities", "Habitat shifting &amp; alteration", "Excess energy", "Air-borne pollutants", "Shipping lanes", "Invasive non-native/alien species/diseases", "Garbage &amp; solid waste", "Marine &amp; freshwater aquaculture", "Fishing &amp; harvesting aquatic resources", "Oil &amp; gas drilling", "Temperature extremes"]</v>
      </c>
      <c r="BY394" s="13" t="b">
        <f>VLOOKUP(BT394,Enriched!$A$1:$AA$1070,27,falsE)</f>
        <v>1</v>
      </c>
      <c r="BZ394" s="2" t="str">
        <f>VLOOKUP(BT394,Enriched!$A$1:$AA$1070,14,falsE)</f>
        <v>cumulative</v>
      </c>
      <c r="CA394" s="13" t="str">
        <f>HYPERLINK("https%3A%2F%2Fwww.webofscience.com%2Fwos%2Fwoscc%2Ffull-record%2FWOS:000279223500006","View Full Record in Web of Science")</f>
        <v>View Full Record in Web of Science</v>
      </c>
    </row>
    <row r="395" ht="12.75" customHeight="1">
      <c r="A395" s="13" t="s">
        <v>5508</v>
      </c>
      <c r="B395" s="13" t="s">
        <v>12772</v>
      </c>
      <c r="C395" s="13" t="s">
        <v>5510</v>
      </c>
      <c r="D395" s="13" t="s">
        <v>5510</v>
      </c>
      <c r="E395" s="13" t="s">
        <v>5510</v>
      </c>
      <c r="F395" s="13" t="s">
        <v>12773</v>
      </c>
      <c r="G395" s="13" t="s">
        <v>5510</v>
      </c>
      <c r="H395" s="13" t="s">
        <v>5510</v>
      </c>
      <c r="I395" s="13" t="s">
        <v>1856</v>
      </c>
      <c r="J395" s="13" t="s">
        <v>10175</v>
      </c>
      <c r="K395" s="13" t="s">
        <v>5510</v>
      </c>
      <c r="L395" s="13" t="s">
        <v>5510</v>
      </c>
      <c r="M395" s="13" t="s">
        <v>5513</v>
      </c>
      <c r="N395" s="13" t="s">
        <v>5514</v>
      </c>
      <c r="O395" s="13" t="s">
        <v>5510</v>
      </c>
      <c r="P395" s="13" t="s">
        <v>5510</v>
      </c>
      <c r="Q395" s="13" t="s">
        <v>5510</v>
      </c>
      <c r="R395" s="13" t="s">
        <v>5510</v>
      </c>
      <c r="S395" s="13" t="s">
        <v>5510</v>
      </c>
      <c r="T395" s="13" t="s">
        <v>12774</v>
      </c>
      <c r="U395" s="13" t="s">
        <v>12775</v>
      </c>
      <c r="V395" s="13" t="s">
        <v>12776</v>
      </c>
      <c r="W395" s="13" t="s">
        <v>12777</v>
      </c>
      <c r="X395" s="13" t="s">
        <v>12778</v>
      </c>
      <c r="Y395" s="13" t="s">
        <v>12779</v>
      </c>
      <c r="Z395" s="13" t="s">
        <v>8706</v>
      </c>
      <c r="AA395" s="13" t="s">
        <v>5510</v>
      </c>
      <c r="AB395" s="13" t="s">
        <v>12780</v>
      </c>
      <c r="AC395" s="13" t="s">
        <v>5510</v>
      </c>
      <c r="AD395" s="13" t="s">
        <v>5510</v>
      </c>
      <c r="AE395" s="13" t="s">
        <v>5510</v>
      </c>
      <c r="AF395" s="13" t="s">
        <v>5510</v>
      </c>
      <c r="AG395" s="13">
        <v>46.0</v>
      </c>
      <c r="AH395" s="13">
        <v>54.0</v>
      </c>
      <c r="AI395" s="13">
        <v>60.0</v>
      </c>
      <c r="AJ395" s="13">
        <v>0.0</v>
      </c>
      <c r="AK395" s="13">
        <v>86.0</v>
      </c>
      <c r="AL395" s="13" t="s">
        <v>5527</v>
      </c>
      <c r="AM395" s="13" t="s">
        <v>5528</v>
      </c>
      <c r="AN395" s="13" t="s">
        <v>5529</v>
      </c>
      <c r="AO395" s="13" t="s">
        <v>10187</v>
      </c>
      <c r="AP395" s="13" t="s">
        <v>10188</v>
      </c>
      <c r="AQ395" s="13" t="s">
        <v>5510</v>
      </c>
      <c r="AR395" s="13" t="s">
        <v>10175</v>
      </c>
      <c r="AS395" s="13" t="s">
        <v>829</v>
      </c>
      <c r="AT395" s="13" t="s">
        <v>5866</v>
      </c>
      <c r="AU395" s="13">
        <v>2016.0</v>
      </c>
      <c r="AV395" s="13">
        <v>48.0</v>
      </c>
      <c r="AW395" s="13">
        <v>3.0</v>
      </c>
      <c r="AX395" s="13" t="s">
        <v>5510</v>
      </c>
      <c r="AY395" s="13" t="s">
        <v>5510</v>
      </c>
      <c r="AZ395" s="13" t="s">
        <v>5510</v>
      </c>
      <c r="BA395" s="13" t="s">
        <v>5510</v>
      </c>
      <c r="BB395" s="13">
        <v>405.0</v>
      </c>
      <c r="BC395" s="13">
        <v>412.0</v>
      </c>
      <c r="BD395" s="13" t="s">
        <v>5510</v>
      </c>
      <c r="BE395" s="13" t="s">
        <v>12781</v>
      </c>
      <c r="BF395" s="52" t="str">
        <f>HYPERLINK("http://dx.doi.org/10.1111/btp.12286","http://dx.doi.org/10.1111/btp.12286")</f>
        <v>http://dx.doi.org/10.1111/btp.12286</v>
      </c>
      <c r="BG395" s="13" t="s">
        <v>5510</v>
      </c>
      <c r="BH395" s="13" t="s">
        <v>5510</v>
      </c>
      <c r="BI395" s="13">
        <v>8.0</v>
      </c>
      <c r="BJ395" s="13" t="s">
        <v>5533</v>
      </c>
      <c r="BK395" s="13" t="s">
        <v>5561</v>
      </c>
      <c r="BL395" s="13" t="s">
        <v>5535</v>
      </c>
      <c r="BM395" s="13" t="s">
        <v>12782</v>
      </c>
      <c r="BN395" s="13" t="s">
        <v>5510</v>
      </c>
      <c r="BO395" s="13" t="s">
        <v>5510</v>
      </c>
      <c r="BP395" s="13" t="s">
        <v>5510</v>
      </c>
      <c r="BQ395" s="13" t="s">
        <v>5510</v>
      </c>
      <c r="BR395" s="13" t="s">
        <v>5538</v>
      </c>
      <c r="BS395" s="13" t="s">
        <v>12783</v>
      </c>
      <c r="BT395" s="13">
        <v>26137.0</v>
      </c>
      <c r="BU395" s="13" t="s">
        <v>5540</v>
      </c>
      <c r="BV395" s="13" t="s">
        <v>4856</v>
      </c>
      <c r="BW395" s="13" t="str">
        <f>VLOOKUP($BT395,Enriched!$A$2:$E$1070,5,false)</f>
        <v>["Biological resource use"]</v>
      </c>
      <c r="BX395" s="13" t="str">
        <f>VLOOKUP($BT395,Enriched!$A$2:$E$1070,4,false)</f>
        <v>["Hunting &amp; collecting terrestrial animals"]</v>
      </c>
      <c r="BY395" s="13" t="b">
        <f>VLOOKUP(BT395,Enriched!$A$1:$AA$1070,27,falsE)</f>
        <v>0</v>
      </c>
      <c r="BZ395" s="2" t="str">
        <f>VLOOKUP(BT395,Enriched!$A$1:$AA$1070,14,falsE)</f>
        <v>level2</v>
      </c>
      <c r="CA395" s="13" t="str">
        <f>HYPERLINK("https%3A%2F%2Fwww.webofscience.com%2Fwos%2Fwoscc%2Ffull-record%2FWOS:000375065200015","View Full Record in Web of Science")</f>
        <v>View Full Record in Web of Science</v>
      </c>
    </row>
    <row r="396" ht="12.75" customHeight="1">
      <c r="A396" s="13" t="s">
        <v>5508</v>
      </c>
      <c r="B396" s="13" t="s">
        <v>12784</v>
      </c>
      <c r="C396" s="13" t="s">
        <v>5510</v>
      </c>
      <c r="D396" s="13" t="s">
        <v>5510</v>
      </c>
      <c r="E396" s="13" t="s">
        <v>5510</v>
      </c>
      <c r="F396" s="13" t="s">
        <v>12785</v>
      </c>
      <c r="G396" s="13" t="s">
        <v>5510</v>
      </c>
      <c r="H396" s="13" t="s">
        <v>5510</v>
      </c>
      <c r="I396" s="13" t="s">
        <v>1852</v>
      </c>
      <c r="J396" s="13" t="s">
        <v>12786</v>
      </c>
      <c r="K396" s="13" t="s">
        <v>5510</v>
      </c>
      <c r="L396" s="13" t="s">
        <v>5510</v>
      </c>
      <c r="M396" s="13" t="s">
        <v>5513</v>
      </c>
      <c r="N396" s="13" t="s">
        <v>5514</v>
      </c>
      <c r="O396" s="13" t="s">
        <v>5510</v>
      </c>
      <c r="P396" s="13" t="s">
        <v>5510</v>
      </c>
      <c r="Q396" s="13" t="s">
        <v>5510</v>
      </c>
      <c r="R396" s="13" t="s">
        <v>5510</v>
      </c>
      <c r="S396" s="13" t="s">
        <v>5510</v>
      </c>
      <c r="T396" s="13" t="s">
        <v>12787</v>
      </c>
      <c r="U396" s="13" t="s">
        <v>12788</v>
      </c>
      <c r="V396" s="13" t="s">
        <v>12789</v>
      </c>
      <c r="W396" s="13" t="s">
        <v>12790</v>
      </c>
      <c r="X396" s="13" t="s">
        <v>12791</v>
      </c>
      <c r="Y396" s="13" t="s">
        <v>12792</v>
      </c>
      <c r="Z396" s="13" t="s">
        <v>12793</v>
      </c>
      <c r="AA396" s="13" t="s">
        <v>12794</v>
      </c>
      <c r="AB396" s="13" t="s">
        <v>12795</v>
      </c>
      <c r="AC396" s="13" t="s">
        <v>5510</v>
      </c>
      <c r="AD396" s="13" t="s">
        <v>5510</v>
      </c>
      <c r="AE396" s="13" t="s">
        <v>5510</v>
      </c>
      <c r="AF396" s="13" t="s">
        <v>5510</v>
      </c>
      <c r="AG396" s="13">
        <v>82.0</v>
      </c>
      <c r="AH396" s="13">
        <v>112.0</v>
      </c>
      <c r="AI396" s="13">
        <v>127.0</v>
      </c>
      <c r="AJ396" s="13">
        <v>5.0</v>
      </c>
      <c r="AK396" s="13">
        <v>217.0</v>
      </c>
      <c r="AL396" s="13" t="s">
        <v>5931</v>
      </c>
      <c r="AM396" s="13" t="s">
        <v>5932</v>
      </c>
      <c r="AN396" s="13" t="s">
        <v>5933</v>
      </c>
      <c r="AO396" s="13" t="s">
        <v>12796</v>
      </c>
      <c r="AP396" s="13" t="s">
        <v>12797</v>
      </c>
      <c r="AQ396" s="13" t="s">
        <v>5510</v>
      </c>
      <c r="AR396" s="13" t="s">
        <v>12798</v>
      </c>
      <c r="AS396" s="13" t="s">
        <v>12799</v>
      </c>
      <c r="AT396" s="13" t="s">
        <v>1453</v>
      </c>
      <c r="AU396" s="13">
        <v>2014.0</v>
      </c>
      <c r="AV396" s="13">
        <v>29.0</v>
      </c>
      <c r="AW396" s="13" t="s">
        <v>5510</v>
      </c>
      <c r="AX396" s="13" t="s">
        <v>5510</v>
      </c>
      <c r="AY396" s="13" t="s">
        <v>5510</v>
      </c>
      <c r="AZ396" s="13" t="s">
        <v>5510</v>
      </c>
      <c r="BA396" s="13" t="s">
        <v>5510</v>
      </c>
      <c r="BB396" s="13">
        <v>223.0</v>
      </c>
      <c r="BC396" s="13">
        <v>234.0</v>
      </c>
      <c r="BD396" s="13" t="s">
        <v>5510</v>
      </c>
      <c r="BE396" s="13" t="s">
        <v>12800</v>
      </c>
      <c r="BF396" s="52" t="str">
        <f>HYPERLINK("http://dx.doi.org/10.1016/j.gloenvcha.2014.08.007","http://dx.doi.org/10.1016/j.gloenvcha.2014.08.007")</f>
        <v>http://dx.doi.org/10.1016/j.gloenvcha.2014.08.007</v>
      </c>
      <c r="BG396" s="13" t="s">
        <v>5510</v>
      </c>
      <c r="BH396" s="13" t="s">
        <v>5510</v>
      </c>
      <c r="BI396" s="13">
        <v>12.0</v>
      </c>
      <c r="BJ396" s="13" t="s">
        <v>12801</v>
      </c>
      <c r="BK396" s="13" t="s">
        <v>5534</v>
      </c>
      <c r="BL396" s="13" t="s">
        <v>12802</v>
      </c>
      <c r="BM396" s="13" t="s">
        <v>12803</v>
      </c>
      <c r="BN396" s="13" t="s">
        <v>5510</v>
      </c>
      <c r="BO396" s="13" t="s">
        <v>5510</v>
      </c>
      <c r="BP396" s="13" t="s">
        <v>5510</v>
      </c>
      <c r="BQ396" s="13" t="s">
        <v>5510</v>
      </c>
      <c r="BR396" s="13" t="s">
        <v>5538</v>
      </c>
      <c r="BS396" s="13" t="s">
        <v>12804</v>
      </c>
      <c r="BT396" s="13">
        <v>25139.0</v>
      </c>
      <c r="BU396" s="13" t="s">
        <v>5540</v>
      </c>
      <c r="BV396" s="13" t="s">
        <v>4856</v>
      </c>
      <c r="BW396" s="13" t="str">
        <f>VLOOKUP($BT396,Enriched!$A$2:$E$1070,5,false)</f>
        <v>["Agriculture &amp; Aquaculture"]</v>
      </c>
      <c r="BX396" s="13" t="str">
        <f>VLOOKUP($BT396,Enriched!$A$2:$E$1070,4,false)</f>
        <v>["Livestock farming &amp; ranching"]</v>
      </c>
      <c r="BY396" s="13" t="b">
        <f>VLOOKUP(BT396,Enriched!$A$1:$AA$1070,27,falsE)</f>
        <v>0</v>
      </c>
      <c r="BZ396" s="2" t="str">
        <f>VLOOKUP(BT396,Enriched!$A$1:$AA$1070,14,falsE)</f>
        <v>level2</v>
      </c>
      <c r="CA396" s="13" t="str">
        <f>HYPERLINK("https%3A%2F%2Fwww.webofscience.com%2Fwos%2Fwoscc%2Ffull-record%2FWOS:000348017200020","View Full Record in Web of Science")</f>
        <v>View Full Record in Web of Science</v>
      </c>
    </row>
    <row r="397" ht="12.75" customHeight="1">
      <c r="A397" s="13" t="s">
        <v>5508</v>
      </c>
      <c r="B397" s="13" t="s">
        <v>12805</v>
      </c>
      <c r="C397" s="13" t="s">
        <v>5510</v>
      </c>
      <c r="D397" s="13" t="s">
        <v>5510</v>
      </c>
      <c r="E397" s="13" t="s">
        <v>5510</v>
      </c>
      <c r="F397" s="13" t="s">
        <v>12806</v>
      </c>
      <c r="G397" s="13" t="s">
        <v>5510</v>
      </c>
      <c r="H397" s="13" t="s">
        <v>5510</v>
      </c>
      <c r="I397" s="13" t="s">
        <v>1846</v>
      </c>
      <c r="J397" s="13" t="s">
        <v>5919</v>
      </c>
      <c r="K397" s="13" t="s">
        <v>5510</v>
      </c>
      <c r="L397" s="13" t="s">
        <v>5510</v>
      </c>
      <c r="M397" s="13" t="s">
        <v>5513</v>
      </c>
      <c r="N397" s="13" t="s">
        <v>5514</v>
      </c>
      <c r="O397" s="13" t="s">
        <v>5510</v>
      </c>
      <c r="P397" s="13" t="s">
        <v>5510</v>
      </c>
      <c r="Q397" s="13" t="s">
        <v>5510</v>
      </c>
      <c r="R397" s="13" t="s">
        <v>5510</v>
      </c>
      <c r="S397" s="13" t="s">
        <v>5510</v>
      </c>
      <c r="T397" s="13" t="s">
        <v>12807</v>
      </c>
      <c r="U397" s="13" t="s">
        <v>12808</v>
      </c>
      <c r="V397" s="13" t="s">
        <v>12809</v>
      </c>
      <c r="W397" s="13" t="s">
        <v>12810</v>
      </c>
      <c r="X397" s="13" t="s">
        <v>12811</v>
      </c>
      <c r="Y397" s="13" t="s">
        <v>12812</v>
      </c>
      <c r="Z397" s="13" t="s">
        <v>12813</v>
      </c>
      <c r="AA397" s="13" t="s">
        <v>5510</v>
      </c>
      <c r="AB397" s="13" t="s">
        <v>5510</v>
      </c>
      <c r="AC397" s="13" t="s">
        <v>12814</v>
      </c>
      <c r="AD397" s="13" t="s">
        <v>12814</v>
      </c>
      <c r="AE397" s="13" t="s">
        <v>12815</v>
      </c>
      <c r="AF397" s="13" t="s">
        <v>5510</v>
      </c>
      <c r="AG397" s="13">
        <v>93.0</v>
      </c>
      <c r="AH397" s="13">
        <v>95.0</v>
      </c>
      <c r="AI397" s="13">
        <v>107.0</v>
      </c>
      <c r="AJ397" s="13">
        <v>4.0</v>
      </c>
      <c r="AK397" s="13">
        <v>141.0</v>
      </c>
      <c r="AL397" s="13" t="s">
        <v>5931</v>
      </c>
      <c r="AM397" s="13" t="s">
        <v>5932</v>
      </c>
      <c r="AN397" s="13" t="s">
        <v>5933</v>
      </c>
      <c r="AO397" s="13" t="s">
        <v>5934</v>
      </c>
      <c r="AP397" s="13" t="s">
        <v>5935</v>
      </c>
      <c r="AQ397" s="13" t="s">
        <v>5510</v>
      </c>
      <c r="AR397" s="13" t="s">
        <v>5936</v>
      </c>
      <c r="AS397" s="13" t="s">
        <v>5937</v>
      </c>
      <c r="AT397" s="13" t="s">
        <v>1925</v>
      </c>
      <c r="AU397" s="13">
        <v>2008.0</v>
      </c>
      <c r="AV397" s="13">
        <v>141.0</v>
      </c>
      <c r="AW397" s="13">
        <v>9.0</v>
      </c>
      <c r="AX397" s="13" t="s">
        <v>5510</v>
      </c>
      <c r="AY397" s="13" t="s">
        <v>5510</v>
      </c>
      <c r="AZ397" s="13" t="s">
        <v>5510</v>
      </c>
      <c r="BA397" s="13" t="s">
        <v>5510</v>
      </c>
      <c r="BB397" s="13">
        <v>2342.0</v>
      </c>
      <c r="BC397" s="13">
        <v>2356.0</v>
      </c>
      <c r="BD397" s="13" t="s">
        <v>5510</v>
      </c>
      <c r="BE397" s="13" t="s">
        <v>12816</v>
      </c>
      <c r="BF397" s="52" t="str">
        <f>HYPERLINK("http://dx.doi.org/10.1016/j.biocon.2008.06.029","http://dx.doi.org/10.1016/j.biocon.2008.06.029")</f>
        <v>http://dx.doi.org/10.1016/j.biocon.2008.06.029</v>
      </c>
      <c r="BG397" s="13" t="s">
        <v>5510</v>
      </c>
      <c r="BH397" s="13" t="s">
        <v>5510</v>
      </c>
      <c r="BI397" s="13">
        <v>15.0</v>
      </c>
      <c r="BJ397" s="13" t="s">
        <v>5698</v>
      </c>
      <c r="BK397" s="13" t="s">
        <v>5561</v>
      </c>
      <c r="BL397" s="13" t="s">
        <v>5699</v>
      </c>
      <c r="BM397" s="13" t="s">
        <v>12817</v>
      </c>
      <c r="BN397" s="13" t="s">
        <v>5510</v>
      </c>
      <c r="BO397" s="13" t="s">
        <v>5510</v>
      </c>
      <c r="BP397" s="13" t="s">
        <v>5510</v>
      </c>
      <c r="BQ397" s="13" t="s">
        <v>5510</v>
      </c>
      <c r="BR397" s="13" t="s">
        <v>5538</v>
      </c>
      <c r="BS397" s="13" t="s">
        <v>12818</v>
      </c>
      <c r="BT397" s="13">
        <v>23368.0</v>
      </c>
      <c r="BU397" s="13" t="s">
        <v>5540</v>
      </c>
      <c r="BV397" s="13" t="s">
        <v>4856</v>
      </c>
      <c r="BW397" s="13" t="str">
        <f>VLOOKUP($BT397,Enriched!$A$2:$E$1070,5,false)</f>
        <v>["Energy Production &amp; Mining"]</v>
      </c>
      <c r="BX397" s="13" t="str">
        <f>VLOOKUP($BT397,Enriched!$A$2:$E$1070,4,false)</f>
        <v>["Renewable energy"]</v>
      </c>
      <c r="BY397" s="13" t="b">
        <f>VLOOKUP(BT397,Enriched!$A$1:$AA$1070,27,falsE)</f>
        <v>0</v>
      </c>
      <c r="BZ397" s="2" t="str">
        <f>VLOOKUP(BT397,Enriched!$A$1:$AA$1070,14,falsE)</f>
        <v>level2</v>
      </c>
      <c r="CA397" s="13" t="str">
        <f>HYPERLINK("https%3A%2F%2Fwww.webofscience.com%2Fwos%2Fwoscc%2Ffull-record%2FWOS:000260027100017","View Full Record in Web of Science")</f>
        <v>View Full Record in Web of Science</v>
      </c>
    </row>
    <row r="398" ht="12.75" customHeight="1">
      <c r="A398" s="13" t="s">
        <v>5508</v>
      </c>
      <c r="B398" s="13" t="s">
        <v>12819</v>
      </c>
      <c r="C398" s="13" t="s">
        <v>5510</v>
      </c>
      <c r="D398" s="13" t="s">
        <v>5510</v>
      </c>
      <c r="E398" s="13" t="s">
        <v>5510</v>
      </c>
      <c r="F398" s="13" t="s">
        <v>12820</v>
      </c>
      <c r="G398" s="13" t="s">
        <v>5510</v>
      </c>
      <c r="H398" s="13" t="s">
        <v>5510</v>
      </c>
      <c r="I398" s="13" t="s">
        <v>1843</v>
      </c>
      <c r="J398" s="13" t="s">
        <v>9414</v>
      </c>
      <c r="K398" s="13" t="s">
        <v>5510</v>
      </c>
      <c r="L398" s="13" t="s">
        <v>5510</v>
      </c>
      <c r="M398" s="13" t="s">
        <v>5513</v>
      </c>
      <c r="N398" s="13" t="s">
        <v>5514</v>
      </c>
      <c r="O398" s="13" t="s">
        <v>5510</v>
      </c>
      <c r="P398" s="13" t="s">
        <v>5510</v>
      </c>
      <c r="Q398" s="13" t="s">
        <v>5510</v>
      </c>
      <c r="R398" s="13" t="s">
        <v>5510</v>
      </c>
      <c r="S398" s="13" t="s">
        <v>5510</v>
      </c>
      <c r="T398" s="13" t="s">
        <v>12821</v>
      </c>
      <c r="U398" s="13" t="s">
        <v>12822</v>
      </c>
      <c r="V398" s="13" t="s">
        <v>12823</v>
      </c>
      <c r="W398" s="13" t="s">
        <v>12824</v>
      </c>
      <c r="X398" s="13" t="s">
        <v>12825</v>
      </c>
      <c r="Y398" s="13" t="s">
        <v>12826</v>
      </c>
      <c r="Z398" s="13" t="s">
        <v>12827</v>
      </c>
      <c r="AA398" s="13" t="s">
        <v>5510</v>
      </c>
      <c r="AB398" s="13" t="s">
        <v>12828</v>
      </c>
      <c r="AC398" s="13" t="s">
        <v>5510</v>
      </c>
      <c r="AD398" s="13" t="s">
        <v>5510</v>
      </c>
      <c r="AE398" s="13" t="s">
        <v>5510</v>
      </c>
      <c r="AF398" s="13" t="s">
        <v>5510</v>
      </c>
      <c r="AG398" s="13">
        <v>41.0</v>
      </c>
      <c r="AH398" s="13">
        <v>12.0</v>
      </c>
      <c r="AI398" s="13">
        <v>13.0</v>
      </c>
      <c r="AJ398" s="13">
        <v>0.0</v>
      </c>
      <c r="AK398" s="13">
        <v>11.0</v>
      </c>
      <c r="AL398" s="13" t="s">
        <v>5931</v>
      </c>
      <c r="AM398" s="13" t="s">
        <v>5932</v>
      </c>
      <c r="AN398" s="13" t="s">
        <v>5933</v>
      </c>
      <c r="AO398" s="13" t="s">
        <v>9427</v>
      </c>
      <c r="AP398" s="13" t="s">
        <v>9428</v>
      </c>
      <c r="AQ398" s="13" t="s">
        <v>5510</v>
      </c>
      <c r="AR398" s="13" t="s">
        <v>9429</v>
      </c>
      <c r="AS398" s="13" t="s">
        <v>9430</v>
      </c>
      <c r="AT398" s="13" t="s">
        <v>6089</v>
      </c>
      <c r="AU398" s="13">
        <v>2017.0</v>
      </c>
      <c r="AV398" s="13">
        <v>77.0</v>
      </c>
      <c r="AW398" s="13" t="s">
        <v>5510</v>
      </c>
      <c r="AX398" s="13" t="s">
        <v>5510</v>
      </c>
      <c r="AY398" s="13" t="s">
        <v>5510</v>
      </c>
      <c r="AZ398" s="13" t="s">
        <v>5510</v>
      </c>
      <c r="BA398" s="13" t="s">
        <v>5510</v>
      </c>
      <c r="BB398" s="13">
        <v>171.0</v>
      </c>
      <c r="BC398" s="13">
        <v>175.0</v>
      </c>
      <c r="BD398" s="13" t="s">
        <v>5510</v>
      </c>
      <c r="BE398" s="13" t="s">
        <v>12829</v>
      </c>
      <c r="BF398" s="52" t="str">
        <f>HYPERLINK("http://dx.doi.org/10.1016/j.marpol.2017.01.003","http://dx.doi.org/10.1016/j.marpol.2017.01.003")</f>
        <v>http://dx.doi.org/10.1016/j.marpol.2017.01.003</v>
      </c>
      <c r="BG398" s="13" t="s">
        <v>5510</v>
      </c>
      <c r="BH398" s="13" t="s">
        <v>5510</v>
      </c>
      <c r="BI398" s="13">
        <v>5.0</v>
      </c>
      <c r="BJ398" s="13" t="s">
        <v>9432</v>
      </c>
      <c r="BK398" s="13" t="s">
        <v>8375</v>
      </c>
      <c r="BL398" s="13" t="s">
        <v>9433</v>
      </c>
      <c r="BM398" s="13" t="s">
        <v>12830</v>
      </c>
      <c r="BN398" s="13" t="s">
        <v>5510</v>
      </c>
      <c r="BO398" s="13" t="s">
        <v>5510</v>
      </c>
      <c r="BP398" s="13" t="s">
        <v>5510</v>
      </c>
      <c r="BQ398" s="13" t="s">
        <v>5510</v>
      </c>
      <c r="BR398" s="13" t="s">
        <v>5538</v>
      </c>
      <c r="BS398" s="13" t="s">
        <v>12831</v>
      </c>
      <c r="BT398" s="13">
        <v>24728.0</v>
      </c>
      <c r="BU398" s="13" t="s">
        <v>5540</v>
      </c>
      <c r="BV398" s="13" t="s">
        <v>4864</v>
      </c>
      <c r="BW398" s="13" t="str">
        <f>VLOOKUP($BT398,Enriched!$A$2:$E$1070,5,false)</f>
        <v>["Human Intrusions &amp; Disturbance"]</v>
      </c>
      <c r="BX398" s="13" t="str">
        <f>VLOOKUP($BT398,Enriched!$A$2:$E$1070,4,false)</f>
        <v>["War, civil unrest &amp; military exercises"]</v>
      </c>
      <c r="BY398" s="13" t="b">
        <f>VLOOKUP(BT398,Enriched!$A$1:$AA$1070,27,falsE)</f>
        <v>0</v>
      </c>
      <c r="BZ398" s="2" t="str">
        <f>VLOOKUP(BT398,Enriched!$A$1:$AA$1070,14,falsE)</f>
        <v>level2</v>
      </c>
      <c r="CA398" s="13" t="str">
        <f>HYPERLINK("https%3A%2F%2Fwww.webofscience.com%2Fwos%2Fwoscc%2Ffull-record%2FWOS:000394557400021","View Full Record in Web of Science")</f>
        <v>View Full Record in Web of Science</v>
      </c>
    </row>
    <row r="399" ht="12.75" customHeight="1">
      <c r="A399" s="13" t="s">
        <v>5508</v>
      </c>
      <c r="B399" s="13" t="s">
        <v>12832</v>
      </c>
      <c r="C399" s="13" t="s">
        <v>5510</v>
      </c>
      <c r="D399" s="13" t="s">
        <v>5510</v>
      </c>
      <c r="E399" s="13" t="s">
        <v>5510</v>
      </c>
      <c r="F399" s="13" t="s">
        <v>12833</v>
      </c>
      <c r="G399" s="13" t="s">
        <v>5510</v>
      </c>
      <c r="H399" s="13" t="s">
        <v>5510</v>
      </c>
      <c r="I399" s="13" t="s">
        <v>1836</v>
      </c>
      <c r="J399" s="13" t="s">
        <v>12834</v>
      </c>
      <c r="K399" s="13" t="s">
        <v>5510</v>
      </c>
      <c r="L399" s="13" t="s">
        <v>5510</v>
      </c>
      <c r="M399" s="13" t="s">
        <v>5513</v>
      </c>
      <c r="N399" s="13" t="s">
        <v>5514</v>
      </c>
      <c r="O399" s="13" t="s">
        <v>5510</v>
      </c>
      <c r="P399" s="13" t="s">
        <v>5510</v>
      </c>
      <c r="Q399" s="13" t="s">
        <v>5510</v>
      </c>
      <c r="R399" s="13" t="s">
        <v>5510</v>
      </c>
      <c r="S399" s="13" t="s">
        <v>5510</v>
      </c>
      <c r="T399" s="13" t="s">
        <v>12835</v>
      </c>
      <c r="U399" s="13" t="s">
        <v>12836</v>
      </c>
      <c r="V399" s="13" t="s">
        <v>12837</v>
      </c>
      <c r="W399" s="13" t="s">
        <v>12838</v>
      </c>
      <c r="X399" s="13" t="s">
        <v>12839</v>
      </c>
      <c r="Y399" s="13" t="s">
        <v>12840</v>
      </c>
      <c r="Z399" s="13" t="s">
        <v>12841</v>
      </c>
      <c r="AA399" s="13" t="s">
        <v>12842</v>
      </c>
      <c r="AB399" s="13" t="s">
        <v>12843</v>
      </c>
      <c r="AC399" s="13" t="s">
        <v>5510</v>
      </c>
      <c r="AD399" s="13" t="s">
        <v>5510</v>
      </c>
      <c r="AE399" s="13" t="s">
        <v>5510</v>
      </c>
      <c r="AF399" s="13" t="s">
        <v>5510</v>
      </c>
      <c r="AG399" s="13">
        <v>59.0</v>
      </c>
      <c r="AH399" s="13">
        <v>10.0</v>
      </c>
      <c r="AI399" s="13">
        <v>15.0</v>
      </c>
      <c r="AJ399" s="13">
        <v>0.0</v>
      </c>
      <c r="AK399" s="13">
        <v>55.0</v>
      </c>
      <c r="AL399" s="13" t="s">
        <v>12844</v>
      </c>
      <c r="AM399" s="13" t="s">
        <v>7386</v>
      </c>
      <c r="AN399" s="13" t="s">
        <v>12845</v>
      </c>
      <c r="AO399" s="13" t="s">
        <v>12846</v>
      </c>
      <c r="AP399" s="13" t="s">
        <v>12847</v>
      </c>
      <c r="AQ399" s="13" t="s">
        <v>5510</v>
      </c>
      <c r="AR399" s="13" t="s">
        <v>12848</v>
      </c>
      <c r="AS399" s="13" t="s">
        <v>12849</v>
      </c>
      <c r="AT399" s="13" t="s">
        <v>5510</v>
      </c>
      <c r="AU399" s="13">
        <v>2013.0</v>
      </c>
      <c r="AV399" s="13">
        <v>16.0</v>
      </c>
      <c r="AW399" s="13" t="s">
        <v>12850</v>
      </c>
      <c r="AX399" s="13" t="s">
        <v>5510</v>
      </c>
      <c r="AY399" s="13" t="s">
        <v>5510</v>
      </c>
      <c r="AZ399" s="13" t="s">
        <v>5646</v>
      </c>
      <c r="BA399" s="13" t="s">
        <v>5510</v>
      </c>
      <c r="BB399" s="13">
        <v>700.0</v>
      </c>
      <c r="BC399" s="13">
        <v>718.0</v>
      </c>
      <c r="BD399" s="13" t="s">
        <v>5510</v>
      </c>
      <c r="BE399" s="13" t="s">
        <v>12851</v>
      </c>
      <c r="BF399" s="52" t="str">
        <f>HYPERLINK("http://dx.doi.org/10.1080/13683500.2013.785483","http://dx.doi.org/10.1080/13683500.2013.785483")</f>
        <v>http://dx.doi.org/10.1080/13683500.2013.785483</v>
      </c>
      <c r="BG399" s="13" t="s">
        <v>5510</v>
      </c>
      <c r="BH399" s="13" t="s">
        <v>5510</v>
      </c>
      <c r="BI399" s="13">
        <v>19.0</v>
      </c>
      <c r="BJ399" s="13" t="s">
        <v>12852</v>
      </c>
      <c r="BK399" s="13" t="s">
        <v>8375</v>
      </c>
      <c r="BL399" s="13" t="s">
        <v>12853</v>
      </c>
      <c r="BM399" s="13" t="s">
        <v>12854</v>
      </c>
      <c r="BN399" s="13" t="s">
        <v>5510</v>
      </c>
      <c r="BO399" s="13" t="s">
        <v>5510</v>
      </c>
      <c r="BP399" s="13" t="s">
        <v>5510</v>
      </c>
      <c r="BQ399" s="13" t="s">
        <v>5510</v>
      </c>
      <c r="BR399" s="13" t="s">
        <v>5538</v>
      </c>
      <c r="BS399" s="13" t="s">
        <v>12855</v>
      </c>
      <c r="BT399" s="13">
        <v>24894.0</v>
      </c>
      <c r="BU399" s="13" t="s">
        <v>5540</v>
      </c>
      <c r="BV399" s="13" t="s">
        <v>4856</v>
      </c>
      <c r="BW399" s="13" t="str">
        <f>VLOOKUP($BT399,Enriched!$A$2:$E$1070,5,false)</f>
        <v>["Residential &amp; Commercial Development", "Human Intrusions &amp; Disturbance"]</v>
      </c>
      <c r="BX399" s="13" t="str">
        <f>VLOOKUP($BT399,Enriched!$A$2:$E$1070,4,false)</f>
        <v>["Tourism &amp; recreation areas", "Recreational activities"]</v>
      </c>
      <c r="BY399" s="13" t="b">
        <f>VLOOKUP(BT399,Enriched!$A$1:$AA$1070,27,falsE)</f>
        <v>0</v>
      </c>
      <c r="BZ399" s="2" t="str">
        <f>VLOOKUP(BT399,Enriched!$A$1:$AA$1070,14,falsE)</f>
        <v>level2</v>
      </c>
      <c r="CA399" s="13" t="str">
        <f>HYPERLINK("https%3A%2F%2Fwww.webofscience.com%2Fwos%2Fwoscc%2Ffull-record%2FWOS:000330409100006","View Full Record in Web of Science")</f>
        <v>View Full Record in Web of Science</v>
      </c>
    </row>
    <row r="400" ht="12.75" customHeight="1">
      <c r="A400" s="13" t="s">
        <v>5508</v>
      </c>
      <c r="B400" s="13" t="s">
        <v>12856</v>
      </c>
      <c r="C400" s="13" t="s">
        <v>5510</v>
      </c>
      <c r="D400" s="13" t="s">
        <v>5510</v>
      </c>
      <c r="E400" s="13" t="s">
        <v>5510</v>
      </c>
      <c r="F400" s="13" t="s">
        <v>12857</v>
      </c>
      <c r="G400" s="13" t="s">
        <v>5510</v>
      </c>
      <c r="H400" s="13" t="s">
        <v>5510</v>
      </c>
      <c r="I400" s="13" t="s">
        <v>1833</v>
      </c>
      <c r="J400" s="13" t="s">
        <v>6704</v>
      </c>
      <c r="K400" s="13" t="s">
        <v>5510</v>
      </c>
      <c r="L400" s="13" t="s">
        <v>5510</v>
      </c>
      <c r="M400" s="13" t="s">
        <v>5513</v>
      </c>
      <c r="N400" s="13" t="s">
        <v>5514</v>
      </c>
      <c r="O400" s="13" t="s">
        <v>5510</v>
      </c>
      <c r="P400" s="13" t="s">
        <v>5510</v>
      </c>
      <c r="Q400" s="13" t="s">
        <v>5510</v>
      </c>
      <c r="R400" s="13" t="s">
        <v>5510</v>
      </c>
      <c r="S400" s="13" t="s">
        <v>5510</v>
      </c>
      <c r="T400" s="13" t="s">
        <v>12858</v>
      </c>
      <c r="U400" s="13" t="s">
        <v>12859</v>
      </c>
      <c r="V400" s="13" t="s">
        <v>12860</v>
      </c>
      <c r="W400" s="13" t="s">
        <v>12861</v>
      </c>
      <c r="X400" s="13" t="s">
        <v>5817</v>
      </c>
      <c r="Y400" s="13" t="s">
        <v>12862</v>
      </c>
      <c r="Z400" s="13" t="s">
        <v>12863</v>
      </c>
      <c r="AA400" s="13" t="s">
        <v>12864</v>
      </c>
      <c r="AB400" s="13" t="s">
        <v>12865</v>
      </c>
      <c r="AC400" s="13" t="s">
        <v>12866</v>
      </c>
      <c r="AD400" s="13" t="s">
        <v>12867</v>
      </c>
      <c r="AE400" s="13" t="s">
        <v>12868</v>
      </c>
      <c r="AF400" s="13" t="s">
        <v>5510</v>
      </c>
      <c r="AG400" s="13">
        <v>63.0</v>
      </c>
      <c r="AH400" s="13">
        <v>19.0</v>
      </c>
      <c r="AI400" s="13">
        <v>22.0</v>
      </c>
      <c r="AJ400" s="13">
        <v>1.0</v>
      </c>
      <c r="AK400" s="13">
        <v>32.0</v>
      </c>
      <c r="AL400" s="13" t="s">
        <v>6717</v>
      </c>
      <c r="AM400" s="13" t="s">
        <v>5932</v>
      </c>
      <c r="AN400" s="13" t="s">
        <v>6718</v>
      </c>
      <c r="AO400" s="13" t="s">
        <v>6719</v>
      </c>
      <c r="AP400" s="13" t="s">
        <v>12869</v>
      </c>
      <c r="AQ400" s="13" t="s">
        <v>5510</v>
      </c>
      <c r="AR400" s="13" t="s">
        <v>6720</v>
      </c>
      <c r="AS400" s="13" t="s">
        <v>6721</v>
      </c>
      <c r="AT400" s="13" t="s">
        <v>6089</v>
      </c>
      <c r="AU400" s="13">
        <v>2018.0</v>
      </c>
      <c r="AV400" s="13">
        <v>59.0</v>
      </c>
      <c r="AW400" s="13" t="s">
        <v>5510</v>
      </c>
      <c r="AX400" s="13" t="s">
        <v>5510</v>
      </c>
      <c r="AY400" s="13" t="s">
        <v>5510</v>
      </c>
      <c r="AZ400" s="13" t="s">
        <v>5510</v>
      </c>
      <c r="BA400" s="13" t="s">
        <v>5510</v>
      </c>
      <c r="BB400" s="13">
        <v>86.0</v>
      </c>
      <c r="BC400" s="13">
        <v>95.0</v>
      </c>
      <c r="BD400" s="13" t="s">
        <v>5510</v>
      </c>
      <c r="BE400" s="13" t="s">
        <v>12870</v>
      </c>
      <c r="BF400" s="52" t="str">
        <f>HYPERLINK("http://dx.doi.org/10.1016/j.trd.2017.12.003","http://dx.doi.org/10.1016/j.trd.2017.12.003")</f>
        <v>http://dx.doi.org/10.1016/j.trd.2017.12.003</v>
      </c>
      <c r="BG400" s="13" t="s">
        <v>5510</v>
      </c>
      <c r="BH400" s="13" t="s">
        <v>5510</v>
      </c>
      <c r="BI400" s="13">
        <v>10.0</v>
      </c>
      <c r="BJ400" s="13" t="s">
        <v>6723</v>
      </c>
      <c r="BK400" s="13" t="s">
        <v>5534</v>
      </c>
      <c r="BL400" s="13" t="s">
        <v>6724</v>
      </c>
      <c r="BM400" s="13" t="s">
        <v>12871</v>
      </c>
      <c r="BN400" s="13" t="s">
        <v>5510</v>
      </c>
      <c r="BO400" s="13" t="s">
        <v>6623</v>
      </c>
      <c r="BP400" s="13" t="s">
        <v>5510</v>
      </c>
      <c r="BQ400" s="13" t="s">
        <v>5510</v>
      </c>
      <c r="BR400" s="13" t="s">
        <v>5538</v>
      </c>
      <c r="BS400" s="13" t="s">
        <v>12872</v>
      </c>
      <c r="BT400" s="13">
        <v>25930.0</v>
      </c>
      <c r="BU400" s="13" t="s">
        <v>5540</v>
      </c>
      <c r="BV400" s="13" t="s">
        <v>4856</v>
      </c>
      <c r="BW400" s="13" t="str">
        <f>VLOOKUP($BT400,Enriched!$A$2:$E$1070,5,false)</f>
        <v>["Transportation &amp; Service Corridors"]</v>
      </c>
      <c r="BX400" s="13" t="str">
        <f>VLOOKUP($BT400,Enriched!$A$2:$E$1070,4,false)</f>
        <v>["Roads &amp; railroads"]</v>
      </c>
      <c r="BY400" s="13" t="b">
        <f>VLOOKUP(BT400,Enriched!$A$1:$AA$1070,27,falsE)</f>
        <v>0</v>
      </c>
      <c r="BZ400" s="2" t="str">
        <f>VLOOKUP(BT400,Enriched!$A$1:$AA$1070,14,falsE)</f>
        <v>level2</v>
      </c>
      <c r="CA400" s="13" t="str">
        <f>HYPERLINK("https%3A%2F%2Fwww.webofscience.com%2Fwos%2Fwoscc%2Ffull-record%2FWOS:000428100700008","View Full Record in Web of Science")</f>
        <v>View Full Record in Web of Science</v>
      </c>
    </row>
    <row r="401" ht="12.75" customHeight="1">
      <c r="A401" s="13" t="s">
        <v>5508</v>
      </c>
      <c r="B401" s="13" t="s">
        <v>12873</v>
      </c>
      <c r="C401" s="13" t="s">
        <v>5510</v>
      </c>
      <c r="D401" s="13" t="s">
        <v>5510</v>
      </c>
      <c r="E401" s="13" t="s">
        <v>5510</v>
      </c>
      <c r="F401" s="13" t="s">
        <v>12874</v>
      </c>
      <c r="G401" s="13" t="s">
        <v>5510</v>
      </c>
      <c r="H401" s="13" t="s">
        <v>5510</v>
      </c>
      <c r="I401" s="13" t="s">
        <v>1825</v>
      </c>
      <c r="J401" s="13" t="s">
        <v>6333</v>
      </c>
      <c r="K401" s="13" t="s">
        <v>5510</v>
      </c>
      <c r="L401" s="13" t="s">
        <v>5510</v>
      </c>
      <c r="M401" s="13" t="s">
        <v>5513</v>
      </c>
      <c r="N401" s="13" t="s">
        <v>5514</v>
      </c>
      <c r="O401" s="13" t="s">
        <v>5510</v>
      </c>
      <c r="P401" s="13" t="s">
        <v>5510</v>
      </c>
      <c r="Q401" s="13" t="s">
        <v>5510</v>
      </c>
      <c r="R401" s="13" t="s">
        <v>5510</v>
      </c>
      <c r="S401" s="13" t="s">
        <v>5510</v>
      </c>
      <c r="T401" s="13" t="s">
        <v>12875</v>
      </c>
      <c r="U401" s="13" t="s">
        <v>12876</v>
      </c>
      <c r="V401" s="13" t="s">
        <v>12877</v>
      </c>
      <c r="W401" s="13" t="s">
        <v>12878</v>
      </c>
      <c r="X401" s="13" t="s">
        <v>12879</v>
      </c>
      <c r="Y401" s="13" t="s">
        <v>12880</v>
      </c>
      <c r="Z401" s="13" t="s">
        <v>12881</v>
      </c>
      <c r="AA401" s="13" t="s">
        <v>12882</v>
      </c>
      <c r="AB401" s="13" t="s">
        <v>12883</v>
      </c>
      <c r="AC401" s="13" t="s">
        <v>12884</v>
      </c>
      <c r="AD401" s="13" t="s">
        <v>12885</v>
      </c>
      <c r="AE401" s="13" t="s">
        <v>12886</v>
      </c>
      <c r="AF401" s="13" t="s">
        <v>5510</v>
      </c>
      <c r="AG401" s="13">
        <v>56.0</v>
      </c>
      <c r="AH401" s="13">
        <v>18.0</v>
      </c>
      <c r="AI401" s="13">
        <v>19.0</v>
      </c>
      <c r="AJ401" s="13">
        <v>1.0</v>
      </c>
      <c r="AK401" s="13">
        <v>52.0</v>
      </c>
      <c r="AL401" s="13" t="s">
        <v>5527</v>
      </c>
      <c r="AM401" s="13" t="s">
        <v>5528</v>
      </c>
      <c r="AN401" s="13" t="s">
        <v>5529</v>
      </c>
      <c r="AO401" s="13" t="s">
        <v>6342</v>
      </c>
      <c r="AP401" s="13" t="s">
        <v>6343</v>
      </c>
      <c r="AQ401" s="13" t="s">
        <v>5510</v>
      </c>
      <c r="AR401" s="13" t="s">
        <v>6344</v>
      </c>
      <c r="AS401" s="13" t="s">
        <v>6345</v>
      </c>
      <c r="AT401" s="13" t="s">
        <v>6828</v>
      </c>
      <c r="AU401" s="13">
        <v>2018.0</v>
      </c>
      <c r="AV401" s="13">
        <v>32.0</v>
      </c>
      <c r="AW401" s="13">
        <v>2.0</v>
      </c>
      <c r="AX401" s="13" t="s">
        <v>5510</v>
      </c>
      <c r="AY401" s="13" t="s">
        <v>5510</v>
      </c>
      <c r="AZ401" s="13" t="s">
        <v>5510</v>
      </c>
      <c r="BA401" s="13" t="s">
        <v>5510</v>
      </c>
      <c r="BB401" s="13">
        <v>411.0</v>
      </c>
      <c r="BC401" s="13">
        <v>423.0</v>
      </c>
      <c r="BD401" s="13" t="s">
        <v>5510</v>
      </c>
      <c r="BE401" s="13" t="s">
        <v>12887</v>
      </c>
      <c r="BF401" s="52" t="str">
        <f>HYPERLINK("http://dx.doi.org/10.1111/cobi.12992","http://dx.doi.org/10.1111/cobi.12992")</f>
        <v>http://dx.doi.org/10.1111/cobi.12992</v>
      </c>
      <c r="BG401" s="13" t="s">
        <v>5510</v>
      </c>
      <c r="BH401" s="13" t="s">
        <v>5510</v>
      </c>
      <c r="BI401" s="13">
        <v>13.0</v>
      </c>
      <c r="BJ401" s="13" t="s">
        <v>5698</v>
      </c>
      <c r="BK401" s="13" t="s">
        <v>5561</v>
      </c>
      <c r="BL401" s="13" t="s">
        <v>5699</v>
      </c>
      <c r="BM401" s="13" t="s">
        <v>12888</v>
      </c>
      <c r="BN401" s="13">
        <v>2.8766846E7</v>
      </c>
      <c r="BO401" s="13" t="s">
        <v>5510</v>
      </c>
      <c r="BP401" s="13" t="s">
        <v>5510</v>
      </c>
      <c r="BQ401" s="13" t="s">
        <v>5510</v>
      </c>
      <c r="BR401" s="13" t="s">
        <v>5538</v>
      </c>
      <c r="BS401" s="13" t="s">
        <v>12889</v>
      </c>
      <c r="BT401" s="13">
        <v>24154.0</v>
      </c>
      <c r="BU401" s="13" t="s">
        <v>5540</v>
      </c>
      <c r="BV401" s="13" t="s">
        <v>4864</v>
      </c>
      <c r="BW401" s="13" t="str">
        <f>VLOOKUP($BT401,Enriched!$A$2:$E$1070,5,false)</f>
        <v>["Biological Resource Use", "Energy Production &amp; Mining"]</v>
      </c>
      <c r="BX401" s="13" t="str">
        <f>VLOOKUP($BT401,Enriched!$A$2:$E$1070,4,false)</f>
        <v>["Fishing &amp; harvesting aquatic resources", "Oil &amp; gas drilling"]</v>
      </c>
      <c r="BY401" s="13" t="b">
        <f>VLOOKUP(BT401,Enriched!$A$1:$AA$1070,27,falsE)</f>
        <v>0</v>
      </c>
      <c r="BZ401" s="2" t="str">
        <f>VLOOKUP(BT401,Enriched!$A$1:$AA$1070,14,falsE)</f>
        <v>level2</v>
      </c>
      <c r="CA401" s="13" t="str">
        <f>HYPERLINK("https%3A%2F%2Fwww.webofscience.com%2Fwos%2Fwoscc%2Ffull-record%2FWOS:000428319600016","View Full Record in Web of Science")</f>
        <v>View Full Record in Web of Science</v>
      </c>
    </row>
    <row r="402" ht="12.75" customHeight="1">
      <c r="A402" s="13" t="s">
        <v>5508</v>
      </c>
      <c r="B402" s="13" t="s">
        <v>12890</v>
      </c>
      <c r="C402" s="13" t="s">
        <v>5510</v>
      </c>
      <c r="D402" s="13" t="s">
        <v>5510</v>
      </c>
      <c r="E402" s="13" t="s">
        <v>5510</v>
      </c>
      <c r="F402" s="13" t="s">
        <v>12891</v>
      </c>
      <c r="G402" s="13" t="s">
        <v>5510</v>
      </c>
      <c r="H402" s="13" t="s">
        <v>5510</v>
      </c>
      <c r="I402" s="13" t="s">
        <v>1817</v>
      </c>
      <c r="J402" s="13" t="s">
        <v>5677</v>
      </c>
      <c r="K402" s="13" t="s">
        <v>5510</v>
      </c>
      <c r="L402" s="13" t="s">
        <v>5510</v>
      </c>
      <c r="M402" s="13" t="s">
        <v>5513</v>
      </c>
      <c r="N402" s="13" t="s">
        <v>5514</v>
      </c>
      <c r="O402" s="13" t="s">
        <v>5510</v>
      </c>
      <c r="P402" s="13" t="s">
        <v>5510</v>
      </c>
      <c r="Q402" s="13" t="s">
        <v>5510</v>
      </c>
      <c r="R402" s="13" t="s">
        <v>5510</v>
      </c>
      <c r="S402" s="13" t="s">
        <v>5510</v>
      </c>
      <c r="T402" s="13" t="s">
        <v>12892</v>
      </c>
      <c r="U402" s="13" t="s">
        <v>12893</v>
      </c>
      <c r="V402" s="13" t="s">
        <v>12894</v>
      </c>
      <c r="W402" s="13" t="s">
        <v>12895</v>
      </c>
      <c r="X402" s="13" t="s">
        <v>12896</v>
      </c>
      <c r="Y402" s="13" t="s">
        <v>12897</v>
      </c>
      <c r="Z402" s="13" t="s">
        <v>12898</v>
      </c>
      <c r="AA402" s="13" t="s">
        <v>12899</v>
      </c>
      <c r="AB402" s="13" t="s">
        <v>12900</v>
      </c>
      <c r="AC402" s="13" t="s">
        <v>5510</v>
      </c>
      <c r="AD402" s="13" t="s">
        <v>5510</v>
      </c>
      <c r="AE402" s="13" t="s">
        <v>5510</v>
      </c>
      <c r="AF402" s="13" t="s">
        <v>5510</v>
      </c>
      <c r="AG402" s="13">
        <v>123.0</v>
      </c>
      <c r="AH402" s="13">
        <v>36.0</v>
      </c>
      <c r="AI402" s="13">
        <v>38.0</v>
      </c>
      <c r="AJ402" s="13">
        <v>3.0</v>
      </c>
      <c r="AK402" s="13">
        <v>55.0</v>
      </c>
      <c r="AL402" s="13" t="s">
        <v>5690</v>
      </c>
      <c r="AM402" s="13" t="s">
        <v>5691</v>
      </c>
      <c r="AN402" s="13" t="s">
        <v>5692</v>
      </c>
      <c r="AO402" s="13" t="s">
        <v>5693</v>
      </c>
      <c r="AP402" s="13" t="s">
        <v>5694</v>
      </c>
      <c r="AQ402" s="13" t="s">
        <v>5510</v>
      </c>
      <c r="AR402" s="13" t="s">
        <v>5695</v>
      </c>
      <c r="AS402" s="13" t="s">
        <v>5696</v>
      </c>
      <c r="AT402" s="13" t="s">
        <v>5582</v>
      </c>
      <c r="AU402" s="13">
        <v>2020.0</v>
      </c>
      <c r="AV402" s="13">
        <v>29.0</v>
      </c>
      <c r="AW402" s="13">
        <v>1.0</v>
      </c>
      <c r="AX402" s="13" t="s">
        <v>5510</v>
      </c>
      <c r="AY402" s="13" t="s">
        <v>5510</v>
      </c>
      <c r="AZ402" s="13" t="s">
        <v>5510</v>
      </c>
      <c r="BA402" s="13" t="s">
        <v>5510</v>
      </c>
      <c r="BB402" s="13">
        <v>251.0</v>
      </c>
      <c r="BC402" s="13">
        <v>282.0</v>
      </c>
      <c r="BD402" s="13" t="s">
        <v>5510</v>
      </c>
      <c r="BE402" s="13" t="s">
        <v>12901</v>
      </c>
      <c r="BF402" s="52" t="str">
        <f>HYPERLINK("http://dx.doi.org/10.1007/s10531-019-01881-x","http://dx.doi.org/10.1007/s10531-019-01881-x")</f>
        <v>http://dx.doi.org/10.1007/s10531-019-01881-x</v>
      </c>
      <c r="BG402" s="13" t="s">
        <v>5510</v>
      </c>
      <c r="BH402" s="13" t="s">
        <v>5510</v>
      </c>
      <c r="BI402" s="13">
        <v>32.0</v>
      </c>
      <c r="BJ402" s="13" t="s">
        <v>5698</v>
      </c>
      <c r="BK402" s="13" t="s">
        <v>5561</v>
      </c>
      <c r="BL402" s="13" t="s">
        <v>5699</v>
      </c>
      <c r="BM402" s="13" t="s">
        <v>12902</v>
      </c>
      <c r="BN402" s="13" t="s">
        <v>5510</v>
      </c>
      <c r="BO402" s="13" t="s">
        <v>5510</v>
      </c>
      <c r="BP402" s="13" t="s">
        <v>5510</v>
      </c>
      <c r="BQ402" s="13" t="s">
        <v>5510</v>
      </c>
      <c r="BR402" s="13" t="s">
        <v>5538</v>
      </c>
      <c r="BS402" s="13" t="s">
        <v>12903</v>
      </c>
      <c r="BT402" s="13">
        <v>25832.0</v>
      </c>
      <c r="BU402" s="13" t="s">
        <v>5540</v>
      </c>
      <c r="BV402" s="13" t="s">
        <v>4864</v>
      </c>
      <c r="BW402" s="13" t="str">
        <f>VLOOKUP($BT402,Enriched!$A$2:$E$1070,5,false)</f>
        <v>["Biological resource use"]</v>
      </c>
      <c r="BX402" s="13" t="str">
        <f>VLOOKUP($BT402,Enriched!$A$2:$E$1070,4,false)</f>
        <v>["Fishing &amp; harvesting aquatic resources"]</v>
      </c>
      <c r="BY402" s="13" t="b">
        <f>VLOOKUP(BT402,Enriched!$A$1:$AA$1070,27,falsE)</f>
        <v>0</v>
      </c>
      <c r="BZ402" s="2" t="str">
        <f>VLOOKUP(BT402,Enriched!$A$1:$AA$1070,14,falsE)</f>
        <v>level2</v>
      </c>
      <c r="CA402" s="13" t="str">
        <f>HYPERLINK("https%3A%2F%2Fwww.webofscience.com%2Fwos%2Fwoscc%2Ffull-record%2FWOS:000511866200014","View Full Record in Web of Science")</f>
        <v>View Full Record in Web of Science</v>
      </c>
    </row>
    <row r="403" ht="12.75" customHeight="1">
      <c r="A403" s="13" t="s">
        <v>5508</v>
      </c>
      <c r="B403" s="13" t="s">
        <v>12904</v>
      </c>
      <c r="C403" s="13" t="s">
        <v>5510</v>
      </c>
      <c r="D403" s="13" t="s">
        <v>5510</v>
      </c>
      <c r="E403" s="13" t="s">
        <v>5510</v>
      </c>
      <c r="F403" s="13" t="s">
        <v>12905</v>
      </c>
      <c r="G403" s="13" t="s">
        <v>5510</v>
      </c>
      <c r="H403" s="13" t="s">
        <v>5510</v>
      </c>
      <c r="I403" s="2" t="s">
        <v>1815</v>
      </c>
      <c r="J403" s="13" t="s">
        <v>6407</v>
      </c>
      <c r="K403" s="13" t="s">
        <v>5510</v>
      </c>
      <c r="L403" s="13" t="s">
        <v>5510</v>
      </c>
      <c r="M403" s="13" t="s">
        <v>5513</v>
      </c>
      <c r="N403" s="13" t="s">
        <v>5514</v>
      </c>
      <c r="O403" s="13" t="s">
        <v>5510</v>
      </c>
      <c r="P403" s="13" t="s">
        <v>5510</v>
      </c>
      <c r="Q403" s="13" t="s">
        <v>5510</v>
      </c>
      <c r="R403" s="13" t="s">
        <v>5510</v>
      </c>
      <c r="S403" s="13" t="s">
        <v>5510</v>
      </c>
      <c r="T403" s="13" t="s">
        <v>12906</v>
      </c>
      <c r="U403" s="13" t="s">
        <v>12907</v>
      </c>
      <c r="V403" s="13" t="s">
        <v>12908</v>
      </c>
      <c r="W403" s="13" t="s">
        <v>12909</v>
      </c>
      <c r="X403" s="13" t="s">
        <v>12910</v>
      </c>
      <c r="Y403" s="13" t="s">
        <v>12911</v>
      </c>
      <c r="Z403" s="13" t="s">
        <v>12912</v>
      </c>
      <c r="AA403" s="13" t="s">
        <v>12913</v>
      </c>
      <c r="AB403" s="13" t="s">
        <v>12914</v>
      </c>
      <c r="AC403" s="13" t="s">
        <v>12915</v>
      </c>
      <c r="AD403" s="13" t="s">
        <v>12915</v>
      </c>
      <c r="AE403" s="13" t="s">
        <v>12916</v>
      </c>
      <c r="AF403" s="13" t="s">
        <v>5510</v>
      </c>
      <c r="AG403" s="13">
        <v>86.0</v>
      </c>
      <c r="AH403" s="13">
        <v>50.0</v>
      </c>
      <c r="AI403" s="13">
        <v>54.0</v>
      </c>
      <c r="AJ403" s="13">
        <v>1.0</v>
      </c>
      <c r="AK403" s="13">
        <v>25.0</v>
      </c>
      <c r="AL403" s="13" t="s">
        <v>5759</v>
      </c>
      <c r="AM403" s="13" t="s">
        <v>5760</v>
      </c>
      <c r="AN403" s="13" t="s">
        <v>5761</v>
      </c>
      <c r="AO403" s="13" t="s">
        <v>6417</v>
      </c>
      <c r="AP403" s="13" t="s">
        <v>6418</v>
      </c>
      <c r="AQ403" s="13" t="s">
        <v>5510</v>
      </c>
      <c r="AR403" s="13" t="s">
        <v>6419</v>
      </c>
      <c r="AS403" s="13" t="s">
        <v>6420</v>
      </c>
      <c r="AT403" s="13" t="s">
        <v>2738</v>
      </c>
      <c r="AU403" s="13">
        <v>2018.0</v>
      </c>
      <c r="AV403" s="13">
        <v>85.0</v>
      </c>
      <c r="AW403" s="13" t="s">
        <v>5510</v>
      </c>
      <c r="AX403" s="13" t="s">
        <v>5510</v>
      </c>
      <c r="AY403" s="13" t="s">
        <v>5510</v>
      </c>
      <c r="AZ403" s="13" t="s">
        <v>5510</v>
      </c>
      <c r="BA403" s="13" t="s">
        <v>5510</v>
      </c>
      <c r="BB403" s="13">
        <v>21.0</v>
      </c>
      <c r="BC403" s="13">
        <v>36.0</v>
      </c>
      <c r="BD403" s="13" t="s">
        <v>5510</v>
      </c>
      <c r="BE403" s="13" t="s">
        <v>12917</v>
      </c>
      <c r="BF403" s="52" t="str">
        <f>HYPERLINK("http://dx.doi.org/10.1016/j.ecolind.2017.10.012","http://dx.doi.org/10.1016/j.ecolind.2017.10.012")</f>
        <v>http://dx.doi.org/10.1016/j.ecolind.2017.10.012</v>
      </c>
      <c r="BG403" s="13" t="s">
        <v>5510</v>
      </c>
      <c r="BH403" s="13" t="s">
        <v>5510</v>
      </c>
      <c r="BI403" s="13">
        <v>16.0</v>
      </c>
      <c r="BJ403" s="13" t="s">
        <v>6422</v>
      </c>
      <c r="BK403" s="13" t="s">
        <v>5561</v>
      </c>
      <c r="BL403" s="13" t="s">
        <v>5699</v>
      </c>
      <c r="BM403" s="13" t="s">
        <v>12918</v>
      </c>
      <c r="BN403" s="13" t="s">
        <v>5510</v>
      </c>
      <c r="BO403" s="13" t="s">
        <v>5510</v>
      </c>
      <c r="BP403" s="13" t="s">
        <v>5510</v>
      </c>
      <c r="BQ403" s="13" t="s">
        <v>5510</v>
      </c>
      <c r="BR403" s="13" t="s">
        <v>5538</v>
      </c>
      <c r="BS403" s="13" t="s">
        <v>12919</v>
      </c>
      <c r="BT403" s="13">
        <v>25276.0</v>
      </c>
      <c r="BU403" s="13" t="s">
        <v>5540</v>
      </c>
      <c r="BV403" s="13" t="s">
        <v>4856</v>
      </c>
      <c r="BW403" s="13" t="str">
        <f>VLOOKUP($BT403,Enriched!$A$2:$E$1070,5,false)</f>
        <v>["Residential &amp; commercial development"]</v>
      </c>
      <c r="BX403" s="13" t="str">
        <f>VLOOKUP($BT403,Enriched!$A$2:$E$1070,4,false)</f>
        <v>["Housing &amp; urban area"]</v>
      </c>
      <c r="BY403" s="13" t="b">
        <f>VLOOKUP(BT403,Enriched!$A$1:$AA$1070,27,falsE)</f>
        <v>1</v>
      </c>
      <c r="BZ403" s="2" t="str">
        <f>VLOOKUP(BT403,Enriched!$A$1:$AA$1070,14,falsE)</f>
        <v>level1</v>
      </c>
      <c r="CA403" s="13" t="str">
        <f>HYPERLINK("https%3A%2F%2Fwww.webofscience.com%2Fwos%2Fwoscc%2Ffull-record%2FWOS:000430634500003","View Full Record in Web of Science")</f>
        <v>View Full Record in Web of Science</v>
      </c>
    </row>
    <row r="404" ht="12.75" customHeight="1">
      <c r="A404" s="13" t="s">
        <v>5508</v>
      </c>
      <c r="B404" s="13" t="s">
        <v>12920</v>
      </c>
      <c r="C404" s="13" t="s">
        <v>5510</v>
      </c>
      <c r="D404" s="13" t="s">
        <v>5510</v>
      </c>
      <c r="E404" s="13" t="s">
        <v>5510</v>
      </c>
      <c r="F404" s="13" t="s">
        <v>12921</v>
      </c>
      <c r="G404" s="13" t="s">
        <v>5510</v>
      </c>
      <c r="H404" s="13" t="s">
        <v>5510</v>
      </c>
      <c r="I404" s="13" t="s">
        <v>1809</v>
      </c>
      <c r="J404" s="13" t="s">
        <v>8903</v>
      </c>
      <c r="K404" s="13" t="s">
        <v>5510</v>
      </c>
      <c r="L404" s="13" t="s">
        <v>5510</v>
      </c>
      <c r="M404" s="13" t="s">
        <v>5513</v>
      </c>
      <c r="N404" s="13" t="s">
        <v>5514</v>
      </c>
      <c r="O404" s="13" t="s">
        <v>5510</v>
      </c>
      <c r="P404" s="13" t="s">
        <v>5510</v>
      </c>
      <c r="Q404" s="13" t="s">
        <v>5510</v>
      </c>
      <c r="R404" s="13" t="s">
        <v>5510</v>
      </c>
      <c r="S404" s="13" t="s">
        <v>5510</v>
      </c>
      <c r="T404" s="13" t="s">
        <v>12922</v>
      </c>
      <c r="U404" s="13" t="s">
        <v>12923</v>
      </c>
      <c r="V404" s="13" t="s">
        <v>12924</v>
      </c>
      <c r="W404" s="13" t="s">
        <v>12925</v>
      </c>
      <c r="X404" s="13" t="s">
        <v>12926</v>
      </c>
      <c r="Y404" s="13" t="s">
        <v>12927</v>
      </c>
      <c r="Z404" s="13" t="s">
        <v>12928</v>
      </c>
      <c r="AA404" s="13" t="s">
        <v>5510</v>
      </c>
      <c r="AB404" s="13" t="s">
        <v>12929</v>
      </c>
      <c r="AC404" s="13" t="s">
        <v>12930</v>
      </c>
      <c r="AD404" s="13" t="s">
        <v>12930</v>
      </c>
      <c r="AE404" s="13" t="s">
        <v>12931</v>
      </c>
      <c r="AF404" s="13" t="s">
        <v>5510</v>
      </c>
      <c r="AG404" s="13">
        <v>73.0</v>
      </c>
      <c r="AH404" s="13">
        <v>9.0</v>
      </c>
      <c r="AI404" s="13">
        <v>9.0</v>
      </c>
      <c r="AJ404" s="13">
        <v>0.0</v>
      </c>
      <c r="AK404" s="13">
        <v>11.0</v>
      </c>
      <c r="AL404" s="13" t="s">
        <v>7088</v>
      </c>
      <c r="AM404" s="13" t="s">
        <v>5932</v>
      </c>
      <c r="AN404" s="13" t="s">
        <v>7089</v>
      </c>
      <c r="AO404" s="13" t="s">
        <v>8914</v>
      </c>
      <c r="AP404" s="13" t="s">
        <v>8915</v>
      </c>
      <c r="AQ404" s="13" t="s">
        <v>5510</v>
      </c>
      <c r="AR404" s="13" t="s">
        <v>8916</v>
      </c>
      <c r="AS404" s="13" t="s">
        <v>8917</v>
      </c>
      <c r="AT404" s="13" t="s">
        <v>6089</v>
      </c>
      <c r="AU404" s="13">
        <v>2020.0</v>
      </c>
      <c r="AV404" s="13">
        <v>77.0</v>
      </c>
      <c r="AW404" s="13">
        <v>2.0</v>
      </c>
      <c r="AX404" s="13" t="s">
        <v>5510</v>
      </c>
      <c r="AY404" s="13" t="s">
        <v>5510</v>
      </c>
      <c r="AZ404" s="13" t="s">
        <v>5510</v>
      </c>
      <c r="BA404" s="13" t="s">
        <v>5510</v>
      </c>
      <c r="BB404" s="13">
        <v>668.0</v>
      </c>
      <c r="BC404" s="13">
        <v>679.0</v>
      </c>
      <c r="BD404" s="13" t="s">
        <v>5510</v>
      </c>
      <c r="BE404" s="13" t="s">
        <v>12932</v>
      </c>
      <c r="BF404" s="52" t="str">
        <f>HYPERLINK("http://dx.doi.org/10.1093/icesjms/fsz255","http://dx.doi.org/10.1093/icesjms/fsz255")</f>
        <v>http://dx.doi.org/10.1093/icesjms/fsz255</v>
      </c>
      <c r="BG404" s="13" t="s">
        <v>5510</v>
      </c>
      <c r="BH404" s="13" t="s">
        <v>5510</v>
      </c>
      <c r="BI404" s="13">
        <v>12.0</v>
      </c>
      <c r="BJ404" s="13" t="s">
        <v>8920</v>
      </c>
      <c r="BK404" s="13" t="s">
        <v>5561</v>
      </c>
      <c r="BL404" s="13" t="s">
        <v>8920</v>
      </c>
      <c r="BM404" s="13" t="s">
        <v>12933</v>
      </c>
      <c r="BN404" s="13" t="s">
        <v>5510</v>
      </c>
      <c r="BO404" s="13" t="s">
        <v>10209</v>
      </c>
      <c r="BP404" s="13" t="s">
        <v>5510</v>
      </c>
      <c r="BQ404" s="13" t="s">
        <v>5510</v>
      </c>
      <c r="BR404" s="13" t="s">
        <v>5538</v>
      </c>
      <c r="BS404" s="13" t="s">
        <v>12934</v>
      </c>
      <c r="BT404" s="13">
        <v>23306.0</v>
      </c>
      <c r="BU404" s="13" t="s">
        <v>5540</v>
      </c>
      <c r="BV404" s="13" t="s">
        <v>4864</v>
      </c>
      <c r="BW404" s="13" t="str">
        <f>VLOOKUP($BT404,Enriched!$A$2:$E$1070,5,false)</f>
        <v>["Biological resource use"]</v>
      </c>
      <c r="BX404" s="13" t="str">
        <f>VLOOKUP($BT404,Enriched!$A$2:$E$1070,4,false)</f>
        <v>["Fishing &amp; harvesting aquatic resources"]</v>
      </c>
      <c r="BY404" s="13" t="b">
        <f>VLOOKUP(BT404,Enriched!$A$1:$AA$1070,27,falsE)</f>
        <v>0</v>
      </c>
      <c r="BZ404" s="2" t="str">
        <f>VLOOKUP(BT404,Enriched!$A$1:$AA$1070,14,falsE)</f>
        <v>level2</v>
      </c>
      <c r="CA404" s="13" t="str">
        <f>HYPERLINK("https%3A%2F%2Fwww.webofscience.com%2Fwos%2Fwoscc%2Ffull-record%2FWOS:000536430100019","View Full Record in Web of Science")</f>
        <v>View Full Record in Web of Science</v>
      </c>
    </row>
    <row r="405" ht="12.75" customHeight="1">
      <c r="A405" s="13" t="s">
        <v>5508</v>
      </c>
      <c r="B405" s="13" t="s">
        <v>12935</v>
      </c>
      <c r="C405" s="13" t="s">
        <v>5510</v>
      </c>
      <c r="D405" s="13" t="s">
        <v>5510</v>
      </c>
      <c r="E405" s="13" t="s">
        <v>5510</v>
      </c>
      <c r="F405" s="13" t="s">
        <v>12936</v>
      </c>
      <c r="G405" s="13" t="s">
        <v>5510</v>
      </c>
      <c r="H405" s="13" t="s">
        <v>5510</v>
      </c>
      <c r="I405" s="13" t="s">
        <v>1806</v>
      </c>
      <c r="J405" s="13" t="s">
        <v>5919</v>
      </c>
      <c r="K405" s="13" t="s">
        <v>5510</v>
      </c>
      <c r="L405" s="13" t="s">
        <v>5510</v>
      </c>
      <c r="M405" s="13" t="s">
        <v>5513</v>
      </c>
      <c r="N405" s="13" t="s">
        <v>5514</v>
      </c>
      <c r="O405" s="13" t="s">
        <v>5510</v>
      </c>
      <c r="P405" s="13" t="s">
        <v>5510</v>
      </c>
      <c r="Q405" s="13" t="s">
        <v>5510</v>
      </c>
      <c r="R405" s="13" t="s">
        <v>5510</v>
      </c>
      <c r="S405" s="13" t="s">
        <v>5510</v>
      </c>
      <c r="T405" s="13" t="s">
        <v>12937</v>
      </c>
      <c r="U405" s="13" t="s">
        <v>12938</v>
      </c>
      <c r="V405" s="13" t="s">
        <v>12939</v>
      </c>
      <c r="W405" s="13" t="s">
        <v>12940</v>
      </c>
      <c r="X405" s="13" t="s">
        <v>12941</v>
      </c>
      <c r="Y405" s="13" t="s">
        <v>12942</v>
      </c>
      <c r="Z405" s="13" t="s">
        <v>12943</v>
      </c>
      <c r="AA405" s="13" t="s">
        <v>12944</v>
      </c>
      <c r="AB405" s="13" t="s">
        <v>12945</v>
      </c>
      <c r="AC405" s="13" t="s">
        <v>12946</v>
      </c>
      <c r="AD405" s="13" t="s">
        <v>12947</v>
      </c>
      <c r="AE405" s="13" t="s">
        <v>12948</v>
      </c>
      <c r="AF405" s="13" t="s">
        <v>5510</v>
      </c>
      <c r="AG405" s="13">
        <v>60.0</v>
      </c>
      <c r="AH405" s="13">
        <v>21.0</v>
      </c>
      <c r="AI405" s="13">
        <v>22.0</v>
      </c>
      <c r="AJ405" s="13">
        <v>0.0</v>
      </c>
      <c r="AK405" s="13">
        <v>41.0</v>
      </c>
      <c r="AL405" s="13" t="s">
        <v>5931</v>
      </c>
      <c r="AM405" s="13" t="s">
        <v>5932</v>
      </c>
      <c r="AN405" s="13" t="s">
        <v>5933</v>
      </c>
      <c r="AO405" s="13" t="s">
        <v>5934</v>
      </c>
      <c r="AP405" s="13" t="s">
        <v>5935</v>
      </c>
      <c r="AQ405" s="13" t="s">
        <v>5510</v>
      </c>
      <c r="AR405" s="13" t="s">
        <v>5936</v>
      </c>
      <c r="AS405" s="13" t="s">
        <v>5937</v>
      </c>
      <c r="AT405" s="13" t="s">
        <v>5667</v>
      </c>
      <c r="AU405" s="13">
        <v>2015.0</v>
      </c>
      <c r="AV405" s="13">
        <v>187.0</v>
      </c>
      <c r="AW405" s="13" t="s">
        <v>5510</v>
      </c>
      <c r="AX405" s="13" t="s">
        <v>5510</v>
      </c>
      <c r="AY405" s="13" t="s">
        <v>5510</v>
      </c>
      <c r="AZ405" s="13" t="s">
        <v>5510</v>
      </c>
      <c r="BA405" s="13" t="s">
        <v>5510</v>
      </c>
      <c r="BB405" s="13">
        <v>74.0</v>
      </c>
      <c r="BC405" s="13">
        <v>81.0</v>
      </c>
      <c r="BD405" s="13" t="s">
        <v>5510</v>
      </c>
      <c r="BE405" s="13" t="s">
        <v>12949</v>
      </c>
      <c r="BF405" s="52" t="str">
        <f>HYPERLINK("http://dx.doi.org/10.1016/j.biocon.2015.04.010","http://dx.doi.org/10.1016/j.biocon.2015.04.010")</f>
        <v>http://dx.doi.org/10.1016/j.biocon.2015.04.010</v>
      </c>
      <c r="BG405" s="13" t="s">
        <v>5510</v>
      </c>
      <c r="BH405" s="13" t="s">
        <v>5510</v>
      </c>
      <c r="BI405" s="13">
        <v>8.0</v>
      </c>
      <c r="BJ405" s="13" t="s">
        <v>5698</v>
      </c>
      <c r="BK405" s="13" t="s">
        <v>5561</v>
      </c>
      <c r="BL405" s="13" t="s">
        <v>5699</v>
      </c>
      <c r="BM405" s="13" t="s">
        <v>12950</v>
      </c>
      <c r="BN405" s="13" t="s">
        <v>5510</v>
      </c>
      <c r="BO405" s="13" t="s">
        <v>5510</v>
      </c>
      <c r="BP405" s="13" t="s">
        <v>5510</v>
      </c>
      <c r="BQ405" s="13" t="s">
        <v>5510</v>
      </c>
      <c r="BR405" s="13" t="s">
        <v>5538</v>
      </c>
      <c r="BS405" s="13" t="s">
        <v>12951</v>
      </c>
      <c r="BT405" s="13">
        <v>25058.0</v>
      </c>
      <c r="BU405" s="13" t="s">
        <v>5540</v>
      </c>
      <c r="BV405" s="13" t="s">
        <v>4856</v>
      </c>
      <c r="BW405" s="13" t="str">
        <f>VLOOKUP($BT405,Enriched!$A$2:$E$1070,5,false)</f>
        <v>["Residential &amp; commercial development",  "Agriculture &amp; aquaculture",  "Energy production &amp; mining", "Transportation &amp; service corridors"]</v>
      </c>
      <c r="BX405" s="13" t="str">
        <f>VLOOKUP($BT405,Enriched!$A$2:$E$1070,4,false)</f>
        <v/>
      </c>
      <c r="BY405" s="13" t="b">
        <f>VLOOKUP(BT405,Enriched!$A$1:$AA$1070,27,falsE)</f>
        <v>1</v>
      </c>
      <c r="BZ405" s="2" t="str">
        <f>VLOOKUP(BT405,Enriched!$A$1:$AA$1070,14,falsE)</f>
        <v>cumulative</v>
      </c>
      <c r="CA405" s="13" t="str">
        <f>HYPERLINK("https%3A%2F%2Fwww.webofscience.com%2Fwos%2Fwoscc%2Ffull-record%2FWOS:000357234100009","View Full Record in Web of Science")</f>
        <v>View Full Record in Web of Science</v>
      </c>
    </row>
    <row r="406" ht="12.75" customHeight="1">
      <c r="A406" s="13" t="s">
        <v>5508</v>
      </c>
      <c r="B406" s="13" t="s">
        <v>12952</v>
      </c>
      <c r="C406" s="13" t="s">
        <v>5510</v>
      </c>
      <c r="D406" s="13" t="s">
        <v>5510</v>
      </c>
      <c r="E406" s="13" t="s">
        <v>5510</v>
      </c>
      <c r="F406" s="13" t="s">
        <v>12953</v>
      </c>
      <c r="G406" s="13" t="s">
        <v>5510</v>
      </c>
      <c r="H406" s="13" t="s">
        <v>5510</v>
      </c>
      <c r="I406" s="13" t="s">
        <v>12954</v>
      </c>
      <c r="J406" s="13" t="s">
        <v>8860</v>
      </c>
      <c r="K406" s="13" t="s">
        <v>5510</v>
      </c>
      <c r="L406" s="13" t="s">
        <v>5510</v>
      </c>
      <c r="M406" s="13" t="s">
        <v>5513</v>
      </c>
      <c r="N406" s="13" t="s">
        <v>5514</v>
      </c>
      <c r="O406" s="13" t="s">
        <v>5510</v>
      </c>
      <c r="P406" s="13" t="s">
        <v>5510</v>
      </c>
      <c r="Q406" s="13" t="s">
        <v>5510</v>
      </c>
      <c r="R406" s="13" t="s">
        <v>5510</v>
      </c>
      <c r="S406" s="13" t="s">
        <v>5510</v>
      </c>
      <c r="T406" s="13" t="s">
        <v>12955</v>
      </c>
      <c r="U406" s="13" t="s">
        <v>12956</v>
      </c>
      <c r="V406" s="13" t="s">
        <v>12957</v>
      </c>
      <c r="W406" s="13" t="s">
        <v>12958</v>
      </c>
      <c r="X406" s="13" t="s">
        <v>12959</v>
      </c>
      <c r="Y406" s="13" t="s">
        <v>12960</v>
      </c>
      <c r="Z406" s="13" t="s">
        <v>12961</v>
      </c>
      <c r="AA406" s="13" t="s">
        <v>12962</v>
      </c>
      <c r="AB406" s="13" t="s">
        <v>12963</v>
      </c>
      <c r="AC406" s="13" t="s">
        <v>12964</v>
      </c>
      <c r="AD406" s="13" t="s">
        <v>12965</v>
      </c>
      <c r="AE406" s="13" t="s">
        <v>12966</v>
      </c>
      <c r="AF406" s="13" t="s">
        <v>5510</v>
      </c>
      <c r="AG406" s="13">
        <v>37.0</v>
      </c>
      <c r="AH406" s="13">
        <v>11.0</v>
      </c>
      <c r="AI406" s="13">
        <v>11.0</v>
      </c>
      <c r="AJ406" s="13">
        <v>0.0</v>
      </c>
      <c r="AK406" s="13">
        <v>6.0</v>
      </c>
      <c r="AL406" s="13" t="s">
        <v>8873</v>
      </c>
      <c r="AM406" s="13" t="s">
        <v>8874</v>
      </c>
      <c r="AN406" s="13" t="s">
        <v>12967</v>
      </c>
      <c r="AO406" s="13" t="s">
        <v>8876</v>
      </c>
      <c r="AP406" s="13" t="s">
        <v>8877</v>
      </c>
      <c r="AQ406" s="13" t="s">
        <v>5510</v>
      </c>
      <c r="AR406" s="13" t="s">
        <v>8878</v>
      </c>
      <c r="AS406" s="13" t="s">
        <v>8879</v>
      </c>
      <c r="AT406" s="13" t="s">
        <v>5978</v>
      </c>
      <c r="AU406" s="13">
        <v>2018.0</v>
      </c>
      <c r="AV406" s="13">
        <v>82.0</v>
      </c>
      <c r="AW406" s="13" t="s">
        <v>5510</v>
      </c>
      <c r="AX406" s="13" t="s">
        <v>5510</v>
      </c>
      <c r="AY406" s="13">
        <v>1.0</v>
      </c>
      <c r="AZ406" s="13" t="s">
        <v>5510</v>
      </c>
      <c r="BA406" s="13" t="s">
        <v>5510</v>
      </c>
      <c r="BB406" s="13">
        <v>165.0</v>
      </c>
      <c r="BC406" s="13">
        <v>174.0</v>
      </c>
      <c r="BD406" s="13" t="s">
        <v>5510</v>
      </c>
      <c r="BE406" s="13" t="s">
        <v>12968</v>
      </c>
      <c r="BF406" s="52" t="str">
        <f>HYPERLINK("http://dx.doi.org/10.3989/scimar.04755.17A","http://dx.doi.org/10.3989/scimar.04755.17A")</f>
        <v>http://dx.doi.org/10.3989/scimar.04755.17A</v>
      </c>
      <c r="BG406" s="13" t="s">
        <v>5510</v>
      </c>
      <c r="BH406" s="13" t="s">
        <v>5510</v>
      </c>
      <c r="BI406" s="13">
        <v>10.0</v>
      </c>
      <c r="BJ406" s="13" t="s">
        <v>6508</v>
      </c>
      <c r="BK406" s="13" t="s">
        <v>5561</v>
      </c>
      <c r="BL406" s="13" t="s">
        <v>6508</v>
      </c>
      <c r="BM406" s="13" t="s">
        <v>12969</v>
      </c>
      <c r="BN406" s="13" t="s">
        <v>5510</v>
      </c>
      <c r="BO406" s="13" t="s">
        <v>5564</v>
      </c>
      <c r="BP406" s="13" t="s">
        <v>5510</v>
      </c>
      <c r="BQ406" s="13" t="s">
        <v>5510</v>
      </c>
      <c r="BR406" s="13" t="s">
        <v>5538</v>
      </c>
      <c r="BS406" s="13" t="s">
        <v>12970</v>
      </c>
      <c r="BT406" s="13">
        <v>23993.0</v>
      </c>
      <c r="BU406" s="13" t="s">
        <v>5540</v>
      </c>
      <c r="BV406" s="13" t="s">
        <v>4864</v>
      </c>
      <c r="BW406" s="13" t="str">
        <f>VLOOKUP($BT406,Enriched!$A$2:$E$1070,5,false)</f>
        <v>["Biological resource use"]</v>
      </c>
      <c r="BX406" s="13" t="str">
        <f>VLOOKUP($BT406,Enriched!$A$2:$E$1070,4,false)</f>
        <v>["Fishing &amp; harvesting aquatic resources"]</v>
      </c>
      <c r="BY406" s="13" t="b">
        <f>VLOOKUP(BT406,Enriched!$A$1:$AA$1070,27,falsE)</f>
        <v>0</v>
      </c>
      <c r="BZ406" s="2" t="str">
        <f>VLOOKUP(BT406,Enriched!$A$1:$AA$1070,14,falsE)</f>
        <v>level2</v>
      </c>
      <c r="CA406" s="13" t="str">
        <f>HYPERLINK("https%3A%2F%2Fwww.webofscience.com%2Fwos%2Fwoscc%2Ffull-record%2FWOS:000452498000018","View Full Record in Web of Science")</f>
        <v>View Full Record in Web of Science</v>
      </c>
    </row>
    <row r="407" ht="12.75" customHeight="1">
      <c r="A407" s="13" t="s">
        <v>5508</v>
      </c>
      <c r="B407" s="13" t="s">
        <v>12971</v>
      </c>
      <c r="C407" s="13" t="s">
        <v>5510</v>
      </c>
      <c r="D407" s="13" t="s">
        <v>5510</v>
      </c>
      <c r="E407" s="13" t="s">
        <v>5510</v>
      </c>
      <c r="F407" s="13" t="s">
        <v>12972</v>
      </c>
      <c r="G407" s="13" t="s">
        <v>5510</v>
      </c>
      <c r="H407" s="13" t="s">
        <v>5510</v>
      </c>
      <c r="I407" s="13" t="s">
        <v>1796</v>
      </c>
      <c r="J407" s="13" t="s">
        <v>5919</v>
      </c>
      <c r="K407" s="13" t="s">
        <v>5510</v>
      </c>
      <c r="L407" s="13" t="s">
        <v>5510</v>
      </c>
      <c r="M407" s="13" t="s">
        <v>5513</v>
      </c>
      <c r="N407" s="13" t="s">
        <v>5514</v>
      </c>
      <c r="O407" s="13" t="s">
        <v>5510</v>
      </c>
      <c r="P407" s="13" t="s">
        <v>5510</v>
      </c>
      <c r="Q407" s="13" t="s">
        <v>5510</v>
      </c>
      <c r="R407" s="13" t="s">
        <v>5510</v>
      </c>
      <c r="S407" s="13" t="s">
        <v>5510</v>
      </c>
      <c r="T407" s="13" t="s">
        <v>12973</v>
      </c>
      <c r="U407" s="13" t="s">
        <v>12974</v>
      </c>
      <c r="V407" s="13" t="s">
        <v>12975</v>
      </c>
      <c r="W407" s="13" t="s">
        <v>12976</v>
      </c>
      <c r="X407" s="13" t="s">
        <v>12977</v>
      </c>
      <c r="Y407" s="13" t="s">
        <v>12978</v>
      </c>
      <c r="Z407" s="13" t="s">
        <v>12898</v>
      </c>
      <c r="AA407" s="13" t="s">
        <v>12979</v>
      </c>
      <c r="AB407" s="13" t="s">
        <v>12980</v>
      </c>
      <c r="AC407" s="13" t="s">
        <v>12981</v>
      </c>
      <c r="AD407" s="13" t="s">
        <v>12982</v>
      </c>
      <c r="AE407" s="13" t="s">
        <v>12983</v>
      </c>
      <c r="AF407" s="13" t="s">
        <v>5510</v>
      </c>
      <c r="AG407" s="13">
        <v>51.0</v>
      </c>
      <c r="AH407" s="13">
        <v>33.0</v>
      </c>
      <c r="AI407" s="13">
        <v>34.0</v>
      </c>
      <c r="AJ407" s="13">
        <v>1.0</v>
      </c>
      <c r="AK407" s="13">
        <v>41.0</v>
      </c>
      <c r="AL407" s="13" t="s">
        <v>5931</v>
      </c>
      <c r="AM407" s="13" t="s">
        <v>5932</v>
      </c>
      <c r="AN407" s="13" t="s">
        <v>5933</v>
      </c>
      <c r="AO407" s="13" t="s">
        <v>5934</v>
      </c>
      <c r="AP407" s="13" t="s">
        <v>5935</v>
      </c>
      <c r="AQ407" s="13" t="s">
        <v>5510</v>
      </c>
      <c r="AR407" s="13" t="s">
        <v>5936</v>
      </c>
      <c r="AS407" s="13" t="s">
        <v>5937</v>
      </c>
      <c r="AT407" s="13" t="s">
        <v>5866</v>
      </c>
      <c r="AU407" s="13">
        <v>2020.0</v>
      </c>
      <c r="AV407" s="13">
        <v>245.0</v>
      </c>
      <c r="AW407" s="13" t="s">
        <v>5510</v>
      </c>
      <c r="AX407" s="13" t="s">
        <v>5510</v>
      </c>
      <c r="AY407" s="13" t="s">
        <v>5510</v>
      </c>
      <c r="AZ407" s="13" t="s">
        <v>5510</v>
      </c>
      <c r="BA407" s="13" t="s">
        <v>5510</v>
      </c>
      <c r="BB407" s="13" t="s">
        <v>5510</v>
      </c>
      <c r="BC407" s="13" t="s">
        <v>5510</v>
      </c>
      <c r="BD407" s="13">
        <v>108527.0</v>
      </c>
      <c r="BE407" s="13" t="s">
        <v>12984</v>
      </c>
      <c r="BF407" s="52" t="str">
        <f>HYPERLINK("http://dx.doi.org/10.1016/j.biocon.2020.108527","http://dx.doi.org/10.1016/j.biocon.2020.108527")</f>
        <v>http://dx.doi.org/10.1016/j.biocon.2020.108527</v>
      </c>
      <c r="BG407" s="13" t="s">
        <v>5510</v>
      </c>
      <c r="BH407" s="13" t="s">
        <v>5510</v>
      </c>
      <c r="BI407" s="13">
        <v>10.0</v>
      </c>
      <c r="BJ407" s="13" t="s">
        <v>5698</v>
      </c>
      <c r="BK407" s="13" t="s">
        <v>5561</v>
      </c>
      <c r="BL407" s="13" t="s">
        <v>5699</v>
      </c>
      <c r="BM407" s="13" t="s">
        <v>12985</v>
      </c>
      <c r="BN407" s="13" t="s">
        <v>5510</v>
      </c>
      <c r="BO407" s="13" t="s">
        <v>6623</v>
      </c>
      <c r="BP407" s="13" t="s">
        <v>5510</v>
      </c>
      <c r="BQ407" s="13" t="s">
        <v>5510</v>
      </c>
      <c r="BR407" s="13" t="s">
        <v>5538</v>
      </c>
      <c r="BS407" s="13" t="s">
        <v>12986</v>
      </c>
      <c r="BT407" s="13">
        <v>25833.0</v>
      </c>
      <c r="BU407" s="13" t="s">
        <v>5540</v>
      </c>
      <c r="BV407" s="13" t="s">
        <v>4864</v>
      </c>
      <c r="BW407" s="13" t="str">
        <f>VLOOKUP($BT407,Enriched!$A$2:$E$1070,5,false)</f>
        <v>["Climate Change &amp; Severe Weather", "Energy Production &amp; Mining", "Transportation &amp; Service Corridors", "Biological Resource Use", "Invasive &amp; Other Problematic Species, Genes &amp; Diseases", "Pollution"]</v>
      </c>
      <c r="BX407" s="13" t="str">
        <f>VLOOKUP($BT407,Enriched!$A$2:$E$1070,4,false)</f>
        <v>["Habitat shifting &amp; alteration", "Oil &amp; gas drilling", "Shipping lanes", "Fishing &amp; harvesting aquatic resources", "Invasive non-native/alien species/diseases", "Air-borne pollutants", "Excess energy"]</v>
      </c>
      <c r="BY407" s="13" t="b">
        <f>VLOOKUP(BT407,Enriched!$A$1:$AA$1070,27,falsE)</f>
        <v>1</v>
      </c>
      <c r="BZ407" s="2" t="str">
        <f>VLOOKUP(BT407,Enriched!$A$1:$AA$1070,14,falsE)</f>
        <v>cumulative</v>
      </c>
      <c r="CA407" s="13" t="str">
        <f>HYPERLINK("https%3A%2F%2Fwww.webofscience.com%2Fwos%2Fwoscc%2Ffull-record%2FWOS:000532824200019","View Full Record in Web of Science")</f>
        <v>View Full Record in Web of Science</v>
      </c>
    </row>
    <row r="408" ht="12.75" customHeight="1">
      <c r="A408" s="13" t="s">
        <v>5508</v>
      </c>
      <c r="B408" s="13" t="s">
        <v>12987</v>
      </c>
      <c r="C408" s="13" t="s">
        <v>5510</v>
      </c>
      <c r="D408" s="13" t="s">
        <v>5510</v>
      </c>
      <c r="E408" s="13" t="s">
        <v>5510</v>
      </c>
      <c r="F408" s="13" t="s">
        <v>12988</v>
      </c>
      <c r="G408" s="13" t="s">
        <v>5510</v>
      </c>
      <c r="H408" s="13" t="s">
        <v>5510</v>
      </c>
      <c r="I408" s="13" t="s">
        <v>1790</v>
      </c>
      <c r="J408" s="13" t="s">
        <v>5746</v>
      </c>
      <c r="K408" s="13" t="s">
        <v>5510</v>
      </c>
      <c r="L408" s="13" t="s">
        <v>5510</v>
      </c>
      <c r="M408" s="13" t="s">
        <v>5513</v>
      </c>
      <c r="N408" s="13" t="s">
        <v>5514</v>
      </c>
      <c r="O408" s="13" t="s">
        <v>5510</v>
      </c>
      <c r="P408" s="13" t="s">
        <v>5510</v>
      </c>
      <c r="Q408" s="13" t="s">
        <v>5510</v>
      </c>
      <c r="R408" s="13" t="s">
        <v>5510</v>
      </c>
      <c r="S408" s="13" t="s">
        <v>5510</v>
      </c>
      <c r="T408" s="13" t="s">
        <v>12989</v>
      </c>
      <c r="U408" s="13" t="s">
        <v>12990</v>
      </c>
      <c r="V408" s="13" t="s">
        <v>12991</v>
      </c>
      <c r="W408" s="13" t="s">
        <v>12992</v>
      </c>
      <c r="X408" s="13" t="s">
        <v>12993</v>
      </c>
      <c r="Y408" s="13" t="s">
        <v>12994</v>
      </c>
      <c r="Z408" s="13" t="s">
        <v>12995</v>
      </c>
      <c r="AA408" s="13" t="s">
        <v>12996</v>
      </c>
      <c r="AB408" s="13" t="s">
        <v>12997</v>
      </c>
      <c r="AC408" s="13" t="s">
        <v>12998</v>
      </c>
      <c r="AD408" s="13" t="s">
        <v>12999</v>
      </c>
      <c r="AE408" s="13" t="s">
        <v>13000</v>
      </c>
      <c r="AF408" s="13" t="s">
        <v>5510</v>
      </c>
      <c r="AG408" s="13">
        <v>55.0</v>
      </c>
      <c r="AH408" s="13">
        <v>34.0</v>
      </c>
      <c r="AI408" s="13">
        <v>40.0</v>
      </c>
      <c r="AJ408" s="13">
        <v>2.0</v>
      </c>
      <c r="AK408" s="13">
        <v>112.0</v>
      </c>
      <c r="AL408" s="13" t="s">
        <v>7714</v>
      </c>
      <c r="AM408" s="13" t="s">
        <v>5760</v>
      </c>
      <c r="AN408" s="13" t="s">
        <v>7715</v>
      </c>
      <c r="AO408" s="13" t="s">
        <v>5762</v>
      </c>
      <c r="AP408" s="13" t="s">
        <v>5763</v>
      </c>
      <c r="AQ408" s="13" t="s">
        <v>5510</v>
      </c>
      <c r="AR408" s="13" t="s">
        <v>5764</v>
      </c>
      <c r="AS408" s="13" t="s">
        <v>5765</v>
      </c>
      <c r="AT408" s="13" t="s">
        <v>10628</v>
      </c>
      <c r="AU408" s="13">
        <v>2017.0</v>
      </c>
      <c r="AV408" s="13">
        <v>586.0</v>
      </c>
      <c r="AW408" s="13" t="s">
        <v>5510</v>
      </c>
      <c r="AX408" s="13" t="s">
        <v>5510</v>
      </c>
      <c r="AY408" s="13" t="s">
        <v>5510</v>
      </c>
      <c r="AZ408" s="13" t="s">
        <v>5510</v>
      </c>
      <c r="BA408" s="13" t="s">
        <v>5510</v>
      </c>
      <c r="BB408" s="13">
        <v>985.0</v>
      </c>
      <c r="BC408" s="13">
        <v>994.0</v>
      </c>
      <c r="BD408" s="13" t="s">
        <v>5510</v>
      </c>
      <c r="BE408" s="13" t="s">
        <v>13001</v>
      </c>
      <c r="BF408" s="52" t="str">
        <f>HYPERLINK("http://dx.doi.org/10.1016/j.scitotenv.2017.02.078","http://dx.doi.org/10.1016/j.scitotenv.2017.02.078")</f>
        <v>http://dx.doi.org/10.1016/j.scitotenv.2017.02.078</v>
      </c>
      <c r="BG408" s="13" t="s">
        <v>5510</v>
      </c>
      <c r="BH408" s="13" t="s">
        <v>5510</v>
      </c>
      <c r="BI408" s="13">
        <v>10.0</v>
      </c>
      <c r="BJ408" s="13" t="s">
        <v>5768</v>
      </c>
      <c r="BK408" s="13" t="s">
        <v>5534</v>
      </c>
      <c r="BL408" s="13" t="s">
        <v>5535</v>
      </c>
      <c r="BM408" s="13" t="s">
        <v>13002</v>
      </c>
      <c r="BN408" s="13">
        <v>2.8222925E7</v>
      </c>
      <c r="BO408" s="13" t="s">
        <v>5510</v>
      </c>
      <c r="BP408" s="13" t="s">
        <v>5510</v>
      </c>
      <c r="BQ408" s="13" t="s">
        <v>5510</v>
      </c>
      <c r="BR408" s="13" t="s">
        <v>5538</v>
      </c>
      <c r="BS408" s="13" t="s">
        <v>13003</v>
      </c>
      <c r="BT408" s="13">
        <v>23508.0</v>
      </c>
      <c r="BU408" s="13" t="s">
        <v>5540</v>
      </c>
      <c r="BV408" s="13" t="s">
        <v>4856</v>
      </c>
      <c r="BW408" s="13" t="str">
        <f>VLOOKUP($BT408,Enriched!$A$2:$E$1070,5,false)</f>
        <v>["Agriculture &amp; aquaculture"]</v>
      </c>
      <c r="BX408" s="13" t="str">
        <f>VLOOKUP($BT408,Enriched!$A$2:$E$1070,4,false)</f>
        <v>["Annual &amp; perennial non-timber crops"]</v>
      </c>
      <c r="BY408" s="13" t="b">
        <f>VLOOKUP(BT408,Enriched!$A$1:$AA$1070,27,falsE)</f>
        <v>0</v>
      </c>
      <c r="BZ408" s="2" t="str">
        <f>VLOOKUP(BT408,Enriched!$A$1:$AA$1070,14,falsE)</f>
        <v>level2</v>
      </c>
      <c r="CA408" s="13" t="str">
        <f>HYPERLINK("https%3A%2F%2Fwww.webofscience.com%2Fwos%2Fwoscc%2Ffull-record%2FWOS:000398758800093","View Full Record in Web of Science")</f>
        <v>View Full Record in Web of Science</v>
      </c>
    </row>
    <row r="409" ht="12.75" customHeight="1">
      <c r="A409" s="13" t="s">
        <v>5508</v>
      </c>
      <c r="B409" s="13" t="s">
        <v>13004</v>
      </c>
      <c r="C409" s="13" t="s">
        <v>5510</v>
      </c>
      <c r="D409" s="13" t="s">
        <v>5510</v>
      </c>
      <c r="E409" s="13" t="s">
        <v>5510</v>
      </c>
      <c r="F409" s="13" t="s">
        <v>13005</v>
      </c>
      <c r="G409" s="13" t="s">
        <v>5510</v>
      </c>
      <c r="H409" s="13" t="s">
        <v>5510</v>
      </c>
      <c r="I409" s="13" t="s">
        <v>1787</v>
      </c>
      <c r="J409" s="13" t="s">
        <v>5919</v>
      </c>
      <c r="K409" s="13" t="s">
        <v>5510</v>
      </c>
      <c r="L409" s="13" t="s">
        <v>5510</v>
      </c>
      <c r="M409" s="13" t="s">
        <v>5513</v>
      </c>
      <c r="N409" s="13" t="s">
        <v>5514</v>
      </c>
      <c r="O409" s="13" t="s">
        <v>5510</v>
      </c>
      <c r="P409" s="13" t="s">
        <v>5510</v>
      </c>
      <c r="Q409" s="13" t="s">
        <v>5510</v>
      </c>
      <c r="R409" s="13" t="s">
        <v>5510</v>
      </c>
      <c r="S409" s="13" t="s">
        <v>5510</v>
      </c>
      <c r="T409" s="13" t="s">
        <v>13006</v>
      </c>
      <c r="U409" s="13" t="s">
        <v>13007</v>
      </c>
      <c r="V409" s="13" t="s">
        <v>13008</v>
      </c>
      <c r="W409" s="13" t="s">
        <v>13009</v>
      </c>
      <c r="X409" s="13" t="s">
        <v>13010</v>
      </c>
      <c r="Y409" s="13" t="s">
        <v>13011</v>
      </c>
      <c r="Z409" s="13" t="s">
        <v>13012</v>
      </c>
      <c r="AA409" s="13" t="s">
        <v>5510</v>
      </c>
      <c r="AB409" s="13" t="s">
        <v>5510</v>
      </c>
      <c r="AC409" s="13" t="s">
        <v>13013</v>
      </c>
      <c r="AD409" s="13" t="s">
        <v>13014</v>
      </c>
      <c r="AE409" s="13" t="s">
        <v>13015</v>
      </c>
      <c r="AF409" s="13" t="s">
        <v>5510</v>
      </c>
      <c r="AG409" s="13">
        <v>65.0</v>
      </c>
      <c r="AH409" s="13">
        <v>91.0</v>
      </c>
      <c r="AI409" s="13">
        <v>102.0</v>
      </c>
      <c r="AJ409" s="13">
        <v>5.0</v>
      </c>
      <c r="AK409" s="13">
        <v>78.0</v>
      </c>
      <c r="AL409" s="13" t="s">
        <v>5931</v>
      </c>
      <c r="AM409" s="13" t="s">
        <v>5932</v>
      </c>
      <c r="AN409" s="13" t="s">
        <v>5933</v>
      </c>
      <c r="AO409" s="13" t="s">
        <v>5934</v>
      </c>
      <c r="AP409" s="13" t="s">
        <v>5935</v>
      </c>
      <c r="AQ409" s="13" t="s">
        <v>5510</v>
      </c>
      <c r="AR409" s="13" t="s">
        <v>5936</v>
      </c>
      <c r="AS409" s="13" t="s">
        <v>5937</v>
      </c>
      <c r="AT409" s="13" t="s">
        <v>5582</v>
      </c>
      <c r="AU409" s="13">
        <v>2012.0</v>
      </c>
      <c r="AV409" s="13">
        <v>145.0</v>
      </c>
      <c r="AW409" s="13">
        <v>1.0</v>
      </c>
      <c r="AX409" s="13" t="s">
        <v>5510</v>
      </c>
      <c r="AY409" s="13" t="s">
        <v>5510</v>
      </c>
      <c r="AZ409" s="13" t="s">
        <v>5510</v>
      </c>
      <c r="BA409" s="13" t="s">
        <v>5510</v>
      </c>
      <c r="BB409" s="13">
        <v>118.0</v>
      </c>
      <c r="BC409" s="13">
        <v>129.0</v>
      </c>
      <c r="BD409" s="13" t="s">
        <v>5510</v>
      </c>
      <c r="BE409" s="13" t="s">
        <v>13016</v>
      </c>
      <c r="BF409" s="52" t="str">
        <f>HYPERLINK("http://dx.doi.org/10.1016/j.biocon.2011.10.021","http://dx.doi.org/10.1016/j.biocon.2011.10.021")</f>
        <v>http://dx.doi.org/10.1016/j.biocon.2011.10.021</v>
      </c>
      <c r="BG409" s="13" t="s">
        <v>5510</v>
      </c>
      <c r="BH409" s="13" t="s">
        <v>5510</v>
      </c>
      <c r="BI409" s="13">
        <v>12.0</v>
      </c>
      <c r="BJ409" s="13" t="s">
        <v>5698</v>
      </c>
      <c r="BK409" s="13" t="s">
        <v>5561</v>
      </c>
      <c r="BL409" s="13" t="s">
        <v>5699</v>
      </c>
      <c r="BM409" s="13" t="s">
        <v>11999</v>
      </c>
      <c r="BN409" s="13" t="s">
        <v>5510</v>
      </c>
      <c r="BO409" s="13" t="s">
        <v>5510</v>
      </c>
      <c r="BP409" s="13" t="s">
        <v>5510</v>
      </c>
      <c r="BQ409" s="13" t="s">
        <v>5510</v>
      </c>
      <c r="BR409" s="13" t="s">
        <v>5538</v>
      </c>
      <c r="BS409" s="13" t="s">
        <v>13017</v>
      </c>
      <c r="BT409" s="13">
        <v>25454.0</v>
      </c>
      <c r="BU409" s="13" t="s">
        <v>5540</v>
      </c>
      <c r="BV409" s="13" t="s">
        <v>4864</v>
      </c>
      <c r="BW409" s="13" t="str">
        <f>VLOOKUP($BT409,Enriched!$A$2:$E$1070,5,false)</f>
        <v>["Residential &amp; Commercial Development", "Pollution"]</v>
      </c>
      <c r="BX409" s="13" t="str">
        <f>VLOOKUP($BT409,Enriched!$A$2:$E$1070,4,false)</f>
        <v>["Industrial &amp; military effluents"]</v>
      </c>
      <c r="BY409" s="13" t="b">
        <f>VLOOKUP(BT409,Enriched!$A$1:$AA$1070,27,falsE)</f>
        <v>1</v>
      </c>
      <c r="BZ409" s="2" t="str">
        <f>VLOOKUP(BT409,Enriched!$A$1:$AA$1070,14,falsE)</f>
        <v>level2</v>
      </c>
      <c r="CA409" s="13" t="str">
        <f>HYPERLINK("https%3A%2F%2Fwww.webofscience.com%2Fwos%2Fwoscc%2Ffull-record%2FWOS:000301092400018","View Full Record in Web of Science")</f>
        <v>View Full Record in Web of Science</v>
      </c>
    </row>
    <row r="410" ht="12.75" customHeight="1">
      <c r="A410" s="13" t="s">
        <v>5508</v>
      </c>
      <c r="B410" s="13" t="s">
        <v>13018</v>
      </c>
      <c r="C410" s="13" t="s">
        <v>5510</v>
      </c>
      <c r="D410" s="13" t="s">
        <v>5510</v>
      </c>
      <c r="E410" s="13" t="s">
        <v>5510</v>
      </c>
      <c r="F410" s="13" t="s">
        <v>13019</v>
      </c>
      <c r="G410" s="13" t="s">
        <v>5510</v>
      </c>
      <c r="H410" s="13" t="s">
        <v>5510</v>
      </c>
      <c r="I410" s="13" t="s">
        <v>1784</v>
      </c>
      <c r="J410" s="13" t="s">
        <v>8163</v>
      </c>
      <c r="K410" s="13" t="s">
        <v>5510</v>
      </c>
      <c r="L410" s="13" t="s">
        <v>5510</v>
      </c>
      <c r="M410" s="13" t="s">
        <v>5513</v>
      </c>
      <c r="N410" s="13" t="s">
        <v>5514</v>
      </c>
      <c r="O410" s="13" t="s">
        <v>5510</v>
      </c>
      <c r="P410" s="13" t="s">
        <v>5510</v>
      </c>
      <c r="Q410" s="13" t="s">
        <v>5510</v>
      </c>
      <c r="R410" s="13" t="s">
        <v>5510</v>
      </c>
      <c r="S410" s="13" t="s">
        <v>5510</v>
      </c>
      <c r="T410" s="13" t="s">
        <v>13020</v>
      </c>
      <c r="U410" s="13" t="s">
        <v>13021</v>
      </c>
      <c r="V410" s="13" t="s">
        <v>13022</v>
      </c>
      <c r="W410" s="13" t="s">
        <v>13023</v>
      </c>
      <c r="X410" s="13" t="s">
        <v>13024</v>
      </c>
      <c r="Y410" s="13" t="s">
        <v>13025</v>
      </c>
      <c r="Z410" s="13" t="s">
        <v>9618</v>
      </c>
      <c r="AA410" s="13" t="s">
        <v>13026</v>
      </c>
      <c r="AB410" s="13" t="s">
        <v>13027</v>
      </c>
      <c r="AC410" s="13" t="s">
        <v>5510</v>
      </c>
      <c r="AD410" s="13" t="s">
        <v>5510</v>
      </c>
      <c r="AE410" s="13" t="s">
        <v>5510</v>
      </c>
      <c r="AF410" s="13" t="s">
        <v>5510</v>
      </c>
      <c r="AG410" s="13">
        <v>79.0</v>
      </c>
      <c r="AH410" s="13">
        <v>29.0</v>
      </c>
      <c r="AI410" s="13">
        <v>32.0</v>
      </c>
      <c r="AJ410" s="13">
        <v>2.0</v>
      </c>
      <c r="AK410" s="13">
        <v>95.0</v>
      </c>
      <c r="AL410" s="13" t="s">
        <v>5690</v>
      </c>
      <c r="AM410" s="13" t="s">
        <v>5691</v>
      </c>
      <c r="AN410" s="13" t="s">
        <v>5692</v>
      </c>
      <c r="AO410" s="13" t="s">
        <v>8176</v>
      </c>
      <c r="AP410" s="13" t="s">
        <v>8177</v>
      </c>
      <c r="AQ410" s="13" t="s">
        <v>5510</v>
      </c>
      <c r="AR410" s="13" t="s">
        <v>8178</v>
      </c>
      <c r="AS410" s="13" t="s">
        <v>8179</v>
      </c>
      <c r="AT410" s="13" t="s">
        <v>2514</v>
      </c>
      <c r="AU410" s="13">
        <v>2012.0</v>
      </c>
      <c r="AV410" s="13">
        <v>27.0</v>
      </c>
      <c r="AW410" s="13">
        <v>8.0</v>
      </c>
      <c r="AX410" s="13" t="s">
        <v>5510</v>
      </c>
      <c r="AY410" s="13" t="s">
        <v>5510</v>
      </c>
      <c r="AZ410" s="13" t="s">
        <v>5510</v>
      </c>
      <c r="BA410" s="13" t="s">
        <v>5510</v>
      </c>
      <c r="BB410" s="13">
        <v>1167.0</v>
      </c>
      <c r="BC410" s="13">
        <v>1181.0</v>
      </c>
      <c r="BD410" s="13" t="s">
        <v>5510</v>
      </c>
      <c r="BE410" s="13" t="s">
        <v>13028</v>
      </c>
      <c r="BF410" s="52" t="str">
        <f>HYPERLINK("http://dx.doi.org/10.1007/s10980-012-9769-5","http://dx.doi.org/10.1007/s10980-012-9769-5")</f>
        <v>http://dx.doi.org/10.1007/s10980-012-9769-5</v>
      </c>
      <c r="BG410" s="13" t="s">
        <v>5510</v>
      </c>
      <c r="BH410" s="13" t="s">
        <v>5510</v>
      </c>
      <c r="BI410" s="13">
        <v>15.0</v>
      </c>
      <c r="BJ410" s="13" t="s">
        <v>8181</v>
      </c>
      <c r="BK410" s="13" t="s">
        <v>5561</v>
      </c>
      <c r="BL410" s="13" t="s">
        <v>6551</v>
      </c>
      <c r="BM410" s="13" t="s">
        <v>13029</v>
      </c>
      <c r="BN410" s="13" t="s">
        <v>5510</v>
      </c>
      <c r="BO410" s="13" t="s">
        <v>5510</v>
      </c>
      <c r="BP410" s="13" t="s">
        <v>5510</v>
      </c>
      <c r="BQ410" s="13" t="s">
        <v>5510</v>
      </c>
      <c r="BR410" s="13" t="s">
        <v>5538</v>
      </c>
      <c r="BS410" s="13" t="s">
        <v>13030</v>
      </c>
      <c r="BT410" s="13">
        <v>25410.0</v>
      </c>
      <c r="BU410" s="13" t="s">
        <v>5540</v>
      </c>
      <c r="BV410" s="13" t="s">
        <v>4856</v>
      </c>
      <c r="BW410" s="13" t="str">
        <f>VLOOKUP($BT410,Enriched!$A$2:$E$1070,5,false)</f>
        <v>["Transportation &amp; Service Corridors"]</v>
      </c>
      <c r="BX410" s="13" t="str">
        <f>VLOOKUP($BT410,Enriched!$A$2:$E$1070,4,false)</f>
        <v>["Roads &amp; railroads"]</v>
      </c>
      <c r="BY410" s="13" t="b">
        <f>VLOOKUP(BT410,Enriched!$A$1:$AA$1070,27,falsE)</f>
        <v>0</v>
      </c>
      <c r="BZ410" s="2" t="str">
        <f>VLOOKUP(BT410,Enriched!$A$1:$AA$1070,14,falsE)</f>
        <v>level2</v>
      </c>
      <c r="CA410" s="13" t="str">
        <f>HYPERLINK("https%3A%2F%2Fwww.webofscience.com%2Fwos%2Fwoscc%2Ffull-record%2FWOS:000308329200007","View Full Record in Web of Science")</f>
        <v>View Full Record in Web of Science</v>
      </c>
    </row>
    <row r="411" ht="12.75" customHeight="1">
      <c r="A411" s="13" t="s">
        <v>5508</v>
      </c>
      <c r="B411" s="13" t="s">
        <v>13031</v>
      </c>
      <c r="C411" s="13" t="s">
        <v>5510</v>
      </c>
      <c r="D411" s="13" t="s">
        <v>5510</v>
      </c>
      <c r="E411" s="13" t="s">
        <v>5510</v>
      </c>
      <c r="F411" s="13" t="s">
        <v>13032</v>
      </c>
      <c r="G411" s="13" t="s">
        <v>5510</v>
      </c>
      <c r="H411" s="13" t="s">
        <v>5510</v>
      </c>
      <c r="I411" s="13" t="s">
        <v>1781</v>
      </c>
      <c r="J411" s="13" t="s">
        <v>5895</v>
      </c>
      <c r="K411" s="13" t="s">
        <v>5510</v>
      </c>
      <c r="L411" s="13" t="s">
        <v>5510</v>
      </c>
      <c r="M411" s="13" t="s">
        <v>5513</v>
      </c>
      <c r="N411" s="13" t="s">
        <v>5514</v>
      </c>
      <c r="O411" s="13" t="s">
        <v>5510</v>
      </c>
      <c r="P411" s="13" t="s">
        <v>5510</v>
      </c>
      <c r="Q411" s="13" t="s">
        <v>5510</v>
      </c>
      <c r="R411" s="13" t="s">
        <v>5510</v>
      </c>
      <c r="S411" s="13" t="s">
        <v>5510</v>
      </c>
      <c r="T411" s="13" t="s">
        <v>13033</v>
      </c>
      <c r="U411" s="13" t="s">
        <v>13034</v>
      </c>
      <c r="V411" s="13" t="s">
        <v>13035</v>
      </c>
      <c r="W411" s="13" t="s">
        <v>13036</v>
      </c>
      <c r="X411" s="13" t="s">
        <v>13037</v>
      </c>
      <c r="Y411" s="13" t="s">
        <v>13038</v>
      </c>
      <c r="Z411" s="13" t="s">
        <v>13039</v>
      </c>
      <c r="AA411" s="13" t="s">
        <v>5510</v>
      </c>
      <c r="AB411" s="13" t="s">
        <v>13040</v>
      </c>
      <c r="AC411" s="13" t="s">
        <v>13041</v>
      </c>
      <c r="AD411" s="13" t="s">
        <v>13042</v>
      </c>
      <c r="AE411" s="13" t="s">
        <v>13043</v>
      </c>
      <c r="AF411" s="13" t="s">
        <v>5510</v>
      </c>
      <c r="AG411" s="13">
        <v>54.0</v>
      </c>
      <c r="AH411" s="13">
        <v>188.0</v>
      </c>
      <c r="AI411" s="13">
        <v>221.0</v>
      </c>
      <c r="AJ411" s="13">
        <v>6.0</v>
      </c>
      <c r="AK411" s="13">
        <v>145.0</v>
      </c>
      <c r="AL411" s="13" t="s">
        <v>5907</v>
      </c>
      <c r="AM411" s="13" t="s">
        <v>5908</v>
      </c>
      <c r="AN411" s="13" t="s">
        <v>5909</v>
      </c>
      <c r="AO411" s="13" t="s">
        <v>5910</v>
      </c>
      <c r="AP411" s="13" t="s">
        <v>5510</v>
      </c>
      <c r="AQ411" s="13" t="s">
        <v>5510</v>
      </c>
      <c r="AR411" s="13" t="s">
        <v>5911</v>
      </c>
      <c r="AS411" s="13" t="s">
        <v>5912</v>
      </c>
      <c r="AT411" s="13" t="s">
        <v>13044</v>
      </c>
      <c r="AU411" s="13">
        <v>2016.0</v>
      </c>
      <c r="AV411" s="13">
        <v>113.0</v>
      </c>
      <c r="AW411" s="13">
        <v>45.0</v>
      </c>
      <c r="AX411" s="13" t="s">
        <v>5510</v>
      </c>
      <c r="AY411" s="13" t="s">
        <v>5510</v>
      </c>
      <c r="AZ411" s="13" t="s">
        <v>5510</v>
      </c>
      <c r="BA411" s="13" t="s">
        <v>5510</v>
      </c>
      <c r="BB411" s="13">
        <v>12880.0</v>
      </c>
      <c r="BC411" s="13">
        <v>12885.0</v>
      </c>
      <c r="BD411" s="13" t="s">
        <v>5510</v>
      </c>
      <c r="BE411" s="13" t="s">
        <v>13045</v>
      </c>
      <c r="BF411" s="52" t="str">
        <f>HYPERLINK("http://dx.doi.org/10.1073/pnas.1521540113","http://dx.doi.org/10.1073/pnas.1521540113")</f>
        <v>http://dx.doi.org/10.1073/pnas.1521540113</v>
      </c>
      <c r="BG411" s="13" t="s">
        <v>5510</v>
      </c>
      <c r="BH411" s="13" t="s">
        <v>5510</v>
      </c>
      <c r="BI411" s="13">
        <v>6.0</v>
      </c>
      <c r="BJ411" s="13" t="s">
        <v>5560</v>
      </c>
      <c r="BK411" s="13" t="s">
        <v>5561</v>
      </c>
      <c r="BL411" s="13" t="s">
        <v>5562</v>
      </c>
      <c r="BM411" s="13" t="s">
        <v>13046</v>
      </c>
      <c r="BN411" s="13">
        <v>2.7791055E7</v>
      </c>
      <c r="BO411" s="13" t="s">
        <v>5587</v>
      </c>
      <c r="BP411" s="13" t="s">
        <v>5510</v>
      </c>
      <c r="BQ411" s="13" t="s">
        <v>5510</v>
      </c>
      <c r="BR411" s="13" t="s">
        <v>5538</v>
      </c>
      <c r="BS411" s="13" t="s">
        <v>13047</v>
      </c>
      <c r="BT411" s="13">
        <v>24754.0</v>
      </c>
      <c r="BU411" s="13" t="s">
        <v>5540</v>
      </c>
      <c r="BV411" s="13" t="s">
        <v>4852</v>
      </c>
      <c r="BW411" s="13" t="str">
        <f>VLOOKUP($BT411,Enriched!$A$2:$E$1070,5,false)</f>
        <v>["Biological resource use"]</v>
      </c>
      <c r="BX411" s="13" t="str">
        <f>VLOOKUP($BT411,Enriched!$A$2:$E$1070,4,false)</f>
        <v>["Fishing &amp; harvesting aquatic resources"]</v>
      </c>
      <c r="BY411" s="13" t="b">
        <f>VLOOKUP(BT411,Enriched!$A$1:$AA$1070,27,falsE)</f>
        <v>0</v>
      </c>
      <c r="BZ411" s="2" t="str">
        <f>VLOOKUP(BT411,Enriched!$A$1:$AA$1070,14,falsE)</f>
        <v>level2</v>
      </c>
      <c r="CA411" s="13" t="str">
        <f>HYPERLINK("https%3A%2F%2Fwww.webofscience.com%2Fwos%2Fwoscc%2Ffull-record%2FWOS:000388073300086","View Full Record in Web of Science")</f>
        <v>View Full Record in Web of Science</v>
      </c>
    </row>
    <row r="412" ht="12.75" customHeight="1">
      <c r="A412" s="13" t="s">
        <v>5508</v>
      </c>
      <c r="B412" s="13" t="s">
        <v>13048</v>
      </c>
      <c r="C412" s="13" t="s">
        <v>5510</v>
      </c>
      <c r="D412" s="13" t="s">
        <v>5510</v>
      </c>
      <c r="E412" s="13" t="s">
        <v>5510</v>
      </c>
      <c r="F412" s="13" t="s">
        <v>13049</v>
      </c>
      <c r="G412" s="13" t="s">
        <v>5510</v>
      </c>
      <c r="H412" s="13" t="s">
        <v>5510</v>
      </c>
      <c r="I412" s="13" t="s">
        <v>1779</v>
      </c>
      <c r="J412" s="13" t="s">
        <v>5746</v>
      </c>
      <c r="K412" s="13" t="s">
        <v>5510</v>
      </c>
      <c r="L412" s="13" t="s">
        <v>5510</v>
      </c>
      <c r="M412" s="13" t="s">
        <v>5513</v>
      </c>
      <c r="N412" s="13" t="s">
        <v>4904</v>
      </c>
      <c r="O412" s="13" t="s">
        <v>5510</v>
      </c>
      <c r="P412" s="13" t="s">
        <v>5510</v>
      </c>
      <c r="Q412" s="13" t="s">
        <v>5510</v>
      </c>
      <c r="R412" s="13" t="s">
        <v>5510</v>
      </c>
      <c r="S412" s="13" t="s">
        <v>5510</v>
      </c>
      <c r="T412" s="13" t="s">
        <v>13050</v>
      </c>
      <c r="U412" s="13" t="s">
        <v>13051</v>
      </c>
      <c r="V412" s="13" t="s">
        <v>13052</v>
      </c>
      <c r="W412" s="13" t="s">
        <v>13053</v>
      </c>
      <c r="X412" s="13" t="s">
        <v>5510</v>
      </c>
      <c r="Y412" s="13" t="s">
        <v>13054</v>
      </c>
      <c r="Z412" s="13" t="s">
        <v>13055</v>
      </c>
      <c r="AA412" s="13" t="s">
        <v>5510</v>
      </c>
      <c r="AB412" s="13" t="s">
        <v>13056</v>
      </c>
      <c r="AC412" s="13" t="s">
        <v>13057</v>
      </c>
      <c r="AD412" s="13" t="s">
        <v>13057</v>
      </c>
      <c r="AE412" s="13" t="s">
        <v>13058</v>
      </c>
      <c r="AF412" s="13" t="s">
        <v>5510</v>
      </c>
      <c r="AG412" s="13">
        <v>103.0</v>
      </c>
      <c r="AH412" s="13">
        <v>6.0</v>
      </c>
      <c r="AI412" s="13">
        <v>9.0</v>
      </c>
      <c r="AJ412" s="13">
        <v>1.0</v>
      </c>
      <c r="AK412" s="13">
        <v>31.0</v>
      </c>
      <c r="AL412" s="13" t="s">
        <v>5759</v>
      </c>
      <c r="AM412" s="13" t="s">
        <v>5760</v>
      </c>
      <c r="AN412" s="13" t="s">
        <v>5761</v>
      </c>
      <c r="AO412" s="13" t="s">
        <v>5762</v>
      </c>
      <c r="AP412" s="13" t="s">
        <v>5763</v>
      </c>
      <c r="AQ412" s="13" t="s">
        <v>5510</v>
      </c>
      <c r="AR412" s="13" t="s">
        <v>5764</v>
      </c>
      <c r="AS412" s="13" t="s">
        <v>5765</v>
      </c>
      <c r="AT412" s="13" t="s">
        <v>13059</v>
      </c>
      <c r="AU412" s="13">
        <v>2020.0</v>
      </c>
      <c r="AV412" s="13">
        <v>737.0</v>
      </c>
      <c r="AW412" s="13" t="s">
        <v>5510</v>
      </c>
      <c r="AX412" s="13" t="s">
        <v>5510</v>
      </c>
      <c r="AY412" s="13" t="s">
        <v>5510</v>
      </c>
      <c r="AZ412" s="13" t="s">
        <v>5510</v>
      </c>
      <c r="BA412" s="13" t="s">
        <v>5510</v>
      </c>
      <c r="BB412" s="13" t="s">
        <v>5510</v>
      </c>
      <c r="BC412" s="13" t="s">
        <v>5510</v>
      </c>
      <c r="BD412" s="13">
        <v>140238.0</v>
      </c>
      <c r="BE412" s="13" t="s">
        <v>13060</v>
      </c>
      <c r="BF412" s="52" t="str">
        <f>HYPERLINK("http://dx.doi.org/10.1016/j.scitotenv.2020.140238","http://dx.doi.org/10.1016/j.scitotenv.2020.140238")</f>
        <v>http://dx.doi.org/10.1016/j.scitotenv.2020.140238</v>
      </c>
      <c r="BG412" s="13" t="s">
        <v>5510</v>
      </c>
      <c r="BH412" s="13" t="s">
        <v>5510</v>
      </c>
      <c r="BI412" s="13">
        <v>11.0</v>
      </c>
      <c r="BJ412" s="13" t="s">
        <v>5768</v>
      </c>
      <c r="BK412" s="13" t="s">
        <v>5561</v>
      </c>
      <c r="BL412" s="13" t="s">
        <v>5535</v>
      </c>
      <c r="BM412" s="13" t="s">
        <v>13061</v>
      </c>
      <c r="BN412" s="13">
        <v>3.2783846E7</v>
      </c>
      <c r="BO412" s="13" t="s">
        <v>6586</v>
      </c>
      <c r="BP412" s="13" t="s">
        <v>5510</v>
      </c>
      <c r="BQ412" s="13" t="s">
        <v>5510</v>
      </c>
      <c r="BR412" s="13" t="s">
        <v>5538</v>
      </c>
      <c r="BS412" s="13" t="s">
        <v>13062</v>
      </c>
      <c r="BT412" s="13">
        <v>23891.0</v>
      </c>
      <c r="BU412" s="13" t="s">
        <v>9118</v>
      </c>
      <c r="BV412" s="13" t="s">
        <v>4856</v>
      </c>
      <c r="BW412" s="13" t="str">
        <f>VLOOKUP($BT412,Enriched!$A$2:$E$1070,5,false)</f>
        <v>["Energy Production &amp; Mining"]</v>
      </c>
      <c r="BX412" s="13" t="str">
        <f>VLOOKUP($BT412,Enriched!$A$2:$E$1070,4,false)</f>
        <v>["Renewable energy"]</v>
      </c>
      <c r="BY412" s="13" t="b">
        <f>VLOOKUP(BT412,Enriched!$A$1:$AA$1070,27,falsE)</f>
        <v>0</v>
      </c>
      <c r="BZ412" s="2" t="str">
        <f>VLOOKUP(BT412,Enriched!$A$1:$AA$1070,14,falsE)</f>
        <v>level2</v>
      </c>
      <c r="CA412" s="13" t="str">
        <f>HYPERLINK("https%3A%2F%2Fwww.webofscience.com%2Fwos%2Fwoscc%2Ffull-record%2FWOS:000553716900004","View Full Record in Web of Science")</f>
        <v>View Full Record in Web of Science</v>
      </c>
    </row>
    <row r="413" ht="12.75" customHeight="1">
      <c r="A413" s="13" t="s">
        <v>5508</v>
      </c>
      <c r="B413" s="13" t="s">
        <v>13063</v>
      </c>
      <c r="C413" s="13" t="s">
        <v>5510</v>
      </c>
      <c r="D413" s="13" t="s">
        <v>5510</v>
      </c>
      <c r="E413" s="13" t="s">
        <v>5510</v>
      </c>
      <c r="F413" s="13" t="s">
        <v>13064</v>
      </c>
      <c r="G413" s="13" t="s">
        <v>5510</v>
      </c>
      <c r="H413" s="13" t="s">
        <v>5510</v>
      </c>
      <c r="I413" s="13" t="s">
        <v>1772</v>
      </c>
      <c r="J413" s="13" t="s">
        <v>13065</v>
      </c>
      <c r="K413" s="13" t="s">
        <v>5510</v>
      </c>
      <c r="L413" s="13" t="s">
        <v>5510</v>
      </c>
      <c r="M413" s="13" t="s">
        <v>5513</v>
      </c>
      <c r="N413" s="13" t="s">
        <v>5514</v>
      </c>
      <c r="O413" s="13" t="s">
        <v>5510</v>
      </c>
      <c r="P413" s="13" t="s">
        <v>5510</v>
      </c>
      <c r="Q413" s="13" t="s">
        <v>5510</v>
      </c>
      <c r="R413" s="13" t="s">
        <v>5510</v>
      </c>
      <c r="S413" s="13" t="s">
        <v>5510</v>
      </c>
      <c r="T413" s="13" t="s">
        <v>13066</v>
      </c>
      <c r="U413" s="13" t="s">
        <v>13067</v>
      </c>
      <c r="V413" s="13" t="s">
        <v>13068</v>
      </c>
      <c r="W413" s="13" t="s">
        <v>13069</v>
      </c>
      <c r="X413" s="13" t="s">
        <v>13070</v>
      </c>
      <c r="Y413" s="13" t="s">
        <v>13071</v>
      </c>
      <c r="Z413" s="13" t="s">
        <v>13072</v>
      </c>
      <c r="AA413" s="13" t="s">
        <v>13073</v>
      </c>
      <c r="AB413" s="13" t="s">
        <v>13074</v>
      </c>
      <c r="AC413" s="13" t="s">
        <v>13075</v>
      </c>
      <c r="AD413" s="13" t="s">
        <v>13076</v>
      </c>
      <c r="AE413" s="13" t="s">
        <v>13077</v>
      </c>
      <c r="AF413" s="13" t="s">
        <v>5510</v>
      </c>
      <c r="AG413" s="13">
        <v>24.0</v>
      </c>
      <c r="AH413" s="13">
        <v>6.0</v>
      </c>
      <c r="AI413" s="13">
        <v>9.0</v>
      </c>
      <c r="AJ413" s="13">
        <v>0.0</v>
      </c>
      <c r="AK413" s="13">
        <v>15.0</v>
      </c>
      <c r="AL413" s="13" t="s">
        <v>13078</v>
      </c>
      <c r="AM413" s="13" t="s">
        <v>13079</v>
      </c>
      <c r="AN413" s="13" t="s">
        <v>13080</v>
      </c>
      <c r="AO413" s="13" t="s">
        <v>13081</v>
      </c>
      <c r="AP413" s="13" t="s">
        <v>13082</v>
      </c>
      <c r="AQ413" s="13" t="s">
        <v>5510</v>
      </c>
      <c r="AR413" s="13" t="s">
        <v>13083</v>
      </c>
      <c r="AS413" s="13" t="s">
        <v>13084</v>
      </c>
      <c r="AT413" s="13" t="s">
        <v>6828</v>
      </c>
      <c r="AU413" s="13">
        <v>2014.0</v>
      </c>
      <c r="AV413" s="13">
        <v>123.0</v>
      </c>
      <c r="AW413" s="13">
        <v>3.0</v>
      </c>
      <c r="AX413" s="13" t="s">
        <v>5510</v>
      </c>
      <c r="AY413" s="13" t="s">
        <v>5510</v>
      </c>
      <c r="AZ413" s="13" t="s">
        <v>5510</v>
      </c>
      <c r="BA413" s="13" t="s">
        <v>5510</v>
      </c>
      <c r="BB413" s="13">
        <v>467.0</v>
      </c>
      <c r="BC413" s="13">
        <v>478.0</v>
      </c>
      <c r="BD413" s="13" t="s">
        <v>5510</v>
      </c>
      <c r="BE413" s="13" t="s">
        <v>13085</v>
      </c>
      <c r="BF413" s="52" t="str">
        <f>HYPERLINK("http://dx.doi.org/10.1007/s12040-014-0409-0","http://dx.doi.org/10.1007/s12040-014-0409-0")</f>
        <v>http://dx.doi.org/10.1007/s12040-014-0409-0</v>
      </c>
      <c r="BG413" s="13" t="s">
        <v>5510</v>
      </c>
      <c r="BH413" s="13" t="s">
        <v>5510</v>
      </c>
      <c r="BI413" s="13">
        <v>12.0</v>
      </c>
      <c r="BJ413" s="13" t="s">
        <v>13086</v>
      </c>
      <c r="BK413" s="13" t="s">
        <v>5561</v>
      </c>
      <c r="BL413" s="13" t="s">
        <v>13087</v>
      </c>
      <c r="BM413" s="13" t="s">
        <v>13088</v>
      </c>
      <c r="BN413" s="13" t="s">
        <v>5510</v>
      </c>
      <c r="BO413" s="13" t="s">
        <v>5510</v>
      </c>
      <c r="BP413" s="13" t="s">
        <v>5510</v>
      </c>
      <c r="BQ413" s="13" t="s">
        <v>5510</v>
      </c>
      <c r="BR413" s="13" t="s">
        <v>5538</v>
      </c>
      <c r="BS413" s="13" t="s">
        <v>13089</v>
      </c>
      <c r="BT413" s="13">
        <v>24149.0</v>
      </c>
      <c r="BU413" s="13" t="s">
        <v>5540</v>
      </c>
      <c r="BV413" s="13" t="s">
        <v>4856</v>
      </c>
      <c r="BW413" s="13" t="str">
        <f>VLOOKUP($BT413,Enriched!$A$2:$E$1070,5,false)</f>
        <v>["Transportation &amp; Service Corridors", "Invasive &amp; Other Problematic Species, Genes &amp; Diseases", "Agriculture &amp; Aquaculture"]</v>
      </c>
      <c r="BX413" s="13" t="str">
        <f>VLOOKUP($BT413,Enriched!$A$2:$E$1070,4,false)</f>
        <v>["Roads &amp; railroads", "Housing &amp; urban area", "Invasive non-native/alien species/diseases"]</v>
      </c>
      <c r="BY413" s="13" t="b">
        <f>VLOOKUP(BT413,Enriched!$A$1:$AA$1070,27,falsE)</f>
        <v>1</v>
      </c>
      <c r="BZ413" s="2" t="str">
        <f>VLOOKUP(BT413,Enriched!$A$1:$AA$1070,14,falsE)</f>
        <v>level2</v>
      </c>
      <c r="CA413" s="13" t="str">
        <f>HYPERLINK("https%3A%2F%2Fwww.webofscience.com%2Fwos%2Fwoscc%2Ffull-record%2FWOS:000335622000003","View Full Record in Web of Science")</f>
        <v>View Full Record in Web of Science</v>
      </c>
    </row>
    <row r="414" ht="12.75" customHeight="1">
      <c r="A414" s="13" t="s">
        <v>5508</v>
      </c>
      <c r="B414" s="13" t="s">
        <v>13090</v>
      </c>
      <c r="C414" s="13" t="s">
        <v>5510</v>
      </c>
      <c r="D414" s="13" t="s">
        <v>5510</v>
      </c>
      <c r="E414" s="13" t="s">
        <v>5510</v>
      </c>
      <c r="F414" s="13" t="s">
        <v>13091</v>
      </c>
      <c r="G414" s="13" t="s">
        <v>5510</v>
      </c>
      <c r="H414" s="13" t="s">
        <v>5510</v>
      </c>
      <c r="I414" s="13" t="s">
        <v>13092</v>
      </c>
      <c r="J414" s="13" t="s">
        <v>5543</v>
      </c>
      <c r="K414" s="13" t="s">
        <v>5510</v>
      </c>
      <c r="L414" s="13" t="s">
        <v>5510</v>
      </c>
      <c r="M414" s="13" t="s">
        <v>5513</v>
      </c>
      <c r="N414" s="13" t="s">
        <v>5514</v>
      </c>
      <c r="O414" s="13" t="s">
        <v>5510</v>
      </c>
      <c r="P414" s="13" t="s">
        <v>5510</v>
      </c>
      <c r="Q414" s="13" t="s">
        <v>5510</v>
      </c>
      <c r="R414" s="13" t="s">
        <v>5510</v>
      </c>
      <c r="S414" s="13" t="s">
        <v>5510</v>
      </c>
      <c r="T414" s="13" t="s">
        <v>5510</v>
      </c>
      <c r="U414" s="13" t="s">
        <v>13093</v>
      </c>
      <c r="V414" s="13" t="s">
        <v>13094</v>
      </c>
      <c r="W414" s="13" t="s">
        <v>13095</v>
      </c>
      <c r="X414" s="13" t="s">
        <v>13096</v>
      </c>
      <c r="Y414" s="13" t="s">
        <v>13097</v>
      </c>
      <c r="Z414" s="13" t="s">
        <v>13098</v>
      </c>
      <c r="AA414" s="13" t="s">
        <v>13099</v>
      </c>
      <c r="AB414" s="13" t="s">
        <v>13100</v>
      </c>
      <c r="AC414" s="13" t="s">
        <v>13101</v>
      </c>
      <c r="AD414" s="13" t="s">
        <v>13102</v>
      </c>
      <c r="AE414" s="13" t="s">
        <v>13103</v>
      </c>
      <c r="AF414" s="13" t="s">
        <v>5510</v>
      </c>
      <c r="AG414" s="13">
        <v>50.0</v>
      </c>
      <c r="AH414" s="13">
        <v>44.0</v>
      </c>
      <c r="AI414" s="13">
        <v>52.0</v>
      </c>
      <c r="AJ414" s="13">
        <v>0.0</v>
      </c>
      <c r="AK414" s="13">
        <v>89.0</v>
      </c>
      <c r="AL414" s="13" t="s">
        <v>5552</v>
      </c>
      <c r="AM414" s="13" t="s">
        <v>5553</v>
      </c>
      <c r="AN414" s="13" t="s">
        <v>13104</v>
      </c>
      <c r="AO414" s="13" t="s">
        <v>5555</v>
      </c>
      <c r="AP414" s="13" t="s">
        <v>5510</v>
      </c>
      <c r="AQ414" s="13" t="s">
        <v>5510</v>
      </c>
      <c r="AR414" s="13" t="s">
        <v>5543</v>
      </c>
      <c r="AS414" s="13" t="s">
        <v>5556</v>
      </c>
      <c r="AT414" s="13" t="s">
        <v>13105</v>
      </c>
      <c r="AU414" s="13">
        <v>2011.0</v>
      </c>
      <c r="AV414" s="13">
        <v>6.0</v>
      </c>
      <c r="AW414" s="13">
        <v>8.0</v>
      </c>
      <c r="AX414" s="13" t="s">
        <v>5510</v>
      </c>
      <c r="AY414" s="13" t="s">
        <v>5510</v>
      </c>
      <c r="AZ414" s="13" t="s">
        <v>5510</v>
      </c>
      <c r="BA414" s="13" t="s">
        <v>5510</v>
      </c>
      <c r="BB414" s="13" t="s">
        <v>5510</v>
      </c>
      <c r="BC414" s="13" t="s">
        <v>5510</v>
      </c>
      <c r="BD414" s="13" t="s">
        <v>13106</v>
      </c>
      <c r="BE414" s="13" t="s">
        <v>13107</v>
      </c>
      <c r="BF414" s="52" t="str">
        <f>HYPERLINK("http://dx.doi.org/10.1371/journal.pone.0023424","http://dx.doi.org/10.1371/journal.pone.0023424")</f>
        <v>http://dx.doi.org/10.1371/journal.pone.0023424</v>
      </c>
      <c r="BG414" s="13" t="s">
        <v>5510</v>
      </c>
      <c r="BH414" s="13" t="s">
        <v>5510</v>
      </c>
      <c r="BI414" s="13">
        <v>11.0</v>
      </c>
      <c r="BJ414" s="13" t="s">
        <v>5560</v>
      </c>
      <c r="BK414" s="13" t="s">
        <v>5561</v>
      </c>
      <c r="BL414" s="13" t="s">
        <v>5562</v>
      </c>
      <c r="BM414" s="13" t="s">
        <v>13108</v>
      </c>
      <c r="BN414" s="13">
        <v>2.1858112E7</v>
      </c>
      <c r="BO414" s="13" t="s">
        <v>5564</v>
      </c>
      <c r="BP414" s="13" t="s">
        <v>5510</v>
      </c>
      <c r="BQ414" s="13" t="s">
        <v>5510</v>
      </c>
      <c r="BR414" s="13" t="s">
        <v>5538</v>
      </c>
      <c r="BS414" s="13" t="s">
        <v>13109</v>
      </c>
      <c r="BT414" s="13">
        <v>23877.0</v>
      </c>
      <c r="BU414" s="13" t="s">
        <v>5540</v>
      </c>
      <c r="BV414" s="13" t="s">
        <v>4864</v>
      </c>
      <c r="BW414" s="13" t="str">
        <f>VLOOKUP($BT414,Enriched!$A$2:$E$1070,5,false)</f>
        <v>["Pollution"]</v>
      </c>
      <c r="BX414" s="13" t="str">
        <f>VLOOKUP($BT414,Enriched!$A$2:$E$1070,4,false)</f>
        <v>["Housing &amp; urban area", "Domestic &amp; urban waste water"]</v>
      </c>
      <c r="BY414" s="13" t="b">
        <f>VLOOKUP(BT414,Enriched!$A$1:$AA$1070,27,falsE)</f>
        <v>0</v>
      </c>
      <c r="BZ414" s="2" t="str">
        <f>VLOOKUP(BT414,Enriched!$A$1:$AA$1070,14,falsE)</f>
        <v>level1</v>
      </c>
      <c r="CA414" s="13" t="str">
        <f>HYPERLINK("https%3A%2F%2Fwww.webofscience.com%2Fwos%2Fwoscc%2Ffull-record%2FWOS:000294121300045","View Full Record in Web of Science")</f>
        <v>View Full Record in Web of Science</v>
      </c>
    </row>
    <row r="415" ht="12.75" customHeight="1">
      <c r="A415" s="13" t="s">
        <v>5508</v>
      </c>
      <c r="B415" s="13" t="s">
        <v>13110</v>
      </c>
      <c r="C415" s="13" t="s">
        <v>5510</v>
      </c>
      <c r="D415" s="13" t="s">
        <v>5510</v>
      </c>
      <c r="E415" s="13" t="s">
        <v>5510</v>
      </c>
      <c r="F415" s="13" t="s">
        <v>13110</v>
      </c>
      <c r="G415" s="13" t="s">
        <v>5510</v>
      </c>
      <c r="H415" s="13" t="s">
        <v>5510</v>
      </c>
      <c r="I415" s="13" t="s">
        <v>13111</v>
      </c>
      <c r="J415" s="13" t="s">
        <v>13112</v>
      </c>
      <c r="K415" s="13" t="s">
        <v>5510</v>
      </c>
      <c r="L415" s="13" t="s">
        <v>5510</v>
      </c>
      <c r="M415" s="13" t="s">
        <v>5513</v>
      </c>
      <c r="N415" s="13" t="s">
        <v>5514</v>
      </c>
      <c r="O415" s="13" t="s">
        <v>5510</v>
      </c>
      <c r="P415" s="13" t="s">
        <v>5510</v>
      </c>
      <c r="Q415" s="13" t="s">
        <v>5510</v>
      </c>
      <c r="R415" s="13" t="s">
        <v>5510</v>
      </c>
      <c r="S415" s="13" t="s">
        <v>5510</v>
      </c>
      <c r="T415" s="13" t="s">
        <v>5510</v>
      </c>
      <c r="U415" s="13" t="s">
        <v>13113</v>
      </c>
      <c r="V415" s="13" t="s">
        <v>13114</v>
      </c>
      <c r="W415" s="13" t="s">
        <v>13115</v>
      </c>
      <c r="X415" s="13" t="s">
        <v>13116</v>
      </c>
      <c r="Y415" s="13" t="s">
        <v>13117</v>
      </c>
      <c r="Z415" s="13" t="s">
        <v>13118</v>
      </c>
      <c r="AA415" s="13" t="s">
        <v>5510</v>
      </c>
      <c r="AB415" s="13" t="s">
        <v>5510</v>
      </c>
      <c r="AC415" s="13" t="s">
        <v>5510</v>
      </c>
      <c r="AD415" s="13" t="s">
        <v>5510</v>
      </c>
      <c r="AE415" s="13" t="s">
        <v>5510</v>
      </c>
      <c r="AF415" s="13" t="s">
        <v>5510</v>
      </c>
      <c r="AG415" s="13">
        <v>41.0</v>
      </c>
      <c r="AH415" s="13">
        <v>100.0</v>
      </c>
      <c r="AI415" s="13">
        <v>126.0</v>
      </c>
      <c r="AJ415" s="13">
        <v>0.0</v>
      </c>
      <c r="AK415" s="13">
        <v>36.0</v>
      </c>
      <c r="AL415" s="13" t="s">
        <v>13119</v>
      </c>
      <c r="AM415" s="13" t="s">
        <v>13120</v>
      </c>
      <c r="AN415" s="13" t="s">
        <v>13121</v>
      </c>
      <c r="AO415" s="13" t="s">
        <v>13122</v>
      </c>
      <c r="AP415" s="13" t="s">
        <v>13123</v>
      </c>
      <c r="AQ415" s="13" t="s">
        <v>5510</v>
      </c>
      <c r="AR415" s="13" t="s">
        <v>13124</v>
      </c>
      <c r="AS415" s="13" t="s">
        <v>13125</v>
      </c>
      <c r="AT415" s="13" t="s">
        <v>2514</v>
      </c>
      <c r="AU415" s="13">
        <v>2002.0</v>
      </c>
      <c r="AV415" s="13">
        <v>68.0</v>
      </c>
      <c r="AW415" s="13">
        <v>10.0</v>
      </c>
      <c r="AX415" s="13" t="s">
        <v>5510</v>
      </c>
      <c r="AY415" s="13" t="s">
        <v>5510</v>
      </c>
      <c r="AZ415" s="13" t="s">
        <v>5510</v>
      </c>
      <c r="BA415" s="13" t="s">
        <v>5510</v>
      </c>
      <c r="BB415" s="13">
        <v>1001.0</v>
      </c>
      <c r="BC415" s="13">
        <v>1009.0</v>
      </c>
      <c r="BD415" s="13" t="s">
        <v>5510</v>
      </c>
      <c r="BE415" s="13" t="str">
        <f>#REF!</f>
        <v>#REF!</v>
      </c>
      <c r="BF415" s="13" t="s">
        <v>5510</v>
      </c>
      <c r="BG415" s="13" t="s">
        <v>5510</v>
      </c>
      <c r="BH415" s="13" t="s">
        <v>5510</v>
      </c>
      <c r="BI415" s="13">
        <v>9.0</v>
      </c>
      <c r="BJ415" s="13" t="s">
        <v>7434</v>
      </c>
      <c r="BK415" s="13" t="s">
        <v>5561</v>
      </c>
      <c r="BL415" s="13" t="s">
        <v>7435</v>
      </c>
      <c r="BM415" s="13" t="s">
        <v>13126</v>
      </c>
      <c r="BN415" s="13" t="s">
        <v>5510</v>
      </c>
      <c r="BO415" s="13" t="s">
        <v>5510</v>
      </c>
      <c r="BP415" s="13" t="s">
        <v>5510</v>
      </c>
      <c r="BQ415" s="13" t="s">
        <v>5510</v>
      </c>
      <c r="BR415" s="13" t="s">
        <v>5538</v>
      </c>
      <c r="BS415" s="13" t="s">
        <v>13127</v>
      </c>
      <c r="BT415" s="13">
        <v>24375.0</v>
      </c>
      <c r="BU415" s="13" t="s">
        <v>5540</v>
      </c>
      <c r="BV415" s="13" t="s">
        <v>4856</v>
      </c>
      <c r="BW415" s="13" t="str">
        <f>VLOOKUP($BT415,Enriched!$A$2:$E$1070,5,false)</f>
        <v>["Invasive &amp; other problematic species, genes &amp; diseases"]</v>
      </c>
      <c r="BX415" s="13" t="str">
        <f>VLOOKUP($BT415,Enriched!$A$2:$E$1070,4,false)</f>
        <v>["Invasive non-native/alien species/diseases"]</v>
      </c>
      <c r="BY415" s="13" t="b">
        <f>VLOOKUP(BT415,Enriched!$A$1:$AA$1070,27,falsE)</f>
        <v>0</v>
      </c>
      <c r="BZ415" s="2" t="str">
        <f>VLOOKUP(BT415,Enriched!$A$1:$AA$1070,14,falsE)</f>
        <v>level2</v>
      </c>
      <c r="CA415" s="13" t="str">
        <f>HYPERLINK("https%3A%2F%2Fwww.webofscience.com%2Fwos%2Fwoscc%2Ffull-record%2FWOS:000178338800007","View Full Record in Web of Science")</f>
        <v>View Full Record in Web of Science</v>
      </c>
    </row>
    <row r="416" ht="12.75" customHeight="1">
      <c r="A416" s="13" t="s">
        <v>5508</v>
      </c>
      <c r="B416" s="13" t="s">
        <v>13128</v>
      </c>
      <c r="C416" s="13" t="s">
        <v>5510</v>
      </c>
      <c r="D416" s="13" t="s">
        <v>5510</v>
      </c>
      <c r="E416" s="13" t="s">
        <v>5510</v>
      </c>
      <c r="F416" s="13" t="s">
        <v>13129</v>
      </c>
      <c r="G416" s="13" t="s">
        <v>5510</v>
      </c>
      <c r="H416" s="13" t="s">
        <v>5510</v>
      </c>
      <c r="I416" s="13" t="s">
        <v>1764</v>
      </c>
      <c r="J416" s="13" t="s">
        <v>5543</v>
      </c>
      <c r="K416" s="13" t="s">
        <v>5510</v>
      </c>
      <c r="L416" s="13" t="s">
        <v>5510</v>
      </c>
      <c r="M416" s="13" t="s">
        <v>5513</v>
      </c>
      <c r="N416" s="13" t="s">
        <v>5514</v>
      </c>
      <c r="O416" s="13" t="s">
        <v>5510</v>
      </c>
      <c r="P416" s="13" t="s">
        <v>5510</v>
      </c>
      <c r="Q416" s="13" t="s">
        <v>5510</v>
      </c>
      <c r="R416" s="13" t="s">
        <v>5510</v>
      </c>
      <c r="S416" s="13" t="s">
        <v>5510</v>
      </c>
      <c r="T416" s="13" t="s">
        <v>5510</v>
      </c>
      <c r="U416" s="13" t="s">
        <v>13130</v>
      </c>
      <c r="V416" s="13" t="s">
        <v>13131</v>
      </c>
      <c r="W416" s="13" t="s">
        <v>13132</v>
      </c>
      <c r="X416" s="13" t="s">
        <v>13133</v>
      </c>
      <c r="Y416" s="13" t="s">
        <v>13134</v>
      </c>
      <c r="Z416" s="13" t="s">
        <v>13135</v>
      </c>
      <c r="AA416" s="13" t="s">
        <v>13136</v>
      </c>
      <c r="AB416" s="13" t="s">
        <v>13137</v>
      </c>
      <c r="AC416" s="13" t="s">
        <v>5510</v>
      </c>
      <c r="AD416" s="13" t="s">
        <v>5510</v>
      </c>
      <c r="AE416" s="13" t="s">
        <v>5510</v>
      </c>
      <c r="AF416" s="13" t="s">
        <v>5510</v>
      </c>
      <c r="AG416" s="13">
        <v>34.0</v>
      </c>
      <c r="AH416" s="13">
        <v>57.0</v>
      </c>
      <c r="AI416" s="13">
        <v>70.0</v>
      </c>
      <c r="AJ416" s="13">
        <v>1.0</v>
      </c>
      <c r="AK416" s="13">
        <v>63.0</v>
      </c>
      <c r="AL416" s="13" t="s">
        <v>5552</v>
      </c>
      <c r="AM416" s="13" t="s">
        <v>5553</v>
      </c>
      <c r="AN416" s="13" t="s">
        <v>5554</v>
      </c>
      <c r="AO416" s="13" t="s">
        <v>5555</v>
      </c>
      <c r="AP416" s="13" t="s">
        <v>5510</v>
      </c>
      <c r="AQ416" s="13" t="s">
        <v>5510</v>
      </c>
      <c r="AR416" s="13" t="s">
        <v>5543</v>
      </c>
      <c r="AS416" s="13" t="s">
        <v>5556</v>
      </c>
      <c r="AT416" s="13" t="s">
        <v>13138</v>
      </c>
      <c r="AU416" s="13">
        <v>2013.0</v>
      </c>
      <c r="AV416" s="13">
        <v>8.0</v>
      </c>
      <c r="AW416" s="13">
        <v>1.0</v>
      </c>
      <c r="AX416" s="13" t="s">
        <v>5510</v>
      </c>
      <c r="AY416" s="13" t="s">
        <v>5510</v>
      </c>
      <c r="AZ416" s="13" t="s">
        <v>5510</v>
      </c>
      <c r="BA416" s="13" t="s">
        <v>5510</v>
      </c>
      <c r="BB416" s="13" t="s">
        <v>5510</v>
      </c>
      <c r="BC416" s="13" t="s">
        <v>5510</v>
      </c>
      <c r="BD416" s="13" t="s">
        <v>13139</v>
      </c>
      <c r="BE416" s="13" t="s">
        <v>13140</v>
      </c>
      <c r="BF416" s="52" t="str">
        <f>HYPERLINK("http://dx.doi.org/10.1371/journal.pone.0054310","http://dx.doi.org/10.1371/journal.pone.0054310")</f>
        <v>http://dx.doi.org/10.1371/journal.pone.0054310</v>
      </c>
      <c r="BG416" s="13" t="s">
        <v>5510</v>
      </c>
      <c r="BH416" s="13" t="s">
        <v>5510</v>
      </c>
      <c r="BI416" s="13">
        <v>9.0</v>
      </c>
      <c r="BJ416" s="13" t="s">
        <v>5560</v>
      </c>
      <c r="BK416" s="13" t="s">
        <v>5561</v>
      </c>
      <c r="BL416" s="13" t="s">
        <v>5562</v>
      </c>
      <c r="BM416" s="13" t="s">
        <v>13141</v>
      </c>
      <c r="BN416" s="13">
        <v>2.338289E7</v>
      </c>
      <c r="BO416" s="13" t="s">
        <v>5564</v>
      </c>
      <c r="BP416" s="13" t="s">
        <v>5510</v>
      </c>
      <c r="BQ416" s="13" t="s">
        <v>5510</v>
      </c>
      <c r="BR416" s="13" t="s">
        <v>5538</v>
      </c>
      <c r="BS416" s="13" t="s">
        <v>13142</v>
      </c>
      <c r="BT416" s="13">
        <v>23138.0</v>
      </c>
      <c r="BU416" s="13" t="s">
        <v>5540</v>
      </c>
      <c r="BV416" s="13" t="s">
        <v>4856</v>
      </c>
      <c r="BW416" s="13" t="str">
        <f>VLOOKUP($BT416,Enriched!$A$2:$E$1070,5,false)</f>
        <v>["Agriculture &amp; Aquaculture", "Natural System Modifications"]</v>
      </c>
      <c r="BX416" s="13" t="str">
        <f>VLOOKUP($BT416,Enriched!$A$2:$E$1070,4,false)</f>
        <v>["Livestock farming &amp; ranching", "Fire &amp; fire suppression", "Annual &amp; perennial non-timber crops"]</v>
      </c>
      <c r="BY416" s="13" t="b">
        <f>VLOOKUP(BT416,Enriched!$A$1:$AA$1070,27,falsE)</f>
        <v>0</v>
      </c>
      <c r="BZ416" s="2" t="str">
        <f>VLOOKUP(BT416,Enriched!$A$1:$AA$1070,14,falsE)</f>
        <v>level2</v>
      </c>
      <c r="CA416" s="13" t="str">
        <f>HYPERLINK("https%3A%2F%2Fwww.webofscience.com%2Fwos%2Fwoscc%2Ffull-record%2FWOS:000315563800044","View Full Record in Web of Science")</f>
        <v>View Full Record in Web of Science</v>
      </c>
    </row>
    <row r="417" ht="12.75" customHeight="1">
      <c r="A417" s="13" t="s">
        <v>5508</v>
      </c>
      <c r="B417" s="13" t="s">
        <v>13143</v>
      </c>
      <c r="C417" s="13" t="s">
        <v>5510</v>
      </c>
      <c r="D417" s="13" t="s">
        <v>5510</v>
      </c>
      <c r="E417" s="13" t="s">
        <v>5510</v>
      </c>
      <c r="F417" s="13" t="s">
        <v>13144</v>
      </c>
      <c r="G417" s="13" t="s">
        <v>5510</v>
      </c>
      <c r="H417" s="13" t="s">
        <v>5510</v>
      </c>
      <c r="I417" s="13" t="s">
        <v>1762</v>
      </c>
      <c r="J417" s="13" t="s">
        <v>5543</v>
      </c>
      <c r="K417" s="13" t="s">
        <v>5510</v>
      </c>
      <c r="L417" s="13" t="s">
        <v>5510</v>
      </c>
      <c r="M417" s="13" t="s">
        <v>5513</v>
      </c>
      <c r="N417" s="13" t="s">
        <v>5514</v>
      </c>
      <c r="O417" s="13" t="s">
        <v>5510</v>
      </c>
      <c r="P417" s="13" t="s">
        <v>5510</v>
      </c>
      <c r="Q417" s="13" t="s">
        <v>5510</v>
      </c>
      <c r="R417" s="13" t="s">
        <v>5510</v>
      </c>
      <c r="S417" s="13" t="s">
        <v>5510</v>
      </c>
      <c r="T417" s="13" t="s">
        <v>5510</v>
      </c>
      <c r="U417" s="13" t="s">
        <v>13145</v>
      </c>
      <c r="V417" s="13" t="s">
        <v>13146</v>
      </c>
      <c r="W417" s="13" t="s">
        <v>13147</v>
      </c>
      <c r="X417" s="13" t="s">
        <v>13148</v>
      </c>
      <c r="Y417" s="13" t="s">
        <v>13149</v>
      </c>
      <c r="Z417" s="13" t="s">
        <v>13150</v>
      </c>
      <c r="AA417" s="13" t="s">
        <v>13151</v>
      </c>
      <c r="AB417" s="13" t="s">
        <v>13152</v>
      </c>
      <c r="AC417" s="13" t="s">
        <v>13153</v>
      </c>
      <c r="AD417" s="13" t="s">
        <v>13154</v>
      </c>
      <c r="AE417" s="13" t="s">
        <v>13155</v>
      </c>
      <c r="AF417" s="13" t="s">
        <v>5510</v>
      </c>
      <c r="AG417" s="13">
        <v>79.0</v>
      </c>
      <c r="AH417" s="13">
        <v>3.0</v>
      </c>
      <c r="AI417" s="13">
        <v>3.0</v>
      </c>
      <c r="AJ417" s="13">
        <v>3.0</v>
      </c>
      <c r="AK417" s="13">
        <v>30.0</v>
      </c>
      <c r="AL417" s="13" t="s">
        <v>5552</v>
      </c>
      <c r="AM417" s="13" t="s">
        <v>5553</v>
      </c>
      <c r="AN417" s="13" t="s">
        <v>5554</v>
      </c>
      <c r="AO417" s="13" t="s">
        <v>5555</v>
      </c>
      <c r="AP417" s="13" t="s">
        <v>5510</v>
      </c>
      <c r="AQ417" s="13" t="s">
        <v>5510</v>
      </c>
      <c r="AR417" s="13" t="s">
        <v>5543</v>
      </c>
      <c r="AS417" s="13" t="s">
        <v>5556</v>
      </c>
      <c r="AT417" s="13" t="s">
        <v>13156</v>
      </c>
      <c r="AU417" s="13">
        <v>2019.0</v>
      </c>
      <c r="AV417" s="13">
        <v>14.0</v>
      </c>
      <c r="AW417" s="13">
        <v>3.0</v>
      </c>
      <c r="AX417" s="13" t="s">
        <v>5510</v>
      </c>
      <c r="AY417" s="13" t="s">
        <v>5510</v>
      </c>
      <c r="AZ417" s="13" t="s">
        <v>5510</v>
      </c>
      <c r="BA417" s="13" t="s">
        <v>5510</v>
      </c>
      <c r="BB417" s="13" t="s">
        <v>5510</v>
      </c>
      <c r="BC417" s="13" t="s">
        <v>5510</v>
      </c>
      <c r="BD417" s="13" t="s">
        <v>13157</v>
      </c>
      <c r="BE417" s="13" t="s">
        <v>13158</v>
      </c>
      <c r="BF417" s="52" t="str">
        <f>HYPERLINK("http://dx.doi.org/10.1371/journal.pone.0212621","http://dx.doi.org/10.1371/journal.pone.0212621")</f>
        <v>http://dx.doi.org/10.1371/journal.pone.0212621</v>
      </c>
      <c r="BG417" s="13" t="s">
        <v>5510</v>
      </c>
      <c r="BH417" s="13" t="s">
        <v>5510</v>
      </c>
      <c r="BI417" s="13">
        <v>21.0</v>
      </c>
      <c r="BJ417" s="13" t="s">
        <v>5560</v>
      </c>
      <c r="BK417" s="13" t="s">
        <v>5561</v>
      </c>
      <c r="BL417" s="13" t="s">
        <v>5562</v>
      </c>
      <c r="BM417" s="13" t="s">
        <v>13159</v>
      </c>
      <c r="BN417" s="13">
        <v>3.090133E7</v>
      </c>
      <c r="BO417" s="13" t="s">
        <v>5564</v>
      </c>
      <c r="BP417" s="13" t="s">
        <v>5510</v>
      </c>
      <c r="BQ417" s="13" t="s">
        <v>5510</v>
      </c>
      <c r="BR417" s="13" t="s">
        <v>5538</v>
      </c>
      <c r="BS417" s="13" t="s">
        <v>13160</v>
      </c>
      <c r="BT417" s="13">
        <v>25216.0</v>
      </c>
      <c r="BU417" s="13" t="s">
        <v>5540</v>
      </c>
      <c r="BV417" s="13" t="s">
        <v>4856</v>
      </c>
      <c r="BW417" s="13" t="str">
        <f>VLOOKUP($BT417,Enriched!$A$2:$E$1070,5,false)</f>
        <v>["Agriculture &amp; Aquaculture"]</v>
      </c>
      <c r="BX417" s="13" t="str">
        <f>VLOOKUP($BT417,Enriched!$A$2:$E$1070,4,false)</f>
        <v/>
      </c>
      <c r="BY417" s="13" t="b">
        <f>VLOOKUP(BT417,Enriched!$A$1:$AA$1070,27,falsE)</f>
        <v>1</v>
      </c>
      <c r="BZ417" s="2" t="str">
        <f>VLOOKUP(BT417,Enriched!$A$1:$AA$1070,14,falsE)</f>
        <v>level2</v>
      </c>
      <c r="CA417" s="13" t="str">
        <f>HYPERLINK("https%3A%2F%2Fwww.webofscience.com%2Fwos%2Fwoscc%2Ffull-record%2FWOS:000462000400004","View Full Record in Web of Science")</f>
        <v>View Full Record in Web of Science</v>
      </c>
    </row>
    <row r="418" ht="12.75" customHeight="1">
      <c r="A418" s="13" t="s">
        <v>5508</v>
      </c>
      <c r="B418" s="13" t="s">
        <v>13161</v>
      </c>
      <c r="C418" s="13" t="s">
        <v>5510</v>
      </c>
      <c r="D418" s="13" t="s">
        <v>5510</v>
      </c>
      <c r="E418" s="13" t="s">
        <v>5510</v>
      </c>
      <c r="F418" s="13" t="s">
        <v>13162</v>
      </c>
      <c r="G418" s="13" t="s">
        <v>5510</v>
      </c>
      <c r="H418" s="13" t="s">
        <v>5510</v>
      </c>
      <c r="I418" s="13" t="s">
        <v>1759</v>
      </c>
      <c r="J418" s="13" t="s">
        <v>13163</v>
      </c>
      <c r="K418" s="13" t="s">
        <v>5510</v>
      </c>
      <c r="L418" s="13" t="s">
        <v>5510</v>
      </c>
      <c r="M418" s="13" t="s">
        <v>5513</v>
      </c>
      <c r="N418" s="13" t="s">
        <v>5514</v>
      </c>
      <c r="O418" s="13" t="s">
        <v>5510</v>
      </c>
      <c r="P418" s="13" t="s">
        <v>5510</v>
      </c>
      <c r="Q418" s="13" t="s">
        <v>5510</v>
      </c>
      <c r="R418" s="13" t="s">
        <v>5510</v>
      </c>
      <c r="S418" s="13" t="s">
        <v>5510</v>
      </c>
      <c r="T418" s="13" t="s">
        <v>13164</v>
      </c>
      <c r="U418" s="13" t="s">
        <v>13165</v>
      </c>
      <c r="V418" s="13" t="s">
        <v>13166</v>
      </c>
      <c r="W418" s="13" t="s">
        <v>13167</v>
      </c>
      <c r="X418" s="13" t="s">
        <v>13168</v>
      </c>
      <c r="Y418" s="13" t="s">
        <v>13169</v>
      </c>
      <c r="Z418" s="13" t="s">
        <v>13170</v>
      </c>
      <c r="AA418" s="13" t="s">
        <v>13171</v>
      </c>
      <c r="AB418" s="13" t="s">
        <v>13172</v>
      </c>
      <c r="AC418" s="13" t="s">
        <v>13173</v>
      </c>
      <c r="AD418" s="13" t="s">
        <v>13174</v>
      </c>
      <c r="AE418" s="13" t="s">
        <v>13175</v>
      </c>
      <c r="AF418" s="13" t="s">
        <v>5510</v>
      </c>
      <c r="AG418" s="13">
        <v>58.0</v>
      </c>
      <c r="AH418" s="13">
        <v>30.0</v>
      </c>
      <c r="AI418" s="13">
        <v>31.0</v>
      </c>
      <c r="AJ418" s="13">
        <v>0.0</v>
      </c>
      <c r="AK418" s="13">
        <v>51.0</v>
      </c>
      <c r="AL418" s="13" t="s">
        <v>5527</v>
      </c>
      <c r="AM418" s="13" t="s">
        <v>5528</v>
      </c>
      <c r="AN418" s="13" t="s">
        <v>5529</v>
      </c>
      <c r="AO418" s="13" t="s">
        <v>13176</v>
      </c>
      <c r="AP418" s="13" t="s">
        <v>13177</v>
      </c>
      <c r="AQ418" s="13" t="s">
        <v>5510</v>
      </c>
      <c r="AR418" s="13" t="s">
        <v>13178</v>
      </c>
      <c r="AS418" s="13" t="s">
        <v>13179</v>
      </c>
      <c r="AT418" s="13" t="s">
        <v>2514</v>
      </c>
      <c r="AU418" s="13">
        <v>2015.0</v>
      </c>
      <c r="AV418" s="13">
        <v>18.0</v>
      </c>
      <c r="AW418" s="13">
        <v>5.0</v>
      </c>
      <c r="AX418" s="13" t="s">
        <v>5510</v>
      </c>
      <c r="AY418" s="13" t="s">
        <v>5510</v>
      </c>
      <c r="AZ418" s="13" t="s">
        <v>5510</v>
      </c>
      <c r="BA418" s="13" t="s">
        <v>5510</v>
      </c>
      <c r="BB418" s="13">
        <v>480.0</v>
      </c>
      <c r="BC418" s="13">
        <v>488.0</v>
      </c>
      <c r="BD418" s="13" t="s">
        <v>5510</v>
      </c>
      <c r="BE418" s="13" t="s">
        <v>13180</v>
      </c>
      <c r="BF418" s="52" t="str">
        <f>HYPERLINK("http://dx.doi.org/10.1111/acv.12199","http://dx.doi.org/10.1111/acv.12199")</f>
        <v>http://dx.doi.org/10.1111/acv.12199</v>
      </c>
      <c r="BG418" s="13" t="s">
        <v>5510</v>
      </c>
      <c r="BH418" s="13" t="s">
        <v>5510</v>
      </c>
      <c r="BI418" s="13">
        <v>9.0</v>
      </c>
      <c r="BJ418" s="13" t="s">
        <v>5958</v>
      </c>
      <c r="BK418" s="13" t="s">
        <v>5561</v>
      </c>
      <c r="BL418" s="13" t="s">
        <v>5699</v>
      </c>
      <c r="BM418" s="13" t="s">
        <v>13181</v>
      </c>
      <c r="BN418" s="13" t="s">
        <v>5510</v>
      </c>
      <c r="BO418" s="13" t="s">
        <v>5510</v>
      </c>
      <c r="BP418" s="13" t="s">
        <v>5510</v>
      </c>
      <c r="BQ418" s="13" t="s">
        <v>5510</v>
      </c>
      <c r="BR418" s="13" t="s">
        <v>5538</v>
      </c>
      <c r="BS418" s="13" t="s">
        <v>13182</v>
      </c>
      <c r="BT418" s="13">
        <v>25487.0</v>
      </c>
      <c r="BU418" s="13" t="s">
        <v>5540</v>
      </c>
      <c r="BV418" s="13" t="s">
        <v>4852</v>
      </c>
      <c r="BW418" s="13" t="str">
        <f>VLOOKUP($BT418,Enriched!$A$2:$E$1070,5,false)</f>
        <v>["Invasive &amp; other problematic species, genes &amp; diseases"]</v>
      </c>
      <c r="BX418" s="13" t="str">
        <f>VLOOKUP($BT418,Enriched!$A$2:$E$1070,4,false)</f>
        <v>["Invasive non-native/alien species/diseases"]</v>
      </c>
      <c r="BY418" s="13" t="b">
        <f>VLOOKUP(BT418,Enriched!$A$1:$AA$1070,27,falsE)</f>
        <v>0</v>
      </c>
      <c r="BZ418" s="2" t="str">
        <f>VLOOKUP(BT418,Enriched!$A$1:$AA$1070,14,falsE)</f>
        <v>level2</v>
      </c>
      <c r="CA418" s="13" t="str">
        <f>HYPERLINK("https%3A%2F%2Fwww.webofscience.com%2Fwos%2Fwoscc%2Ffull-record%2FWOS:000363471300013","View Full Record in Web of Science")</f>
        <v>View Full Record in Web of Science</v>
      </c>
    </row>
    <row r="419" ht="12.75" customHeight="1">
      <c r="A419" s="13" t="s">
        <v>5508</v>
      </c>
      <c r="B419" s="13" t="s">
        <v>13183</v>
      </c>
      <c r="C419" s="13" t="s">
        <v>5510</v>
      </c>
      <c r="D419" s="13" t="s">
        <v>5510</v>
      </c>
      <c r="E419" s="13" t="s">
        <v>5510</v>
      </c>
      <c r="F419" s="13" t="s">
        <v>13184</v>
      </c>
      <c r="G419" s="13" t="s">
        <v>5510</v>
      </c>
      <c r="H419" s="13" t="s">
        <v>5510</v>
      </c>
      <c r="I419" s="13" t="s">
        <v>1757</v>
      </c>
      <c r="J419" s="13" t="s">
        <v>13185</v>
      </c>
      <c r="K419" s="13" t="s">
        <v>5510</v>
      </c>
      <c r="L419" s="13" t="s">
        <v>5510</v>
      </c>
      <c r="M419" s="13" t="s">
        <v>5513</v>
      </c>
      <c r="N419" s="13" t="s">
        <v>5514</v>
      </c>
      <c r="O419" s="13" t="s">
        <v>5510</v>
      </c>
      <c r="P419" s="13" t="s">
        <v>5510</v>
      </c>
      <c r="Q419" s="13" t="s">
        <v>5510</v>
      </c>
      <c r="R419" s="13" t="s">
        <v>5510</v>
      </c>
      <c r="S419" s="13" t="s">
        <v>5510</v>
      </c>
      <c r="T419" s="13" t="s">
        <v>13186</v>
      </c>
      <c r="U419" s="13" t="s">
        <v>13187</v>
      </c>
      <c r="V419" s="13" t="s">
        <v>13188</v>
      </c>
      <c r="W419" s="13" t="s">
        <v>13189</v>
      </c>
      <c r="X419" s="13" t="s">
        <v>13190</v>
      </c>
      <c r="Y419" s="13" t="s">
        <v>13191</v>
      </c>
      <c r="Z419" s="13" t="s">
        <v>13192</v>
      </c>
      <c r="AA419" s="13" t="s">
        <v>13193</v>
      </c>
      <c r="AB419" s="13" t="s">
        <v>13194</v>
      </c>
      <c r="AC419" s="13" t="s">
        <v>13195</v>
      </c>
      <c r="AD419" s="13" t="s">
        <v>13196</v>
      </c>
      <c r="AE419" s="13" t="s">
        <v>13197</v>
      </c>
      <c r="AF419" s="13" t="s">
        <v>5510</v>
      </c>
      <c r="AG419" s="13">
        <v>108.0</v>
      </c>
      <c r="AH419" s="13">
        <v>64.0</v>
      </c>
      <c r="AI419" s="13">
        <v>71.0</v>
      </c>
      <c r="AJ419" s="13">
        <v>1.0</v>
      </c>
      <c r="AK419" s="13">
        <v>127.0</v>
      </c>
      <c r="AL419" s="13" t="s">
        <v>13198</v>
      </c>
      <c r="AM419" s="13" t="s">
        <v>6503</v>
      </c>
      <c r="AN419" s="13" t="s">
        <v>13199</v>
      </c>
      <c r="AO419" s="13" t="s">
        <v>13200</v>
      </c>
      <c r="AP419" s="13" t="s">
        <v>13201</v>
      </c>
      <c r="AQ419" s="13" t="s">
        <v>5510</v>
      </c>
      <c r="AR419" s="13" t="s">
        <v>13202</v>
      </c>
      <c r="AS419" s="13" t="s">
        <v>13203</v>
      </c>
      <c r="AT419" s="13" t="s">
        <v>13204</v>
      </c>
      <c r="AU419" s="13">
        <v>2013.0</v>
      </c>
      <c r="AV419" s="13">
        <v>133.0</v>
      </c>
      <c r="AW419" s="13" t="s">
        <v>5510</v>
      </c>
      <c r="AX419" s="13" t="s">
        <v>5510</v>
      </c>
      <c r="AY419" s="13" t="s">
        <v>5510</v>
      </c>
      <c r="AZ419" s="13" t="s">
        <v>5510</v>
      </c>
      <c r="BA419" s="13" t="s">
        <v>5510</v>
      </c>
      <c r="BB419" s="13">
        <v>38.0</v>
      </c>
      <c r="BC419" s="13">
        <v>51.0</v>
      </c>
      <c r="BD419" s="13" t="s">
        <v>5510</v>
      </c>
      <c r="BE419" s="13" t="s">
        <v>13205</v>
      </c>
      <c r="BF419" s="52" t="str">
        <f>HYPERLINK("http://dx.doi.org/10.1016/j.rse.2013.01.021","http://dx.doi.org/10.1016/j.rse.2013.01.021")</f>
        <v>http://dx.doi.org/10.1016/j.rse.2013.01.021</v>
      </c>
      <c r="BG419" s="13" t="s">
        <v>5510</v>
      </c>
      <c r="BH419" s="13" t="s">
        <v>5510</v>
      </c>
      <c r="BI419" s="13">
        <v>14.0</v>
      </c>
      <c r="BJ419" s="13" t="s">
        <v>13206</v>
      </c>
      <c r="BK419" s="13" t="s">
        <v>5534</v>
      </c>
      <c r="BL419" s="13" t="s">
        <v>13207</v>
      </c>
      <c r="BM419" s="13" t="s">
        <v>13208</v>
      </c>
      <c r="BN419" s="13" t="s">
        <v>5510</v>
      </c>
      <c r="BO419" s="13" t="s">
        <v>5510</v>
      </c>
      <c r="BP419" s="13" t="s">
        <v>5510</v>
      </c>
      <c r="BQ419" s="13" t="s">
        <v>5510</v>
      </c>
      <c r="BR419" s="13" t="s">
        <v>5538</v>
      </c>
      <c r="BS419" s="13" t="s">
        <v>13209</v>
      </c>
      <c r="BT419" s="13">
        <v>25577.0</v>
      </c>
      <c r="BU419" s="13" t="s">
        <v>5540</v>
      </c>
      <c r="BV419" s="13" t="s">
        <v>4856</v>
      </c>
      <c r="BW419" s="13" t="str">
        <f>VLOOKUP($BT419,Enriched!$A$2:$E$1070,5,false)</f>
        <v>["Agriculture &amp; Aquaculture"]</v>
      </c>
      <c r="BX419" s="13" t="str">
        <f>VLOOKUP($BT419,Enriched!$A$2:$E$1070,4,false)</f>
        <v/>
      </c>
      <c r="BY419" s="13" t="b">
        <f>VLOOKUP(BT419,Enriched!$A$1:$AA$1070,27,falsE)</f>
        <v>1</v>
      </c>
      <c r="BZ419" s="2" t="str">
        <f>VLOOKUP(BT419,Enriched!$A$1:$AA$1070,14,falsE)</f>
        <v>level1</v>
      </c>
      <c r="CA419" s="13" t="str">
        <f>HYPERLINK("https%3A%2F%2Fwww.webofscience.com%2Fwos%2Fwoscc%2Ffull-record%2FWOS:000317942100003","View Full Record in Web of Science")</f>
        <v>View Full Record in Web of Science</v>
      </c>
    </row>
    <row r="420" ht="12.75" customHeight="1">
      <c r="A420" s="13" t="s">
        <v>5508</v>
      </c>
      <c r="B420" s="13" t="s">
        <v>13210</v>
      </c>
      <c r="C420" s="13" t="s">
        <v>5510</v>
      </c>
      <c r="D420" s="13" t="s">
        <v>5510</v>
      </c>
      <c r="E420" s="13" t="s">
        <v>5510</v>
      </c>
      <c r="F420" s="13" t="s">
        <v>13211</v>
      </c>
      <c r="G420" s="13" t="s">
        <v>5510</v>
      </c>
      <c r="H420" s="13" t="s">
        <v>5510</v>
      </c>
      <c r="I420" s="13" t="s">
        <v>1754</v>
      </c>
      <c r="J420" s="13" t="s">
        <v>9546</v>
      </c>
      <c r="K420" s="13" t="s">
        <v>5510</v>
      </c>
      <c r="L420" s="13" t="s">
        <v>5510</v>
      </c>
      <c r="M420" s="13" t="s">
        <v>5513</v>
      </c>
      <c r="N420" s="13" t="s">
        <v>5514</v>
      </c>
      <c r="O420" s="13" t="s">
        <v>5510</v>
      </c>
      <c r="P420" s="13" t="s">
        <v>5510</v>
      </c>
      <c r="Q420" s="13" t="s">
        <v>5510</v>
      </c>
      <c r="R420" s="13" t="s">
        <v>5510</v>
      </c>
      <c r="S420" s="13" t="s">
        <v>5510</v>
      </c>
      <c r="T420" s="13" t="s">
        <v>13212</v>
      </c>
      <c r="U420" s="13" t="s">
        <v>13213</v>
      </c>
      <c r="V420" s="13" t="s">
        <v>13214</v>
      </c>
      <c r="W420" s="13" t="s">
        <v>13215</v>
      </c>
      <c r="X420" s="13" t="s">
        <v>13216</v>
      </c>
      <c r="Y420" s="13" t="s">
        <v>13217</v>
      </c>
      <c r="Z420" s="13" t="s">
        <v>13218</v>
      </c>
      <c r="AA420" s="13" t="s">
        <v>13219</v>
      </c>
      <c r="AB420" s="13" t="s">
        <v>13220</v>
      </c>
      <c r="AC420" s="13" t="s">
        <v>13221</v>
      </c>
      <c r="AD420" s="13" t="s">
        <v>13221</v>
      </c>
      <c r="AE420" s="13" t="s">
        <v>13222</v>
      </c>
      <c r="AF420" s="13" t="s">
        <v>5510</v>
      </c>
      <c r="AG420" s="13">
        <v>70.0</v>
      </c>
      <c r="AH420" s="13">
        <v>39.0</v>
      </c>
      <c r="AI420" s="13">
        <v>44.0</v>
      </c>
      <c r="AJ420" s="13">
        <v>0.0</v>
      </c>
      <c r="AK420" s="13">
        <v>52.0</v>
      </c>
      <c r="AL420" s="13" t="s">
        <v>7450</v>
      </c>
      <c r="AM420" s="13" t="s">
        <v>6046</v>
      </c>
      <c r="AN420" s="13" t="s">
        <v>7451</v>
      </c>
      <c r="AO420" s="13" t="s">
        <v>9559</v>
      </c>
      <c r="AP420" s="13" t="s">
        <v>9560</v>
      </c>
      <c r="AQ420" s="13" t="s">
        <v>5510</v>
      </c>
      <c r="AR420" s="13" t="s">
        <v>9561</v>
      </c>
      <c r="AS420" s="13" t="s">
        <v>9562</v>
      </c>
      <c r="AT420" s="13" t="s">
        <v>8511</v>
      </c>
      <c r="AU420" s="13">
        <v>2019.0</v>
      </c>
      <c r="AV420" s="13">
        <v>232.0</v>
      </c>
      <c r="AW420" s="13" t="s">
        <v>5510</v>
      </c>
      <c r="AX420" s="13" t="s">
        <v>5510</v>
      </c>
      <c r="AY420" s="13" t="s">
        <v>5510</v>
      </c>
      <c r="AZ420" s="13" t="s">
        <v>5510</v>
      </c>
      <c r="BA420" s="13" t="s">
        <v>5510</v>
      </c>
      <c r="BB420" s="13">
        <v>1028.0</v>
      </c>
      <c r="BC420" s="13">
        <v>1036.0</v>
      </c>
      <c r="BD420" s="13" t="s">
        <v>5510</v>
      </c>
      <c r="BE420" s="13" t="s">
        <v>13223</v>
      </c>
      <c r="BF420" s="52" t="str">
        <f>HYPERLINK("http://dx.doi.org/10.1016/j.jenvman.2018.12.016","http://dx.doi.org/10.1016/j.jenvman.2018.12.016")</f>
        <v>http://dx.doi.org/10.1016/j.jenvman.2018.12.016</v>
      </c>
      <c r="BG420" s="13" t="s">
        <v>5510</v>
      </c>
      <c r="BH420" s="13" t="s">
        <v>5510</v>
      </c>
      <c r="BI420" s="13">
        <v>9.0</v>
      </c>
      <c r="BJ420" s="13" t="s">
        <v>5768</v>
      </c>
      <c r="BK420" s="13" t="s">
        <v>5534</v>
      </c>
      <c r="BL420" s="13" t="s">
        <v>5535</v>
      </c>
      <c r="BM420" s="13" t="s">
        <v>13224</v>
      </c>
      <c r="BN420" s="13">
        <v>3.3395755E7</v>
      </c>
      <c r="BO420" s="13" t="s">
        <v>5510</v>
      </c>
      <c r="BP420" s="13" t="s">
        <v>5510</v>
      </c>
      <c r="BQ420" s="13" t="s">
        <v>5510</v>
      </c>
      <c r="BR420" s="13" t="s">
        <v>5538</v>
      </c>
      <c r="BS420" s="13" t="s">
        <v>13225</v>
      </c>
      <c r="BT420" s="13">
        <v>23249.0</v>
      </c>
      <c r="BU420" s="13" t="s">
        <v>5540</v>
      </c>
      <c r="BV420" s="13" t="s">
        <v>4856</v>
      </c>
      <c r="BW420" s="13" t="str">
        <f>VLOOKUP($BT420,Enriched!$A$2:$E$1070,5,false)</f>
        <v>["Energy Production &amp; Mining", "Agriculture &amp; Aquaculture"]</v>
      </c>
      <c r="BX420" s="13" t="str">
        <f>VLOOKUP($BT420,Enriched!$A$2:$E$1070,4,false)</f>
        <v>["Mining &amp; quarrying", "Oil &amp; gas drilling", "Wood &amp; pulp plantations"]</v>
      </c>
      <c r="BY420" s="13" t="b">
        <f>VLOOKUP(BT420,Enriched!$A$1:$AA$1070,27,falsE)</f>
        <v>0</v>
      </c>
      <c r="BZ420" s="2" t="str">
        <f>VLOOKUP(BT420,Enriched!$A$1:$AA$1070,14,falsE)</f>
        <v>level2</v>
      </c>
      <c r="CA420" s="13" t="str">
        <f>HYPERLINK("https%3A%2F%2Fwww.webofscience.com%2Fwos%2Fwoscc%2Ffull-record%2FWOS:000459845200112","View Full Record in Web of Science")</f>
        <v>View Full Record in Web of Science</v>
      </c>
    </row>
    <row r="421" ht="12.75" customHeight="1">
      <c r="A421" s="13" t="s">
        <v>5508</v>
      </c>
      <c r="B421" s="13" t="s">
        <v>13226</v>
      </c>
      <c r="C421" s="13" t="s">
        <v>5510</v>
      </c>
      <c r="D421" s="13" t="s">
        <v>5510</v>
      </c>
      <c r="E421" s="13" t="s">
        <v>5510</v>
      </c>
      <c r="F421" s="13" t="s">
        <v>13227</v>
      </c>
      <c r="G421" s="13" t="s">
        <v>5510</v>
      </c>
      <c r="H421" s="13" t="s">
        <v>5510</v>
      </c>
      <c r="I421" s="2" t="s">
        <v>1752</v>
      </c>
      <c r="J421" s="13" t="s">
        <v>8925</v>
      </c>
      <c r="K421" s="13" t="s">
        <v>5510</v>
      </c>
      <c r="L421" s="13" t="s">
        <v>5510</v>
      </c>
      <c r="M421" s="13" t="s">
        <v>5513</v>
      </c>
      <c r="N421" s="13" t="s">
        <v>6168</v>
      </c>
      <c r="O421" s="13" t="s">
        <v>5510</v>
      </c>
      <c r="P421" s="13" t="s">
        <v>5510</v>
      </c>
      <c r="Q421" s="13" t="s">
        <v>5510</v>
      </c>
      <c r="R421" s="13" t="s">
        <v>5510</v>
      </c>
      <c r="S421" s="13" t="s">
        <v>5510</v>
      </c>
      <c r="T421" s="13" t="s">
        <v>5510</v>
      </c>
      <c r="U421" s="13" t="s">
        <v>5510</v>
      </c>
      <c r="V421" s="13" t="s">
        <v>5510</v>
      </c>
      <c r="W421" s="13" t="s">
        <v>5510</v>
      </c>
      <c r="X421" s="13" t="s">
        <v>5510</v>
      </c>
      <c r="Y421" s="13" t="s">
        <v>5510</v>
      </c>
      <c r="Z421" s="13" t="s">
        <v>13228</v>
      </c>
      <c r="AA421" s="13" t="s">
        <v>13229</v>
      </c>
      <c r="AB421" s="13" t="s">
        <v>13230</v>
      </c>
      <c r="AC421" s="13" t="s">
        <v>5510</v>
      </c>
      <c r="AD421" s="13" t="s">
        <v>5510</v>
      </c>
      <c r="AE421" s="13" t="s">
        <v>5510</v>
      </c>
      <c r="AF421" s="13" t="s">
        <v>5510</v>
      </c>
      <c r="AG421" s="13">
        <v>2.0</v>
      </c>
      <c r="AH421" s="13">
        <v>2.0</v>
      </c>
      <c r="AI421" s="13">
        <v>6.0</v>
      </c>
      <c r="AJ421" s="13">
        <v>1.0</v>
      </c>
      <c r="AK421" s="13">
        <v>32.0</v>
      </c>
      <c r="AL421" s="13" t="s">
        <v>8937</v>
      </c>
      <c r="AM421" s="13" t="s">
        <v>6046</v>
      </c>
      <c r="AN421" s="13" t="s">
        <v>8938</v>
      </c>
      <c r="AO421" s="13" t="s">
        <v>8939</v>
      </c>
      <c r="AP421" s="13" t="s">
        <v>5510</v>
      </c>
      <c r="AQ421" s="13" t="s">
        <v>5510</v>
      </c>
      <c r="AR421" s="13" t="s">
        <v>8940</v>
      </c>
      <c r="AS421" s="13" t="s">
        <v>8941</v>
      </c>
      <c r="AT421" s="13" t="s">
        <v>13231</v>
      </c>
      <c r="AU421" s="13">
        <v>2020.0</v>
      </c>
      <c r="AV421" s="13">
        <v>11.0</v>
      </c>
      <c r="AW421" s="13">
        <v>1.0</v>
      </c>
      <c r="AX421" s="13" t="s">
        <v>5510</v>
      </c>
      <c r="AY421" s="13" t="s">
        <v>5510</v>
      </c>
      <c r="AZ421" s="13" t="s">
        <v>5510</v>
      </c>
      <c r="BA421" s="13" t="s">
        <v>5510</v>
      </c>
      <c r="BB421" s="13" t="s">
        <v>5510</v>
      </c>
      <c r="BC421" s="13" t="s">
        <v>5510</v>
      </c>
      <c r="BD421" s="13">
        <v>3485.0</v>
      </c>
      <c r="BE421" s="13" t="s">
        <v>13232</v>
      </c>
      <c r="BF421" s="52" t="str">
        <f>HYPERLINK("http://dx.doi.org/10.1038/s41467-020-17319-w","http://dx.doi.org/10.1038/s41467-020-17319-w")</f>
        <v>http://dx.doi.org/10.1038/s41467-020-17319-w</v>
      </c>
      <c r="BG421" s="13" t="s">
        <v>5510</v>
      </c>
      <c r="BH421" s="13" t="s">
        <v>5510</v>
      </c>
      <c r="BI421" s="13">
        <v>4.0</v>
      </c>
      <c r="BJ421" s="13" t="s">
        <v>5560</v>
      </c>
      <c r="BK421" s="13" t="s">
        <v>5561</v>
      </c>
      <c r="BL421" s="13" t="s">
        <v>5562</v>
      </c>
      <c r="BM421" s="13" t="s">
        <v>13233</v>
      </c>
      <c r="BN421" s="13">
        <v>3.2641686E7</v>
      </c>
      <c r="BO421" s="13" t="s">
        <v>5564</v>
      </c>
      <c r="BP421" s="13" t="s">
        <v>5510</v>
      </c>
      <c r="BQ421" s="13" t="s">
        <v>5510</v>
      </c>
      <c r="BR421" s="13" t="s">
        <v>5538</v>
      </c>
      <c r="BS421" s="13" t="s">
        <v>13234</v>
      </c>
      <c r="BT421" s="13">
        <v>24113.0</v>
      </c>
      <c r="BU421" s="13" t="s">
        <v>5540</v>
      </c>
      <c r="BV421" s="13" t="s">
        <v>4856</v>
      </c>
      <c r="BW421" s="13" t="str">
        <f>VLOOKUP($BT421,Enriched!$A$2:$E$1070,5,false)</f>
        <v>["Climate Change &amp; Severe Weather"]</v>
      </c>
      <c r="BX421" s="13" t="str">
        <f>VLOOKUP($BT421,Enriched!$A$2:$E$1070,4,false)</f>
        <v>["Temperature extremes", "Habitat shifting &amp; alteration"]</v>
      </c>
      <c r="BY421" s="13" t="b">
        <f>VLOOKUP(BT421,Enriched!$A$1:$AA$1070,27,falsE)</f>
        <v>0</v>
      </c>
      <c r="BZ421" s="2" t="str">
        <f>VLOOKUP(BT421,Enriched!$A$1:$AA$1070,14,falsE)</f>
        <v>level1</v>
      </c>
      <c r="CA421" s="13" t="str">
        <f>HYPERLINK("https%3A%2F%2Fwww.webofscience.com%2Fwos%2Fwoscc%2Ffull-record%2FWOS:000552078000001","View Full Record in Web of Science")</f>
        <v>View Full Record in Web of Science</v>
      </c>
    </row>
    <row r="422" ht="12.75" customHeight="1">
      <c r="A422" s="13" t="s">
        <v>5508</v>
      </c>
      <c r="B422" s="13" t="s">
        <v>13226</v>
      </c>
      <c r="C422" s="13" t="s">
        <v>5510</v>
      </c>
      <c r="D422" s="13" t="s">
        <v>5510</v>
      </c>
      <c r="E422" s="13" t="s">
        <v>5510</v>
      </c>
      <c r="F422" s="13" t="s">
        <v>13227</v>
      </c>
      <c r="G422" s="13" t="s">
        <v>5510</v>
      </c>
      <c r="H422" s="13" t="s">
        <v>5510</v>
      </c>
      <c r="I422" s="13" t="s">
        <v>1752</v>
      </c>
      <c r="J422" s="13" t="s">
        <v>8925</v>
      </c>
      <c r="K422" s="13" t="s">
        <v>5510</v>
      </c>
      <c r="L422" s="13" t="s">
        <v>5510</v>
      </c>
      <c r="M422" s="13" t="s">
        <v>5513</v>
      </c>
      <c r="N422" s="13" t="s">
        <v>5514</v>
      </c>
      <c r="O422" s="13" t="s">
        <v>5510</v>
      </c>
      <c r="P422" s="13" t="s">
        <v>5510</v>
      </c>
      <c r="Q422" s="13" t="s">
        <v>5510</v>
      </c>
      <c r="R422" s="13" t="s">
        <v>5510</v>
      </c>
      <c r="S422" s="13" t="s">
        <v>5510</v>
      </c>
      <c r="T422" s="13" t="s">
        <v>5510</v>
      </c>
      <c r="U422" s="13" t="s">
        <v>13235</v>
      </c>
      <c r="V422" s="13" t="s">
        <v>13236</v>
      </c>
      <c r="W422" s="13" t="s">
        <v>13237</v>
      </c>
      <c r="X422" s="13" t="s">
        <v>13238</v>
      </c>
      <c r="Y422" s="13" t="s">
        <v>13239</v>
      </c>
      <c r="Z422" s="13" t="s">
        <v>13228</v>
      </c>
      <c r="AA422" s="13" t="s">
        <v>13240</v>
      </c>
      <c r="AB422" s="13" t="s">
        <v>13241</v>
      </c>
      <c r="AC422" s="13" t="s">
        <v>13242</v>
      </c>
      <c r="AD422" s="13" t="s">
        <v>13243</v>
      </c>
      <c r="AE422" s="13" t="s">
        <v>13244</v>
      </c>
      <c r="AF422" s="13" t="s">
        <v>5510</v>
      </c>
      <c r="AG422" s="13">
        <v>57.0</v>
      </c>
      <c r="AH422" s="13">
        <v>169.0</v>
      </c>
      <c r="AI422" s="13">
        <v>191.0</v>
      </c>
      <c r="AJ422" s="13">
        <v>3.0</v>
      </c>
      <c r="AK422" s="13">
        <v>141.0</v>
      </c>
      <c r="AL422" s="13" t="s">
        <v>8807</v>
      </c>
      <c r="AM422" s="13" t="s">
        <v>8808</v>
      </c>
      <c r="AN422" s="13" t="s">
        <v>8809</v>
      </c>
      <c r="AO422" s="13" t="s">
        <v>5510</v>
      </c>
      <c r="AP422" s="13" t="s">
        <v>8939</v>
      </c>
      <c r="AQ422" s="13" t="s">
        <v>5510</v>
      </c>
      <c r="AR422" s="13" t="s">
        <v>8940</v>
      </c>
      <c r="AS422" s="13" t="s">
        <v>8941</v>
      </c>
      <c r="AT422" s="13" t="s">
        <v>13245</v>
      </c>
      <c r="AU422" s="13">
        <v>2018.0</v>
      </c>
      <c r="AV422" s="13">
        <v>9.0</v>
      </c>
      <c r="AW422" s="13" t="s">
        <v>5510</v>
      </c>
      <c r="AX422" s="13" t="s">
        <v>5510</v>
      </c>
      <c r="AY422" s="13" t="s">
        <v>5510</v>
      </c>
      <c r="AZ422" s="13" t="s">
        <v>5510</v>
      </c>
      <c r="BA422" s="13" t="s">
        <v>5510</v>
      </c>
      <c r="BB422" s="13" t="s">
        <v>5510</v>
      </c>
      <c r="BC422" s="13" t="s">
        <v>5510</v>
      </c>
      <c r="BD422" s="13">
        <v>1315.0</v>
      </c>
      <c r="BE422" s="13" t="s">
        <v>13246</v>
      </c>
      <c r="BF422" s="52" t="str">
        <f>HYPERLINK("http://dx.doi.org/10.1038/s41467-018-03786-9","http://dx.doi.org/10.1038/s41467-018-03786-9")</f>
        <v>http://dx.doi.org/10.1038/s41467-018-03786-9</v>
      </c>
      <c r="BG422" s="13" t="s">
        <v>5510</v>
      </c>
      <c r="BH422" s="13" t="s">
        <v>5510</v>
      </c>
      <c r="BI422" s="13">
        <v>7.0</v>
      </c>
      <c r="BJ422" s="13" t="s">
        <v>5560</v>
      </c>
      <c r="BK422" s="13" t="s">
        <v>5561</v>
      </c>
      <c r="BL422" s="13" t="s">
        <v>5562</v>
      </c>
      <c r="BM422" s="13" t="s">
        <v>13247</v>
      </c>
      <c r="BN422" s="13">
        <v>2.9615626E7</v>
      </c>
      <c r="BO422" s="13" t="s">
        <v>5564</v>
      </c>
      <c r="BP422" s="13" t="s">
        <v>5510</v>
      </c>
      <c r="BQ422" s="13" t="s">
        <v>5510</v>
      </c>
      <c r="BR422" s="13" t="s">
        <v>5538</v>
      </c>
      <c r="BS422" s="13" t="s">
        <v>13248</v>
      </c>
      <c r="BT422" s="13">
        <v>24113.0</v>
      </c>
      <c r="BU422" s="13" t="s">
        <v>5540</v>
      </c>
      <c r="BV422" s="13" t="s">
        <v>4856</v>
      </c>
      <c r="BW422" s="13" t="str">
        <f>VLOOKUP($BT422,Enriched!$A$2:$E$1070,5,false)</f>
        <v>["Climate Change &amp; Severe Weather"]</v>
      </c>
      <c r="BX422" s="13" t="str">
        <f>VLOOKUP($BT422,Enriched!$A$2:$E$1070,4,false)</f>
        <v>["Temperature extremes", "Habitat shifting &amp; alteration"]</v>
      </c>
      <c r="BY422" s="13" t="b">
        <f>VLOOKUP(BT422,Enriched!$A$1:$AA$1070,27,falsE)</f>
        <v>0</v>
      </c>
      <c r="BZ422" s="2" t="str">
        <f>VLOOKUP(BT422,Enriched!$A$1:$AA$1070,14,falsE)</f>
        <v>level1</v>
      </c>
      <c r="CA422" s="13" t="str">
        <f>HYPERLINK("https%3A%2F%2Fwww.webofscience.com%2Fwos%2Fwoscc%2Ffull-record%2FWOS:000429004500008","View Full Record in Web of Science")</f>
        <v>View Full Record in Web of Science</v>
      </c>
    </row>
    <row r="423" ht="12.75" customHeight="1">
      <c r="A423" s="13" t="s">
        <v>5508</v>
      </c>
      <c r="B423" s="13" t="s">
        <v>13249</v>
      </c>
      <c r="C423" s="13" t="s">
        <v>5510</v>
      </c>
      <c r="D423" s="13" t="s">
        <v>5510</v>
      </c>
      <c r="E423" s="13" t="s">
        <v>5510</v>
      </c>
      <c r="F423" s="13" t="s">
        <v>13250</v>
      </c>
      <c r="G423" s="13" t="s">
        <v>5510</v>
      </c>
      <c r="H423" s="13" t="s">
        <v>5510</v>
      </c>
      <c r="I423" s="13" t="s">
        <v>1750</v>
      </c>
      <c r="J423" s="13" t="s">
        <v>13251</v>
      </c>
      <c r="K423" s="13" t="s">
        <v>5510</v>
      </c>
      <c r="L423" s="13" t="s">
        <v>5510</v>
      </c>
      <c r="M423" s="13" t="s">
        <v>5513</v>
      </c>
      <c r="N423" s="13" t="s">
        <v>5514</v>
      </c>
      <c r="O423" s="13" t="s">
        <v>5510</v>
      </c>
      <c r="P423" s="13" t="s">
        <v>5510</v>
      </c>
      <c r="Q423" s="13" t="s">
        <v>5510</v>
      </c>
      <c r="R423" s="13" t="s">
        <v>5510</v>
      </c>
      <c r="S423" s="13" t="s">
        <v>5510</v>
      </c>
      <c r="T423" s="13" t="s">
        <v>13252</v>
      </c>
      <c r="U423" s="13" t="s">
        <v>13253</v>
      </c>
      <c r="V423" s="13" t="s">
        <v>13254</v>
      </c>
      <c r="W423" s="13" t="s">
        <v>13255</v>
      </c>
      <c r="X423" s="13" t="s">
        <v>13256</v>
      </c>
      <c r="Y423" s="13" t="s">
        <v>13257</v>
      </c>
      <c r="Z423" s="13" t="s">
        <v>13258</v>
      </c>
      <c r="AA423" s="13" t="s">
        <v>13259</v>
      </c>
      <c r="AB423" s="13" t="s">
        <v>13260</v>
      </c>
      <c r="AC423" s="13" t="s">
        <v>13261</v>
      </c>
      <c r="AD423" s="13" t="s">
        <v>13261</v>
      </c>
      <c r="AE423" s="13" t="s">
        <v>13262</v>
      </c>
      <c r="AF423" s="13" t="s">
        <v>5510</v>
      </c>
      <c r="AG423" s="13">
        <v>83.0</v>
      </c>
      <c r="AH423" s="13">
        <v>73.0</v>
      </c>
      <c r="AI423" s="13">
        <v>83.0</v>
      </c>
      <c r="AJ423" s="13">
        <v>1.0</v>
      </c>
      <c r="AK423" s="13">
        <v>50.0</v>
      </c>
      <c r="AL423" s="13" t="s">
        <v>5931</v>
      </c>
      <c r="AM423" s="13" t="s">
        <v>5932</v>
      </c>
      <c r="AN423" s="13" t="s">
        <v>5933</v>
      </c>
      <c r="AO423" s="13" t="s">
        <v>13263</v>
      </c>
      <c r="AP423" s="13" t="s">
        <v>13264</v>
      </c>
      <c r="AQ423" s="13" t="s">
        <v>5510</v>
      </c>
      <c r="AR423" s="13" t="s">
        <v>13251</v>
      </c>
      <c r="AS423" s="13" t="s">
        <v>13265</v>
      </c>
      <c r="AT423" s="13" t="s">
        <v>5667</v>
      </c>
      <c r="AU423" s="13">
        <v>2020.0</v>
      </c>
      <c r="AV423" s="13">
        <v>96.0</v>
      </c>
      <c r="AW423" s="13" t="s">
        <v>5510</v>
      </c>
      <c r="AX423" s="13" t="s">
        <v>5510</v>
      </c>
      <c r="AY423" s="13" t="s">
        <v>5510</v>
      </c>
      <c r="AZ423" s="13" t="s">
        <v>5510</v>
      </c>
      <c r="BA423" s="13" t="s">
        <v>5510</v>
      </c>
      <c r="BB423" s="13" t="s">
        <v>5510</v>
      </c>
      <c r="BC423" s="13" t="s">
        <v>5510</v>
      </c>
      <c r="BD423" s="13">
        <v>104682.0</v>
      </c>
      <c r="BE423" s="13" t="s">
        <v>13266</v>
      </c>
      <c r="BF423" s="52" t="str">
        <f>HYPERLINK("http://dx.doi.org/10.1016/j.landusepol.2020.104682","http://dx.doi.org/10.1016/j.landusepol.2020.104682")</f>
        <v>http://dx.doi.org/10.1016/j.landusepol.2020.104682</v>
      </c>
      <c r="BG423" s="13" t="s">
        <v>5510</v>
      </c>
      <c r="BH423" s="13" t="s">
        <v>5510</v>
      </c>
      <c r="BI423" s="13">
        <v>12.0</v>
      </c>
      <c r="BJ423" s="13" t="s">
        <v>12528</v>
      </c>
      <c r="BK423" s="13" t="s">
        <v>8375</v>
      </c>
      <c r="BL423" s="13" t="s">
        <v>5535</v>
      </c>
      <c r="BM423" s="13" t="s">
        <v>13267</v>
      </c>
      <c r="BN423" s="13" t="s">
        <v>5510</v>
      </c>
      <c r="BO423" s="13" t="s">
        <v>5510</v>
      </c>
      <c r="BP423" s="13" t="s">
        <v>5510</v>
      </c>
      <c r="BQ423" s="13" t="s">
        <v>5510</v>
      </c>
      <c r="BR423" s="13" t="s">
        <v>5538</v>
      </c>
      <c r="BS423" s="13" t="s">
        <v>13268</v>
      </c>
      <c r="BT423" s="13">
        <v>23714.0</v>
      </c>
      <c r="BU423" s="13" t="s">
        <v>5540</v>
      </c>
      <c r="BV423" s="13" t="s">
        <v>4886</v>
      </c>
      <c r="BW423" s="13" t="str">
        <f>VLOOKUP($BT423,Enriched!$A$2:$E$1070,5,false)</f>
        <v>["Agriculture &amp; Aquaculture"]</v>
      </c>
      <c r="BX423" s="13" t="str">
        <f>VLOOKUP($BT423,Enriched!$A$2:$E$1070,4,false)</f>
        <v>["Housing &amp; urban area", "Annual &amp; perennial non-timber crops", "Wood &amp; pulp plantations", "Livestock farming &amp; ranching"]</v>
      </c>
      <c r="BY423" s="13" t="b">
        <f>VLOOKUP(BT423,Enriched!$A$1:$AA$1070,27,falsE)</f>
        <v>0</v>
      </c>
      <c r="BZ423" s="2" t="str">
        <f>VLOOKUP(BT423,Enriched!$A$1:$AA$1070,14,falsE)</f>
        <v>level2</v>
      </c>
      <c r="CA423" s="13" t="str">
        <f>HYPERLINK("https%3A%2F%2Fwww.webofscience.com%2Fwos%2Fwoscc%2Ffull-record%2FWOS:000541149900011","View Full Record in Web of Science")</f>
        <v>View Full Record in Web of Science</v>
      </c>
    </row>
    <row r="424" ht="12.75" customHeight="1">
      <c r="A424" s="13" t="s">
        <v>5508</v>
      </c>
      <c r="B424" s="13" t="s">
        <v>13269</v>
      </c>
      <c r="C424" s="13" t="s">
        <v>5510</v>
      </c>
      <c r="D424" s="13" t="s">
        <v>5510</v>
      </c>
      <c r="E424" s="13" t="s">
        <v>5510</v>
      </c>
      <c r="F424" s="13" t="s">
        <v>13270</v>
      </c>
      <c r="G424" s="13" t="s">
        <v>5510</v>
      </c>
      <c r="H424" s="13" t="s">
        <v>5510</v>
      </c>
      <c r="I424" s="13" t="s">
        <v>1748</v>
      </c>
      <c r="J424" s="13" t="s">
        <v>46</v>
      </c>
      <c r="K424" s="13" t="s">
        <v>5510</v>
      </c>
      <c r="L424" s="13" t="s">
        <v>5510</v>
      </c>
      <c r="M424" s="13" t="s">
        <v>5513</v>
      </c>
      <c r="N424" s="13" t="s">
        <v>5514</v>
      </c>
      <c r="O424" s="13" t="s">
        <v>5510</v>
      </c>
      <c r="P424" s="13" t="s">
        <v>5510</v>
      </c>
      <c r="Q424" s="13" t="s">
        <v>5510</v>
      </c>
      <c r="R424" s="13" t="s">
        <v>5510</v>
      </c>
      <c r="S424" s="13" t="s">
        <v>5510</v>
      </c>
      <c r="T424" s="13" t="s">
        <v>13271</v>
      </c>
      <c r="U424" s="13" t="s">
        <v>13272</v>
      </c>
      <c r="V424" s="13" t="s">
        <v>13273</v>
      </c>
      <c r="W424" s="13" t="s">
        <v>13274</v>
      </c>
      <c r="X424" s="13" t="s">
        <v>10250</v>
      </c>
      <c r="Y424" s="13" t="s">
        <v>13275</v>
      </c>
      <c r="Z424" s="13" t="s">
        <v>13276</v>
      </c>
      <c r="AA424" s="13" t="s">
        <v>13277</v>
      </c>
      <c r="AB424" s="13" t="s">
        <v>13278</v>
      </c>
      <c r="AC424" s="13" t="s">
        <v>13279</v>
      </c>
      <c r="AD424" s="13" t="s">
        <v>13279</v>
      </c>
      <c r="AE424" s="13" t="s">
        <v>13280</v>
      </c>
      <c r="AF424" s="13" t="s">
        <v>5510</v>
      </c>
      <c r="AG424" s="13">
        <v>65.0</v>
      </c>
      <c r="AH424" s="13">
        <v>26.0</v>
      </c>
      <c r="AI424" s="13">
        <v>30.0</v>
      </c>
      <c r="AJ424" s="13">
        <v>1.0</v>
      </c>
      <c r="AK424" s="13">
        <v>30.0</v>
      </c>
      <c r="AL424" s="13" t="s">
        <v>7065</v>
      </c>
      <c r="AM424" s="13" t="s">
        <v>13281</v>
      </c>
      <c r="AN424" s="13" t="s">
        <v>13282</v>
      </c>
      <c r="AO424" s="13" t="s">
        <v>7734</v>
      </c>
      <c r="AP424" s="13" t="s">
        <v>7735</v>
      </c>
      <c r="AQ424" s="13" t="s">
        <v>5510</v>
      </c>
      <c r="AR424" s="13" t="s">
        <v>46</v>
      </c>
      <c r="AS424" s="13" t="s">
        <v>1196</v>
      </c>
      <c r="AT424" s="13" t="s">
        <v>1453</v>
      </c>
      <c r="AU424" s="13">
        <v>2020.0</v>
      </c>
      <c r="AV424" s="13">
        <v>54.0</v>
      </c>
      <c r="AW424" s="13">
        <v>6.0</v>
      </c>
      <c r="AX424" s="13" t="s">
        <v>5510</v>
      </c>
      <c r="AY424" s="13" t="s">
        <v>5510</v>
      </c>
      <c r="AZ424" s="13" t="s">
        <v>5510</v>
      </c>
      <c r="BA424" s="13" t="s">
        <v>5510</v>
      </c>
      <c r="BB424" s="13">
        <v>882.0</v>
      </c>
      <c r="BC424" s="13">
        <v>891.0</v>
      </c>
      <c r="BD424" s="13" t="s">
        <v>13283</v>
      </c>
      <c r="BE424" s="13" t="s">
        <v>13284</v>
      </c>
      <c r="BF424" s="52" t="str">
        <f>HYPERLINK("http://dx.doi.org/10.1017/S0030605318000881","http://dx.doi.org/10.1017/S0030605318000881")</f>
        <v>http://dx.doi.org/10.1017/S0030605318000881</v>
      </c>
      <c r="BG424" s="13" t="s">
        <v>5510</v>
      </c>
      <c r="BH424" s="13" t="s">
        <v>5510</v>
      </c>
      <c r="BI424" s="13">
        <v>10.0</v>
      </c>
      <c r="BJ424" s="13" t="s">
        <v>5958</v>
      </c>
      <c r="BK424" s="13" t="s">
        <v>5534</v>
      </c>
      <c r="BL424" s="13" t="s">
        <v>5699</v>
      </c>
      <c r="BM424" s="13" t="s">
        <v>13285</v>
      </c>
      <c r="BN424" s="13" t="s">
        <v>5510</v>
      </c>
      <c r="BO424" s="13" t="s">
        <v>5809</v>
      </c>
      <c r="BP424" s="13" t="s">
        <v>5510</v>
      </c>
      <c r="BQ424" s="13" t="s">
        <v>5510</v>
      </c>
      <c r="BR424" s="13" t="s">
        <v>5538</v>
      </c>
      <c r="BS424" s="13" t="s">
        <v>13286</v>
      </c>
      <c r="BT424" s="13">
        <v>24661.0</v>
      </c>
      <c r="BU424" s="13" t="s">
        <v>5540</v>
      </c>
      <c r="BV424" s="13" t="s">
        <v>4856</v>
      </c>
      <c r="BW424" s="13" t="str">
        <f>VLOOKUP($BT424,Enriched!$A$2:$E$1070,5,false)</f>
        <v>["Agriculture &amp; Aquaculture", "Energy Production &amp; Mining", "Biological Resource Use"]</v>
      </c>
      <c r="BX424" s="13" t="str">
        <f>VLOOKUP($BT424,Enriched!$A$2:$E$1070,4,false)</f>
        <v>["Housing &amp; urban area", "Wood &amp; pulp plantations", "Mining &amp; quarrying", "Logging &amp; wood harvesting"]</v>
      </c>
      <c r="BY424" s="13" t="b">
        <f>VLOOKUP(BT424,Enriched!$A$1:$AA$1070,27,falsE)</f>
        <v>0</v>
      </c>
      <c r="BZ424" s="2" t="str">
        <f>VLOOKUP(BT424,Enriched!$A$1:$AA$1070,14,falsE)</f>
        <v>level2</v>
      </c>
      <c r="CA424" s="13" t="str">
        <f>HYPERLINK("https%3A%2F%2Fwww.webofscience.com%2Fwos%2Fwoscc%2Ffull-record%2FWOS:000584374400023","View Full Record in Web of Science")</f>
        <v>View Full Record in Web of Science</v>
      </c>
    </row>
    <row r="425" ht="12.75" customHeight="1">
      <c r="A425" s="13" t="s">
        <v>5508</v>
      </c>
      <c r="B425" s="13" t="s">
        <v>13287</v>
      </c>
      <c r="C425" s="13" t="s">
        <v>5510</v>
      </c>
      <c r="D425" s="13" t="s">
        <v>5510</v>
      </c>
      <c r="E425" s="13" t="s">
        <v>5510</v>
      </c>
      <c r="F425" s="13" t="s">
        <v>13287</v>
      </c>
      <c r="G425" s="13" t="s">
        <v>5510</v>
      </c>
      <c r="H425" s="13" t="s">
        <v>5510</v>
      </c>
      <c r="I425" s="13" t="s">
        <v>1744</v>
      </c>
      <c r="J425" s="13" t="s">
        <v>13288</v>
      </c>
      <c r="K425" s="13" t="s">
        <v>5510</v>
      </c>
      <c r="L425" s="13" t="s">
        <v>5510</v>
      </c>
      <c r="M425" s="13" t="s">
        <v>5513</v>
      </c>
      <c r="N425" s="13" t="s">
        <v>5514</v>
      </c>
      <c r="O425" s="13" t="s">
        <v>5510</v>
      </c>
      <c r="P425" s="13" t="s">
        <v>5510</v>
      </c>
      <c r="Q425" s="13" t="s">
        <v>5510</v>
      </c>
      <c r="R425" s="13" t="s">
        <v>5510</v>
      </c>
      <c r="S425" s="13" t="s">
        <v>5510</v>
      </c>
      <c r="T425" s="13" t="s">
        <v>13289</v>
      </c>
      <c r="U425" s="13" t="s">
        <v>5510</v>
      </c>
      <c r="V425" s="13" t="s">
        <v>13290</v>
      </c>
      <c r="W425" s="13" t="s">
        <v>13291</v>
      </c>
      <c r="X425" s="13" t="s">
        <v>13292</v>
      </c>
      <c r="Y425" s="13" t="s">
        <v>13293</v>
      </c>
      <c r="Z425" s="13" t="s">
        <v>5510</v>
      </c>
      <c r="AA425" s="13" t="s">
        <v>5510</v>
      </c>
      <c r="AB425" s="13" t="s">
        <v>5510</v>
      </c>
      <c r="AC425" s="13" t="s">
        <v>5510</v>
      </c>
      <c r="AD425" s="13" t="s">
        <v>5510</v>
      </c>
      <c r="AE425" s="13" t="s">
        <v>5510</v>
      </c>
      <c r="AF425" s="13" t="s">
        <v>5510</v>
      </c>
      <c r="AG425" s="13">
        <v>9.0</v>
      </c>
      <c r="AH425" s="13">
        <v>10.0</v>
      </c>
      <c r="AI425" s="13">
        <v>15.0</v>
      </c>
      <c r="AJ425" s="13">
        <v>0.0</v>
      </c>
      <c r="AK425" s="13">
        <v>8.0</v>
      </c>
      <c r="AL425" s="13" t="s">
        <v>13294</v>
      </c>
      <c r="AM425" s="13" t="s">
        <v>13079</v>
      </c>
      <c r="AN425" s="13" t="s">
        <v>13295</v>
      </c>
      <c r="AO425" s="13" t="s">
        <v>13296</v>
      </c>
      <c r="AP425" s="13" t="s">
        <v>5510</v>
      </c>
      <c r="AQ425" s="13" t="s">
        <v>5510</v>
      </c>
      <c r="AR425" s="13" t="s">
        <v>13297</v>
      </c>
      <c r="AS425" s="13" t="s">
        <v>13298</v>
      </c>
      <c r="AT425" s="13" t="s">
        <v>5866</v>
      </c>
      <c r="AU425" s="13">
        <v>2003.0</v>
      </c>
      <c r="AV425" s="13">
        <v>61.0</v>
      </c>
      <c r="AW425" s="13">
        <v>5.0</v>
      </c>
      <c r="AX425" s="13" t="s">
        <v>5510</v>
      </c>
      <c r="AY425" s="13" t="s">
        <v>5510</v>
      </c>
      <c r="AZ425" s="13" t="s">
        <v>5510</v>
      </c>
      <c r="BA425" s="13" t="s">
        <v>5510</v>
      </c>
      <c r="BB425" s="13">
        <v>573.0</v>
      </c>
      <c r="BC425" s="13">
        <v>580.0</v>
      </c>
      <c r="BD425" s="13" t="s">
        <v>5510</v>
      </c>
      <c r="BE425" s="13" t="str">
        <f>#REF!</f>
        <v>#REF!</v>
      </c>
      <c r="BF425" s="13" t="s">
        <v>5510</v>
      </c>
      <c r="BG425" s="13" t="s">
        <v>5510</v>
      </c>
      <c r="BH425" s="13" t="s">
        <v>5510</v>
      </c>
      <c r="BI425" s="13">
        <v>8.0</v>
      </c>
      <c r="BJ425" s="13" t="s">
        <v>7046</v>
      </c>
      <c r="BK425" s="13" t="s">
        <v>5561</v>
      </c>
      <c r="BL425" s="13" t="s">
        <v>7047</v>
      </c>
      <c r="BM425" s="13" t="s">
        <v>13299</v>
      </c>
      <c r="BN425" s="13" t="s">
        <v>5510</v>
      </c>
      <c r="BO425" s="13" t="s">
        <v>5510</v>
      </c>
      <c r="BP425" s="13" t="s">
        <v>5510</v>
      </c>
      <c r="BQ425" s="13" t="s">
        <v>5510</v>
      </c>
      <c r="BR425" s="13" t="s">
        <v>5538</v>
      </c>
      <c r="BS425" s="13" t="s">
        <v>13300</v>
      </c>
      <c r="BT425" s="13">
        <v>25444.0</v>
      </c>
      <c r="BU425" s="13" t="s">
        <v>5540</v>
      </c>
      <c r="BV425" s="13" t="s">
        <v>4886</v>
      </c>
      <c r="BW425" s="13" t="str">
        <f>VLOOKUP($BT425,Enriched!$A$2:$E$1070,5,false)</f>
        <v>["Agriculture &amp; Aquaculture", "Transportation &amp; Service Corridors"]</v>
      </c>
      <c r="BX425" s="13" t="str">
        <f>VLOOKUP($BT425,Enriched!$A$2:$E$1070,4,false)</f>
        <v>["Housing &amp; urban area", "Annual &amp; perennial non-timber crops", "Roads &amp; railroads"]</v>
      </c>
      <c r="BY425" s="13" t="b">
        <f>VLOOKUP(BT425,Enriched!$A$1:$AA$1070,27,falsE)</f>
        <v>0</v>
      </c>
      <c r="BZ425" s="2" t="str">
        <f>VLOOKUP(BT425,Enriched!$A$1:$AA$1070,14,falsE)</f>
        <v>level2</v>
      </c>
      <c r="CA425" s="13" t="str">
        <f>HYPERLINK("https%3A%2F%2Fwww.webofscience.com%2Fwos%2Fwoscc%2Ffull-record%2FWOS:000182686500008","View Full Record in Web of Science")</f>
        <v>View Full Record in Web of Science</v>
      </c>
    </row>
    <row r="426" ht="12.75" customHeight="1">
      <c r="A426" s="13" t="s">
        <v>5508</v>
      </c>
      <c r="B426" s="13" t="s">
        <v>13301</v>
      </c>
      <c r="C426" s="13" t="s">
        <v>5510</v>
      </c>
      <c r="D426" s="13" t="s">
        <v>5510</v>
      </c>
      <c r="E426" s="13" t="s">
        <v>5510</v>
      </c>
      <c r="F426" s="13" t="s">
        <v>13302</v>
      </c>
      <c r="G426" s="13" t="s">
        <v>5510</v>
      </c>
      <c r="H426" s="13" t="s">
        <v>5510</v>
      </c>
      <c r="I426" s="13" t="s">
        <v>1741</v>
      </c>
      <c r="J426" s="13" t="s">
        <v>13303</v>
      </c>
      <c r="K426" s="13" t="s">
        <v>5510</v>
      </c>
      <c r="L426" s="13" t="s">
        <v>5510</v>
      </c>
      <c r="M426" s="13" t="s">
        <v>5513</v>
      </c>
      <c r="N426" s="13" t="s">
        <v>5514</v>
      </c>
      <c r="O426" s="13" t="s">
        <v>5510</v>
      </c>
      <c r="P426" s="13" t="s">
        <v>5510</v>
      </c>
      <c r="Q426" s="13" t="s">
        <v>5510</v>
      </c>
      <c r="R426" s="13" t="s">
        <v>5510</v>
      </c>
      <c r="S426" s="13" t="s">
        <v>5510</v>
      </c>
      <c r="T426" s="13" t="s">
        <v>13304</v>
      </c>
      <c r="U426" s="13" t="s">
        <v>13305</v>
      </c>
      <c r="V426" s="13" t="s">
        <v>13306</v>
      </c>
      <c r="W426" s="13" t="s">
        <v>13307</v>
      </c>
      <c r="X426" s="13" t="s">
        <v>13308</v>
      </c>
      <c r="Y426" s="13" t="s">
        <v>13309</v>
      </c>
      <c r="Z426" s="13" t="s">
        <v>13310</v>
      </c>
      <c r="AA426" s="13" t="s">
        <v>5510</v>
      </c>
      <c r="AB426" s="13" t="s">
        <v>13311</v>
      </c>
      <c r="AC426" s="13" t="s">
        <v>13312</v>
      </c>
      <c r="AD426" s="13" t="s">
        <v>13313</v>
      </c>
      <c r="AE426" s="13" t="s">
        <v>13314</v>
      </c>
      <c r="AF426" s="13" t="s">
        <v>5510</v>
      </c>
      <c r="AG426" s="13">
        <v>67.0</v>
      </c>
      <c r="AH426" s="13">
        <v>11.0</v>
      </c>
      <c r="AI426" s="13">
        <v>12.0</v>
      </c>
      <c r="AJ426" s="13">
        <v>0.0</v>
      </c>
      <c r="AK426" s="13">
        <v>20.0</v>
      </c>
      <c r="AL426" s="13" t="s">
        <v>6849</v>
      </c>
      <c r="AM426" s="13" t="s">
        <v>6850</v>
      </c>
      <c r="AN426" s="13" t="s">
        <v>6851</v>
      </c>
      <c r="AO426" s="13" t="s">
        <v>13315</v>
      </c>
      <c r="AP426" s="13" t="s">
        <v>5510</v>
      </c>
      <c r="AQ426" s="13" t="s">
        <v>5510</v>
      </c>
      <c r="AR426" s="13" t="s">
        <v>13303</v>
      </c>
      <c r="AS426" s="13" t="s">
        <v>1742</v>
      </c>
      <c r="AT426" s="13" t="s">
        <v>2738</v>
      </c>
      <c r="AU426" s="13">
        <v>2019.0</v>
      </c>
      <c r="AV426" s="13">
        <v>6.0</v>
      </c>
      <c r="AW426" s="13">
        <v>2.0</v>
      </c>
      <c r="AX426" s="13" t="s">
        <v>5510</v>
      </c>
      <c r="AY426" s="13" t="s">
        <v>5510</v>
      </c>
      <c r="AZ426" s="13" t="s">
        <v>5510</v>
      </c>
      <c r="BA426" s="13" t="s">
        <v>5510</v>
      </c>
      <c r="BB426" s="13" t="s">
        <v>5510</v>
      </c>
      <c r="BC426" s="13" t="s">
        <v>5510</v>
      </c>
      <c r="BD426" s="13">
        <v>9.0</v>
      </c>
      <c r="BE426" s="13" t="s">
        <v>13316</v>
      </c>
      <c r="BF426" s="52" t="str">
        <f>HYPERLINK("http://dx.doi.org/10.3390/environments6020009","http://dx.doi.org/10.3390/environments6020009")</f>
        <v>http://dx.doi.org/10.3390/environments6020009</v>
      </c>
      <c r="BG426" s="13" t="s">
        <v>5510</v>
      </c>
      <c r="BH426" s="13" t="s">
        <v>5510</v>
      </c>
      <c r="BI426" s="13">
        <v>20.0</v>
      </c>
      <c r="BJ426" s="13" t="s">
        <v>5768</v>
      </c>
      <c r="BK426" s="13" t="s">
        <v>7985</v>
      </c>
      <c r="BL426" s="13" t="s">
        <v>5535</v>
      </c>
      <c r="BM426" s="13" t="s">
        <v>13317</v>
      </c>
      <c r="BN426" s="13" t="s">
        <v>5510</v>
      </c>
      <c r="BO426" s="13" t="s">
        <v>5564</v>
      </c>
      <c r="BP426" s="13" t="s">
        <v>5510</v>
      </c>
      <c r="BQ426" s="13" t="s">
        <v>5510</v>
      </c>
      <c r="BR426" s="13" t="s">
        <v>5538</v>
      </c>
      <c r="BS426" s="13" t="s">
        <v>13318</v>
      </c>
      <c r="BT426" s="13">
        <v>25645.0</v>
      </c>
      <c r="BU426" s="13" t="s">
        <v>5540</v>
      </c>
      <c r="BV426" s="13" t="s">
        <v>4886</v>
      </c>
      <c r="BW426" s="13" t="str">
        <f>VLOOKUP($BT426,Enriched!$A$2:$E$1070,5,false)</f>
        <v>["Transportation &amp; Service Corridors", "Agriculture &amp; aquaculture"]</v>
      </c>
      <c r="BX426" s="13" t="str">
        <f>VLOOKUP($BT426,Enriched!$A$2:$E$1070,4,false)</f>
        <v>["Housing &amp; urban area", "Roads &amp; railroads"]</v>
      </c>
      <c r="BY426" s="13" t="b">
        <f>VLOOKUP(BT426,Enriched!$A$1:$AA$1070,27,falsE)</f>
        <v>1</v>
      </c>
      <c r="BZ426" s="2" t="str">
        <f>VLOOKUP(BT426,Enriched!$A$1:$AA$1070,14,falsE)</f>
        <v>level1</v>
      </c>
      <c r="CA426" s="13" t="str">
        <f>HYPERLINK("https%3A%2F%2Fwww.webofscience.com%2Fwos%2Fwoscc%2Ffull-record%2FWOS:000460741500001","View Full Record in Web of Science")</f>
        <v>View Full Record in Web of Science</v>
      </c>
    </row>
    <row r="427" ht="12.75" customHeight="1">
      <c r="A427" s="13" t="s">
        <v>5508</v>
      </c>
      <c r="B427" s="13" t="s">
        <v>13319</v>
      </c>
      <c r="C427" s="13" t="s">
        <v>5510</v>
      </c>
      <c r="D427" s="13" t="s">
        <v>5510</v>
      </c>
      <c r="E427" s="13" t="s">
        <v>5510</v>
      </c>
      <c r="F427" s="13" t="s">
        <v>13319</v>
      </c>
      <c r="G427" s="13" t="s">
        <v>5510</v>
      </c>
      <c r="H427" s="13" t="s">
        <v>5510</v>
      </c>
      <c r="I427" s="13" t="s">
        <v>1738</v>
      </c>
      <c r="J427" s="13" t="s">
        <v>13320</v>
      </c>
      <c r="K427" s="13" t="s">
        <v>5510</v>
      </c>
      <c r="L427" s="13" t="s">
        <v>5510</v>
      </c>
      <c r="M427" s="13" t="s">
        <v>5513</v>
      </c>
      <c r="N427" s="13" t="s">
        <v>5514</v>
      </c>
      <c r="O427" s="13" t="s">
        <v>5510</v>
      </c>
      <c r="P427" s="13" t="s">
        <v>5510</v>
      </c>
      <c r="Q427" s="13" t="s">
        <v>5510</v>
      </c>
      <c r="R427" s="13" t="s">
        <v>5510</v>
      </c>
      <c r="S427" s="13" t="s">
        <v>5510</v>
      </c>
      <c r="T427" s="13" t="s">
        <v>13321</v>
      </c>
      <c r="U427" s="13" t="s">
        <v>13322</v>
      </c>
      <c r="V427" s="13" t="s">
        <v>13323</v>
      </c>
      <c r="W427" s="13" t="s">
        <v>13324</v>
      </c>
      <c r="X427" s="13" t="s">
        <v>13325</v>
      </c>
      <c r="Y427" s="13" t="s">
        <v>13326</v>
      </c>
      <c r="Z427" s="13" t="s">
        <v>13327</v>
      </c>
      <c r="AA427" s="13" t="s">
        <v>13328</v>
      </c>
      <c r="AB427" s="13" t="s">
        <v>5510</v>
      </c>
      <c r="AC427" s="13" t="s">
        <v>5510</v>
      </c>
      <c r="AD427" s="13" t="s">
        <v>5510</v>
      </c>
      <c r="AE427" s="13" t="s">
        <v>5510</v>
      </c>
      <c r="AF427" s="13" t="s">
        <v>5510</v>
      </c>
      <c r="AG427" s="13">
        <v>50.0</v>
      </c>
      <c r="AH427" s="13">
        <v>141.0</v>
      </c>
      <c r="AI427" s="13">
        <v>193.0</v>
      </c>
      <c r="AJ427" s="13">
        <v>0.0</v>
      </c>
      <c r="AK427" s="13">
        <v>63.0</v>
      </c>
      <c r="AL427" s="13" t="s">
        <v>5759</v>
      </c>
      <c r="AM427" s="13" t="s">
        <v>5760</v>
      </c>
      <c r="AN427" s="13" t="s">
        <v>5761</v>
      </c>
      <c r="AO427" s="13" t="s">
        <v>13329</v>
      </c>
      <c r="AP427" s="13" t="s">
        <v>13330</v>
      </c>
      <c r="AQ427" s="13" t="s">
        <v>5510</v>
      </c>
      <c r="AR427" s="13" t="s">
        <v>13331</v>
      </c>
      <c r="AS427" s="13" t="s">
        <v>13332</v>
      </c>
      <c r="AT427" s="13" t="s">
        <v>6175</v>
      </c>
      <c r="AU427" s="13">
        <v>2001.0</v>
      </c>
      <c r="AV427" s="13">
        <v>86.0</v>
      </c>
      <c r="AW427" s="13">
        <v>2.0</v>
      </c>
      <c r="AX427" s="13" t="s">
        <v>5510</v>
      </c>
      <c r="AY427" s="13" t="s">
        <v>5510</v>
      </c>
      <c r="AZ427" s="13" t="s">
        <v>5510</v>
      </c>
      <c r="BA427" s="13" t="s">
        <v>5510</v>
      </c>
      <c r="BB427" s="13">
        <v>113.0</v>
      </c>
      <c r="BC427" s="13">
        <v>123.0</v>
      </c>
      <c r="BD427" s="13" t="s">
        <v>5510</v>
      </c>
      <c r="BE427" s="13" t="s">
        <v>13333</v>
      </c>
      <c r="BF427" s="52" t="str">
        <f>HYPERLINK("http://dx.doi.org/10.1016/S0167-8809(00)00274-7","http://dx.doi.org/10.1016/S0167-8809(00)00274-7")</f>
        <v>http://dx.doi.org/10.1016/S0167-8809(00)00274-7</v>
      </c>
      <c r="BG427" s="13" t="s">
        <v>5510</v>
      </c>
      <c r="BH427" s="13" t="s">
        <v>5510</v>
      </c>
      <c r="BI427" s="13">
        <v>11.0</v>
      </c>
      <c r="BJ427" s="13" t="s">
        <v>13334</v>
      </c>
      <c r="BK427" s="13" t="s">
        <v>5561</v>
      </c>
      <c r="BL427" s="13" t="s">
        <v>6256</v>
      </c>
      <c r="BM427" s="13" t="s">
        <v>13335</v>
      </c>
      <c r="BN427" s="13" t="s">
        <v>5510</v>
      </c>
      <c r="BO427" s="13" t="s">
        <v>5510</v>
      </c>
      <c r="BP427" s="13" t="s">
        <v>5510</v>
      </c>
      <c r="BQ427" s="13" t="s">
        <v>5510</v>
      </c>
      <c r="BR427" s="13" t="s">
        <v>5538</v>
      </c>
      <c r="BS427" s="13" t="s">
        <v>13336</v>
      </c>
      <c r="BT427" s="13">
        <v>25292.0</v>
      </c>
      <c r="BU427" s="13" t="s">
        <v>5540</v>
      </c>
      <c r="BV427" s="13" t="s">
        <v>4886</v>
      </c>
      <c r="BW427" s="13" t="str">
        <f>VLOOKUP($BT427,Enriched!$A$2:$E$1070,5,false)</f>
        <v>["Agriculture &amp; Aquaculture"]</v>
      </c>
      <c r="BX427" s="13" t="str">
        <f>VLOOKUP($BT427,Enriched!$A$2:$E$1070,4,false)</f>
        <v>["Annual &amp; perennial non-timber crops", "Livestock farming &amp; ranching"]</v>
      </c>
      <c r="BY427" s="13" t="b">
        <f>VLOOKUP(BT427,Enriched!$A$1:$AA$1070,27,falsE)</f>
        <v>0</v>
      </c>
      <c r="BZ427" s="2" t="str">
        <f>VLOOKUP(BT427,Enriched!$A$1:$AA$1070,14,falsE)</f>
        <v>level2</v>
      </c>
      <c r="CA427" s="13" t="str">
        <f>HYPERLINK("https%3A%2F%2Fwww.webofscience.com%2Fwos%2Fwoscc%2Ffull-record%2FWOS:000170121300001","View Full Record in Web of Science")</f>
        <v>View Full Record in Web of Science</v>
      </c>
    </row>
    <row r="428" ht="12.75" customHeight="1">
      <c r="A428" s="13" t="s">
        <v>5508</v>
      </c>
      <c r="B428" s="13" t="s">
        <v>13337</v>
      </c>
      <c r="C428" s="13" t="s">
        <v>5510</v>
      </c>
      <c r="D428" s="13" t="s">
        <v>5510</v>
      </c>
      <c r="E428" s="13" t="s">
        <v>5510</v>
      </c>
      <c r="F428" s="13" t="s">
        <v>13338</v>
      </c>
      <c r="G428" s="13" t="s">
        <v>5510</v>
      </c>
      <c r="H428" s="13" t="s">
        <v>5510</v>
      </c>
      <c r="I428" s="13" t="s">
        <v>1731</v>
      </c>
      <c r="J428" s="13" t="s">
        <v>12786</v>
      </c>
      <c r="K428" s="13" t="s">
        <v>5510</v>
      </c>
      <c r="L428" s="13" t="s">
        <v>5510</v>
      </c>
      <c r="M428" s="13" t="s">
        <v>5513</v>
      </c>
      <c r="N428" s="13" t="s">
        <v>5514</v>
      </c>
      <c r="O428" s="13" t="s">
        <v>5510</v>
      </c>
      <c r="P428" s="13" t="s">
        <v>5510</v>
      </c>
      <c r="Q428" s="13" t="s">
        <v>5510</v>
      </c>
      <c r="R428" s="13" t="s">
        <v>5510</v>
      </c>
      <c r="S428" s="13" t="s">
        <v>5510</v>
      </c>
      <c r="T428" s="13" t="s">
        <v>13339</v>
      </c>
      <c r="U428" s="13" t="s">
        <v>13340</v>
      </c>
      <c r="V428" s="13" t="s">
        <v>13341</v>
      </c>
      <c r="W428" s="13" t="s">
        <v>13342</v>
      </c>
      <c r="X428" s="13" t="s">
        <v>13343</v>
      </c>
      <c r="Y428" s="13" t="s">
        <v>13344</v>
      </c>
      <c r="Z428" s="13" t="s">
        <v>13345</v>
      </c>
      <c r="AA428" s="13" t="s">
        <v>13346</v>
      </c>
      <c r="AB428" s="13" t="s">
        <v>13347</v>
      </c>
      <c r="AC428" s="13" t="s">
        <v>13348</v>
      </c>
      <c r="AD428" s="13" t="s">
        <v>13349</v>
      </c>
      <c r="AE428" s="13" t="s">
        <v>13350</v>
      </c>
      <c r="AF428" s="13" t="s">
        <v>5510</v>
      </c>
      <c r="AG428" s="13">
        <v>58.0</v>
      </c>
      <c r="AH428" s="13">
        <v>205.0</v>
      </c>
      <c r="AI428" s="13">
        <v>234.0</v>
      </c>
      <c r="AJ428" s="13">
        <v>17.0</v>
      </c>
      <c r="AK428" s="13">
        <v>315.0</v>
      </c>
      <c r="AL428" s="13" t="s">
        <v>5931</v>
      </c>
      <c r="AM428" s="13" t="s">
        <v>5932</v>
      </c>
      <c r="AN428" s="13" t="s">
        <v>5933</v>
      </c>
      <c r="AO428" s="13" t="s">
        <v>12796</v>
      </c>
      <c r="AP428" s="13" t="s">
        <v>12797</v>
      </c>
      <c r="AQ428" s="13" t="s">
        <v>5510</v>
      </c>
      <c r="AR428" s="13" t="s">
        <v>12798</v>
      </c>
      <c r="AS428" s="13" t="s">
        <v>12799</v>
      </c>
      <c r="AT428" s="13" t="s">
        <v>5866</v>
      </c>
      <c r="AU428" s="13">
        <v>2016.0</v>
      </c>
      <c r="AV428" s="13">
        <v>38.0</v>
      </c>
      <c r="AW428" s="13" t="s">
        <v>5510</v>
      </c>
      <c r="AX428" s="13" t="s">
        <v>5510</v>
      </c>
      <c r="AY428" s="13" t="s">
        <v>5510</v>
      </c>
      <c r="AZ428" s="13" t="s">
        <v>5510</v>
      </c>
      <c r="BA428" s="13" t="s">
        <v>5510</v>
      </c>
      <c r="BB428" s="13">
        <v>195.0</v>
      </c>
      <c r="BC428" s="13">
        <v>204.0</v>
      </c>
      <c r="BD428" s="13" t="s">
        <v>5510</v>
      </c>
      <c r="BE428" s="13" t="s">
        <v>13351</v>
      </c>
      <c r="BF428" s="52" t="str">
        <f>HYPERLINK("http://dx.doi.org/10.1016/j.gloenvcha.2016.03.013","http://dx.doi.org/10.1016/j.gloenvcha.2016.03.013")</f>
        <v>http://dx.doi.org/10.1016/j.gloenvcha.2016.03.013</v>
      </c>
      <c r="BG428" s="13" t="s">
        <v>5510</v>
      </c>
      <c r="BH428" s="13" t="s">
        <v>5510</v>
      </c>
      <c r="BI428" s="13">
        <v>10.0</v>
      </c>
      <c r="BJ428" s="13" t="s">
        <v>12801</v>
      </c>
      <c r="BK428" s="13" t="s">
        <v>5534</v>
      </c>
      <c r="BL428" s="13" t="s">
        <v>12802</v>
      </c>
      <c r="BM428" s="13" t="s">
        <v>13352</v>
      </c>
      <c r="BN428" s="13" t="s">
        <v>5510</v>
      </c>
      <c r="BO428" s="13" t="s">
        <v>5510</v>
      </c>
      <c r="BP428" s="13" t="s">
        <v>5510</v>
      </c>
      <c r="BQ428" s="13" t="s">
        <v>5510</v>
      </c>
      <c r="BR428" s="13" t="s">
        <v>5538</v>
      </c>
      <c r="BS428" s="13" t="s">
        <v>13353</v>
      </c>
      <c r="BT428" s="13">
        <v>23507.0</v>
      </c>
      <c r="BU428" s="13" t="s">
        <v>5540</v>
      </c>
      <c r="BV428" s="13" t="s">
        <v>4856</v>
      </c>
      <c r="BW428" s="13" t="str">
        <f>VLOOKUP($BT428,Enriched!$A$2:$E$1070,5,false)</f>
        <v>["Agriculture &amp; Aquaculture", "Biological Resource Use"]</v>
      </c>
      <c r="BX428" s="13" t="str">
        <f>VLOOKUP($BT428,Enriched!$A$2:$E$1070,4,false)</f>
        <v>["Wood &amp; pulp plantations", "Logging &amp; wood harvesting"]</v>
      </c>
      <c r="BY428" s="13" t="b">
        <f>VLOOKUP(BT428,Enriched!$A$1:$AA$1070,27,falsE)</f>
        <v>0</v>
      </c>
      <c r="BZ428" s="2" t="str">
        <f>VLOOKUP(BT428,Enriched!$A$1:$AA$1070,14,falsE)</f>
        <v>cumulative</v>
      </c>
      <c r="CA428" s="13" t="str">
        <f>HYPERLINK("https%3A%2F%2Fwww.webofscience.com%2Fwos%2Fwoscc%2Ffull-record%2FWOS:000375886300018","View Full Record in Web of Science")</f>
        <v>View Full Record in Web of Science</v>
      </c>
    </row>
    <row r="429" ht="12.75" customHeight="1">
      <c r="A429" s="13" t="s">
        <v>5508</v>
      </c>
      <c r="B429" s="13" t="s">
        <v>13354</v>
      </c>
      <c r="C429" s="13" t="s">
        <v>5510</v>
      </c>
      <c r="D429" s="13" t="s">
        <v>5510</v>
      </c>
      <c r="E429" s="13" t="s">
        <v>5510</v>
      </c>
      <c r="F429" s="13" t="s">
        <v>13355</v>
      </c>
      <c r="G429" s="13" t="s">
        <v>5510</v>
      </c>
      <c r="H429" s="13" t="s">
        <v>5510</v>
      </c>
      <c r="I429" s="13" t="s">
        <v>1727</v>
      </c>
      <c r="J429" s="13" t="s">
        <v>5746</v>
      </c>
      <c r="K429" s="13" t="s">
        <v>5510</v>
      </c>
      <c r="L429" s="13" t="s">
        <v>5510</v>
      </c>
      <c r="M429" s="13" t="s">
        <v>5513</v>
      </c>
      <c r="N429" s="13" t="s">
        <v>5514</v>
      </c>
      <c r="O429" s="13" t="s">
        <v>5510</v>
      </c>
      <c r="P429" s="13" t="s">
        <v>5510</v>
      </c>
      <c r="Q429" s="13" t="s">
        <v>5510</v>
      </c>
      <c r="R429" s="13" t="s">
        <v>5510</v>
      </c>
      <c r="S429" s="13" t="s">
        <v>5510</v>
      </c>
      <c r="T429" s="13" t="s">
        <v>13356</v>
      </c>
      <c r="U429" s="13" t="s">
        <v>13357</v>
      </c>
      <c r="V429" s="13" t="s">
        <v>13358</v>
      </c>
      <c r="W429" s="13" t="s">
        <v>13359</v>
      </c>
      <c r="X429" s="13" t="s">
        <v>13360</v>
      </c>
      <c r="Y429" s="13" t="s">
        <v>13361</v>
      </c>
      <c r="Z429" s="13" t="s">
        <v>13362</v>
      </c>
      <c r="AA429" s="13" t="s">
        <v>13363</v>
      </c>
      <c r="AB429" s="13" t="s">
        <v>13364</v>
      </c>
      <c r="AC429" s="13" t="s">
        <v>13365</v>
      </c>
      <c r="AD429" s="13" t="s">
        <v>13366</v>
      </c>
      <c r="AE429" s="13" t="s">
        <v>13367</v>
      </c>
      <c r="AF429" s="13" t="s">
        <v>5510</v>
      </c>
      <c r="AG429" s="13">
        <v>74.0</v>
      </c>
      <c r="AH429" s="13">
        <v>4.0</v>
      </c>
      <c r="AI429" s="13">
        <v>6.0</v>
      </c>
      <c r="AJ429" s="13">
        <v>0.0</v>
      </c>
      <c r="AK429" s="13">
        <v>145.0</v>
      </c>
      <c r="AL429" s="13" t="s">
        <v>5759</v>
      </c>
      <c r="AM429" s="13" t="s">
        <v>5760</v>
      </c>
      <c r="AN429" s="13" t="s">
        <v>5761</v>
      </c>
      <c r="AO429" s="13" t="s">
        <v>5762</v>
      </c>
      <c r="AP429" s="13" t="s">
        <v>5763</v>
      </c>
      <c r="AQ429" s="13" t="s">
        <v>5510</v>
      </c>
      <c r="AR429" s="13" t="s">
        <v>5764</v>
      </c>
      <c r="AS429" s="13" t="s">
        <v>5765</v>
      </c>
      <c r="AT429" s="13" t="s">
        <v>13368</v>
      </c>
      <c r="AU429" s="13">
        <v>2018.0</v>
      </c>
      <c r="AV429" s="13">
        <v>610.0</v>
      </c>
      <c r="AW429" s="13" t="s">
        <v>5510</v>
      </c>
      <c r="AX429" s="13" t="s">
        <v>5510</v>
      </c>
      <c r="AY429" s="13" t="s">
        <v>5510</v>
      </c>
      <c r="AZ429" s="13" t="s">
        <v>5510</v>
      </c>
      <c r="BA429" s="13" t="s">
        <v>5510</v>
      </c>
      <c r="BB429" s="13">
        <v>1400.0</v>
      </c>
      <c r="BC429" s="13">
        <v>1412.0</v>
      </c>
      <c r="BD429" s="13" t="s">
        <v>5510</v>
      </c>
      <c r="BE429" s="13" t="s">
        <v>13369</v>
      </c>
      <c r="BF429" s="52" t="str">
        <f>HYPERLINK("http://dx.doi.org/10.1016/j.scitotenv.2017.08.238","http://dx.doi.org/10.1016/j.scitotenv.2017.08.238")</f>
        <v>http://dx.doi.org/10.1016/j.scitotenv.2017.08.238</v>
      </c>
      <c r="BG429" s="13" t="s">
        <v>5510</v>
      </c>
      <c r="BH429" s="13" t="s">
        <v>5510</v>
      </c>
      <c r="BI429" s="13">
        <v>13.0</v>
      </c>
      <c r="BJ429" s="13" t="s">
        <v>5768</v>
      </c>
      <c r="BK429" s="13" t="s">
        <v>5561</v>
      </c>
      <c r="BL429" s="13" t="s">
        <v>5535</v>
      </c>
      <c r="BM429" s="13" t="s">
        <v>13370</v>
      </c>
      <c r="BN429" s="13">
        <v>2.8854483E7</v>
      </c>
      <c r="BO429" s="13" t="s">
        <v>5510</v>
      </c>
      <c r="BP429" s="13" t="s">
        <v>5510</v>
      </c>
      <c r="BQ429" s="13" t="s">
        <v>5510</v>
      </c>
      <c r="BR429" s="13" t="s">
        <v>5538</v>
      </c>
      <c r="BS429" s="13" t="s">
        <v>13371</v>
      </c>
      <c r="BT429" s="13">
        <v>25051.0</v>
      </c>
      <c r="BU429" s="13" t="s">
        <v>5540</v>
      </c>
      <c r="BV429" s="13" t="s">
        <v>4856</v>
      </c>
      <c r="BW429" s="13" t="str">
        <f>VLOOKUP($BT429,Enriched!$A$2:$E$1070,5,false)</f>
        <v>["Agriculture &amp; Aquaculture", "Invasive &amp; Other Problematic Species, Genes &amp; Diseases"]</v>
      </c>
      <c r="BX429" s="13" t="str">
        <f>VLOOKUP($BT429,Enriched!$A$2:$E$1070,4,false)</f>
        <v>["Wood &amp; pulp plantations", "Introduced genetic material"]</v>
      </c>
      <c r="BY429" s="13" t="b">
        <f>VLOOKUP(BT429,Enriched!$A$1:$AA$1070,27,falsE)</f>
        <v>0</v>
      </c>
      <c r="BZ429" s="2" t="str">
        <f>VLOOKUP(BT429,Enriched!$A$1:$AA$1070,14,falsE)</f>
        <v>level2</v>
      </c>
      <c r="CA429" s="13" t="str">
        <f>HYPERLINK("https%3A%2F%2Fwww.webofscience.com%2Fwos%2Fwoscc%2Ffull-record%2FWOS:000411897700143","View Full Record in Web of Science")</f>
        <v>View Full Record in Web of Science</v>
      </c>
    </row>
    <row r="430" ht="12.75" customHeight="1">
      <c r="A430" s="13" t="s">
        <v>5508</v>
      </c>
      <c r="B430" s="13" t="s">
        <v>13372</v>
      </c>
      <c r="C430" s="13" t="s">
        <v>5510</v>
      </c>
      <c r="D430" s="13" t="s">
        <v>5510</v>
      </c>
      <c r="E430" s="13" t="s">
        <v>5510</v>
      </c>
      <c r="F430" s="13" t="s">
        <v>13373</v>
      </c>
      <c r="G430" s="13" t="s">
        <v>5510</v>
      </c>
      <c r="H430" s="13" t="s">
        <v>5510</v>
      </c>
      <c r="I430" s="13" t="s">
        <v>1724</v>
      </c>
      <c r="J430" s="13" t="s">
        <v>8356</v>
      </c>
      <c r="K430" s="13" t="s">
        <v>5510</v>
      </c>
      <c r="L430" s="13" t="s">
        <v>5510</v>
      </c>
      <c r="M430" s="13" t="s">
        <v>5513</v>
      </c>
      <c r="N430" s="13" t="s">
        <v>5514</v>
      </c>
      <c r="O430" s="13" t="s">
        <v>5510</v>
      </c>
      <c r="P430" s="13" t="s">
        <v>5510</v>
      </c>
      <c r="Q430" s="13" t="s">
        <v>5510</v>
      </c>
      <c r="R430" s="13" t="s">
        <v>5510</v>
      </c>
      <c r="S430" s="13" t="s">
        <v>5510</v>
      </c>
      <c r="T430" s="13" t="s">
        <v>13374</v>
      </c>
      <c r="U430" s="13" t="s">
        <v>13375</v>
      </c>
      <c r="V430" s="13" t="s">
        <v>13376</v>
      </c>
      <c r="W430" s="13" t="s">
        <v>13377</v>
      </c>
      <c r="X430" s="13" t="s">
        <v>13378</v>
      </c>
      <c r="Y430" s="13" t="s">
        <v>13379</v>
      </c>
      <c r="Z430" s="13" t="s">
        <v>13380</v>
      </c>
      <c r="AA430" s="13" t="s">
        <v>5510</v>
      </c>
      <c r="AB430" s="13" t="s">
        <v>13381</v>
      </c>
      <c r="AC430" s="13" t="s">
        <v>5510</v>
      </c>
      <c r="AD430" s="13" t="s">
        <v>5510</v>
      </c>
      <c r="AE430" s="13" t="s">
        <v>5510</v>
      </c>
      <c r="AF430" s="13" t="s">
        <v>5510</v>
      </c>
      <c r="AG430" s="13">
        <v>83.0</v>
      </c>
      <c r="AH430" s="13">
        <v>123.0</v>
      </c>
      <c r="AI430" s="13">
        <v>139.0</v>
      </c>
      <c r="AJ430" s="13">
        <v>4.0</v>
      </c>
      <c r="AK430" s="13">
        <v>110.0</v>
      </c>
      <c r="AL430" s="13" t="s">
        <v>5931</v>
      </c>
      <c r="AM430" s="13" t="s">
        <v>5932</v>
      </c>
      <c r="AN430" s="13" t="s">
        <v>5933</v>
      </c>
      <c r="AO430" s="13" t="s">
        <v>8369</v>
      </c>
      <c r="AP430" s="13" t="s">
        <v>8370</v>
      </c>
      <c r="AQ430" s="13" t="s">
        <v>5510</v>
      </c>
      <c r="AR430" s="13" t="s">
        <v>8371</v>
      </c>
      <c r="AS430" s="13" t="s">
        <v>8372</v>
      </c>
      <c r="AT430" s="13" t="s">
        <v>5978</v>
      </c>
      <c r="AU430" s="13">
        <v>2014.0</v>
      </c>
      <c r="AV430" s="13">
        <v>55.0</v>
      </c>
      <c r="AW430" s="13" t="s">
        <v>5510</v>
      </c>
      <c r="AX430" s="13" t="s">
        <v>5510</v>
      </c>
      <c r="AY430" s="13" t="s">
        <v>5510</v>
      </c>
      <c r="AZ430" s="13" t="s">
        <v>5510</v>
      </c>
      <c r="BA430" s="13" t="s">
        <v>5510</v>
      </c>
      <c r="BB430" s="13">
        <v>300.0</v>
      </c>
      <c r="BC430" s="13">
        <v>312.0</v>
      </c>
      <c r="BD430" s="13" t="s">
        <v>5510</v>
      </c>
      <c r="BE430" s="13" t="s">
        <v>13382</v>
      </c>
      <c r="BF430" s="52" t="str">
        <f>HYPERLINK("http://dx.doi.org/10.1016/j.apgeog.2014.09.014","http://dx.doi.org/10.1016/j.apgeog.2014.09.014")</f>
        <v>http://dx.doi.org/10.1016/j.apgeog.2014.09.014</v>
      </c>
      <c r="BG430" s="13" t="s">
        <v>5510</v>
      </c>
      <c r="BH430" s="13" t="s">
        <v>5510</v>
      </c>
      <c r="BI430" s="13">
        <v>13.0</v>
      </c>
      <c r="BJ430" s="13" t="s">
        <v>8374</v>
      </c>
      <c r="BK430" s="13" t="s">
        <v>8375</v>
      </c>
      <c r="BL430" s="13" t="s">
        <v>8374</v>
      </c>
      <c r="BM430" s="13" t="s">
        <v>13383</v>
      </c>
      <c r="BN430" s="13" t="s">
        <v>5510</v>
      </c>
      <c r="BO430" s="13" t="s">
        <v>5510</v>
      </c>
      <c r="BP430" s="13" t="s">
        <v>5510</v>
      </c>
      <c r="BQ430" s="13" t="s">
        <v>5510</v>
      </c>
      <c r="BR430" s="13" t="s">
        <v>5538</v>
      </c>
      <c r="BS430" s="13" t="s">
        <v>13384</v>
      </c>
      <c r="BT430" s="13">
        <v>24086.0</v>
      </c>
      <c r="BU430" s="13" t="s">
        <v>5540</v>
      </c>
      <c r="BV430" s="13" t="s">
        <v>4886</v>
      </c>
      <c r="BW430" s="13" t="str">
        <f>VLOOKUP($BT430,Enriched!$A$2:$E$1070,5,false)</f>
        <v>["Agriculture &amp; Aquaculture"]</v>
      </c>
      <c r="BX430" s="13" t="str">
        <f>VLOOKUP($BT430,Enriched!$A$2:$E$1070,4,false)</f>
        <v>["Annual &amp; perennial non-timber crops", "Livestock farming &amp; ranching", "Housing &amp; urban area"]</v>
      </c>
      <c r="BY430" s="13" t="b">
        <f>VLOOKUP(BT430,Enriched!$A$1:$AA$1070,27,falsE)</f>
        <v>0</v>
      </c>
      <c r="BZ430" s="2" t="str">
        <f>VLOOKUP(BT430,Enriched!$A$1:$AA$1070,14,falsE)</f>
        <v>level1</v>
      </c>
      <c r="CA430" s="13" t="str">
        <f>HYPERLINK("https%3A%2F%2Fwww.webofscience.com%2Fwos%2Fwoscc%2Ffull-record%2FWOS:000346891500029","View Full Record in Web of Science")</f>
        <v>View Full Record in Web of Science</v>
      </c>
    </row>
    <row r="431" ht="12.75" customHeight="1">
      <c r="A431" s="13" t="s">
        <v>5508</v>
      </c>
      <c r="B431" s="13" t="s">
        <v>13385</v>
      </c>
      <c r="C431" s="13" t="s">
        <v>5510</v>
      </c>
      <c r="D431" s="13" t="s">
        <v>5510</v>
      </c>
      <c r="E431" s="13" t="s">
        <v>5510</v>
      </c>
      <c r="F431" s="13" t="s">
        <v>13385</v>
      </c>
      <c r="G431" s="13" t="s">
        <v>5510</v>
      </c>
      <c r="H431" s="13" t="s">
        <v>5510</v>
      </c>
      <c r="I431" s="13" t="s">
        <v>1721</v>
      </c>
      <c r="J431" s="13" t="s">
        <v>6008</v>
      </c>
      <c r="K431" s="13" t="s">
        <v>5510</v>
      </c>
      <c r="L431" s="13" t="s">
        <v>5510</v>
      </c>
      <c r="M431" s="13" t="s">
        <v>5513</v>
      </c>
      <c r="N431" s="13" t="s">
        <v>5514</v>
      </c>
      <c r="O431" s="13" t="s">
        <v>5510</v>
      </c>
      <c r="P431" s="13" t="s">
        <v>5510</v>
      </c>
      <c r="Q431" s="13" t="s">
        <v>5510</v>
      </c>
      <c r="R431" s="13" t="s">
        <v>5510</v>
      </c>
      <c r="S431" s="13" t="s">
        <v>5510</v>
      </c>
      <c r="T431" s="13" t="s">
        <v>13386</v>
      </c>
      <c r="U431" s="13" t="s">
        <v>13387</v>
      </c>
      <c r="V431" s="13" t="s">
        <v>13388</v>
      </c>
      <c r="W431" s="13" t="s">
        <v>13389</v>
      </c>
      <c r="X431" s="13" t="s">
        <v>13390</v>
      </c>
      <c r="Y431" s="13" t="s">
        <v>13391</v>
      </c>
      <c r="Z431" s="13" t="s">
        <v>13392</v>
      </c>
      <c r="AA431" s="13" t="s">
        <v>13393</v>
      </c>
      <c r="AB431" s="13" t="s">
        <v>5510</v>
      </c>
      <c r="AC431" s="13" t="s">
        <v>5510</v>
      </c>
      <c r="AD431" s="13" t="s">
        <v>5510</v>
      </c>
      <c r="AE431" s="13" t="s">
        <v>5510</v>
      </c>
      <c r="AF431" s="13" t="s">
        <v>5510</v>
      </c>
      <c r="AG431" s="13">
        <v>45.0</v>
      </c>
      <c r="AH431" s="13">
        <v>59.0</v>
      </c>
      <c r="AI431" s="13">
        <v>82.0</v>
      </c>
      <c r="AJ431" s="13">
        <v>1.0</v>
      </c>
      <c r="AK431" s="13">
        <v>31.0</v>
      </c>
      <c r="AL431" s="13" t="s">
        <v>5527</v>
      </c>
      <c r="AM431" s="13" t="s">
        <v>5528</v>
      </c>
      <c r="AN431" s="13" t="s">
        <v>5529</v>
      </c>
      <c r="AO431" s="13" t="s">
        <v>6020</v>
      </c>
      <c r="AP431" s="13" t="s">
        <v>6021</v>
      </c>
      <c r="AQ431" s="13" t="s">
        <v>5510</v>
      </c>
      <c r="AR431" s="13" t="s">
        <v>6022</v>
      </c>
      <c r="AS431" s="13" t="s">
        <v>6023</v>
      </c>
      <c r="AT431" s="13" t="s">
        <v>5720</v>
      </c>
      <c r="AU431" s="13">
        <v>2003.0</v>
      </c>
      <c r="AV431" s="13">
        <v>13.0</v>
      </c>
      <c r="AW431" s="13">
        <v>3.0</v>
      </c>
      <c r="AX431" s="13" t="s">
        <v>5510</v>
      </c>
      <c r="AY431" s="13" t="s">
        <v>5510</v>
      </c>
      <c r="AZ431" s="13" t="s">
        <v>5510</v>
      </c>
      <c r="BA431" s="13" t="s">
        <v>5510</v>
      </c>
      <c r="BB431" s="13">
        <v>687.0</v>
      </c>
      <c r="BC431" s="13">
        <v>703.0</v>
      </c>
      <c r="BD431" s="13" t="s">
        <v>5510</v>
      </c>
      <c r="BE431" s="13" t="s">
        <v>13394</v>
      </c>
      <c r="BF431" s="52" t="str">
        <f>HYPERLINK("http://dx.doi.org/10.1890/1051-0761(2003)013[0687:LUALCC]2.0.CO;2","http://dx.doi.org/10.1890/1051-0761(2003)013[0687:LUALCC]2.0.CO;2")</f>
        <v>http://dx.doi.org/10.1890/1051-0761(2003)013[0687:LUALCC]2.0.CO;2</v>
      </c>
      <c r="BG431" s="13" t="s">
        <v>5510</v>
      </c>
      <c r="BH431" s="13" t="s">
        <v>5510</v>
      </c>
      <c r="BI431" s="13">
        <v>17.0</v>
      </c>
      <c r="BJ431" s="13" t="s">
        <v>6026</v>
      </c>
      <c r="BK431" s="13" t="s">
        <v>5561</v>
      </c>
      <c r="BL431" s="13" t="s">
        <v>5535</v>
      </c>
      <c r="BM431" s="13" t="s">
        <v>13395</v>
      </c>
      <c r="BN431" s="13" t="s">
        <v>5510</v>
      </c>
      <c r="BO431" s="13" t="s">
        <v>5510</v>
      </c>
      <c r="BP431" s="13" t="s">
        <v>5510</v>
      </c>
      <c r="BQ431" s="13" t="s">
        <v>5510</v>
      </c>
      <c r="BR431" s="13" t="s">
        <v>5538</v>
      </c>
      <c r="BS431" s="13" t="s">
        <v>13396</v>
      </c>
      <c r="BT431" s="13">
        <v>25065.0</v>
      </c>
      <c r="BU431" s="13" t="s">
        <v>5540</v>
      </c>
      <c r="BV431" s="13" t="s">
        <v>4856</v>
      </c>
      <c r="BW431" s="13" t="str">
        <f>VLOOKUP($BT431,Enriched!$A$2:$E$1070,5,false)</f>
        <v>["Agriculture &amp; Aquaculture", "Biological Resource Use"]</v>
      </c>
      <c r="BX431" s="13" t="str">
        <f>VLOOKUP($BT431,Enriched!$A$2:$E$1070,4,false)</f>
        <v>["Housing &amp; urban area", "Annual &amp; perennial non-timber crops", "Livestock farming &amp; ranching", "Logging &amp; wood harvesting"]</v>
      </c>
      <c r="BY431" s="13" t="b">
        <f>VLOOKUP(BT431,Enriched!$A$1:$AA$1070,27,falsE)</f>
        <v>0</v>
      </c>
      <c r="BZ431" s="2" t="str">
        <f>VLOOKUP(BT431,Enriched!$A$1:$AA$1070,14,falsE)</f>
        <v>level2</v>
      </c>
      <c r="CA431" s="13" t="str">
        <f>HYPERLINK("https%3A%2F%2Fwww.webofscience.com%2Fwos%2Fwoscc%2Ffull-record%2FWOS:000184524900010","View Full Record in Web of Science")</f>
        <v>View Full Record in Web of Science</v>
      </c>
    </row>
    <row r="432" ht="12.75" customHeight="1">
      <c r="A432" s="13" t="s">
        <v>5508</v>
      </c>
      <c r="B432" s="13" t="s">
        <v>13397</v>
      </c>
      <c r="C432" s="13" t="s">
        <v>5510</v>
      </c>
      <c r="D432" s="13" t="s">
        <v>5510</v>
      </c>
      <c r="E432" s="13" t="s">
        <v>5510</v>
      </c>
      <c r="F432" s="13" t="s">
        <v>13398</v>
      </c>
      <c r="G432" s="13" t="s">
        <v>5510</v>
      </c>
      <c r="H432" s="13" t="s">
        <v>5510</v>
      </c>
      <c r="I432" s="13" t="s">
        <v>1717</v>
      </c>
      <c r="J432" s="13" t="s">
        <v>12731</v>
      </c>
      <c r="K432" s="13" t="s">
        <v>5510</v>
      </c>
      <c r="L432" s="13" t="s">
        <v>5510</v>
      </c>
      <c r="M432" s="13" t="s">
        <v>5513</v>
      </c>
      <c r="N432" s="13" t="s">
        <v>5514</v>
      </c>
      <c r="O432" s="13" t="s">
        <v>5510</v>
      </c>
      <c r="P432" s="13" t="s">
        <v>5510</v>
      </c>
      <c r="Q432" s="13" t="s">
        <v>5510</v>
      </c>
      <c r="R432" s="13" t="s">
        <v>5510</v>
      </c>
      <c r="S432" s="13" t="s">
        <v>5510</v>
      </c>
      <c r="T432" s="13" t="s">
        <v>13399</v>
      </c>
      <c r="U432" s="13" t="s">
        <v>13400</v>
      </c>
      <c r="V432" s="13" t="s">
        <v>13401</v>
      </c>
      <c r="W432" s="13" t="s">
        <v>13402</v>
      </c>
      <c r="X432" s="13" t="s">
        <v>13403</v>
      </c>
      <c r="Y432" s="13" t="s">
        <v>13404</v>
      </c>
      <c r="Z432" s="13" t="s">
        <v>13405</v>
      </c>
      <c r="AA432" s="13" t="s">
        <v>5510</v>
      </c>
      <c r="AB432" s="13" t="s">
        <v>5510</v>
      </c>
      <c r="AC432" s="13" t="s">
        <v>13406</v>
      </c>
      <c r="AD432" s="13" t="s">
        <v>13406</v>
      </c>
      <c r="AE432" s="13" t="s">
        <v>13407</v>
      </c>
      <c r="AF432" s="13" t="s">
        <v>5510</v>
      </c>
      <c r="AG432" s="13">
        <v>35.0</v>
      </c>
      <c r="AH432" s="13">
        <v>41.0</v>
      </c>
      <c r="AI432" s="13">
        <v>48.0</v>
      </c>
      <c r="AJ432" s="13">
        <v>1.0</v>
      </c>
      <c r="AK432" s="13">
        <v>48.0</v>
      </c>
      <c r="AL432" s="13" t="s">
        <v>13408</v>
      </c>
      <c r="AM432" s="13" t="s">
        <v>6543</v>
      </c>
      <c r="AN432" s="13" t="s">
        <v>13409</v>
      </c>
      <c r="AO432" s="13" t="s">
        <v>12743</v>
      </c>
      <c r="AP432" s="13" t="s">
        <v>12744</v>
      </c>
      <c r="AQ432" s="13" t="s">
        <v>5510</v>
      </c>
      <c r="AR432" s="13" t="s">
        <v>12745</v>
      </c>
      <c r="AS432" s="13" t="s">
        <v>12746</v>
      </c>
      <c r="AT432" s="13" t="s">
        <v>6175</v>
      </c>
      <c r="AU432" s="13">
        <v>2016.0</v>
      </c>
      <c r="AV432" s="13">
        <v>36.0</v>
      </c>
      <c r="AW432" s="13">
        <v>3.0</v>
      </c>
      <c r="AX432" s="13" t="s">
        <v>5510</v>
      </c>
      <c r="AY432" s="13" t="s">
        <v>5510</v>
      </c>
      <c r="AZ432" s="13" t="s">
        <v>5510</v>
      </c>
      <c r="BA432" s="13" t="s">
        <v>5510</v>
      </c>
      <c r="BB432" s="13">
        <v>299.0</v>
      </c>
      <c r="BC432" s="13">
        <v>310.0</v>
      </c>
      <c r="BD432" s="13" t="s">
        <v>5510</v>
      </c>
      <c r="BE432" s="13" t="s">
        <v>13410</v>
      </c>
      <c r="BF432" s="52" t="str">
        <f>HYPERLINK("http://dx.doi.org/10.1659/MRD-JOURNAL-D-15-00005.1","http://dx.doi.org/10.1659/MRD-JOURNAL-D-15-00005.1")</f>
        <v>http://dx.doi.org/10.1659/MRD-JOURNAL-D-15-00005.1</v>
      </c>
      <c r="BG432" s="13" t="s">
        <v>5510</v>
      </c>
      <c r="BH432" s="13" t="s">
        <v>5510</v>
      </c>
      <c r="BI432" s="13">
        <v>12.0</v>
      </c>
      <c r="BJ432" s="13" t="s">
        <v>12748</v>
      </c>
      <c r="BK432" s="13" t="s">
        <v>5561</v>
      </c>
      <c r="BL432" s="13" t="s">
        <v>6464</v>
      </c>
      <c r="BM432" s="13" t="s">
        <v>13411</v>
      </c>
      <c r="BN432" s="13" t="s">
        <v>5510</v>
      </c>
      <c r="BO432" s="13" t="s">
        <v>5537</v>
      </c>
      <c r="BP432" s="13" t="s">
        <v>5510</v>
      </c>
      <c r="BQ432" s="13" t="s">
        <v>5510</v>
      </c>
      <c r="BR432" s="13" t="s">
        <v>5538</v>
      </c>
      <c r="BS432" s="13" t="s">
        <v>13412</v>
      </c>
      <c r="BT432" s="13">
        <v>24000.0</v>
      </c>
      <c r="BU432" s="13" t="s">
        <v>5540</v>
      </c>
      <c r="BV432" s="13" t="s">
        <v>4856</v>
      </c>
      <c r="BW432" s="13" t="str">
        <f>VLOOKUP($BT432,Enriched!$A$2:$E$1070,5,false)</f>
        <v>["Agriculture &amp; Aquaculture", "Human Intrusions &amp; Disturbance", "Biological Resource Use", "Residential &amp; Commercial Development"]</v>
      </c>
      <c r="BX432" s="13" t="str">
        <f>VLOOKUP($BT432,Enriched!$A$2:$E$1070,4,false)</f>
        <v>["Livestock farming &amp; ranching", "Housing &amp; urban area", "Recreational activities", "Logging &amp; wood harvesting", "Tourism &amp; recreation areas"]</v>
      </c>
      <c r="BY432" s="13" t="b">
        <f>VLOOKUP(BT432,Enriched!$A$1:$AA$1070,27,falsE)</f>
        <v>1</v>
      </c>
      <c r="BZ432" s="2" t="str">
        <f>VLOOKUP(BT432,Enriched!$A$1:$AA$1070,14,falsE)</f>
        <v>level2</v>
      </c>
      <c r="CA432" s="13" t="str">
        <f>HYPERLINK("https%3A%2F%2Fwww.webofscience.com%2Fwos%2Fwoscc%2Ffull-record%2FWOS:000384644700005","View Full Record in Web of Science")</f>
        <v>View Full Record in Web of Science</v>
      </c>
    </row>
    <row r="433" ht="12.75" customHeight="1">
      <c r="A433" s="13" t="s">
        <v>5508</v>
      </c>
      <c r="B433" s="13" t="s">
        <v>13413</v>
      </c>
      <c r="C433" s="13" t="s">
        <v>5510</v>
      </c>
      <c r="D433" s="13" t="s">
        <v>5510</v>
      </c>
      <c r="E433" s="13" t="s">
        <v>5510</v>
      </c>
      <c r="F433" s="13" t="s">
        <v>13414</v>
      </c>
      <c r="G433" s="13" t="s">
        <v>5510</v>
      </c>
      <c r="H433" s="13" t="s">
        <v>5510</v>
      </c>
      <c r="I433" s="13" t="s">
        <v>1714</v>
      </c>
      <c r="J433" s="13" t="s">
        <v>5655</v>
      </c>
      <c r="K433" s="13" t="s">
        <v>5510</v>
      </c>
      <c r="L433" s="13" t="s">
        <v>5510</v>
      </c>
      <c r="M433" s="13" t="s">
        <v>5513</v>
      </c>
      <c r="N433" s="13" t="s">
        <v>5514</v>
      </c>
      <c r="O433" s="13" t="s">
        <v>5510</v>
      </c>
      <c r="P433" s="13" t="s">
        <v>5510</v>
      </c>
      <c r="Q433" s="13" t="s">
        <v>5510</v>
      </c>
      <c r="R433" s="13" t="s">
        <v>5510</v>
      </c>
      <c r="S433" s="13" t="s">
        <v>5510</v>
      </c>
      <c r="T433" s="13" t="s">
        <v>13415</v>
      </c>
      <c r="U433" s="13" t="s">
        <v>13416</v>
      </c>
      <c r="V433" s="13" t="s">
        <v>13417</v>
      </c>
      <c r="W433" s="13" t="s">
        <v>13418</v>
      </c>
      <c r="X433" s="13" t="s">
        <v>8627</v>
      </c>
      <c r="Y433" s="13" t="s">
        <v>13419</v>
      </c>
      <c r="Z433" s="13" t="s">
        <v>13420</v>
      </c>
      <c r="AA433" s="13" t="s">
        <v>13421</v>
      </c>
      <c r="AB433" s="13" t="s">
        <v>13422</v>
      </c>
      <c r="AC433" s="13" t="s">
        <v>13423</v>
      </c>
      <c r="AD433" s="13" t="s">
        <v>13424</v>
      </c>
      <c r="AE433" s="13" t="s">
        <v>13425</v>
      </c>
      <c r="AF433" s="13" t="s">
        <v>5510</v>
      </c>
      <c r="AG433" s="13">
        <v>72.0</v>
      </c>
      <c r="AH433" s="13">
        <v>17.0</v>
      </c>
      <c r="AI433" s="13">
        <v>25.0</v>
      </c>
      <c r="AJ433" s="13">
        <v>2.0</v>
      </c>
      <c r="AK433" s="13">
        <v>39.0</v>
      </c>
      <c r="AL433" s="13" t="s">
        <v>5527</v>
      </c>
      <c r="AM433" s="13" t="s">
        <v>5528</v>
      </c>
      <c r="AN433" s="13" t="s">
        <v>5529</v>
      </c>
      <c r="AO433" s="13" t="s">
        <v>5664</v>
      </c>
      <c r="AP433" s="13" t="s">
        <v>5510</v>
      </c>
      <c r="AQ433" s="13" t="s">
        <v>5510</v>
      </c>
      <c r="AR433" s="13" t="s">
        <v>5665</v>
      </c>
      <c r="AS433" s="13" t="s">
        <v>5666</v>
      </c>
      <c r="AT433" s="13" t="s">
        <v>5582</v>
      </c>
      <c r="AU433" s="13">
        <v>2019.0</v>
      </c>
      <c r="AV433" s="13">
        <v>9.0</v>
      </c>
      <c r="AW433" s="13">
        <v>1.0</v>
      </c>
      <c r="AX433" s="13" t="s">
        <v>5510</v>
      </c>
      <c r="AY433" s="13" t="s">
        <v>5510</v>
      </c>
      <c r="AZ433" s="13" t="s">
        <v>5510</v>
      </c>
      <c r="BA433" s="13" t="s">
        <v>5510</v>
      </c>
      <c r="BB433" s="13">
        <v>73.0</v>
      </c>
      <c r="BC433" s="13">
        <v>89.0</v>
      </c>
      <c r="BD433" s="13" t="s">
        <v>5510</v>
      </c>
      <c r="BE433" s="13" t="s">
        <v>13426</v>
      </c>
      <c r="BF433" s="52" t="str">
        <f>HYPERLINK("http://dx.doi.org/10.1002/ece3.4617","http://dx.doi.org/10.1002/ece3.4617")</f>
        <v>http://dx.doi.org/10.1002/ece3.4617</v>
      </c>
      <c r="BG433" s="13" t="s">
        <v>5510</v>
      </c>
      <c r="BH433" s="13" t="s">
        <v>5510</v>
      </c>
      <c r="BI433" s="13">
        <v>17.0</v>
      </c>
      <c r="BJ433" s="13" t="s">
        <v>5670</v>
      </c>
      <c r="BK433" s="13" t="s">
        <v>5561</v>
      </c>
      <c r="BL433" s="13" t="s">
        <v>5671</v>
      </c>
      <c r="BM433" s="13" t="s">
        <v>13427</v>
      </c>
      <c r="BN433" s="13">
        <v>3.0680097E7</v>
      </c>
      <c r="BO433" s="13" t="s">
        <v>5564</v>
      </c>
      <c r="BP433" s="13" t="s">
        <v>5510</v>
      </c>
      <c r="BQ433" s="13" t="s">
        <v>5510</v>
      </c>
      <c r="BR433" s="13" t="s">
        <v>5538</v>
      </c>
      <c r="BS433" s="13" t="s">
        <v>13428</v>
      </c>
      <c r="BT433" s="13">
        <v>24606.0</v>
      </c>
      <c r="BU433" s="13" t="s">
        <v>5540</v>
      </c>
      <c r="BV433" s="13" t="s">
        <v>4856</v>
      </c>
      <c r="BW433" s="13" t="str">
        <f>VLOOKUP($BT433,Enriched!$A$2:$E$1070,5,false)</f>
        <v>["Transportation &amp; Service Corridors", "Agriculture &amp; Aquaculture", "Biological Resource Use"]</v>
      </c>
      <c r="BX433" s="13" t="str">
        <f>VLOOKUP($BT433,Enriched!$A$2:$E$1070,4,false)</f>
        <v>["Roads &amp; railroads", "Hunting &amp; collecting terrestrial animals"]</v>
      </c>
      <c r="BY433" s="13" t="b">
        <f>VLOOKUP(BT433,Enriched!$A$1:$AA$1070,27,falsE)</f>
        <v>1</v>
      </c>
      <c r="BZ433" s="2" t="str">
        <f>VLOOKUP(BT433,Enriched!$A$1:$AA$1070,14,falsE)</f>
        <v>cumulative</v>
      </c>
      <c r="CA433" s="13" t="str">
        <f>HYPERLINK("https%3A%2F%2Fwww.webofscience.com%2Fwos%2Fwoscc%2Ffull-record%2FWOS:000457622300007","View Full Record in Web of Science")</f>
        <v>View Full Record in Web of Science</v>
      </c>
    </row>
    <row r="434" ht="12.75" customHeight="1">
      <c r="A434" s="13" t="s">
        <v>5508</v>
      </c>
      <c r="B434" s="13" t="s">
        <v>13429</v>
      </c>
      <c r="C434" s="13" t="s">
        <v>5510</v>
      </c>
      <c r="D434" s="13" t="s">
        <v>5510</v>
      </c>
      <c r="E434" s="13" t="s">
        <v>5510</v>
      </c>
      <c r="F434" s="13" t="s">
        <v>13430</v>
      </c>
      <c r="G434" s="13" t="s">
        <v>5510</v>
      </c>
      <c r="H434" s="13" t="s">
        <v>5510</v>
      </c>
      <c r="I434" s="13" t="s">
        <v>1711</v>
      </c>
      <c r="J434" s="13" t="s">
        <v>6212</v>
      </c>
      <c r="K434" s="13" t="s">
        <v>5510</v>
      </c>
      <c r="L434" s="13" t="s">
        <v>5510</v>
      </c>
      <c r="M434" s="13" t="s">
        <v>5513</v>
      </c>
      <c r="N434" s="13" t="s">
        <v>5514</v>
      </c>
      <c r="O434" s="13" t="s">
        <v>5510</v>
      </c>
      <c r="P434" s="13" t="s">
        <v>5510</v>
      </c>
      <c r="Q434" s="13" t="s">
        <v>5510</v>
      </c>
      <c r="R434" s="13" t="s">
        <v>5510</v>
      </c>
      <c r="S434" s="13" t="s">
        <v>5510</v>
      </c>
      <c r="T434" s="13" t="s">
        <v>13431</v>
      </c>
      <c r="U434" s="13" t="s">
        <v>13432</v>
      </c>
      <c r="V434" s="13" t="s">
        <v>13433</v>
      </c>
      <c r="W434" s="13" t="s">
        <v>13434</v>
      </c>
      <c r="X434" s="13" t="s">
        <v>13435</v>
      </c>
      <c r="Y434" s="13" t="s">
        <v>13436</v>
      </c>
      <c r="Z434" s="13" t="s">
        <v>13437</v>
      </c>
      <c r="AA434" s="13" t="s">
        <v>13438</v>
      </c>
      <c r="AB434" s="13" t="s">
        <v>13439</v>
      </c>
      <c r="AC434" s="13" t="s">
        <v>13440</v>
      </c>
      <c r="AD434" s="13" t="s">
        <v>13441</v>
      </c>
      <c r="AE434" s="13" t="s">
        <v>13442</v>
      </c>
      <c r="AF434" s="13" t="s">
        <v>5510</v>
      </c>
      <c r="AG434" s="13">
        <v>120.0</v>
      </c>
      <c r="AH434" s="13">
        <v>112.0</v>
      </c>
      <c r="AI434" s="13">
        <v>129.0</v>
      </c>
      <c r="AJ434" s="13">
        <v>4.0</v>
      </c>
      <c r="AK434" s="13">
        <v>121.0</v>
      </c>
      <c r="AL434" s="13" t="s">
        <v>5759</v>
      </c>
      <c r="AM434" s="13" t="s">
        <v>5760</v>
      </c>
      <c r="AN434" s="13" t="s">
        <v>5761</v>
      </c>
      <c r="AO434" s="13" t="s">
        <v>6225</v>
      </c>
      <c r="AP434" s="13" t="s">
        <v>5510</v>
      </c>
      <c r="AQ434" s="13" t="s">
        <v>5510</v>
      </c>
      <c r="AR434" s="13" t="s">
        <v>6226</v>
      </c>
      <c r="AS434" s="13" t="s">
        <v>6227</v>
      </c>
      <c r="AT434" s="13" t="s">
        <v>2514</v>
      </c>
      <c r="AU434" s="13">
        <v>2017.0</v>
      </c>
      <c r="AV434" s="13">
        <v>12.0</v>
      </c>
      <c r="AW434" s="13" t="s">
        <v>5510</v>
      </c>
      <c r="AX434" s="13" t="s">
        <v>5510</v>
      </c>
      <c r="AY434" s="13" t="s">
        <v>5510</v>
      </c>
      <c r="AZ434" s="13" t="s">
        <v>5510</v>
      </c>
      <c r="BA434" s="13" t="s">
        <v>5510</v>
      </c>
      <c r="BB434" s="13">
        <v>80.0</v>
      </c>
      <c r="BC434" s="13">
        <v>95.0</v>
      </c>
      <c r="BD434" s="13" t="s">
        <v>5510</v>
      </c>
      <c r="BE434" s="13" t="s">
        <v>13443</v>
      </c>
      <c r="BF434" s="52" t="str">
        <f>HYPERLINK("http://dx.doi.org/10.1016/j.gecco.2017.08.005","http://dx.doi.org/10.1016/j.gecco.2017.08.005")</f>
        <v>http://dx.doi.org/10.1016/j.gecco.2017.08.005</v>
      </c>
      <c r="BG434" s="13" t="s">
        <v>5510</v>
      </c>
      <c r="BH434" s="13" t="s">
        <v>5510</v>
      </c>
      <c r="BI434" s="13">
        <v>16.0</v>
      </c>
      <c r="BJ434" s="13" t="s">
        <v>5958</v>
      </c>
      <c r="BK434" s="13" t="s">
        <v>5534</v>
      </c>
      <c r="BL434" s="13" t="s">
        <v>5699</v>
      </c>
      <c r="BM434" s="13" t="s">
        <v>13444</v>
      </c>
      <c r="BN434" s="13" t="s">
        <v>5510</v>
      </c>
      <c r="BO434" s="13" t="s">
        <v>5564</v>
      </c>
      <c r="BP434" s="13" t="s">
        <v>5510</v>
      </c>
      <c r="BQ434" s="13" t="s">
        <v>5510</v>
      </c>
      <c r="BR434" s="13" t="s">
        <v>5538</v>
      </c>
      <c r="BS434" s="13" t="s">
        <v>13445</v>
      </c>
      <c r="BT434" s="13">
        <v>23515.0</v>
      </c>
      <c r="BU434" s="13" t="s">
        <v>5540</v>
      </c>
      <c r="BV434" s="13" t="s">
        <v>4855</v>
      </c>
      <c r="BW434" s="13" t="str">
        <f>VLOOKUP($BT434,Enriched!$A$2:$E$1070,5,false)</f>
        <v>["Residential &amp; commercial development"]</v>
      </c>
      <c r="BX434" s="13" t="str">
        <f>VLOOKUP($BT434,Enriched!$A$2:$E$1070,4,false)</f>
        <v>["Housing &amp; urban area"]</v>
      </c>
      <c r="BY434" s="13" t="b">
        <f>VLOOKUP(BT434,Enriched!$A$1:$AA$1070,27,falsE)</f>
        <v>0</v>
      </c>
      <c r="BZ434" s="2" t="str">
        <f>VLOOKUP(BT434,Enriched!$A$1:$AA$1070,14,falsE)</f>
        <v>level2</v>
      </c>
      <c r="CA434" s="13" t="str">
        <f>HYPERLINK("https%3A%2F%2Fwww.webofscience.com%2Fwos%2Fwoscc%2Ffull-record%2FWOS:000426355300008","View Full Record in Web of Science")</f>
        <v>View Full Record in Web of Science</v>
      </c>
    </row>
    <row r="435" ht="12.75" customHeight="1">
      <c r="A435" s="13" t="s">
        <v>5508</v>
      </c>
      <c r="B435" s="13" t="s">
        <v>13446</v>
      </c>
      <c r="C435" s="13" t="s">
        <v>5510</v>
      </c>
      <c r="D435" s="13" t="s">
        <v>5510</v>
      </c>
      <c r="E435" s="13" t="s">
        <v>5510</v>
      </c>
      <c r="F435" s="13" t="s">
        <v>13447</v>
      </c>
      <c r="G435" s="13" t="s">
        <v>5510</v>
      </c>
      <c r="H435" s="13" t="s">
        <v>5510</v>
      </c>
      <c r="I435" s="13" t="s">
        <v>13448</v>
      </c>
      <c r="J435" s="13" t="s">
        <v>7300</v>
      </c>
      <c r="K435" s="13" t="s">
        <v>5510</v>
      </c>
      <c r="L435" s="13" t="s">
        <v>5510</v>
      </c>
      <c r="M435" s="13" t="s">
        <v>5513</v>
      </c>
      <c r="N435" s="13" t="s">
        <v>5514</v>
      </c>
      <c r="O435" s="13" t="s">
        <v>5510</v>
      </c>
      <c r="P435" s="13" t="s">
        <v>5510</v>
      </c>
      <c r="Q435" s="13" t="s">
        <v>5510</v>
      </c>
      <c r="R435" s="13" t="s">
        <v>5510</v>
      </c>
      <c r="S435" s="13" t="s">
        <v>5510</v>
      </c>
      <c r="T435" s="13" t="s">
        <v>5510</v>
      </c>
      <c r="U435" s="13" t="s">
        <v>13449</v>
      </c>
      <c r="V435" s="13" t="s">
        <v>13450</v>
      </c>
      <c r="W435" s="13" t="s">
        <v>13451</v>
      </c>
      <c r="X435" s="13" t="s">
        <v>13452</v>
      </c>
      <c r="Y435" s="13" t="s">
        <v>13453</v>
      </c>
      <c r="Z435" s="13" t="s">
        <v>13454</v>
      </c>
      <c r="AA435" s="13" t="s">
        <v>13455</v>
      </c>
      <c r="AB435" s="13" t="s">
        <v>13456</v>
      </c>
      <c r="AC435" s="13" t="s">
        <v>5510</v>
      </c>
      <c r="AD435" s="13" t="s">
        <v>5510</v>
      </c>
      <c r="AE435" s="13" t="s">
        <v>5510</v>
      </c>
      <c r="AF435" s="13" t="s">
        <v>5510</v>
      </c>
      <c r="AG435" s="13">
        <v>127.0</v>
      </c>
      <c r="AH435" s="13">
        <v>79.0</v>
      </c>
      <c r="AI435" s="13">
        <v>85.0</v>
      </c>
      <c r="AJ435" s="13">
        <v>1.0</v>
      </c>
      <c r="AK435" s="13">
        <v>80.0</v>
      </c>
      <c r="AL435" s="13" t="s">
        <v>6849</v>
      </c>
      <c r="AM435" s="13" t="s">
        <v>6850</v>
      </c>
      <c r="AN435" s="13" t="s">
        <v>6851</v>
      </c>
      <c r="AO435" s="13" t="s">
        <v>5510</v>
      </c>
      <c r="AP435" s="13" t="s">
        <v>7313</v>
      </c>
      <c r="AQ435" s="13" t="s">
        <v>5510</v>
      </c>
      <c r="AR435" s="13" t="s">
        <v>7314</v>
      </c>
      <c r="AS435" s="13" t="s">
        <v>7315</v>
      </c>
      <c r="AT435" s="13" t="s">
        <v>6089</v>
      </c>
      <c r="AU435" s="13">
        <v>2015.0</v>
      </c>
      <c r="AV435" s="13">
        <v>7.0</v>
      </c>
      <c r="AW435" s="13">
        <v>3.0</v>
      </c>
      <c r="AX435" s="13" t="s">
        <v>5510</v>
      </c>
      <c r="AY435" s="13" t="s">
        <v>5510</v>
      </c>
      <c r="AZ435" s="13" t="s">
        <v>5510</v>
      </c>
      <c r="BA435" s="13" t="s">
        <v>5510</v>
      </c>
      <c r="BB435" s="13">
        <v>2509.0</v>
      </c>
      <c r="BC435" s="13">
        <v>2542.0</v>
      </c>
      <c r="BD435" s="13" t="s">
        <v>5510</v>
      </c>
      <c r="BE435" s="13" t="s">
        <v>13457</v>
      </c>
      <c r="BF435" s="52" t="str">
        <f>HYPERLINK("http://dx.doi.org/10.3390/rs70302509","http://dx.doi.org/10.3390/rs70302509")</f>
        <v>http://dx.doi.org/10.3390/rs70302509</v>
      </c>
      <c r="BG435" s="13" t="s">
        <v>5510</v>
      </c>
      <c r="BH435" s="13" t="s">
        <v>5510</v>
      </c>
      <c r="BI435" s="13">
        <v>34.0</v>
      </c>
      <c r="BJ435" s="13" t="s">
        <v>7317</v>
      </c>
      <c r="BK435" s="13" t="s">
        <v>5561</v>
      </c>
      <c r="BL435" s="13" t="s">
        <v>7318</v>
      </c>
      <c r="BM435" s="13" t="s">
        <v>13458</v>
      </c>
      <c r="BN435" s="13" t="s">
        <v>5510</v>
      </c>
      <c r="BO435" s="13" t="s">
        <v>5564</v>
      </c>
      <c r="BP435" s="13" t="s">
        <v>5510</v>
      </c>
      <c r="BQ435" s="13" t="s">
        <v>5510</v>
      </c>
      <c r="BR435" s="13" t="s">
        <v>5538</v>
      </c>
      <c r="BS435" s="13" t="s">
        <v>13459</v>
      </c>
      <c r="BT435" s="13">
        <v>23641.0</v>
      </c>
      <c r="BU435" s="13" t="s">
        <v>5540</v>
      </c>
      <c r="BV435" s="13" t="s">
        <v>4856</v>
      </c>
      <c r="BW435" s="13" t="str">
        <f>VLOOKUP($BT435,Enriched!$A$2:$E$1070,5,false)</f>
        <v>["Natural System Modifications", "Invasive &amp; Other Problematic Species, Genes &amp; Diseases"]</v>
      </c>
      <c r="BX435" s="13" t="str">
        <f>VLOOKUP($BT435,Enriched!$A$2:$E$1070,4,false)</f>
        <v>["Fire &amp; fire suppression", "Invasive non-native/alien species/diseases"]</v>
      </c>
      <c r="BY435" s="13" t="b">
        <f>VLOOKUP(BT435,Enriched!$A$1:$AA$1070,27,falsE)</f>
        <v>0</v>
      </c>
      <c r="BZ435" s="2" t="str">
        <f>VLOOKUP(BT435,Enriched!$A$1:$AA$1070,14,falsE)</f>
        <v>level2</v>
      </c>
      <c r="CA435" s="13" t="str">
        <f>HYPERLINK("https%3A%2F%2Fwww.webofscience.com%2Fwos%2Fwoscc%2Ffull-record%2FWOS:000353685200012","View Full Record in Web of Science")</f>
        <v>View Full Record in Web of Science</v>
      </c>
    </row>
    <row r="436" ht="12.75" customHeight="1">
      <c r="A436" s="13" t="s">
        <v>5508</v>
      </c>
      <c r="B436" s="13" t="s">
        <v>13460</v>
      </c>
      <c r="C436" s="13" t="s">
        <v>5510</v>
      </c>
      <c r="D436" s="13" t="s">
        <v>5510</v>
      </c>
      <c r="E436" s="13" t="s">
        <v>5510</v>
      </c>
      <c r="F436" s="13" t="s">
        <v>13461</v>
      </c>
      <c r="G436" s="13" t="s">
        <v>5510</v>
      </c>
      <c r="H436" s="13" t="s">
        <v>5510</v>
      </c>
      <c r="I436" s="13" t="s">
        <v>13462</v>
      </c>
      <c r="J436" s="13" t="s">
        <v>6836</v>
      </c>
      <c r="K436" s="13" t="s">
        <v>5510</v>
      </c>
      <c r="L436" s="13" t="s">
        <v>5510</v>
      </c>
      <c r="M436" s="13" t="s">
        <v>5513</v>
      </c>
      <c r="N436" s="13" t="s">
        <v>5514</v>
      </c>
      <c r="O436" s="13" t="s">
        <v>5510</v>
      </c>
      <c r="P436" s="13" t="s">
        <v>5510</v>
      </c>
      <c r="Q436" s="13" t="s">
        <v>5510</v>
      </c>
      <c r="R436" s="13" t="s">
        <v>5510</v>
      </c>
      <c r="S436" s="13" t="s">
        <v>5510</v>
      </c>
      <c r="T436" s="13" t="s">
        <v>13463</v>
      </c>
      <c r="U436" s="13" t="s">
        <v>13464</v>
      </c>
      <c r="V436" s="13" t="s">
        <v>13465</v>
      </c>
      <c r="W436" s="13" t="s">
        <v>13466</v>
      </c>
      <c r="X436" s="13" t="s">
        <v>13467</v>
      </c>
      <c r="Y436" s="13" t="s">
        <v>13468</v>
      </c>
      <c r="Z436" s="13" t="s">
        <v>13469</v>
      </c>
      <c r="AA436" s="13" t="s">
        <v>5510</v>
      </c>
      <c r="AB436" s="13" t="s">
        <v>5510</v>
      </c>
      <c r="AC436" s="13" t="s">
        <v>13470</v>
      </c>
      <c r="AD436" s="13" t="s">
        <v>13471</v>
      </c>
      <c r="AE436" s="13" t="s">
        <v>13472</v>
      </c>
      <c r="AF436" s="13" t="s">
        <v>5510</v>
      </c>
      <c r="AG436" s="13">
        <v>65.0</v>
      </c>
      <c r="AH436" s="13">
        <v>21.0</v>
      </c>
      <c r="AI436" s="13">
        <v>24.0</v>
      </c>
      <c r="AJ436" s="13">
        <v>4.0</v>
      </c>
      <c r="AK436" s="13">
        <v>110.0</v>
      </c>
      <c r="AL436" s="13" t="s">
        <v>6849</v>
      </c>
      <c r="AM436" s="13" t="s">
        <v>6850</v>
      </c>
      <c r="AN436" s="13" t="s">
        <v>6851</v>
      </c>
      <c r="AO436" s="13" t="s">
        <v>5510</v>
      </c>
      <c r="AP436" s="13" t="s">
        <v>6852</v>
      </c>
      <c r="AQ436" s="13" t="s">
        <v>5510</v>
      </c>
      <c r="AR436" s="13" t="s">
        <v>6853</v>
      </c>
      <c r="AS436" s="13" t="s">
        <v>1596</v>
      </c>
      <c r="AT436" s="13" t="s">
        <v>2514</v>
      </c>
      <c r="AU436" s="13">
        <v>2018.0</v>
      </c>
      <c r="AV436" s="13">
        <v>10.0</v>
      </c>
      <c r="AW436" s="13">
        <v>10.0</v>
      </c>
      <c r="AX436" s="13" t="s">
        <v>5510</v>
      </c>
      <c r="AY436" s="13" t="s">
        <v>5510</v>
      </c>
      <c r="AZ436" s="13" t="s">
        <v>5510</v>
      </c>
      <c r="BA436" s="13" t="s">
        <v>5510</v>
      </c>
      <c r="BB436" s="13" t="s">
        <v>5510</v>
      </c>
      <c r="BC436" s="13" t="s">
        <v>5510</v>
      </c>
      <c r="BD436" s="13">
        <v>3736.0</v>
      </c>
      <c r="BE436" s="13" t="s">
        <v>13473</v>
      </c>
      <c r="BF436" s="52" t="str">
        <f>HYPERLINK("http://dx.doi.org/10.3390/su10103736","http://dx.doi.org/10.3390/su10103736")</f>
        <v>http://dx.doi.org/10.3390/su10103736</v>
      </c>
      <c r="BG436" s="13" t="s">
        <v>5510</v>
      </c>
      <c r="BH436" s="13" t="s">
        <v>5510</v>
      </c>
      <c r="BI436" s="13">
        <v>19.0</v>
      </c>
      <c r="BJ436" s="13" t="s">
        <v>6855</v>
      </c>
      <c r="BK436" s="13" t="s">
        <v>5534</v>
      </c>
      <c r="BL436" s="13" t="s">
        <v>6488</v>
      </c>
      <c r="BM436" s="13" t="s">
        <v>13474</v>
      </c>
      <c r="BN436" s="13" t="s">
        <v>5510</v>
      </c>
      <c r="BO436" s="13" t="s">
        <v>5564</v>
      </c>
      <c r="BP436" s="13" t="s">
        <v>5510</v>
      </c>
      <c r="BQ436" s="13" t="s">
        <v>5510</v>
      </c>
      <c r="BR436" s="13" t="s">
        <v>5538</v>
      </c>
      <c r="BS436" s="13" t="s">
        <v>13475</v>
      </c>
      <c r="BT436" s="13">
        <v>25240.0</v>
      </c>
      <c r="BU436" s="13" t="s">
        <v>5540</v>
      </c>
      <c r="BV436" s="13" t="s">
        <v>4856</v>
      </c>
      <c r="BW436" s="13" t="str">
        <f>VLOOKUP($BT436,Enriched!$A$2:$E$1070,5,false)</f>
        <v>["Residential &amp; Commercial Development", "Agriculture &amp; Aquaculture"]</v>
      </c>
      <c r="BX436" s="13" t="str">
        <f>VLOOKUP($BT436,Enriched!$A$2:$E$1070,4,false)</f>
        <v>["Annual &amp; perennial non-timber crops"]</v>
      </c>
      <c r="BY436" s="13" t="b">
        <f>VLOOKUP(BT436,Enriched!$A$1:$AA$1070,27,falsE)</f>
        <v>1</v>
      </c>
      <c r="BZ436" s="2" t="str">
        <f>VLOOKUP(BT436,Enriched!$A$1:$AA$1070,14,falsE)</f>
        <v>level1</v>
      </c>
      <c r="CA436" s="13" t="str">
        <f>HYPERLINK("https%3A%2F%2Fwww.webofscience.com%2Fwos%2Fwoscc%2Ffull-record%2FWOS:000448559400378","View Full Record in Web of Science")</f>
        <v>View Full Record in Web of Science</v>
      </c>
    </row>
    <row r="437" ht="12.75" customHeight="1">
      <c r="A437" s="13" t="s">
        <v>5508</v>
      </c>
      <c r="B437" s="13" t="s">
        <v>13476</v>
      </c>
      <c r="C437" s="13" t="s">
        <v>5510</v>
      </c>
      <c r="D437" s="13" t="s">
        <v>5510</v>
      </c>
      <c r="E437" s="13" t="s">
        <v>5510</v>
      </c>
      <c r="F437" s="13" t="s">
        <v>13477</v>
      </c>
      <c r="G437" s="13" t="s">
        <v>5510</v>
      </c>
      <c r="H437" s="13" t="s">
        <v>5510</v>
      </c>
      <c r="I437" s="13" t="s">
        <v>1703</v>
      </c>
      <c r="J437" s="13" t="s">
        <v>5919</v>
      </c>
      <c r="K437" s="13" t="s">
        <v>5510</v>
      </c>
      <c r="L437" s="13" t="s">
        <v>5510</v>
      </c>
      <c r="M437" s="13" t="s">
        <v>5513</v>
      </c>
      <c r="N437" s="13" t="s">
        <v>5514</v>
      </c>
      <c r="O437" s="13" t="s">
        <v>5510</v>
      </c>
      <c r="P437" s="13" t="s">
        <v>5510</v>
      </c>
      <c r="Q437" s="13" t="s">
        <v>5510</v>
      </c>
      <c r="R437" s="13" t="s">
        <v>5510</v>
      </c>
      <c r="S437" s="13" t="s">
        <v>5510</v>
      </c>
      <c r="T437" s="13" t="s">
        <v>13478</v>
      </c>
      <c r="U437" s="13" t="s">
        <v>13479</v>
      </c>
      <c r="V437" s="13" t="s">
        <v>13480</v>
      </c>
      <c r="W437" s="13" t="s">
        <v>13481</v>
      </c>
      <c r="X437" s="13" t="s">
        <v>13482</v>
      </c>
      <c r="Y437" s="13" t="s">
        <v>13483</v>
      </c>
      <c r="Z437" s="13" t="s">
        <v>13484</v>
      </c>
      <c r="AA437" s="13" t="s">
        <v>13485</v>
      </c>
      <c r="AB437" s="13" t="s">
        <v>13486</v>
      </c>
      <c r="AC437" s="13" t="s">
        <v>5510</v>
      </c>
      <c r="AD437" s="13" t="s">
        <v>5510</v>
      </c>
      <c r="AE437" s="13" t="s">
        <v>5510</v>
      </c>
      <c r="AF437" s="13" t="s">
        <v>5510</v>
      </c>
      <c r="AG437" s="13">
        <v>49.0</v>
      </c>
      <c r="AH437" s="13">
        <v>25.0</v>
      </c>
      <c r="AI437" s="13">
        <v>28.0</v>
      </c>
      <c r="AJ437" s="13">
        <v>3.0</v>
      </c>
      <c r="AK437" s="13">
        <v>53.0</v>
      </c>
      <c r="AL437" s="13" t="s">
        <v>5931</v>
      </c>
      <c r="AM437" s="13" t="s">
        <v>5932</v>
      </c>
      <c r="AN437" s="13" t="s">
        <v>5933</v>
      </c>
      <c r="AO437" s="13" t="s">
        <v>5934</v>
      </c>
      <c r="AP437" s="13" t="s">
        <v>5935</v>
      </c>
      <c r="AQ437" s="13" t="s">
        <v>5510</v>
      </c>
      <c r="AR437" s="13" t="s">
        <v>5936</v>
      </c>
      <c r="AS437" s="13" t="s">
        <v>5937</v>
      </c>
      <c r="AT437" s="13" t="s">
        <v>6828</v>
      </c>
      <c r="AU437" s="13">
        <v>2016.0</v>
      </c>
      <c r="AV437" s="13">
        <v>196.0</v>
      </c>
      <c r="AW437" s="13" t="s">
        <v>5510</v>
      </c>
      <c r="AX437" s="13" t="s">
        <v>5510</v>
      </c>
      <c r="AY437" s="13" t="s">
        <v>5510</v>
      </c>
      <c r="AZ437" s="13" t="s">
        <v>5510</v>
      </c>
      <c r="BA437" s="13" t="s">
        <v>5510</v>
      </c>
      <c r="BB437" s="13">
        <v>40.0</v>
      </c>
      <c r="BC437" s="13">
        <v>47.0</v>
      </c>
      <c r="BD437" s="13" t="s">
        <v>5510</v>
      </c>
      <c r="BE437" s="13" t="s">
        <v>13487</v>
      </c>
      <c r="BF437" s="52" t="str">
        <f>HYPERLINK("http://dx.doi.org/10.1016/j.biocon.2016.02.001","http://dx.doi.org/10.1016/j.biocon.2016.02.001")</f>
        <v>http://dx.doi.org/10.1016/j.biocon.2016.02.001</v>
      </c>
      <c r="BG437" s="13" t="s">
        <v>5510</v>
      </c>
      <c r="BH437" s="13" t="s">
        <v>5510</v>
      </c>
      <c r="BI437" s="13">
        <v>8.0</v>
      </c>
      <c r="BJ437" s="13" t="s">
        <v>5698</v>
      </c>
      <c r="BK437" s="13" t="s">
        <v>5561</v>
      </c>
      <c r="BL437" s="13" t="s">
        <v>5699</v>
      </c>
      <c r="BM437" s="13" t="s">
        <v>10157</v>
      </c>
      <c r="BN437" s="13" t="s">
        <v>5510</v>
      </c>
      <c r="BO437" s="13" t="s">
        <v>5510</v>
      </c>
      <c r="BP437" s="13" t="s">
        <v>5510</v>
      </c>
      <c r="BQ437" s="13" t="s">
        <v>5510</v>
      </c>
      <c r="BR437" s="13" t="s">
        <v>5538</v>
      </c>
      <c r="BS437" s="13" t="s">
        <v>13488</v>
      </c>
      <c r="BT437" s="13">
        <v>25374.0</v>
      </c>
      <c r="BU437" s="13" t="s">
        <v>5540</v>
      </c>
      <c r="BV437" s="13" t="s">
        <v>4864</v>
      </c>
      <c r="BW437" s="13" t="str">
        <f>VLOOKUP($BT437,Enriched!$A$2:$E$1070,5,false)</f>
        <v>["Biological resource use"]</v>
      </c>
      <c r="BX437" s="13" t="str">
        <f>VLOOKUP($BT437,Enriched!$A$2:$E$1070,4,false)</f>
        <v>["Fishing &amp; harvesting aquatic resources"]</v>
      </c>
      <c r="BY437" s="13" t="b">
        <f>VLOOKUP(BT437,Enriched!$A$1:$AA$1070,27,falsE)</f>
        <v>0</v>
      </c>
      <c r="BZ437" s="2" t="str">
        <f>VLOOKUP(BT437,Enriched!$A$1:$AA$1070,14,falsE)</f>
        <v>level2</v>
      </c>
      <c r="CA437" s="13" t="str">
        <f>HYPERLINK("https%3A%2F%2Fwww.webofscience.com%2Fwos%2Fwoscc%2Ffull-record%2FWOS:000375365300006","View Full Record in Web of Science")</f>
        <v>View Full Record in Web of Science</v>
      </c>
    </row>
    <row r="438" ht="12.75" customHeight="1">
      <c r="A438" s="13" t="s">
        <v>5508</v>
      </c>
      <c r="B438" s="13" t="s">
        <v>13489</v>
      </c>
      <c r="C438" s="13" t="s">
        <v>5510</v>
      </c>
      <c r="D438" s="13" t="s">
        <v>5510</v>
      </c>
      <c r="E438" s="13" t="s">
        <v>5510</v>
      </c>
      <c r="F438" s="13" t="s">
        <v>13490</v>
      </c>
      <c r="G438" s="13" t="s">
        <v>5510</v>
      </c>
      <c r="H438" s="13" t="s">
        <v>5510</v>
      </c>
      <c r="I438" s="13" t="s">
        <v>13491</v>
      </c>
      <c r="J438" s="13" t="s">
        <v>13492</v>
      </c>
      <c r="K438" s="13" t="s">
        <v>5510</v>
      </c>
      <c r="L438" s="13" t="s">
        <v>5510</v>
      </c>
      <c r="M438" s="13" t="s">
        <v>5513</v>
      </c>
      <c r="N438" s="13" t="s">
        <v>5514</v>
      </c>
      <c r="O438" s="13" t="s">
        <v>5510</v>
      </c>
      <c r="P438" s="13" t="s">
        <v>5510</v>
      </c>
      <c r="Q438" s="13" t="s">
        <v>5510</v>
      </c>
      <c r="R438" s="13" t="s">
        <v>5510</v>
      </c>
      <c r="S438" s="13" t="s">
        <v>5510</v>
      </c>
      <c r="T438" s="13" t="s">
        <v>13493</v>
      </c>
      <c r="U438" s="13" t="s">
        <v>13494</v>
      </c>
      <c r="V438" s="13" t="s">
        <v>13495</v>
      </c>
      <c r="W438" s="13" t="s">
        <v>13496</v>
      </c>
      <c r="X438" s="13" t="s">
        <v>13497</v>
      </c>
      <c r="Y438" s="13" t="s">
        <v>13498</v>
      </c>
      <c r="Z438" s="13" t="s">
        <v>13499</v>
      </c>
      <c r="AA438" s="13" t="s">
        <v>13500</v>
      </c>
      <c r="AB438" s="13" t="s">
        <v>13501</v>
      </c>
      <c r="AC438" s="13" t="s">
        <v>13502</v>
      </c>
      <c r="AD438" s="13" t="s">
        <v>13502</v>
      </c>
      <c r="AE438" s="13" t="s">
        <v>13503</v>
      </c>
      <c r="AF438" s="13" t="s">
        <v>5510</v>
      </c>
      <c r="AG438" s="13">
        <v>54.0</v>
      </c>
      <c r="AH438" s="13">
        <v>51.0</v>
      </c>
      <c r="AI438" s="13">
        <v>70.0</v>
      </c>
      <c r="AJ438" s="13">
        <v>1.0</v>
      </c>
      <c r="AK438" s="13">
        <v>122.0</v>
      </c>
      <c r="AL438" s="13" t="s">
        <v>5690</v>
      </c>
      <c r="AM438" s="13" t="s">
        <v>5691</v>
      </c>
      <c r="AN438" s="13" t="s">
        <v>5692</v>
      </c>
      <c r="AO438" s="13" t="s">
        <v>13504</v>
      </c>
      <c r="AP438" s="13" t="s">
        <v>13505</v>
      </c>
      <c r="AQ438" s="13" t="s">
        <v>5510</v>
      </c>
      <c r="AR438" s="13" t="s">
        <v>13492</v>
      </c>
      <c r="AS438" s="13" t="s">
        <v>400</v>
      </c>
      <c r="AT438" s="13" t="s">
        <v>2738</v>
      </c>
      <c r="AU438" s="13">
        <v>2013.0</v>
      </c>
      <c r="AV438" s="13">
        <v>33.0</v>
      </c>
      <c r="AW438" s="13">
        <v>1.0</v>
      </c>
      <c r="AX438" s="13" t="s">
        <v>5510</v>
      </c>
      <c r="AY438" s="13" t="s">
        <v>5510</v>
      </c>
      <c r="AZ438" s="13" t="s">
        <v>5510</v>
      </c>
      <c r="BA438" s="13" t="s">
        <v>5510</v>
      </c>
      <c r="BB438" s="13">
        <v>117.0</v>
      </c>
      <c r="BC438" s="13">
        <v>127.0</v>
      </c>
      <c r="BD438" s="13" t="s">
        <v>5510</v>
      </c>
      <c r="BE438" s="13" t="s">
        <v>13506</v>
      </c>
      <c r="BF438" s="52" t="str">
        <f>HYPERLINK("http://dx.doi.org/10.1007/s13157-012-0357-x","http://dx.doi.org/10.1007/s13157-012-0357-x")</f>
        <v>http://dx.doi.org/10.1007/s13157-012-0357-x</v>
      </c>
      <c r="BG438" s="13" t="s">
        <v>5510</v>
      </c>
      <c r="BH438" s="13" t="s">
        <v>5510</v>
      </c>
      <c r="BI438" s="13">
        <v>11.0</v>
      </c>
      <c r="BJ438" s="13" t="s">
        <v>6026</v>
      </c>
      <c r="BK438" s="13" t="s">
        <v>5561</v>
      </c>
      <c r="BL438" s="13" t="s">
        <v>5535</v>
      </c>
      <c r="BM438" s="13" t="s">
        <v>13507</v>
      </c>
      <c r="BN438" s="13" t="s">
        <v>5510</v>
      </c>
      <c r="BO438" s="13" t="s">
        <v>5510</v>
      </c>
      <c r="BP438" s="13" t="s">
        <v>5510</v>
      </c>
      <c r="BQ438" s="13" t="s">
        <v>5510</v>
      </c>
      <c r="BR438" s="13" t="s">
        <v>5538</v>
      </c>
      <c r="BS438" s="13" t="s">
        <v>13508</v>
      </c>
      <c r="BT438" s="13">
        <v>24736.0</v>
      </c>
      <c r="BU438" s="13" t="s">
        <v>5540</v>
      </c>
      <c r="BV438" s="13" t="s">
        <v>4856</v>
      </c>
      <c r="BW438" s="13" t="str">
        <f>VLOOKUP($BT438,Enriched!$A$2:$E$1070,5,false)</f>
        <v>["Agriculture &amp; Aquaculture", "Transportation &amp; Service Corridors"]</v>
      </c>
      <c r="BX438" s="13" t="str">
        <f>VLOOKUP($BT438,Enriched!$A$2:$E$1070,4,false)</f>
        <v>["Housing &amp; urban area", "Wood &amp; pulp plantations", "Roads &amp; railroads"]</v>
      </c>
      <c r="BY438" s="13" t="b">
        <f>VLOOKUP(BT438,Enriched!$A$1:$AA$1070,27,falsE)</f>
        <v>1</v>
      </c>
      <c r="BZ438" s="2" t="str">
        <f>VLOOKUP(BT438,Enriched!$A$1:$AA$1070,14,falsE)</f>
        <v>level2</v>
      </c>
      <c r="CA438" s="13" t="str">
        <f>HYPERLINK("https%3A%2F%2Fwww.webofscience.com%2Fwos%2Fwoscc%2Ffull-record%2FWOS:000314728600009","View Full Record in Web of Science")</f>
        <v>View Full Record in Web of Science</v>
      </c>
    </row>
    <row r="439" ht="12.75" customHeight="1">
      <c r="A439" s="13" t="s">
        <v>5508</v>
      </c>
      <c r="B439" s="13" t="s">
        <v>13509</v>
      </c>
      <c r="C439" s="13" t="s">
        <v>5510</v>
      </c>
      <c r="D439" s="13" t="s">
        <v>5510</v>
      </c>
      <c r="E439" s="13" t="s">
        <v>5510</v>
      </c>
      <c r="F439" s="13" t="s">
        <v>13510</v>
      </c>
      <c r="G439" s="13" t="s">
        <v>5510</v>
      </c>
      <c r="H439" s="13" t="s">
        <v>5510</v>
      </c>
      <c r="I439" s="13" t="s">
        <v>1695</v>
      </c>
      <c r="J439" s="13" t="s">
        <v>13185</v>
      </c>
      <c r="K439" s="13" t="s">
        <v>5510</v>
      </c>
      <c r="L439" s="13" t="s">
        <v>5510</v>
      </c>
      <c r="M439" s="13" t="s">
        <v>5513</v>
      </c>
      <c r="N439" s="13" t="s">
        <v>5514</v>
      </c>
      <c r="O439" s="13" t="s">
        <v>5510</v>
      </c>
      <c r="P439" s="13" t="s">
        <v>5510</v>
      </c>
      <c r="Q439" s="13" t="s">
        <v>5510</v>
      </c>
      <c r="R439" s="13" t="s">
        <v>5510</v>
      </c>
      <c r="S439" s="13" t="s">
        <v>5510</v>
      </c>
      <c r="T439" s="13" t="s">
        <v>13511</v>
      </c>
      <c r="U439" s="13" t="s">
        <v>13512</v>
      </c>
      <c r="V439" s="13" t="s">
        <v>13513</v>
      </c>
      <c r="W439" s="13" t="s">
        <v>13514</v>
      </c>
      <c r="X439" s="13" t="s">
        <v>13515</v>
      </c>
      <c r="Y439" s="13" t="s">
        <v>13516</v>
      </c>
      <c r="Z439" s="13" t="s">
        <v>13517</v>
      </c>
      <c r="AA439" s="13" t="s">
        <v>13518</v>
      </c>
      <c r="AB439" s="13" t="s">
        <v>13519</v>
      </c>
      <c r="AC439" s="13" t="s">
        <v>5510</v>
      </c>
      <c r="AD439" s="13" t="s">
        <v>5510</v>
      </c>
      <c r="AE439" s="13" t="s">
        <v>5510</v>
      </c>
      <c r="AF439" s="13" t="s">
        <v>5510</v>
      </c>
      <c r="AG439" s="13">
        <v>31.0</v>
      </c>
      <c r="AH439" s="13">
        <v>173.0</v>
      </c>
      <c r="AI439" s="13">
        <v>206.0</v>
      </c>
      <c r="AJ439" s="13">
        <v>0.0</v>
      </c>
      <c r="AK439" s="13">
        <v>88.0</v>
      </c>
      <c r="AL439" s="13" t="s">
        <v>13198</v>
      </c>
      <c r="AM439" s="13" t="s">
        <v>6503</v>
      </c>
      <c r="AN439" s="13" t="s">
        <v>13199</v>
      </c>
      <c r="AO439" s="13" t="s">
        <v>13200</v>
      </c>
      <c r="AP439" s="13" t="s">
        <v>13201</v>
      </c>
      <c r="AQ439" s="13" t="s">
        <v>5510</v>
      </c>
      <c r="AR439" s="13" t="s">
        <v>13202</v>
      </c>
      <c r="AS439" s="13" t="s">
        <v>13203</v>
      </c>
      <c r="AT439" s="13" t="s">
        <v>10628</v>
      </c>
      <c r="AU439" s="13">
        <v>2008.0</v>
      </c>
      <c r="AV439" s="13">
        <v>112.0</v>
      </c>
      <c r="AW439" s="13">
        <v>5.0</v>
      </c>
      <c r="AX439" s="13" t="s">
        <v>5510</v>
      </c>
      <c r="AY439" s="13" t="s">
        <v>5510</v>
      </c>
      <c r="AZ439" s="13" t="s">
        <v>5510</v>
      </c>
      <c r="BA439" s="13" t="s">
        <v>5510</v>
      </c>
      <c r="BB439" s="13">
        <v>1942.0</v>
      </c>
      <c r="BC439" s="13">
        <v>1955.0</v>
      </c>
      <c r="BD439" s="13" t="s">
        <v>5510</v>
      </c>
      <c r="BE439" s="13" t="s">
        <v>13520</v>
      </c>
      <c r="BF439" s="52" t="str">
        <f>HYPERLINK("http://dx.doi.org/10.1016/j.rse.2007.11.016","http://dx.doi.org/10.1016/j.rse.2007.11.016")</f>
        <v>http://dx.doi.org/10.1016/j.rse.2007.11.016</v>
      </c>
      <c r="BG439" s="13" t="s">
        <v>5510</v>
      </c>
      <c r="BH439" s="13" t="s">
        <v>5510</v>
      </c>
      <c r="BI439" s="13">
        <v>14.0</v>
      </c>
      <c r="BJ439" s="13" t="s">
        <v>13206</v>
      </c>
      <c r="BK439" s="13" t="s">
        <v>5561</v>
      </c>
      <c r="BL439" s="13" t="s">
        <v>13207</v>
      </c>
      <c r="BM439" s="13" t="s">
        <v>13521</v>
      </c>
      <c r="BN439" s="13" t="s">
        <v>5510</v>
      </c>
      <c r="BO439" s="13" t="s">
        <v>5510</v>
      </c>
      <c r="BP439" s="13" t="s">
        <v>5510</v>
      </c>
      <c r="BQ439" s="13" t="s">
        <v>5510</v>
      </c>
      <c r="BR439" s="13" t="s">
        <v>5538</v>
      </c>
      <c r="BS439" s="13" t="s">
        <v>13522</v>
      </c>
      <c r="BT439" s="13">
        <v>23150.0</v>
      </c>
      <c r="BU439" s="13" t="s">
        <v>5540</v>
      </c>
      <c r="BV439" s="13" t="s">
        <v>4856</v>
      </c>
      <c r="BW439" s="13" t="str">
        <f>VLOOKUP($BT439,Enriched!$A$2:$E$1070,5,false)</f>
        <v>["Invasive &amp; other problematic species, genes &amp; diseases"]</v>
      </c>
      <c r="BX439" s="13" t="str">
        <f>VLOOKUP($BT439,Enriched!$A$2:$E$1070,4,false)</f>
        <v>["Invasive non-native/alien species/diseases"]</v>
      </c>
      <c r="BY439" s="13" t="b">
        <f>VLOOKUP(BT439,Enriched!$A$1:$AA$1070,27,falsE)</f>
        <v>0</v>
      </c>
      <c r="BZ439" s="2" t="str">
        <f>VLOOKUP(BT439,Enriched!$A$1:$AA$1070,14,falsE)</f>
        <v>level2</v>
      </c>
      <c r="CA439" s="13" t="str">
        <f>HYPERLINK("https%3A%2F%2Fwww.webofscience.com%2Fwos%2Fwoscc%2Ffull-record%2FWOS:000255370700004","View Full Record in Web of Science")</f>
        <v>View Full Record in Web of Science</v>
      </c>
    </row>
    <row r="440" ht="12.75" customHeight="1">
      <c r="A440" s="13" t="s">
        <v>5508</v>
      </c>
      <c r="B440" s="13" t="s">
        <v>13523</v>
      </c>
      <c r="C440" s="13" t="s">
        <v>5510</v>
      </c>
      <c r="D440" s="13" t="s">
        <v>5510</v>
      </c>
      <c r="E440" s="13" t="s">
        <v>5510</v>
      </c>
      <c r="F440" s="13" t="s">
        <v>13524</v>
      </c>
      <c r="G440" s="13" t="s">
        <v>5510</v>
      </c>
      <c r="H440" s="13" t="s">
        <v>5510</v>
      </c>
      <c r="I440" s="13" t="s">
        <v>1692</v>
      </c>
      <c r="J440" s="13" t="s">
        <v>13525</v>
      </c>
      <c r="K440" s="13" t="s">
        <v>5510</v>
      </c>
      <c r="L440" s="13" t="s">
        <v>5510</v>
      </c>
      <c r="M440" s="13" t="s">
        <v>5513</v>
      </c>
      <c r="N440" s="13" t="s">
        <v>5514</v>
      </c>
      <c r="O440" s="13" t="s">
        <v>5510</v>
      </c>
      <c r="P440" s="13" t="s">
        <v>5510</v>
      </c>
      <c r="Q440" s="13" t="s">
        <v>5510</v>
      </c>
      <c r="R440" s="13" t="s">
        <v>5510</v>
      </c>
      <c r="S440" s="13" t="s">
        <v>5510</v>
      </c>
      <c r="T440" s="13" t="s">
        <v>13526</v>
      </c>
      <c r="U440" s="13" t="s">
        <v>13527</v>
      </c>
      <c r="V440" s="13" t="s">
        <v>13528</v>
      </c>
      <c r="W440" s="13" t="s">
        <v>13529</v>
      </c>
      <c r="X440" s="13" t="s">
        <v>13530</v>
      </c>
      <c r="Y440" s="13" t="s">
        <v>13531</v>
      </c>
      <c r="Z440" s="13" t="s">
        <v>13532</v>
      </c>
      <c r="AA440" s="13" t="s">
        <v>13533</v>
      </c>
      <c r="AB440" s="13" t="s">
        <v>13534</v>
      </c>
      <c r="AC440" s="13" t="s">
        <v>13535</v>
      </c>
      <c r="AD440" s="13" t="s">
        <v>13536</v>
      </c>
      <c r="AE440" s="13" t="s">
        <v>13537</v>
      </c>
      <c r="AF440" s="13" t="s">
        <v>5510</v>
      </c>
      <c r="AG440" s="13">
        <v>135.0</v>
      </c>
      <c r="AH440" s="13">
        <v>15.0</v>
      </c>
      <c r="AI440" s="13">
        <v>18.0</v>
      </c>
      <c r="AJ440" s="13">
        <v>0.0</v>
      </c>
      <c r="AK440" s="13">
        <v>26.0</v>
      </c>
      <c r="AL440" s="13" t="s">
        <v>13538</v>
      </c>
      <c r="AM440" s="13" t="s">
        <v>13539</v>
      </c>
      <c r="AN440" s="13" t="s">
        <v>13540</v>
      </c>
      <c r="AO440" s="13" t="s">
        <v>13541</v>
      </c>
      <c r="AP440" s="13" t="s">
        <v>13542</v>
      </c>
      <c r="AQ440" s="13" t="s">
        <v>5510</v>
      </c>
      <c r="AR440" s="13" t="s">
        <v>13525</v>
      </c>
      <c r="AS440" s="13" t="s">
        <v>1693</v>
      </c>
      <c r="AT440" s="13" t="s">
        <v>9765</v>
      </c>
      <c r="AU440" s="13">
        <v>2017.0</v>
      </c>
      <c r="AV440" s="13">
        <v>41.0</v>
      </c>
      <c r="AW440" s="13">
        <v>2.0</v>
      </c>
      <c r="AX440" s="13" t="s">
        <v>5510</v>
      </c>
      <c r="AY440" s="13" t="s">
        <v>5510</v>
      </c>
      <c r="AZ440" s="13" t="s">
        <v>5510</v>
      </c>
      <c r="BA440" s="13" t="s">
        <v>5510</v>
      </c>
      <c r="BB440" s="13">
        <v>127.0</v>
      </c>
      <c r="BC440" s="13">
        <v>156.0</v>
      </c>
      <c r="BD440" s="13" t="s">
        <v>5510</v>
      </c>
      <c r="BE440" s="13" t="str">
        <f>#REF!</f>
        <v>#REF!</v>
      </c>
      <c r="BF440" s="13" t="s">
        <v>5510</v>
      </c>
      <c r="BG440" s="13" t="s">
        <v>5510</v>
      </c>
      <c r="BH440" s="13" t="s">
        <v>5510</v>
      </c>
      <c r="BI440" s="13">
        <v>30.0</v>
      </c>
      <c r="BJ440" s="13" t="s">
        <v>6899</v>
      </c>
      <c r="BK440" s="13" t="s">
        <v>5561</v>
      </c>
      <c r="BL440" s="13" t="s">
        <v>6899</v>
      </c>
      <c r="BM440" s="13" t="s">
        <v>13543</v>
      </c>
      <c r="BN440" s="13" t="s">
        <v>5510</v>
      </c>
      <c r="BO440" s="13" t="s">
        <v>5510</v>
      </c>
      <c r="BP440" s="13" t="s">
        <v>5510</v>
      </c>
      <c r="BQ440" s="13" t="s">
        <v>5510</v>
      </c>
      <c r="BR440" s="13" t="s">
        <v>5538</v>
      </c>
      <c r="BS440" s="13" t="s">
        <v>13544</v>
      </c>
      <c r="BT440" s="13">
        <v>24853.0</v>
      </c>
      <c r="BU440" s="13" t="s">
        <v>5540</v>
      </c>
      <c r="BV440" s="13" t="s">
        <v>4852</v>
      </c>
      <c r="BW440" s="13" t="str">
        <f>VLOOKUP($BT440,Enriched!$A$2:$E$1070,5,false)</f>
        <v>["Invasive &amp; other problematic species, genes &amp; diseases"]</v>
      </c>
      <c r="BX440" s="13" t="str">
        <f>VLOOKUP($BT440,Enriched!$A$2:$E$1070,4,false)</f>
        <v>["Invasive non-native/alien species/diseases"]</v>
      </c>
      <c r="BY440" s="13" t="b">
        <f>VLOOKUP(BT440,Enriched!$A$1:$AA$1070,27,falsE)</f>
        <v>0</v>
      </c>
      <c r="BZ440" s="2" t="str">
        <f>VLOOKUP(BT440,Enriched!$A$1:$AA$1070,14,falsE)</f>
        <v>level2</v>
      </c>
      <c r="CA440" s="13" t="str">
        <f>HYPERLINK("https%3A%2F%2Fwww.webofscience.com%2Fwos%2Fwoscc%2Ffull-record%2FWOS:000405064400006","View Full Record in Web of Science")</f>
        <v>View Full Record in Web of Science</v>
      </c>
    </row>
    <row r="441" ht="12.75" customHeight="1">
      <c r="A441" s="13" t="s">
        <v>5508</v>
      </c>
      <c r="B441" s="13" t="s">
        <v>13545</v>
      </c>
      <c r="C441" s="13" t="s">
        <v>5510</v>
      </c>
      <c r="D441" s="13" t="s">
        <v>5510</v>
      </c>
      <c r="E441" s="13" t="s">
        <v>5510</v>
      </c>
      <c r="F441" s="13" t="s">
        <v>13546</v>
      </c>
      <c r="G441" s="13" t="s">
        <v>5510</v>
      </c>
      <c r="H441" s="13" t="s">
        <v>5510</v>
      </c>
      <c r="I441" s="13" t="s">
        <v>1688</v>
      </c>
      <c r="J441" s="13" t="s">
        <v>13547</v>
      </c>
      <c r="K441" s="13" t="s">
        <v>5510</v>
      </c>
      <c r="L441" s="13" t="s">
        <v>5510</v>
      </c>
      <c r="M441" s="13" t="s">
        <v>5513</v>
      </c>
      <c r="N441" s="13" t="s">
        <v>5514</v>
      </c>
      <c r="O441" s="13" t="s">
        <v>5510</v>
      </c>
      <c r="P441" s="13" t="s">
        <v>5510</v>
      </c>
      <c r="Q441" s="13" t="s">
        <v>5510</v>
      </c>
      <c r="R441" s="13" t="s">
        <v>5510</v>
      </c>
      <c r="S441" s="13" t="s">
        <v>5510</v>
      </c>
      <c r="T441" s="13" t="s">
        <v>13548</v>
      </c>
      <c r="U441" s="13" t="s">
        <v>13549</v>
      </c>
      <c r="V441" s="13" t="s">
        <v>13550</v>
      </c>
      <c r="W441" s="13" t="s">
        <v>13551</v>
      </c>
      <c r="X441" s="13" t="s">
        <v>13552</v>
      </c>
      <c r="Y441" s="13" t="s">
        <v>13553</v>
      </c>
      <c r="Z441" s="13" t="s">
        <v>13554</v>
      </c>
      <c r="AA441" s="13" t="s">
        <v>5510</v>
      </c>
      <c r="AB441" s="13" t="s">
        <v>13555</v>
      </c>
      <c r="AC441" s="13" t="s">
        <v>5510</v>
      </c>
      <c r="AD441" s="13" t="s">
        <v>5510</v>
      </c>
      <c r="AE441" s="13" t="s">
        <v>5510</v>
      </c>
      <c r="AF441" s="13" t="s">
        <v>5510</v>
      </c>
      <c r="AG441" s="13">
        <v>77.0</v>
      </c>
      <c r="AH441" s="13">
        <v>33.0</v>
      </c>
      <c r="AI441" s="13">
        <v>41.0</v>
      </c>
      <c r="AJ441" s="13">
        <v>0.0</v>
      </c>
      <c r="AK441" s="13">
        <v>41.0</v>
      </c>
      <c r="AL441" s="13" t="s">
        <v>5690</v>
      </c>
      <c r="AM441" s="13" t="s">
        <v>5691</v>
      </c>
      <c r="AN441" s="13" t="s">
        <v>5692</v>
      </c>
      <c r="AO441" s="13" t="s">
        <v>13556</v>
      </c>
      <c r="AP441" s="13" t="s">
        <v>13557</v>
      </c>
      <c r="AQ441" s="13" t="s">
        <v>5510</v>
      </c>
      <c r="AR441" s="13" t="s">
        <v>13558</v>
      </c>
      <c r="AS441" s="13" t="s">
        <v>13559</v>
      </c>
      <c r="AT441" s="13" t="s">
        <v>2738</v>
      </c>
      <c r="AU441" s="13">
        <v>2018.0</v>
      </c>
      <c r="AV441" s="13">
        <v>19.0</v>
      </c>
      <c r="AW441" s="13">
        <v>1.0</v>
      </c>
      <c r="AX441" s="13" t="s">
        <v>5510</v>
      </c>
      <c r="AY441" s="13" t="s">
        <v>5510</v>
      </c>
      <c r="AZ441" s="13" t="s">
        <v>5510</v>
      </c>
      <c r="BA441" s="13" t="s">
        <v>5510</v>
      </c>
      <c r="BB441" s="13">
        <v>57.0</v>
      </c>
      <c r="BC441" s="13">
        <v>69.0</v>
      </c>
      <c r="BD441" s="13" t="s">
        <v>5510</v>
      </c>
      <c r="BE441" s="13" t="s">
        <v>13560</v>
      </c>
      <c r="BF441" s="52" t="str">
        <f>HYPERLINK("http://dx.doi.org/10.1007/s10592-017-1018-7","http://dx.doi.org/10.1007/s10592-017-1018-7")</f>
        <v>http://dx.doi.org/10.1007/s10592-017-1018-7</v>
      </c>
      <c r="BG441" s="13" t="s">
        <v>5510</v>
      </c>
      <c r="BH441" s="13" t="s">
        <v>5510</v>
      </c>
      <c r="BI441" s="13">
        <v>13.0</v>
      </c>
      <c r="BJ441" s="13" t="s">
        <v>13561</v>
      </c>
      <c r="BK441" s="13" t="s">
        <v>5561</v>
      </c>
      <c r="BL441" s="13" t="s">
        <v>13562</v>
      </c>
      <c r="BM441" s="13" t="s">
        <v>13563</v>
      </c>
      <c r="BN441" s="13" t="s">
        <v>5510</v>
      </c>
      <c r="BO441" s="13" t="s">
        <v>5510</v>
      </c>
      <c r="BP441" s="13" t="s">
        <v>5510</v>
      </c>
      <c r="BQ441" s="13" t="s">
        <v>5510</v>
      </c>
      <c r="BR441" s="13" t="s">
        <v>5538</v>
      </c>
      <c r="BS441" s="13" t="s">
        <v>13564</v>
      </c>
      <c r="BT441" s="13">
        <v>23207.0</v>
      </c>
      <c r="BU441" s="13" t="s">
        <v>5540</v>
      </c>
      <c r="BV441" s="13" t="s">
        <v>4852</v>
      </c>
      <c r="BW441" s="13" t="str">
        <f>VLOOKUP($BT441,Enriched!$A$2:$E$1070,5,false)</f>
        <v>["Invasive &amp; other problematic species, genes &amp; diseases"]</v>
      </c>
      <c r="BX441" s="13" t="str">
        <f>VLOOKUP($BT441,Enriched!$A$2:$E$1070,4,false)</f>
        <v>["Invasive non-native/alien species/diseases"]</v>
      </c>
      <c r="BY441" s="13" t="b">
        <f>VLOOKUP(BT441,Enriched!$A$1:$AA$1070,27,falsE)</f>
        <v>0</v>
      </c>
      <c r="BZ441" s="2" t="str">
        <f>VLOOKUP(BT441,Enriched!$A$1:$AA$1070,14,falsE)</f>
        <v>level2</v>
      </c>
      <c r="CA441" s="13" t="str">
        <f>HYPERLINK("https%3A%2F%2Fwww.webofscience.com%2Fwos%2Fwoscc%2Ffull-record%2FWOS:000422938300005","View Full Record in Web of Science")</f>
        <v>View Full Record in Web of Science</v>
      </c>
    </row>
    <row r="442" ht="12.75" customHeight="1">
      <c r="A442" s="13" t="s">
        <v>5508</v>
      </c>
      <c r="B442" s="13" t="s">
        <v>13565</v>
      </c>
      <c r="C442" s="13" t="s">
        <v>5510</v>
      </c>
      <c r="D442" s="13" t="s">
        <v>5510</v>
      </c>
      <c r="E442" s="13" t="s">
        <v>5510</v>
      </c>
      <c r="F442" s="13" t="s">
        <v>13566</v>
      </c>
      <c r="G442" s="13" t="s">
        <v>5510</v>
      </c>
      <c r="H442" s="13" t="s">
        <v>5510</v>
      </c>
      <c r="I442" s="13" t="s">
        <v>1678</v>
      </c>
      <c r="J442" s="13" t="s">
        <v>5746</v>
      </c>
      <c r="K442" s="13" t="s">
        <v>5510</v>
      </c>
      <c r="L442" s="13" t="s">
        <v>5510</v>
      </c>
      <c r="M442" s="13" t="s">
        <v>5513</v>
      </c>
      <c r="N442" s="13" t="s">
        <v>5514</v>
      </c>
      <c r="O442" s="13" t="s">
        <v>5510</v>
      </c>
      <c r="P442" s="13" t="s">
        <v>5510</v>
      </c>
      <c r="Q442" s="13" t="s">
        <v>5510</v>
      </c>
      <c r="R442" s="13" t="s">
        <v>5510</v>
      </c>
      <c r="S442" s="13" t="s">
        <v>5510</v>
      </c>
      <c r="T442" s="13" t="s">
        <v>13567</v>
      </c>
      <c r="U442" s="13" t="s">
        <v>13568</v>
      </c>
      <c r="V442" s="13" t="s">
        <v>13569</v>
      </c>
      <c r="W442" s="13" t="s">
        <v>13570</v>
      </c>
      <c r="X442" s="13" t="s">
        <v>13571</v>
      </c>
      <c r="Y442" s="13" t="s">
        <v>13572</v>
      </c>
      <c r="Z442" s="13" t="s">
        <v>13573</v>
      </c>
      <c r="AA442" s="13" t="s">
        <v>13574</v>
      </c>
      <c r="AB442" s="13" t="s">
        <v>13575</v>
      </c>
      <c r="AC442" s="13" t="s">
        <v>13576</v>
      </c>
      <c r="AD442" s="13" t="s">
        <v>13577</v>
      </c>
      <c r="AE442" s="13" t="s">
        <v>13578</v>
      </c>
      <c r="AF442" s="13" t="s">
        <v>5510</v>
      </c>
      <c r="AG442" s="13">
        <v>73.0</v>
      </c>
      <c r="AH442" s="13">
        <v>3.0</v>
      </c>
      <c r="AI442" s="13">
        <v>3.0</v>
      </c>
      <c r="AJ442" s="13">
        <v>1.0</v>
      </c>
      <c r="AK442" s="13">
        <v>47.0</v>
      </c>
      <c r="AL442" s="13" t="s">
        <v>5759</v>
      </c>
      <c r="AM442" s="13" t="s">
        <v>5760</v>
      </c>
      <c r="AN442" s="13" t="s">
        <v>5761</v>
      </c>
      <c r="AO442" s="13" t="s">
        <v>5762</v>
      </c>
      <c r="AP442" s="13" t="s">
        <v>5763</v>
      </c>
      <c r="AQ442" s="13" t="s">
        <v>5510</v>
      </c>
      <c r="AR442" s="13" t="s">
        <v>5764</v>
      </c>
      <c r="AS442" s="13" t="s">
        <v>5765</v>
      </c>
      <c r="AT442" s="13" t="s">
        <v>7093</v>
      </c>
      <c r="AU442" s="13">
        <v>2018.0</v>
      </c>
      <c r="AV442" s="13">
        <v>642.0</v>
      </c>
      <c r="AW442" s="13" t="s">
        <v>5510</v>
      </c>
      <c r="AX442" s="13" t="s">
        <v>5510</v>
      </c>
      <c r="AY442" s="13" t="s">
        <v>5510</v>
      </c>
      <c r="AZ442" s="13" t="s">
        <v>5510</v>
      </c>
      <c r="BA442" s="13" t="s">
        <v>5510</v>
      </c>
      <c r="BB442" s="13">
        <v>679.0</v>
      </c>
      <c r="BC442" s="13">
        <v>689.0</v>
      </c>
      <c r="BD442" s="13" t="s">
        <v>5510</v>
      </c>
      <c r="BE442" s="13" t="s">
        <v>13579</v>
      </c>
      <c r="BF442" s="52" t="str">
        <f>HYPERLINK("http://dx.doi.org/10.1016/j.scitotenv.2018.05.390","http://dx.doi.org/10.1016/j.scitotenv.2018.05.390")</f>
        <v>http://dx.doi.org/10.1016/j.scitotenv.2018.05.390</v>
      </c>
      <c r="BG442" s="13" t="s">
        <v>5510</v>
      </c>
      <c r="BH442" s="13" t="s">
        <v>5510</v>
      </c>
      <c r="BI442" s="13">
        <v>11.0</v>
      </c>
      <c r="BJ442" s="13" t="s">
        <v>5768</v>
      </c>
      <c r="BK442" s="13" t="s">
        <v>5561</v>
      </c>
      <c r="BL442" s="13" t="s">
        <v>5535</v>
      </c>
      <c r="BM442" s="13" t="s">
        <v>13580</v>
      </c>
      <c r="BN442" s="13">
        <v>2.9909336E7</v>
      </c>
      <c r="BO442" s="13" t="s">
        <v>5510</v>
      </c>
      <c r="BP442" s="13" t="s">
        <v>5510</v>
      </c>
      <c r="BQ442" s="13" t="s">
        <v>5510</v>
      </c>
      <c r="BR442" s="13" t="s">
        <v>5538</v>
      </c>
      <c r="BS442" s="13" t="s">
        <v>13581</v>
      </c>
      <c r="BT442" s="13">
        <v>24205.0</v>
      </c>
      <c r="BU442" s="13" t="s">
        <v>5540</v>
      </c>
      <c r="BV442" s="13" t="s">
        <v>4856</v>
      </c>
      <c r="BW442" s="13" t="str">
        <f>VLOOKUP($BT442,Enriched!$A$2:$E$1070,5,false)</f>
        <v>["Pollution"]</v>
      </c>
      <c r="BX442" s="13" t="str">
        <f>VLOOKUP($BT442,Enriched!$A$2:$E$1070,4,false)</f>
        <v>["Industrial &amp; military effluents"]</v>
      </c>
      <c r="BY442" s="13" t="b">
        <f>VLOOKUP(BT442,Enriched!$A$1:$AA$1070,27,falsE)</f>
        <v>0</v>
      </c>
      <c r="BZ442" s="2" t="str">
        <f>VLOOKUP(BT442,Enriched!$A$1:$AA$1070,14,falsE)</f>
        <v>level2</v>
      </c>
      <c r="CA442" s="13" t="str">
        <f>HYPERLINK("https%3A%2F%2Fwww.webofscience.com%2Fwos%2Fwoscc%2Ffull-record%2FWOS:000439405600068","View Full Record in Web of Science")</f>
        <v>View Full Record in Web of Science</v>
      </c>
    </row>
    <row r="443" ht="12.75" customHeight="1">
      <c r="A443" s="13" t="s">
        <v>5508</v>
      </c>
      <c r="B443" s="13" t="s">
        <v>13582</v>
      </c>
      <c r="C443" s="13" t="s">
        <v>5510</v>
      </c>
      <c r="D443" s="13" t="s">
        <v>5510</v>
      </c>
      <c r="E443" s="13" t="s">
        <v>5510</v>
      </c>
      <c r="F443" s="13" t="s">
        <v>13583</v>
      </c>
      <c r="G443" s="13" t="s">
        <v>5510</v>
      </c>
      <c r="H443" s="13" t="s">
        <v>5510</v>
      </c>
      <c r="I443" s="13" t="s">
        <v>1676</v>
      </c>
      <c r="J443" s="13" t="s">
        <v>5512</v>
      </c>
      <c r="K443" s="13" t="s">
        <v>5510</v>
      </c>
      <c r="L443" s="13" t="s">
        <v>5510</v>
      </c>
      <c r="M443" s="13" t="s">
        <v>5513</v>
      </c>
      <c r="N443" s="13" t="s">
        <v>5514</v>
      </c>
      <c r="O443" s="13" t="s">
        <v>5510</v>
      </c>
      <c r="P443" s="13" t="s">
        <v>5510</v>
      </c>
      <c r="Q443" s="13" t="s">
        <v>5510</v>
      </c>
      <c r="R443" s="13" t="s">
        <v>5510</v>
      </c>
      <c r="S443" s="13" t="s">
        <v>5510</v>
      </c>
      <c r="T443" s="13" t="s">
        <v>13584</v>
      </c>
      <c r="U443" s="13" t="s">
        <v>13585</v>
      </c>
      <c r="V443" s="13" t="s">
        <v>13586</v>
      </c>
      <c r="W443" s="13" t="s">
        <v>13587</v>
      </c>
      <c r="X443" s="13" t="s">
        <v>13588</v>
      </c>
      <c r="Y443" s="13" t="s">
        <v>13589</v>
      </c>
      <c r="Z443" s="13" t="s">
        <v>13590</v>
      </c>
      <c r="AA443" s="13" t="s">
        <v>13591</v>
      </c>
      <c r="AB443" s="13" t="s">
        <v>5510</v>
      </c>
      <c r="AC443" s="13" t="s">
        <v>13592</v>
      </c>
      <c r="AD443" s="13" t="s">
        <v>13592</v>
      </c>
      <c r="AE443" s="13" t="s">
        <v>13593</v>
      </c>
      <c r="AF443" s="13" t="s">
        <v>5510</v>
      </c>
      <c r="AG443" s="13">
        <v>75.0</v>
      </c>
      <c r="AH443" s="13">
        <v>73.0</v>
      </c>
      <c r="AI443" s="13">
        <v>98.0</v>
      </c>
      <c r="AJ443" s="13">
        <v>0.0</v>
      </c>
      <c r="AK443" s="13">
        <v>65.0</v>
      </c>
      <c r="AL443" s="13" t="s">
        <v>5527</v>
      </c>
      <c r="AM443" s="13" t="s">
        <v>5528</v>
      </c>
      <c r="AN443" s="13" t="s">
        <v>5529</v>
      </c>
      <c r="AO443" s="13" t="s">
        <v>5530</v>
      </c>
      <c r="AP443" s="13" t="s">
        <v>5510</v>
      </c>
      <c r="AQ443" s="13" t="s">
        <v>5510</v>
      </c>
      <c r="AR443" s="13" t="s">
        <v>5512</v>
      </c>
      <c r="AS443" s="13" t="s">
        <v>53</v>
      </c>
      <c r="AT443" s="13" t="s">
        <v>5667</v>
      </c>
      <c r="AU443" s="13">
        <v>2010.0</v>
      </c>
      <c r="AV443" s="13">
        <v>1.0</v>
      </c>
      <c r="AW443" s="13">
        <v>1.0</v>
      </c>
      <c r="AX443" s="13" t="s">
        <v>5510</v>
      </c>
      <c r="AY443" s="13" t="s">
        <v>5510</v>
      </c>
      <c r="AZ443" s="13" t="s">
        <v>5510</v>
      </c>
      <c r="BA443" s="13" t="s">
        <v>5510</v>
      </c>
      <c r="BB443" s="13" t="s">
        <v>5510</v>
      </c>
      <c r="BC443" s="13" t="s">
        <v>5510</v>
      </c>
      <c r="BD443" s="13">
        <v>4.0</v>
      </c>
      <c r="BE443" s="13" t="s">
        <v>13594</v>
      </c>
      <c r="BF443" s="52" t="str">
        <f>HYPERLINK("http://dx.doi.org/10.1890/ES10-00005.1","http://dx.doi.org/10.1890/ES10-00005.1")</f>
        <v>http://dx.doi.org/10.1890/ES10-00005.1</v>
      </c>
      <c r="BG443" s="13" t="s">
        <v>5510</v>
      </c>
      <c r="BH443" s="13" t="s">
        <v>5510</v>
      </c>
      <c r="BI443" s="13">
        <v>21.0</v>
      </c>
      <c r="BJ443" s="13" t="s">
        <v>5533</v>
      </c>
      <c r="BK443" s="13" t="s">
        <v>5561</v>
      </c>
      <c r="BL443" s="13" t="s">
        <v>5535</v>
      </c>
      <c r="BM443" s="13" t="s">
        <v>13595</v>
      </c>
      <c r="BN443" s="13" t="s">
        <v>5510</v>
      </c>
      <c r="BO443" s="13" t="s">
        <v>5537</v>
      </c>
      <c r="BP443" s="13" t="s">
        <v>5510</v>
      </c>
      <c r="BQ443" s="13" t="s">
        <v>5510</v>
      </c>
      <c r="BR443" s="13" t="s">
        <v>5538</v>
      </c>
      <c r="BS443" s="13" t="s">
        <v>13596</v>
      </c>
      <c r="BT443" s="13">
        <v>23405.0</v>
      </c>
      <c r="BU443" s="13" t="s">
        <v>5540</v>
      </c>
      <c r="BV443" s="13" t="s">
        <v>4856</v>
      </c>
      <c r="BW443" s="13" t="str">
        <f>VLOOKUP($BT443,Enriched!$A$2:$E$1070,5,false)</f>
        <v>["Transportation &amp; Service Corridors", "Residential &amp; commercial development"]</v>
      </c>
      <c r="BX443" s="13" t="str">
        <f>VLOOKUP($BT443,Enriched!$A$2:$E$1070,4,false)</f>
        <v>["Housing &amp; urban area", "Roads &amp; railroads"]</v>
      </c>
      <c r="BY443" s="13" t="b">
        <f>VLOOKUP(BT443,Enriched!$A$1:$AA$1070,27,falsE)</f>
        <v>1</v>
      </c>
      <c r="BZ443" s="2" t="str">
        <f>VLOOKUP(BT443,Enriched!$A$1:$AA$1070,14,falsE)</f>
        <v>level2</v>
      </c>
      <c r="CA443" s="13" t="str">
        <f>HYPERLINK("https%3A%2F%2Fwww.webofscience.com%2Fwos%2Fwoscc%2Ffull-record%2FWOS:000208809800004","View Full Record in Web of Science")</f>
        <v>View Full Record in Web of Science</v>
      </c>
    </row>
    <row r="444" ht="12.75" customHeight="1">
      <c r="A444" s="13" t="s">
        <v>5508</v>
      </c>
      <c r="B444" s="13" t="s">
        <v>13597</v>
      </c>
      <c r="C444" s="13" t="s">
        <v>5510</v>
      </c>
      <c r="D444" s="13" t="s">
        <v>5510</v>
      </c>
      <c r="E444" s="13" t="s">
        <v>5510</v>
      </c>
      <c r="F444" s="13" t="s">
        <v>13598</v>
      </c>
      <c r="G444" s="13" t="s">
        <v>5510</v>
      </c>
      <c r="H444" s="13" t="s">
        <v>5510</v>
      </c>
      <c r="I444" s="13" t="s">
        <v>1673</v>
      </c>
      <c r="J444" s="13" t="s">
        <v>12655</v>
      </c>
      <c r="K444" s="13" t="s">
        <v>5510</v>
      </c>
      <c r="L444" s="13" t="s">
        <v>5510</v>
      </c>
      <c r="M444" s="13" t="s">
        <v>5513</v>
      </c>
      <c r="N444" s="13" t="s">
        <v>5514</v>
      </c>
      <c r="O444" s="13" t="s">
        <v>5510</v>
      </c>
      <c r="P444" s="13" t="s">
        <v>5510</v>
      </c>
      <c r="Q444" s="13" t="s">
        <v>5510</v>
      </c>
      <c r="R444" s="13" t="s">
        <v>5510</v>
      </c>
      <c r="S444" s="13" t="s">
        <v>5510</v>
      </c>
      <c r="T444" s="13" t="s">
        <v>13599</v>
      </c>
      <c r="U444" s="13" t="s">
        <v>13600</v>
      </c>
      <c r="V444" s="13" t="s">
        <v>13601</v>
      </c>
      <c r="W444" s="13" t="s">
        <v>13602</v>
      </c>
      <c r="X444" s="13" t="s">
        <v>13603</v>
      </c>
      <c r="Y444" s="13" t="s">
        <v>13604</v>
      </c>
      <c r="Z444" s="13" t="s">
        <v>13605</v>
      </c>
      <c r="AA444" s="13" t="s">
        <v>13606</v>
      </c>
      <c r="AB444" s="13" t="s">
        <v>13607</v>
      </c>
      <c r="AC444" s="13" t="s">
        <v>13608</v>
      </c>
      <c r="AD444" s="13" t="s">
        <v>13608</v>
      </c>
      <c r="AE444" s="13" t="s">
        <v>13609</v>
      </c>
      <c r="AF444" s="13" t="s">
        <v>5510</v>
      </c>
      <c r="AG444" s="13">
        <v>60.0</v>
      </c>
      <c r="AH444" s="13">
        <v>19.0</v>
      </c>
      <c r="AI444" s="13">
        <v>23.0</v>
      </c>
      <c r="AJ444" s="13">
        <v>4.0</v>
      </c>
      <c r="AK444" s="13">
        <v>55.0</v>
      </c>
      <c r="AL444" s="13" t="s">
        <v>5759</v>
      </c>
      <c r="AM444" s="13" t="s">
        <v>5760</v>
      </c>
      <c r="AN444" s="13" t="s">
        <v>5761</v>
      </c>
      <c r="AO444" s="13" t="s">
        <v>12668</v>
      </c>
      <c r="AP444" s="13" t="s">
        <v>5510</v>
      </c>
      <c r="AQ444" s="13" t="s">
        <v>5510</v>
      </c>
      <c r="AR444" s="13" t="s">
        <v>12669</v>
      </c>
      <c r="AS444" s="13" t="s">
        <v>12670</v>
      </c>
      <c r="AT444" s="13" t="s">
        <v>2514</v>
      </c>
      <c r="AU444" s="13">
        <v>2020.0</v>
      </c>
      <c r="AV444" s="13">
        <v>45.0</v>
      </c>
      <c r="AW444" s="13" t="s">
        <v>5510</v>
      </c>
      <c r="AX444" s="13" t="s">
        <v>5510</v>
      </c>
      <c r="AY444" s="13" t="s">
        <v>5510</v>
      </c>
      <c r="AZ444" s="13" t="s">
        <v>5510</v>
      </c>
      <c r="BA444" s="13" t="s">
        <v>5510</v>
      </c>
      <c r="BB444" s="13" t="s">
        <v>5510</v>
      </c>
      <c r="BC444" s="13" t="s">
        <v>5510</v>
      </c>
      <c r="BD444" s="13">
        <v>101155.0</v>
      </c>
      <c r="BE444" s="13" t="s">
        <v>13610</v>
      </c>
      <c r="BF444" s="52" t="str">
        <f>HYPERLINK("http://dx.doi.org/10.1016/j.ecoser.2020.101155","http://dx.doi.org/10.1016/j.ecoser.2020.101155")</f>
        <v>http://dx.doi.org/10.1016/j.ecoser.2020.101155</v>
      </c>
      <c r="BG444" s="13" t="s">
        <v>5510</v>
      </c>
      <c r="BH444" s="13" t="s">
        <v>5510</v>
      </c>
      <c r="BI444" s="13">
        <v>10.0</v>
      </c>
      <c r="BJ444" s="13" t="s">
        <v>12672</v>
      </c>
      <c r="BK444" s="13" t="s">
        <v>5534</v>
      </c>
      <c r="BL444" s="13" t="s">
        <v>5535</v>
      </c>
      <c r="BM444" s="13" t="s">
        <v>13611</v>
      </c>
      <c r="BN444" s="13" t="s">
        <v>5510</v>
      </c>
      <c r="BO444" s="13" t="s">
        <v>10209</v>
      </c>
      <c r="BP444" s="13" t="s">
        <v>5510</v>
      </c>
      <c r="BQ444" s="13" t="s">
        <v>5510</v>
      </c>
      <c r="BR444" s="13" t="s">
        <v>5538</v>
      </c>
      <c r="BS444" s="13" t="s">
        <v>13612</v>
      </c>
      <c r="BT444" s="13">
        <v>24481.0</v>
      </c>
      <c r="BU444" s="13" t="s">
        <v>5540</v>
      </c>
      <c r="BV444" s="13" t="s">
        <v>4856</v>
      </c>
      <c r="BW444" s="13" t="str">
        <f>VLOOKUP($BT444,Enriched!$A$2:$E$1070,5,false)</f>
        <v>["Human Intrusions &amp; Disturbance", "Residential &amp; Commercial Development"]</v>
      </c>
      <c r="BX444" s="13" t="str">
        <f>VLOOKUP($BT444,Enriched!$A$2:$E$1070,4,false)</f>
        <v>["Recreational activities", "Tourism &amp; recreation areas"]</v>
      </c>
      <c r="BY444" s="13" t="b">
        <f>VLOOKUP(BT444,Enriched!$A$1:$AA$1070,27,falsE)</f>
        <v>0</v>
      </c>
      <c r="BZ444" s="2" t="str">
        <f>VLOOKUP(BT444,Enriched!$A$1:$AA$1070,14,falsE)</f>
        <v>level2</v>
      </c>
      <c r="CA444" s="13" t="str">
        <f>HYPERLINK("https%3A%2F%2Fwww.webofscience.com%2Fwos%2Fwoscc%2Ffull-record%2FWOS:000582464800008","View Full Record in Web of Science")</f>
        <v>View Full Record in Web of Science</v>
      </c>
    </row>
    <row r="445" ht="12.75" customHeight="1">
      <c r="A445" s="13" t="s">
        <v>5508</v>
      </c>
      <c r="B445" s="13" t="s">
        <v>13613</v>
      </c>
      <c r="C445" s="13" t="s">
        <v>5510</v>
      </c>
      <c r="D445" s="13" t="s">
        <v>5510</v>
      </c>
      <c r="E445" s="13" t="s">
        <v>5510</v>
      </c>
      <c r="F445" s="13" t="s">
        <v>13614</v>
      </c>
      <c r="G445" s="13" t="s">
        <v>5510</v>
      </c>
      <c r="H445" s="13" t="s">
        <v>5510</v>
      </c>
      <c r="I445" s="13" t="s">
        <v>1670</v>
      </c>
      <c r="J445" s="13" t="s">
        <v>6627</v>
      </c>
      <c r="K445" s="13" t="s">
        <v>5510</v>
      </c>
      <c r="L445" s="13" t="s">
        <v>5510</v>
      </c>
      <c r="M445" s="13" t="s">
        <v>5513</v>
      </c>
      <c r="N445" s="13" t="s">
        <v>5514</v>
      </c>
      <c r="O445" s="13" t="s">
        <v>5510</v>
      </c>
      <c r="P445" s="13" t="s">
        <v>5510</v>
      </c>
      <c r="Q445" s="13" t="s">
        <v>5510</v>
      </c>
      <c r="R445" s="13" t="s">
        <v>5510</v>
      </c>
      <c r="S445" s="13" t="s">
        <v>5510</v>
      </c>
      <c r="T445" s="13" t="s">
        <v>13615</v>
      </c>
      <c r="U445" s="13" t="s">
        <v>13616</v>
      </c>
      <c r="V445" s="13" t="s">
        <v>13617</v>
      </c>
      <c r="W445" s="13" t="s">
        <v>13618</v>
      </c>
      <c r="X445" s="13" t="s">
        <v>13619</v>
      </c>
      <c r="Y445" s="13" t="s">
        <v>13620</v>
      </c>
      <c r="Z445" s="13" t="s">
        <v>13621</v>
      </c>
      <c r="AA445" s="13" t="s">
        <v>13622</v>
      </c>
      <c r="AB445" s="13" t="s">
        <v>13623</v>
      </c>
      <c r="AC445" s="13" t="s">
        <v>13624</v>
      </c>
      <c r="AD445" s="13" t="s">
        <v>13625</v>
      </c>
      <c r="AE445" s="13" t="s">
        <v>13626</v>
      </c>
      <c r="AF445" s="13" t="s">
        <v>5510</v>
      </c>
      <c r="AG445" s="13">
        <v>46.0</v>
      </c>
      <c r="AH445" s="13">
        <v>114.0</v>
      </c>
      <c r="AI445" s="13">
        <v>120.0</v>
      </c>
      <c r="AJ445" s="13">
        <v>2.0</v>
      </c>
      <c r="AK445" s="13">
        <v>169.0</v>
      </c>
      <c r="AL445" s="13" t="s">
        <v>5527</v>
      </c>
      <c r="AM445" s="13" t="s">
        <v>5528</v>
      </c>
      <c r="AN445" s="13" t="s">
        <v>5529</v>
      </c>
      <c r="AO445" s="13" t="s">
        <v>6640</v>
      </c>
      <c r="AP445" s="13" t="s">
        <v>6641</v>
      </c>
      <c r="AQ445" s="13" t="s">
        <v>5510</v>
      </c>
      <c r="AR445" s="13" t="s">
        <v>6642</v>
      </c>
      <c r="AS445" s="13" t="s">
        <v>6643</v>
      </c>
      <c r="AT445" s="13" t="s">
        <v>5866</v>
      </c>
      <c r="AU445" s="13">
        <v>2014.0</v>
      </c>
      <c r="AV445" s="13">
        <v>20.0</v>
      </c>
      <c r="AW445" s="13">
        <v>5.0</v>
      </c>
      <c r="AX445" s="13" t="s">
        <v>5510</v>
      </c>
      <c r="AY445" s="13" t="s">
        <v>5510</v>
      </c>
      <c r="AZ445" s="13" t="s">
        <v>5510</v>
      </c>
      <c r="BA445" s="13" t="s">
        <v>5510</v>
      </c>
      <c r="BB445" s="13">
        <v>538.0</v>
      </c>
      <c r="BC445" s="13">
        <v>546.0</v>
      </c>
      <c r="BD445" s="13" t="s">
        <v>5510</v>
      </c>
      <c r="BE445" s="13" t="s">
        <v>13627</v>
      </c>
      <c r="BF445" s="52" t="str">
        <f>HYPERLINK("http://dx.doi.org/10.1111/ddi.12159","http://dx.doi.org/10.1111/ddi.12159")</f>
        <v>http://dx.doi.org/10.1111/ddi.12159</v>
      </c>
      <c r="BG445" s="13" t="s">
        <v>5510</v>
      </c>
      <c r="BH445" s="13" t="s">
        <v>5510</v>
      </c>
      <c r="BI445" s="13">
        <v>9.0</v>
      </c>
      <c r="BJ445" s="13" t="s">
        <v>5958</v>
      </c>
      <c r="BK445" s="13" t="s">
        <v>5561</v>
      </c>
      <c r="BL445" s="13" t="s">
        <v>5699</v>
      </c>
      <c r="BM445" s="13" t="s">
        <v>9116</v>
      </c>
      <c r="BN445" s="13" t="s">
        <v>5510</v>
      </c>
      <c r="BO445" s="13" t="s">
        <v>6586</v>
      </c>
      <c r="BP445" s="13" t="s">
        <v>5510</v>
      </c>
      <c r="BQ445" s="13" t="s">
        <v>5510</v>
      </c>
      <c r="BR445" s="13" t="s">
        <v>5538</v>
      </c>
      <c r="BS445" s="13" t="s">
        <v>13628</v>
      </c>
      <c r="BT445" s="13">
        <v>23383.0</v>
      </c>
      <c r="BU445" s="13" t="s">
        <v>5540</v>
      </c>
      <c r="BV445" s="13" t="s">
        <v>4864</v>
      </c>
      <c r="BW445" s="13" t="str">
        <f>VLOOKUP($BT445,Enriched!$A$2:$E$1070,5,false)</f>
        <v>["Climate Change &amp; Severe Weather", "Pollution"]</v>
      </c>
      <c r="BX445" s="13" t="str">
        <f>VLOOKUP($BT445,Enriched!$A$2:$E$1070,4,false)</f>
        <v>["Temperature extremes"]</v>
      </c>
      <c r="BY445" s="13" t="b">
        <f>VLOOKUP(BT445,Enriched!$A$1:$AA$1070,27,falsE)</f>
        <v>1</v>
      </c>
      <c r="BZ445" s="2" t="str">
        <f>VLOOKUP(BT445,Enriched!$A$1:$AA$1070,14,falsE)</f>
        <v>level2</v>
      </c>
      <c r="CA445" s="13" t="str">
        <f>HYPERLINK("https%3A%2F%2Fwww.webofscience.com%2Fwos%2Fwoscc%2Ffull-record%2FWOS:000333926300005","View Full Record in Web of Science")</f>
        <v>View Full Record in Web of Science</v>
      </c>
    </row>
    <row r="446" ht="12.75" customHeight="1">
      <c r="A446" s="13" t="s">
        <v>5508</v>
      </c>
      <c r="B446" s="13" t="s">
        <v>13629</v>
      </c>
      <c r="C446" s="13" t="s">
        <v>5510</v>
      </c>
      <c r="D446" s="13" t="s">
        <v>5510</v>
      </c>
      <c r="E446" s="13" t="s">
        <v>5510</v>
      </c>
      <c r="F446" s="13" t="s">
        <v>13630</v>
      </c>
      <c r="G446" s="13" t="s">
        <v>5510</v>
      </c>
      <c r="H446" s="13" t="s">
        <v>5510</v>
      </c>
      <c r="I446" s="13" t="s">
        <v>1667</v>
      </c>
      <c r="J446" s="13" t="s">
        <v>6114</v>
      </c>
      <c r="K446" s="13" t="s">
        <v>5510</v>
      </c>
      <c r="L446" s="13" t="s">
        <v>5510</v>
      </c>
      <c r="M446" s="13" t="s">
        <v>5513</v>
      </c>
      <c r="N446" s="13" t="s">
        <v>5514</v>
      </c>
      <c r="O446" s="13" t="s">
        <v>5510</v>
      </c>
      <c r="P446" s="13" t="s">
        <v>5510</v>
      </c>
      <c r="Q446" s="13" t="s">
        <v>5510</v>
      </c>
      <c r="R446" s="13" t="s">
        <v>5510</v>
      </c>
      <c r="S446" s="13" t="s">
        <v>5510</v>
      </c>
      <c r="T446" s="13" t="s">
        <v>13631</v>
      </c>
      <c r="U446" s="13" t="s">
        <v>13632</v>
      </c>
      <c r="V446" s="13" t="s">
        <v>13633</v>
      </c>
      <c r="W446" s="13" t="s">
        <v>13634</v>
      </c>
      <c r="X446" s="13" t="s">
        <v>13635</v>
      </c>
      <c r="Y446" s="13" t="s">
        <v>13636</v>
      </c>
      <c r="Z446" s="13" t="s">
        <v>13637</v>
      </c>
      <c r="AA446" s="13" t="s">
        <v>13638</v>
      </c>
      <c r="AB446" s="13" t="s">
        <v>13639</v>
      </c>
      <c r="AC446" s="13" t="s">
        <v>13640</v>
      </c>
      <c r="AD446" s="13" t="s">
        <v>13641</v>
      </c>
      <c r="AE446" s="13" t="s">
        <v>13642</v>
      </c>
      <c r="AF446" s="13" t="s">
        <v>5510</v>
      </c>
      <c r="AG446" s="13">
        <v>80.0</v>
      </c>
      <c r="AH446" s="13">
        <v>26.0</v>
      </c>
      <c r="AI446" s="13">
        <v>28.0</v>
      </c>
      <c r="AJ446" s="13">
        <v>0.0</v>
      </c>
      <c r="AK446" s="13">
        <v>27.0</v>
      </c>
      <c r="AL446" s="13" t="s">
        <v>5931</v>
      </c>
      <c r="AM446" s="13" t="s">
        <v>7486</v>
      </c>
      <c r="AN446" s="13" t="s">
        <v>7487</v>
      </c>
      <c r="AO446" s="13" t="s">
        <v>6127</v>
      </c>
      <c r="AP446" s="13" t="s">
        <v>6128</v>
      </c>
      <c r="AQ446" s="13" t="s">
        <v>5510</v>
      </c>
      <c r="AR446" s="13" t="s">
        <v>6129</v>
      </c>
      <c r="AS446" s="13" t="s">
        <v>6130</v>
      </c>
      <c r="AT446" s="13" t="s">
        <v>13643</v>
      </c>
      <c r="AU446" s="13">
        <v>2018.0</v>
      </c>
      <c r="AV446" s="13">
        <v>165.0</v>
      </c>
      <c r="AW446" s="13" t="s">
        <v>5510</v>
      </c>
      <c r="AX446" s="13" t="s">
        <v>5510</v>
      </c>
      <c r="AY446" s="13" t="s">
        <v>5510</v>
      </c>
      <c r="AZ446" s="13" t="s">
        <v>5510</v>
      </c>
      <c r="BA446" s="13" t="s">
        <v>5510</v>
      </c>
      <c r="BB446" s="13">
        <v>117.0</v>
      </c>
      <c r="BC446" s="13">
        <v>125.0</v>
      </c>
      <c r="BD446" s="13" t="s">
        <v>5510</v>
      </c>
      <c r="BE446" s="13" t="s">
        <v>13644</v>
      </c>
      <c r="BF446" s="52" t="str">
        <f>HYPERLINK("http://dx.doi.org/10.1016/j.ocecoaman.2018.08.001","http://dx.doi.org/10.1016/j.ocecoaman.2018.08.001")</f>
        <v>http://dx.doi.org/10.1016/j.ocecoaman.2018.08.001</v>
      </c>
      <c r="BG446" s="13" t="s">
        <v>5510</v>
      </c>
      <c r="BH446" s="13" t="s">
        <v>5510</v>
      </c>
      <c r="BI446" s="13">
        <v>9.0</v>
      </c>
      <c r="BJ446" s="13" t="s">
        <v>6133</v>
      </c>
      <c r="BK446" s="13" t="s">
        <v>5561</v>
      </c>
      <c r="BL446" s="13" t="s">
        <v>6133</v>
      </c>
      <c r="BM446" s="13" t="s">
        <v>13645</v>
      </c>
      <c r="BN446" s="13" t="s">
        <v>5510</v>
      </c>
      <c r="BO446" s="13" t="s">
        <v>5510</v>
      </c>
      <c r="BP446" s="13" t="s">
        <v>5510</v>
      </c>
      <c r="BQ446" s="13" t="s">
        <v>5510</v>
      </c>
      <c r="BR446" s="13" t="s">
        <v>5538</v>
      </c>
      <c r="BS446" s="13" t="s">
        <v>13646</v>
      </c>
      <c r="BT446" s="13">
        <v>25336.0</v>
      </c>
      <c r="BU446" s="13" t="s">
        <v>5540</v>
      </c>
      <c r="BV446" s="13" t="s">
        <v>4864</v>
      </c>
      <c r="BW446" s="13" t="str">
        <f>VLOOKUP($BT446,Enriched!$A$2:$E$1070,5,false)</f>
        <v>["Biological Resource Use", "Residential &amp; Commercial Development"]</v>
      </c>
      <c r="BX446" s="13" t="str">
        <f>VLOOKUP($BT446,Enriched!$A$2:$E$1070,4,false)</f>
        <v>["Fishing &amp; harvesting aquatic resources", "Commercial &amp; industrial areas"]</v>
      </c>
      <c r="BY446" s="13" t="b">
        <f>VLOOKUP(BT446,Enriched!$A$1:$AA$1070,27,falsE)</f>
        <v>0</v>
      </c>
      <c r="BZ446" s="2" t="str">
        <f>VLOOKUP(BT446,Enriched!$A$1:$AA$1070,14,falsE)</f>
        <v>level2</v>
      </c>
      <c r="CA446" s="13" t="str">
        <f>HYPERLINK("https%3A%2F%2Fwww.webofscience.com%2Fwos%2Fwoscc%2Ffull-record%2FWOS:000449894500012","View Full Record in Web of Science")</f>
        <v>View Full Record in Web of Science</v>
      </c>
    </row>
    <row r="447" ht="12.75" customHeight="1">
      <c r="A447" s="13" t="s">
        <v>5508</v>
      </c>
      <c r="B447" s="13" t="s">
        <v>13647</v>
      </c>
      <c r="C447" s="13" t="s">
        <v>5510</v>
      </c>
      <c r="D447" s="13" t="s">
        <v>5510</v>
      </c>
      <c r="E447" s="13" t="s">
        <v>5510</v>
      </c>
      <c r="F447" s="13" t="s">
        <v>13648</v>
      </c>
      <c r="G447" s="13" t="s">
        <v>5510</v>
      </c>
      <c r="H447" s="13" t="s">
        <v>5510</v>
      </c>
      <c r="I447" s="13" t="s">
        <v>1664</v>
      </c>
      <c r="J447" s="13" t="s">
        <v>13649</v>
      </c>
      <c r="K447" s="13" t="s">
        <v>5510</v>
      </c>
      <c r="L447" s="13" t="s">
        <v>5510</v>
      </c>
      <c r="M447" s="13" t="s">
        <v>5513</v>
      </c>
      <c r="N447" s="13" t="s">
        <v>5514</v>
      </c>
      <c r="O447" s="13" t="s">
        <v>5510</v>
      </c>
      <c r="P447" s="13" t="s">
        <v>5510</v>
      </c>
      <c r="Q447" s="13" t="s">
        <v>5510</v>
      </c>
      <c r="R447" s="13" t="s">
        <v>5510</v>
      </c>
      <c r="S447" s="13" t="s">
        <v>5510</v>
      </c>
      <c r="T447" s="13" t="s">
        <v>13650</v>
      </c>
      <c r="U447" s="13" t="s">
        <v>13651</v>
      </c>
      <c r="V447" s="13" t="s">
        <v>13652</v>
      </c>
      <c r="W447" s="13" t="s">
        <v>13653</v>
      </c>
      <c r="X447" s="13" t="s">
        <v>13654</v>
      </c>
      <c r="Y447" s="13" t="s">
        <v>13655</v>
      </c>
      <c r="Z447" s="13" t="s">
        <v>13656</v>
      </c>
      <c r="AA447" s="13" t="s">
        <v>13657</v>
      </c>
      <c r="AB447" s="13" t="s">
        <v>13658</v>
      </c>
      <c r="AC447" s="13" t="s">
        <v>13659</v>
      </c>
      <c r="AD447" s="13" t="s">
        <v>13659</v>
      </c>
      <c r="AE447" s="13" t="s">
        <v>13660</v>
      </c>
      <c r="AF447" s="13" t="s">
        <v>5510</v>
      </c>
      <c r="AG447" s="13">
        <v>71.0</v>
      </c>
      <c r="AH447" s="13">
        <v>7.0</v>
      </c>
      <c r="AI447" s="13">
        <v>9.0</v>
      </c>
      <c r="AJ447" s="13">
        <v>0.0</v>
      </c>
      <c r="AK447" s="13">
        <v>27.0</v>
      </c>
      <c r="AL447" s="13" t="s">
        <v>5690</v>
      </c>
      <c r="AM447" s="13" t="s">
        <v>5691</v>
      </c>
      <c r="AN447" s="13" t="s">
        <v>5692</v>
      </c>
      <c r="AO447" s="13" t="s">
        <v>13661</v>
      </c>
      <c r="AP447" s="13" t="s">
        <v>13662</v>
      </c>
      <c r="AQ447" s="13" t="s">
        <v>5510</v>
      </c>
      <c r="AR447" s="13" t="s">
        <v>13649</v>
      </c>
      <c r="AS447" s="13" t="s">
        <v>1016</v>
      </c>
      <c r="AT447" s="13" t="s">
        <v>6828</v>
      </c>
      <c r="AU447" s="13">
        <v>2018.0</v>
      </c>
      <c r="AV447" s="13">
        <v>811.0</v>
      </c>
      <c r="AW447" s="13">
        <v>1.0</v>
      </c>
      <c r="AX447" s="13" t="s">
        <v>5510</v>
      </c>
      <c r="AY447" s="13" t="s">
        <v>5510</v>
      </c>
      <c r="AZ447" s="13" t="s">
        <v>5510</v>
      </c>
      <c r="BA447" s="13" t="s">
        <v>5510</v>
      </c>
      <c r="BB447" s="13">
        <v>155.0</v>
      </c>
      <c r="BC447" s="13">
        <v>171.0</v>
      </c>
      <c r="BD447" s="13" t="s">
        <v>5510</v>
      </c>
      <c r="BE447" s="13" t="s">
        <v>13663</v>
      </c>
      <c r="BF447" s="52" t="str">
        <f>HYPERLINK("http://dx.doi.org/10.1007/s10750-017-3475-x","http://dx.doi.org/10.1007/s10750-017-3475-x")</f>
        <v>http://dx.doi.org/10.1007/s10750-017-3475-x</v>
      </c>
      <c r="BG447" s="13" t="s">
        <v>5510</v>
      </c>
      <c r="BH447" s="13" t="s">
        <v>5510</v>
      </c>
      <c r="BI447" s="13">
        <v>17.0</v>
      </c>
      <c r="BJ447" s="13" t="s">
        <v>6508</v>
      </c>
      <c r="BK447" s="13" t="s">
        <v>5561</v>
      </c>
      <c r="BL447" s="13" t="s">
        <v>6508</v>
      </c>
      <c r="BM447" s="13" t="s">
        <v>13664</v>
      </c>
      <c r="BN447" s="13" t="s">
        <v>5510</v>
      </c>
      <c r="BO447" s="13" t="s">
        <v>5510</v>
      </c>
      <c r="BP447" s="13" t="s">
        <v>5510</v>
      </c>
      <c r="BQ447" s="13" t="s">
        <v>5510</v>
      </c>
      <c r="BR447" s="13" t="s">
        <v>5538</v>
      </c>
      <c r="BS447" s="13" t="s">
        <v>13665</v>
      </c>
      <c r="BT447" s="13">
        <v>24716.0</v>
      </c>
      <c r="BU447" s="13" t="s">
        <v>5540</v>
      </c>
      <c r="BV447" s="13" t="s">
        <v>4852</v>
      </c>
      <c r="BW447" s="13" t="str">
        <f>VLOOKUP($BT447,Enriched!$A$2:$E$1070,5,false)</f>
        <v>["Invasive &amp; other problematic species, genes &amp; diseases"]</v>
      </c>
      <c r="BX447" s="13" t="str">
        <f>VLOOKUP($BT447,Enriched!$A$2:$E$1070,4,false)</f>
        <v>["Invasive non-native/alien species/diseases"]</v>
      </c>
      <c r="BY447" s="13" t="b">
        <f>VLOOKUP(BT447,Enriched!$A$1:$AA$1070,27,falsE)</f>
        <v>0</v>
      </c>
      <c r="BZ447" s="2" t="str">
        <f>VLOOKUP(BT447,Enriched!$A$1:$AA$1070,14,falsE)</f>
        <v>level2</v>
      </c>
      <c r="CA447" s="13" t="str">
        <f>HYPERLINK("https%3A%2F%2Fwww.webofscience.com%2Fwos%2Fwoscc%2Ffull-record%2FWOS:000427080900013","View Full Record in Web of Science")</f>
        <v>View Full Record in Web of Science</v>
      </c>
    </row>
    <row r="448" ht="12.75" customHeight="1">
      <c r="A448" s="13" t="s">
        <v>5508</v>
      </c>
      <c r="B448" s="13" t="s">
        <v>13666</v>
      </c>
      <c r="C448" s="13" t="s">
        <v>5510</v>
      </c>
      <c r="D448" s="13" t="s">
        <v>5510</v>
      </c>
      <c r="E448" s="13" t="s">
        <v>5510</v>
      </c>
      <c r="F448" s="13" t="s">
        <v>13667</v>
      </c>
      <c r="G448" s="13" t="s">
        <v>5510</v>
      </c>
      <c r="H448" s="13" t="s">
        <v>5510</v>
      </c>
      <c r="I448" s="2" t="s">
        <v>1658</v>
      </c>
      <c r="J448" s="13" t="s">
        <v>8582</v>
      </c>
      <c r="K448" s="13" t="s">
        <v>5510</v>
      </c>
      <c r="L448" s="13" t="s">
        <v>5510</v>
      </c>
      <c r="M448" s="13" t="s">
        <v>5513</v>
      </c>
      <c r="N448" s="13" t="s">
        <v>5514</v>
      </c>
      <c r="O448" s="13" t="s">
        <v>5510</v>
      </c>
      <c r="P448" s="13" t="s">
        <v>5510</v>
      </c>
      <c r="Q448" s="13" t="s">
        <v>5510</v>
      </c>
      <c r="R448" s="13" t="s">
        <v>5510</v>
      </c>
      <c r="S448" s="13" t="s">
        <v>5510</v>
      </c>
      <c r="T448" s="13" t="s">
        <v>13668</v>
      </c>
      <c r="U448" s="13" t="s">
        <v>13669</v>
      </c>
      <c r="V448" s="13" t="s">
        <v>13670</v>
      </c>
      <c r="W448" s="13" t="s">
        <v>13671</v>
      </c>
      <c r="X448" s="13" t="s">
        <v>13672</v>
      </c>
      <c r="Y448" s="13" t="s">
        <v>13673</v>
      </c>
      <c r="Z448" s="13" t="s">
        <v>13674</v>
      </c>
      <c r="AA448" s="13" t="s">
        <v>13675</v>
      </c>
      <c r="AB448" s="13" t="s">
        <v>13676</v>
      </c>
      <c r="AC448" s="13" t="s">
        <v>13677</v>
      </c>
      <c r="AD448" s="13" t="s">
        <v>13678</v>
      </c>
      <c r="AE448" s="13" t="s">
        <v>13679</v>
      </c>
      <c r="AF448" s="13" t="s">
        <v>5510</v>
      </c>
      <c r="AG448" s="13">
        <v>134.0</v>
      </c>
      <c r="AH448" s="13">
        <v>16.0</v>
      </c>
      <c r="AI448" s="13">
        <v>23.0</v>
      </c>
      <c r="AJ448" s="13">
        <v>3.0</v>
      </c>
      <c r="AK448" s="13">
        <v>62.0</v>
      </c>
      <c r="AL448" s="13" t="s">
        <v>5690</v>
      </c>
      <c r="AM448" s="13" t="s">
        <v>6503</v>
      </c>
      <c r="AN448" s="13" t="s">
        <v>6504</v>
      </c>
      <c r="AO448" s="13" t="s">
        <v>8592</v>
      </c>
      <c r="AP448" s="13" t="s">
        <v>8593</v>
      </c>
      <c r="AQ448" s="13" t="s">
        <v>5510</v>
      </c>
      <c r="AR448" s="13" t="s">
        <v>8594</v>
      </c>
      <c r="AS448" s="13" t="s">
        <v>8595</v>
      </c>
      <c r="AT448" s="13" t="s">
        <v>5667</v>
      </c>
      <c r="AU448" s="13">
        <v>2016.0</v>
      </c>
      <c r="AV448" s="13">
        <v>58.0</v>
      </c>
      <c r="AW448" s="13">
        <v>1.0</v>
      </c>
      <c r="AX448" s="13" t="s">
        <v>5510</v>
      </c>
      <c r="AY448" s="13" t="s">
        <v>5510</v>
      </c>
      <c r="AZ448" s="13" t="s">
        <v>5510</v>
      </c>
      <c r="BA448" s="13" t="s">
        <v>5510</v>
      </c>
      <c r="BB448" s="13">
        <v>144.0</v>
      </c>
      <c r="BC448" s="13">
        <v>163.0</v>
      </c>
      <c r="BD448" s="13" t="s">
        <v>5510</v>
      </c>
      <c r="BE448" s="13" t="s">
        <v>13680</v>
      </c>
      <c r="BF448" s="52" t="str">
        <f>HYPERLINK("http://dx.doi.org/10.1007/s00267-016-0692-4","http://dx.doi.org/10.1007/s00267-016-0692-4")</f>
        <v>http://dx.doi.org/10.1007/s00267-016-0692-4</v>
      </c>
      <c r="BG448" s="13" t="s">
        <v>5510</v>
      </c>
      <c r="BH448" s="13" t="s">
        <v>5510</v>
      </c>
      <c r="BI448" s="13">
        <v>20.0</v>
      </c>
      <c r="BJ448" s="13" t="s">
        <v>5768</v>
      </c>
      <c r="BK448" s="13" t="s">
        <v>5561</v>
      </c>
      <c r="BL448" s="13" t="s">
        <v>5535</v>
      </c>
      <c r="BM448" s="13" t="s">
        <v>13681</v>
      </c>
      <c r="BN448" s="13">
        <v>2.7003689E7</v>
      </c>
      <c r="BO448" s="13" t="s">
        <v>5510</v>
      </c>
      <c r="BP448" s="13" t="s">
        <v>5510</v>
      </c>
      <c r="BQ448" s="13" t="s">
        <v>5510</v>
      </c>
      <c r="BR448" s="13" t="s">
        <v>5538</v>
      </c>
      <c r="BS448" s="13" t="s">
        <v>13682</v>
      </c>
      <c r="BT448" s="13">
        <v>24627.0</v>
      </c>
      <c r="BU448" s="13" t="s">
        <v>5540</v>
      </c>
      <c r="BV448" s="13" t="s">
        <v>5083</v>
      </c>
      <c r="BW448" s="13" t="str">
        <f>VLOOKUP($BT448,Enriched!$A$2:$E$1070,5,false)</f>
        <v>["Invasive &amp; other problematic species, genes &amp; diseases"]</v>
      </c>
      <c r="BX448" s="13" t="str">
        <f>VLOOKUP($BT448,Enriched!$A$2:$E$1070,4,false)</f>
        <v>["Invasive non-native/alien species/diseases"]</v>
      </c>
      <c r="BY448" s="13" t="b">
        <f>VLOOKUP(BT448,Enriched!$A$1:$AA$1070,27,falsE)</f>
        <v>0</v>
      </c>
      <c r="BZ448" s="2" t="str">
        <f>VLOOKUP(BT448,Enriched!$A$1:$AA$1070,14,falsE)</f>
        <v>level2</v>
      </c>
      <c r="CA448" s="13" t="str">
        <f>HYPERLINK("https%3A%2F%2Fwww.webofscience.com%2Fwos%2Fwoscc%2Ffull-record%2FWOS:000379159600011","View Full Record in Web of Science")</f>
        <v>View Full Record in Web of Science</v>
      </c>
    </row>
    <row r="449" ht="12.75" customHeight="1">
      <c r="A449" s="13" t="s">
        <v>5508</v>
      </c>
      <c r="B449" s="13" t="s">
        <v>13683</v>
      </c>
      <c r="C449" s="13" t="s">
        <v>5510</v>
      </c>
      <c r="D449" s="13" t="s">
        <v>5510</v>
      </c>
      <c r="E449" s="13" t="s">
        <v>5510</v>
      </c>
      <c r="F449" s="13" t="s">
        <v>13683</v>
      </c>
      <c r="G449" s="13" t="s">
        <v>5510</v>
      </c>
      <c r="H449" s="13" t="s">
        <v>5510</v>
      </c>
      <c r="I449" s="13" t="s">
        <v>1655</v>
      </c>
      <c r="J449" s="13" t="s">
        <v>6008</v>
      </c>
      <c r="K449" s="13" t="s">
        <v>5510</v>
      </c>
      <c r="L449" s="13" t="s">
        <v>5510</v>
      </c>
      <c r="M449" s="13" t="s">
        <v>5513</v>
      </c>
      <c r="N449" s="13" t="s">
        <v>5514</v>
      </c>
      <c r="O449" s="13" t="s">
        <v>5510</v>
      </c>
      <c r="P449" s="13" t="s">
        <v>5510</v>
      </c>
      <c r="Q449" s="13" t="s">
        <v>5510</v>
      </c>
      <c r="R449" s="13" t="s">
        <v>5510</v>
      </c>
      <c r="S449" s="13" t="s">
        <v>5510</v>
      </c>
      <c r="T449" s="13" t="s">
        <v>13684</v>
      </c>
      <c r="U449" s="13" t="s">
        <v>13685</v>
      </c>
      <c r="V449" s="13" t="s">
        <v>13686</v>
      </c>
      <c r="W449" s="13" t="s">
        <v>13687</v>
      </c>
      <c r="X449" s="13" t="s">
        <v>8522</v>
      </c>
      <c r="Y449" s="13" t="s">
        <v>13688</v>
      </c>
      <c r="Z449" s="13" t="s">
        <v>13689</v>
      </c>
      <c r="AA449" s="13" t="s">
        <v>5510</v>
      </c>
      <c r="AB449" s="13" t="s">
        <v>5510</v>
      </c>
      <c r="AC449" s="13" t="s">
        <v>5510</v>
      </c>
      <c r="AD449" s="13" t="s">
        <v>5510</v>
      </c>
      <c r="AE449" s="13" t="s">
        <v>5510</v>
      </c>
      <c r="AF449" s="13" t="s">
        <v>5510</v>
      </c>
      <c r="AG449" s="13">
        <v>52.0</v>
      </c>
      <c r="AH449" s="13">
        <v>42.0</v>
      </c>
      <c r="AI449" s="13">
        <v>50.0</v>
      </c>
      <c r="AJ449" s="13">
        <v>1.0</v>
      </c>
      <c r="AK449" s="13">
        <v>28.0</v>
      </c>
      <c r="AL449" s="13" t="s">
        <v>5527</v>
      </c>
      <c r="AM449" s="13" t="s">
        <v>5528</v>
      </c>
      <c r="AN449" s="13" t="s">
        <v>5529</v>
      </c>
      <c r="AO449" s="13" t="s">
        <v>6020</v>
      </c>
      <c r="AP449" s="13" t="s">
        <v>6021</v>
      </c>
      <c r="AQ449" s="13" t="s">
        <v>5510</v>
      </c>
      <c r="AR449" s="13" t="s">
        <v>6022</v>
      </c>
      <c r="AS449" s="13" t="s">
        <v>6023</v>
      </c>
      <c r="AT449" s="13" t="s">
        <v>5978</v>
      </c>
      <c r="AU449" s="13">
        <v>2003.0</v>
      </c>
      <c r="AV449" s="13">
        <v>13.0</v>
      </c>
      <c r="AW449" s="13">
        <v>6.0</v>
      </c>
      <c r="AX449" s="13" t="s">
        <v>5510</v>
      </c>
      <c r="AY449" s="13" t="s">
        <v>5510</v>
      </c>
      <c r="AZ449" s="13" t="s">
        <v>5510</v>
      </c>
      <c r="BA449" s="13" t="s">
        <v>5510</v>
      </c>
      <c r="BB449" s="13">
        <v>1762.0</v>
      </c>
      <c r="BC449" s="13">
        <v>1772.0</v>
      </c>
      <c r="BD449" s="13" t="s">
        <v>5510</v>
      </c>
      <c r="BE449" s="13" t="s">
        <v>13690</v>
      </c>
      <c r="BF449" s="52" t="str">
        <f>HYPERLINK("http://dx.doi.org/10.1890/02-5337","http://dx.doi.org/10.1890/02-5337")</f>
        <v>http://dx.doi.org/10.1890/02-5337</v>
      </c>
      <c r="BG449" s="13" t="s">
        <v>5510</v>
      </c>
      <c r="BH449" s="13" t="s">
        <v>5510</v>
      </c>
      <c r="BI449" s="13">
        <v>11.0</v>
      </c>
      <c r="BJ449" s="13" t="s">
        <v>6026</v>
      </c>
      <c r="BK449" s="13" t="s">
        <v>5561</v>
      </c>
      <c r="BL449" s="13" t="s">
        <v>5535</v>
      </c>
      <c r="BM449" s="13" t="s">
        <v>13691</v>
      </c>
      <c r="BN449" s="13" t="s">
        <v>5510</v>
      </c>
      <c r="BO449" s="13" t="s">
        <v>5510</v>
      </c>
      <c r="BP449" s="13" t="s">
        <v>5510</v>
      </c>
      <c r="BQ449" s="13" t="s">
        <v>5510</v>
      </c>
      <c r="BR449" s="13" t="s">
        <v>5538</v>
      </c>
      <c r="BS449" s="13" t="s">
        <v>13692</v>
      </c>
      <c r="BT449" s="13">
        <v>24483.0</v>
      </c>
      <c r="BU449" s="13" t="s">
        <v>5540</v>
      </c>
      <c r="BV449" s="13" t="s">
        <v>4856</v>
      </c>
      <c r="BW449" s="13" t="str">
        <f>VLOOKUP($BT449,Enriched!$A$2:$E$1070,5,false)</f>
        <v>["Residential &amp; Commercial Development", "Agriculture &amp; Aquaculture", "Energy Production &amp; Mining"]</v>
      </c>
      <c r="BX449" s="13" t="str">
        <f>VLOOKUP($BT449,Enriched!$A$2:$E$1070,4,false)</f>
        <v>["Mining &amp; quarrying"]</v>
      </c>
      <c r="BY449" s="13" t="b">
        <f>VLOOKUP(BT449,Enriched!$A$1:$AA$1070,27,falsE)</f>
        <v>1</v>
      </c>
      <c r="BZ449" s="2" t="str">
        <f>VLOOKUP(BT449,Enriched!$A$1:$AA$1070,14,falsE)</f>
        <v>level1</v>
      </c>
      <c r="CA449" s="13" t="str">
        <f>HYPERLINK("https%3A%2F%2Fwww.webofscience.com%2Fwos%2Fwoscc%2Ffull-record%2FWOS:000187616400020","View Full Record in Web of Science")</f>
        <v>View Full Record in Web of Science</v>
      </c>
    </row>
    <row r="450" ht="12.75" customHeight="1">
      <c r="A450" s="13" t="s">
        <v>5508</v>
      </c>
      <c r="B450" s="13" t="s">
        <v>13693</v>
      </c>
      <c r="C450" s="13" t="s">
        <v>5510</v>
      </c>
      <c r="D450" s="13" t="s">
        <v>5510</v>
      </c>
      <c r="E450" s="13" t="s">
        <v>5510</v>
      </c>
      <c r="F450" s="13" t="s">
        <v>13694</v>
      </c>
      <c r="G450" s="13" t="s">
        <v>5510</v>
      </c>
      <c r="H450" s="13" t="s">
        <v>5510</v>
      </c>
      <c r="I450" s="13" t="s">
        <v>1649</v>
      </c>
      <c r="J450" s="13" t="s">
        <v>6114</v>
      </c>
      <c r="K450" s="13" t="s">
        <v>5510</v>
      </c>
      <c r="L450" s="13" t="s">
        <v>5510</v>
      </c>
      <c r="M450" s="13" t="s">
        <v>5513</v>
      </c>
      <c r="N450" s="13" t="s">
        <v>5514</v>
      </c>
      <c r="O450" s="13" t="s">
        <v>5510</v>
      </c>
      <c r="P450" s="13" t="s">
        <v>5510</v>
      </c>
      <c r="Q450" s="13" t="s">
        <v>5510</v>
      </c>
      <c r="R450" s="13" t="s">
        <v>5510</v>
      </c>
      <c r="S450" s="13" t="s">
        <v>5510</v>
      </c>
      <c r="T450" s="13" t="s">
        <v>13695</v>
      </c>
      <c r="U450" s="13" t="s">
        <v>13696</v>
      </c>
      <c r="V450" s="13" t="s">
        <v>13697</v>
      </c>
      <c r="W450" s="13" t="s">
        <v>13698</v>
      </c>
      <c r="X450" s="13" t="s">
        <v>5510</v>
      </c>
      <c r="Y450" s="13" t="s">
        <v>13699</v>
      </c>
      <c r="Z450" s="13" t="s">
        <v>13700</v>
      </c>
      <c r="AA450" s="13" t="s">
        <v>13701</v>
      </c>
      <c r="AB450" s="13" t="s">
        <v>13702</v>
      </c>
      <c r="AC450" s="13" t="s">
        <v>13703</v>
      </c>
      <c r="AD450" s="13" t="s">
        <v>13704</v>
      </c>
      <c r="AE450" s="13" t="s">
        <v>13705</v>
      </c>
      <c r="AF450" s="13" t="s">
        <v>5510</v>
      </c>
      <c r="AG450" s="13">
        <v>85.0</v>
      </c>
      <c r="AH450" s="13">
        <v>25.0</v>
      </c>
      <c r="AI450" s="13">
        <v>29.0</v>
      </c>
      <c r="AJ450" s="13">
        <v>2.0</v>
      </c>
      <c r="AK450" s="13">
        <v>66.0</v>
      </c>
      <c r="AL450" s="13" t="s">
        <v>5931</v>
      </c>
      <c r="AM450" s="13" t="s">
        <v>5932</v>
      </c>
      <c r="AN450" s="13" t="s">
        <v>5933</v>
      </c>
      <c r="AO450" s="13" t="s">
        <v>6127</v>
      </c>
      <c r="AP450" s="13" t="s">
        <v>6128</v>
      </c>
      <c r="AQ450" s="13" t="s">
        <v>5510</v>
      </c>
      <c r="AR450" s="13" t="s">
        <v>6129</v>
      </c>
      <c r="AS450" s="13" t="s">
        <v>6130</v>
      </c>
      <c r="AT450" s="13" t="s">
        <v>6439</v>
      </c>
      <c r="AU450" s="13">
        <v>2018.0</v>
      </c>
      <c r="AV450" s="13">
        <v>161.0</v>
      </c>
      <c r="AW450" s="13" t="s">
        <v>5510</v>
      </c>
      <c r="AX450" s="13" t="s">
        <v>5510</v>
      </c>
      <c r="AY450" s="13" t="s">
        <v>5510</v>
      </c>
      <c r="AZ450" s="13" t="s">
        <v>5510</v>
      </c>
      <c r="BA450" s="13" t="s">
        <v>5510</v>
      </c>
      <c r="BB450" s="13">
        <v>177.0</v>
      </c>
      <c r="BC450" s="13">
        <v>188.0</v>
      </c>
      <c r="BD450" s="13" t="s">
        <v>5510</v>
      </c>
      <c r="BE450" s="13" t="s">
        <v>13706</v>
      </c>
      <c r="BF450" s="52" t="str">
        <f>HYPERLINK("http://dx.doi.org/10.1016/j.ocecoaman.2018.05.003","http://dx.doi.org/10.1016/j.ocecoaman.2018.05.003")</f>
        <v>http://dx.doi.org/10.1016/j.ocecoaman.2018.05.003</v>
      </c>
      <c r="BG450" s="13" t="s">
        <v>5510</v>
      </c>
      <c r="BH450" s="13" t="s">
        <v>5510</v>
      </c>
      <c r="BI450" s="13">
        <v>12.0</v>
      </c>
      <c r="BJ450" s="13" t="s">
        <v>6133</v>
      </c>
      <c r="BK450" s="13" t="s">
        <v>5561</v>
      </c>
      <c r="BL450" s="13" t="s">
        <v>6133</v>
      </c>
      <c r="BM450" s="13" t="s">
        <v>13707</v>
      </c>
      <c r="BN450" s="13" t="s">
        <v>5510</v>
      </c>
      <c r="BO450" s="13" t="s">
        <v>5510</v>
      </c>
      <c r="BP450" s="13" t="s">
        <v>5510</v>
      </c>
      <c r="BQ450" s="13" t="s">
        <v>5510</v>
      </c>
      <c r="BR450" s="13" t="s">
        <v>5538</v>
      </c>
      <c r="BS450" s="13" t="s">
        <v>13708</v>
      </c>
      <c r="BT450" s="13">
        <v>25082.0</v>
      </c>
      <c r="BU450" s="13" t="s">
        <v>5540</v>
      </c>
      <c r="BV450" s="13" t="s">
        <v>4864</v>
      </c>
      <c r="BW450" s="13" t="str">
        <f>VLOOKUP($BT450,Enriched!$A$2:$E$1070,5,false)</f>
        <v>["Residential &amp; Commercial Development", "Energy Production &amp; Mining", "Transportation &amp; Service Corridors", "Biological Resource Use", "Invasive &amp; Other Problematic Species, Genes &amp; Diseases", "Pollution", "Climate Change &amp; Severe Weather"]</v>
      </c>
      <c r="BX450" s="13" t="str">
        <f>VLOOKUP($BT450,Enriched!$A$2:$E$1070,4,false)</f>
        <v>["Commercial &amp; industrial areas", "Oil &amp; gas drilling", "Shipping lanes", "Fishing &amp; harvesting aquatic resources", "Invasive non-native/alien species/diseases", "Agricultural &amp; forestry effluents", "Habitat shifting &amp; alteration", "Temperature extremes", "Other impacts"]</v>
      </c>
      <c r="BY450" s="13" t="b">
        <f>VLOOKUP(BT450,Enriched!$A$1:$AA$1070,27,falsE)</f>
        <v>1</v>
      </c>
      <c r="BZ450" s="2" t="str">
        <f>VLOOKUP(BT450,Enriched!$A$1:$AA$1070,14,falsE)</f>
        <v>cumulative</v>
      </c>
      <c r="CA450" s="13" t="str">
        <f>HYPERLINK("https%3A%2F%2Fwww.webofscience.com%2Fwos%2Fwoscc%2Ffull-record%2FWOS:000437057200019","View Full Record in Web of Science")</f>
        <v>View Full Record in Web of Science</v>
      </c>
    </row>
    <row r="451" ht="12.75" customHeight="1">
      <c r="A451" s="13" t="s">
        <v>5508</v>
      </c>
      <c r="B451" s="13" t="s">
        <v>13709</v>
      </c>
      <c r="C451" s="13" t="s">
        <v>5510</v>
      </c>
      <c r="D451" s="13" t="s">
        <v>5510</v>
      </c>
      <c r="E451" s="13" t="s">
        <v>5510</v>
      </c>
      <c r="F451" s="13" t="s">
        <v>13710</v>
      </c>
      <c r="G451" s="13" t="s">
        <v>5510</v>
      </c>
      <c r="H451" s="13" t="s">
        <v>5510</v>
      </c>
      <c r="I451" s="13" t="s">
        <v>1646</v>
      </c>
      <c r="J451" s="13" t="s">
        <v>6407</v>
      </c>
      <c r="K451" s="13" t="s">
        <v>5510</v>
      </c>
      <c r="L451" s="13" t="s">
        <v>5510</v>
      </c>
      <c r="M451" s="13" t="s">
        <v>5513</v>
      </c>
      <c r="N451" s="13" t="s">
        <v>5514</v>
      </c>
      <c r="O451" s="13" t="s">
        <v>5510</v>
      </c>
      <c r="P451" s="13" t="s">
        <v>5510</v>
      </c>
      <c r="Q451" s="13" t="s">
        <v>5510</v>
      </c>
      <c r="R451" s="13" t="s">
        <v>5510</v>
      </c>
      <c r="S451" s="13" t="s">
        <v>5510</v>
      </c>
      <c r="T451" s="13" t="s">
        <v>13711</v>
      </c>
      <c r="U451" s="13" t="s">
        <v>13712</v>
      </c>
      <c r="V451" s="13" t="s">
        <v>13713</v>
      </c>
      <c r="W451" s="13" t="s">
        <v>13714</v>
      </c>
      <c r="X451" s="13" t="s">
        <v>13715</v>
      </c>
      <c r="Y451" s="13" t="s">
        <v>13716</v>
      </c>
      <c r="Z451" s="13" t="s">
        <v>13717</v>
      </c>
      <c r="AA451" s="13" t="s">
        <v>13718</v>
      </c>
      <c r="AB451" s="13" t="s">
        <v>13719</v>
      </c>
      <c r="AC451" s="13" t="s">
        <v>13720</v>
      </c>
      <c r="AD451" s="13" t="s">
        <v>13721</v>
      </c>
      <c r="AE451" s="13" t="s">
        <v>13722</v>
      </c>
      <c r="AF451" s="13" t="s">
        <v>5510</v>
      </c>
      <c r="AG451" s="13">
        <v>58.0</v>
      </c>
      <c r="AH451" s="13">
        <v>32.0</v>
      </c>
      <c r="AI451" s="13">
        <v>39.0</v>
      </c>
      <c r="AJ451" s="13">
        <v>7.0</v>
      </c>
      <c r="AK451" s="13">
        <v>89.0</v>
      </c>
      <c r="AL451" s="13" t="s">
        <v>5759</v>
      </c>
      <c r="AM451" s="13" t="s">
        <v>5760</v>
      </c>
      <c r="AN451" s="13" t="s">
        <v>5761</v>
      </c>
      <c r="AO451" s="13" t="s">
        <v>6417</v>
      </c>
      <c r="AP451" s="13" t="s">
        <v>6418</v>
      </c>
      <c r="AQ451" s="13" t="s">
        <v>5510</v>
      </c>
      <c r="AR451" s="13" t="s">
        <v>6419</v>
      </c>
      <c r="AS451" s="13" t="s">
        <v>6420</v>
      </c>
      <c r="AT451" s="13" t="s">
        <v>2514</v>
      </c>
      <c r="AU451" s="13">
        <v>2019.0</v>
      </c>
      <c r="AV451" s="13">
        <v>105.0</v>
      </c>
      <c r="AW451" s="13" t="s">
        <v>5510</v>
      </c>
      <c r="AX451" s="13" t="s">
        <v>5510</v>
      </c>
      <c r="AY451" s="13" t="s">
        <v>5510</v>
      </c>
      <c r="AZ451" s="13" t="s">
        <v>5510</v>
      </c>
      <c r="BA451" s="13" t="s">
        <v>5510</v>
      </c>
      <c r="BB451" s="13">
        <v>47.0</v>
      </c>
      <c r="BC451" s="13">
        <v>56.0</v>
      </c>
      <c r="BD451" s="13" t="s">
        <v>5510</v>
      </c>
      <c r="BE451" s="13" t="s">
        <v>13723</v>
      </c>
      <c r="BF451" s="52" t="str">
        <f>HYPERLINK("http://dx.doi.org/10.1016/j.ecolind.2019.05.064","http://dx.doi.org/10.1016/j.ecolind.2019.05.064")</f>
        <v>http://dx.doi.org/10.1016/j.ecolind.2019.05.064</v>
      </c>
      <c r="BG451" s="13" t="s">
        <v>5510</v>
      </c>
      <c r="BH451" s="13" t="s">
        <v>5510</v>
      </c>
      <c r="BI451" s="13">
        <v>10.0</v>
      </c>
      <c r="BJ451" s="13" t="s">
        <v>6422</v>
      </c>
      <c r="BK451" s="13" t="s">
        <v>5561</v>
      </c>
      <c r="BL451" s="13" t="s">
        <v>5699</v>
      </c>
      <c r="BM451" s="13" t="s">
        <v>13724</v>
      </c>
      <c r="BN451" s="13" t="s">
        <v>5510</v>
      </c>
      <c r="BO451" s="13" t="s">
        <v>5510</v>
      </c>
      <c r="BP451" s="13" t="s">
        <v>5510</v>
      </c>
      <c r="BQ451" s="13" t="s">
        <v>5510</v>
      </c>
      <c r="BR451" s="13" t="s">
        <v>5538</v>
      </c>
      <c r="BS451" s="13" t="s">
        <v>13725</v>
      </c>
      <c r="BT451" s="13">
        <v>24139.0</v>
      </c>
      <c r="BU451" s="13" t="s">
        <v>5540</v>
      </c>
      <c r="BV451" s="13" t="s">
        <v>4856</v>
      </c>
      <c r="BW451" s="13" t="str">
        <f>VLOOKUP($BT451,Enriched!$A$2:$E$1070,5,false)</f>
        <v>["Agriculture &amp; Aquaculture", "Transportation &amp; Service Corridors"]</v>
      </c>
      <c r="BX451" s="13" t="str">
        <f>VLOOKUP($BT451,Enriched!$A$2:$E$1070,4,false)</f>
        <v>["Housing &amp; urban area", "Livestock farming &amp; ranching", "Roads &amp; railroads"]</v>
      </c>
      <c r="BY451" s="13" t="b">
        <f>VLOOKUP(BT451,Enriched!$A$1:$AA$1070,27,falsE)</f>
        <v>0</v>
      </c>
      <c r="BZ451" s="2" t="str">
        <f>VLOOKUP(BT451,Enriched!$A$1:$AA$1070,14,falsE)</f>
        <v>cumulative</v>
      </c>
      <c r="CA451" s="13" t="str">
        <f>HYPERLINK("https%3A%2F%2Fwww.webofscience.com%2Fwos%2Fwoscc%2Ffull-record%2FWOS:000490574200006","View Full Record in Web of Science")</f>
        <v>View Full Record in Web of Science</v>
      </c>
    </row>
    <row r="452" ht="12.75" customHeight="1">
      <c r="A452" s="13" t="s">
        <v>5508</v>
      </c>
      <c r="B452" s="13" t="s">
        <v>13726</v>
      </c>
      <c r="C452" s="13" t="s">
        <v>5510</v>
      </c>
      <c r="D452" s="13" t="s">
        <v>5510</v>
      </c>
      <c r="E452" s="13" t="s">
        <v>5510</v>
      </c>
      <c r="F452" s="13" t="s">
        <v>13727</v>
      </c>
      <c r="G452" s="13" t="s">
        <v>5510</v>
      </c>
      <c r="H452" s="13" t="s">
        <v>5510</v>
      </c>
      <c r="I452" s="13" t="s">
        <v>1644</v>
      </c>
      <c r="J452" s="13" t="s">
        <v>8795</v>
      </c>
      <c r="K452" s="13" t="s">
        <v>5510</v>
      </c>
      <c r="L452" s="13" t="s">
        <v>5510</v>
      </c>
      <c r="M452" s="13" t="s">
        <v>5513</v>
      </c>
      <c r="N452" s="13" t="s">
        <v>5514</v>
      </c>
      <c r="O452" s="13" t="s">
        <v>5510</v>
      </c>
      <c r="P452" s="13" t="s">
        <v>5510</v>
      </c>
      <c r="Q452" s="13" t="s">
        <v>5510</v>
      </c>
      <c r="R452" s="13" t="s">
        <v>5510</v>
      </c>
      <c r="S452" s="13" t="s">
        <v>5510</v>
      </c>
      <c r="T452" s="13" t="s">
        <v>5510</v>
      </c>
      <c r="U452" s="13" t="s">
        <v>13728</v>
      </c>
      <c r="V452" s="13" t="s">
        <v>13729</v>
      </c>
      <c r="W452" s="13" t="s">
        <v>13730</v>
      </c>
      <c r="X452" s="13" t="s">
        <v>13731</v>
      </c>
      <c r="Y452" s="13" t="s">
        <v>13732</v>
      </c>
      <c r="Z452" s="13" t="s">
        <v>13733</v>
      </c>
      <c r="AA452" s="13" t="s">
        <v>13734</v>
      </c>
      <c r="AB452" s="13" t="s">
        <v>13735</v>
      </c>
      <c r="AC452" s="13" t="s">
        <v>13736</v>
      </c>
      <c r="AD452" s="13" t="s">
        <v>13737</v>
      </c>
      <c r="AE452" s="13" t="s">
        <v>13738</v>
      </c>
      <c r="AF452" s="13" t="s">
        <v>5510</v>
      </c>
      <c r="AG452" s="13">
        <v>60.0</v>
      </c>
      <c r="AH452" s="13">
        <v>67.0</v>
      </c>
      <c r="AI452" s="13">
        <v>75.0</v>
      </c>
      <c r="AJ452" s="13">
        <v>1.0</v>
      </c>
      <c r="AK452" s="13">
        <v>30.0</v>
      </c>
      <c r="AL452" s="13" t="s">
        <v>8807</v>
      </c>
      <c r="AM452" s="13" t="s">
        <v>8808</v>
      </c>
      <c r="AN452" s="13" t="s">
        <v>8809</v>
      </c>
      <c r="AO452" s="13" t="s">
        <v>8810</v>
      </c>
      <c r="AP452" s="13" t="s">
        <v>5510</v>
      </c>
      <c r="AQ452" s="13" t="s">
        <v>5510</v>
      </c>
      <c r="AR452" s="13" t="s">
        <v>8811</v>
      </c>
      <c r="AS452" s="13" t="s">
        <v>8812</v>
      </c>
      <c r="AT452" s="13" t="s">
        <v>9192</v>
      </c>
      <c r="AU452" s="13">
        <v>2018.0</v>
      </c>
      <c r="AV452" s="13">
        <v>8.0</v>
      </c>
      <c r="AW452" s="13" t="s">
        <v>5510</v>
      </c>
      <c r="AX452" s="13" t="s">
        <v>5510</v>
      </c>
      <c r="AY452" s="13" t="s">
        <v>5510</v>
      </c>
      <c r="AZ452" s="13" t="s">
        <v>5510</v>
      </c>
      <c r="BA452" s="13" t="s">
        <v>5510</v>
      </c>
      <c r="BB452" s="13" t="s">
        <v>5510</v>
      </c>
      <c r="BC452" s="13" t="s">
        <v>5510</v>
      </c>
      <c r="BD452" s="13">
        <v>6393.0</v>
      </c>
      <c r="BE452" s="13" t="s">
        <v>13739</v>
      </c>
      <c r="BF452" s="52" t="str">
        <f>HYPERLINK("http://dx.doi.org/10.1038/s41598-018-24733-0","http://dx.doi.org/10.1038/s41598-018-24733-0")</f>
        <v>http://dx.doi.org/10.1038/s41598-018-24733-0</v>
      </c>
      <c r="BG452" s="13" t="s">
        <v>5510</v>
      </c>
      <c r="BH452" s="13" t="s">
        <v>5510</v>
      </c>
      <c r="BI452" s="13">
        <v>8.0</v>
      </c>
      <c r="BJ452" s="13" t="s">
        <v>5560</v>
      </c>
      <c r="BK452" s="13" t="s">
        <v>5561</v>
      </c>
      <c r="BL452" s="13" t="s">
        <v>5562</v>
      </c>
      <c r="BM452" s="13" t="s">
        <v>13740</v>
      </c>
      <c r="BN452" s="13">
        <v>2.968636E7</v>
      </c>
      <c r="BO452" s="13" t="s">
        <v>5564</v>
      </c>
      <c r="BP452" s="13" t="s">
        <v>5510</v>
      </c>
      <c r="BQ452" s="13" t="s">
        <v>5510</v>
      </c>
      <c r="BR452" s="13" t="s">
        <v>5538</v>
      </c>
      <c r="BS452" s="13" t="s">
        <v>13741</v>
      </c>
      <c r="BT452" s="13">
        <v>24500.0</v>
      </c>
      <c r="BU452" s="13" t="s">
        <v>5540</v>
      </c>
      <c r="BV452" s="13" t="s">
        <v>4880</v>
      </c>
      <c r="BW452" s="13" t="str">
        <f>VLOOKUP($BT452,Enriched!$A$2:$E$1070,5,false)</f>
        <v>["Climate Change &amp; Severe Weather", "Agriculture &amp; Aquaculture", "Energy Production &amp; Mining", "Transportation &amp; Service Corridors", "Biological Resource Use", "Invasive &amp; Other Problematic Species, Genes &amp; Diseases", "Pollution"]</v>
      </c>
      <c r="BX452" s="13" t="str">
        <f>VLOOKUP($BT452,Enriched!$A$2:$E$1070,4,false)</f>
        <v>["Housing &amp; urban area", "Other impacts", "Invasive non-native/alien species/diseases"]</v>
      </c>
      <c r="BY452" s="13" t="b">
        <f>VLOOKUP(BT452,Enriched!$A$1:$AA$1070,27,falsE)</f>
        <v>1</v>
      </c>
      <c r="BZ452" s="2" t="str">
        <f>VLOOKUP(BT452,Enriched!$A$1:$AA$1070,14,falsE)</f>
        <v>level1</v>
      </c>
      <c r="CA452" s="13" t="str">
        <f>HYPERLINK("https%3A%2F%2Fwww.webofscience.com%2Fwos%2Fwoscc%2Ffull-record%2FWOS:000430539500029","View Full Record in Web of Science")</f>
        <v>View Full Record in Web of Science</v>
      </c>
    </row>
    <row r="453" ht="12.75" customHeight="1">
      <c r="A453" s="13" t="s">
        <v>5508</v>
      </c>
      <c r="B453" s="13" t="s">
        <v>13742</v>
      </c>
      <c r="C453" s="13" t="s">
        <v>5510</v>
      </c>
      <c r="D453" s="13" t="s">
        <v>5510</v>
      </c>
      <c r="E453" s="13" t="s">
        <v>5510</v>
      </c>
      <c r="F453" s="13" t="s">
        <v>13743</v>
      </c>
      <c r="G453" s="13" t="s">
        <v>5510</v>
      </c>
      <c r="H453" s="13" t="s">
        <v>5510</v>
      </c>
      <c r="I453" s="13" t="s">
        <v>1641</v>
      </c>
      <c r="J453" s="13" t="s">
        <v>13251</v>
      </c>
      <c r="K453" s="13" t="s">
        <v>5510</v>
      </c>
      <c r="L453" s="13" t="s">
        <v>5510</v>
      </c>
      <c r="M453" s="13" t="s">
        <v>5513</v>
      </c>
      <c r="N453" s="13" t="s">
        <v>5514</v>
      </c>
      <c r="O453" s="13" t="s">
        <v>5510</v>
      </c>
      <c r="P453" s="13" t="s">
        <v>5510</v>
      </c>
      <c r="Q453" s="13" t="s">
        <v>5510</v>
      </c>
      <c r="R453" s="13" t="s">
        <v>5510</v>
      </c>
      <c r="S453" s="13" t="s">
        <v>5510</v>
      </c>
      <c r="T453" s="13" t="s">
        <v>13744</v>
      </c>
      <c r="U453" s="13" t="s">
        <v>13745</v>
      </c>
      <c r="V453" s="13" t="s">
        <v>13746</v>
      </c>
      <c r="W453" s="13" t="s">
        <v>13747</v>
      </c>
      <c r="X453" s="13" t="s">
        <v>13748</v>
      </c>
      <c r="Y453" s="13" t="s">
        <v>13749</v>
      </c>
      <c r="Z453" s="13" t="s">
        <v>13750</v>
      </c>
      <c r="AA453" s="13" t="s">
        <v>13751</v>
      </c>
      <c r="AB453" s="13" t="s">
        <v>13752</v>
      </c>
      <c r="AC453" s="13" t="s">
        <v>5510</v>
      </c>
      <c r="AD453" s="13" t="s">
        <v>5510</v>
      </c>
      <c r="AE453" s="13" t="s">
        <v>5510</v>
      </c>
      <c r="AF453" s="13" t="s">
        <v>5510</v>
      </c>
      <c r="AG453" s="13">
        <v>65.0</v>
      </c>
      <c r="AH453" s="13">
        <v>36.0</v>
      </c>
      <c r="AI453" s="13">
        <v>42.0</v>
      </c>
      <c r="AJ453" s="13">
        <v>0.0</v>
      </c>
      <c r="AK453" s="13">
        <v>49.0</v>
      </c>
      <c r="AL453" s="13" t="s">
        <v>5931</v>
      </c>
      <c r="AM453" s="13" t="s">
        <v>5932</v>
      </c>
      <c r="AN453" s="13" t="s">
        <v>5933</v>
      </c>
      <c r="AO453" s="13" t="s">
        <v>13263</v>
      </c>
      <c r="AP453" s="13" t="s">
        <v>13264</v>
      </c>
      <c r="AQ453" s="13" t="s">
        <v>5510</v>
      </c>
      <c r="AR453" s="13" t="s">
        <v>13251</v>
      </c>
      <c r="AS453" s="13" t="s">
        <v>13265</v>
      </c>
      <c r="AT453" s="13" t="s">
        <v>1925</v>
      </c>
      <c r="AU453" s="13">
        <v>2018.0</v>
      </c>
      <c r="AV453" s="13">
        <v>77.0</v>
      </c>
      <c r="AW453" s="13" t="s">
        <v>5510</v>
      </c>
      <c r="AX453" s="13" t="s">
        <v>5510</v>
      </c>
      <c r="AY453" s="13" t="s">
        <v>5510</v>
      </c>
      <c r="AZ453" s="13" t="s">
        <v>5510</v>
      </c>
      <c r="BA453" s="13" t="s">
        <v>5510</v>
      </c>
      <c r="BB453" s="13">
        <v>298.0</v>
      </c>
      <c r="BC453" s="13">
        <v>309.0</v>
      </c>
      <c r="BD453" s="13" t="s">
        <v>5510</v>
      </c>
      <c r="BE453" s="13" t="s">
        <v>13753</v>
      </c>
      <c r="BF453" s="52" t="str">
        <f>HYPERLINK("http://dx.doi.org/10.1016/j.landusepol.2018.05.043","http://dx.doi.org/10.1016/j.landusepol.2018.05.043")</f>
        <v>http://dx.doi.org/10.1016/j.landusepol.2018.05.043</v>
      </c>
      <c r="BG453" s="13" t="s">
        <v>5510</v>
      </c>
      <c r="BH453" s="13" t="s">
        <v>5510</v>
      </c>
      <c r="BI453" s="13">
        <v>12.0</v>
      </c>
      <c r="BJ453" s="13" t="s">
        <v>12528</v>
      </c>
      <c r="BK453" s="13" t="s">
        <v>8375</v>
      </c>
      <c r="BL453" s="13" t="s">
        <v>5535</v>
      </c>
      <c r="BM453" s="13" t="s">
        <v>13754</v>
      </c>
      <c r="BN453" s="13" t="s">
        <v>5510</v>
      </c>
      <c r="BO453" s="13" t="s">
        <v>5510</v>
      </c>
      <c r="BP453" s="13" t="s">
        <v>5510</v>
      </c>
      <c r="BQ453" s="13" t="s">
        <v>5510</v>
      </c>
      <c r="BR453" s="13" t="s">
        <v>5538</v>
      </c>
      <c r="BS453" s="13" t="s">
        <v>13755</v>
      </c>
      <c r="BT453" s="13">
        <v>25618.0</v>
      </c>
      <c r="BU453" s="13" t="s">
        <v>5540</v>
      </c>
      <c r="BV453" s="13" t="s">
        <v>4856</v>
      </c>
      <c r="BW453" s="13" t="str">
        <f>VLOOKUP($BT453,Enriched!$A$2:$E$1070,5,false)</f>
        <v>["Transportation &amp; Service Corridors", "Residential &amp; Commercial Development", "Natural System Modifications", "Agriculture &amp; aquaculture"]</v>
      </c>
      <c r="BX453" s="13" t="str">
        <f>VLOOKUP($BT453,Enriched!$A$2:$E$1070,4,false)</f>
        <v>["Roads &amp; railroads", "Commercial &amp; industrial areas", "Utility &amp; service lines", "Dams &amp; water management/use"]</v>
      </c>
      <c r="BY453" s="13" t="b">
        <f>VLOOKUP(BT453,Enriched!$A$1:$AA$1070,27,falsE)</f>
        <v>1</v>
      </c>
      <c r="BZ453" s="2" t="str">
        <f>VLOOKUP(BT453,Enriched!$A$1:$AA$1070,14,falsE)</f>
        <v>cumulative</v>
      </c>
      <c r="CA453" s="13" t="str">
        <f>HYPERLINK("https%3A%2F%2Fwww.webofscience.com%2Fwos%2Fwoscc%2Ffull-record%2FWOS:000442067100029","View Full Record in Web of Science")</f>
        <v>View Full Record in Web of Science</v>
      </c>
    </row>
    <row r="454" ht="12.75" customHeight="1">
      <c r="A454" s="13" t="s">
        <v>5508</v>
      </c>
      <c r="B454" s="13" t="s">
        <v>13756</v>
      </c>
      <c r="C454" s="13" t="s">
        <v>5510</v>
      </c>
      <c r="D454" s="13" t="s">
        <v>5510</v>
      </c>
      <c r="E454" s="13" t="s">
        <v>5510</v>
      </c>
      <c r="F454" s="13" t="s">
        <v>13757</v>
      </c>
      <c r="G454" s="13" t="s">
        <v>5510</v>
      </c>
      <c r="H454" s="13" t="s">
        <v>5510</v>
      </c>
      <c r="I454" s="13" t="s">
        <v>13758</v>
      </c>
      <c r="J454" s="13" t="s">
        <v>6008</v>
      </c>
      <c r="K454" s="13" t="s">
        <v>5510</v>
      </c>
      <c r="L454" s="13" t="s">
        <v>5510</v>
      </c>
      <c r="M454" s="13" t="s">
        <v>5513</v>
      </c>
      <c r="N454" s="13" t="s">
        <v>5514</v>
      </c>
      <c r="O454" s="13" t="s">
        <v>5510</v>
      </c>
      <c r="P454" s="13" t="s">
        <v>5510</v>
      </c>
      <c r="Q454" s="13" t="s">
        <v>5510</v>
      </c>
      <c r="R454" s="13" t="s">
        <v>5510</v>
      </c>
      <c r="S454" s="13" t="s">
        <v>5510</v>
      </c>
      <c r="T454" s="13" t="s">
        <v>13759</v>
      </c>
      <c r="U454" s="13" t="s">
        <v>13760</v>
      </c>
      <c r="V454" s="13" t="s">
        <v>13761</v>
      </c>
      <c r="W454" s="13" t="s">
        <v>13762</v>
      </c>
      <c r="X454" s="13" t="s">
        <v>13763</v>
      </c>
      <c r="Y454" s="13" t="s">
        <v>13764</v>
      </c>
      <c r="Z454" s="13" t="s">
        <v>13765</v>
      </c>
      <c r="AA454" s="13" t="s">
        <v>13766</v>
      </c>
      <c r="AB454" s="13" t="s">
        <v>13767</v>
      </c>
      <c r="AC454" s="13" t="s">
        <v>13768</v>
      </c>
      <c r="AD454" s="13" t="s">
        <v>13769</v>
      </c>
      <c r="AE454" s="13" t="s">
        <v>13770</v>
      </c>
      <c r="AF454" s="13" t="s">
        <v>5510</v>
      </c>
      <c r="AG454" s="13">
        <v>112.0</v>
      </c>
      <c r="AH454" s="13">
        <v>64.0</v>
      </c>
      <c r="AI454" s="13">
        <v>66.0</v>
      </c>
      <c r="AJ454" s="13">
        <v>0.0</v>
      </c>
      <c r="AK454" s="13">
        <v>70.0</v>
      </c>
      <c r="AL454" s="13" t="s">
        <v>5527</v>
      </c>
      <c r="AM454" s="13" t="s">
        <v>5528</v>
      </c>
      <c r="AN454" s="13" t="s">
        <v>5529</v>
      </c>
      <c r="AO454" s="13" t="s">
        <v>6020</v>
      </c>
      <c r="AP454" s="13" t="s">
        <v>6021</v>
      </c>
      <c r="AQ454" s="13" t="s">
        <v>5510</v>
      </c>
      <c r="AR454" s="13" t="s">
        <v>6022</v>
      </c>
      <c r="AS454" s="13" t="s">
        <v>6023</v>
      </c>
      <c r="AT454" s="13" t="s">
        <v>1925</v>
      </c>
      <c r="AU454" s="13">
        <v>2014.0</v>
      </c>
      <c r="AV454" s="13">
        <v>24.0</v>
      </c>
      <c r="AW454" s="13">
        <v>6.0</v>
      </c>
      <c r="AX454" s="13" t="s">
        <v>5510</v>
      </c>
      <c r="AY454" s="13" t="s">
        <v>5510</v>
      </c>
      <c r="AZ454" s="13" t="s">
        <v>5510</v>
      </c>
      <c r="BA454" s="13" t="s">
        <v>5510</v>
      </c>
      <c r="BB454" s="13">
        <v>1357.0</v>
      </c>
      <c r="BC454" s="13">
        <v>1373.0</v>
      </c>
      <c r="BD454" s="13" t="s">
        <v>5510</v>
      </c>
      <c r="BE454" s="13" t="s">
        <v>13771</v>
      </c>
      <c r="BF454" s="52" t="str">
        <f>HYPERLINK("http://dx.doi.org/10.1890/13-0711.1","http://dx.doi.org/10.1890/13-0711.1")</f>
        <v>http://dx.doi.org/10.1890/13-0711.1</v>
      </c>
      <c r="BG454" s="13" t="s">
        <v>5510</v>
      </c>
      <c r="BH454" s="13" t="s">
        <v>5510</v>
      </c>
      <c r="BI454" s="13">
        <v>17.0</v>
      </c>
      <c r="BJ454" s="13" t="s">
        <v>6026</v>
      </c>
      <c r="BK454" s="13" t="s">
        <v>5534</v>
      </c>
      <c r="BL454" s="13" t="s">
        <v>5535</v>
      </c>
      <c r="BM454" s="13" t="s">
        <v>13772</v>
      </c>
      <c r="BN454" s="13">
        <v>2.9160659E7</v>
      </c>
      <c r="BO454" s="13" t="s">
        <v>5510</v>
      </c>
      <c r="BP454" s="13" t="s">
        <v>5510</v>
      </c>
      <c r="BQ454" s="13" t="s">
        <v>5510</v>
      </c>
      <c r="BR454" s="13" t="s">
        <v>5538</v>
      </c>
      <c r="BS454" s="13" t="s">
        <v>13773</v>
      </c>
      <c r="BT454" s="13">
        <v>23164.0</v>
      </c>
      <c r="BU454" s="13" t="s">
        <v>5540</v>
      </c>
      <c r="BV454" s="13" t="s">
        <v>4856</v>
      </c>
      <c r="BW454" s="13" t="str">
        <f>VLOOKUP($BT454,Enriched!$A$2:$E$1070,5,false)</f>
        <v>["Invasive &amp; Other Problematic Species, Genes &amp; Diseases", "Agriculture &amp; Aquaculture"]</v>
      </c>
      <c r="BX454" s="13" t="str">
        <f>VLOOKUP($BT454,Enriched!$A$2:$E$1070,4,false)</f>
        <v>["Invasive non-native/alien species/diseases", "Livestock farming &amp; ranching"]</v>
      </c>
      <c r="BY454" s="13" t="b">
        <f>VLOOKUP(BT454,Enriched!$A$1:$AA$1070,27,falsE)</f>
        <v>0</v>
      </c>
      <c r="BZ454" s="2" t="str">
        <f>VLOOKUP(BT454,Enriched!$A$1:$AA$1070,14,falsE)</f>
        <v>level2</v>
      </c>
      <c r="CA454" s="13" t="str">
        <f>HYPERLINK("https%3A%2F%2Fwww.webofscience.com%2Fwos%2Fwoscc%2Ffull-record%2FWOS:000341715800009","View Full Record in Web of Science")</f>
        <v>View Full Record in Web of Science</v>
      </c>
    </row>
    <row r="455" ht="12.75" customHeight="1">
      <c r="A455" s="13" t="s">
        <v>5508</v>
      </c>
      <c r="B455" s="13" t="s">
        <v>13774</v>
      </c>
      <c r="C455" s="13" t="s">
        <v>5510</v>
      </c>
      <c r="D455" s="13" t="s">
        <v>5510</v>
      </c>
      <c r="E455" s="13" t="s">
        <v>5510</v>
      </c>
      <c r="F455" s="13" t="s">
        <v>13775</v>
      </c>
      <c r="G455" s="13" t="s">
        <v>5510</v>
      </c>
      <c r="H455" s="13" t="s">
        <v>5510</v>
      </c>
      <c r="I455" s="13" t="s">
        <v>1632</v>
      </c>
      <c r="J455" s="13" t="s">
        <v>11494</v>
      </c>
      <c r="K455" s="13" t="s">
        <v>5510</v>
      </c>
      <c r="L455" s="13" t="s">
        <v>5510</v>
      </c>
      <c r="M455" s="13" t="s">
        <v>5513</v>
      </c>
      <c r="N455" s="13" t="s">
        <v>5514</v>
      </c>
      <c r="O455" s="13" t="s">
        <v>5510</v>
      </c>
      <c r="P455" s="13" t="s">
        <v>5510</v>
      </c>
      <c r="Q455" s="13" t="s">
        <v>5510</v>
      </c>
      <c r="R455" s="13" t="s">
        <v>5510</v>
      </c>
      <c r="S455" s="13" t="s">
        <v>5510</v>
      </c>
      <c r="T455" s="13" t="s">
        <v>13776</v>
      </c>
      <c r="U455" s="13" t="s">
        <v>13777</v>
      </c>
      <c r="V455" s="13" t="s">
        <v>13778</v>
      </c>
      <c r="W455" s="13" t="s">
        <v>13779</v>
      </c>
      <c r="X455" s="13" t="s">
        <v>13780</v>
      </c>
      <c r="Y455" s="13" t="s">
        <v>13781</v>
      </c>
      <c r="Z455" s="13" t="s">
        <v>13782</v>
      </c>
      <c r="AA455" s="13" t="s">
        <v>13783</v>
      </c>
      <c r="AB455" s="13" t="s">
        <v>13784</v>
      </c>
      <c r="AC455" s="13" t="s">
        <v>13785</v>
      </c>
      <c r="AD455" s="13" t="s">
        <v>13786</v>
      </c>
      <c r="AE455" s="13" t="s">
        <v>13787</v>
      </c>
      <c r="AF455" s="13" t="s">
        <v>5510</v>
      </c>
      <c r="AG455" s="13">
        <v>74.0</v>
      </c>
      <c r="AH455" s="13">
        <v>65.0</v>
      </c>
      <c r="AI455" s="13">
        <v>73.0</v>
      </c>
      <c r="AJ455" s="13">
        <v>0.0</v>
      </c>
      <c r="AK455" s="13">
        <v>20.0</v>
      </c>
      <c r="AL455" s="13" t="s">
        <v>5527</v>
      </c>
      <c r="AM455" s="13" t="s">
        <v>5528</v>
      </c>
      <c r="AN455" s="13" t="s">
        <v>5529</v>
      </c>
      <c r="AO455" s="13" t="s">
        <v>11506</v>
      </c>
      <c r="AP455" s="13" t="s">
        <v>11507</v>
      </c>
      <c r="AQ455" s="13" t="s">
        <v>5510</v>
      </c>
      <c r="AR455" s="13" t="s">
        <v>11494</v>
      </c>
      <c r="AS455" s="13" t="s">
        <v>404</v>
      </c>
      <c r="AT455" s="13" t="s">
        <v>5667</v>
      </c>
      <c r="AU455" s="13">
        <v>2020.0</v>
      </c>
      <c r="AV455" s="13">
        <v>43.0</v>
      </c>
      <c r="AW455" s="13">
        <v>7.0</v>
      </c>
      <c r="AX455" s="13" t="s">
        <v>5510</v>
      </c>
      <c r="AY455" s="13" t="s">
        <v>5510</v>
      </c>
      <c r="AZ455" s="13" t="s">
        <v>5510</v>
      </c>
      <c r="BA455" s="13" t="s">
        <v>5510</v>
      </c>
      <c r="BB455" s="13">
        <v>954.0</v>
      </c>
      <c r="BC455" s="13">
        <v>966.0</v>
      </c>
      <c r="BD455" s="13" t="s">
        <v>5510</v>
      </c>
      <c r="BE455" s="13" t="s">
        <v>13788</v>
      </c>
      <c r="BF455" s="52" t="str">
        <f>HYPERLINK("http://dx.doi.org/10.1111/ecog.05053","http://dx.doi.org/10.1111/ecog.05053")</f>
        <v>http://dx.doi.org/10.1111/ecog.05053</v>
      </c>
      <c r="BG455" s="13" t="s">
        <v>5510</v>
      </c>
      <c r="BH455" s="13" t="s">
        <v>8232</v>
      </c>
      <c r="BI455" s="13">
        <v>13.0</v>
      </c>
      <c r="BJ455" s="13" t="s">
        <v>5958</v>
      </c>
      <c r="BK455" s="13" t="s">
        <v>5561</v>
      </c>
      <c r="BL455" s="13" t="s">
        <v>5699</v>
      </c>
      <c r="BM455" s="13" t="s">
        <v>13789</v>
      </c>
      <c r="BN455" s="13" t="s">
        <v>5510</v>
      </c>
      <c r="BO455" s="13" t="s">
        <v>13790</v>
      </c>
      <c r="BP455" s="13" t="s">
        <v>5510</v>
      </c>
      <c r="BQ455" s="13" t="s">
        <v>5510</v>
      </c>
      <c r="BR455" s="13" t="s">
        <v>5538</v>
      </c>
      <c r="BS455" s="13" t="s">
        <v>13791</v>
      </c>
      <c r="BT455" s="13">
        <v>25417.0</v>
      </c>
      <c r="BU455" s="13" t="s">
        <v>5540</v>
      </c>
      <c r="BV455" s="13" t="s">
        <v>4856</v>
      </c>
      <c r="BW455" s="13" t="str">
        <f>VLOOKUP($BT455,Enriched!$A$2:$E$1070,5,false)</f>
        <v>["Biological Resource Use", "Agriculture &amp; Aquaculture"]</v>
      </c>
      <c r="BX455" s="13" t="str">
        <f>VLOOKUP($BT455,Enriched!$A$2:$E$1070,4,false)</f>
        <v>["Hunting &amp; collecting terrestrial animals"]</v>
      </c>
      <c r="BY455" s="13" t="b">
        <f>VLOOKUP(BT455,Enriched!$A$1:$AA$1070,27,falsE)</f>
        <v>1</v>
      </c>
      <c r="BZ455" s="2" t="str">
        <f>VLOOKUP(BT455,Enriched!$A$1:$AA$1070,14,falsE)</f>
        <v>level2</v>
      </c>
      <c r="CA455" s="13" t="str">
        <f>HYPERLINK("https%3A%2F%2Fwww.webofscience.com%2Fwos%2Fwoscc%2Ffull-record%2FWOS:000526161000001","View Full Record in Web of Science")</f>
        <v>View Full Record in Web of Science</v>
      </c>
    </row>
    <row r="456" ht="12.75" customHeight="1">
      <c r="A456" s="13" t="s">
        <v>5508</v>
      </c>
      <c r="B456" s="13" t="s">
        <v>13792</v>
      </c>
      <c r="C456" s="13" t="s">
        <v>5510</v>
      </c>
      <c r="D456" s="13" t="s">
        <v>5510</v>
      </c>
      <c r="E456" s="13" t="s">
        <v>5510</v>
      </c>
      <c r="F456" s="13" t="s">
        <v>13793</v>
      </c>
      <c r="G456" s="13" t="s">
        <v>5510</v>
      </c>
      <c r="H456" s="13" t="s">
        <v>5510</v>
      </c>
      <c r="I456" s="13" t="s">
        <v>1630</v>
      </c>
      <c r="J456" s="13" t="s">
        <v>5919</v>
      </c>
      <c r="K456" s="13" t="s">
        <v>5510</v>
      </c>
      <c r="L456" s="13" t="s">
        <v>5510</v>
      </c>
      <c r="M456" s="13" t="s">
        <v>5513</v>
      </c>
      <c r="N456" s="13" t="s">
        <v>5514</v>
      </c>
      <c r="O456" s="13" t="s">
        <v>5510</v>
      </c>
      <c r="P456" s="13" t="s">
        <v>5510</v>
      </c>
      <c r="Q456" s="13" t="s">
        <v>5510</v>
      </c>
      <c r="R456" s="13" t="s">
        <v>5510</v>
      </c>
      <c r="S456" s="13" t="s">
        <v>5510</v>
      </c>
      <c r="T456" s="13" t="s">
        <v>13794</v>
      </c>
      <c r="U456" s="13" t="s">
        <v>13795</v>
      </c>
      <c r="V456" s="13" t="s">
        <v>13796</v>
      </c>
      <c r="W456" s="13" t="s">
        <v>13797</v>
      </c>
      <c r="X456" s="13" t="s">
        <v>13798</v>
      </c>
      <c r="Y456" s="13" t="s">
        <v>13799</v>
      </c>
      <c r="Z456" s="13" t="s">
        <v>13800</v>
      </c>
      <c r="AA456" s="13" t="s">
        <v>13801</v>
      </c>
      <c r="AB456" s="13" t="s">
        <v>13802</v>
      </c>
      <c r="AC456" s="13" t="s">
        <v>13803</v>
      </c>
      <c r="AD456" s="13" t="s">
        <v>13803</v>
      </c>
      <c r="AE456" s="13" t="s">
        <v>13804</v>
      </c>
      <c r="AF456" s="13" t="s">
        <v>5510</v>
      </c>
      <c r="AG456" s="13">
        <v>70.0</v>
      </c>
      <c r="AH456" s="13">
        <v>48.0</v>
      </c>
      <c r="AI456" s="13">
        <v>60.0</v>
      </c>
      <c r="AJ456" s="13">
        <v>2.0</v>
      </c>
      <c r="AK456" s="13">
        <v>85.0</v>
      </c>
      <c r="AL456" s="13" t="s">
        <v>5931</v>
      </c>
      <c r="AM456" s="13" t="s">
        <v>5932</v>
      </c>
      <c r="AN456" s="13" t="s">
        <v>5933</v>
      </c>
      <c r="AO456" s="13" t="s">
        <v>5934</v>
      </c>
      <c r="AP456" s="13" t="s">
        <v>5935</v>
      </c>
      <c r="AQ456" s="13" t="s">
        <v>5510</v>
      </c>
      <c r="AR456" s="13" t="s">
        <v>5936</v>
      </c>
      <c r="AS456" s="13" t="s">
        <v>5937</v>
      </c>
      <c r="AT456" s="13" t="s">
        <v>5866</v>
      </c>
      <c r="AU456" s="13">
        <v>2011.0</v>
      </c>
      <c r="AV456" s="13">
        <v>144.0</v>
      </c>
      <c r="AW456" s="13">
        <v>5.0</v>
      </c>
      <c r="AX456" s="13" t="s">
        <v>5510</v>
      </c>
      <c r="AY456" s="13" t="s">
        <v>5510</v>
      </c>
      <c r="AZ456" s="13" t="s">
        <v>5510</v>
      </c>
      <c r="BA456" s="13" t="s">
        <v>5510</v>
      </c>
      <c r="BB456" s="13">
        <v>1585.0</v>
      </c>
      <c r="BC456" s="13">
        <v>1594.0</v>
      </c>
      <c r="BD456" s="13" t="s">
        <v>5510</v>
      </c>
      <c r="BE456" s="13" t="s">
        <v>13805</v>
      </c>
      <c r="BF456" s="52" t="str">
        <f>HYPERLINK("http://dx.doi.org/10.1016/j.biocon.2011.02.004","http://dx.doi.org/10.1016/j.biocon.2011.02.004")</f>
        <v>http://dx.doi.org/10.1016/j.biocon.2011.02.004</v>
      </c>
      <c r="BG456" s="13" t="s">
        <v>5510</v>
      </c>
      <c r="BH456" s="13" t="s">
        <v>5510</v>
      </c>
      <c r="BI456" s="13">
        <v>10.0</v>
      </c>
      <c r="BJ456" s="13" t="s">
        <v>5698</v>
      </c>
      <c r="BK456" s="13" t="s">
        <v>5534</v>
      </c>
      <c r="BL456" s="13" t="s">
        <v>5699</v>
      </c>
      <c r="BM456" s="13" t="s">
        <v>12598</v>
      </c>
      <c r="BN456" s="13" t="s">
        <v>5510</v>
      </c>
      <c r="BO456" s="13" t="s">
        <v>5510</v>
      </c>
      <c r="BP456" s="13" t="s">
        <v>5510</v>
      </c>
      <c r="BQ456" s="13" t="s">
        <v>5510</v>
      </c>
      <c r="BR456" s="13" t="s">
        <v>5538</v>
      </c>
      <c r="BS456" s="13" t="s">
        <v>13806</v>
      </c>
      <c r="BT456" s="13">
        <v>23845.0</v>
      </c>
      <c r="BU456" s="13" t="s">
        <v>5540</v>
      </c>
      <c r="BV456" s="13" t="s">
        <v>4856</v>
      </c>
      <c r="BW456" s="13" t="str">
        <f>VLOOKUP($BT456,Enriched!$A$2:$E$1070,5,false)</f>
        <v>["Agriculture &amp; Aquaculture", "Energy Production &amp; Mining", "Transportation &amp; Service Corridors"]</v>
      </c>
      <c r="BX456" s="13" t="str">
        <f>VLOOKUP($BT456,Enriched!$A$2:$E$1070,4,false)</f>
        <v>["Housing &amp; urban area", "Annual &amp; perennial non-timber crops", "Wood &amp; pulp plantations", "Livestock farming &amp; ranching", "Mining &amp; quarrying", "Roads &amp; railroads"]</v>
      </c>
      <c r="BY456" s="13" t="b">
        <f>VLOOKUP(BT456,Enriched!$A$1:$AA$1070,27,falsE)</f>
        <v>0</v>
      </c>
      <c r="BZ456" s="2" t="str">
        <f>VLOOKUP(BT456,Enriched!$A$1:$AA$1070,14,falsE)</f>
        <v>cumulative</v>
      </c>
      <c r="CA456" s="13" t="str">
        <f>HYPERLINK("https%3A%2F%2Fwww.webofscience.com%2Fwos%2Fwoscc%2Ffull-record%2FWOS:000292668200041","View Full Record in Web of Science")</f>
        <v>View Full Record in Web of Science</v>
      </c>
    </row>
    <row r="457" ht="12.75" customHeight="1">
      <c r="A457" s="13" t="s">
        <v>5508</v>
      </c>
      <c r="B457" s="13" t="s">
        <v>13807</v>
      </c>
      <c r="C457" s="13" t="s">
        <v>5510</v>
      </c>
      <c r="D457" s="13" t="s">
        <v>5510</v>
      </c>
      <c r="E457" s="13" t="s">
        <v>5510</v>
      </c>
      <c r="F457" s="13" t="s">
        <v>13807</v>
      </c>
      <c r="G457" s="13" t="s">
        <v>5510</v>
      </c>
      <c r="H457" s="13" t="s">
        <v>5510</v>
      </c>
      <c r="I457" s="13" t="s">
        <v>1627</v>
      </c>
      <c r="J457" s="13" t="s">
        <v>13163</v>
      </c>
      <c r="K457" s="13" t="s">
        <v>5510</v>
      </c>
      <c r="L457" s="13" t="s">
        <v>5510</v>
      </c>
      <c r="M457" s="13" t="s">
        <v>5513</v>
      </c>
      <c r="N457" s="13" t="s">
        <v>5514</v>
      </c>
      <c r="O457" s="13" t="s">
        <v>5510</v>
      </c>
      <c r="P457" s="13" t="s">
        <v>5510</v>
      </c>
      <c r="Q457" s="13" t="s">
        <v>5510</v>
      </c>
      <c r="R457" s="13" t="s">
        <v>5510</v>
      </c>
      <c r="S457" s="13" t="s">
        <v>5510</v>
      </c>
      <c r="T457" s="13" t="s">
        <v>5510</v>
      </c>
      <c r="U457" s="13" t="s">
        <v>13808</v>
      </c>
      <c r="V457" s="13" t="s">
        <v>13809</v>
      </c>
      <c r="W457" s="13" t="s">
        <v>13810</v>
      </c>
      <c r="X457" s="13" t="s">
        <v>13811</v>
      </c>
      <c r="Y457" s="13" t="s">
        <v>13812</v>
      </c>
      <c r="Z457" s="13" t="s">
        <v>13813</v>
      </c>
      <c r="AA457" s="13" t="s">
        <v>13814</v>
      </c>
      <c r="AB457" s="13" t="s">
        <v>13815</v>
      </c>
      <c r="AC457" s="13" t="s">
        <v>5510</v>
      </c>
      <c r="AD457" s="13" t="s">
        <v>5510</v>
      </c>
      <c r="AE457" s="13" t="s">
        <v>5510</v>
      </c>
      <c r="AF457" s="13" t="s">
        <v>5510</v>
      </c>
      <c r="AG457" s="13">
        <v>91.0</v>
      </c>
      <c r="AH457" s="13">
        <v>37.0</v>
      </c>
      <c r="AI457" s="13">
        <v>40.0</v>
      </c>
      <c r="AJ457" s="13">
        <v>0.0</v>
      </c>
      <c r="AK457" s="13">
        <v>5.0</v>
      </c>
      <c r="AL457" s="13" t="s">
        <v>5527</v>
      </c>
      <c r="AM457" s="13" t="s">
        <v>5528</v>
      </c>
      <c r="AN457" s="13" t="s">
        <v>5529</v>
      </c>
      <c r="AO457" s="13" t="s">
        <v>13176</v>
      </c>
      <c r="AP457" s="13" t="s">
        <v>13177</v>
      </c>
      <c r="AQ457" s="13" t="s">
        <v>5510</v>
      </c>
      <c r="AR457" s="13" t="s">
        <v>13178</v>
      </c>
      <c r="AS457" s="13" t="s">
        <v>13179</v>
      </c>
      <c r="AT457" s="13" t="s">
        <v>2738</v>
      </c>
      <c r="AU457" s="13">
        <v>2000.0</v>
      </c>
      <c r="AV457" s="13">
        <v>3.0</v>
      </c>
      <c r="AW457" s="13" t="s">
        <v>5510</v>
      </c>
      <c r="AX457" s="13">
        <v>1.0</v>
      </c>
      <c r="AY457" s="13" t="s">
        <v>5510</v>
      </c>
      <c r="AZ457" s="13" t="s">
        <v>5510</v>
      </c>
      <c r="BA457" s="13" t="s">
        <v>5510</v>
      </c>
      <c r="BB457" s="13">
        <v>67.0</v>
      </c>
      <c r="BC457" s="13">
        <v>79.0</v>
      </c>
      <c r="BD457" s="13" t="s">
        <v>5510</v>
      </c>
      <c r="BE457" s="13" t="s">
        <v>13816</v>
      </c>
      <c r="BF457" s="52" t="str">
        <f>HYPERLINK("http://dx.doi.org/10.1111/j.1469-1795.2000.tb00088.x","http://dx.doi.org/10.1111/j.1469-1795.2000.tb00088.x")</f>
        <v>http://dx.doi.org/10.1111/j.1469-1795.2000.tb00088.x</v>
      </c>
      <c r="BG457" s="13" t="s">
        <v>5510</v>
      </c>
      <c r="BH457" s="13" t="s">
        <v>5510</v>
      </c>
      <c r="BI457" s="13">
        <v>13.0</v>
      </c>
      <c r="BJ457" s="13" t="s">
        <v>5958</v>
      </c>
      <c r="BK457" s="13" t="s">
        <v>5561</v>
      </c>
      <c r="BL457" s="13" t="s">
        <v>5699</v>
      </c>
      <c r="BM457" s="13" t="s">
        <v>13817</v>
      </c>
      <c r="BN457" s="13" t="s">
        <v>5510</v>
      </c>
      <c r="BO457" s="13" t="s">
        <v>5510</v>
      </c>
      <c r="BP457" s="13" t="s">
        <v>5510</v>
      </c>
      <c r="BQ457" s="13" t="s">
        <v>5510</v>
      </c>
      <c r="BR457" s="13" t="s">
        <v>5538</v>
      </c>
      <c r="BS457" s="13" t="s">
        <v>13818</v>
      </c>
      <c r="BT457" s="13">
        <v>25997.0</v>
      </c>
      <c r="BU457" s="13" t="s">
        <v>5540</v>
      </c>
      <c r="BV457" s="13" t="s">
        <v>4856</v>
      </c>
      <c r="BW457" s="13" t="str">
        <f>VLOOKUP($BT457,Enriched!$A$2:$E$1070,5,false)</f>
        <v>["Agriculture &amp; Aquaculture", "Residential &amp; Commercial Development", "Energy Production &amp; Mining"]</v>
      </c>
      <c r="BX457" s="13" t="str">
        <f>VLOOKUP($BT457,Enriched!$A$2:$E$1070,4,false)</f>
        <v>["Annual &amp; perennial non-timber crops", "Housing &amp; urban area", "Commercial &amp; industrial areas", "Tourism &amp; recreation areas", "Mining &amp; quarrying", "Wood &amp; pulp plantations"]</v>
      </c>
      <c r="BY457" s="13" t="b">
        <f>VLOOKUP(BT457,Enriched!$A$1:$AA$1070,27,falsE)</f>
        <v>0</v>
      </c>
      <c r="BZ457" s="2" t="str">
        <f>VLOOKUP(BT457,Enriched!$A$1:$AA$1070,14,falsE)</f>
        <v>cumulative</v>
      </c>
      <c r="CA457" s="13" t="str">
        <f>HYPERLINK("https%3A%2F%2Fwww.webofscience.com%2Fwos%2Fwoscc%2Ffull-record%2FWOS:000088757100008","View Full Record in Web of Science")</f>
        <v>View Full Record in Web of Science</v>
      </c>
    </row>
    <row r="458" ht="12.75" customHeight="1">
      <c r="A458" s="13" t="s">
        <v>5508</v>
      </c>
      <c r="B458" s="13" t="s">
        <v>13819</v>
      </c>
      <c r="C458" s="13" t="s">
        <v>5510</v>
      </c>
      <c r="D458" s="13" t="s">
        <v>5510</v>
      </c>
      <c r="E458" s="13" t="s">
        <v>5510</v>
      </c>
      <c r="F458" s="13" t="s">
        <v>13820</v>
      </c>
      <c r="G458" s="13" t="s">
        <v>5510</v>
      </c>
      <c r="H458" s="13" t="s">
        <v>5510</v>
      </c>
      <c r="I458" s="13" t="s">
        <v>1625</v>
      </c>
      <c r="J458" s="13" t="s">
        <v>6333</v>
      </c>
      <c r="K458" s="13" t="s">
        <v>5510</v>
      </c>
      <c r="L458" s="13" t="s">
        <v>5510</v>
      </c>
      <c r="M458" s="13" t="s">
        <v>5513</v>
      </c>
      <c r="N458" s="13" t="s">
        <v>5514</v>
      </c>
      <c r="O458" s="13" t="s">
        <v>5510</v>
      </c>
      <c r="P458" s="13" t="s">
        <v>5510</v>
      </c>
      <c r="Q458" s="13" t="s">
        <v>5510</v>
      </c>
      <c r="R458" s="13" t="s">
        <v>5510</v>
      </c>
      <c r="S458" s="13" t="s">
        <v>5510</v>
      </c>
      <c r="T458" s="13" t="s">
        <v>13821</v>
      </c>
      <c r="U458" s="13" t="s">
        <v>13822</v>
      </c>
      <c r="V458" s="13" t="s">
        <v>13823</v>
      </c>
      <c r="W458" s="13" t="s">
        <v>13824</v>
      </c>
      <c r="X458" s="13" t="s">
        <v>13825</v>
      </c>
      <c r="Y458" s="13" t="s">
        <v>13826</v>
      </c>
      <c r="Z458" s="13" t="s">
        <v>13827</v>
      </c>
      <c r="AA458" s="13" t="s">
        <v>13828</v>
      </c>
      <c r="AB458" s="13" t="s">
        <v>13829</v>
      </c>
      <c r="AC458" s="13" t="s">
        <v>13830</v>
      </c>
      <c r="AD458" s="13" t="s">
        <v>13831</v>
      </c>
      <c r="AE458" s="13" t="s">
        <v>13832</v>
      </c>
      <c r="AF458" s="13" t="s">
        <v>5510</v>
      </c>
      <c r="AG458" s="13">
        <v>62.0</v>
      </c>
      <c r="AH458" s="13">
        <v>27.0</v>
      </c>
      <c r="AI458" s="13">
        <v>37.0</v>
      </c>
      <c r="AJ458" s="13">
        <v>1.0</v>
      </c>
      <c r="AK458" s="13">
        <v>44.0</v>
      </c>
      <c r="AL458" s="13" t="s">
        <v>5527</v>
      </c>
      <c r="AM458" s="13" t="s">
        <v>5528</v>
      </c>
      <c r="AN458" s="13" t="s">
        <v>5529</v>
      </c>
      <c r="AO458" s="13" t="s">
        <v>6342</v>
      </c>
      <c r="AP458" s="13" t="s">
        <v>6343</v>
      </c>
      <c r="AQ458" s="13" t="s">
        <v>5510</v>
      </c>
      <c r="AR458" s="13" t="s">
        <v>6344</v>
      </c>
      <c r="AS458" s="13" t="s">
        <v>6345</v>
      </c>
      <c r="AT458" s="13" t="s">
        <v>2738</v>
      </c>
      <c r="AU458" s="13">
        <v>2018.0</v>
      </c>
      <c r="AV458" s="13">
        <v>32.0</v>
      </c>
      <c r="AW458" s="13">
        <v>1.0</v>
      </c>
      <c r="AX458" s="13" t="s">
        <v>5510</v>
      </c>
      <c r="AY458" s="13" t="s">
        <v>5510</v>
      </c>
      <c r="AZ458" s="13" t="s">
        <v>5510</v>
      </c>
      <c r="BA458" s="13" t="s">
        <v>5510</v>
      </c>
      <c r="BB458" s="13">
        <v>171.0</v>
      </c>
      <c r="BC458" s="13">
        <v>182.0</v>
      </c>
      <c r="BD458" s="13" t="s">
        <v>5510</v>
      </c>
      <c r="BE458" s="13" t="s">
        <v>13833</v>
      </c>
      <c r="BF458" s="52" t="str">
        <f>HYPERLINK("http://dx.doi.org/10.1111/cobi.13024","http://dx.doi.org/10.1111/cobi.13024")</f>
        <v>http://dx.doi.org/10.1111/cobi.13024</v>
      </c>
      <c r="BG458" s="13" t="s">
        <v>5510</v>
      </c>
      <c r="BH458" s="13" t="s">
        <v>5510</v>
      </c>
      <c r="BI458" s="13">
        <v>12.0</v>
      </c>
      <c r="BJ458" s="13" t="s">
        <v>5698</v>
      </c>
      <c r="BK458" s="13" t="s">
        <v>5561</v>
      </c>
      <c r="BL458" s="13" t="s">
        <v>5699</v>
      </c>
      <c r="BM458" s="13" t="s">
        <v>6403</v>
      </c>
      <c r="BN458" s="13">
        <v>2.8877382E7</v>
      </c>
      <c r="BO458" s="13" t="s">
        <v>5510</v>
      </c>
      <c r="BP458" s="13" t="s">
        <v>5510</v>
      </c>
      <c r="BQ458" s="13" t="s">
        <v>5510</v>
      </c>
      <c r="BR458" s="13" t="s">
        <v>5538</v>
      </c>
      <c r="BS458" s="13" t="s">
        <v>13834</v>
      </c>
      <c r="BT458" s="13">
        <v>25740.0</v>
      </c>
      <c r="BU458" s="13" t="s">
        <v>5540</v>
      </c>
      <c r="BV458" s="13" t="s">
        <v>4852</v>
      </c>
      <c r="BW458" s="13" t="str">
        <f>VLOOKUP($BT458,Enriched!$A$2:$E$1070,5,false)</f>
        <v>["Natural system modifications"]</v>
      </c>
      <c r="BX458" s="13" t="str">
        <f>VLOOKUP($BT458,Enriched!$A$2:$E$1070,4,false)</f>
        <v>["Dams &amp; water management/use"]</v>
      </c>
      <c r="BY458" s="13" t="b">
        <f>VLOOKUP(BT458,Enriched!$A$1:$AA$1070,27,falsE)</f>
        <v>0</v>
      </c>
      <c r="BZ458" s="2" t="str">
        <f>VLOOKUP(BT458,Enriched!$A$1:$AA$1070,14,falsE)</f>
        <v>level2</v>
      </c>
      <c r="CA458" s="13" t="str">
        <f>HYPERLINK("https%3A%2F%2Fwww.webofscience.com%2Fwos%2Fwoscc%2Ffull-record%2FWOS:000419240100017","View Full Record in Web of Science")</f>
        <v>View Full Record in Web of Science</v>
      </c>
    </row>
    <row r="459" ht="12.75" customHeight="1">
      <c r="A459" s="13" t="s">
        <v>5508</v>
      </c>
      <c r="B459" s="13" t="s">
        <v>13835</v>
      </c>
      <c r="C459" s="13" t="s">
        <v>5510</v>
      </c>
      <c r="D459" s="13" t="s">
        <v>5510</v>
      </c>
      <c r="E459" s="13" t="s">
        <v>5510</v>
      </c>
      <c r="F459" s="13" t="s">
        <v>13836</v>
      </c>
      <c r="G459" s="13" t="s">
        <v>5510</v>
      </c>
      <c r="H459" s="13" t="s">
        <v>5510</v>
      </c>
      <c r="I459" s="13" t="s">
        <v>13837</v>
      </c>
      <c r="J459" s="13" t="s">
        <v>5543</v>
      </c>
      <c r="K459" s="13" t="s">
        <v>5510</v>
      </c>
      <c r="L459" s="13" t="s">
        <v>5510</v>
      </c>
      <c r="M459" s="13" t="s">
        <v>5513</v>
      </c>
      <c r="N459" s="13" t="s">
        <v>5514</v>
      </c>
      <c r="O459" s="13" t="s">
        <v>5510</v>
      </c>
      <c r="P459" s="13" t="s">
        <v>5510</v>
      </c>
      <c r="Q459" s="13" t="s">
        <v>5510</v>
      </c>
      <c r="R459" s="13" t="s">
        <v>5510</v>
      </c>
      <c r="S459" s="13" t="s">
        <v>5510</v>
      </c>
      <c r="T459" s="13" t="s">
        <v>5510</v>
      </c>
      <c r="U459" s="13" t="s">
        <v>13838</v>
      </c>
      <c r="V459" s="13" t="s">
        <v>13839</v>
      </c>
      <c r="W459" s="13" t="s">
        <v>13840</v>
      </c>
      <c r="X459" s="13" t="s">
        <v>13841</v>
      </c>
      <c r="Y459" s="13" t="s">
        <v>13842</v>
      </c>
      <c r="Z459" s="13" t="s">
        <v>13843</v>
      </c>
      <c r="AA459" s="13" t="s">
        <v>13844</v>
      </c>
      <c r="AB459" s="13" t="s">
        <v>13845</v>
      </c>
      <c r="AC459" s="13" t="s">
        <v>13846</v>
      </c>
      <c r="AD459" s="13" t="s">
        <v>13847</v>
      </c>
      <c r="AE459" s="13" t="s">
        <v>13848</v>
      </c>
      <c r="AF459" s="13" t="s">
        <v>5510</v>
      </c>
      <c r="AG459" s="13">
        <v>85.0</v>
      </c>
      <c r="AH459" s="13">
        <v>11.0</v>
      </c>
      <c r="AI459" s="13">
        <v>13.0</v>
      </c>
      <c r="AJ459" s="13">
        <v>0.0</v>
      </c>
      <c r="AK459" s="13">
        <v>20.0</v>
      </c>
      <c r="AL459" s="13" t="s">
        <v>5552</v>
      </c>
      <c r="AM459" s="13" t="s">
        <v>5553</v>
      </c>
      <c r="AN459" s="13" t="s">
        <v>5554</v>
      </c>
      <c r="AO459" s="13" t="s">
        <v>5555</v>
      </c>
      <c r="AP459" s="13" t="s">
        <v>5510</v>
      </c>
      <c r="AQ459" s="13" t="s">
        <v>5510</v>
      </c>
      <c r="AR459" s="13" t="s">
        <v>5543</v>
      </c>
      <c r="AS459" s="13" t="s">
        <v>5556</v>
      </c>
      <c r="AT459" s="13" t="s">
        <v>13849</v>
      </c>
      <c r="AU459" s="13">
        <v>2017.0</v>
      </c>
      <c r="AV459" s="13">
        <v>12.0</v>
      </c>
      <c r="AW459" s="13">
        <v>2.0</v>
      </c>
      <c r="AX459" s="13" t="s">
        <v>5510</v>
      </c>
      <c r="AY459" s="13" t="s">
        <v>5510</v>
      </c>
      <c r="AZ459" s="13" t="s">
        <v>5510</v>
      </c>
      <c r="BA459" s="13" t="s">
        <v>5510</v>
      </c>
      <c r="BB459" s="13" t="s">
        <v>5510</v>
      </c>
      <c r="BC459" s="13" t="s">
        <v>5510</v>
      </c>
      <c r="BD459" s="13" t="s">
        <v>13850</v>
      </c>
      <c r="BE459" s="13" t="s">
        <v>13851</v>
      </c>
      <c r="BF459" s="52" t="str">
        <f>HYPERLINK("http://dx.doi.org/10.1371/journal.pone.0171549","http://dx.doi.org/10.1371/journal.pone.0171549")</f>
        <v>http://dx.doi.org/10.1371/journal.pone.0171549</v>
      </c>
      <c r="BG459" s="13" t="s">
        <v>5510</v>
      </c>
      <c r="BH459" s="13" t="s">
        <v>5510</v>
      </c>
      <c r="BI459" s="13">
        <v>18.0</v>
      </c>
      <c r="BJ459" s="13" t="s">
        <v>5560</v>
      </c>
      <c r="BK459" s="13" t="s">
        <v>5561</v>
      </c>
      <c r="BL459" s="13" t="s">
        <v>5562</v>
      </c>
      <c r="BM459" s="13" t="s">
        <v>13852</v>
      </c>
      <c r="BN459" s="13">
        <v>2.8192454E7</v>
      </c>
      <c r="BO459" s="13" t="s">
        <v>5564</v>
      </c>
      <c r="BP459" s="13" t="s">
        <v>5510</v>
      </c>
      <c r="BQ459" s="13" t="s">
        <v>5510</v>
      </c>
      <c r="BR459" s="13" t="s">
        <v>5538</v>
      </c>
      <c r="BS459" s="13" t="s">
        <v>13853</v>
      </c>
      <c r="BT459" s="13">
        <v>25543.0</v>
      </c>
      <c r="BU459" s="13" t="s">
        <v>5540</v>
      </c>
      <c r="BV459" s="13" t="s">
        <v>4856</v>
      </c>
      <c r="BW459" s="13" t="str">
        <f>VLOOKUP($BT459,Enriched!$A$2:$E$1070,5,false)</f>
        <v>["Invasive &amp; other problematic species, genes &amp; diseases"]</v>
      </c>
      <c r="BX459" s="13" t="str">
        <f>VLOOKUP($BT459,Enriched!$A$2:$E$1070,4,false)</f>
        <v>["Invasive non-native/alien species/diseases"]</v>
      </c>
      <c r="BY459" s="13" t="b">
        <f>VLOOKUP(BT459,Enriched!$A$1:$AA$1070,27,falsE)</f>
        <v>0</v>
      </c>
      <c r="BZ459" s="2" t="str">
        <f>VLOOKUP(BT459,Enriched!$A$1:$AA$1070,14,falsE)</f>
        <v>level2</v>
      </c>
      <c r="CA459" s="13" t="str">
        <f>HYPERLINK("https%3A%2F%2Fwww.webofscience.com%2Fwos%2Fwoscc%2Ffull-record%2FWOS:000394423800029","View Full Record in Web of Science")</f>
        <v>View Full Record in Web of Science</v>
      </c>
    </row>
    <row r="460" ht="12.75" customHeight="1">
      <c r="A460" s="13" t="s">
        <v>5508</v>
      </c>
      <c r="B460" s="13" t="s">
        <v>13854</v>
      </c>
      <c r="C460" s="13" t="s">
        <v>5510</v>
      </c>
      <c r="D460" s="13" t="s">
        <v>5510</v>
      </c>
      <c r="E460" s="13" t="s">
        <v>5510</v>
      </c>
      <c r="F460" s="13" t="s">
        <v>13855</v>
      </c>
      <c r="G460" s="13" t="s">
        <v>5510</v>
      </c>
      <c r="H460" s="13" t="s">
        <v>5510</v>
      </c>
      <c r="I460" s="13" t="s">
        <v>1621</v>
      </c>
      <c r="J460" s="13" t="s">
        <v>6114</v>
      </c>
      <c r="K460" s="13" t="s">
        <v>5510</v>
      </c>
      <c r="L460" s="13" t="s">
        <v>5510</v>
      </c>
      <c r="M460" s="13" t="s">
        <v>5513</v>
      </c>
      <c r="N460" s="13" t="s">
        <v>5514</v>
      </c>
      <c r="O460" s="13" t="s">
        <v>5510</v>
      </c>
      <c r="P460" s="13" t="s">
        <v>5510</v>
      </c>
      <c r="Q460" s="13" t="s">
        <v>5510</v>
      </c>
      <c r="R460" s="13" t="s">
        <v>5510</v>
      </c>
      <c r="S460" s="13" t="s">
        <v>5510</v>
      </c>
      <c r="T460" s="13" t="s">
        <v>13856</v>
      </c>
      <c r="U460" s="13" t="s">
        <v>13857</v>
      </c>
      <c r="V460" s="13" t="s">
        <v>13858</v>
      </c>
      <c r="W460" s="13" t="s">
        <v>13859</v>
      </c>
      <c r="X460" s="13" t="s">
        <v>13860</v>
      </c>
      <c r="Y460" s="13" t="s">
        <v>13861</v>
      </c>
      <c r="Z460" s="13" t="s">
        <v>13862</v>
      </c>
      <c r="AA460" s="13" t="s">
        <v>13863</v>
      </c>
      <c r="AB460" s="13" t="s">
        <v>13864</v>
      </c>
      <c r="AC460" s="13" t="s">
        <v>13865</v>
      </c>
      <c r="AD460" s="13" t="s">
        <v>13866</v>
      </c>
      <c r="AE460" s="13" t="s">
        <v>13867</v>
      </c>
      <c r="AF460" s="13" t="s">
        <v>5510</v>
      </c>
      <c r="AG460" s="13">
        <v>112.0</v>
      </c>
      <c r="AH460" s="13">
        <v>38.0</v>
      </c>
      <c r="AI460" s="13">
        <v>42.0</v>
      </c>
      <c r="AJ460" s="13">
        <v>2.0</v>
      </c>
      <c r="AK460" s="13">
        <v>49.0</v>
      </c>
      <c r="AL460" s="13" t="s">
        <v>5931</v>
      </c>
      <c r="AM460" s="13" t="s">
        <v>5932</v>
      </c>
      <c r="AN460" s="13" t="s">
        <v>5933</v>
      </c>
      <c r="AO460" s="13" t="s">
        <v>6127</v>
      </c>
      <c r="AP460" s="13" t="s">
        <v>6128</v>
      </c>
      <c r="AQ460" s="13" t="s">
        <v>5510</v>
      </c>
      <c r="AR460" s="13" t="s">
        <v>6129</v>
      </c>
      <c r="AS460" s="13" t="s">
        <v>6130</v>
      </c>
      <c r="AT460" s="13" t="s">
        <v>13868</v>
      </c>
      <c r="AU460" s="13">
        <v>2020.0</v>
      </c>
      <c r="AV460" s="13">
        <v>193.0</v>
      </c>
      <c r="AW460" s="13" t="s">
        <v>5510</v>
      </c>
      <c r="AX460" s="13" t="s">
        <v>5510</v>
      </c>
      <c r="AY460" s="13" t="s">
        <v>5510</v>
      </c>
      <c r="AZ460" s="13" t="s">
        <v>5510</v>
      </c>
      <c r="BA460" s="13" t="s">
        <v>5510</v>
      </c>
      <c r="BB460" s="13" t="s">
        <v>5510</v>
      </c>
      <c r="BC460" s="13" t="s">
        <v>5510</v>
      </c>
      <c r="BD460" s="13">
        <v>105230.0</v>
      </c>
      <c r="BE460" s="13" t="s">
        <v>13869</v>
      </c>
      <c r="BF460" s="52" t="str">
        <f>HYPERLINK("http://dx.doi.org/10.1016/j.ocecoaman.2020.105230","http://dx.doi.org/10.1016/j.ocecoaman.2020.105230")</f>
        <v>http://dx.doi.org/10.1016/j.ocecoaman.2020.105230</v>
      </c>
      <c r="BG460" s="13" t="s">
        <v>5510</v>
      </c>
      <c r="BH460" s="13" t="s">
        <v>5510</v>
      </c>
      <c r="BI460" s="13">
        <v>14.0</v>
      </c>
      <c r="BJ460" s="13" t="s">
        <v>6133</v>
      </c>
      <c r="BK460" s="13" t="s">
        <v>5534</v>
      </c>
      <c r="BL460" s="13" t="s">
        <v>6133</v>
      </c>
      <c r="BM460" s="13" t="s">
        <v>13870</v>
      </c>
      <c r="BN460" s="13" t="s">
        <v>5510</v>
      </c>
      <c r="BO460" s="13" t="s">
        <v>5510</v>
      </c>
      <c r="BP460" s="13" t="s">
        <v>5510</v>
      </c>
      <c r="BQ460" s="13" t="s">
        <v>5510</v>
      </c>
      <c r="BR460" s="13" t="s">
        <v>5538</v>
      </c>
      <c r="BS460" s="13" t="s">
        <v>13871</v>
      </c>
      <c r="BT460" s="13">
        <v>23864.0</v>
      </c>
      <c r="BU460" s="13" t="s">
        <v>5540</v>
      </c>
      <c r="BV460" s="13" t="s">
        <v>4864</v>
      </c>
      <c r="BW460" s="13" t="str">
        <f>VLOOKUP($BT460,Enriched!$A$2:$E$1070,5,false)</f>
        <v>["Agriculture &amp; Aquaculture", "Transportation &amp; Service Corridors", "Human Intrusions &amp; Disturbance", "Residential &amp; Commercial Development", "Pollution", "Natural System Modifications", "Energy Production &amp; Mining", "Biological Resource Use"]</v>
      </c>
      <c r="BX460" s="13" t="str">
        <f>VLOOKUP($BT460,Enriched!$A$2:$E$1070,4,false)</f>
        <v>["Marine &amp; freshwater aquaculture", "Utility &amp; service lines", "Recreational activities", "Tourism &amp; recreation areas", "Agricultural &amp; forestry effluents", "Industrial &amp; military effluents", "Commercial &amp; industrial areas", "Other ecosystem modifications", "Shipping lanes", "Oil &amp; gas drilling", "Fishing &amp; harvesting aquatic resources"]</v>
      </c>
      <c r="BY460" s="13" t="b">
        <f>VLOOKUP(BT460,Enriched!$A$1:$AA$1070,27,falsE)</f>
        <v>0</v>
      </c>
      <c r="BZ460" s="2" t="str">
        <f>VLOOKUP(BT460,Enriched!$A$1:$AA$1070,14,falsE)</f>
        <v>cumulative</v>
      </c>
      <c r="CA460" s="13" t="str">
        <f>HYPERLINK("https%3A%2F%2Fwww.webofscience.com%2Fwos%2Fwoscc%2Ffull-record%2FWOS:000541741600007","View Full Record in Web of Science")</f>
        <v>View Full Record in Web of Science</v>
      </c>
    </row>
    <row r="461" ht="12.75" customHeight="1">
      <c r="A461" s="13" t="s">
        <v>5508</v>
      </c>
      <c r="B461" s="13" t="s">
        <v>13872</v>
      </c>
      <c r="C461" s="13" t="s">
        <v>5510</v>
      </c>
      <c r="D461" s="13" t="s">
        <v>5510</v>
      </c>
      <c r="E461" s="13" t="s">
        <v>5510</v>
      </c>
      <c r="F461" s="13" t="s">
        <v>13873</v>
      </c>
      <c r="G461" s="13" t="s">
        <v>5510</v>
      </c>
      <c r="H461" s="13" t="s">
        <v>5510</v>
      </c>
      <c r="I461" s="13" t="s">
        <v>1618</v>
      </c>
      <c r="J461" s="13" t="s">
        <v>9455</v>
      </c>
      <c r="K461" s="13" t="s">
        <v>5510</v>
      </c>
      <c r="L461" s="13" t="s">
        <v>5510</v>
      </c>
      <c r="M461" s="13" t="s">
        <v>5513</v>
      </c>
      <c r="N461" s="13" t="s">
        <v>5514</v>
      </c>
      <c r="O461" s="13" t="s">
        <v>5510</v>
      </c>
      <c r="P461" s="13" t="s">
        <v>5510</v>
      </c>
      <c r="Q461" s="13" t="s">
        <v>5510</v>
      </c>
      <c r="R461" s="13" t="s">
        <v>5510</v>
      </c>
      <c r="S461" s="13" t="s">
        <v>5510</v>
      </c>
      <c r="T461" s="13" t="s">
        <v>13874</v>
      </c>
      <c r="U461" s="13" t="s">
        <v>13875</v>
      </c>
      <c r="V461" s="13" t="s">
        <v>13876</v>
      </c>
      <c r="W461" s="13" t="s">
        <v>13877</v>
      </c>
      <c r="X461" s="13" t="s">
        <v>13878</v>
      </c>
      <c r="Y461" s="13" t="s">
        <v>13879</v>
      </c>
      <c r="Z461" s="13" t="s">
        <v>13880</v>
      </c>
      <c r="AA461" s="13" t="s">
        <v>5510</v>
      </c>
      <c r="AB461" s="13" t="s">
        <v>13881</v>
      </c>
      <c r="AC461" s="13" t="s">
        <v>13882</v>
      </c>
      <c r="AD461" s="13" t="s">
        <v>13882</v>
      </c>
      <c r="AE461" s="13" t="s">
        <v>13883</v>
      </c>
      <c r="AF461" s="13" t="s">
        <v>5510</v>
      </c>
      <c r="AG461" s="13">
        <v>41.0</v>
      </c>
      <c r="AH461" s="13">
        <v>18.0</v>
      </c>
      <c r="AI461" s="13">
        <v>29.0</v>
      </c>
      <c r="AJ461" s="13">
        <v>0.0</v>
      </c>
      <c r="AK461" s="13">
        <v>72.0</v>
      </c>
      <c r="AL461" s="13" t="s">
        <v>5759</v>
      </c>
      <c r="AM461" s="13" t="s">
        <v>5760</v>
      </c>
      <c r="AN461" s="13" t="s">
        <v>5761</v>
      </c>
      <c r="AO461" s="13" t="s">
        <v>9464</v>
      </c>
      <c r="AP461" s="13" t="s">
        <v>9465</v>
      </c>
      <c r="AQ461" s="13" t="s">
        <v>5510</v>
      </c>
      <c r="AR461" s="13" t="s">
        <v>9466</v>
      </c>
      <c r="AS461" s="13" t="s">
        <v>9467</v>
      </c>
      <c r="AT461" s="13" t="s">
        <v>13884</v>
      </c>
      <c r="AU461" s="13">
        <v>2011.0</v>
      </c>
      <c r="AV461" s="13">
        <v>100.0</v>
      </c>
      <c r="AW461" s="13" t="s">
        <v>12302</v>
      </c>
      <c r="AX461" s="13" t="s">
        <v>5510</v>
      </c>
      <c r="AY461" s="13" t="s">
        <v>5510</v>
      </c>
      <c r="AZ461" s="13" t="s">
        <v>5510</v>
      </c>
      <c r="BA461" s="13" t="s">
        <v>5510</v>
      </c>
      <c r="BB461" s="13">
        <v>136.0</v>
      </c>
      <c r="BC461" s="13">
        <v>143.0</v>
      </c>
      <c r="BD461" s="13" t="s">
        <v>5510</v>
      </c>
      <c r="BE461" s="13" t="s">
        <v>13885</v>
      </c>
      <c r="BF461" s="52" t="str">
        <f>HYPERLINK("http://dx.doi.org/10.1016/j.landurbplan.2010.11.014","http://dx.doi.org/10.1016/j.landurbplan.2010.11.014")</f>
        <v>http://dx.doi.org/10.1016/j.landurbplan.2010.11.014</v>
      </c>
      <c r="BG461" s="13" t="s">
        <v>5510</v>
      </c>
      <c r="BH461" s="13" t="s">
        <v>5510</v>
      </c>
      <c r="BI461" s="13">
        <v>8.0</v>
      </c>
      <c r="BJ461" s="13" t="s">
        <v>9469</v>
      </c>
      <c r="BK461" s="13" t="s">
        <v>5534</v>
      </c>
      <c r="BL461" s="13" t="s">
        <v>9470</v>
      </c>
      <c r="BM461" s="13" t="s">
        <v>13886</v>
      </c>
      <c r="BN461" s="13" t="s">
        <v>5510</v>
      </c>
      <c r="BO461" s="13" t="s">
        <v>5510</v>
      </c>
      <c r="BP461" s="13" t="s">
        <v>5510</v>
      </c>
      <c r="BQ461" s="13" t="s">
        <v>5510</v>
      </c>
      <c r="BR461" s="13" t="s">
        <v>5538</v>
      </c>
      <c r="BS461" s="13" t="s">
        <v>13887</v>
      </c>
      <c r="BT461" s="13">
        <v>25846.0</v>
      </c>
      <c r="BU461" s="13" t="s">
        <v>5540</v>
      </c>
      <c r="BV461" s="13" t="s">
        <v>4856</v>
      </c>
      <c r="BW461" s="13" t="str">
        <f>VLOOKUP($BT461,Enriched!$A$2:$E$1070,5,false)</f>
        <v>["Climate Change &amp; Severe Weather", "Energy Production &amp; Mining", "Transportation &amp; Service Corridors", "Human Intrusions &amp; Disturbance", "Natural System Modifications", "Invasive &amp; Other Problematic Species, Genes &amp; Diseases", "Pollution"]</v>
      </c>
      <c r="BX461" s="13" t="str">
        <f>VLOOKUP($BT461,Enriched!$A$2:$E$1070,4,false)</f>
        <v>["Housing &amp; urban area", "Droughts", "Temperature extremes", "Mining &amp; quarrying", "Roads &amp; railroads", "Utility &amp; service lines", "Recreational activities", "Dams &amp; water management/use", "Invasive non-native/alien species/diseases", "Domestic &amp; urban waste water", "Industrial &amp; military effluents", "Agricultural &amp; forestry effluents", "Garbage &amp; solid waste", "Excess energy"]</v>
      </c>
      <c r="BY461" s="13" t="b">
        <f>VLOOKUP(BT461,Enriched!$A$1:$AA$1070,27,falsE)</f>
        <v>0</v>
      </c>
      <c r="BZ461" s="2" t="str">
        <f>VLOOKUP(BT461,Enriched!$A$1:$AA$1070,14,falsE)</f>
        <v>cumulative</v>
      </c>
      <c r="CA461" s="13" t="str">
        <f>HYPERLINK("https%3A%2F%2Fwww.webofscience.com%2Fwos%2Fwoscc%2Ffull-record%2FWOS:000288417100014","View Full Record in Web of Science")</f>
        <v>View Full Record in Web of Science</v>
      </c>
    </row>
    <row r="462" ht="12.75" customHeight="1">
      <c r="A462" s="13" t="s">
        <v>5508</v>
      </c>
      <c r="B462" s="13" t="s">
        <v>13888</v>
      </c>
      <c r="C462" s="13" t="s">
        <v>5510</v>
      </c>
      <c r="D462" s="13" t="s">
        <v>5510</v>
      </c>
      <c r="E462" s="13" t="s">
        <v>5510</v>
      </c>
      <c r="F462" s="13" t="s">
        <v>13889</v>
      </c>
      <c r="G462" s="13" t="s">
        <v>5510</v>
      </c>
      <c r="H462" s="13" t="s">
        <v>5510</v>
      </c>
      <c r="I462" s="13" t="s">
        <v>1615</v>
      </c>
      <c r="J462" s="13" t="s">
        <v>6922</v>
      </c>
      <c r="K462" s="13" t="s">
        <v>5510</v>
      </c>
      <c r="L462" s="13" t="s">
        <v>5510</v>
      </c>
      <c r="M462" s="13" t="s">
        <v>5513</v>
      </c>
      <c r="N462" s="13" t="s">
        <v>5514</v>
      </c>
      <c r="O462" s="13" t="s">
        <v>5510</v>
      </c>
      <c r="P462" s="13" t="s">
        <v>5510</v>
      </c>
      <c r="Q462" s="13" t="s">
        <v>5510</v>
      </c>
      <c r="R462" s="13" t="s">
        <v>5510</v>
      </c>
      <c r="S462" s="13" t="s">
        <v>5510</v>
      </c>
      <c r="T462" s="13" t="s">
        <v>13890</v>
      </c>
      <c r="U462" s="13" t="s">
        <v>13891</v>
      </c>
      <c r="V462" s="13" t="s">
        <v>13892</v>
      </c>
      <c r="W462" s="13" t="s">
        <v>13893</v>
      </c>
      <c r="X462" s="13" t="s">
        <v>13894</v>
      </c>
      <c r="Y462" s="13" t="s">
        <v>13895</v>
      </c>
      <c r="Z462" s="13" t="s">
        <v>13896</v>
      </c>
      <c r="AA462" s="13" t="s">
        <v>13897</v>
      </c>
      <c r="AB462" s="13" t="s">
        <v>13898</v>
      </c>
      <c r="AC462" s="13" t="s">
        <v>13899</v>
      </c>
      <c r="AD462" s="13" t="s">
        <v>13899</v>
      </c>
      <c r="AE462" s="13" t="s">
        <v>13900</v>
      </c>
      <c r="AF462" s="13" t="s">
        <v>5510</v>
      </c>
      <c r="AG462" s="13">
        <v>87.0</v>
      </c>
      <c r="AH462" s="13">
        <v>27.0</v>
      </c>
      <c r="AI462" s="13">
        <v>37.0</v>
      </c>
      <c r="AJ462" s="13">
        <v>5.0</v>
      </c>
      <c r="AK462" s="13">
        <v>60.0</v>
      </c>
      <c r="AL462" s="13" t="s">
        <v>5759</v>
      </c>
      <c r="AM462" s="13" t="s">
        <v>5760</v>
      </c>
      <c r="AN462" s="13" t="s">
        <v>5761</v>
      </c>
      <c r="AO462" s="13" t="s">
        <v>6934</v>
      </c>
      <c r="AP462" s="13" t="s">
        <v>6935</v>
      </c>
      <c r="AQ462" s="13" t="s">
        <v>5510</v>
      </c>
      <c r="AR462" s="13" t="s">
        <v>6936</v>
      </c>
      <c r="AS462" s="13" t="s">
        <v>6937</v>
      </c>
      <c r="AT462" s="13" t="s">
        <v>5720</v>
      </c>
      <c r="AU462" s="13">
        <v>2019.0</v>
      </c>
      <c r="AV462" s="13">
        <v>131.0</v>
      </c>
      <c r="AW462" s="13" t="s">
        <v>5510</v>
      </c>
      <c r="AX462" s="13" t="s">
        <v>5510</v>
      </c>
      <c r="AY462" s="13" t="s">
        <v>5510</v>
      </c>
      <c r="AZ462" s="13" t="s">
        <v>5510</v>
      </c>
      <c r="BA462" s="13" t="s">
        <v>5510</v>
      </c>
      <c r="BB462" s="13">
        <v>16.0</v>
      </c>
      <c r="BC462" s="13">
        <v>26.0</v>
      </c>
      <c r="BD462" s="13" t="s">
        <v>5510</v>
      </c>
      <c r="BE462" s="13" t="s">
        <v>13901</v>
      </c>
      <c r="BF462" s="52" t="str">
        <f>HYPERLINK("http://dx.doi.org/10.1016/j.ecoleng.2019.02.012","http://dx.doi.org/10.1016/j.ecoleng.2019.02.012")</f>
        <v>http://dx.doi.org/10.1016/j.ecoleng.2019.02.012</v>
      </c>
      <c r="BG462" s="13" t="s">
        <v>5510</v>
      </c>
      <c r="BH462" s="13" t="s">
        <v>5510</v>
      </c>
      <c r="BI462" s="13">
        <v>11.0</v>
      </c>
      <c r="BJ462" s="13" t="s">
        <v>6939</v>
      </c>
      <c r="BK462" s="13" t="s">
        <v>5561</v>
      </c>
      <c r="BL462" s="13" t="s">
        <v>6940</v>
      </c>
      <c r="BM462" s="13" t="s">
        <v>13902</v>
      </c>
      <c r="BN462" s="13" t="s">
        <v>5510</v>
      </c>
      <c r="BO462" s="13" t="s">
        <v>5510</v>
      </c>
      <c r="BP462" s="13" t="s">
        <v>5510</v>
      </c>
      <c r="BQ462" s="13" t="s">
        <v>5510</v>
      </c>
      <c r="BR462" s="13" t="s">
        <v>5538</v>
      </c>
      <c r="BS462" s="13" t="s">
        <v>13903</v>
      </c>
      <c r="BT462" s="13">
        <v>24929.0</v>
      </c>
      <c r="BU462" s="13" t="s">
        <v>5540</v>
      </c>
      <c r="BV462" s="13" t="s">
        <v>4856</v>
      </c>
      <c r="BW462" s="13" t="str">
        <f>VLOOKUP($BT462,Enriched!$A$2:$E$1070,5,false)</f>
        <v>["Invasive &amp; other problematic species, genes &amp; diseases"]</v>
      </c>
      <c r="BX462" s="13" t="str">
        <f>VLOOKUP($BT462,Enriched!$A$2:$E$1070,4,false)</f>
        <v>["Invasive non-native/alien species/diseases"]</v>
      </c>
      <c r="BY462" s="13" t="b">
        <f>VLOOKUP(BT462,Enriched!$A$1:$AA$1070,27,falsE)</f>
        <v>0</v>
      </c>
      <c r="BZ462" s="2" t="str">
        <f>VLOOKUP(BT462,Enriched!$A$1:$AA$1070,14,falsE)</f>
        <v>level2</v>
      </c>
      <c r="CA462" s="13" t="str">
        <f>HYPERLINK("https%3A%2F%2Fwww.webofscience.com%2Fwos%2Fwoscc%2Ffull-record%2FWOS:000465560700003","View Full Record in Web of Science")</f>
        <v>View Full Record in Web of Science</v>
      </c>
    </row>
    <row r="463" ht="12.75" customHeight="1">
      <c r="A463" s="13" t="s">
        <v>5508</v>
      </c>
      <c r="B463" s="13" t="s">
        <v>13904</v>
      </c>
      <c r="C463" s="13" t="s">
        <v>5510</v>
      </c>
      <c r="D463" s="13" t="s">
        <v>5510</v>
      </c>
      <c r="E463" s="13" t="s">
        <v>5510</v>
      </c>
      <c r="F463" s="13" t="s">
        <v>13905</v>
      </c>
      <c r="G463" s="13" t="s">
        <v>5510</v>
      </c>
      <c r="H463" s="13" t="s">
        <v>5510</v>
      </c>
      <c r="I463" s="13" t="s">
        <v>1613</v>
      </c>
      <c r="J463" s="13" t="s">
        <v>13906</v>
      </c>
      <c r="K463" s="13" t="s">
        <v>5510</v>
      </c>
      <c r="L463" s="13" t="s">
        <v>5510</v>
      </c>
      <c r="M463" s="13" t="s">
        <v>5513</v>
      </c>
      <c r="N463" s="13" t="s">
        <v>5514</v>
      </c>
      <c r="O463" s="13" t="s">
        <v>5510</v>
      </c>
      <c r="P463" s="13" t="s">
        <v>5510</v>
      </c>
      <c r="Q463" s="13" t="s">
        <v>5510</v>
      </c>
      <c r="R463" s="13" t="s">
        <v>5510</v>
      </c>
      <c r="S463" s="13" t="s">
        <v>5510</v>
      </c>
      <c r="T463" s="13" t="s">
        <v>13907</v>
      </c>
      <c r="U463" s="13" t="s">
        <v>13908</v>
      </c>
      <c r="V463" s="13" t="s">
        <v>13909</v>
      </c>
      <c r="W463" s="13" t="s">
        <v>13910</v>
      </c>
      <c r="X463" s="13" t="s">
        <v>13911</v>
      </c>
      <c r="Y463" s="13" t="s">
        <v>13912</v>
      </c>
      <c r="Z463" s="13" t="s">
        <v>13913</v>
      </c>
      <c r="AA463" s="13" t="s">
        <v>13914</v>
      </c>
      <c r="AB463" s="13" t="s">
        <v>13915</v>
      </c>
      <c r="AC463" s="13" t="s">
        <v>13916</v>
      </c>
      <c r="AD463" s="13" t="s">
        <v>13917</v>
      </c>
      <c r="AE463" s="13" t="s">
        <v>13918</v>
      </c>
      <c r="AF463" s="13" t="s">
        <v>5510</v>
      </c>
      <c r="AG463" s="13">
        <v>78.0</v>
      </c>
      <c r="AH463" s="13">
        <v>49.0</v>
      </c>
      <c r="AI463" s="13">
        <v>53.0</v>
      </c>
      <c r="AJ463" s="13">
        <v>3.0</v>
      </c>
      <c r="AK463" s="13">
        <v>60.0</v>
      </c>
      <c r="AL463" s="13" t="s">
        <v>13919</v>
      </c>
      <c r="AM463" s="13" t="s">
        <v>13920</v>
      </c>
      <c r="AN463" s="13" t="s">
        <v>13921</v>
      </c>
      <c r="AO463" s="13" t="s">
        <v>13922</v>
      </c>
      <c r="AP463" s="13" t="s">
        <v>5510</v>
      </c>
      <c r="AQ463" s="13" t="s">
        <v>5510</v>
      </c>
      <c r="AR463" s="13" t="s">
        <v>13923</v>
      </c>
      <c r="AS463" s="13" t="s">
        <v>13924</v>
      </c>
      <c r="AT463" s="13" t="s">
        <v>6089</v>
      </c>
      <c r="AU463" s="13">
        <v>2020.0</v>
      </c>
      <c r="AV463" s="13">
        <v>15.0</v>
      </c>
      <c r="AW463" s="13">
        <v>3.0</v>
      </c>
      <c r="AX463" s="13" t="s">
        <v>5510</v>
      </c>
      <c r="AY463" s="13" t="s">
        <v>5510</v>
      </c>
      <c r="AZ463" s="13" t="s">
        <v>5510</v>
      </c>
      <c r="BA463" s="13" t="s">
        <v>5510</v>
      </c>
      <c r="BB463" s="13" t="s">
        <v>5510</v>
      </c>
      <c r="BC463" s="13" t="s">
        <v>5510</v>
      </c>
      <c r="BD463" s="13">
        <v>34034.0</v>
      </c>
      <c r="BE463" s="13" t="s">
        <v>13925</v>
      </c>
      <c r="BF463" s="52" t="str">
        <f>HYPERLINK("http://dx.doi.org/10.1088/1748-9326/ab666d","http://dx.doi.org/10.1088/1748-9326/ab666d")</f>
        <v>http://dx.doi.org/10.1088/1748-9326/ab666d</v>
      </c>
      <c r="BG463" s="13" t="s">
        <v>5510</v>
      </c>
      <c r="BH463" s="13" t="s">
        <v>5510</v>
      </c>
      <c r="BI463" s="13">
        <v>14.0</v>
      </c>
      <c r="BJ463" s="13" t="s">
        <v>13926</v>
      </c>
      <c r="BK463" s="13" t="s">
        <v>5534</v>
      </c>
      <c r="BL463" s="13" t="s">
        <v>9790</v>
      </c>
      <c r="BM463" s="13" t="s">
        <v>13927</v>
      </c>
      <c r="BN463" s="13" t="s">
        <v>5510</v>
      </c>
      <c r="BO463" s="13" t="s">
        <v>5537</v>
      </c>
      <c r="BP463" s="13" t="s">
        <v>5510</v>
      </c>
      <c r="BQ463" s="13" t="s">
        <v>5510</v>
      </c>
      <c r="BR463" s="13" t="s">
        <v>5538</v>
      </c>
      <c r="BS463" s="13" t="s">
        <v>13928</v>
      </c>
      <c r="BT463" s="13">
        <v>23670.0</v>
      </c>
      <c r="BU463" s="13" t="s">
        <v>5540</v>
      </c>
      <c r="BV463" s="13" t="s">
        <v>4855</v>
      </c>
      <c r="BW463" s="13" t="str">
        <f>VLOOKUP($BT463,Enriched!$A$2:$E$1070,5,false)</f>
        <v>["Residential &amp; Commercial Development", "Agriculture &amp; Aquaculture"]</v>
      </c>
      <c r="BX463" s="13" t="str">
        <f>VLOOKUP($BT463,Enriched!$A$2:$E$1070,4,false)</f>
        <v>["Annual &amp; perennial non-timber crops"]</v>
      </c>
      <c r="BY463" s="13" t="b">
        <f>VLOOKUP(BT463,Enriched!$A$1:$AA$1070,27,falsE)</f>
        <v>1</v>
      </c>
      <c r="BZ463" s="2" t="str">
        <f>VLOOKUP(BT463,Enriched!$A$1:$AA$1070,14,falsE)</f>
        <v>level2</v>
      </c>
      <c r="CA463" s="13" t="str">
        <f>HYPERLINK("https%3A%2F%2Fwww.webofscience.com%2Fwos%2Fwoscc%2Ffull-record%2FWOS:000518589500001","View Full Record in Web of Science")</f>
        <v>View Full Record in Web of Science</v>
      </c>
    </row>
    <row r="464" ht="12.75" customHeight="1">
      <c r="A464" s="13" t="s">
        <v>5508</v>
      </c>
      <c r="B464" s="13" t="s">
        <v>13929</v>
      </c>
      <c r="C464" s="13" t="s">
        <v>5510</v>
      </c>
      <c r="D464" s="13" t="s">
        <v>5510</v>
      </c>
      <c r="E464" s="13" t="s">
        <v>5510</v>
      </c>
      <c r="F464" s="13" t="s">
        <v>13930</v>
      </c>
      <c r="G464" s="13" t="s">
        <v>5510</v>
      </c>
      <c r="H464" s="13" t="s">
        <v>5510</v>
      </c>
      <c r="I464" s="13" t="s">
        <v>13931</v>
      </c>
      <c r="J464" s="13" t="s">
        <v>13932</v>
      </c>
      <c r="K464" s="13" t="s">
        <v>5510</v>
      </c>
      <c r="L464" s="13" t="s">
        <v>5510</v>
      </c>
      <c r="M464" s="13" t="s">
        <v>5513</v>
      </c>
      <c r="N464" s="13" t="s">
        <v>5514</v>
      </c>
      <c r="O464" s="13" t="s">
        <v>5510</v>
      </c>
      <c r="P464" s="13" t="s">
        <v>5510</v>
      </c>
      <c r="Q464" s="13" t="s">
        <v>5510</v>
      </c>
      <c r="R464" s="13" t="s">
        <v>5510</v>
      </c>
      <c r="S464" s="13" t="s">
        <v>5510</v>
      </c>
      <c r="T464" s="13" t="s">
        <v>13933</v>
      </c>
      <c r="U464" s="13" t="s">
        <v>13934</v>
      </c>
      <c r="V464" s="13" t="s">
        <v>13935</v>
      </c>
      <c r="W464" s="13" t="s">
        <v>13936</v>
      </c>
      <c r="X464" s="13" t="s">
        <v>13937</v>
      </c>
      <c r="Y464" s="13" t="s">
        <v>13938</v>
      </c>
      <c r="Z464" s="13" t="s">
        <v>13939</v>
      </c>
      <c r="AA464" s="13" t="s">
        <v>13940</v>
      </c>
      <c r="AB464" s="13" t="s">
        <v>13941</v>
      </c>
      <c r="AC464" s="13" t="s">
        <v>13942</v>
      </c>
      <c r="AD464" s="13" t="s">
        <v>13943</v>
      </c>
      <c r="AE464" s="13" t="s">
        <v>13944</v>
      </c>
      <c r="AF464" s="13" t="s">
        <v>5510</v>
      </c>
      <c r="AG464" s="13">
        <v>78.0</v>
      </c>
      <c r="AH464" s="13">
        <v>26.0</v>
      </c>
      <c r="AI464" s="13">
        <v>30.0</v>
      </c>
      <c r="AJ464" s="13">
        <v>0.0</v>
      </c>
      <c r="AK464" s="13">
        <v>33.0</v>
      </c>
      <c r="AL464" s="13" t="s">
        <v>6849</v>
      </c>
      <c r="AM464" s="13" t="s">
        <v>6850</v>
      </c>
      <c r="AN464" s="13" t="s">
        <v>6851</v>
      </c>
      <c r="AO464" s="13" t="s">
        <v>5510</v>
      </c>
      <c r="AP464" s="13" t="s">
        <v>13945</v>
      </c>
      <c r="AQ464" s="13" t="s">
        <v>5510</v>
      </c>
      <c r="AR464" s="13" t="s">
        <v>13932</v>
      </c>
      <c r="AS464" s="13" t="s">
        <v>808</v>
      </c>
      <c r="AT464" s="13" t="s">
        <v>6828</v>
      </c>
      <c r="AU464" s="13">
        <v>2019.0</v>
      </c>
      <c r="AV464" s="13">
        <v>10.0</v>
      </c>
      <c r="AW464" s="13">
        <v>4.0</v>
      </c>
      <c r="AX464" s="13" t="s">
        <v>5510</v>
      </c>
      <c r="AY464" s="13" t="s">
        <v>5510</v>
      </c>
      <c r="AZ464" s="13" t="s">
        <v>5510</v>
      </c>
      <c r="BA464" s="13" t="s">
        <v>5510</v>
      </c>
      <c r="BB464" s="13" t="s">
        <v>5510</v>
      </c>
      <c r="BC464" s="13" t="s">
        <v>5510</v>
      </c>
      <c r="BD464" s="13">
        <v>304.0</v>
      </c>
      <c r="BE464" s="13" t="s">
        <v>13946</v>
      </c>
      <c r="BF464" s="52" t="str">
        <f>HYPERLINK("http://dx.doi.org/10.3390/f10040304","http://dx.doi.org/10.3390/f10040304")</f>
        <v>http://dx.doi.org/10.3390/f10040304</v>
      </c>
      <c r="BG464" s="13" t="s">
        <v>5510</v>
      </c>
      <c r="BH464" s="13" t="s">
        <v>5510</v>
      </c>
      <c r="BI464" s="13">
        <v>16.0</v>
      </c>
      <c r="BJ464" s="13" t="s">
        <v>8294</v>
      </c>
      <c r="BK464" s="13" t="s">
        <v>5561</v>
      </c>
      <c r="BL464" s="13" t="s">
        <v>8294</v>
      </c>
      <c r="BM464" s="13" t="s">
        <v>13947</v>
      </c>
      <c r="BN464" s="13" t="s">
        <v>5510</v>
      </c>
      <c r="BO464" s="13" t="s">
        <v>5564</v>
      </c>
      <c r="BP464" s="13" t="s">
        <v>5510</v>
      </c>
      <c r="BQ464" s="13" t="s">
        <v>5510</v>
      </c>
      <c r="BR464" s="13" t="s">
        <v>5538</v>
      </c>
      <c r="BS464" s="13" t="s">
        <v>13948</v>
      </c>
      <c r="BT464" s="13">
        <v>25200.0</v>
      </c>
      <c r="BU464" s="13" t="s">
        <v>5540</v>
      </c>
      <c r="BV464" s="13" t="s">
        <v>4856</v>
      </c>
      <c r="BW464" s="13" t="str">
        <f>VLOOKUP($BT464,Enriched!$A$2:$E$1070,5,false)</f>
        <v>["Invasive &amp; Other Problematic Species, Genes &amp; Diseases"]</v>
      </c>
      <c r="BX464" s="13" t="str">
        <f>VLOOKUP($BT464,Enriched!$A$2:$E$1070,4,false)</f>
        <v>["Invasive non-native/alien species/diseases", "Problematic native species/diseases"]</v>
      </c>
      <c r="BY464" s="13" t="b">
        <f>VLOOKUP(BT464,Enriched!$A$1:$AA$1070,27,falsE)</f>
        <v>0</v>
      </c>
      <c r="BZ464" s="2" t="str">
        <f>VLOOKUP(BT464,Enriched!$A$1:$AA$1070,14,falsE)</f>
        <v>level1</v>
      </c>
      <c r="CA464" s="13" t="str">
        <f>HYPERLINK("https%3A%2F%2Fwww.webofscience.com%2Fwos%2Fwoscc%2Ffull-record%2FWOS:000467303600012","View Full Record in Web of Science")</f>
        <v>View Full Record in Web of Science</v>
      </c>
    </row>
    <row r="465" ht="12.75" customHeight="1">
      <c r="A465" s="13" t="s">
        <v>5508</v>
      </c>
      <c r="B465" s="13" t="s">
        <v>13949</v>
      </c>
      <c r="C465" s="13" t="s">
        <v>5510</v>
      </c>
      <c r="D465" s="13" t="s">
        <v>5510</v>
      </c>
      <c r="E465" s="13" t="s">
        <v>5510</v>
      </c>
      <c r="F465" s="13" t="s">
        <v>13950</v>
      </c>
      <c r="G465" s="13" t="s">
        <v>5510</v>
      </c>
      <c r="H465" s="13" t="s">
        <v>5510</v>
      </c>
      <c r="I465" s="13" t="s">
        <v>1607</v>
      </c>
      <c r="J465" s="13" t="s">
        <v>7005</v>
      </c>
      <c r="K465" s="13" t="s">
        <v>5510</v>
      </c>
      <c r="L465" s="13" t="s">
        <v>5510</v>
      </c>
      <c r="M465" s="13" t="s">
        <v>5513</v>
      </c>
      <c r="N465" s="13" t="s">
        <v>5514</v>
      </c>
      <c r="O465" s="13" t="s">
        <v>5510</v>
      </c>
      <c r="P465" s="13" t="s">
        <v>5510</v>
      </c>
      <c r="Q465" s="13" t="s">
        <v>5510</v>
      </c>
      <c r="R465" s="13" t="s">
        <v>5510</v>
      </c>
      <c r="S465" s="13" t="s">
        <v>5510</v>
      </c>
      <c r="T465" s="13" t="s">
        <v>13951</v>
      </c>
      <c r="U465" s="13" t="s">
        <v>13952</v>
      </c>
      <c r="V465" s="13" t="s">
        <v>13953</v>
      </c>
      <c r="W465" s="13" t="s">
        <v>13954</v>
      </c>
      <c r="X465" s="13" t="s">
        <v>13955</v>
      </c>
      <c r="Y465" s="13" t="s">
        <v>13956</v>
      </c>
      <c r="Z465" s="13" t="s">
        <v>13957</v>
      </c>
      <c r="AA465" s="13" t="s">
        <v>13958</v>
      </c>
      <c r="AB465" s="13" t="s">
        <v>13959</v>
      </c>
      <c r="AC465" s="13" t="s">
        <v>13960</v>
      </c>
      <c r="AD465" s="13" t="s">
        <v>13961</v>
      </c>
      <c r="AE465" s="13" t="s">
        <v>13962</v>
      </c>
      <c r="AF465" s="13" t="s">
        <v>5510</v>
      </c>
      <c r="AG465" s="13">
        <v>57.0</v>
      </c>
      <c r="AH465" s="13">
        <v>495.0</v>
      </c>
      <c r="AI465" s="13">
        <v>605.0</v>
      </c>
      <c r="AJ465" s="13">
        <v>10.0</v>
      </c>
      <c r="AK465" s="13">
        <v>307.0</v>
      </c>
      <c r="AL465" s="13" t="s">
        <v>7088</v>
      </c>
      <c r="AM465" s="13" t="s">
        <v>5932</v>
      </c>
      <c r="AN465" s="13" t="s">
        <v>7089</v>
      </c>
      <c r="AO465" s="13" t="s">
        <v>7020</v>
      </c>
      <c r="AP465" s="13" t="s">
        <v>13963</v>
      </c>
      <c r="AQ465" s="13" t="s">
        <v>5510</v>
      </c>
      <c r="AR465" s="13" t="s">
        <v>7005</v>
      </c>
      <c r="AS465" s="13" t="s">
        <v>1608</v>
      </c>
      <c r="AT465" s="13" t="s">
        <v>5720</v>
      </c>
      <c r="AU465" s="13">
        <v>2012.0</v>
      </c>
      <c r="AV465" s="13">
        <v>62.0</v>
      </c>
      <c r="AW465" s="13">
        <v>6.0</v>
      </c>
      <c r="AX465" s="13" t="s">
        <v>5510</v>
      </c>
      <c r="AY465" s="13" t="s">
        <v>5510</v>
      </c>
      <c r="AZ465" s="13" t="s">
        <v>5510</v>
      </c>
      <c r="BA465" s="13" t="s">
        <v>5510</v>
      </c>
      <c r="BB465" s="13">
        <v>539.0</v>
      </c>
      <c r="BC465" s="13">
        <v>548.0</v>
      </c>
      <c r="BD465" s="13" t="s">
        <v>5510</v>
      </c>
      <c r="BE465" s="13" t="s">
        <v>13964</v>
      </c>
      <c r="BF465" s="52" t="str">
        <f>HYPERLINK("http://dx.doi.org/10.1525/bio.2012.62.6.5","http://dx.doi.org/10.1525/bio.2012.62.6.5")</f>
        <v>http://dx.doi.org/10.1525/bio.2012.62.6.5</v>
      </c>
      <c r="BG465" s="13" t="s">
        <v>5510</v>
      </c>
      <c r="BH465" s="13" t="s">
        <v>5510</v>
      </c>
      <c r="BI465" s="13">
        <v>10.0</v>
      </c>
      <c r="BJ465" s="13" t="s">
        <v>7022</v>
      </c>
      <c r="BK465" s="13" t="s">
        <v>5561</v>
      </c>
      <c r="BL465" s="13" t="s">
        <v>7023</v>
      </c>
      <c r="BM465" s="13" t="s">
        <v>13965</v>
      </c>
      <c r="BN465" s="13" t="s">
        <v>5510</v>
      </c>
      <c r="BO465" s="13" t="s">
        <v>5587</v>
      </c>
      <c r="BP465" s="13" t="s">
        <v>5510</v>
      </c>
      <c r="BQ465" s="13" t="s">
        <v>5510</v>
      </c>
      <c r="BR465" s="13" t="s">
        <v>5538</v>
      </c>
      <c r="BS465" s="13" t="s">
        <v>13966</v>
      </c>
      <c r="BT465" s="13">
        <v>24556.0</v>
      </c>
      <c r="BU465" s="13" t="s">
        <v>5540</v>
      </c>
      <c r="BV465" s="13" t="s">
        <v>4852</v>
      </c>
      <c r="BW465" s="13" t="str">
        <f>VLOOKUP($BT465,Enriched!$A$2:$E$1070,5,false)</f>
        <v>["Natural system modifications"]</v>
      </c>
      <c r="BX465" s="13" t="str">
        <f>VLOOKUP($BT465,Enriched!$A$2:$E$1070,4,false)</f>
        <v>["Dams &amp; water management/use"]</v>
      </c>
      <c r="BY465" s="13" t="b">
        <f>VLOOKUP(BT465,Enriched!$A$1:$AA$1070,27,falsE)</f>
        <v>0</v>
      </c>
      <c r="BZ465" s="2" t="str">
        <f>VLOOKUP(BT465,Enriched!$A$1:$AA$1070,14,falsE)</f>
        <v>level2</v>
      </c>
      <c r="CA465" s="13" t="str">
        <f>HYPERLINK("https%3A%2F%2Fwww.webofscience.com%2Fwos%2Fwoscc%2Ffull-record%2FWOS:000305262500005","View Full Record in Web of Science")</f>
        <v>View Full Record in Web of Science</v>
      </c>
    </row>
    <row r="466" ht="12.75" customHeight="1">
      <c r="A466" s="13" t="s">
        <v>5508</v>
      </c>
      <c r="B466" s="13" t="s">
        <v>13967</v>
      </c>
      <c r="C466" s="13" t="s">
        <v>5510</v>
      </c>
      <c r="D466" s="13" t="s">
        <v>5510</v>
      </c>
      <c r="E466" s="13" t="s">
        <v>5510</v>
      </c>
      <c r="F466" s="13" t="s">
        <v>13968</v>
      </c>
      <c r="G466" s="13" t="s">
        <v>5510</v>
      </c>
      <c r="H466" s="13" t="s">
        <v>5510</v>
      </c>
      <c r="I466" s="13" t="s">
        <v>1605</v>
      </c>
      <c r="J466" s="13" t="s">
        <v>9546</v>
      </c>
      <c r="K466" s="13" t="s">
        <v>5510</v>
      </c>
      <c r="L466" s="13" t="s">
        <v>5510</v>
      </c>
      <c r="M466" s="13" t="s">
        <v>5513</v>
      </c>
      <c r="N466" s="13" t="s">
        <v>5514</v>
      </c>
      <c r="O466" s="13" t="s">
        <v>5510</v>
      </c>
      <c r="P466" s="13" t="s">
        <v>5510</v>
      </c>
      <c r="Q466" s="13" t="s">
        <v>5510</v>
      </c>
      <c r="R466" s="13" t="s">
        <v>5510</v>
      </c>
      <c r="S466" s="13" t="s">
        <v>5510</v>
      </c>
      <c r="T466" s="13" t="s">
        <v>13969</v>
      </c>
      <c r="U466" s="13" t="s">
        <v>13970</v>
      </c>
      <c r="V466" s="13" t="s">
        <v>13971</v>
      </c>
      <c r="W466" s="13" t="s">
        <v>13972</v>
      </c>
      <c r="X466" s="13" t="s">
        <v>13973</v>
      </c>
      <c r="Y466" s="13" t="s">
        <v>13974</v>
      </c>
      <c r="Z466" s="13" t="s">
        <v>13975</v>
      </c>
      <c r="AA466" s="13" t="s">
        <v>13976</v>
      </c>
      <c r="AB466" s="13" t="s">
        <v>13977</v>
      </c>
      <c r="AC466" s="13" t="s">
        <v>13978</v>
      </c>
      <c r="AD466" s="13" t="s">
        <v>13979</v>
      </c>
      <c r="AE466" s="13" t="s">
        <v>13980</v>
      </c>
      <c r="AF466" s="13" t="s">
        <v>5510</v>
      </c>
      <c r="AG466" s="13">
        <v>61.0</v>
      </c>
      <c r="AH466" s="13">
        <v>26.0</v>
      </c>
      <c r="AI466" s="13">
        <v>29.0</v>
      </c>
      <c r="AJ466" s="13">
        <v>2.0</v>
      </c>
      <c r="AK466" s="13">
        <v>51.0</v>
      </c>
      <c r="AL466" s="13" t="s">
        <v>7450</v>
      </c>
      <c r="AM466" s="13" t="s">
        <v>6046</v>
      </c>
      <c r="AN466" s="13" t="s">
        <v>7451</v>
      </c>
      <c r="AO466" s="13" t="s">
        <v>9559</v>
      </c>
      <c r="AP466" s="13" t="s">
        <v>9560</v>
      </c>
      <c r="AQ466" s="13" t="s">
        <v>5510</v>
      </c>
      <c r="AR466" s="13" t="s">
        <v>9561</v>
      </c>
      <c r="AS466" s="13" t="s">
        <v>9562</v>
      </c>
      <c r="AT466" s="13" t="s">
        <v>6131</v>
      </c>
      <c r="AU466" s="13">
        <v>2017.0</v>
      </c>
      <c r="AV466" s="13">
        <v>187.0</v>
      </c>
      <c r="AW466" s="13" t="s">
        <v>5510</v>
      </c>
      <c r="AX466" s="13" t="s">
        <v>5510</v>
      </c>
      <c r="AY466" s="13" t="s">
        <v>5510</v>
      </c>
      <c r="AZ466" s="13" t="s">
        <v>5510</v>
      </c>
      <c r="BA466" s="13" t="s">
        <v>5510</v>
      </c>
      <c r="BB466" s="13">
        <v>187.0</v>
      </c>
      <c r="BC466" s="13">
        <v>200.0</v>
      </c>
      <c r="BD466" s="13" t="s">
        <v>5510</v>
      </c>
      <c r="BE466" s="13" t="s">
        <v>13981</v>
      </c>
      <c r="BF466" s="52" t="str">
        <f>HYPERLINK("http://dx.doi.org/10.1016/j.jenvman.2016.11.038","http://dx.doi.org/10.1016/j.jenvman.2016.11.038")</f>
        <v>http://dx.doi.org/10.1016/j.jenvman.2016.11.038</v>
      </c>
      <c r="BG466" s="13" t="s">
        <v>5510</v>
      </c>
      <c r="BH466" s="13" t="s">
        <v>5510</v>
      </c>
      <c r="BI466" s="13">
        <v>14.0</v>
      </c>
      <c r="BJ466" s="13" t="s">
        <v>5768</v>
      </c>
      <c r="BK466" s="13" t="s">
        <v>5534</v>
      </c>
      <c r="BL466" s="13" t="s">
        <v>5535</v>
      </c>
      <c r="BM466" s="13" t="s">
        <v>13982</v>
      </c>
      <c r="BN466" s="13">
        <v>2.7907836E7</v>
      </c>
      <c r="BO466" s="13" t="s">
        <v>5510</v>
      </c>
      <c r="BP466" s="13" t="s">
        <v>5510</v>
      </c>
      <c r="BQ466" s="13" t="s">
        <v>5510</v>
      </c>
      <c r="BR466" s="13" t="s">
        <v>5538</v>
      </c>
      <c r="BS466" s="13" t="s">
        <v>13983</v>
      </c>
      <c r="BT466" s="13">
        <v>24150.0</v>
      </c>
      <c r="BU466" s="13" t="s">
        <v>5540</v>
      </c>
      <c r="BV466" s="13" t="s">
        <v>4856</v>
      </c>
      <c r="BW466" s="13" t="str">
        <f>VLOOKUP($BT466,Enriched!$A$2:$E$1070,5,false)</f>
        <v>["Residential &amp; Commercial Development", "Energy Production &amp; Mining", "Transportation &amp; Service Corridors", "Agriculture &amp; Aquaculture"]</v>
      </c>
      <c r="BX466" s="13" t="str">
        <f>VLOOKUP($BT466,Enriched!$A$2:$E$1070,4,false)</f>
        <v>["Housing &amp; urban area", "Commercial &amp; industrial areas", "Oil &amp; gas drilling", "Tourism &amp; recreation areas", "Shipping lanes"]</v>
      </c>
      <c r="BY466" s="13" t="b">
        <f>VLOOKUP(BT466,Enriched!$A$1:$AA$1070,27,falsE)</f>
        <v>1</v>
      </c>
      <c r="BZ466" s="2" t="str">
        <f>VLOOKUP(BT466,Enriched!$A$1:$AA$1070,14,falsE)</f>
        <v>cumulative</v>
      </c>
      <c r="CA466" s="13" t="str">
        <f>HYPERLINK("https%3A%2F%2Fwww.webofscience.com%2Fwos%2Fwoscc%2Ffull-record%2FWOS:000392037500021","View Full Record in Web of Science")</f>
        <v>View Full Record in Web of Science</v>
      </c>
    </row>
    <row r="467" ht="12.75" customHeight="1">
      <c r="A467" s="13" t="s">
        <v>5508</v>
      </c>
      <c r="B467" s="13" t="s">
        <v>13984</v>
      </c>
      <c r="C467" s="13" t="s">
        <v>5510</v>
      </c>
      <c r="D467" s="13" t="s">
        <v>5510</v>
      </c>
      <c r="E467" s="13" t="s">
        <v>5510</v>
      </c>
      <c r="F467" s="13" t="s">
        <v>13985</v>
      </c>
      <c r="G467" s="13" t="s">
        <v>5510</v>
      </c>
      <c r="H467" s="13" t="s">
        <v>5510</v>
      </c>
      <c r="I467" s="13" t="s">
        <v>1602</v>
      </c>
      <c r="J467" s="13" t="s">
        <v>5746</v>
      </c>
      <c r="K467" s="13" t="s">
        <v>5510</v>
      </c>
      <c r="L467" s="13" t="s">
        <v>5510</v>
      </c>
      <c r="M467" s="13" t="s">
        <v>5513</v>
      </c>
      <c r="N467" s="13" t="s">
        <v>5514</v>
      </c>
      <c r="O467" s="13" t="s">
        <v>5510</v>
      </c>
      <c r="P467" s="13" t="s">
        <v>5510</v>
      </c>
      <c r="Q467" s="13" t="s">
        <v>5510</v>
      </c>
      <c r="R467" s="13" t="s">
        <v>5510</v>
      </c>
      <c r="S467" s="13" t="s">
        <v>5510</v>
      </c>
      <c r="T467" s="13" t="s">
        <v>13986</v>
      </c>
      <c r="U467" s="13" t="s">
        <v>13987</v>
      </c>
      <c r="V467" s="13" t="s">
        <v>13988</v>
      </c>
      <c r="W467" s="13" t="s">
        <v>13989</v>
      </c>
      <c r="X467" s="13" t="s">
        <v>13990</v>
      </c>
      <c r="Y467" s="13" t="s">
        <v>13991</v>
      </c>
      <c r="Z467" s="13" t="s">
        <v>13992</v>
      </c>
      <c r="AA467" s="13" t="s">
        <v>13993</v>
      </c>
      <c r="AB467" s="13" t="s">
        <v>13994</v>
      </c>
      <c r="AC467" s="13" t="s">
        <v>13995</v>
      </c>
      <c r="AD467" s="13" t="s">
        <v>13996</v>
      </c>
      <c r="AE467" s="13" t="s">
        <v>13997</v>
      </c>
      <c r="AF467" s="13" t="s">
        <v>5510</v>
      </c>
      <c r="AG467" s="13">
        <v>53.0</v>
      </c>
      <c r="AH467" s="13">
        <v>218.0</v>
      </c>
      <c r="AI467" s="13">
        <v>270.0</v>
      </c>
      <c r="AJ467" s="13">
        <v>6.0</v>
      </c>
      <c r="AK467" s="13">
        <v>272.0</v>
      </c>
      <c r="AL467" s="13" t="s">
        <v>5759</v>
      </c>
      <c r="AM467" s="13" t="s">
        <v>5760</v>
      </c>
      <c r="AN467" s="13" t="s">
        <v>5761</v>
      </c>
      <c r="AO467" s="13" t="s">
        <v>5762</v>
      </c>
      <c r="AP467" s="13" t="s">
        <v>5763</v>
      </c>
      <c r="AQ467" s="13" t="s">
        <v>5510</v>
      </c>
      <c r="AR467" s="13" t="s">
        <v>5764</v>
      </c>
      <c r="AS467" s="13" t="s">
        <v>5765</v>
      </c>
      <c r="AT467" s="13" t="s">
        <v>13368</v>
      </c>
      <c r="AU467" s="13">
        <v>2017.0</v>
      </c>
      <c r="AV467" s="13">
        <v>574.0</v>
      </c>
      <c r="AW467" s="13" t="s">
        <v>5510</v>
      </c>
      <c r="AX467" s="13" t="s">
        <v>5510</v>
      </c>
      <c r="AY467" s="13" t="s">
        <v>5510</v>
      </c>
      <c r="AZ467" s="13" t="s">
        <v>5510</v>
      </c>
      <c r="BA467" s="13" t="s">
        <v>5510</v>
      </c>
      <c r="BB467" s="13">
        <v>1000.0</v>
      </c>
      <c r="BC467" s="13">
        <v>1011.0</v>
      </c>
      <c r="BD467" s="13" t="s">
        <v>5510</v>
      </c>
      <c r="BE467" s="13" t="s">
        <v>13998</v>
      </c>
      <c r="BF467" s="52" t="str">
        <f>HYPERLINK("http://dx.doi.org/10.1016/j.scitotenv.2016.09.048","http://dx.doi.org/10.1016/j.scitotenv.2016.09.048")</f>
        <v>http://dx.doi.org/10.1016/j.scitotenv.2016.09.048</v>
      </c>
      <c r="BG467" s="13" t="s">
        <v>5510</v>
      </c>
      <c r="BH467" s="13" t="s">
        <v>5510</v>
      </c>
      <c r="BI467" s="13">
        <v>12.0</v>
      </c>
      <c r="BJ467" s="13" t="s">
        <v>5768</v>
      </c>
      <c r="BK467" s="13" t="s">
        <v>5534</v>
      </c>
      <c r="BL467" s="13" t="s">
        <v>5535</v>
      </c>
      <c r="BM467" s="13" t="s">
        <v>13999</v>
      </c>
      <c r="BN467" s="13">
        <v>2.7668852E7</v>
      </c>
      <c r="BO467" s="13" t="s">
        <v>6586</v>
      </c>
      <c r="BP467" s="13" t="s">
        <v>5510</v>
      </c>
      <c r="BQ467" s="13" t="s">
        <v>5510</v>
      </c>
      <c r="BR467" s="13" t="s">
        <v>5538</v>
      </c>
      <c r="BS467" s="13" t="s">
        <v>14000</v>
      </c>
      <c r="BT467" s="13">
        <v>24819.0</v>
      </c>
      <c r="BU467" s="13" t="s">
        <v>5540</v>
      </c>
      <c r="BV467" s="13" t="s">
        <v>4856</v>
      </c>
      <c r="BW467" s="13" t="str">
        <f>VLOOKUP($BT467,Enriched!$A$2:$E$1070,5,false)</f>
        <v>["Transportation &amp; Service Corridors"]</v>
      </c>
      <c r="BX467" s="13" t="str">
        <f>VLOOKUP($BT467,Enriched!$A$2:$E$1070,4,false)</f>
        <v>["Roads &amp; railroads"]</v>
      </c>
      <c r="BY467" s="13" t="b">
        <f>VLOOKUP(BT467,Enriched!$A$1:$AA$1070,27,falsE)</f>
        <v>0</v>
      </c>
      <c r="BZ467" s="2" t="str">
        <f>VLOOKUP(BT467,Enriched!$A$1:$AA$1070,14,falsE)</f>
        <v>level2</v>
      </c>
      <c r="CA467" s="13" t="str">
        <f>HYPERLINK("https%3A%2F%2Fwww.webofscience.com%2Fwos%2Fwoscc%2Ffull-record%2FWOS:000389090100095","View Full Record in Web of Science")</f>
        <v>View Full Record in Web of Science</v>
      </c>
    </row>
    <row r="468" ht="12.75" customHeight="1">
      <c r="A468" s="13" t="s">
        <v>5508</v>
      </c>
      <c r="B468" s="13" t="s">
        <v>14001</v>
      </c>
      <c r="C468" s="13" t="s">
        <v>5510</v>
      </c>
      <c r="D468" s="13" t="s">
        <v>5510</v>
      </c>
      <c r="E468" s="13" t="s">
        <v>5510</v>
      </c>
      <c r="F468" s="13" t="s">
        <v>14002</v>
      </c>
      <c r="G468" s="13" t="s">
        <v>5510</v>
      </c>
      <c r="H468" s="13" t="s">
        <v>5510</v>
      </c>
      <c r="I468" s="13" t="s">
        <v>1598</v>
      </c>
      <c r="J468" s="13" t="s">
        <v>14003</v>
      </c>
      <c r="K468" s="13" t="s">
        <v>5510</v>
      </c>
      <c r="L468" s="13" t="s">
        <v>5510</v>
      </c>
      <c r="M468" s="13" t="s">
        <v>5513</v>
      </c>
      <c r="N468" s="13" t="s">
        <v>5514</v>
      </c>
      <c r="O468" s="13" t="s">
        <v>5510</v>
      </c>
      <c r="P468" s="13" t="s">
        <v>5510</v>
      </c>
      <c r="Q468" s="13" t="s">
        <v>5510</v>
      </c>
      <c r="R468" s="13" t="s">
        <v>5510</v>
      </c>
      <c r="S468" s="13" t="s">
        <v>5510</v>
      </c>
      <c r="T468" s="13" t="s">
        <v>14004</v>
      </c>
      <c r="U468" s="13" t="s">
        <v>14005</v>
      </c>
      <c r="V468" s="13" t="s">
        <v>14006</v>
      </c>
      <c r="W468" s="13" t="s">
        <v>14007</v>
      </c>
      <c r="X468" s="13" t="s">
        <v>14008</v>
      </c>
      <c r="Y468" s="13" t="s">
        <v>14009</v>
      </c>
      <c r="Z468" s="13" t="s">
        <v>14010</v>
      </c>
      <c r="AA468" s="13" t="s">
        <v>14011</v>
      </c>
      <c r="AB468" s="13" t="s">
        <v>14012</v>
      </c>
      <c r="AC468" s="13" t="s">
        <v>14013</v>
      </c>
      <c r="AD468" s="13" t="s">
        <v>14014</v>
      </c>
      <c r="AE468" s="13" t="s">
        <v>14015</v>
      </c>
      <c r="AF468" s="13" t="s">
        <v>5510</v>
      </c>
      <c r="AG468" s="13">
        <v>40.0</v>
      </c>
      <c r="AH468" s="13">
        <v>56.0</v>
      </c>
      <c r="AI468" s="13">
        <v>62.0</v>
      </c>
      <c r="AJ468" s="13">
        <v>0.0</v>
      </c>
      <c r="AK468" s="13">
        <v>25.0</v>
      </c>
      <c r="AL468" s="13" t="s">
        <v>5931</v>
      </c>
      <c r="AM468" s="13" t="s">
        <v>5932</v>
      </c>
      <c r="AN468" s="13" t="s">
        <v>5933</v>
      </c>
      <c r="AO468" s="13" t="s">
        <v>14016</v>
      </c>
      <c r="AP468" s="13" t="s">
        <v>5510</v>
      </c>
      <c r="AQ468" s="13" t="s">
        <v>5510</v>
      </c>
      <c r="AR468" s="13" t="s">
        <v>14017</v>
      </c>
      <c r="AS468" s="13" t="s">
        <v>14018</v>
      </c>
      <c r="AT468" s="13" t="s">
        <v>14019</v>
      </c>
      <c r="AU468" s="13">
        <v>2017.0</v>
      </c>
      <c r="AV468" s="13">
        <v>15.0</v>
      </c>
      <c r="AW468" s="13">
        <v>3.0</v>
      </c>
      <c r="AX468" s="13" t="s">
        <v>5510</v>
      </c>
      <c r="AY468" s="13" t="s">
        <v>5510</v>
      </c>
      <c r="AZ468" s="13" t="s">
        <v>5510</v>
      </c>
      <c r="BA468" s="13" t="s">
        <v>5510</v>
      </c>
      <c r="BB468" s="13">
        <v>172.0</v>
      </c>
      <c r="BC468" s="13">
        <v>178.0</v>
      </c>
      <c r="BD468" s="13" t="s">
        <v>5510</v>
      </c>
      <c r="BE468" s="13" t="s">
        <v>14020</v>
      </c>
      <c r="BF468" s="52" t="str">
        <f>HYPERLINK("http://dx.doi.org/10.1016/j.pecon.2017.07.005","http://dx.doi.org/10.1016/j.pecon.2017.07.005")</f>
        <v>http://dx.doi.org/10.1016/j.pecon.2017.07.005</v>
      </c>
      <c r="BG468" s="13" t="s">
        <v>5510</v>
      </c>
      <c r="BH468" s="13" t="s">
        <v>5510</v>
      </c>
      <c r="BI468" s="13">
        <v>7.0</v>
      </c>
      <c r="BJ468" s="13" t="s">
        <v>5648</v>
      </c>
      <c r="BK468" s="13" t="s">
        <v>5561</v>
      </c>
      <c r="BL468" s="13" t="s">
        <v>5650</v>
      </c>
      <c r="BM468" s="13" t="s">
        <v>14021</v>
      </c>
      <c r="BN468" s="13" t="s">
        <v>5510</v>
      </c>
      <c r="BO468" s="13" t="s">
        <v>5564</v>
      </c>
      <c r="BP468" s="13" t="s">
        <v>5510</v>
      </c>
      <c r="BQ468" s="13" t="s">
        <v>5510</v>
      </c>
      <c r="BR468" s="13" t="s">
        <v>5538</v>
      </c>
      <c r="BS468" s="13" t="s">
        <v>14022</v>
      </c>
      <c r="BT468" s="13">
        <v>23674.0</v>
      </c>
      <c r="BU468" s="13" t="s">
        <v>5540</v>
      </c>
      <c r="BV468" s="13" t="s">
        <v>4856</v>
      </c>
      <c r="BW468" s="13" t="str">
        <f>VLOOKUP($BT468,Enriched!$A$2:$E$1070,5,false)</f>
        <v>["Energy Production &amp; Mining"]</v>
      </c>
      <c r="BX468" s="13" t="str">
        <f>VLOOKUP($BT468,Enriched!$A$2:$E$1070,4,false)</f>
        <v>["Mining &amp; quarrying"]</v>
      </c>
      <c r="BY468" s="13" t="b">
        <f>VLOOKUP(BT468,Enriched!$A$1:$AA$1070,27,falsE)</f>
        <v>0</v>
      </c>
      <c r="BZ468" s="2" t="str">
        <f>VLOOKUP(BT468,Enriched!$A$1:$AA$1070,14,falsE)</f>
        <v>level2</v>
      </c>
      <c r="CA468" s="13" t="str">
        <f>HYPERLINK("https%3A%2F%2Fwww.webofscience.com%2Fwos%2Fwoscc%2Ffull-record%2FWOS:000418496900005","View Full Record in Web of Science")</f>
        <v>View Full Record in Web of Science</v>
      </c>
    </row>
    <row r="469" ht="12.75" customHeight="1">
      <c r="A469" s="13" t="s">
        <v>5508</v>
      </c>
      <c r="B469" s="13" t="s">
        <v>14023</v>
      </c>
      <c r="C469" s="13" t="s">
        <v>5510</v>
      </c>
      <c r="D469" s="13" t="s">
        <v>5510</v>
      </c>
      <c r="E469" s="13" t="s">
        <v>5510</v>
      </c>
      <c r="F469" s="13" t="s">
        <v>14024</v>
      </c>
      <c r="G469" s="13" t="s">
        <v>5510</v>
      </c>
      <c r="H469" s="13" t="s">
        <v>5510</v>
      </c>
      <c r="I469" s="13" t="s">
        <v>1595</v>
      </c>
      <c r="J469" s="13" t="s">
        <v>6836</v>
      </c>
      <c r="K469" s="13" t="s">
        <v>5510</v>
      </c>
      <c r="L469" s="13" t="s">
        <v>5510</v>
      </c>
      <c r="M469" s="13" t="s">
        <v>5513</v>
      </c>
      <c r="N469" s="13" t="s">
        <v>5514</v>
      </c>
      <c r="O469" s="13" t="s">
        <v>5510</v>
      </c>
      <c r="P469" s="13" t="s">
        <v>5510</v>
      </c>
      <c r="Q469" s="13" t="s">
        <v>5510</v>
      </c>
      <c r="R469" s="13" t="s">
        <v>5510</v>
      </c>
      <c r="S469" s="13" t="s">
        <v>5510</v>
      </c>
      <c r="T469" s="13" t="s">
        <v>14025</v>
      </c>
      <c r="U469" s="13" t="s">
        <v>14026</v>
      </c>
      <c r="V469" s="13" t="s">
        <v>14027</v>
      </c>
      <c r="W469" s="13" t="s">
        <v>14028</v>
      </c>
      <c r="X469" s="13" t="s">
        <v>14029</v>
      </c>
      <c r="Y469" s="13" t="s">
        <v>14030</v>
      </c>
      <c r="Z469" s="13" t="s">
        <v>14031</v>
      </c>
      <c r="AA469" s="13" t="s">
        <v>14032</v>
      </c>
      <c r="AB469" s="13" t="s">
        <v>14033</v>
      </c>
      <c r="AC469" s="13" t="s">
        <v>14034</v>
      </c>
      <c r="AD469" s="13" t="s">
        <v>14035</v>
      </c>
      <c r="AE469" s="13" t="s">
        <v>14036</v>
      </c>
      <c r="AF469" s="13" t="s">
        <v>5510</v>
      </c>
      <c r="AG469" s="13">
        <v>86.0</v>
      </c>
      <c r="AH469" s="13">
        <v>74.0</v>
      </c>
      <c r="AI469" s="13">
        <v>105.0</v>
      </c>
      <c r="AJ469" s="13">
        <v>2.0</v>
      </c>
      <c r="AK469" s="13">
        <v>182.0</v>
      </c>
      <c r="AL469" s="13" t="s">
        <v>6849</v>
      </c>
      <c r="AM469" s="13" t="s">
        <v>6850</v>
      </c>
      <c r="AN469" s="13" t="s">
        <v>6851</v>
      </c>
      <c r="AO469" s="13" t="s">
        <v>5510</v>
      </c>
      <c r="AP469" s="13" t="s">
        <v>6852</v>
      </c>
      <c r="AQ469" s="13" t="s">
        <v>5510</v>
      </c>
      <c r="AR469" s="13" t="s">
        <v>6853</v>
      </c>
      <c r="AS469" s="13" t="s">
        <v>1596</v>
      </c>
      <c r="AT469" s="13" t="s">
        <v>6439</v>
      </c>
      <c r="AU469" s="13">
        <v>2019.0</v>
      </c>
      <c r="AV469" s="13">
        <v>11.0</v>
      </c>
      <c r="AW469" s="13">
        <v>13.0</v>
      </c>
      <c r="AX469" s="13" t="s">
        <v>5510</v>
      </c>
      <c r="AY469" s="13" t="s">
        <v>5510</v>
      </c>
      <c r="AZ469" s="13" t="s">
        <v>5510</v>
      </c>
      <c r="BA469" s="13" t="s">
        <v>5510</v>
      </c>
      <c r="BB469" s="13" t="s">
        <v>5510</v>
      </c>
      <c r="BC469" s="13" t="s">
        <v>5510</v>
      </c>
      <c r="BD469" s="13">
        <v>3513.0</v>
      </c>
      <c r="BE469" s="13" t="s">
        <v>14037</v>
      </c>
      <c r="BF469" s="52" t="str">
        <f>HYPERLINK("http://dx.doi.org/10.3390/su11133513","http://dx.doi.org/10.3390/su11133513")</f>
        <v>http://dx.doi.org/10.3390/su11133513</v>
      </c>
      <c r="BG469" s="13" t="s">
        <v>5510</v>
      </c>
      <c r="BH469" s="13" t="s">
        <v>5510</v>
      </c>
      <c r="BI469" s="13">
        <v>21.0</v>
      </c>
      <c r="BJ469" s="13" t="s">
        <v>6855</v>
      </c>
      <c r="BK469" s="13" t="s">
        <v>5534</v>
      </c>
      <c r="BL469" s="13" t="s">
        <v>6488</v>
      </c>
      <c r="BM469" s="13" t="s">
        <v>14038</v>
      </c>
      <c r="BN469" s="13" t="s">
        <v>5510</v>
      </c>
      <c r="BO469" s="13" t="s">
        <v>5564</v>
      </c>
      <c r="BP469" s="13" t="s">
        <v>5510</v>
      </c>
      <c r="BQ469" s="13" t="s">
        <v>5510</v>
      </c>
      <c r="BR469" s="13" t="s">
        <v>5538</v>
      </c>
      <c r="BS469" s="13" t="s">
        <v>14039</v>
      </c>
      <c r="BT469" s="13">
        <v>26078.0</v>
      </c>
      <c r="BU469" s="13" t="s">
        <v>5540</v>
      </c>
      <c r="BV469" s="13" t="s">
        <v>4856</v>
      </c>
      <c r="BW469" s="13" t="str">
        <f>VLOOKUP($BT469,Enriched!$A$2:$E$1070,5,false)</f>
        <v>["Agriculture &amp; Aquaculture", "Residential &amp; Commercial Development"]</v>
      </c>
      <c r="BX469" s="13" t="str">
        <f>VLOOKUP($BT469,Enriched!$A$2:$E$1070,4,false)</f>
        <v>["Housing &amp; urban area", "Commercial &amp; industrial areas"]</v>
      </c>
      <c r="BY469" s="13" t="b">
        <f>VLOOKUP(BT469,Enriched!$A$1:$AA$1070,27,falsE)</f>
        <v>1</v>
      </c>
      <c r="BZ469" s="2" t="str">
        <f>VLOOKUP(BT469,Enriched!$A$1:$AA$1070,14,falsE)</f>
        <v>level2</v>
      </c>
      <c r="CA469" s="13" t="str">
        <f>HYPERLINK("https%3A%2F%2Fwww.webofscience.com%2Fwos%2Fwoscc%2Ffull-record%2FWOS:000477051900018","View Full Record in Web of Science")</f>
        <v>View Full Record in Web of Science</v>
      </c>
    </row>
    <row r="470" ht="12.75" customHeight="1">
      <c r="A470" s="13" t="s">
        <v>5508</v>
      </c>
      <c r="B470" s="13" t="s">
        <v>14040</v>
      </c>
      <c r="C470" s="13" t="s">
        <v>5510</v>
      </c>
      <c r="D470" s="13" t="s">
        <v>5510</v>
      </c>
      <c r="E470" s="13" t="s">
        <v>5510</v>
      </c>
      <c r="F470" s="13" t="s">
        <v>14041</v>
      </c>
      <c r="G470" s="13" t="s">
        <v>5510</v>
      </c>
      <c r="H470" s="13" t="s">
        <v>5510</v>
      </c>
      <c r="I470" s="13" t="s">
        <v>1593</v>
      </c>
      <c r="J470" s="13" t="s">
        <v>5543</v>
      </c>
      <c r="K470" s="13" t="s">
        <v>5510</v>
      </c>
      <c r="L470" s="13" t="s">
        <v>5510</v>
      </c>
      <c r="M470" s="13" t="s">
        <v>5513</v>
      </c>
      <c r="N470" s="13" t="s">
        <v>5514</v>
      </c>
      <c r="O470" s="13" t="s">
        <v>5510</v>
      </c>
      <c r="P470" s="13" t="s">
        <v>5510</v>
      </c>
      <c r="Q470" s="13" t="s">
        <v>5510</v>
      </c>
      <c r="R470" s="13" t="s">
        <v>5510</v>
      </c>
      <c r="S470" s="13" t="s">
        <v>5510</v>
      </c>
      <c r="T470" s="13" t="s">
        <v>5510</v>
      </c>
      <c r="U470" s="13" t="s">
        <v>14042</v>
      </c>
      <c r="V470" s="13" t="s">
        <v>14043</v>
      </c>
      <c r="W470" s="13" t="s">
        <v>14044</v>
      </c>
      <c r="X470" s="13" t="s">
        <v>14045</v>
      </c>
      <c r="Y470" s="13" t="s">
        <v>14046</v>
      </c>
      <c r="Z470" s="13" t="s">
        <v>14047</v>
      </c>
      <c r="AA470" s="13" t="s">
        <v>14048</v>
      </c>
      <c r="AB470" s="13" t="s">
        <v>14049</v>
      </c>
      <c r="AC470" s="13" t="s">
        <v>14050</v>
      </c>
      <c r="AD470" s="13" t="s">
        <v>14051</v>
      </c>
      <c r="AE470" s="13" t="s">
        <v>14052</v>
      </c>
      <c r="AF470" s="13" t="s">
        <v>5510</v>
      </c>
      <c r="AG470" s="13">
        <v>68.0</v>
      </c>
      <c r="AH470" s="13">
        <v>40.0</v>
      </c>
      <c r="AI470" s="13">
        <v>46.0</v>
      </c>
      <c r="AJ470" s="13">
        <v>0.0</v>
      </c>
      <c r="AK470" s="13">
        <v>98.0</v>
      </c>
      <c r="AL470" s="13" t="s">
        <v>5552</v>
      </c>
      <c r="AM470" s="13" t="s">
        <v>5553</v>
      </c>
      <c r="AN470" s="13" t="s">
        <v>5554</v>
      </c>
      <c r="AO470" s="13" t="s">
        <v>5555</v>
      </c>
      <c r="AP470" s="13" t="s">
        <v>5510</v>
      </c>
      <c r="AQ470" s="13" t="s">
        <v>5510</v>
      </c>
      <c r="AR470" s="13" t="s">
        <v>5543</v>
      </c>
      <c r="AS470" s="13" t="s">
        <v>5556</v>
      </c>
      <c r="AT470" s="13" t="s">
        <v>5824</v>
      </c>
      <c r="AU470" s="13">
        <v>2013.0</v>
      </c>
      <c r="AV470" s="13">
        <v>8.0</v>
      </c>
      <c r="AW470" s="13">
        <v>4.0</v>
      </c>
      <c r="AX470" s="13" t="s">
        <v>5510</v>
      </c>
      <c r="AY470" s="13" t="s">
        <v>5510</v>
      </c>
      <c r="AZ470" s="13" t="s">
        <v>5510</v>
      </c>
      <c r="BA470" s="13" t="s">
        <v>5510</v>
      </c>
      <c r="BB470" s="13" t="s">
        <v>5510</v>
      </c>
      <c r="BC470" s="13" t="s">
        <v>5510</v>
      </c>
      <c r="BD470" s="13" t="s">
        <v>14053</v>
      </c>
      <c r="BE470" s="13" t="s">
        <v>14054</v>
      </c>
      <c r="BF470" s="52" t="str">
        <f>HYPERLINK("http://dx.doi.org/10.1371/journal.pone.0060756","http://dx.doi.org/10.1371/journal.pone.0060756")</f>
        <v>http://dx.doi.org/10.1371/journal.pone.0060756</v>
      </c>
      <c r="BG470" s="13" t="s">
        <v>5510</v>
      </c>
      <c r="BH470" s="13" t="s">
        <v>5510</v>
      </c>
      <c r="BI470" s="13">
        <v>7.0</v>
      </c>
      <c r="BJ470" s="13" t="s">
        <v>5560</v>
      </c>
      <c r="BK470" s="13" t="s">
        <v>5561</v>
      </c>
      <c r="BL470" s="13" t="s">
        <v>5562</v>
      </c>
      <c r="BM470" s="13" t="s">
        <v>14055</v>
      </c>
      <c r="BN470" s="13">
        <v>2.3593302E7</v>
      </c>
      <c r="BO470" s="13" t="s">
        <v>5564</v>
      </c>
      <c r="BP470" s="13" t="s">
        <v>5510</v>
      </c>
      <c r="BQ470" s="13" t="s">
        <v>5510</v>
      </c>
      <c r="BR470" s="13" t="s">
        <v>5538</v>
      </c>
      <c r="BS470" s="13" t="s">
        <v>14056</v>
      </c>
      <c r="BT470" s="13">
        <v>26054.0</v>
      </c>
      <c r="BU470" s="13" t="s">
        <v>5540</v>
      </c>
      <c r="BV470" s="13" t="s">
        <v>4856</v>
      </c>
      <c r="BW470" s="13" t="str">
        <f>VLOOKUP($BT470,Enriched!$A$2:$E$1070,5,false)</f>
        <v>["Biological Resource Use"]</v>
      </c>
      <c r="BX470" s="13" t="str">
        <f>VLOOKUP($BT470,Enriched!$A$2:$E$1070,4,false)</f>
        <v>["Logging &amp; wood harvesting"]</v>
      </c>
      <c r="BY470" s="13" t="b">
        <f>VLOOKUP(BT470,Enriched!$A$1:$AA$1070,27,falsE)</f>
        <v>0</v>
      </c>
      <c r="BZ470" s="2" t="str">
        <f>VLOOKUP(BT470,Enriched!$A$1:$AA$1070,14,falsE)</f>
        <v>level2</v>
      </c>
      <c r="CA470" s="13" t="str">
        <f>HYPERLINK("https%3A%2F%2Fwww.webofscience.com%2Fwos%2Fwoscc%2Ffull-record%2FWOS:000317382000024","View Full Record in Web of Science")</f>
        <v>View Full Record in Web of Science</v>
      </c>
    </row>
    <row r="471" ht="12.75" customHeight="1">
      <c r="A471" s="13" t="s">
        <v>5508</v>
      </c>
      <c r="B471" s="13" t="s">
        <v>14057</v>
      </c>
      <c r="C471" s="13" t="s">
        <v>5510</v>
      </c>
      <c r="D471" s="13" t="s">
        <v>5510</v>
      </c>
      <c r="E471" s="13" t="s">
        <v>5510</v>
      </c>
      <c r="F471" s="13" t="s">
        <v>14058</v>
      </c>
      <c r="G471" s="13" t="s">
        <v>5510</v>
      </c>
      <c r="H471" s="13" t="s">
        <v>5510</v>
      </c>
      <c r="I471" s="13" t="s">
        <v>1591</v>
      </c>
      <c r="J471" s="13" t="s">
        <v>5543</v>
      </c>
      <c r="K471" s="13" t="s">
        <v>5510</v>
      </c>
      <c r="L471" s="13" t="s">
        <v>5510</v>
      </c>
      <c r="M471" s="13" t="s">
        <v>5513</v>
      </c>
      <c r="N471" s="13" t="s">
        <v>5514</v>
      </c>
      <c r="O471" s="13" t="s">
        <v>5510</v>
      </c>
      <c r="P471" s="13" t="s">
        <v>5510</v>
      </c>
      <c r="Q471" s="13" t="s">
        <v>5510</v>
      </c>
      <c r="R471" s="13" t="s">
        <v>5510</v>
      </c>
      <c r="S471" s="13" t="s">
        <v>5510</v>
      </c>
      <c r="T471" s="13" t="s">
        <v>5510</v>
      </c>
      <c r="U471" s="13" t="s">
        <v>14059</v>
      </c>
      <c r="V471" s="13" t="s">
        <v>14060</v>
      </c>
      <c r="W471" s="13" t="s">
        <v>14061</v>
      </c>
      <c r="X471" s="13" t="s">
        <v>14062</v>
      </c>
      <c r="Y471" s="13" t="s">
        <v>14063</v>
      </c>
      <c r="Z471" s="13" t="s">
        <v>14064</v>
      </c>
      <c r="AA471" s="13" t="s">
        <v>14065</v>
      </c>
      <c r="AB471" s="13" t="s">
        <v>14066</v>
      </c>
      <c r="AC471" s="13" t="s">
        <v>14067</v>
      </c>
      <c r="AD471" s="13" t="s">
        <v>14068</v>
      </c>
      <c r="AE471" s="13" t="s">
        <v>14069</v>
      </c>
      <c r="AF471" s="13" t="s">
        <v>5510</v>
      </c>
      <c r="AG471" s="13">
        <v>57.0</v>
      </c>
      <c r="AH471" s="13">
        <v>41.0</v>
      </c>
      <c r="AI471" s="13">
        <v>46.0</v>
      </c>
      <c r="AJ471" s="13">
        <v>1.0</v>
      </c>
      <c r="AK471" s="13">
        <v>18.0</v>
      </c>
      <c r="AL471" s="13" t="s">
        <v>5552</v>
      </c>
      <c r="AM471" s="13" t="s">
        <v>5553</v>
      </c>
      <c r="AN471" s="13" t="s">
        <v>5554</v>
      </c>
      <c r="AO471" s="13" t="s">
        <v>5555</v>
      </c>
      <c r="AP471" s="13" t="s">
        <v>5510</v>
      </c>
      <c r="AQ471" s="13" t="s">
        <v>5510</v>
      </c>
      <c r="AR471" s="13" t="s">
        <v>5543</v>
      </c>
      <c r="AS471" s="13" t="s">
        <v>5556</v>
      </c>
      <c r="AT471" s="13" t="s">
        <v>9804</v>
      </c>
      <c r="AU471" s="13">
        <v>2018.0</v>
      </c>
      <c r="AV471" s="13">
        <v>13.0</v>
      </c>
      <c r="AW471" s="13">
        <v>12.0</v>
      </c>
      <c r="AX471" s="13" t="s">
        <v>5510</v>
      </c>
      <c r="AY471" s="13" t="s">
        <v>5510</v>
      </c>
      <c r="AZ471" s="13" t="s">
        <v>5510</v>
      </c>
      <c r="BA471" s="13" t="s">
        <v>5510</v>
      </c>
      <c r="BB471" s="13" t="s">
        <v>5510</v>
      </c>
      <c r="BC471" s="13" t="s">
        <v>5510</v>
      </c>
      <c r="BD471" s="13" t="s">
        <v>14070</v>
      </c>
      <c r="BE471" s="13" t="s">
        <v>14071</v>
      </c>
      <c r="BF471" s="52" t="str">
        <f>HYPERLINK("http://dx.doi.org/10.1371/journal.pone.0209977","http://dx.doi.org/10.1371/journal.pone.0209977")</f>
        <v>http://dx.doi.org/10.1371/journal.pone.0209977</v>
      </c>
      <c r="BG471" s="13" t="s">
        <v>5510</v>
      </c>
      <c r="BH471" s="13" t="s">
        <v>5510</v>
      </c>
      <c r="BI471" s="13">
        <v>17.0</v>
      </c>
      <c r="BJ471" s="13" t="s">
        <v>5560</v>
      </c>
      <c r="BK471" s="13" t="s">
        <v>5561</v>
      </c>
      <c r="BL471" s="13" t="s">
        <v>5562</v>
      </c>
      <c r="BM471" s="13" t="s">
        <v>14072</v>
      </c>
      <c r="BN471" s="13">
        <v>3.0596743E7</v>
      </c>
      <c r="BO471" s="13" t="s">
        <v>5564</v>
      </c>
      <c r="BP471" s="13" t="s">
        <v>5510</v>
      </c>
      <c r="BQ471" s="13" t="s">
        <v>5510</v>
      </c>
      <c r="BR471" s="13" t="s">
        <v>5538</v>
      </c>
      <c r="BS471" s="13" t="s">
        <v>14073</v>
      </c>
      <c r="BT471" s="13">
        <v>24107.0</v>
      </c>
      <c r="BU471" s="13" t="s">
        <v>5540</v>
      </c>
      <c r="BV471" s="13" t="s">
        <v>4864</v>
      </c>
      <c r="BW471" s="13" t="str">
        <f>VLOOKUP($BT471,Enriched!$A$2:$E$1070,5,false)</f>
        <v>["Human Intrusions &amp; Disturbance"]</v>
      </c>
      <c r="BX471" s="13" t="str">
        <f>VLOOKUP($BT471,Enriched!$A$2:$E$1070,4,false)</f>
        <v>["Recreational activities"]</v>
      </c>
      <c r="BY471" s="13" t="b">
        <f>VLOOKUP(BT471,Enriched!$A$1:$AA$1070,27,falsE)</f>
        <v>0</v>
      </c>
      <c r="BZ471" s="2" t="str">
        <f>VLOOKUP(BT471,Enriched!$A$1:$AA$1070,14,falsE)</f>
        <v>level2</v>
      </c>
      <c r="CA471" s="13" t="str">
        <f>HYPERLINK("https%3A%2F%2Fwww.webofscience.com%2Fwos%2Fwoscc%2Ffull-record%2FWOS:000454627200119","View Full Record in Web of Science")</f>
        <v>View Full Record in Web of Science</v>
      </c>
    </row>
    <row r="472" ht="12.75" customHeight="1">
      <c r="A472" s="13" t="s">
        <v>5508</v>
      </c>
      <c r="B472" s="13" t="s">
        <v>14074</v>
      </c>
      <c r="C472" s="13" t="s">
        <v>5510</v>
      </c>
      <c r="D472" s="13" t="s">
        <v>5510</v>
      </c>
      <c r="E472" s="13" t="s">
        <v>5510</v>
      </c>
      <c r="F472" s="13" t="s">
        <v>14075</v>
      </c>
      <c r="G472" s="13" t="s">
        <v>5510</v>
      </c>
      <c r="H472" s="13" t="s">
        <v>5510</v>
      </c>
      <c r="I472" s="13" t="s">
        <v>14076</v>
      </c>
      <c r="J472" s="13" t="s">
        <v>5512</v>
      </c>
      <c r="K472" s="13" t="s">
        <v>5510</v>
      </c>
      <c r="L472" s="13" t="s">
        <v>5510</v>
      </c>
      <c r="M472" s="13" t="s">
        <v>5513</v>
      </c>
      <c r="N472" s="13" t="s">
        <v>5514</v>
      </c>
      <c r="O472" s="13" t="s">
        <v>5510</v>
      </c>
      <c r="P472" s="13" t="s">
        <v>5510</v>
      </c>
      <c r="Q472" s="13" t="s">
        <v>5510</v>
      </c>
      <c r="R472" s="13" t="s">
        <v>5510</v>
      </c>
      <c r="S472" s="13" t="s">
        <v>5510</v>
      </c>
      <c r="T472" s="13" t="s">
        <v>14077</v>
      </c>
      <c r="U472" s="13" t="s">
        <v>14078</v>
      </c>
      <c r="V472" s="13" t="s">
        <v>14079</v>
      </c>
      <c r="W472" s="13" t="s">
        <v>14080</v>
      </c>
      <c r="X472" s="13" t="s">
        <v>14081</v>
      </c>
      <c r="Y472" s="13" t="s">
        <v>14082</v>
      </c>
      <c r="Z472" s="13" t="s">
        <v>14083</v>
      </c>
      <c r="AA472" s="13" t="s">
        <v>14084</v>
      </c>
      <c r="AB472" s="13" t="s">
        <v>14085</v>
      </c>
      <c r="AC472" s="13" t="s">
        <v>14086</v>
      </c>
      <c r="AD472" s="13" t="s">
        <v>14086</v>
      </c>
      <c r="AE472" s="13" t="s">
        <v>14087</v>
      </c>
      <c r="AF472" s="13" t="s">
        <v>5510</v>
      </c>
      <c r="AG472" s="13">
        <v>48.0</v>
      </c>
      <c r="AH472" s="13">
        <v>199.0</v>
      </c>
      <c r="AI472" s="13">
        <v>221.0</v>
      </c>
      <c r="AJ472" s="13">
        <v>2.0</v>
      </c>
      <c r="AK472" s="13">
        <v>100.0</v>
      </c>
      <c r="AL472" s="13" t="s">
        <v>5527</v>
      </c>
      <c r="AM472" s="13" t="s">
        <v>5528</v>
      </c>
      <c r="AN472" s="13" t="s">
        <v>5529</v>
      </c>
      <c r="AO472" s="13" t="s">
        <v>5530</v>
      </c>
      <c r="AP472" s="13" t="s">
        <v>5510</v>
      </c>
      <c r="AQ472" s="13" t="s">
        <v>5510</v>
      </c>
      <c r="AR472" s="13" t="s">
        <v>5512</v>
      </c>
      <c r="AS472" s="13" t="s">
        <v>53</v>
      </c>
      <c r="AT472" s="13" t="s">
        <v>6089</v>
      </c>
      <c r="AU472" s="13">
        <v>2013.0</v>
      </c>
      <c r="AV472" s="13">
        <v>4.0</v>
      </c>
      <c r="AW472" s="13">
        <v>3.0</v>
      </c>
      <c r="AX472" s="13" t="s">
        <v>5510</v>
      </c>
      <c r="AY472" s="13" t="s">
        <v>5510</v>
      </c>
      <c r="AZ472" s="13" t="s">
        <v>5510</v>
      </c>
      <c r="BA472" s="13" t="s">
        <v>5510</v>
      </c>
      <c r="BB472" s="13" t="s">
        <v>5510</v>
      </c>
      <c r="BC472" s="13" t="s">
        <v>5510</v>
      </c>
      <c r="BD472" s="13">
        <v>40.0</v>
      </c>
      <c r="BE472" s="13" t="s">
        <v>14088</v>
      </c>
      <c r="BF472" s="52" t="str">
        <f>HYPERLINK("http://dx.doi.org/10.1890/ES12-00388.1","http://dx.doi.org/10.1890/ES12-00388.1")</f>
        <v>http://dx.doi.org/10.1890/ES12-00388.1</v>
      </c>
      <c r="BG472" s="13" t="s">
        <v>5510</v>
      </c>
      <c r="BH472" s="13" t="s">
        <v>5510</v>
      </c>
      <c r="BI472" s="13">
        <v>49.0</v>
      </c>
      <c r="BJ472" s="13" t="s">
        <v>5533</v>
      </c>
      <c r="BK472" s="13" t="s">
        <v>5561</v>
      </c>
      <c r="BL472" s="13" t="s">
        <v>5535</v>
      </c>
      <c r="BM472" s="13" t="s">
        <v>14089</v>
      </c>
      <c r="BN472" s="13" t="s">
        <v>5510</v>
      </c>
      <c r="BO472" s="13" t="s">
        <v>5537</v>
      </c>
      <c r="BP472" s="13" t="s">
        <v>5510</v>
      </c>
      <c r="BQ472" s="13" t="s">
        <v>5510</v>
      </c>
      <c r="BR472" s="13" t="s">
        <v>5538</v>
      </c>
      <c r="BS472" s="13" t="s">
        <v>14090</v>
      </c>
      <c r="BT472" s="13">
        <v>25953.0</v>
      </c>
      <c r="BU472" s="13" t="s">
        <v>5540</v>
      </c>
      <c r="BV472" s="13" t="s">
        <v>4864</v>
      </c>
      <c r="BW472" s="13" t="str">
        <f>VLOOKUP($BT472,Enriched!$A$2:$E$1070,5,false)</f>
        <v>["Biological resource use"]</v>
      </c>
      <c r="BX472" s="13" t="str">
        <f>VLOOKUP($BT472,Enriched!$A$2:$E$1070,4,false)</f>
        <v>["Fishing &amp; harvesting aquatic resources"]</v>
      </c>
      <c r="BY472" s="13" t="b">
        <f>VLOOKUP(BT472,Enriched!$A$1:$AA$1070,27,falsE)</f>
        <v>0</v>
      </c>
      <c r="BZ472" s="2" t="str">
        <f>VLOOKUP(BT472,Enriched!$A$1:$AA$1070,14,falsE)</f>
        <v>level2</v>
      </c>
      <c r="CA472" s="13" t="str">
        <f>HYPERLINK("https%3A%2F%2Fwww.webofscience.com%2Fwos%2Fwoscc%2Ffull-record%2FWOS:000327307300009","View Full Record in Web of Science")</f>
        <v>View Full Record in Web of Science</v>
      </c>
    </row>
    <row r="473" ht="12.75" customHeight="1">
      <c r="A473" s="13" t="s">
        <v>5508</v>
      </c>
      <c r="B473" s="13" t="s">
        <v>14091</v>
      </c>
      <c r="C473" s="13" t="s">
        <v>5510</v>
      </c>
      <c r="D473" s="13" t="s">
        <v>5510</v>
      </c>
      <c r="E473" s="13" t="s">
        <v>5510</v>
      </c>
      <c r="F473" s="13" t="s">
        <v>14092</v>
      </c>
      <c r="G473" s="13" t="s">
        <v>5510</v>
      </c>
      <c r="H473" s="13" t="s">
        <v>5510</v>
      </c>
      <c r="I473" s="13" t="s">
        <v>14093</v>
      </c>
      <c r="J473" s="13" t="s">
        <v>5543</v>
      </c>
      <c r="K473" s="13" t="s">
        <v>5510</v>
      </c>
      <c r="L473" s="13" t="s">
        <v>5510</v>
      </c>
      <c r="M473" s="13" t="s">
        <v>5513</v>
      </c>
      <c r="N473" s="13" t="s">
        <v>5514</v>
      </c>
      <c r="O473" s="13" t="s">
        <v>5510</v>
      </c>
      <c r="P473" s="13" t="s">
        <v>5510</v>
      </c>
      <c r="Q473" s="13" t="s">
        <v>5510</v>
      </c>
      <c r="R473" s="13" t="s">
        <v>5510</v>
      </c>
      <c r="S473" s="13" t="s">
        <v>5510</v>
      </c>
      <c r="T473" s="13" t="s">
        <v>5510</v>
      </c>
      <c r="U473" s="13" t="s">
        <v>14094</v>
      </c>
      <c r="V473" s="13" t="s">
        <v>14095</v>
      </c>
      <c r="W473" s="13" t="s">
        <v>14096</v>
      </c>
      <c r="X473" s="13" t="s">
        <v>14097</v>
      </c>
      <c r="Y473" s="13" t="s">
        <v>14098</v>
      </c>
      <c r="Z473" s="13" t="s">
        <v>14099</v>
      </c>
      <c r="AA473" s="13" t="s">
        <v>14100</v>
      </c>
      <c r="AB473" s="13" t="s">
        <v>14101</v>
      </c>
      <c r="AC473" s="13" t="s">
        <v>14102</v>
      </c>
      <c r="AD473" s="13" t="s">
        <v>14103</v>
      </c>
      <c r="AE473" s="13" t="s">
        <v>14104</v>
      </c>
      <c r="AF473" s="13" t="s">
        <v>5510</v>
      </c>
      <c r="AG473" s="13">
        <v>66.0</v>
      </c>
      <c r="AH473" s="13">
        <v>47.0</v>
      </c>
      <c r="AI473" s="13">
        <v>53.0</v>
      </c>
      <c r="AJ473" s="13">
        <v>1.0</v>
      </c>
      <c r="AK473" s="13">
        <v>125.0</v>
      </c>
      <c r="AL473" s="13" t="s">
        <v>5552</v>
      </c>
      <c r="AM473" s="13" t="s">
        <v>5553</v>
      </c>
      <c r="AN473" s="13" t="s">
        <v>5554</v>
      </c>
      <c r="AO473" s="13" t="s">
        <v>5555</v>
      </c>
      <c r="AP473" s="13" t="s">
        <v>5510</v>
      </c>
      <c r="AQ473" s="13" t="s">
        <v>5510</v>
      </c>
      <c r="AR473" s="13" t="s">
        <v>5543</v>
      </c>
      <c r="AS473" s="13" t="s">
        <v>5556</v>
      </c>
      <c r="AT473" s="13" t="s">
        <v>13105</v>
      </c>
      <c r="AU473" s="13">
        <v>2016.0</v>
      </c>
      <c r="AV473" s="13">
        <v>11.0</v>
      </c>
      <c r="AW473" s="13">
        <v>8.0</v>
      </c>
      <c r="AX473" s="13" t="s">
        <v>5510</v>
      </c>
      <c r="AY473" s="13" t="s">
        <v>5510</v>
      </c>
      <c r="AZ473" s="13" t="s">
        <v>5510</v>
      </c>
      <c r="BA473" s="13" t="s">
        <v>5510</v>
      </c>
      <c r="BB473" s="13" t="s">
        <v>5510</v>
      </c>
      <c r="BC473" s="13" t="s">
        <v>5510</v>
      </c>
      <c r="BD473" s="13" t="s">
        <v>14105</v>
      </c>
      <c r="BE473" s="13" t="s">
        <v>14106</v>
      </c>
      <c r="BF473" s="52" t="str">
        <f>HYPERLINK("http://dx.doi.org/10.1371/journal.pone.0160151","http://dx.doi.org/10.1371/journal.pone.0160151")</f>
        <v>http://dx.doi.org/10.1371/journal.pone.0160151</v>
      </c>
      <c r="BG473" s="13" t="s">
        <v>5510</v>
      </c>
      <c r="BH473" s="13" t="s">
        <v>5510</v>
      </c>
      <c r="BI473" s="13">
        <v>21.0</v>
      </c>
      <c r="BJ473" s="13" t="s">
        <v>5560</v>
      </c>
      <c r="BK473" s="13" t="s">
        <v>5561</v>
      </c>
      <c r="BL473" s="13" t="s">
        <v>5562</v>
      </c>
      <c r="BM473" s="13" t="s">
        <v>14107</v>
      </c>
      <c r="BN473" s="13">
        <v>2.753215E7</v>
      </c>
      <c r="BO473" s="13" t="s">
        <v>5564</v>
      </c>
      <c r="BP473" s="13" t="s">
        <v>5510</v>
      </c>
      <c r="BQ473" s="13" t="s">
        <v>5510</v>
      </c>
      <c r="BR473" s="13" t="s">
        <v>5538</v>
      </c>
      <c r="BS473" s="13" t="s">
        <v>14108</v>
      </c>
      <c r="BT473" s="13">
        <v>24352.0</v>
      </c>
      <c r="BU473" s="13" t="s">
        <v>5540</v>
      </c>
      <c r="BV473" s="13" t="s">
        <v>4852</v>
      </c>
      <c r="BW473" s="13" t="str">
        <f>VLOOKUP($BT473,Enriched!$A$2:$E$1070,5,false)</f>
        <v>["Natural system modifications"]</v>
      </c>
      <c r="BX473" s="13" t="str">
        <f>VLOOKUP($BT473,Enriched!$A$2:$E$1070,4,false)</f>
        <v>["Dams &amp; water management/use"]</v>
      </c>
      <c r="BY473" s="13" t="b">
        <f>VLOOKUP(BT473,Enriched!$A$1:$AA$1070,27,falsE)</f>
        <v>0</v>
      </c>
      <c r="BZ473" s="2" t="str">
        <f>VLOOKUP(BT473,Enriched!$A$1:$AA$1070,14,falsE)</f>
        <v>level2</v>
      </c>
      <c r="CA473" s="13" t="str">
        <f>HYPERLINK("https%3A%2F%2Fwww.webofscience.com%2Fwos%2Fwoscc%2Ffull-record%2FWOS:000381487600025","View Full Record in Web of Science")</f>
        <v>View Full Record in Web of Science</v>
      </c>
    </row>
    <row r="474" ht="12.75" customHeight="1">
      <c r="A474" s="13" t="s">
        <v>5508</v>
      </c>
      <c r="B474" s="13" t="s">
        <v>14109</v>
      </c>
      <c r="C474" s="13" t="s">
        <v>5510</v>
      </c>
      <c r="D474" s="13" t="s">
        <v>5510</v>
      </c>
      <c r="E474" s="13" t="s">
        <v>5510</v>
      </c>
      <c r="F474" s="13" t="s">
        <v>14110</v>
      </c>
      <c r="G474" s="13" t="s">
        <v>5510</v>
      </c>
      <c r="H474" s="13" t="s">
        <v>5510</v>
      </c>
      <c r="I474" s="13" t="s">
        <v>1585</v>
      </c>
      <c r="J474" s="13" t="s">
        <v>5895</v>
      </c>
      <c r="K474" s="13" t="s">
        <v>5510</v>
      </c>
      <c r="L474" s="13" t="s">
        <v>5510</v>
      </c>
      <c r="M474" s="13" t="s">
        <v>5513</v>
      </c>
      <c r="N474" s="13" t="s">
        <v>5514</v>
      </c>
      <c r="O474" s="13" t="s">
        <v>5510</v>
      </c>
      <c r="P474" s="13" t="s">
        <v>5510</v>
      </c>
      <c r="Q474" s="13" t="s">
        <v>5510</v>
      </c>
      <c r="R474" s="13" t="s">
        <v>5510</v>
      </c>
      <c r="S474" s="13" t="s">
        <v>5510</v>
      </c>
      <c r="T474" s="13" t="s">
        <v>14111</v>
      </c>
      <c r="U474" s="13" t="s">
        <v>14112</v>
      </c>
      <c r="V474" s="13" t="s">
        <v>14113</v>
      </c>
      <c r="W474" s="13" t="s">
        <v>14114</v>
      </c>
      <c r="X474" s="13" t="s">
        <v>14115</v>
      </c>
      <c r="Y474" s="13" t="s">
        <v>14116</v>
      </c>
      <c r="Z474" s="13" t="s">
        <v>14117</v>
      </c>
      <c r="AA474" s="13" t="s">
        <v>14118</v>
      </c>
      <c r="AB474" s="13" t="s">
        <v>14119</v>
      </c>
      <c r="AC474" s="13" t="s">
        <v>14120</v>
      </c>
      <c r="AD474" s="13" t="s">
        <v>14121</v>
      </c>
      <c r="AE474" s="13" t="s">
        <v>14122</v>
      </c>
      <c r="AF474" s="13" t="s">
        <v>5510</v>
      </c>
      <c r="AG474" s="13">
        <v>57.0</v>
      </c>
      <c r="AH474" s="13">
        <v>352.0</v>
      </c>
      <c r="AI474" s="13">
        <v>418.0</v>
      </c>
      <c r="AJ474" s="13">
        <v>31.0</v>
      </c>
      <c r="AK474" s="13">
        <v>451.0</v>
      </c>
      <c r="AL474" s="13" t="s">
        <v>5907</v>
      </c>
      <c r="AM474" s="13" t="s">
        <v>5908</v>
      </c>
      <c r="AN474" s="13" t="s">
        <v>5909</v>
      </c>
      <c r="AO474" s="13" t="s">
        <v>5910</v>
      </c>
      <c r="AP474" s="13" t="s">
        <v>6619</v>
      </c>
      <c r="AQ474" s="13" t="s">
        <v>5510</v>
      </c>
      <c r="AR474" s="13" t="s">
        <v>5911</v>
      </c>
      <c r="AS474" s="13" t="s">
        <v>5912</v>
      </c>
      <c r="AT474" s="13" t="s">
        <v>14123</v>
      </c>
      <c r="AU474" s="13">
        <v>2020.0</v>
      </c>
      <c r="AV474" s="13">
        <v>117.0</v>
      </c>
      <c r="AW474" s="13">
        <v>7.0</v>
      </c>
      <c r="AX474" s="13" t="s">
        <v>5510</v>
      </c>
      <c r="AY474" s="13" t="s">
        <v>5510</v>
      </c>
      <c r="AZ474" s="13" t="s">
        <v>5510</v>
      </c>
      <c r="BA474" s="13" t="s">
        <v>5510</v>
      </c>
      <c r="BB474" s="13">
        <v>3648.0</v>
      </c>
      <c r="BC474" s="13">
        <v>3655.0</v>
      </c>
      <c r="BD474" s="13" t="s">
        <v>5510</v>
      </c>
      <c r="BE474" s="13" t="s">
        <v>14124</v>
      </c>
      <c r="BF474" s="52" t="str">
        <f>HYPERLINK("http://dx.doi.org/10.1073/pnas.1912776117","http://dx.doi.org/10.1073/pnas.1912776117")</f>
        <v>http://dx.doi.org/10.1073/pnas.1912776117</v>
      </c>
      <c r="BG474" s="13" t="s">
        <v>5510</v>
      </c>
      <c r="BH474" s="13" t="s">
        <v>5510</v>
      </c>
      <c r="BI474" s="13">
        <v>8.0</v>
      </c>
      <c r="BJ474" s="13" t="s">
        <v>5560</v>
      </c>
      <c r="BK474" s="13" t="s">
        <v>5561</v>
      </c>
      <c r="BL474" s="13" t="s">
        <v>5562</v>
      </c>
      <c r="BM474" s="13" t="s">
        <v>14125</v>
      </c>
      <c r="BN474" s="13">
        <v>3.2015125E7</v>
      </c>
      <c r="BO474" s="13" t="s">
        <v>6028</v>
      </c>
      <c r="BP474" s="13" t="s">
        <v>5510</v>
      </c>
      <c r="BQ474" s="13" t="s">
        <v>5510</v>
      </c>
      <c r="BR474" s="13" t="s">
        <v>5538</v>
      </c>
      <c r="BS474" s="13" t="s">
        <v>14126</v>
      </c>
      <c r="BT474" s="13">
        <v>23211.0</v>
      </c>
      <c r="BU474" s="13" t="s">
        <v>5540</v>
      </c>
      <c r="BV474" s="13" t="s">
        <v>4852</v>
      </c>
      <c r="BW474" s="13" t="str">
        <f>VLOOKUP($BT474,Enriched!$A$2:$E$1070,5,false)</f>
        <v>["Natural system modifications"]</v>
      </c>
      <c r="BX474" s="13" t="str">
        <f>VLOOKUP($BT474,Enriched!$A$2:$E$1070,4,false)</f>
        <v>["Dams &amp; water management/use"]</v>
      </c>
      <c r="BY474" s="13" t="b">
        <f>VLOOKUP(BT474,Enriched!$A$1:$AA$1070,27,falsE)</f>
        <v>0</v>
      </c>
      <c r="BZ474" s="2" t="str">
        <f>VLOOKUP(BT474,Enriched!$A$1:$AA$1070,14,falsE)</f>
        <v>level2</v>
      </c>
      <c r="CA474" s="13" t="str">
        <f>HYPERLINK("https%3A%2F%2Fwww.webofscience.com%2Fwos%2Fwoscc%2Ffull-record%2FWOS:000514096400047","View Full Record in Web of Science")</f>
        <v>View Full Record in Web of Science</v>
      </c>
    </row>
    <row r="475" ht="12.75" customHeight="1">
      <c r="A475" s="13" t="s">
        <v>5508</v>
      </c>
      <c r="B475" s="13" t="s">
        <v>14127</v>
      </c>
      <c r="C475" s="13" t="s">
        <v>5510</v>
      </c>
      <c r="D475" s="13" t="s">
        <v>5510</v>
      </c>
      <c r="E475" s="13" t="s">
        <v>5510</v>
      </c>
      <c r="F475" s="13" t="s">
        <v>14128</v>
      </c>
      <c r="G475" s="13" t="s">
        <v>5510</v>
      </c>
      <c r="H475" s="13" t="s">
        <v>5510</v>
      </c>
      <c r="I475" s="13" t="s">
        <v>1577</v>
      </c>
      <c r="J475" s="13" t="s">
        <v>14129</v>
      </c>
      <c r="K475" s="13" t="s">
        <v>5510</v>
      </c>
      <c r="L475" s="13" t="s">
        <v>5510</v>
      </c>
      <c r="M475" s="13" t="s">
        <v>5513</v>
      </c>
      <c r="N475" s="13" t="s">
        <v>5514</v>
      </c>
      <c r="O475" s="13" t="s">
        <v>5510</v>
      </c>
      <c r="P475" s="13" t="s">
        <v>5510</v>
      </c>
      <c r="Q475" s="13" t="s">
        <v>5510</v>
      </c>
      <c r="R475" s="13" t="s">
        <v>5510</v>
      </c>
      <c r="S475" s="13" t="s">
        <v>5510</v>
      </c>
      <c r="T475" s="13" t="s">
        <v>14130</v>
      </c>
      <c r="U475" s="13" t="s">
        <v>14131</v>
      </c>
      <c r="V475" s="13" t="s">
        <v>14132</v>
      </c>
      <c r="W475" s="13" t="s">
        <v>14133</v>
      </c>
      <c r="X475" s="13" t="s">
        <v>10044</v>
      </c>
      <c r="Y475" s="13" t="s">
        <v>14134</v>
      </c>
      <c r="Z475" s="13" t="s">
        <v>14135</v>
      </c>
      <c r="AA475" s="13" t="s">
        <v>14136</v>
      </c>
      <c r="AB475" s="13" t="s">
        <v>5510</v>
      </c>
      <c r="AC475" s="13" t="s">
        <v>5510</v>
      </c>
      <c r="AD475" s="13" t="s">
        <v>5510</v>
      </c>
      <c r="AE475" s="13" t="s">
        <v>5510</v>
      </c>
      <c r="AF475" s="13" t="s">
        <v>5510</v>
      </c>
      <c r="AG475" s="13">
        <v>58.0</v>
      </c>
      <c r="AH475" s="13">
        <v>9.0</v>
      </c>
      <c r="AI475" s="13">
        <v>14.0</v>
      </c>
      <c r="AJ475" s="13">
        <v>0.0</v>
      </c>
      <c r="AK475" s="13">
        <v>96.0</v>
      </c>
      <c r="AL475" s="13" t="s">
        <v>14137</v>
      </c>
      <c r="AM475" s="13" t="s">
        <v>14138</v>
      </c>
      <c r="AN475" s="13" t="s">
        <v>14139</v>
      </c>
      <c r="AO475" s="13" t="s">
        <v>14140</v>
      </c>
      <c r="AP475" s="13" t="s">
        <v>14141</v>
      </c>
      <c r="AQ475" s="13" t="s">
        <v>5510</v>
      </c>
      <c r="AR475" s="13" t="s">
        <v>14142</v>
      </c>
      <c r="AS475" s="13" t="s">
        <v>14143</v>
      </c>
      <c r="AT475" s="13" t="s">
        <v>5510</v>
      </c>
      <c r="AU475" s="13">
        <v>2013.0</v>
      </c>
      <c r="AV475" s="13">
        <v>37.0</v>
      </c>
      <c r="AW475" s="13">
        <v>3.0</v>
      </c>
      <c r="AX475" s="13" t="s">
        <v>5510</v>
      </c>
      <c r="AY475" s="13" t="s">
        <v>5510</v>
      </c>
      <c r="AZ475" s="13" t="s">
        <v>5510</v>
      </c>
      <c r="BA475" s="13" t="s">
        <v>5510</v>
      </c>
      <c r="BB475" s="13">
        <v>249.0</v>
      </c>
      <c r="BC475" s="13">
        <v>261.0</v>
      </c>
      <c r="BD475" s="13" t="s">
        <v>5510</v>
      </c>
      <c r="BE475" s="13" t="s">
        <v>14144</v>
      </c>
      <c r="BF475" s="52" t="str">
        <f>HYPERLINK("http://dx.doi.org/10.3906/zoo-1211-34","http://dx.doi.org/10.3906/zoo-1211-34")</f>
        <v>http://dx.doi.org/10.3906/zoo-1211-34</v>
      </c>
      <c r="BG475" s="13" t="s">
        <v>5510</v>
      </c>
      <c r="BH475" s="13" t="s">
        <v>5510</v>
      </c>
      <c r="BI475" s="13">
        <v>13.0</v>
      </c>
      <c r="BJ475" s="13" t="s">
        <v>6899</v>
      </c>
      <c r="BK475" s="13" t="s">
        <v>5561</v>
      </c>
      <c r="BL475" s="13" t="s">
        <v>6899</v>
      </c>
      <c r="BM475" s="13" t="s">
        <v>14145</v>
      </c>
      <c r="BN475" s="13" t="s">
        <v>5510</v>
      </c>
      <c r="BO475" s="13" t="s">
        <v>5587</v>
      </c>
      <c r="BP475" s="13" t="s">
        <v>5510</v>
      </c>
      <c r="BQ475" s="13" t="s">
        <v>5510</v>
      </c>
      <c r="BR475" s="13" t="s">
        <v>5538</v>
      </c>
      <c r="BS475" s="13" t="s">
        <v>14146</v>
      </c>
      <c r="BT475" s="13">
        <v>25028.0</v>
      </c>
      <c r="BU475" s="13" t="s">
        <v>5540</v>
      </c>
      <c r="BV475" s="13" t="s">
        <v>4880</v>
      </c>
      <c r="BW475" s="13" t="str">
        <f>VLOOKUP($BT475,Enriched!$A$2:$E$1070,5,false)</f>
        <v>["Residential &amp; Commercial Development", "Agriculture &amp; Aquaculture", "Biological Resource Use", "Pollution"]</v>
      </c>
      <c r="BX475" s="13" t="str">
        <f>VLOOKUP($BT475,Enriched!$A$2:$E$1070,4,false)</f>
        <v>["Housing &amp; urban area", "Commercial &amp; industrial areas", "Livestock farming &amp; ranching", "Gathering terrestrial plants"]</v>
      </c>
      <c r="BY475" s="13" t="b">
        <f>VLOOKUP(BT475,Enriched!$A$1:$AA$1070,27,falsE)</f>
        <v>1</v>
      </c>
      <c r="BZ475" s="2" t="str">
        <f>VLOOKUP(BT475,Enriched!$A$1:$AA$1070,14,falsE)</f>
        <v>level2</v>
      </c>
      <c r="CA475" s="13" t="str">
        <f>HYPERLINK("https%3A%2F%2Fwww.webofscience.com%2Fwos%2Fwoscc%2Ffull-record%2FWOS:000321228900001","View Full Record in Web of Science")</f>
        <v>View Full Record in Web of Science</v>
      </c>
    </row>
    <row r="476" ht="12.75" customHeight="1">
      <c r="A476" s="13" t="s">
        <v>5508</v>
      </c>
      <c r="B476" s="13" t="s">
        <v>14147</v>
      </c>
      <c r="C476" s="13" t="s">
        <v>5510</v>
      </c>
      <c r="D476" s="13" t="s">
        <v>5510</v>
      </c>
      <c r="E476" s="13" t="s">
        <v>5510</v>
      </c>
      <c r="F476" s="13" t="s">
        <v>14148</v>
      </c>
      <c r="G476" s="13" t="s">
        <v>5510</v>
      </c>
      <c r="H476" s="13" t="s">
        <v>5510</v>
      </c>
      <c r="I476" s="13" t="s">
        <v>1571</v>
      </c>
      <c r="J476" s="13" t="s">
        <v>5943</v>
      </c>
      <c r="K476" s="13" t="s">
        <v>5510</v>
      </c>
      <c r="L476" s="13" t="s">
        <v>5510</v>
      </c>
      <c r="M476" s="13" t="s">
        <v>5513</v>
      </c>
      <c r="N476" s="13" t="s">
        <v>5514</v>
      </c>
      <c r="O476" s="13" t="s">
        <v>5510</v>
      </c>
      <c r="P476" s="13" t="s">
        <v>5510</v>
      </c>
      <c r="Q476" s="13" t="s">
        <v>5510</v>
      </c>
      <c r="R476" s="13" t="s">
        <v>5510</v>
      </c>
      <c r="S476" s="13" t="s">
        <v>5510</v>
      </c>
      <c r="T476" s="13" t="s">
        <v>14149</v>
      </c>
      <c r="U476" s="13" t="s">
        <v>14150</v>
      </c>
      <c r="V476" s="13" t="s">
        <v>14151</v>
      </c>
      <c r="W476" s="13" t="s">
        <v>14152</v>
      </c>
      <c r="X476" s="13" t="s">
        <v>14153</v>
      </c>
      <c r="Y476" s="13" t="s">
        <v>14154</v>
      </c>
      <c r="Z476" s="13" t="s">
        <v>14155</v>
      </c>
      <c r="AA476" s="13" t="s">
        <v>14156</v>
      </c>
      <c r="AB476" s="13" t="s">
        <v>14157</v>
      </c>
      <c r="AC476" s="13" t="s">
        <v>14158</v>
      </c>
      <c r="AD476" s="13" t="s">
        <v>14159</v>
      </c>
      <c r="AE476" s="13" t="s">
        <v>14160</v>
      </c>
      <c r="AF476" s="13" t="s">
        <v>5510</v>
      </c>
      <c r="AG476" s="13">
        <v>44.0</v>
      </c>
      <c r="AH476" s="13">
        <v>103.0</v>
      </c>
      <c r="AI476" s="13">
        <v>116.0</v>
      </c>
      <c r="AJ476" s="13">
        <v>2.0</v>
      </c>
      <c r="AK476" s="13">
        <v>154.0</v>
      </c>
      <c r="AL476" s="13" t="s">
        <v>10790</v>
      </c>
      <c r="AM476" s="13" t="s">
        <v>5528</v>
      </c>
      <c r="AN476" s="13" t="s">
        <v>5529</v>
      </c>
      <c r="AO476" s="13" t="s">
        <v>5953</v>
      </c>
      <c r="AP476" s="13" t="s">
        <v>5954</v>
      </c>
      <c r="AQ476" s="13" t="s">
        <v>5510</v>
      </c>
      <c r="AR476" s="13" t="s">
        <v>5955</v>
      </c>
      <c r="AS476" s="13" t="s">
        <v>5956</v>
      </c>
      <c r="AT476" s="13" t="s">
        <v>5978</v>
      </c>
      <c r="AU476" s="13">
        <v>2008.0</v>
      </c>
      <c r="AV476" s="13">
        <v>45.0</v>
      </c>
      <c r="AW476" s="13">
        <v>6.0</v>
      </c>
      <c r="AX476" s="13" t="s">
        <v>5510</v>
      </c>
      <c r="AY476" s="13" t="s">
        <v>5510</v>
      </c>
      <c r="AZ476" s="13" t="s">
        <v>5510</v>
      </c>
      <c r="BA476" s="13" t="s">
        <v>5510</v>
      </c>
      <c r="BB476" s="13">
        <v>1704.0</v>
      </c>
      <c r="BC476" s="13">
        <v>1711.0</v>
      </c>
      <c r="BD476" s="13" t="s">
        <v>5510</v>
      </c>
      <c r="BE476" s="13" t="s">
        <v>14161</v>
      </c>
      <c r="BF476" s="52" t="str">
        <f>HYPERLINK("http://dx.doi.org/10.1111/j.1365-2664.2008.01547.x","http://dx.doi.org/10.1111/j.1365-2664.2008.01547.x")</f>
        <v>http://dx.doi.org/10.1111/j.1365-2664.2008.01547.x</v>
      </c>
      <c r="BG476" s="13" t="s">
        <v>5510</v>
      </c>
      <c r="BH476" s="13" t="s">
        <v>5510</v>
      </c>
      <c r="BI476" s="13">
        <v>8.0</v>
      </c>
      <c r="BJ476" s="13" t="s">
        <v>5958</v>
      </c>
      <c r="BK476" s="13" t="s">
        <v>5561</v>
      </c>
      <c r="BL476" s="13" t="s">
        <v>5699</v>
      </c>
      <c r="BM476" s="13" t="s">
        <v>14162</v>
      </c>
      <c r="BN476" s="13" t="s">
        <v>5510</v>
      </c>
      <c r="BO476" s="13" t="s">
        <v>5510</v>
      </c>
      <c r="BP476" s="13" t="s">
        <v>5510</v>
      </c>
      <c r="BQ476" s="13" t="s">
        <v>5510</v>
      </c>
      <c r="BR476" s="13" t="s">
        <v>5538</v>
      </c>
      <c r="BS476" s="13" t="s">
        <v>14163</v>
      </c>
      <c r="BT476" s="13">
        <v>25086.0</v>
      </c>
      <c r="BU476" s="13" t="s">
        <v>11683</v>
      </c>
      <c r="BV476" s="13" t="s">
        <v>4856</v>
      </c>
      <c r="BW476" s="13" t="str">
        <f>VLOOKUP($BT476,Enriched!$A$2:$E$1070,5,false)</f>
        <v>["Residential &amp; Commercial Development"]</v>
      </c>
      <c r="BX476" s="13" t="str">
        <f>VLOOKUP($BT476,Enriched!$A$2:$E$1070,4,false)</f>
        <v>["Tourism &amp; recreation areas"]</v>
      </c>
      <c r="BY476" s="13" t="b">
        <f>VLOOKUP(BT476,Enriched!$A$1:$AA$1070,27,falsE)</f>
        <v>0</v>
      </c>
      <c r="BZ476" s="2" t="str">
        <f>VLOOKUP(BT476,Enriched!$A$1:$AA$1070,14,falsE)</f>
        <v>level2</v>
      </c>
      <c r="CA476" s="13" t="str">
        <f>HYPERLINK("https%3A%2F%2Fwww.webofscience.com%2Fwos%2Fwoscc%2Ffull-record%2FWOS:000260257800018","View Full Record in Web of Science")</f>
        <v>View Full Record in Web of Science</v>
      </c>
    </row>
    <row r="477" ht="12.75" customHeight="1">
      <c r="A477" s="13" t="s">
        <v>5508</v>
      </c>
      <c r="B477" s="13" t="s">
        <v>14164</v>
      </c>
      <c r="C477" s="13" t="s">
        <v>5510</v>
      </c>
      <c r="D477" s="13" t="s">
        <v>5510</v>
      </c>
      <c r="E477" s="13" t="s">
        <v>5510</v>
      </c>
      <c r="F477" s="13" t="s">
        <v>14165</v>
      </c>
      <c r="G477" s="13" t="s">
        <v>5510</v>
      </c>
      <c r="H477" s="13" t="s">
        <v>5510</v>
      </c>
      <c r="I477" s="13" t="s">
        <v>1568</v>
      </c>
      <c r="J477" s="13" t="s">
        <v>12220</v>
      </c>
      <c r="K477" s="13" t="s">
        <v>5510</v>
      </c>
      <c r="L477" s="13" t="s">
        <v>5510</v>
      </c>
      <c r="M477" s="13" t="s">
        <v>5513</v>
      </c>
      <c r="N477" s="13" t="s">
        <v>5514</v>
      </c>
      <c r="O477" s="13" t="s">
        <v>5510</v>
      </c>
      <c r="P477" s="13" t="s">
        <v>5510</v>
      </c>
      <c r="Q477" s="13" t="s">
        <v>5510</v>
      </c>
      <c r="R477" s="13" t="s">
        <v>5510</v>
      </c>
      <c r="S477" s="13" t="s">
        <v>5510</v>
      </c>
      <c r="T477" s="13" t="s">
        <v>14166</v>
      </c>
      <c r="U477" s="13" t="s">
        <v>14167</v>
      </c>
      <c r="V477" s="13" t="s">
        <v>14168</v>
      </c>
      <c r="W477" s="13" t="s">
        <v>14169</v>
      </c>
      <c r="X477" s="13" t="s">
        <v>14170</v>
      </c>
      <c r="Y477" s="13" t="s">
        <v>14171</v>
      </c>
      <c r="Z477" s="13" t="s">
        <v>14172</v>
      </c>
      <c r="AA477" s="13" t="s">
        <v>14173</v>
      </c>
      <c r="AB477" s="13" t="s">
        <v>14174</v>
      </c>
      <c r="AC477" s="13" t="s">
        <v>14175</v>
      </c>
      <c r="AD477" s="13" t="s">
        <v>14176</v>
      </c>
      <c r="AE477" s="13" t="s">
        <v>14177</v>
      </c>
      <c r="AF477" s="13" t="s">
        <v>5510</v>
      </c>
      <c r="AG477" s="13">
        <v>85.0</v>
      </c>
      <c r="AH477" s="13">
        <v>16.0</v>
      </c>
      <c r="AI477" s="13">
        <v>16.0</v>
      </c>
      <c r="AJ477" s="13">
        <v>1.0</v>
      </c>
      <c r="AK477" s="13">
        <v>52.0</v>
      </c>
      <c r="AL477" s="13" t="s">
        <v>5931</v>
      </c>
      <c r="AM477" s="13" t="s">
        <v>5932</v>
      </c>
      <c r="AN477" s="13" t="s">
        <v>5933</v>
      </c>
      <c r="AO477" s="13" t="s">
        <v>12233</v>
      </c>
      <c r="AP477" s="13" t="s">
        <v>12234</v>
      </c>
      <c r="AQ477" s="13" t="s">
        <v>5510</v>
      </c>
      <c r="AR477" s="13" t="s">
        <v>12235</v>
      </c>
      <c r="AS477" s="13" t="s">
        <v>12236</v>
      </c>
      <c r="AT477" s="13" t="s">
        <v>6828</v>
      </c>
      <c r="AU477" s="13">
        <v>2016.0</v>
      </c>
      <c r="AV477" s="13">
        <v>115.0</v>
      </c>
      <c r="AW477" s="13" t="s">
        <v>5510</v>
      </c>
      <c r="AX477" s="13" t="s">
        <v>5510</v>
      </c>
      <c r="AY477" s="13" t="s">
        <v>5510</v>
      </c>
      <c r="AZ477" s="13" t="s">
        <v>5510</v>
      </c>
      <c r="BA477" s="13" t="s">
        <v>5510</v>
      </c>
      <c r="BB477" s="13">
        <v>56.0</v>
      </c>
      <c r="BC477" s="13">
        <v>64.0</v>
      </c>
      <c r="BD477" s="13" t="s">
        <v>5510</v>
      </c>
      <c r="BE477" s="13" t="s">
        <v>14178</v>
      </c>
      <c r="BF477" s="52" t="str">
        <f>HYPERLINK("http://dx.doi.org/10.1016/j.marenvres.2016.02.001","http://dx.doi.org/10.1016/j.marenvres.2016.02.001")</f>
        <v>http://dx.doi.org/10.1016/j.marenvres.2016.02.001</v>
      </c>
      <c r="BG477" s="13" t="s">
        <v>5510</v>
      </c>
      <c r="BH477" s="13" t="s">
        <v>5510</v>
      </c>
      <c r="BI477" s="13">
        <v>9.0</v>
      </c>
      <c r="BJ477" s="13" t="s">
        <v>12238</v>
      </c>
      <c r="BK477" s="13" t="s">
        <v>5561</v>
      </c>
      <c r="BL477" s="13" t="s">
        <v>12239</v>
      </c>
      <c r="BM477" s="13" t="s">
        <v>12240</v>
      </c>
      <c r="BN477" s="13">
        <v>2.6878347E7</v>
      </c>
      <c r="BO477" s="13" t="s">
        <v>6623</v>
      </c>
      <c r="BP477" s="13" t="s">
        <v>5510</v>
      </c>
      <c r="BQ477" s="13" t="s">
        <v>5510</v>
      </c>
      <c r="BR477" s="13" t="s">
        <v>5538</v>
      </c>
      <c r="BS477" s="13" t="s">
        <v>14179</v>
      </c>
      <c r="BT477" s="13">
        <v>23941.0</v>
      </c>
      <c r="BU477" s="13" t="s">
        <v>5540</v>
      </c>
      <c r="BV477" s="13" t="s">
        <v>4864</v>
      </c>
      <c r="BW477" s="13" t="str">
        <f>VLOOKUP($BT477,Enriched!$A$2:$E$1070,5,false)</f>
        <v>["Energy Production &amp; Mining"]</v>
      </c>
      <c r="BX477" s="13" t="str">
        <f>VLOOKUP($BT477,Enriched!$A$2:$E$1070,4,false)</f>
        <v>["Oil &amp; gas drilling"]</v>
      </c>
      <c r="BY477" s="13" t="b">
        <f>VLOOKUP(BT477,Enriched!$A$1:$AA$1070,27,falsE)</f>
        <v>0</v>
      </c>
      <c r="BZ477" s="2" t="str">
        <f>VLOOKUP(BT477,Enriched!$A$1:$AA$1070,14,falsE)</f>
        <v>level2</v>
      </c>
      <c r="CA477" s="13" t="str">
        <f>HYPERLINK("https%3A%2F%2Fwww.webofscience.com%2Fwos%2Fwoscc%2Ffull-record%2FWOS:000372557500007","View Full Record in Web of Science")</f>
        <v>View Full Record in Web of Science</v>
      </c>
    </row>
    <row r="478" ht="12.75" customHeight="1">
      <c r="A478" s="13" t="s">
        <v>5508</v>
      </c>
      <c r="B478" s="13" t="s">
        <v>14180</v>
      </c>
      <c r="C478" s="13" t="s">
        <v>5510</v>
      </c>
      <c r="D478" s="13" t="s">
        <v>5510</v>
      </c>
      <c r="E478" s="13" t="s">
        <v>5510</v>
      </c>
      <c r="F478" s="13" t="s">
        <v>14181</v>
      </c>
      <c r="G478" s="13" t="s">
        <v>5510</v>
      </c>
      <c r="H478" s="13" t="s">
        <v>5510</v>
      </c>
      <c r="I478" s="13" t="s">
        <v>1565</v>
      </c>
      <c r="J478" s="13" t="s">
        <v>7990</v>
      </c>
      <c r="K478" s="13" t="s">
        <v>5510</v>
      </c>
      <c r="L478" s="13" t="s">
        <v>5510</v>
      </c>
      <c r="M478" s="13" t="s">
        <v>5513</v>
      </c>
      <c r="N478" s="13" t="s">
        <v>5514</v>
      </c>
      <c r="O478" s="13" t="s">
        <v>5510</v>
      </c>
      <c r="P478" s="13" t="s">
        <v>5510</v>
      </c>
      <c r="Q478" s="13" t="s">
        <v>5510</v>
      </c>
      <c r="R478" s="13" t="s">
        <v>5510</v>
      </c>
      <c r="S478" s="13" t="s">
        <v>5510</v>
      </c>
      <c r="T478" s="13" t="s">
        <v>14182</v>
      </c>
      <c r="U478" s="13" t="s">
        <v>14183</v>
      </c>
      <c r="V478" s="13" t="s">
        <v>14184</v>
      </c>
      <c r="W478" s="13" t="s">
        <v>14185</v>
      </c>
      <c r="X478" s="13" t="s">
        <v>14186</v>
      </c>
      <c r="Y478" s="13" t="s">
        <v>14187</v>
      </c>
      <c r="Z478" s="13" t="s">
        <v>14188</v>
      </c>
      <c r="AA478" s="13" t="s">
        <v>14189</v>
      </c>
      <c r="AB478" s="13" t="s">
        <v>14190</v>
      </c>
      <c r="AC478" s="13" t="s">
        <v>14191</v>
      </c>
      <c r="AD478" s="13" t="s">
        <v>14192</v>
      </c>
      <c r="AE478" s="13" t="s">
        <v>14193</v>
      </c>
      <c r="AF478" s="13" t="s">
        <v>5510</v>
      </c>
      <c r="AG478" s="13">
        <v>59.0</v>
      </c>
      <c r="AH478" s="13">
        <v>67.0</v>
      </c>
      <c r="AI478" s="13">
        <v>89.0</v>
      </c>
      <c r="AJ478" s="13">
        <v>7.0</v>
      </c>
      <c r="AK478" s="13">
        <v>215.0</v>
      </c>
      <c r="AL478" s="13" t="s">
        <v>8003</v>
      </c>
      <c r="AM478" s="13" t="s">
        <v>8004</v>
      </c>
      <c r="AN478" s="13" t="s">
        <v>8005</v>
      </c>
      <c r="AO478" s="13" t="s">
        <v>8006</v>
      </c>
      <c r="AP478" s="13" t="s">
        <v>8007</v>
      </c>
      <c r="AQ478" s="13" t="s">
        <v>5510</v>
      </c>
      <c r="AR478" s="13" t="s">
        <v>8008</v>
      </c>
      <c r="AS478" s="13" t="s">
        <v>8009</v>
      </c>
      <c r="AT478" s="13" t="s">
        <v>5720</v>
      </c>
      <c r="AU478" s="13">
        <v>2014.0</v>
      </c>
      <c r="AV478" s="13">
        <v>22.0</v>
      </c>
      <c r="AW478" s="13">
        <v>3.0</v>
      </c>
      <c r="AX478" s="13" t="s">
        <v>5510</v>
      </c>
      <c r="AY478" s="13" t="s">
        <v>5510</v>
      </c>
      <c r="AZ478" s="13" t="s">
        <v>5510</v>
      </c>
      <c r="BA478" s="13" t="s">
        <v>5510</v>
      </c>
      <c r="BB478" s="13">
        <v>256.0</v>
      </c>
      <c r="BC478" s="13">
        <v>264.0</v>
      </c>
      <c r="BD478" s="13" t="s">
        <v>5510</v>
      </c>
      <c r="BE478" s="13" t="s">
        <v>14194</v>
      </c>
      <c r="BF478" s="52" t="str">
        <f>HYPERLINK("http://dx.doi.org/10.1016/j.jnc.2014.02.003","http://dx.doi.org/10.1016/j.jnc.2014.02.003")</f>
        <v>http://dx.doi.org/10.1016/j.jnc.2014.02.003</v>
      </c>
      <c r="BG478" s="13" t="s">
        <v>5510</v>
      </c>
      <c r="BH478" s="13" t="s">
        <v>5510</v>
      </c>
      <c r="BI478" s="13">
        <v>9.0</v>
      </c>
      <c r="BJ478" s="13" t="s">
        <v>5958</v>
      </c>
      <c r="BK478" s="13" t="s">
        <v>5561</v>
      </c>
      <c r="BL478" s="13" t="s">
        <v>5699</v>
      </c>
      <c r="BM478" s="13" t="s">
        <v>14195</v>
      </c>
      <c r="BN478" s="13" t="s">
        <v>5510</v>
      </c>
      <c r="BO478" s="13" t="s">
        <v>5510</v>
      </c>
      <c r="BP478" s="13" t="s">
        <v>5510</v>
      </c>
      <c r="BQ478" s="13" t="s">
        <v>5510</v>
      </c>
      <c r="BR478" s="13" t="s">
        <v>5538</v>
      </c>
      <c r="BS478" s="13" t="s">
        <v>14196</v>
      </c>
      <c r="BT478" s="13">
        <v>24258.0</v>
      </c>
      <c r="BU478" s="13" t="s">
        <v>5540</v>
      </c>
      <c r="BV478" s="13" t="s">
        <v>4856</v>
      </c>
      <c r="BW478" s="13" t="str">
        <f>VLOOKUP($BT478,Enriched!$A$2:$E$1070,5,false)</f>
        <v>["Agriculture &amp; Aquaculture"]</v>
      </c>
      <c r="BX478" s="13" t="str">
        <f>VLOOKUP($BT478,Enriched!$A$2:$E$1070,4,false)</f>
        <v>["Livestock farming &amp; ranching"]</v>
      </c>
      <c r="BY478" s="13" t="b">
        <f>VLOOKUP(BT478,Enriched!$A$1:$AA$1070,27,falsE)</f>
        <v>0</v>
      </c>
      <c r="BZ478" s="2" t="str">
        <f>VLOOKUP(BT478,Enriched!$A$1:$AA$1070,14,falsE)</f>
        <v>level2</v>
      </c>
      <c r="CA478" s="13" t="str">
        <f>HYPERLINK("https%3A%2F%2Fwww.webofscience.com%2Fwos%2Fwoscc%2Ffull-record%2FWOS:000334765600009","View Full Record in Web of Science")</f>
        <v>View Full Record in Web of Science</v>
      </c>
    </row>
    <row r="479" ht="12.75" customHeight="1">
      <c r="A479" s="13" t="s">
        <v>5508</v>
      </c>
      <c r="B479" s="13" t="s">
        <v>14197</v>
      </c>
      <c r="C479" s="13" t="s">
        <v>5510</v>
      </c>
      <c r="D479" s="13" t="s">
        <v>5510</v>
      </c>
      <c r="E479" s="13" t="s">
        <v>5510</v>
      </c>
      <c r="F479" s="13" t="s">
        <v>14198</v>
      </c>
      <c r="G479" s="13" t="s">
        <v>5510</v>
      </c>
      <c r="H479" s="13" t="s">
        <v>5510</v>
      </c>
      <c r="I479" s="13" t="s">
        <v>1563</v>
      </c>
      <c r="J479" s="13" t="s">
        <v>6877</v>
      </c>
      <c r="K479" s="13" t="s">
        <v>5510</v>
      </c>
      <c r="L479" s="13" t="s">
        <v>5510</v>
      </c>
      <c r="M479" s="13" t="s">
        <v>5513</v>
      </c>
      <c r="N479" s="13" t="s">
        <v>5514</v>
      </c>
      <c r="O479" s="13" t="s">
        <v>5510</v>
      </c>
      <c r="P479" s="13" t="s">
        <v>5510</v>
      </c>
      <c r="Q479" s="13" t="s">
        <v>5510</v>
      </c>
      <c r="R479" s="13" t="s">
        <v>5510</v>
      </c>
      <c r="S479" s="13" t="s">
        <v>5510</v>
      </c>
      <c r="T479" s="13" t="s">
        <v>14199</v>
      </c>
      <c r="U479" s="13" t="s">
        <v>14200</v>
      </c>
      <c r="V479" s="13" t="s">
        <v>14201</v>
      </c>
      <c r="W479" s="13" t="s">
        <v>14202</v>
      </c>
      <c r="X479" s="13" t="s">
        <v>14203</v>
      </c>
      <c r="Y479" s="13" t="s">
        <v>14204</v>
      </c>
      <c r="Z479" s="13" t="s">
        <v>14205</v>
      </c>
      <c r="AA479" s="13" t="s">
        <v>14206</v>
      </c>
      <c r="AB479" s="13" t="s">
        <v>14207</v>
      </c>
      <c r="AC479" s="13" t="s">
        <v>14208</v>
      </c>
      <c r="AD479" s="13" t="s">
        <v>14209</v>
      </c>
      <c r="AE479" s="13" t="s">
        <v>14210</v>
      </c>
      <c r="AF479" s="13" t="s">
        <v>5510</v>
      </c>
      <c r="AG479" s="13">
        <v>54.0</v>
      </c>
      <c r="AH479" s="13">
        <v>19.0</v>
      </c>
      <c r="AI479" s="13">
        <v>23.0</v>
      </c>
      <c r="AJ479" s="13">
        <v>1.0</v>
      </c>
      <c r="AK479" s="13">
        <v>46.0</v>
      </c>
      <c r="AL479" s="13" t="s">
        <v>6890</v>
      </c>
      <c r="AM479" s="13" t="s">
        <v>6891</v>
      </c>
      <c r="AN479" s="13" t="s">
        <v>6892</v>
      </c>
      <c r="AO479" s="13" t="s">
        <v>6893</v>
      </c>
      <c r="AP479" s="13" t="s">
        <v>6894</v>
      </c>
      <c r="AQ479" s="13" t="s">
        <v>5510</v>
      </c>
      <c r="AR479" s="13" t="s">
        <v>6895</v>
      </c>
      <c r="AS479" s="13" t="s">
        <v>6896</v>
      </c>
      <c r="AT479" s="13" t="s">
        <v>14211</v>
      </c>
      <c r="AU479" s="13">
        <v>2017.0</v>
      </c>
      <c r="AV479" s="13">
        <v>98.0</v>
      </c>
      <c r="AW479" s="13">
        <v>6.0</v>
      </c>
      <c r="AX479" s="13" t="s">
        <v>5510</v>
      </c>
      <c r="AY479" s="13" t="s">
        <v>5510</v>
      </c>
      <c r="AZ479" s="13" t="s">
        <v>5510</v>
      </c>
      <c r="BA479" s="13" t="s">
        <v>5510</v>
      </c>
      <c r="BB479" s="13">
        <v>1586.0</v>
      </c>
      <c r="BC479" s="13">
        <v>1593.0</v>
      </c>
      <c r="BD479" s="13" t="s">
        <v>5510</v>
      </c>
      <c r="BE479" s="13" t="s">
        <v>14212</v>
      </c>
      <c r="BF479" s="52" t="str">
        <f>HYPERLINK("http://dx.doi.org/10.1093/jmammal/gyx117","http://dx.doi.org/10.1093/jmammal/gyx117")</f>
        <v>http://dx.doi.org/10.1093/jmammal/gyx117</v>
      </c>
      <c r="BG479" s="13" t="s">
        <v>5510</v>
      </c>
      <c r="BH479" s="13" t="s">
        <v>5510</v>
      </c>
      <c r="BI479" s="13">
        <v>8.0</v>
      </c>
      <c r="BJ479" s="13" t="s">
        <v>6899</v>
      </c>
      <c r="BK479" s="13" t="s">
        <v>5561</v>
      </c>
      <c r="BL479" s="13" t="s">
        <v>6899</v>
      </c>
      <c r="BM479" s="13" t="s">
        <v>14213</v>
      </c>
      <c r="BN479" s="13" t="s">
        <v>5510</v>
      </c>
      <c r="BO479" s="13" t="s">
        <v>5809</v>
      </c>
      <c r="BP479" s="13" t="s">
        <v>5510</v>
      </c>
      <c r="BQ479" s="13" t="s">
        <v>5510</v>
      </c>
      <c r="BR479" s="13" t="s">
        <v>5538</v>
      </c>
      <c r="BS479" s="13" t="s">
        <v>14214</v>
      </c>
      <c r="BT479" s="13">
        <v>23190.0</v>
      </c>
      <c r="BU479" s="13" t="s">
        <v>5540</v>
      </c>
      <c r="BV479" s="13" t="s">
        <v>4856</v>
      </c>
      <c r="BW479" s="13" t="str">
        <f>VLOOKUP($BT479,Enriched!$A$2:$E$1070,5,false)</f>
        <v>["Agriculture &amp; Aquaculture"]</v>
      </c>
      <c r="BX479" s="13" t="str">
        <f>VLOOKUP($BT479,Enriched!$A$2:$E$1070,4,false)</f>
        <v>["Housing &amp; urban area", "Annual &amp; perennial non-timber crops", "Livestock farming &amp; ranching"]</v>
      </c>
      <c r="BY479" s="13" t="b">
        <f>VLOOKUP(BT479,Enriched!$A$1:$AA$1070,27,falsE)</f>
        <v>0</v>
      </c>
      <c r="BZ479" s="2" t="str">
        <f>VLOOKUP(BT479,Enriched!$A$1:$AA$1070,14,falsE)</f>
        <v>level1</v>
      </c>
      <c r="CA479" s="13" t="str">
        <f>HYPERLINK("https%3A%2F%2Fwww.webofscience.com%2Fwos%2Fwoscc%2Ffull-record%2FWOS:000417241500008","View Full Record in Web of Science")</f>
        <v>View Full Record in Web of Science</v>
      </c>
    </row>
    <row r="480" ht="12.75" customHeight="1">
      <c r="A480" s="13" t="s">
        <v>5508</v>
      </c>
      <c r="B480" s="13" t="s">
        <v>14215</v>
      </c>
      <c r="C480" s="13" t="s">
        <v>5510</v>
      </c>
      <c r="D480" s="13" t="s">
        <v>5510</v>
      </c>
      <c r="E480" s="13" t="s">
        <v>5510</v>
      </c>
      <c r="F480" s="13" t="s">
        <v>14216</v>
      </c>
      <c r="G480" s="13" t="s">
        <v>5510</v>
      </c>
      <c r="H480" s="13" t="s">
        <v>5510</v>
      </c>
      <c r="I480" s="13" t="s">
        <v>1559</v>
      </c>
      <c r="J480" s="13" t="s">
        <v>14217</v>
      </c>
      <c r="K480" s="13" t="s">
        <v>5510</v>
      </c>
      <c r="L480" s="13" t="s">
        <v>5510</v>
      </c>
      <c r="M480" s="13" t="s">
        <v>5513</v>
      </c>
      <c r="N480" s="13" t="s">
        <v>5514</v>
      </c>
      <c r="O480" s="13" t="s">
        <v>5510</v>
      </c>
      <c r="P480" s="13" t="s">
        <v>5510</v>
      </c>
      <c r="Q480" s="13" t="s">
        <v>5510</v>
      </c>
      <c r="R480" s="13" t="s">
        <v>5510</v>
      </c>
      <c r="S480" s="13" t="s">
        <v>5510</v>
      </c>
      <c r="T480" s="13" t="s">
        <v>14218</v>
      </c>
      <c r="U480" s="13" t="s">
        <v>14219</v>
      </c>
      <c r="V480" s="13" t="s">
        <v>14220</v>
      </c>
      <c r="W480" s="13" t="s">
        <v>14221</v>
      </c>
      <c r="X480" s="13" t="s">
        <v>14222</v>
      </c>
      <c r="Y480" s="13" t="s">
        <v>14223</v>
      </c>
      <c r="Z480" s="13" t="s">
        <v>14224</v>
      </c>
      <c r="AA480" s="13" t="s">
        <v>14225</v>
      </c>
      <c r="AB480" s="13" t="s">
        <v>14226</v>
      </c>
      <c r="AC480" s="13" t="s">
        <v>14227</v>
      </c>
      <c r="AD480" s="13" t="s">
        <v>14227</v>
      </c>
      <c r="AE480" s="13" t="s">
        <v>14228</v>
      </c>
      <c r="AF480" s="13" t="s">
        <v>5510</v>
      </c>
      <c r="AG480" s="13">
        <v>70.0</v>
      </c>
      <c r="AH480" s="13">
        <v>5.0</v>
      </c>
      <c r="AI480" s="13">
        <v>6.0</v>
      </c>
      <c r="AJ480" s="13">
        <v>0.0</v>
      </c>
      <c r="AK480" s="13">
        <v>13.0</v>
      </c>
      <c r="AL480" s="13" t="s">
        <v>14217</v>
      </c>
      <c r="AM480" s="13" t="s">
        <v>14229</v>
      </c>
      <c r="AN480" s="13" t="s">
        <v>14230</v>
      </c>
      <c r="AO480" s="13" t="s">
        <v>14231</v>
      </c>
      <c r="AP480" s="13" t="s">
        <v>14232</v>
      </c>
      <c r="AQ480" s="13" t="s">
        <v>5510</v>
      </c>
      <c r="AR480" s="13" t="s">
        <v>14233</v>
      </c>
      <c r="AS480" s="13" t="s">
        <v>14234</v>
      </c>
      <c r="AT480" s="13" t="s">
        <v>1925</v>
      </c>
      <c r="AU480" s="13">
        <v>2016.0</v>
      </c>
      <c r="AV480" s="13">
        <v>64.0</v>
      </c>
      <c r="AW480" s="13">
        <v>3.0</v>
      </c>
      <c r="AX480" s="13" t="s">
        <v>5510</v>
      </c>
      <c r="AY480" s="13" t="s">
        <v>5510</v>
      </c>
      <c r="AZ480" s="13" t="s">
        <v>5510</v>
      </c>
      <c r="BA480" s="13" t="s">
        <v>5510</v>
      </c>
      <c r="BB480" s="13">
        <v>1129.0</v>
      </c>
      <c r="BC480" s="13">
        <v>1141.0</v>
      </c>
      <c r="BD480" s="13" t="s">
        <v>5510</v>
      </c>
      <c r="BE480" s="13" t="str">
        <f>#REF!</f>
        <v>#REF!</v>
      </c>
      <c r="BF480" s="13" t="s">
        <v>5510</v>
      </c>
      <c r="BG480" s="13" t="s">
        <v>5510</v>
      </c>
      <c r="BH480" s="13" t="s">
        <v>5510</v>
      </c>
      <c r="BI480" s="13">
        <v>13.0</v>
      </c>
      <c r="BJ480" s="13" t="s">
        <v>7022</v>
      </c>
      <c r="BK480" s="13" t="s">
        <v>5561</v>
      </c>
      <c r="BL480" s="13" t="s">
        <v>7023</v>
      </c>
      <c r="BM480" s="13" t="s">
        <v>14235</v>
      </c>
      <c r="BN480" s="13">
        <v>2.9461788E7</v>
      </c>
      <c r="BO480" s="13" t="s">
        <v>5537</v>
      </c>
      <c r="BP480" s="13" t="s">
        <v>5510</v>
      </c>
      <c r="BQ480" s="13" t="s">
        <v>5510</v>
      </c>
      <c r="BR480" s="13" t="s">
        <v>5538</v>
      </c>
      <c r="BS480" s="13" t="s">
        <v>14236</v>
      </c>
      <c r="BT480" s="13">
        <v>23825.0</v>
      </c>
      <c r="BU480" s="13" t="s">
        <v>5540</v>
      </c>
      <c r="BV480" s="13" t="s">
        <v>4852</v>
      </c>
      <c r="BW480" s="13" t="str">
        <f>VLOOKUP($BT480,Enriched!$A$2:$E$1070,5,false)</f>
        <v>["Biological resource use"]</v>
      </c>
      <c r="BX480" s="13" t="str">
        <f>VLOOKUP($BT480,Enriched!$A$2:$E$1070,4,false)</f>
        <v>["Fishing &amp; harvesting aquatic resources"]</v>
      </c>
      <c r="BY480" s="13" t="b">
        <f>VLOOKUP(BT480,Enriched!$A$1:$AA$1070,27,falsE)</f>
        <v>0</v>
      </c>
      <c r="BZ480" s="2" t="str">
        <f>VLOOKUP(BT480,Enriched!$A$1:$AA$1070,14,falsE)</f>
        <v>level2</v>
      </c>
      <c r="CA480" s="13" t="str">
        <f>HYPERLINK("https%3A%2F%2Fwww.webofscience.com%2Fwos%2Fwoscc%2Ffull-record%2FWOS:000383467900017","View Full Record in Web of Science")</f>
        <v>View Full Record in Web of Science</v>
      </c>
    </row>
    <row r="481" ht="12.75" customHeight="1">
      <c r="A481" s="13" t="s">
        <v>5508</v>
      </c>
      <c r="B481" s="13" t="s">
        <v>14237</v>
      </c>
      <c r="C481" s="13" t="s">
        <v>5510</v>
      </c>
      <c r="D481" s="13" t="s">
        <v>5510</v>
      </c>
      <c r="E481" s="13" t="s">
        <v>5510</v>
      </c>
      <c r="F481" s="13" t="s">
        <v>14238</v>
      </c>
      <c r="G481" s="13" t="s">
        <v>5510</v>
      </c>
      <c r="H481" s="13" t="s">
        <v>5510</v>
      </c>
      <c r="I481" s="13" t="s">
        <v>1555</v>
      </c>
      <c r="J481" s="13" t="s">
        <v>14239</v>
      </c>
      <c r="K481" s="13" t="s">
        <v>5510</v>
      </c>
      <c r="L481" s="13" t="s">
        <v>5510</v>
      </c>
      <c r="M481" s="13" t="s">
        <v>5513</v>
      </c>
      <c r="N481" s="13" t="s">
        <v>5514</v>
      </c>
      <c r="O481" s="13" t="s">
        <v>5510</v>
      </c>
      <c r="P481" s="13" t="s">
        <v>5510</v>
      </c>
      <c r="Q481" s="13" t="s">
        <v>5510</v>
      </c>
      <c r="R481" s="13" t="s">
        <v>5510</v>
      </c>
      <c r="S481" s="13" t="s">
        <v>5510</v>
      </c>
      <c r="T481" s="13" t="s">
        <v>14240</v>
      </c>
      <c r="U481" s="13" t="s">
        <v>14241</v>
      </c>
      <c r="V481" s="13" t="s">
        <v>14242</v>
      </c>
      <c r="W481" s="13" t="s">
        <v>14243</v>
      </c>
      <c r="X481" s="13" t="s">
        <v>14244</v>
      </c>
      <c r="Y481" s="13" t="s">
        <v>14245</v>
      </c>
      <c r="Z481" s="13" t="s">
        <v>14246</v>
      </c>
      <c r="AA481" s="13" t="s">
        <v>5510</v>
      </c>
      <c r="AB481" s="13" t="s">
        <v>5510</v>
      </c>
      <c r="AC481" s="13" t="s">
        <v>5510</v>
      </c>
      <c r="AD481" s="13" t="s">
        <v>5510</v>
      </c>
      <c r="AE481" s="13" t="s">
        <v>5510</v>
      </c>
      <c r="AF481" s="13" t="s">
        <v>5510</v>
      </c>
      <c r="AG481" s="13">
        <v>73.0</v>
      </c>
      <c r="AH481" s="13">
        <v>10.0</v>
      </c>
      <c r="AI481" s="13">
        <v>10.0</v>
      </c>
      <c r="AJ481" s="13">
        <v>0.0</v>
      </c>
      <c r="AK481" s="13">
        <v>6.0</v>
      </c>
      <c r="AL481" s="13" t="s">
        <v>10962</v>
      </c>
      <c r="AM481" s="13" t="s">
        <v>10963</v>
      </c>
      <c r="AN481" s="13" t="s">
        <v>10964</v>
      </c>
      <c r="AO481" s="13" t="s">
        <v>14247</v>
      </c>
      <c r="AP481" s="13" t="s">
        <v>14248</v>
      </c>
      <c r="AQ481" s="13" t="s">
        <v>5510</v>
      </c>
      <c r="AR481" s="13" t="s">
        <v>14249</v>
      </c>
      <c r="AS481" s="13" t="s">
        <v>14250</v>
      </c>
      <c r="AT481" s="13" t="s">
        <v>5510</v>
      </c>
      <c r="AU481" s="13">
        <v>2019.0</v>
      </c>
      <c r="AV481" s="13">
        <v>41.0</v>
      </c>
      <c r="AW481" s="13">
        <v>2.0</v>
      </c>
      <c r="AX481" s="13" t="s">
        <v>5510</v>
      </c>
      <c r="AY481" s="13" t="s">
        <v>5510</v>
      </c>
      <c r="AZ481" s="13" t="s">
        <v>5510</v>
      </c>
      <c r="BA481" s="13" t="s">
        <v>5510</v>
      </c>
      <c r="BB481" s="13">
        <v>97.0</v>
      </c>
      <c r="BC481" s="13">
        <v>107.0</v>
      </c>
      <c r="BD481" s="13" t="s">
        <v>5510</v>
      </c>
      <c r="BE481" s="13" t="s">
        <v>14251</v>
      </c>
      <c r="BF481" s="52" t="str">
        <f>HYPERLINK("http://dx.doi.org/10.1071/RJ18081","http://dx.doi.org/10.1071/RJ18081")</f>
        <v>http://dx.doi.org/10.1071/RJ18081</v>
      </c>
      <c r="BG481" s="13" t="s">
        <v>5510</v>
      </c>
      <c r="BH481" s="13" t="s">
        <v>5510</v>
      </c>
      <c r="BI481" s="13">
        <v>11.0</v>
      </c>
      <c r="BJ481" s="13" t="s">
        <v>5533</v>
      </c>
      <c r="BK481" s="13" t="s">
        <v>5561</v>
      </c>
      <c r="BL481" s="13" t="s">
        <v>5535</v>
      </c>
      <c r="BM481" s="13" t="s">
        <v>14252</v>
      </c>
      <c r="BN481" s="13" t="s">
        <v>5510</v>
      </c>
      <c r="BO481" s="13" t="s">
        <v>5510</v>
      </c>
      <c r="BP481" s="13" t="s">
        <v>5510</v>
      </c>
      <c r="BQ481" s="13" t="s">
        <v>5510</v>
      </c>
      <c r="BR481" s="13" t="s">
        <v>5538</v>
      </c>
      <c r="BS481" s="13" t="s">
        <v>14253</v>
      </c>
      <c r="BT481" s="13">
        <v>24133.0</v>
      </c>
      <c r="BU481" s="13" t="s">
        <v>5540</v>
      </c>
      <c r="BV481" s="13" t="s">
        <v>4856</v>
      </c>
      <c r="BW481" s="13" t="str">
        <f>VLOOKUP($BT481,Enriched!$A$2:$E$1070,5,false)</f>
        <v>["Agriculture &amp; Aquaculture"]</v>
      </c>
      <c r="BX481" s="13" t="str">
        <f>VLOOKUP($BT481,Enriched!$A$2:$E$1070,4,false)</f>
        <v>["Livestock farming &amp; ranching"]</v>
      </c>
      <c r="BY481" s="13" t="b">
        <f>VLOOKUP(BT481,Enriched!$A$1:$AA$1070,27,falsE)</f>
        <v>0</v>
      </c>
      <c r="BZ481" s="2" t="str">
        <f>VLOOKUP(BT481,Enriched!$A$1:$AA$1070,14,falsE)</f>
        <v>level2</v>
      </c>
      <c r="CA481" s="13" t="str">
        <f>HYPERLINK("https%3A%2F%2Fwww.webofscience.com%2Fwos%2Fwoscc%2Ffull-record%2FWOS:000467968200001","View Full Record in Web of Science")</f>
        <v>View Full Record in Web of Science</v>
      </c>
    </row>
    <row r="482" ht="12.75" customHeight="1">
      <c r="A482" s="13" t="s">
        <v>5508</v>
      </c>
      <c r="B482" s="13" t="s">
        <v>14254</v>
      </c>
      <c r="C482" s="13" t="s">
        <v>5510</v>
      </c>
      <c r="D482" s="13" t="s">
        <v>5510</v>
      </c>
      <c r="E482" s="13" t="s">
        <v>5510</v>
      </c>
      <c r="F482" s="13" t="s">
        <v>14255</v>
      </c>
      <c r="G482" s="13" t="s">
        <v>5510</v>
      </c>
      <c r="H482" s="13" t="s">
        <v>5510</v>
      </c>
      <c r="I482" s="13" t="s">
        <v>1553</v>
      </c>
      <c r="J482" s="13" t="s">
        <v>13251</v>
      </c>
      <c r="K482" s="13" t="s">
        <v>5510</v>
      </c>
      <c r="L482" s="13" t="s">
        <v>5510</v>
      </c>
      <c r="M482" s="13" t="s">
        <v>5513</v>
      </c>
      <c r="N482" s="13" t="s">
        <v>5514</v>
      </c>
      <c r="O482" s="13" t="s">
        <v>5510</v>
      </c>
      <c r="P482" s="13" t="s">
        <v>5510</v>
      </c>
      <c r="Q482" s="13" t="s">
        <v>5510</v>
      </c>
      <c r="R482" s="13" t="s">
        <v>5510</v>
      </c>
      <c r="S482" s="13" t="s">
        <v>5510</v>
      </c>
      <c r="T482" s="13" t="s">
        <v>14256</v>
      </c>
      <c r="U482" s="13" t="s">
        <v>14257</v>
      </c>
      <c r="V482" s="13" t="s">
        <v>14258</v>
      </c>
      <c r="W482" s="13" t="s">
        <v>14259</v>
      </c>
      <c r="X482" s="13" t="s">
        <v>14260</v>
      </c>
      <c r="Y482" s="13" t="s">
        <v>14261</v>
      </c>
      <c r="Z482" s="13" t="s">
        <v>14262</v>
      </c>
      <c r="AA482" s="13" t="s">
        <v>14263</v>
      </c>
      <c r="AB482" s="13" t="s">
        <v>14264</v>
      </c>
      <c r="AC482" s="13" t="s">
        <v>5510</v>
      </c>
      <c r="AD482" s="13" t="s">
        <v>5510</v>
      </c>
      <c r="AE482" s="13" t="s">
        <v>5510</v>
      </c>
      <c r="AF482" s="13" t="s">
        <v>5510</v>
      </c>
      <c r="AG482" s="13">
        <v>72.0</v>
      </c>
      <c r="AH482" s="13">
        <v>5.0</v>
      </c>
      <c r="AI482" s="13">
        <v>6.0</v>
      </c>
      <c r="AJ482" s="13">
        <v>0.0</v>
      </c>
      <c r="AK482" s="13">
        <v>41.0</v>
      </c>
      <c r="AL482" s="13" t="s">
        <v>5931</v>
      </c>
      <c r="AM482" s="13" t="s">
        <v>5932</v>
      </c>
      <c r="AN482" s="13" t="s">
        <v>5933</v>
      </c>
      <c r="AO482" s="13" t="s">
        <v>13263</v>
      </c>
      <c r="AP482" s="13" t="s">
        <v>13264</v>
      </c>
      <c r="AQ482" s="13" t="s">
        <v>5510</v>
      </c>
      <c r="AR482" s="13" t="s">
        <v>13251</v>
      </c>
      <c r="AS482" s="13" t="s">
        <v>13265</v>
      </c>
      <c r="AT482" s="13" t="s">
        <v>5582</v>
      </c>
      <c r="AU482" s="13">
        <v>2020.0</v>
      </c>
      <c r="AV482" s="13">
        <v>90.0</v>
      </c>
      <c r="AW482" s="13" t="s">
        <v>5510</v>
      </c>
      <c r="AX482" s="13" t="s">
        <v>5510</v>
      </c>
      <c r="AY482" s="13" t="s">
        <v>5510</v>
      </c>
      <c r="AZ482" s="13" t="s">
        <v>5510</v>
      </c>
      <c r="BA482" s="13" t="s">
        <v>5510</v>
      </c>
      <c r="BB482" s="13" t="s">
        <v>5510</v>
      </c>
      <c r="BC482" s="13" t="s">
        <v>5510</v>
      </c>
      <c r="BD482" s="13">
        <v>104256.0</v>
      </c>
      <c r="BE482" s="13" t="s">
        <v>14265</v>
      </c>
      <c r="BF482" s="52" t="str">
        <f>HYPERLINK("http://dx.doi.org/10.1016/j.landusepol.2019.104256","http://dx.doi.org/10.1016/j.landusepol.2019.104256")</f>
        <v>http://dx.doi.org/10.1016/j.landusepol.2019.104256</v>
      </c>
      <c r="BG482" s="13" t="s">
        <v>5510</v>
      </c>
      <c r="BH482" s="13" t="s">
        <v>5510</v>
      </c>
      <c r="BI482" s="13">
        <v>10.0</v>
      </c>
      <c r="BJ482" s="13" t="s">
        <v>12528</v>
      </c>
      <c r="BK482" s="13" t="s">
        <v>8375</v>
      </c>
      <c r="BL482" s="13" t="s">
        <v>5535</v>
      </c>
      <c r="BM482" s="13" t="s">
        <v>14266</v>
      </c>
      <c r="BN482" s="13" t="s">
        <v>5510</v>
      </c>
      <c r="BO482" s="13" t="s">
        <v>5510</v>
      </c>
      <c r="BP482" s="13" t="s">
        <v>5510</v>
      </c>
      <c r="BQ482" s="13" t="s">
        <v>5510</v>
      </c>
      <c r="BR482" s="13" t="s">
        <v>5538</v>
      </c>
      <c r="BS482" s="13" t="s">
        <v>14267</v>
      </c>
      <c r="BT482" s="13">
        <v>24114.0</v>
      </c>
      <c r="BU482" s="13" t="s">
        <v>5540</v>
      </c>
      <c r="BV482" s="13" t="s">
        <v>4856</v>
      </c>
      <c r="BW482" s="13" t="str">
        <f>VLOOKUP($BT482,Enriched!$A$2:$E$1070,5,false)</f>
        <v>["Residential &amp; commercial development"]</v>
      </c>
      <c r="BX482" s="13" t="str">
        <f>VLOOKUP($BT482,Enriched!$A$2:$E$1070,4,false)</f>
        <v/>
      </c>
      <c r="BY482" s="13" t="b">
        <f>VLOOKUP(BT482,Enriched!$A$1:$AA$1070,27,falsE)</f>
        <v>1</v>
      </c>
      <c r="BZ482" s="2" t="str">
        <f>VLOOKUP(BT482,Enriched!$A$1:$AA$1070,14,falsE)</f>
        <v>level2</v>
      </c>
      <c r="CA482" s="13" t="str">
        <f>HYPERLINK("https%3A%2F%2Fwww.webofscience.com%2Fwos%2Fwoscc%2Ffull-record%2FWOS:000503093800024","View Full Record in Web of Science")</f>
        <v>View Full Record in Web of Science</v>
      </c>
    </row>
    <row r="483" ht="12.75" customHeight="1">
      <c r="A483" s="13" t="s">
        <v>5508</v>
      </c>
      <c r="B483" s="13" t="s">
        <v>14268</v>
      </c>
      <c r="C483" s="13" t="s">
        <v>5510</v>
      </c>
      <c r="D483" s="13" t="s">
        <v>5510</v>
      </c>
      <c r="E483" s="13" t="s">
        <v>5510</v>
      </c>
      <c r="F483" s="13" t="s">
        <v>14269</v>
      </c>
      <c r="G483" s="13" t="s">
        <v>5510</v>
      </c>
      <c r="H483" s="13" t="s">
        <v>5510</v>
      </c>
      <c r="I483" s="13" t="s">
        <v>1550</v>
      </c>
      <c r="J483" s="13" t="s">
        <v>7857</v>
      </c>
      <c r="K483" s="13" t="s">
        <v>5510</v>
      </c>
      <c r="L483" s="13" t="s">
        <v>5510</v>
      </c>
      <c r="M483" s="13" t="s">
        <v>5513</v>
      </c>
      <c r="N483" s="13" t="s">
        <v>5514</v>
      </c>
      <c r="O483" s="13" t="s">
        <v>5510</v>
      </c>
      <c r="P483" s="13" t="s">
        <v>5510</v>
      </c>
      <c r="Q483" s="13" t="s">
        <v>5510</v>
      </c>
      <c r="R483" s="13" t="s">
        <v>5510</v>
      </c>
      <c r="S483" s="13" t="s">
        <v>5510</v>
      </c>
      <c r="T483" s="13" t="s">
        <v>14270</v>
      </c>
      <c r="U483" s="13" t="s">
        <v>14271</v>
      </c>
      <c r="V483" s="13" t="s">
        <v>14272</v>
      </c>
      <c r="W483" s="13" t="s">
        <v>14273</v>
      </c>
      <c r="X483" s="13" t="s">
        <v>14274</v>
      </c>
      <c r="Y483" s="13" t="s">
        <v>14275</v>
      </c>
      <c r="Z483" s="13" t="s">
        <v>14276</v>
      </c>
      <c r="AA483" s="13" t="s">
        <v>14277</v>
      </c>
      <c r="AB483" s="13" t="s">
        <v>14278</v>
      </c>
      <c r="AC483" s="13" t="s">
        <v>14279</v>
      </c>
      <c r="AD483" s="13" t="s">
        <v>5510</v>
      </c>
      <c r="AE483" s="13" t="s">
        <v>14280</v>
      </c>
      <c r="AF483" s="13" t="s">
        <v>5510</v>
      </c>
      <c r="AG483" s="13">
        <v>80.0</v>
      </c>
      <c r="AH483" s="13">
        <v>37.0</v>
      </c>
      <c r="AI483" s="13">
        <v>45.0</v>
      </c>
      <c r="AJ483" s="13">
        <v>3.0</v>
      </c>
      <c r="AK483" s="13">
        <v>137.0</v>
      </c>
      <c r="AL483" s="13" t="s">
        <v>5527</v>
      </c>
      <c r="AM483" s="13" t="s">
        <v>5528</v>
      </c>
      <c r="AN483" s="13" t="s">
        <v>5529</v>
      </c>
      <c r="AO483" s="13" t="s">
        <v>7870</v>
      </c>
      <c r="AP483" s="13" t="s">
        <v>7871</v>
      </c>
      <c r="AQ483" s="13" t="s">
        <v>5510</v>
      </c>
      <c r="AR483" s="13" t="s">
        <v>7872</v>
      </c>
      <c r="AS483" s="13" t="s">
        <v>7873</v>
      </c>
      <c r="AT483" s="13" t="s">
        <v>2514</v>
      </c>
      <c r="AU483" s="13">
        <v>2014.0</v>
      </c>
      <c r="AV483" s="13">
        <v>20.0</v>
      </c>
      <c r="AW483" s="13">
        <v>10.0</v>
      </c>
      <c r="AX483" s="13" t="s">
        <v>5510</v>
      </c>
      <c r="AY483" s="13" t="s">
        <v>5510</v>
      </c>
      <c r="AZ483" s="13" t="s">
        <v>5510</v>
      </c>
      <c r="BA483" s="13" t="s">
        <v>5510</v>
      </c>
      <c r="BB483" s="13">
        <v>3080.0</v>
      </c>
      <c r="BC483" s="13">
        <v>3091.0</v>
      </c>
      <c r="BD483" s="13" t="s">
        <v>5510</v>
      </c>
      <c r="BE483" s="13" t="s">
        <v>14281</v>
      </c>
      <c r="BF483" s="52" t="str">
        <f>HYPERLINK("http://dx.doi.org/10.1111/gcb.12570","http://dx.doi.org/10.1111/gcb.12570")</f>
        <v>http://dx.doi.org/10.1111/gcb.12570</v>
      </c>
      <c r="BG483" s="13" t="s">
        <v>5510</v>
      </c>
      <c r="BH483" s="13" t="s">
        <v>5510</v>
      </c>
      <c r="BI483" s="13">
        <v>12.0</v>
      </c>
      <c r="BJ483" s="13" t="s">
        <v>5698</v>
      </c>
      <c r="BK483" s="13" t="s">
        <v>5561</v>
      </c>
      <c r="BL483" s="13" t="s">
        <v>5699</v>
      </c>
      <c r="BM483" s="13" t="s">
        <v>14282</v>
      </c>
      <c r="BN483" s="13">
        <v>2.4616088E7</v>
      </c>
      <c r="BO483" s="13" t="s">
        <v>5510</v>
      </c>
      <c r="BP483" s="13" t="s">
        <v>5510</v>
      </c>
      <c r="BQ483" s="13" t="s">
        <v>5510</v>
      </c>
      <c r="BR483" s="13" t="s">
        <v>5538</v>
      </c>
      <c r="BS483" s="13" t="s">
        <v>14283</v>
      </c>
      <c r="BT483" s="13">
        <v>24094.0</v>
      </c>
      <c r="BU483" s="13" t="s">
        <v>5540</v>
      </c>
      <c r="BV483" s="13" t="s">
        <v>4852</v>
      </c>
      <c r="BW483" s="13" t="str">
        <f>VLOOKUP($BT483,Enriched!$A$2:$E$1070,5,false)</f>
        <v>["Climate change &amp; severe weather"]</v>
      </c>
      <c r="BX483" s="13" t="str">
        <f>VLOOKUP($BT483,Enriched!$A$2:$E$1070,4,false)</f>
        <v>["Habitat shifting &amp; alteration"]</v>
      </c>
      <c r="BY483" s="13" t="b">
        <f>VLOOKUP(BT483,Enriched!$A$1:$AA$1070,27,falsE)</f>
        <v>0</v>
      </c>
      <c r="BZ483" s="2" t="str">
        <f>VLOOKUP(BT483,Enriched!$A$1:$AA$1070,14,falsE)</f>
        <v>level2</v>
      </c>
      <c r="CA483" s="13" t="str">
        <f>HYPERLINK("https%3A%2F%2Fwww.webofscience.com%2Fwos%2Fwoscc%2Ffull-record%2FWOS:000342168500008","View Full Record in Web of Science")</f>
        <v>View Full Record in Web of Science</v>
      </c>
    </row>
    <row r="484" ht="12.75" customHeight="1">
      <c r="A484" s="13" t="s">
        <v>5508</v>
      </c>
      <c r="B484" s="13" t="s">
        <v>14284</v>
      </c>
      <c r="C484" s="13" t="s">
        <v>5510</v>
      </c>
      <c r="D484" s="13" t="s">
        <v>5510</v>
      </c>
      <c r="E484" s="13" t="s">
        <v>5510</v>
      </c>
      <c r="F484" s="13" t="s">
        <v>14285</v>
      </c>
      <c r="G484" s="13" t="s">
        <v>5510</v>
      </c>
      <c r="H484" s="13" t="s">
        <v>5510</v>
      </c>
      <c r="I484" s="13" t="s">
        <v>1548</v>
      </c>
      <c r="J484" s="13" t="s">
        <v>6032</v>
      </c>
      <c r="K484" s="13" t="s">
        <v>5510</v>
      </c>
      <c r="L484" s="13" t="s">
        <v>5510</v>
      </c>
      <c r="M484" s="13" t="s">
        <v>5513</v>
      </c>
      <c r="N484" s="13" t="s">
        <v>5514</v>
      </c>
      <c r="O484" s="13" t="s">
        <v>5510</v>
      </c>
      <c r="P484" s="13" t="s">
        <v>5510</v>
      </c>
      <c r="Q484" s="13" t="s">
        <v>5510</v>
      </c>
      <c r="R484" s="13" t="s">
        <v>5510</v>
      </c>
      <c r="S484" s="13" t="s">
        <v>5510</v>
      </c>
      <c r="T484" s="13" t="s">
        <v>14286</v>
      </c>
      <c r="U484" s="13" t="s">
        <v>14287</v>
      </c>
      <c r="V484" s="13" t="s">
        <v>14288</v>
      </c>
      <c r="W484" s="13" t="s">
        <v>14289</v>
      </c>
      <c r="X484" s="13" t="s">
        <v>14290</v>
      </c>
      <c r="Y484" s="13" t="s">
        <v>14291</v>
      </c>
      <c r="Z484" s="13" t="s">
        <v>14292</v>
      </c>
      <c r="AA484" s="13" t="s">
        <v>14293</v>
      </c>
      <c r="AB484" s="13" t="s">
        <v>14294</v>
      </c>
      <c r="AC484" s="13" t="s">
        <v>14295</v>
      </c>
      <c r="AD484" s="13" t="s">
        <v>14296</v>
      </c>
      <c r="AE484" s="13" t="s">
        <v>14297</v>
      </c>
      <c r="AF484" s="13" t="s">
        <v>5510</v>
      </c>
      <c r="AG484" s="13">
        <v>67.0</v>
      </c>
      <c r="AH484" s="13">
        <v>30.0</v>
      </c>
      <c r="AI484" s="13">
        <v>38.0</v>
      </c>
      <c r="AJ484" s="13">
        <v>1.0</v>
      </c>
      <c r="AK484" s="13">
        <v>44.0</v>
      </c>
      <c r="AL484" s="13" t="s">
        <v>6045</v>
      </c>
      <c r="AM484" s="13" t="s">
        <v>6046</v>
      </c>
      <c r="AN484" s="13" t="s">
        <v>6047</v>
      </c>
      <c r="AO484" s="13" t="s">
        <v>6048</v>
      </c>
      <c r="AP484" s="13" t="s">
        <v>5510</v>
      </c>
      <c r="AQ484" s="13" t="s">
        <v>5510</v>
      </c>
      <c r="AR484" s="13" t="s">
        <v>6032</v>
      </c>
      <c r="AS484" s="13" t="s">
        <v>174</v>
      </c>
      <c r="AT484" s="13" t="s">
        <v>8558</v>
      </c>
      <c r="AU484" s="13">
        <v>2017.0</v>
      </c>
      <c r="AV484" s="13">
        <v>5.0</v>
      </c>
      <c r="AW484" s="13" t="s">
        <v>5510</v>
      </c>
      <c r="AX484" s="13" t="s">
        <v>5510</v>
      </c>
      <c r="AY484" s="13" t="s">
        <v>5510</v>
      </c>
      <c r="AZ484" s="13" t="s">
        <v>5510</v>
      </c>
      <c r="BA484" s="13" t="s">
        <v>5510</v>
      </c>
      <c r="BB484" s="13" t="s">
        <v>5510</v>
      </c>
      <c r="BC484" s="13" t="s">
        <v>5510</v>
      </c>
      <c r="BD484" s="13" t="s">
        <v>14298</v>
      </c>
      <c r="BE484" s="13" t="s">
        <v>14299</v>
      </c>
      <c r="BF484" s="52" t="str">
        <f>HYPERLINK("http://dx.doi.org/10.7717/peerj.3902","http://dx.doi.org/10.7717/peerj.3902")</f>
        <v>http://dx.doi.org/10.7717/peerj.3902</v>
      </c>
      <c r="BG484" s="13" t="s">
        <v>5510</v>
      </c>
      <c r="BH484" s="13" t="s">
        <v>5510</v>
      </c>
      <c r="BI484" s="13">
        <v>20.0</v>
      </c>
      <c r="BJ484" s="13" t="s">
        <v>5560</v>
      </c>
      <c r="BK484" s="13" t="s">
        <v>5534</v>
      </c>
      <c r="BL484" s="13" t="s">
        <v>5562</v>
      </c>
      <c r="BM484" s="13" t="s">
        <v>14300</v>
      </c>
      <c r="BN484" s="13">
        <v>2.9038758E7</v>
      </c>
      <c r="BO484" s="13" t="s">
        <v>5564</v>
      </c>
      <c r="BP484" s="13" t="s">
        <v>5510</v>
      </c>
      <c r="BQ484" s="13" t="s">
        <v>5510</v>
      </c>
      <c r="BR484" s="13" t="s">
        <v>5538</v>
      </c>
      <c r="BS484" s="13" t="s">
        <v>14301</v>
      </c>
      <c r="BT484" s="13">
        <v>24366.0</v>
      </c>
      <c r="BU484" s="13" t="s">
        <v>5540</v>
      </c>
      <c r="BV484" s="13" t="s">
        <v>4886</v>
      </c>
      <c r="BW484" s="13" t="str">
        <f>VLOOKUP($BT484,Enriched!$A$2:$E$1070,5,false)</f>
        <v>["Biological Resource Use", "Energy Production &amp; Mining", "Residential &amp; Commercial Development", "Agriculture &amp; Aquaculture", "Pollution"]</v>
      </c>
      <c r="BX484" s="13" t="str">
        <f>VLOOKUP($BT484,Enriched!$A$2:$E$1070,4,false)</f>
        <v>["Fishing &amp; harvesting aquatic resources", "Hunting &amp; collecting terrestrial animals", "Mining &amp; quarrying", "Gathering terrestrial plants"]</v>
      </c>
      <c r="BY484" s="13" t="b">
        <f>VLOOKUP(BT484,Enriched!$A$1:$AA$1070,27,falsE)</f>
        <v>1</v>
      </c>
      <c r="BZ484" s="2" t="str">
        <f>VLOOKUP(BT484,Enriched!$A$1:$AA$1070,14,falsE)</f>
        <v>cumulative</v>
      </c>
      <c r="CA484" s="13" t="str">
        <f>HYPERLINK("https%3A%2F%2Fwww.webofscience.com%2Fwos%2Fwoscc%2Ffull-record%2FWOS:000412980400001","View Full Record in Web of Science")</f>
        <v>View Full Record in Web of Science</v>
      </c>
    </row>
    <row r="485" ht="12.75" customHeight="1">
      <c r="A485" s="13" t="s">
        <v>5508</v>
      </c>
      <c r="B485" s="13" t="s">
        <v>14302</v>
      </c>
      <c r="C485" s="13" t="s">
        <v>5510</v>
      </c>
      <c r="D485" s="13" t="s">
        <v>5510</v>
      </c>
      <c r="E485" s="13" t="s">
        <v>5510</v>
      </c>
      <c r="F485" s="13" t="s">
        <v>14303</v>
      </c>
      <c r="G485" s="13" t="s">
        <v>5510</v>
      </c>
      <c r="H485" s="13" t="s">
        <v>5510</v>
      </c>
      <c r="I485" s="13" t="s">
        <v>1543</v>
      </c>
      <c r="J485" s="13" t="s">
        <v>9414</v>
      </c>
      <c r="K485" s="13" t="s">
        <v>5510</v>
      </c>
      <c r="L485" s="13" t="s">
        <v>5510</v>
      </c>
      <c r="M485" s="13" t="s">
        <v>5513</v>
      </c>
      <c r="N485" s="13" t="s">
        <v>5514</v>
      </c>
      <c r="O485" s="13" t="s">
        <v>5510</v>
      </c>
      <c r="P485" s="13" t="s">
        <v>5510</v>
      </c>
      <c r="Q485" s="13" t="s">
        <v>5510</v>
      </c>
      <c r="R485" s="13" t="s">
        <v>5510</v>
      </c>
      <c r="S485" s="13" t="s">
        <v>5510</v>
      </c>
      <c r="T485" s="13" t="s">
        <v>14304</v>
      </c>
      <c r="U485" s="13" t="s">
        <v>14305</v>
      </c>
      <c r="V485" s="13" t="s">
        <v>14306</v>
      </c>
      <c r="W485" s="13" t="s">
        <v>14307</v>
      </c>
      <c r="X485" s="13" t="s">
        <v>14308</v>
      </c>
      <c r="Y485" s="13" t="s">
        <v>14309</v>
      </c>
      <c r="Z485" s="13" t="s">
        <v>14310</v>
      </c>
      <c r="AA485" s="13" t="s">
        <v>14311</v>
      </c>
      <c r="AB485" s="13" t="s">
        <v>14312</v>
      </c>
      <c r="AC485" s="13" t="s">
        <v>5510</v>
      </c>
      <c r="AD485" s="13" t="s">
        <v>5510</v>
      </c>
      <c r="AE485" s="13" t="s">
        <v>5510</v>
      </c>
      <c r="AF485" s="13" t="s">
        <v>5510</v>
      </c>
      <c r="AG485" s="13">
        <v>79.0</v>
      </c>
      <c r="AH485" s="13">
        <v>10.0</v>
      </c>
      <c r="AI485" s="13">
        <v>12.0</v>
      </c>
      <c r="AJ485" s="13">
        <v>0.0</v>
      </c>
      <c r="AK485" s="13">
        <v>23.0</v>
      </c>
      <c r="AL485" s="13" t="s">
        <v>5931</v>
      </c>
      <c r="AM485" s="13" t="s">
        <v>7486</v>
      </c>
      <c r="AN485" s="13" t="s">
        <v>7487</v>
      </c>
      <c r="AO485" s="13" t="s">
        <v>9427</v>
      </c>
      <c r="AP485" s="13" t="s">
        <v>9428</v>
      </c>
      <c r="AQ485" s="13" t="s">
        <v>5510</v>
      </c>
      <c r="AR485" s="13" t="s">
        <v>9429</v>
      </c>
      <c r="AS485" s="13" t="s">
        <v>9430</v>
      </c>
      <c r="AT485" s="13" t="s">
        <v>1925</v>
      </c>
      <c r="AU485" s="13">
        <v>2020.0</v>
      </c>
      <c r="AV485" s="13">
        <v>119.0</v>
      </c>
      <c r="AW485" s="13" t="s">
        <v>5510</v>
      </c>
      <c r="AX485" s="13" t="s">
        <v>5510</v>
      </c>
      <c r="AY485" s="13" t="s">
        <v>5510</v>
      </c>
      <c r="AZ485" s="13" t="s">
        <v>5510</v>
      </c>
      <c r="BA485" s="13" t="s">
        <v>5510</v>
      </c>
      <c r="BB485" s="13" t="s">
        <v>5510</v>
      </c>
      <c r="BC485" s="13" t="s">
        <v>5510</v>
      </c>
      <c r="BD485" s="13">
        <v>104023.0</v>
      </c>
      <c r="BE485" s="13" t="s">
        <v>14313</v>
      </c>
      <c r="BF485" s="52" t="str">
        <f>HYPERLINK("http://dx.doi.org/10.1016/j.marpol.2020.104023","http://dx.doi.org/10.1016/j.marpol.2020.104023")</f>
        <v>http://dx.doi.org/10.1016/j.marpol.2020.104023</v>
      </c>
      <c r="BG485" s="13" t="s">
        <v>5510</v>
      </c>
      <c r="BH485" s="13" t="s">
        <v>5510</v>
      </c>
      <c r="BI485" s="13">
        <v>11.0</v>
      </c>
      <c r="BJ485" s="13" t="s">
        <v>9432</v>
      </c>
      <c r="BK485" s="13" t="s">
        <v>8375</v>
      </c>
      <c r="BL485" s="13" t="s">
        <v>9433</v>
      </c>
      <c r="BM485" s="13" t="s">
        <v>14314</v>
      </c>
      <c r="BN485" s="13" t="s">
        <v>5510</v>
      </c>
      <c r="BO485" s="13" t="s">
        <v>5510</v>
      </c>
      <c r="BP485" s="13" t="s">
        <v>5510</v>
      </c>
      <c r="BQ485" s="13" t="s">
        <v>5510</v>
      </c>
      <c r="BR485" s="13" t="s">
        <v>5538</v>
      </c>
      <c r="BS485" s="13" t="s">
        <v>14315</v>
      </c>
      <c r="BT485" s="13">
        <v>24060.0</v>
      </c>
      <c r="BU485" s="13" t="s">
        <v>5540</v>
      </c>
      <c r="BV485" s="13" t="s">
        <v>4864</v>
      </c>
      <c r="BW485" s="13" t="str">
        <f>VLOOKUP($BT485,Enriched!$A$2:$E$1070,5,false)</f>
        <v>["Biological resource use"]</v>
      </c>
      <c r="BX485" s="13" t="str">
        <f>VLOOKUP($BT485,Enriched!$A$2:$E$1070,4,false)</f>
        <v>["Fishing &amp; harvesting aquatic resources"]</v>
      </c>
      <c r="BY485" s="13" t="b">
        <f>VLOOKUP(BT485,Enriched!$A$1:$AA$1070,27,falsE)</f>
        <v>0</v>
      </c>
      <c r="BZ485" s="2" t="str">
        <f>VLOOKUP(BT485,Enriched!$A$1:$AA$1070,14,falsE)</f>
        <v>level2</v>
      </c>
      <c r="CA485" s="13" t="str">
        <f>HYPERLINK("https%3A%2F%2Fwww.webofscience.com%2Fwos%2Fwoscc%2Ffull-record%2FWOS:000564689000006","View Full Record in Web of Science")</f>
        <v>View Full Record in Web of Science</v>
      </c>
    </row>
    <row r="486" ht="12.75" customHeight="1">
      <c r="A486" s="13" t="s">
        <v>5508</v>
      </c>
      <c r="B486" s="13" t="s">
        <v>14316</v>
      </c>
      <c r="C486" s="13" t="s">
        <v>5510</v>
      </c>
      <c r="D486" s="13" t="s">
        <v>5510</v>
      </c>
      <c r="E486" s="13" t="s">
        <v>5510</v>
      </c>
      <c r="F486" s="13" t="s">
        <v>14317</v>
      </c>
      <c r="G486" s="13" t="s">
        <v>5510</v>
      </c>
      <c r="H486" s="13" t="s">
        <v>5510</v>
      </c>
      <c r="I486" s="13" t="s">
        <v>1541</v>
      </c>
      <c r="J486" s="13" t="s">
        <v>5543</v>
      </c>
      <c r="K486" s="13" t="s">
        <v>5510</v>
      </c>
      <c r="L486" s="13" t="s">
        <v>5510</v>
      </c>
      <c r="M486" s="13" t="s">
        <v>5513</v>
      </c>
      <c r="N486" s="13" t="s">
        <v>5514</v>
      </c>
      <c r="O486" s="13" t="s">
        <v>5510</v>
      </c>
      <c r="P486" s="13" t="s">
        <v>5510</v>
      </c>
      <c r="Q486" s="13" t="s">
        <v>5510</v>
      </c>
      <c r="R486" s="13" t="s">
        <v>5510</v>
      </c>
      <c r="S486" s="13" t="s">
        <v>5510</v>
      </c>
      <c r="T486" s="13" t="s">
        <v>5510</v>
      </c>
      <c r="U486" s="13" t="s">
        <v>14318</v>
      </c>
      <c r="V486" s="13" t="s">
        <v>14319</v>
      </c>
      <c r="W486" s="13" t="s">
        <v>14320</v>
      </c>
      <c r="X486" s="13" t="s">
        <v>14321</v>
      </c>
      <c r="Y486" s="13" t="s">
        <v>14322</v>
      </c>
      <c r="Z486" s="13" t="s">
        <v>14323</v>
      </c>
      <c r="AA486" s="13" t="s">
        <v>14324</v>
      </c>
      <c r="AB486" s="13" t="s">
        <v>14325</v>
      </c>
      <c r="AC486" s="13" t="s">
        <v>14326</v>
      </c>
      <c r="AD486" s="13" t="s">
        <v>14327</v>
      </c>
      <c r="AE486" s="13" t="s">
        <v>14328</v>
      </c>
      <c r="AF486" s="13" t="s">
        <v>5510</v>
      </c>
      <c r="AG486" s="13">
        <v>41.0</v>
      </c>
      <c r="AH486" s="13">
        <v>712.0</v>
      </c>
      <c r="AI486" s="13">
        <v>816.0</v>
      </c>
      <c r="AJ486" s="13">
        <v>2.0</v>
      </c>
      <c r="AK486" s="13">
        <v>231.0</v>
      </c>
      <c r="AL486" s="13" t="s">
        <v>5552</v>
      </c>
      <c r="AM486" s="13" t="s">
        <v>5553</v>
      </c>
      <c r="AN486" s="13" t="s">
        <v>5554</v>
      </c>
      <c r="AO486" s="13" t="s">
        <v>5555</v>
      </c>
      <c r="AP486" s="13" t="s">
        <v>5510</v>
      </c>
      <c r="AQ486" s="13" t="s">
        <v>5510</v>
      </c>
      <c r="AR486" s="13" t="s">
        <v>5543</v>
      </c>
      <c r="AS486" s="13" t="s">
        <v>5556</v>
      </c>
      <c r="AT486" s="13" t="s">
        <v>14329</v>
      </c>
      <c r="AU486" s="13">
        <v>2013.0</v>
      </c>
      <c r="AV486" s="13">
        <v>8.0</v>
      </c>
      <c r="AW486" s="13">
        <v>6.0</v>
      </c>
      <c r="AX486" s="13" t="s">
        <v>5510</v>
      </c>
      <c r="AY486" s="13" t="s">
        <v>5510</v>
      </c>
      <c r="AZ486" s="13" t="s">
        <v>5510</v>
      </c>
      <c r="BA486" s="13" t="s">
        <v>5510</v>
      </c>
      <c r="BB486" s="13" t="s">
        <v>5510</v>
      </c>
      <c r="BC486" s="13" t="s">
        <v>5510</v>
      </c>
      <c r="BD486" s="13" t="s">
        <v>14330</v>
      </c>
      <c r="BE486" s="13" t="s">
        <v>14331</v>
      </c>
      <c r="BF486" s="52" t="str">
        <f>HYPERLINK("http://dx.doi.org/10.1371/journal.pone.0065427","http://dx.doi.org/10.1371/journal.pone.0065427")</f>
        <v>http://dx.doi.org/10.1371/journal.pone.0065427</v>
      </c>
      <c r="BG486" s="13" t="s">
        <v>5510</v>
      </c>
      <c r="BH486" s="13" t="s">
        <v>5510</v>
      </c>
      <c r="BI486" s="13">
        <v>13.0</v>
      </c>
      <c r="BJ486" s="13" t="s">
        <v>5560</v>
      </c>
      <c r="BK486" s="13" t="s">
        <v>5561</v>
      </c>
      <c r="BL486" s="13" t="s">
        <v>5562</v>
      </c>
      <c r="BM486" s="13" t="s">
        <v>14332</v>
      </c>
      <c r="BN486" s="13">
        <v>2.3950785E7</v>
      </c>
      <c r="BO486" s="13" t="s">
        <v>5564</v>
      </c>
      <c r="BP486" s="13" t="s">
        <v>5510</v>
      </c>
      <c r="BQ486" s="13" t="s">
        <v>5510</v>
      </c>
      <c r="BR486" s="13" t="s">
        <v>5538</v>
      </c>
      <c r="BS486" s="13" t="s">
        <v>14333</v>
      </c>
      <c r="BT486" s="13">
        <v>23917.0</v>
      </c>
      <c r="BU486" s="13" t="s">
        <v>5540</v>
      </c>
      <c r="BV486" s="13" t="s">
        <v>4880</v>
      </c>
      <c r="BW486" s="13" t="str">
        <f>VLOOKUP($BT486,Enriched!$A$2:$E$1070,5,false)</f>
        <v>["Climate change &amp; severe weather"]</v>
      </c>
      <c r="BX486" s="13" t="str">
        <f>VLOOKUP($BT486,Enriched!$A$2:$E$1070,4,false)</f>
        <v>["Habitat shifting &amp; alteration"]</v>
      </c>
      <c r="BY486" s="13" t="b">
        <f>VLOOKUP(BT486,Enriched!$A$1:$AA$1070,27,falsE)</f>
        <v>0</v>
      </c>
      <c r="BZ486" s="2" t="str">
        <f>VLOOKUP(BT486,Enriched!$A$1:$AA$1070,14,falsE)</f>
        <v>level1</v>
      </c>
      <c r="CA486" s="13" t="str">
        <f>HYPERLINK("https%3A%2F%2Fwww.webofscience.com%2Fwos%2Fwoscc%2Ffull-record%2FWOS:000320322400025","View Full Record in Web of Science")</f>
        <v>View Full Record in Web of Science</v>
      </c>
    </row>
    <row r="487" ht="12.75" customHeight="1">
      <c r="A487" s="13" t="s">
        <v>5508</v>
      </c>
      <c r="B487" s="13" t="s">
        <v>14334</v>
      </c>
      <c r="C487" s="13" t="s">
        <v>5510</v>
      </c>
      <c r="D487" s="13" t="s">
        <v>5510</v>
      </c>
      <c r="E487" s="13" t="s">
        <v>5510</v>
      </c>
      <c r="F487" s="13" t="s">
        <v>14335</v>
      </c>
      <c r="G487" s="13" t="s">
        <v>5510</v>
      </c>
      <c r="H487" s="13" t="s">
        <v>5510</v>
      </c>
      <c r="I487" s="13" t="s">
        <v>1537</v>
      </c>
      <c r="J487" s="13" t="s">
        <v>5919</v>
      </c>
      <c r="K487" s="13" t="s">
        <v>5510</v>
      </c>
      <c r="L487" s="13" t="s">
        <v>5510</v>
      </c>
      <c r="M487" s="13" t="s">
        <v>5513</v>
      </c>
      <c r="N487" s="13" t="s">
        <v>5514</v>
      </c>
      <c r="O487" s="13" t="s">
        <v>5510</v>
      </c>
      <c r="P487" s="13" t="s">
        <v>5510</v>
      </c>
      <c r="Q487" s="13" t="s">
        <v>5510</v>
      </c>
      <c r="R487" s="13" t="s">
        <v>5510</v>
      </c>
      <c r="S487" s="13" t="s">
        <v>5510</v>
      </c>
      <c r="T487" s="13" t="s">
        <v>14336</v>
      </c>
      <c r="U487" s="13" t="s">
        <v>14337</v>
      </c>
      <c r="V487" s="13" t="s">
        <v>14338</v>
      </c>
      <c r="W487" s="13" t="s">
        <v>14339</v>
      </c>
      <c r="X487" s="13" t="s">
        <v>14340</v>
      </c>
      <c r="Y487" s="13" t="s">
        <v>14341</v>
      </c>
      <c r="Z487" s="13" t="s">
        <v>14342</v>
      </c>
      <c r="AA487" s="13" t="s">
        <v>14343</v>
      </c>
      <c r="AB487" s="13" t="s">
        <v>5510</v>
      </c>
      <c r="AC487" s="13" t="s">
        <v>14344</v>
      </c>
      <c r="AD487" s="13" t="s">
        <v>14345</v>
      </c>
      <c r="AE487" s="13" t="s">
        <v>14346</v>
      </c>
      <c r="AF487" s="13" t="s">
        <v>5510</v>
      </c>
      <c r="AG487" s="13">
        <v>135.0</v>
      </c>
      <c r="AH487" s="13">
        <v>27.0</v>
      </c>
      <c r="AI487" s="13">
        <v>31.0</v>
      </c>
      <c r="AJ487" s="13">
        <v>3.0</v>
      </c>
      <c r="AK487" s="13">
        <v>81.0</v>
      </c>
      <c r="AL487" s="13" t="s">
        <v>5931</v>
      </c>
      <c r="AM487" s="13" t="s">
        <v>5932</v>
      </c>
      <c r="AN487" s="13" t="s">
        <v>5933</v>
      </c>
      <c r="AO487" s="13" t="s">
        <v>5934</v>
      </c>
      <c r="AP487" s="13" t="s">
        <v>5935</v>
      </c>
      <c r="AQ487" s="13" t="s">
        <v>5510</v>
      </c>
      <c r="AR487" s="13" t="s">
        <v>5936</v>
      </c>
      <c r="AS487" s="13" t="s">
        <v>5937</v>
      </c>
      <c r="AT487" s="13" t="s">
        <v>1925</v>
      </c>
      <c r="AU487" s="13">
        <v>2020.0</v>
      </c>
      <c r="AV487" s="13">
        <v>249.0</v>
      </c>
      <c r="AW487" s="13" t="s">
        <v>5510</v>
      </c>
      <c r="AX487" s="13" t="s">
        <v>5510</v>
      </c>
      <c r="AY487" s="13" t="s">
        <v>5510</v>
      </c>
      <c r="AZ487" s="13" t="s">
        <v>5510</v>
      </c>
      <c r="BA487" s="13" t="s">
        <v>5510</v>
      </c>
      <c r="BB487" s="13" t="s">
        <v>5510</v>
      </c>
      <c r="BC487" s="13" t="s">
        <v>5510</v>
      </c>
      <c r="BD487" s="13">
        <v>108709.0</v>
      </c>
      <c r="BE487" s="13" t="s">
        <v>14347</v>
      </c>
      <c r="BF487" s="52" t="str">
        <f>HYPERLINK("http://dx.doi.org/10.1016/j.biocon.2020.108709","http://dx.doi.org/10.1016/j.biocon.2020.108709")</f>
        <v>http://dx.doi.org/10.1016/j.biocon.2020.108709</v>
      </c>
      <c r="BG487" s="13" t="s">
        <v>5510</v>
      </c>
      <c r="BH487" s="13" t="s">
        <v>5510</v>
      </c>
      <c r="BI487" s="13">
        <v>13.0</v>
      </c>
      <c r="BJ487" s="13" t="s">
        <v>5698</v>
      </c>
      <c r="BK487" s="13" t="s">
        <v>5534</v>
      </c>
      <c r="BL487" s="13" t="s">
        <v>5699</v>
      </c>
      <c r="BM487" s="13" t="s">
        <v>14348</v>
      </c>
      <c r="BN487" s="13" t="s">
        <v>5510</v>
      </c>
      <c r="BO487" s="13" t="s">
        <v>5809</v>
      </c>
      <c r="BP487" s="13" t="s">
        <v>5510</v>
      </c>
      <c r="BQ487" s="13" t="s">
        <v>5510</v>
      </c>
      <c r="BR487" s="13" t="s">
        <v>5538</v>
      </c>
      <c r="BS487" s="13" t="s">
        <v>14349</v>
      </c>
      <c r="BT487" s="13">
        <v>24977.0</v>
      </c>
      <c r="BU487" s="13" t="s">
        <v>5540</v>
      </c>
      <c r="BV487" s="13" t="s">
        <v>4864</v>
      </c>
      <c r="BW487" s="13" t="str">
        <f>VLOOKUP($BT487,Enriched!$A$2:$E$1070,5,false)</f>
        <v>["Agriculture &amp; Aquaculture", "Energy Production &amp; Mining", "Biological Resource Use", "Human Intrusions &amp; Disturbance", "Pollution"]</v>
      </c>
      <c r="BX487" s="13" t="str">
        <f>VLOOKUP($BT487,Enriched!$A$2:$E$1070,4,false)</f>
        <v>["Marine &amp; freshwater aquaculture", "Mining &amp; quarrying", "Fishing &amp; harvesting aquatic resources", "Recreational activities", "Agricultural &amp; forestry effluents"]</v>
      </c>
      <c r="BY487" s="13" t="b">
        <f>VLOOKUP(BT487,Enriched!$A$1:$AA$1070,27,falsE)</f>
        <v>0</v>
      </c>
      <c r="BZ487" s="2" t="str">
        <f>VLOOKUP(BT487,Enriched!$A$1:$AA$1070,14,falsE)</f>
        <v>cumulative</v>
      </c>
      <c r="CA487" s="13" t="str">
        <f>HYPERLINK("https%3A%2F%2Fwww.webofscience.com%2Fwos%2Fwoscc%2Ffull-record%2FWOS:000567872700004","View Full Record in Web of Science")</f>
        <v>View Full Record in Web of Science</v>
      </c>
    </row>
    <row r="488" ht="12.75" customHeight="1">
      <c r="A488" s="13" t="s">
        <v>5508</v>
      </c>
      <c r="B488" s="13" t="s">
        <v>14350</v>
      </c>
      <c r="C488" s="13" t="s">
        <v>5510</v>
      </c>
      <c r="D488" s="13" t="s">
        <v>5510</v>
      </c>
      <c r="E488" s="13" t="s">
        <v>5510</v>
      </c>
      <c r="F488" s="13" t="s">
        <v>14351</v>
      </c>
      <c r="G488" s="13" t="s">
        <v>5510</v>
      </c>
      <c r="H488" s="13" t="s">
        <v>5510</v>
      </c>
      <c r="I488" s="13" t="s">
        <v>1534</v>
      </c>
      <c r="J488" s="13" t="s">
        <v>5919</v>
      </c>
      <c r="K488" s="13" t="s">
        <v>5510</v>
      </c>
      <c r="L488" s="13" t="s">
        <v>5510</v>
      </c>
      <c r="M488" s="13" t="s">
        <v>5513</v>
      </c>
      <c r="N488" s="13" t="s">
        <v>5514</v>
      </c>
      <c r="O488" s="13" t="s">
        <v>5510</v>
      </c>
      <c r="P488" s="13" t="s">
        <v>5510</v>
      </c>
      <c r="Q488" s="13" t="s">
        <v>5510</v>
      </c>
      <c r="R488" s="13" t="s">
        <v>5510</v>
      </c>
      <c r="S488" s="13" t="s">
        <v>5510</v>
      </c>
      <c r="T488" s="13" t="s">
        <v>14352</v>
      </c>
      <c r="U488" s="13" t="s">
        <v>14353</v>
      </c>
      <c r="V488" s="13" t="s">
        <v>14354</v>
      </c>
      <c r="W488" s="13" t="s">
        <v>14355</v>
      </c>
      <c r="X488" s="13" t="s">
        <v>14356</v>
      </c>
      <c r="Y488" s="13" t="s">
        <v>14357</v>
      </c>
      <c r="Z488" s="13" t="s">
        <v>14358</v>
      </c>
      <c r="AA488" s="13" t="s">
        <v>14359</v>
      </c>
      <c r="AB488" s="13" t="s">
        <v>5510</v>
      </c>
      <c r="AC488" s="13" t="s">
        <v>14360</v>
      </c>
      <c r="AD488" s="13" t="s">
        <v>14361</v>
      </c>
      <c r="AE488" s="13" t="s">
        <v>14362</v>
      </c>
      <c r="AF488" s="13" t="s">
        <v>5510</v>
      </c>
      <c r="AG488" s="13">
        <v>85.0</v>
      </c>
      <c r="AH488" s="13">
        <v>114.0</v>
      </c>
      <c r="AI488" s="13">
        <v>151.0</v>
      </c>
      <c r="AJ488" s="13">
        <v>4.0</v>
      </c>
      <c r="AK488" s="13">
        <v>130.0</v>
      </c>
      <c r="AL488" s="13" t="s">
        <v>5931</v>
      </c>
      <c r="AM488" s="13" t="s">
        <v>5932</v>
      </c>
      <c r="AN488" s="13" t="s">
        <v>5933</v>
      </c>
      <c r="AO488" s="13" t="s">
        <v>5934</v>
      </c>
      <c r="AP488" s="13" t="s">
        <v>5935</v>
      </c>
      <c r="AQ488" s="13" t="s">
        <v>5510</v>
      </c>
      <c r="AR488" s="13" t="s">
        <v>5936</v>
      </c>
      <c r="AS488" s="13" t="s">
        <v>5937</v>
      </c>
      <c r="AT488" s="13" t="s">
        <v>2514</v>
      </c>
      <c r="AU488" s="13">
        <v>2008.0</v>
      </c>
      <c r="AV488" s="13">
        <v>141.0</v>
      </c>
      <c r="AW488" s="13">
        <v>10.0</v>
      </c>
      <c r="AX488" s="13" t="s">
        <v>5510</v>
      </c>
      <c r="AY488" s="13" t="s">
        <v>5510</v>
      </c>
      <c r="AZ488" s="13" t="s">
        <v>5510</v>
      </c>
      <c r="BA488" s="13" t="s">
        <v>5510</v>
      </c>
      <c r="BB488" s="13">
        <v>2550.0</v>
      </c>
      <c r="BC488" s="13">
        <v>2563.0</v>
      </c>
      <c r="BD488" s="13" t="s">
        <v>5510</v>
      </c>
      <c r="BE488" s="13" t="s">
        <v>14363</v>
      </c>
      <c r="BF488" s="52" t="str">
        <f>HYPERLINK("http://dx.doi.org/10.1016/j.biocon.2008.07.016","http://dx.doi.org/10.1016/j.biocon.2008.07.016")</f>
        <v>http://dx.doi.org/10.1016/j.biocon.2008.07.016</v>
      </c>
      <c r="BG488" s="13" t="s">
        <v>5510</v>
      </c>
      <c r="BH488" s="13" t="s">
        <v>5510</v>
      </c>
      <c r="BI488" s="13">
        <v>14.0</v>
      </c>
      <c r="BJ488" s="13" t="s">
        <v>5698</v>
      </c>
      <c r="BK488" s="13" t="s">
        <v>5561</v>
      </c>
      <c r="BL488" s="13" t="s">
        <v>5699</v>
      </c>
      <c r="BM488" s="13" t="s">
        <v>14364</v>
      </c>
      <c r="BN488" s="13" t="s">
        <v>5510</v>
      </c>
      <c r="BO488" s="13" t="s">
        <v>5510</v>
      </c>
      <c r="BP488" s="13" t="s">
        <v>5510</v>
      </c>
      <c r="BQ488" s="13" t="s">
        <v>5510</v>
      </c>
      <c r="BR488" s="13" t="s">
        <v>5538</v>
      </c>
      <c r="BS488" s="13" t="s">
        <v>14365</v>
      </c>
      <c r="BT488" s="13">
        <v>23256.0</v>
      </c>
      <c r="BU488" s="13" t="s">
        <v>5540</v>
      </c>
      <c r="BV488" s="13" t="s">
        <v>4856</v>
      </c>
      <c r="BW488" s="13" t="str">
        <f>VLOOKUP($BT488,Enriched!$A$2:$E$1070,5,false)</f>
        <v>["Transportation &amp; Service Corridors"]</v>
      </c>
      <c r="BX488" s="13" t="str">
        <f>VLOOKUP($BT488,Enriched!$A$2:$E$1070,4,false)</f>
        <v>["Roads &amp; railroads"]</v>
      </c>
      <c r="BY488" s="13" t="b">
        <f>VLOOKUP(BT488,Enriched!$A$1:$AA$1070,27,falsE)</f>
        <v>0</v>
      </c>
      <c r="BZ488" s="2" t="str">
        <f>VLOOKUP(BT488,Enriched!$A$1:$AA$1070,14,falsE)</f>
        <v>level2</v>
      </c>
      <c r="CA488" s="13" t="str">
        <f>HYPERLINK("https%3A%2F%2Fwww.webofscience.com%2Fwos%2Fwoscc%2Ffull-record%2FWOS:000260568300012","View Full Record in Web of Science")</f>
        <v>View Full Record in Web of Science</v>
      </c>
    </row>
    <row r="489" ht="12.75" customHeight="1">
      <c r="A489" s="13" t="s">
        <v>5508</v>
      </c>
      <c r="B489" s="13" t="s">
        <v>14366</v>
      </c>
      <c r="C489" s="13" t="s">
        <v>5510</v>
      </c>
      <c r="D489" s="13" t="s">
        <v>5510</v>
      </c>
      <c r="E489" s="13" t="s">
        <v>5510</v>
      </c>
      <c r="F489" s="13" t="s">
        <v>14367</v>
      </c>
      <c r="G489" s="13" t="s">
        <v>5510</v>
      </c>
      <c r="H489" s="13" t="s">
        <v>5510</v>
      </c>
      <c r="I489" s="13" t="s">
        <v>1532</v>
      </c>
      <c r="J489" s="13" t="s">
        <v>46</v>
      </c>
      <c r="K489" s="13" t="s">
        <v>5510</v>
      </c>
      <c r="L489" s="13" t="s">
        <v>5510</v>
      </c>
      <c r="M489" s="13" t="s">
        <v>5513</v>
      </c>
      <c r="N489" s="13" t="s">
        <v>5514</v>
      </c>
      <c r="O489" s="13" t="s">
        <v>5510</v>
      </c>
      <c r="P489" s="13" t="s">
        <v>5510</v>
      </c>
      <c r="Q489" s="13" t="s">
        <v>5510</v>
      </c>
      <c r="R489" s="13" t="s">
        <v>5510</v>
      </c>
      <c r="S489" s="13" t="s">
        <v>5510</v>
      </c>
      <c r="T489" s="13" t="s">
        <v>14368</v>
      </c>
      <c r="U489" s="13" t="s">
        <v>14369</v>
      </c>
      <c r="V489" s="13" t="s">
        <v>14370</v>
      </c>
      <c r="W489" s="13" t="s">
        <v>14371</v>
      </c>
      <c r="X489" s="13" t="s">
        <v>14372</v>
      </c>
      <c r="Y489" s="13" t="s">
        <v>14373</v>
      </c>
      <c r="Z489" s="13" t="s">
        <v>14374</v>
      </c>
      <c r="AA489" s="13" t="s">
        <v>14375</v>
      </c>
      <c r="AB489" s="13" t="s">
        <v>14376</v>
      </c>
      <c r="AC489" s="13" t="s">
        <v>14377</v>
      </c>
      <c r="AD489" s="13" t="s">
        <v>14377</v>
      </c>
      <c r="AE489" s="13" t="s">
        <v>14378</v>
      </c>
      <c r="AF489" s="13" t="s">
        <v>5510</v>
      </c>
      <c r="AG489" s="13">
        <v>57.0</v>
      </c>
      <c r="AH489" s="13">
        <v>12.0</v>
      </c>
      <c r="AI489" s="13">
        <v>14.0</v>
      </c>
      <c r="AJ489" s="13">
        <v>0.0</v>
      </c>
      <c r="AK489" s="13">
        <v>12.0</v>
      </c>
      <c r="AL489" s="13" t="s">
        <v>7065</v>
      </c>
      <c r="AM489" s="13" t="s">
        <v>13281</v>
      </c>
      <c r="AN489" s="13" t="s">
        <v>13282</v>
      </c>
      <c r="AO489" s="13" t="s">
        <v>7734</v>
      </c>
      <c r="AP489" s="13" t="s">
        <v>7735</v>
      </c>
      <c r="AQ489" s="13" t="s">
        <v>5510</v>
      </c>
      <c r="AR489" s="13" t="s">
        <v>46</v>
      </c>
      <c r="AS489" s="13" t="s">
        <v>1196</v>
      </c>
      <c r="AT489" s="13" t="s">
        <v>1453</v>
      </c>
      <c r="AU489" s="13">
        <v>2020.0</v>
      </c>
      <c r="AV489" s="13">
        <v>54.0</v>
      </c>
      <c r="AW489" s="13">
        <v>6.0</v>
      </c>
      <c r="AX489" s="13" t="s">
        <v>5510</v>
      </c>
      <c r="AY489" s="13" t="s">
        <v>5510</v>
      </c>
      <c r="AZ489" s="13" t="s">
        <v>5510</v>
      </c>
      <c r="BA489" s="13" t="s">
        <v>5510</v>
      </c>
      <c r="BB489" s="13">
        <v>767.0</v>
      </c>
      <c r="BC489" s="13">
        <v>775.0</v>
      </c>
      <c r="BD489" s="13" t="s">
        <v>14379</v>
      </c>
      <c r="BE489" s="13" t="s">
        <v>14380</v>
      </c>
      <c r="BF489" s="52" t="str">
        <f>HYPERLINK("http://dx.doi.org/10.1017/S0030605318001515","http://dx.doi.org/10.1017/S0030605318001515")</f>
        <v>http://dx.doi.org/10.1017/S0030605318001515</v>
      </c>
      <c r="BG489" s="13" t="s">
        <v>5510</v>
      </c>
      <c r="BH489" s="13" t="s">
        <v>5510</v>
      </c>
      <c r="BI489" s="13">
        <v>9.0</v>
      </c>
      <c r="BJ489" s="13" t="s">
        <v>5958</v>
      </c>
      <c r="BK489" s="13" t="s">
        <v>5561</v>
      </c>
      <c r="BL489" s="13" t="s">
        <v>5699</v>
      </c>
      <c r="BM489" s="13" t="s">
        <v>13285</v>
      </c>
      <c r="BN489" s="13" t="s">
        <v>5510</v>
      </c>
      <c r="BO489" s="13" t="s">
        <v>5809</v>
      </c>
      <c r="BP489" s="13" t="s">
        <v>5510</v>
      </c>
      <c r="BQ489" s="13" t="s">
        <v>5510</v>
      </c>
      <c r="BR489" s="13" t="s">
        <v>5538</v>
      </c>
      <c r="BS489" s="13" t="s">
        <v>14381</v>
      </c>
      <c r="BT489" s="13">
        <v>25716.0</v>
      </c>
      <c r="BU489" s="13" t="s">
        <v>5540</v>
      </c>
      <c r="BV489" s="13" t="s">
        <v>4856</v>
      </c>
      <c r="BW489" s="13" t="str">
        <f>VLOOKUP($BT489,Enriched!$A$2:$E$1070,5,false)</f>
        <v>["Biological resource use"]</v>
      </c>
      <c r="BX489" s="13" t="str">
        <f>VLOOKUP($BT489,Enriched!$A$2:$E$1070,4,false)</f>
        <v>["Hunting &amp; collecting terrestrial animals"]</v>
      </c>
      <c r="BY489" s="13" t="b">
        <f>VLOOKUP(BT489,Enriched!$A$1:$AA$1070,27,falsE)</f>
        <v>0</v>
      </c>
      <c r="BZ489" s="2" t="str">
        <f>VLOOKUP(BT489,Enriched!$A$1:$AA$1070,14,falsE)</f>
        <v>level2</v>
      </c>
      <c r="CA489" s="13" t="str">
        <f>HYPERLINK("https%3A%2F%2Fwww.webofscience.com%2Fwos%2Fwoscc%2Ffull-record%2FWOS:000584374400008","View Full Record in Web of Science")</f>
        <v>View Full Record in Web of Science</v>
      </c>
    </row>
    <row r="490" ht="12.75" customHeight="1">
      <c r="A490" s="13" t="s">
        <v>5508</v>
      </c>
      <c r="B490" s="13" t="s">
        <v>14382</v>
      </c>
      <c r="C490" s="13" t="s">
        <v>5510</v>
      </c>
      <c r="D490" s="13" t="s">
        <v>5510</v>
      </c>
      <c r="E490" s="13" t="s">
        <v>5510</v>
      </c>
      <c r="F490" s="13" t="s">
        <v>14383</v>
      </c>
      <c r="G490" s="13" t="s">
        <v>5510</v>
      </c>
      <c r="H490" s="13" t="s">
        <v>5510</v>
      </c>
      <c r="I490" s="13" t="s">
        <v>1529</v>
      </c>
      <c r="J490" s="13" t="s">
        <v>6114</v>
      </c>
      <c r="K490" s="13" t="s">
        <v>5510</v>
      </c>
      <c r="L490" s="13" t="s">
        <v>5510</v>
      </c>
      <c r="M490" s="13" t="s">
        <v>5513</v>
      </c>
      <c r="N490" s="13" t="s">
        <v>5514</v>
      </c>
      <c r="O490" s="13" t="s">
        <v>5510</v>
      </c>
      <c r="P490" s="13" t="s">
        <v>5510</v>
      </c>
      <c r="Q490" s="13" t="s">
        <v>5510</v>
      </c>
      <c r="R490" s="13" t="s">
        <v>5510</v>
      </c>
      <c r="S490" s="13" t="s">
        <v>5510</v>
      </c>
      <c r="T490" s="13" t="s">
        <v>5510</v>
      </c>
      <c r="U490" s="13" t="s">
        <v>14384</v>
      </c>
      <c r="V490" s="13" t="s">
        <v>14385</v>
      </c>
      <c r="W490" s="13" t="s">
        <v>14386</v>
      </c>
      <c r="X490" s="13" t="s">
        <v>14387</v>
      </c>
      <c r="Y490" s="13" t="s">
        <v>14388</v>
      </c>
      <c r="Z490" s="13" t="s">
        <v>14389</v>
      </c>
      <c r="AA490" s="13" t="s">
        <v>14390</v>
      </c>
      <c r="AB490" s="13" t="s">
        <v>14391</v>
      </c>
      <c r="AC490" s="13" t="s">
        <v>14392</v>
      </c>
      <c r="AD490" s="13" t="s">
        <v>14393</v>
      </c>
      <c r="AE490" s="13" t="s">
        <v>14394</v>
      </c>
      <c r="AF490" s="13" t="s">
        <v>5510</v>
      </c>
      <c r="AG490" s="13">
        <v>52.0</v>
      </c>
      <c r="AH490" s="13">
        <v>31.0</v>
      </c>
      <c r="AI490" s="13">
        <v>34.0</v>
      </c>
      <c r="AJ490" s="13">
        <v>0.0</v>
      </c>
      <c r="AK490" s="13">
        <v>49.0</v>
      </c>
      <c r="AL490" s="13" t="s">
        <v>5931</v>
      </c>
      <c r="AM490" s="13" t="s">
        <v>5932</v>
      </c>
      <c r="AN490" s="13" t="s">
        <v>5933</v>
      </c>
      <c r="AO490" s="13" t="s">
        <v>6127</v>
      </c>
      <c r="AP490" s="13" t="s">
        <v>6128</v>
      </c>
      <c r="AQ490" s="13" t="s">
        <v>5510</v>
      </c>
      <c r="AR490" s="13" t="s">
        <v>6129</v>
      </c>
      <c r="AS490" s="13" t="s">
        <v>6130</v>
      </c>
      <c r="AT490" s="13" t="s">
        <v>6828</v>
      </c>
      <c r="AU490" s="13">
        <v>2013.0</v>
      </c>
      <c r="AV490" s="13">
        <v>75.0</v>
      </c>
      <c r="AW490" s="13" t="s">
        <v>5510</v>
      </c>
      <c r="AX490" s="13" t="s">
        <v>5510</v>
      </c>
      <c r="AY490" s="13" t="s">
        <v>5510</v>
      </c>
      <c r="AZ490" s="13" t="s">
        <v>5510</v>
      </c>
      <c r="BA490" s="13" t="s">
        <v>5510</v>
      </c>
      <c r="BB490" s="13">
        <v>63.0</v>
      </c>
      <c r="BC490" s="13">
        <v>71.0</v>
      </c>
      <c r="BD490" s="13" t="s">
        <v>5510</v>
      </c>
      <c r="BE490" s="13" t="s">
        <v>14395</v>
      </c>
      <c r="BF490" s="52" t="str">
        <f>HYPERLINK("http://dx.doi.org/10.1016/j.ocecoaman.2013.02.006","http://dx.doi.org/10.1016/j.ocecoaman.2013.02.006")</f>
        <v>http://dx.doi.org/10.1016/j.ocecoaman.2013.02.006</v>
      </c>
      <c r="BG490" s="13" t="s">
        <v>5510</v>
      </c>
      <c r="BH490" s="13" t="s">
        <v>5510</v>
      </c>
      <c r="BI490" s="13">
        <v>9.0</v>
      </c>
      <c r="BJ490" s="13" t="s">
        <v>6133</v>
      </c>
      <c r="BK490" s="13" t="s">
        <v>5561</v>
      </c>
      <c r="BL490" s="13" t="s">
        <v>6133</v>
      </c>
      <c r="BM490" s="13" t="s">
        <v>14396</v>
      </c>
      <c r="BN490" s="13" t="s">
        <v>5510</v>
      </c>
      <c r="BO490" s="13" t="s">
        <v>5510</v>
      </c>
      <c r="BP490" s="13" t="s">
        <v>5510</v>
      </c>
      <c r="BQ490" s="13" t="s">
        <v>5510</v>
      </c>
      <c r="BR490" s="13" t="s">
        <v>5538</v>
      </c>
      <c r="BS490" s="13" t="s">
        <v>14397</v>
      </c>
      <c r="BT490" s="13">
        <v>24710.0</v>
      </c>
      <c r="BU490" s="13" t="s">
        <v>5540</v>
      </c>
      <c r="BV490" s="13" t="s">
        <v>4864</v>
      </c>
      <c r="BW490" s="13" t="str">
        <f>VLOOKUP($BT490,Enriched!$A$2:$E$1070,5,false)</f>
        <v>["Residential &amp; Commercial Development", "Energy Production &amp; Mining", "Transportation &amp; Service Corridors"]</v>
      </c>
      <c r="BX490" s="13" t="str">
        <f>VLOOKUP($BT490,Enriched!$A$2:$E$1070,4,false)</f>
        <v>["Commercial &amp; industrial areas", "Oil &amp; gas drilling", "Shipping lanes"]</v>
      </c>
      <c r="BY490" s="13" t="b">
        <f>VLOOKUP(BT490,Enriched!$A$1:$AA$1070,27,falsE)</f>
        <v>0</v>
      </c>
      <c r="BZ490" s="2" t="str">
        <f>VLOOKUP(BT490,Enriched!$A$1:$AA$1070,14,falsE)</f>
        <v>level2</v>
      </c>
      <c r="CA490" s="13" t="str">
        <f>HYPERLINK("https%3A%2F%2Fwww.webofscience.com%2Fwos%2Fwoscc%2Ffull-record%2FWOS:000317377600007","View Full Record in Web of Science")</f>
        <v>View Full Record in Web of Science</v>
      </c>
    </row>
    <row r="491" ht="12.75" customHeight="1">
      <c r="A491" s="13" t="s">
        <v>5508</v>
      </c>
      <c r="B491" s="13" t="s">
        <v>14398</v>
      </c>
      <c r="C491" s="13" t="s">
        <v>5510</v>
      </c>
      <c r="D491" s="13" t="s">
        <v>5510</v>
      </c>
      <c r="E491" s="13" t="s">
        <v>5510</v>
      </c>
      <c r="F491" s="13" t="s">
        <v>14399</v>
      </c>
      <c r="G491" s="13" t="s">
        <v>5510</v>
      </c>
      <c r="H491" s="13" t="s">
        <v>5510</v>
      </c>
      <c r="I491" s="13" t="s">
        <v>1527</v>
      </c>
      <c r="J491" s="13" t="s">
        <v>12511</v>
      </c>
      <c r="K491" s="13" t="s">
        <v>5510</v>
      </c>
      <c r="L491" s="13" t="s">
        <v>5510</v>
      </c>
      <c r="M491" s="13" t="s">
        <v>5513</v>
      </c>
      <c r="N491" s="13" t="s">
        <v>5514</v>
      </c>
      <c r="O491" s="13" t="s">
        <v>5510</v>
      </c>
      <c r="P491" s="13" t="s">
        <v>5510</v>
      </c>
      <c r="Q491" s="13" t="s">
        <v>5510</v>
      </c>
      <c r="R491" s="13" t="s">
        <v>5510</v>
      </c>
      <c r="S491" s="13" t="s">
        <v>5510</v>
      </c>
      <c r="T491" s="13" t="s">
        <v>14400</v>
      </c>
      <c r="U491" s="13" t="s">
        <v>14401</v>
      </c>
      <c r="V491" s="13" t="s">
        <v>14402</v>
      </c>
      <c r="W491" s="13" t="s">
        <v>14403</v>
      </c>
      <c r="X491" s="13" t="s">
        <v>14404</v>
      </c>
      <c r="Y491" s="13" t="s">
        <v>14405</v>
      </c>
      <c r="Z491" s="13" t="s">
        <v>14406</v>
      </c>
      <c r="AA491" s="13" t="s">
        <v>14407</v>
      </c>
      <c r="AB491" s="13" t="s">
        <v>14408</v>
      </c>
      <c r="AC491" s="13" t="s">
        <v>14409</v>
      </c>
      <c r="AD491" s="13" t="s">
        <v>14409</v>
      </c>
      <c r="AE491" s="13" t="s">
        <v>14410</v>
      </c>
      <c r="AF491" s="13" t="s">
        <v>5510</v>
      </c>
      <c r="AG491" s="13">
        <v>79.0</v>
      </c>
      <c r="AH491" s="13">
        <v>3.0</v>
      </c>
      <c r="AI491" s="13">
        <v>5.0</v>
      </c>
      <c r="AJ491" s="13">
        <v>0.0</v>
      </c>
      <c r="AK491" s="13">
        <v>26.0</v>
      </c>
      <c r="AL491" s="13" t="s">
        <v>6849</v>
      </c>
      <c r="AM491" s="13" t="s">
        <v>6850</v>
      </c>
      <c r="AN491" s="13" t="s">
        <v>6851</v>
      </c>
      <c r="AO491" s="13" t="s">
        <v>5510</v>
      </c>
      <c r="AP491" s="13" t="s">
        <v>12524</v>
      </c>
      <c r="AQ491" s="13" t="s">
        <v>5510</v>
      </c>
      <c r="AR491" s="13" t="s">
        <v>12525</v>
      </c>
      <c r="AS491" s="13" t="s">
        <v>805</v>
      </c>
      <c r="AT491" s="13" t="s">
        <v>1925</v>
      </c>
      <c r="AU491" s="13">
        <v>2020.0</v>
      </c>
      <c r="AV491" s="13">
        <v>9.0</v>
      </c>
      <c r="AW491" s="13">
        <v>9.0</v>
      </c>
      <c r="AX491" s="13" t="s">
        <v>5510</v>
      </c>
      <c r="AY491" s="13" t="s">
        <v>5510</v>
      </c>
      <c r="AZ491" s="13" t="s">
        <v>5510</v>
      </c>
      <c r="BA491" s="13" t="s">
        <v>5510</v>
      </c>
      <c r="BB491" s="13" t="s">
        <v>5510</v>
      </c>
      <c r="BC491" s="13" t="s">
        <v>5510</v>
      </c>
      <c r="BD491" s="13">
        <v>313.0</v>
      </c>
      <c r="BE491" s="13" t="s">
        <v>14411</v>
      </c>
      <c r="BF491" s="52" t="str">
        <f>HYPERLINK("http://dx.doi.org/10.3390/land9090313","http://dx.doi.org/10.3390/land9090313")</f>
        <v>http://dx.doi.org/10.3390/land9090313</v>
      </c>
      <c r="BG491" s="13" t="s">
        <v>5510</v>
      </c>
      <c r="BH491" s="13" t="s">
        <v>5510</v>
      </c>
      <c r="BI491" s="13">
        <v>34.0</v>
      </c>
      <c r="BJ491" s="13" t="s">
        <v>12528</v>
      </c>
      <c r="BK491" s="13" t="s">
        <v>8375</v>
      </c>
      <c r="BL491" s="13" t="s">
        <v>5535</v>
      </c>
      <c r="BM491" s="13" t="s">
        <v>14412</v>
      </c>
      <c r="BN491" s="13" t="s">
        <v>5510</v>
      </c>
      <c r="BO491" s="13" t="s">
        <v>5564</v>
      </c>
      <c r="BP491" s="13" t="s">
        <v>5510</v>
      </c>
      <c r="BQ491" s="13" t="s">
        <v>5510</v>
      </c>
      <c r="BR491" s="13" t="s">
        <v>5538</v>
      </c>
      <c r="BS491" s="13" t="s">
        <v>14413</v>
      </c>
      <c r="BT491" s="13">
        <v>23534.0</v>
      </c>
      <c r="BU491" s="13" t="s">
        <v>5540</v>
      </c>
      <c r="BV491" s="13" t="s">
        <v>4856</v>
      </c>
      <c r="BW491" s="13" t="str">
        <f>VLOOKUP($BT491,Enriched!$A$2:$E$1070,5,false)</f>
        <v>["Transportation &amp; Service Corridors"]</v>
      </c>
      <c r="BX491" s="13" t="str">
        <f>VLOOKUP($BT491,Enriched!$A$2:$E$1070,4,false)</f>
        <v>["Roads &amp; railroads"]</v>
      </c>
      <c r="BY491" s="13" t="b">
        <f>VLOOKUP(BT491,Enriched!$A$1:$AA$1070,27,falsE)</f>
        <v>0</v>
      </c>
      <c r="BZ491" s="2" t="str">
        <f>VLOOKUP(BT491,Enriched!$A$1:$AA$1070,14,falsE)</f>
        <v>level2</v>
      </c>
      <c r="CA491" s="13" t="str">
        <f>HYPERLINK("https%3A%2F%2Fwww.webofscience.com%2Fwos%2Fwoscc%2Ffull-record%2FWOS:000581378600001","View Full Record in Web of Science")</f>
        <v>View Full Record in Web of Science</v>
      </c>
    </row>
    <row r="492" ht="12.75" customHeight="1">
      <c r="A492" s="13" t="s">
        <v>5508</v>
      </c>
      <c r="B492" s="13" t="s">
        <v>14414</v>
      </c>
      <c r="C492" s="13" t="s">
        <v>5510</v>
      </c>
      <c r="D492" s="13" t="s">
        <v>5510</v>
      </c>
      <c r="E492" s="13" t="s">
        <v>5510</v>
      </c>
      <c r="F492" s="13" t="s">
        <v>14415</v>
      </c>
      <c r="G492" s="13" t="s">
        <v>5510</v>
      </c>
      <c r="H492" s="13" t="s">
        <v>5510</v>
      </c>
      <c r="I492" s="2" t="s">
        <v>1525</v>
      </c>
      <c r="J492" s="13" t="s">
        <v>5543</v>
      </c>
      <c r="K492" s="13" t="s">
        <v>5510</v>
      </c>
      <c r="L492" s="13" t="s">
        <v>5510</v>
      </c>
      <c r="M492" s="13" t="s">
        <v>5513</v>
      </c>
      <c r="N492" s="13" t="s">
        <v>6168</v>
      </c>
      <c r="O492" s="13" t="s">
        <v>5510</v>
      </c>
      <c r="P492" s="13" t="s">
        <v>5510</v>
      </c>
      <c r="Q492" s="13" t="s">
        <v>5510</v>
      </c>
      <c r="R492" s="13" t="s">
        <v>5510</v>
      </c>
      <c r="S492" s="13" t="s">
        <v>5510</v>
      </c>
      <c r="T492" s="13" t="s">
        <v>5510</v>
      </c>
      <c r="U492" s="13" t="s">
        <v>5510</v>
      </c>
      <c r="V492" s="13" t="s">
        <v>5510</v>
      </c>
      <c r="W492" s="13" t="s">
        <v>5510</v>
      </c>
      <c r="X492" s="13" t="s">
        <v>5510</v>
      </c>
      <c r="Y492" s="13" t="s">
        <v>5510</v>
      </c>
      <c r="Z492" s="13" t="s">
        <v>5510</v>
      </c>
      <c r="AA492" s="13" t="s">
        <v>14416</v>
      </c>
      <c r="AB492" s="13" t="s">
        <v>14417</v>
      </c>
      <c r="AC492" s="13" t="s">
        <v>5510</v>
      </c>
      <c r="AD492" s="13" t="s">
        <v>5510</v>
      </c>
      <c r="AE492" s="13" t="s">
        <v>5510</v>
      </c>
      <c r="AF492" s="13" t="s">
        <v>5510</v>
      </c>
      <c r="AG492" s="13">
        <v>1.0</v>
      </c>
      <c r="AH492" s="13">
        <v>2.0</v>
      </c>
      <c r="AI492" s="13">
        <v>2.0</v>
      </c>
      <c r="AJ492" s="13">
        <v>0.0</v>
      </c>
      <c r="AK492" s="13">
        <v>14.0</v>
      </c>
      <c r="AL492" s="13" t="s">
        <v>5552</v>
      </c>
      <c r="AM492" s="13" t="s">
        <v>5553</v>
      </c>
      <c r="AN492" s="13" t="s">
        <v>5554</v>
      </c>
      <c r="AO492" s="13" t="s">
        <v>5555</v>
      </c>
      <c r="AP492" s="13" t="s">
        <v>5510</v>
      </c>
      <c r="AQ492" s="13" t="s">
        <v>5510</v>
      </c>
      <c r="AR492" s="13" t="s">
        <v>5543</v>
      </c>
      <c r="AS492" s="13" t="s">
        <v>5556</v>
      </c>
      <c r="AT492" s="13" t="s">
        <v>6325</v>
      </c>
      <c r="AU492" s="13">
        <v>2014.0</v>
      </c>
      <c r="AV492" s="13">
        <v>9.0</v>
      </c>
      <c r="AW492" s="13">
        <v>11.0</v>
      </c>
      <c r="AX492" s="13" t="s">
        <v>5510</v>
      </c>
      <c r="AY492" s="13" t="s">
        <v>5510</v>
      </c>
      <c r="AZ492" s="13" t="s">
        <v>5510</v>
      </c>
      <c r="BA492" s="13" t="s">
        <v>5510</v>
      </c>
      <c r="BB492" s="13" t="s">
        <v>5510</v>
      </c>
      <c r="BC492" s="13" t="s">
        <v>5510</v>
      </c>
      <c r="BD492" s="13" t="s">
        <v>14418</v>
      </c>
      <c r="BE492" s="13" t="s">
        <v>14419</v>
      </c>
      <c r="BF492" s="52" t="str">
        <f>HYPERLINK("http://dx.doi.org/10.1371/journal.pone.0114362","http://dx.doi.org/10.1371/journal.pone.0114362")</f>
        <v>http://dx.doi.org/10.1371/journal.pone.0114362</v>
      </c>
      <c r="BG492" s="13" t="s">
        <v>5510</v>
      </c>
      <c r="BH492" s="13" t="s">
        <v>5510</v>
      </c>
      <c r="BI492" s="13">
        <v>1.0</v>
      </c>
      <c r="BJ492" s="13" t="s">
        <v>5560</v>
      </c>
      <c r="BK492" s="13" t="s">
        <v>5561</v>
      </c>
      <c r="BL492" s="13" t="s">
        <v>5562</v>
      </c>
      <c r="BM492" s="13" t="s">
        <v>8414</v>
      </c>
      <c r="BN492" s="13" t="s">
        <v>5510</v>
      </c>
      <c r="BO492" s="13" t="s">
        <v>5564</v>
      </c>
      <c r="BP492" s="13" t="s">
        <v>5510</v>
      </c>
      <c r="BQ492" s="13" t="s">
        <v>5510</v>
      </c>
      <c r="BR492" s="13" t="s">
        <v>5538</v>
      </c>
      <c r="BS492" s="13" t="s">
        <v>14420</v>
      </c>
      <c r="BT492" s="13">
        <v>23828.0</v>
      </c>
      <c r="BU492" s="13" t="s">
        <v>5540</v>
      </c>
      <c r="BV492" s="13" t="s">
        <v>4864</v>
      </c>
      <c r="BW492" s="13" t="str">
        <f>VLOOKUP($BT492,Enriched!$A$2:$E$1070,5,false)</f>
        <v>["Transportation &amp; Service Corridors"]</v>
      </c>
      <c r="BX492" s="13" t="str">
        <f>VLOOKUP($BT492,Enriched!$A$2:$E$1070,4,false)</f>
        <v>["Shipping lanes"]</v>
      </c>
      <c r="BY492" s="13" t="b">
        <f>VLOOKUP(BT492,Enriched!$A$1:$AA$1070,27,falsE)</f>
        <v>0</v>
      </c>
      <c r="BZ492" s="2" t="str">
        <f>VLOOKUP(BT492,Enriched!$A$1:$AA$1070,14,falsE)</f>
        <v>level2</v>
      </c>
      <c r="CA492" s="13" t="str">
        <f>HYPERLINK("https%3A%2F%2Fwww.webofscience.com%2Fwos%2Fwoscc%2Ffull-record%2FWOS:000349145400115","View Full Record in Web of Science")</f>
        <v>View Full Record in Web of Science</v>
      </c>
    </row>
    <row r="493" ht="12.75" customHeight="1">
      <c r="A493" s="13" t="s">
        <v>5508</v>
      </c>
      <c r="B493" s="13" t="s">
        <v>14421</v>
      </c>
      <c r="C493" s="13" t="s">
        <v>5510</v>
      </c>
      <c r="D493" s="13" t="s">
        <v>5510</v>
      </c>
      <c r="E493" s="13" t="s">
        <v>5510</v>
      </c>
      <c r="F493" s="13" t="s">
        <v>14422</v>
      </c>
      <c r="G493" s="13" t="s">
        <v>5510</v>
      </c>
      <c r="H493" s="13" t="s">
        <v>5510</v>
      </c>
      <c r="I493" s="13" t="s">
        <v>14423</v>
      </c>
      <c r="J493" s="13" t="s">
        <v>5543</v>
      </c>
      <c r="K493" s="13" t="s">
        <v>5510</v>
      </c>
      <c r="L493" s="13" t="s">
        <v>5510</v>
      </c>
      <c r="M493" s="13" t="s">
        <v>5513</v>
      </c>
      <c r="N493" s="13" t="s">
        <v>5514</v>
      </c>
      <c r="O493" s="13" t="s">
        <v>5510</v>
      </c>
      <c r="P493" s="13" t="s">
        <v>5510</v>
      </c>
      <c r="Q493" s="13" t="s">
        <v>5510</v>
      </c>
      <c r="R493" s="13" t="s">
        <v>5510</v>
      </c>
      <c r="S493" s="13" t="s">
        <v>5510</v>
      </c>
      <c r="T493" s="13" t="s">
        <v>5510</v>
      </c>
      <c r="U493" s="13" t="s">
        <v>14424</v>
      </c>
      <c r="V493" s="13" t="s">
        <v>14425</v>
      </c>
      <c r="W493" s="13" t="s">
        <v>14426</v>
      </c>
      <c r="X493" s="13" t="s">
        <v>14427</v>
      </c>
      <c r="Y493" s="13" t="s">
        <v>14428</v>
      </c>
      <c r="Z493" s="13" t="s">
        <v>14429</v>
      </c>
      <c r="AA493" s="13" t="s">
        <v>14430</v>
      </c>
      <c r="AB493" s="13" t="s">
        <v>14431</v>
      </c>
      <c r="AC493" s="13" t="s">
        <v>14432</v>
      </c>
      <c r="AD493" s="13" t="s">
        <v>14433</v>
      </c>
      <c r="AE493" s="13" t="s">
        <v>14434</v>
      </c>
      <c r="AF493" s="13" t="s">
        <v>5510</v>
      </c>
      <c r="AG493" s="13">
        <v>68.0</v>
      </c>
      <c r="AH493" s="13">
        <v>70.0</v>
      </c>
      <c r="AI493" s="13">
        <v>75.0</v>
      </c>
      <c r="AJ493" s="13">
        <v>3.0</v>
      </c>
      <c r="AK493" s="13">
        <v>100.0</v>
      </c>
      <c r="AL493" s="13" t="s">
        <v>5552</v>
      </c>
      <c r="AM493" s="13" t="s">
        <v>5553</v>
      </c>
      <c r="AN493" s="13" t="s">
        <v>5554</v>
      </c>
      <c r="AO493" s="13" t="s">
        <v>5555</v>
      </c>
      <c r="AP493" s="13" t="s">
        <v>5510</v>
      </c>
      <c r="AQ493" s="13" t="s">
        <v>5510</v>
      </c>
      <c r="AR493" s="13" t="s">
        <v>5543</v>
      </c>
      <c r="AS493" s="13" t="s">
        <v>5556</v>
      </c>
      <c r="AT493" s="13" t="s">
        <v>14435</v>
      </c>
      <c r="AU493" s="13">
        <v>2014.0</v>
      </c>
      <c r="AV493" s="13">
        <v>9.0</v>
      </c>
      <c r="AW493" s="13">
        <v>3.0</v>
      </c>
      <c r="AX493" s="13" t="s">
        <v>5510</v>
      </c>
      <c r="AY493" s="13" t="s">
        <v>5510</v>
      </c>
      <c r="AZ493" s="13" t="s">
        <v>5510</v>
      </c>
      <c r="BA493" s="13" t="s">
        <v>5510</v>
      </c>
      <c r="BB493" s="13" t="s">
        <v>5510</v>
      </c>
      <c r="BC493" s="13" t="s">
        <v>5510</v>
      </c>
      <c r="BD493" s="13" t="s">
        <v>14436</v>
      </c>
      <c r="BE493" s="13" t="s">
        <v>14437</v>
      </c>
      <c r="BF493" s="52" t="str">
        <f>HYPERLINK("http://dx.doi.org/10.1371/journal.pone.0089820","http://dx.doi.org/10.1371/journal.pone.0089820")</f>
        <v>http://dx.doi.org/10.1371/journal.pone.0089820</v>
      </c>
      <c r="BG493" s="13" t="s">
        <v>5510</v>
      </c>
      <c r="BH493" s="13" t="s">
        <v>5510</v>
      </c>
      <c r="BI493" s="13">
        <v>10.0</v>
      </c>
      <c r="BJ493" s="13" t="s">
        <v>5560</v>
      </c>
      <c r="BK493" s="13" t="s">
        <v>5561</v>
      </c>
      <c r="BL493" s="13" t="s">
        <v>5562</v>
      </c>
      <c r="BM493" s="13" t="s">
        <v>14438</v>
      </c>
      <c r="BN493" s="13">
        <v>2.4598866E7</v>
      </c>
      <c r="BO493" s="13" t="s">
        <v>5564</v>
      </c>
      <c r="BP493" s="13" t="s">
        <v>5510</v>
      </c>
      <c r="BQ493" s="13" t="s">
        <v>5510</v>
      </c>
      <c r="BR493" s="13" t="s">
        <v>5538</v>
      </c>
      <c r="BS493" s="13" t="s">
        <v>14439</v>
      </c>
      <c r="BT493" s="13">
        <v>23828.0</v>
      </c>
      <c r="BU493" s="13" t="s">
        <v>5540</v>
      </c>
      <c r="BV493" s="13" t="s">
        <v>4864</v>
      </c>
      <c r="BW493" s="13" t="str">
        <f>VLOOKUP($BT493,Enriched!$A$2:$E$1070,5,false)</f>
        <v>["Transportation &amp; Service Corridors"]</v>
      </c>
      <c r="BX493" s="13" t="str">
        <f>VLOOKUP($BT493,Enriched!$A$2:$E$1070,4,false)</f>
        <v>["Shipping lanes"]</v>
      </c>
      <c r="BY493" s="13" t="b">
        <f>VLOOKUP(BT493,Enriched!$A$1:$AA$1070,27,falsE)</f>
        <v>0</v>
      </c>
      <c r="BZ493" s="2" t="str">
        <f>VLOOKUP(BT493,Enriched!$A$1:$AA$1070,14,falsE)</f>
        <v>level2</v>
      </c>
      <c r="CA493" s="13" t="str">
        <f>HYPERLINK("https%3A%2F%2Fwww.webofscience.com%2Fwos%2Fwoscc%2Ffull-record%2FWOS:000332479400029","View Full Record in Web of Science")</f>
        <v>View Full Record in Web of Science</v>
      </c>
    </row>
    <row r="494" ht="12.75" customHeight="1">
      <c r="A494" s="13" t="s">
        <v>5508</v>
      </c>
      <c r="B494" s="13" t="s">
        <v>14440</v>
      </c>
      <c r="C494" s="13" t="s">
        <v>5510</v>
      </c>
      <c r="D494" s="13" t="s">
        <v>5510</v>
      </c>
      <c r="E494" s="13" t="s">
        <v>5510</v>
      </c>
      <c r="F494" s="13" t="s">
        <v>14441</v>
      </c>
      <c r="G494" s="13" t="s">
        <v>5510</v>
      </c>
      <c r="H494" s="13" t="s">
        <v>5510</v>
      </c>
      <c r="I494" s="13" t="s">
        <v>1522</v>
      </c>
      <c r="J494" s="13" t="s">
        <v>6333</v>
      </c>
      <c r="K494" s="13" t="s">
        <v>5510</v>
      </c>
      <c r="L494" s="13" t="s">
        <v>5510</v>
      </c>
      <c r="M494" s="13" t="s">
        <v>5513</v>
      </c>
      <c r="N494" s="13" t="s">
        <v>5514</v>
      </c>
      <c r="O494" s="13" t="s">
        <v>5510</v>
      </c>
      <c r="P494" s="13" t="s">
        <v>5510</v>
      </c>
      <c r="Q494" s="13" t="s">
        <v>5510</v>
      </c>
      <c r="R494" s="13" t="s">
        <v>5510</v>
      </c>
      <c r="S494" s="13" t="s">
        <v>5510</v>
      </c>
      <c r="T494" s="13" t="s">
        <v>14442</v>
      </c>
      <c r="U494" s="13" t="s">
        <v>14443</v>
      </c>
      <c r="V494" s="13" t="s">
        <v>14444</v>
      </c>
      <c r="W494" s="13" t="s">
        <v>14445</v>
      </c>
      <c r="X494" s="13" t="s">
        <v>14446</v>
      </c>
      <c r="Y494" s="13" t="s">
        <v>14447</v>
      </c>
      <c r="Z494" s="13" t="s">
        <v>14448</v>
      </c>
      <c r="AA494" s="13" t="s">
        <v>14449</v>
      </c>
      <c r="AB494" s="13" t="s">
        <v>14450</v>
      </c>
      <c r="AC494" s="13" t="s">
        <v>14451</v>
      </c>
      <c r="AD494" s="13" t="s">
        <v>14451</v>
      </c>
      <c r="AE494" s="13" t="s">
        <v>14452</v>
      </c>
      <c r="AF494" s="13" t="s">
        <v>5510</v>
      </c>
      <c r="AG494" s="13">
        <v>52.0</v>
      </c>
      <c r="AH494" s="13">
        <v>112.0</v>
      </c>
      <c r="AI494" s="13">
        <v>129.0</v>
      </c>
      <c r="AJ494" s="13">
        <v>2.0</v>
      </c>
      <c r="AK494" s="13">
        <v>181.0</v>
      </c>
      <c r="AL494" s="13" t="s">
        <v>5527</v>
      </c>
      <c r="AM494" s="13" t="s">
        <v>5528</v>
      </c>
      <c r="AN494" s="13" t="s">
        <v>5529</v>
      </c>
      <c r="AO494" s="13" t="s">
        <v>6342</v>
      </c>
      <c r="AP494" s="13" t="s">
        <v>6343</v>
      </c>
      <c r="AQ494" s="13" t="s">
        <v>5510</v>
      </c>
      <c r="AR494" s="13" t="s">
        <v>6344</v>
      </c>
      <c r="AS494" s="13" t="s">
        <v>6345</v>
      </c>
      <c r="AT494" s="13" t="s">
        <v>2738</v>
      </c>
      <c r="AU494" s="13">
        <v>2015.0</v>
      </c>
      <c r="AV494" s="13">
        <v>29.0</v>
      </c>
      <c r="AW494" s="13">
        <v>1.0</v>
      </c>
      <c r="AX494" s="13" t="s">
        <v>5510</v>
      </c>
      <c r="AY494" s="13" t="s">
        <v>5510</v>
      </c>
      <c r="AZ494" s="13" t="s">
        <v>5510</v>
      </c>
      <c r="BA494" s="13" t="s">
        <v>5510</v>
      </c>
      <c r="BB494" s="13">
        <v>99.0</v>
      </c>
      <c r="BC494" s="13">
        <v>109.0</v>
      </c>
      <c r="BD494" s="13" t="s">
        <v>5510</v>
      </c>
      <c r="BE494" s="13" t="s">
        <v>14453</v>
      </c>
      <c r="BF494" s="52" t="str">
        <f>HYPERLINK("http://dx.doi.org/10.1111/cobi.12376","http://dx.doi.org/10.1111/cobi.12376")</f>
        <v>http://dx.doi.org/10.1111/cobi.12376</v>
      </c>
      <c r="BG494" s="13" t="s">
        <v>5510</v>
      </c>
      <c r="BH494" s="13" t="s">
        <v>5510</v>
      </c>
      <c r="BI494" s="13">
        <v>11.0</v>
      </c>
      <c r="BJ494" s="13" t="s">
        <v>5698</v>
      </c>
      <c r="BK494" s="13" t="s">
        <v>5561</v>
      </c>
      <c r="BL494" s="13" t="s">
        <v>5699</v>
      </c>
      <c r="BM494" s="13" t="s">
        <v>14454</v>
      </c>
      <c r="BN494" s="13">
        <v>2.5158993E7</v>
      </c>
      <c r="BO494" s="13" t="s">
        <v>5510</v>
      </c>
      <c r="BP494" s="13" t="s">
        <v>5510</v>
      </c>
      <c r="BQ494" s="13" t="s">
        <v>5510</v>
      </c>
      <c r="BR494" s="13" t="s">
        <v>5538</v>
      </c>
      <c r="BS494" s="13" t="s">
        <v>14455</v>
      </c>
      <c r="BT494" s="13">
        <v>25521.0</v>
      </c>
      <c r="BU494" s="13" t="s">
        <v>5540</v>
      </c>
      <c r="BV494" s="13" t="s">
        <v>4856</v>
      </c>
      <c r="BW494" s="13" t="str">
        <f>VLOOKUP($BT494,Enriched!$A$2:$E$1070,5,false)</f>
        <v>["Transportation &amp; Service Corridors", "Agriculture &amp; aquaculture"]</v>
      </c>
      <c r="BX494" s="13" t="str">
        <f>VLOOKUP($BT494,Enriched!$A$2:$E$1070,4,false)</f>
        <v>["Roads &amp; railroads"]</v>
      </c>
      <c r="BY494" s="13" t="b">
        <f>VLOOKUP(BT494,Enriched!$A$1:$AA$1070,27,falsE)</f>
        <v>1</v>
      </c>
      <c r="BZ494" s="2" t="str">
        <f>VLOOKUP(BT494,Enriched!$A$1:$AA$1070,14,falsE)</f>
        <v>level2</v>
      </c>
      <c r="CA494" s="13" t="str">
        <f>HYPERLINK("https%3A%2F%2Fwww.webofscience.com%2Fwos%2Fwoscc%2Ffull-record%2FWOS:000348712400013","View Full Record in Web of Science")</f>
        <v>View Full Record in Web of Science</v>
      </c>
    </row>
    <row r="495" ht="12.75" customHeight="1">
      <c r="A495" s="13" t="s">
        <v>6232</v>
      </c>
      <c r="B495" s="13" t="s">
        <v>14456</v>
      </c>
      <c r="C495" s="13" t="s">
        <v>5510</v>
      </c>
      <c r="D495" s="13" t="s">
        <v>14457</v>
      </c>
      <c r="E495" s="13" t="s">
        <v>5510</v>
      </c>
      <c r="F495" s="13" t="s">
        <v>1519</v>
      </c>
      <c r="G495" s="13" t="s">
        <v>5510</v>
      </c>
      <c r="H495" s="13" t="s">
        <v>5510</v>
      </c>
      <c r="I495" s="13" t="s">
        <v>14458</v>
      </c>
      <c r="J495" s="13" t="s">
        <v>14459</v>
      </c>
      <c r="K495" s="13" t="s">
        <v>5510</v>
      </c>
      <c r="L495" s="13" t="s">
        <v>5510</v>
      </c>
      <c r="M495" s="13" t="s">
        <v>5513</v>
      </c>
      <c r="N495" s="13" t="s">
        <v>6238</v>
      </c>
      <c r="O495" s="13" t="s">
        <v>14460</v>
      </c>
      <c r="P495" s="13" t="s">
        <v>14461</v>
      </c>
      <c r="Q495" s="13" t="s">
        <v>14462</v>
      </c>
      <c r="R495" s="13" t="s">
        <v>14463</v>
      </c>
      <c r="S495" s="13" t="s">
        <v>5510</v>
      </c>
      <c r="T495" s="13" t="s">
        <v>14464</v>
      </c>
      <c r="U495" s="13" t="s">
        <v>14465</v>
      </c>
      <c r="V495" s="13" t="s">
        <v>14466</v>
      </c>
      <c r="W495" s="13" t="s">
        <v>5510</v>
      </c>
      <c r="X495" s="13" t="s">
        <v>5510</v>
      </c>
      <c r="Y495" s="13" t="s">
        <v>5510</v>
      </c>
      <c r="Z495" s="13" t="s">
        <v>14467</v>
      </c>
      <c r="AA495" s="13" t="s">
        <v>5510</v>
      </c>
      <c r="AB495" s="13" t="s">
        <v>5510</v>
      </c>
      <c r="AC495" s="13" t="s">
        <v>5510</v>
      </c>
      <c r="AD495" s="13" t="s">
        <v>5510</v>
      </c>
      <c r="AE495" s="13" t="s">
        <v>5510</v>
      </c>
      <c r="AF495" s="13" t="s">
        <v>5510</v>
      </c>
      <c r="AG495" s="13">
        <v>18.0</v>
      </c>
      <c r="AH495" s="13">
        <v>7.0</v>
      </c>
      <c r="AI495" s="13">
        <v>7.0</v>
      </c>
      <c r="AJ495" s="13">
        <v>1.0</v>
      </c>
      <c r="AK495" s="13">
        <v>73.0</v>
      </c>
      <c r="AL495" s="13" t="s">
        <v>14468</v>
      </c>
      <c r="AM495" s="13" t="s">
        <v>14469</v>
      </c>
      <c r="AN495" s="13" t="s">
        <v>14470</v>
      </c>
      <c r="AO495" s="13" t="s">
        <v>5510</v>
      </c>
      <c r="AP495" s="13" t="s">
        <v>5510</v>
      </c>
      <c r="AQ495" s="13" t="s">
        <v>14471</v>
      </c>
      <c r="AR495" s="13" t="s">
        <v>5510</v>
      </c>
      <c r="AS495" s="13" t="s">
        <v>5510</v>
      </c>
      <c r="AT495" s="13" t="s">
        <v>5510</v>
      </c>
      <c r="AU495" s="13">
        <v>2007.0</v>
      </c>
      <c r="AV495" s="13" t="s">
        <v>5510</v>
      </c>
      <c r="AW495" s="13" t="s">
        <v>5510</v>
      </c>
      <c r="AX495" s="13" t="s">
        <v>5510</v>
      </c>
      <c r="AY495" s="13" t="s">
        <v>5510</v>
      </c>
      <c r="AZ495" s="13" t="s">
        <v>5510</v>
      </c>
      <c r="BA495" s="13" t="s">
        <v>5510</v>
      </c>
      <c r="BB495" s="13">
        <v>1294.0</v>
      </c>
      <c r="BC495" s="13">
        <v>1300.0</v>
      </c>
      <c r="BD495" s="13" t="s">
        <v>5510</v>
      </c>
      <c r="BE495" s="13" t="str">
        <f>#REF!</f>
        <v>#REF!</v>
      </c>
      <c r="BF495" s="13" t="s">
        <v>5510</v>
      </c>
      <c r="BG495" s="13" t="s">
        <v>5510</v>
      </c>
      <c r="BH495" s="13" t="s">
        <v>5510</v>
      </c>
      <c r="BI495" s="13">
        <v>7.0</v>
      </c>
      <c r="BJ495" s="13" t="s">
        <v>14472</v>
      </c>
      <c r="BK495" s="13" t="s">
        <v>6255</v>
      </c>
      <c r="BL495" s="13" t="s">
        <v>14473</v>
      </c>
      <c r="BM495" s="13" t="s">
        <v>14474</v>
      </c>
      <c r="BN495" s="13" t="s">
        <v>5510</v>
      </c>
      <c r="BO495" s="13" t="s">
        <v>5510</v>
      </c>
      <c r="BP495" s="13" t="s">
        <v>5510</v>
      </c>
      <c r="BQ495" s="13" t="s">
        <v>5510</v>
      </c>
      <c r="BR495" s="13" t="s">
        <v>5538</v>
      </c>
      <c r="BS495" s="13" t="s">
        <v>14475</v>
      </c>
      <c r="BT495" s="13">
        <v>25211.0</v>
      </c>
      <c r="BU495" s="13" t="s">
        <v>5540</v>
      </c>
      <c r="BV495" s="13" t="s">
        <v>4856</v>
      </c>
      <c r="BW495" s="13" t="str">
        <f>VLOOKUP($BT495,Enriched!$A$2:$E$1070,5,false)</f>
        <v>["Transportation &amp; Service Corridors", "Invasive &amp; Other Problematic Species, Genes &amp; Diseases"]</v>
      </c>
      <c r="BX495" s="13" t="str">
        <f>VLOOKUP($BT495,Enriched!$A$2:$E$1070,4,false)</f>
        <v>["Roads &amp; railroads", "Invasive non-native/alien species/diseases"]</v>
      </c>
      <c r="BY495" s="13" t="b">
        <f>VLOOKUP(BT495,Enriched!$A$1:$AA$1070,27,falsE)</f>
        <v>0</v>
      </c>
      <c r="BZ495" s="2" t="str">
        <f>VLOOKUP(BT495,Enriched!$A$1:$AA$1070,14,falsE)</f>
        <v>level2</v>
      </c>
      <c r="CA495" s="13" t="str">
        <f>HYPERLINK("https%3A%2F%2Fwww.webofscience.com%2Fwos%2Fwoscc%2Ffull-record%2FWOS:000290030701050","View Full Record in Web of Science")</f>
        <v>View Full Record in Web of Science</v>
      </c>
    </row>
    <row r="496" ht="12.75" customHeight="1">
      <c r="A496" s="13" t="s">
        <v>5508</v>
      </c>
      <c r="B496" s="13" t="s">
        <v>14476</v>
      </c>
      <c r="C496" s="13" t="s">
        <v>5510</v>
      </c>
      <c r="D496" s="13" t="s">
        <v>5510</v>
      </c>
      <c r="E496" s="13" t="s">
        <v>5510</v>
      </c>
      <c r="F496" s="13" t="s">
        <v>14477</v>
      </c>
      <c r="G496" s="13" t="s">
        <v>5510</v>
      </c>
      <c r="H496" s="13" t="s">
        <v>5510</v>
      </c>
      <c r="I496" s="13" t="s">
        <v>1517</v>
      </c>
      <c r="J496" s="13" t="s">
        <v>6008</v>
      </c>
      <c r="K496" s="13" t="s">
        <v>5510</v>
      </c>
      <c r="L496" s="13" t="s">
        <v>5510</v>
      </c>
      <c r="M496" s="13" t="s">
        <v>5513</v>
      </c>
      <c r="N496" s="13" t="s">
        <v>5514</v>
      </c>
      <c r="O496" s="13" t="s">
        <v>5510</v>
      </c>
      <c r="P496" s="13" t="s">
        <v>5510</v>
      </c>
      <c r="Q496" s="13" t="s">
        <v>5510</v>
      </c>
      <c r="R496" s="13" t="s">
        <v>5510</v>
      </c>
      <c r="S496" s="13" t="s">
        <v>5510</v>
      </c>
      <c r="T496" s="13" t="s">
        <v>14478</v>
      </c>
      <c r="U496" s="13" t="s">
        <v>14479</v>
      </c>
      <c r="V496" s="13" t="s">
        <v>14480</v>
      </c>
      <c r="W496" s="13" t="s">
        <v>14481</v>
      </c>
      <c r="X496" s="13" t="s">
        <v>14482</v>
      </c>
      <c r="Y496" s="13" t="s">
        <v>14483</v>
      </c>
      <c r="Z496" s="13" t="s">
        <v>14484</v>
      </c>
      <c r="AA496" s="13" t="s">
        <v>5510</v>
      </c>
      <c r="AB496" s="13" t="s">
        <v>14485</v>
      </c>
      <c r="AC496" s="13" t="s">
        <v>14486</v>
      </c>
      <c r="AD496" s="13" t="s">
        <v>14486</v>
      </c>
      <c r="AE496" s="13" t="s">
        <v>14487</v>
      </c>
      <c r="AF496" s="13" t="s">
        <v>5510</v>
      </c>
      <c r="AG496" s="13">
        <v>107.0</v>
      </c>
      <c r="AH496" s="13">
        <v>78.0</v>
      </c>
      <c r="AI496" s="13">
        <v>100.0</v>
      </c>
      <c r="AJ496" s="13">
        <v>1.0</v>
      </c>
      <c r="AK496" s="13">
        <v>77.0</v>
      </c>
      <c r="AL496" s="13" t="s">
        <v>5527</v>
      </c>
      <c r="AM496" s="13" t="s">
        <v>5528</v>
      </c>
      <c r="AN496" s="13" t="s">
        <v>5529</v>
      </c>
      <c r="AO496" s="13" t="s">
        <v>6020</v>
      </c>
      <c r="AP496" s="13" t="s">
        <v>6021</v>
      </c>
      <c r="AQ496" s="13" t="s">
        <v>5510</v>
      </c>
      <c r="AR496" s="13" t="s">
        <v>6022</v>
      </c>
      <c r="AS496" s="13" t="s">
        <v>6023</v>
      </c>
      <c r="AT496" s="13" t="s">
        <v>5720</v>
      </c>
      <c r="AU496" s="13">
        <v>2015.0</v>
      </c>
      <c r="AV496" s="13">
        <v>25.0</v>
      </c>
      <c r="AW496" s="13">
        <v>4.0</v>
      </c>
      <c r="AX496" s="13" t="s">
        <v>5510</v>
      </c>
      <c r="AY496" s="13" t="s">
        <v>5510</v>
      </c>
      <c r="AZ496" s="13" t="s">
        <v>5510</v>
      </c>
      <c r="BA496" s="13" t="s">
        <v>5510</v>
      </c>
      <c r="BB496" s="13">
        <v>968.0</v>
      </c>
      <c r="BC496" s="13">
        <v>990.0</v>
      </c>
      <c r="BD496" s="13" t="s">
        <v>5510</v>
      </c>
      <c r="BE496" s="13" t="s">
        <v>14488</v>
      </c>
      <c r="BF496" s="52" t="str">
        <f>HYPERLINK("http://dx.doi.org/10.1890/13-1152.1","http://dx.doi.org/10.1890/13-1152.1")</f>
        <v>http://dx.doi.org/10.1890/13-1152.1</v>
      </c>
      <c r="BG496" s="13" t="s">
        <v>5510</v>
      </c>
      <c r="BH496" s="13" t="s">
        <v>5510</v>
      </c>
      <c r="BI496" s="13">
        <v>23.0</v>
      </c>
      <c r="BJ496" s="13" t="s">
        <v>6026</v>
      </c>
      <c r="BK496" s="13" t="s">
        <v>5561</v>
      </c>
      <c r="BL496" s="13" t="s">
        <v>5535</v>
      </c>
      <c r="BM496" s="13" t="s">
        <v>11490</v>
      </c>
      <c r="BN496" s="13">
        <v>2.6465037E7</v>
      </c>
      <c r="BO496" s="13" t="s">
        <v>5510</v>
      </c>
      <c r="BP496" s="13" t="s">
        <v>5510</v>
      </c>
      <c r="BQ496" s="13" t="s">
        <v>5510</v>
      </c>
      <c r="BR496" s="13" t="s">
        <v>5538</v>
      </c>
      <c r="BS496" s="13" t="s">
        <v>14489</v>
      </c>
      <c r="BT496" s="13">
        <v>24397.0</v>
      </c>
      <c r="BU496" s="13" t="s">
        <v>5540</v>
      </c>
      <c r="BV496" s="13" t="s">
        <v>4856</v>
      </c>
      <c r="BW496" s="13" t="str">
        <f>VLOOKUP($BT496,Enriched!$A$2:$E$1070,5,false)</f>
        <v>["Residential &amp; Commercial Development", "Transportation &amp; Service Corridors"]</v>
      </c>
      <c r="BX496" s="13" t="str">
        <f>VLOOKUP($BT496,Enriched!$A$2:$E$1070,4,false)</f>
        <v>["Commercial &amp; industrial areas", "Utility &amp; service lines"]</v>
      </c>
      <c r="BY496" s="13" t="b">
        <f>VLOOKUP(BT496,Enriched!$A$1:$AA$1070,27,falsE)</f>
        <v>0</v>
      </c>
      <c r="BZ496" s="2" t="str">
        <f>VLOOKUP(BT496,Enriched!$A$1:$AA$1070,14,falsE)</f>
        <v>level2</v>
      </c>
      <c r="CA496" s="13" t="str">
        <f>HYPERLINK("https%3A%2F%2Fwww.webofscience.com%2Fwos%2Fwoscc%2Ffull-record%2FWOS:000355191900008","View Full Record in Web of Science")</f>
        <v>View Full Record in Web of Science</v>
      </c>
    </row>
    <row r="497" ht="12.75" customHeight="1">
      <c r="A497" s="13" t="s">
        <v>5508</v>
      </c>
      <c r="B497" s="13" t="s">
        <v>14490</v>
      </c>
      <c r="C497" s="13" t="s">
        <v>5510</v>
      </c>
      <c r="D497" s="13" t="s">
        <v>5510</v>
      </c>
      <c r="E497" s="13" t="s">
        <v>5510</v>
      </c>
      <c r="F497" s="13" t="s">
        <v>14491</v>
      </c>
      <c r="G497" s="13" t="s">
        <v>5510</v>
      </c>
      <c r="H497" s="13" t="s">
        <v>5510</v>
      </c>
      <c r="I497" s="13" t="s">
        <v>1514</v>
      </c>
      <c r="J497" s="13" t="s">
        <v>5792</v>
      </c>
      <c r="K497" s="13" t="s">
        <v>5510</v>
      </c>
      <c r="L497" s="13" t="s">
        <v>5510</v>
      </c>
      <c r="M497" s="13" t="s">
        <v>5513</v>
      </c>
      <c r="N497" s="13" t="s">
        <v>5514</v>
      </c>
      <c r="O497" s="13" t="s">
        <v>5510</v>
      </c>
      <c r="P497" s="13" t="s">
        <v>5510</v>
      </c>
      <c r="Q497" s="13" t="s">
        <v>5510</v>
      </c>
      <c r="R497" s="13" t="s">
        <v>5510</v>
      </c>
      <c r="S497" s="13" t="s">
        <v>5510</v>
      </c>
      <c r="T497" s="13" t="s">
        <v>5510</v>
      </c>
      <c r="U497" s="13" t="s">
        <v>14492</v>
      </c>
      <c r="V497" s="13" t="s">
        <v>14493</v>
      </c>
      <c r="W497" s="13" t="s">
        <v>14494</v>
      </c>
      <c r="X497" s="13" t="s">
        <v>14495</v>
      </c>
      <c r="Y497" s="13" t="s">
        <v>14496</v>
      </c>
      <c r="Z497" s="13" t="s">
        <v>14497</v>
      </c>
      <c r="AA497" s="13" t="s">
        <v>14498</v>
      </c>
      <c r="AB497" s="13" t="s">
        <v>14499</v>
      </c>
      <c r="AC497" s="13" t="s">
        <v>14500</v>
      </c>
      <c r="AD497" s="13" t="s">
        <v>14501</v>
      </c>
      <c r="AE497" s="13" t="s">
        <v>14502</v>
      </c>
      <c r="AF497" s="13" t="s">
        <v>5510</v>
      </c>
      <c r="AG497" s="13">
        <v>81.0</v>
      </c>
      <c r="AH497" s="13">
        <v>35.0</v>
      </c>
      <c r="AI497" s="13">
        <v>41.0</v>
      </c>
      <c r="AJ497" s="13">
        <v>1.0</v>
      </c>
      <c r="AK497" s="13">
        <v>28.0</v>
      </c>
      <c r="AL497" s="13" t="s">
        <v>5800</v>
      </c>
      <c r="AM497" s="13" t="s">
        <v>5801</v>
      </c>
      <c r="AN497" s="13" t="s">
        <v>5802</v>
      </c>
      <c r="AO497" s="13" t="s">
        <v>5803</v>
      </c>
      <c r="AP497" s="13" t="s">
        <v>5804</v>
      </c>
      <c r="AQ497" s="13" t="s">
        <v>5510</v>
      </c>
      <c r="AR497" s="13" t="s">
        <v>5805</v>
      </c>
      <c r="AS497" s="13" t="s">
        <v>5806</v>
      </c>
      <c r="AT497" s="13" t="s">
        <v>5510</v>
      </c>
      <c r="AU497" s="13">
        <v>2015.0</v>
      </c>
      <c r="AV497" s="13">
        <v>29.0</v>
      </c>
      <c r="AW497" s="13">
        <v>1.0</v>
      </c>
      <c r="AX497" s="13" t="s">
        <v>5510</v>
      </c>
      <c r="AY497" s="13" t="s">
        <v>5510</v>
      </c>
      <c r="AZ497" s="13" t="s">
        <v>5510</v>
      </c>
      <c r="BA497" s="13" t="s">
        <v>5510</v>
      </c>
      <c r="BB497" s="13">
        <v>35.0</v>
      </c>
      <c r="BC497" s="13">
        <v>50.0</v>
      </c>
      <c r="BD497" s="13" t="s">
        <v>5510</v>
      </c>
      <c r="BE497" s="13" t="s">
        <v>14503</v>
      </c>
      <c r="BF497" s="52" t="str">
        <f>HYPERLINK("http://dx.doi.org/10.3354/esr00698","http://dx.doi.org/10.3354/esr00698")</f>
        <v>http://dx.doi.org/10.3354/esr00698</v>
      </c>
      <c r="BG497" s="13" t="s">
        <v>5510</v>
      </c>
      <c r="BH497" s="13" t="s">
        <v>5510</v>
      </c>
      <c r="BI497" s="13">
        <v>16.0</v>
      </c>
      <c r="BJ497" s="13" t="s">
        <v>5648</v>
      </c>
      <c r="BK497" s="13" t="s">
        <v>5561</v>
      </c>
      <c r="BL497" s="13" t="s">
        <v>5650</v>
      </c>
      <c r="BM497" s="13" t="s">
        <v>14504</v>
      </c>
      <c r="BN497" s="13" t="s">
        <v>5510</v>
      </c>
      <c r="BO497" s="13" t="s">
        <v>5564</v>
      </c>
      <c r="BP497" s="13" t="s">
        <v>5510</v>
      </c>
      <c r="BQ497" s="13" t="s">
        <v>5510</v>
      </c>
      <c r="BR497" s="13" t="s">
        <v>5538</v>
      </c>
      <c r="BS497" s="13" t="s">
        <v>14505</v>
      </c>
      <c r="BT497" s="13">
        <v>23730.0</v>
      </c>
      <c r="BU497" s="13" t="s">
        <v>5540</v>
      </c>
      <c r="BV497" s="13" t="s">
        <v>4864</v>
      </c>
      <c r="BW497" s="13" t="str">
        <f>VLOOKUP($BT497,Enriched!$A$2:$E$1070,5,false)</f>
        <v>["Biological resource use"]</v>
      </c>
      <c r="BX497" s="13" t="str">
        <f>VLOOKUP($BT497,Enriched!$A$2:$E$1070,4,false)</f>
        <v>["Fishing &amp; harvesting aquatic resources"]</v>
      </c>
      <c r="BY497" s="13" t="b">
        <f>VLOOKUP(BT497,Enriched!$A$1:$AA$1070,27,falsE)</f>
        <v>0</v>
      </c>
      <c r="BZ497" s="2" t="str">
        <f>VLOOKUP(BT497,Enriched!$A$1:$AA$1070,14,falsE)</f>
        <v>level2</v>
      </c>
      <c r="CA497" s="13" t="str">
        <f>HYPERLINK("https%3A%2F%2Fwww.webofscience.com%2Fwos%2Fwoscc%2Ffull-record%2FWOS:000365699600004","View Full Record in Web of Science")</f>
        <v>View Full Record in Web of Science</v>
      </c>
    </row>
    <row r="498" ht="12.75" customHeight="1">
      <c r="A498" s="13" t="s">
        <v>5508</v>
      </c>
      <c r="B498" s="13" t="s">
        <v>14506</v>
      </c>
      <c r="C498" s="13" t="s">
        <v>5510</v>
      </c>
      <c r="D498" s="13" t="s">
        <v>5510</v>
      </c>
      <c r="E498" s="13" t="s">
        <v>5510</v>
      </c>
      <c r="F498" s="13" t="s">
        <v>14507</v>
      </c>
      <c r="G498" s="13" t="s">
        <v>5510</v>
      </c>
      <c r="H498" s="13" t="s">
        <v>5510</v>
      </c>
      <c r="I498" s="13" t="s">
        <v>14508</v>
      </c>
      <c r="J498" s="13" t="s">
        <v>5543</v>
      </c>
      <c r="K498" s="13" t="s">
        <v>5510</v>
      </c>
      <c r="L498" s="13" t="s">
        <v>5510</v>
      </c>
      <c r="M498" s="13" t="s">
        <v>5513</v>
      </c>
      <c r="N498" s="13" t="s">
        <v>5514</v>
      </c>
      <c r="O498" s="13" t="s">
        <v>5510</v>
      </c>
      <c r="P498" s="13" t="s">
        <v>5510</v>
      </c>
      <c r="Q498" s="13" t="s">
        <v>5510</v>
      </c>
      <c r="R498" s="13" t="s">
        <v>5510</v>
      </c>
      <c r="S498" s="13" t="s">
        <v>5510</v>
      </c>
      <c r="T498" s="13" t="s">
        <v>5510</v>
      </c>
      <c r="U498" s="13" t="s">
        <v>14509</v>
      </c>
      <c r="V498" s="13" t="s">
        <v>14510</v>
      </c>
      <c r="W498" s="13" t="s">
        <v>14511</v>
      </c>
      <c r="X498" s="13" t="s">
        <v>14512</v>
      </c>
      <c r="Y498" s="13" t="s">
        <v>14513</v>
      </c>
      <c r="Z498" s="13" t="s">
        <v>14514</v>
      </c>
      <c r="AA498" s="13" t="s">
        <v>14515</v>
      </c>
      <c r="AB498" s="13" t="s">
        <v>14516</v>
      </c>
      <c r="AC498" s="13" t="s">
        <v>14517</v>
      </c>
      <c r="AD498" s="13" t="s">
        <v>14518</v>
      </c>
      <c r="AE498" s="13" t="s">
        <v>14519</v>
      </c>
      <c r="AF498" s="13" t="s">
        <v>5510</v>
      </c>
      <c r="AG498" s="13">
        <v>35.0</v>
      </c>
      <c r="AH498" s="13">
        <v>33.0</v>
      </c>
      <c r="AI498" s="13">
        <v>39.0</v>
      </c>
      <c r="AJ498" s="13">
        <v>1.0</v>
      </c>
      <c r="AK498" s="13">
        <v>4.0</v>
      </c>
      <c r="AL498" s="13" t="s">
        <v>5552</v>
      </c>
      <c r="AM498" s="13" t="s">
        <v>5553</v>
      </c>
      <c r="AN498" s="13" t="s">
        <v>5554</v>
      </c>
      <c r="AO498" s="13" t="s">
        <v>5555</v>
      </c>
      <c r="AP498" s="13" t="s">
        <v>5510</v>
      </c>
      <c r="AQ498" s="13" t="s">
        <v>5510</v>
      </c>
      <c r="AR498" s="13" t="s">
        <v>5543</v>
      </c>
      <c r="AS498" s="13" t="s">
        <v>5556</v>
      </c>
      <c r="AT498" s="13" t="s">
        <v>14520</v>
      </c>
      <c r="AU498" s="13">
        <v>2013.0</v>
      </c>
      <c r="AV498" s="13">
        <v>8.0</v>
      </c>
      <c r="AW498" s="13">
        <v>12.0</v>
      </c>
      <c r="AX498" s="13" t="s">
        <v>5510</v>
      </c>
      <c r="AY498" s="13" t="s">
        <v>5510</v>
      </c>
      <c r="AZ498" s="13" t="s">
        <v>5510</v>
      </c>
      <c r="BA498" s="13" t="s">
        <v>5510</v>
      </c>
      <c r="BB498" s="13" t="s">
        <v>5510</v>
      </c>
      <c r="BC498" s="13" t="s">
        <v>5510</v>
      </c>
      <c r="BD498" s="13" t="s">
        <v>14521</v>
      </c>
      <c r="BE498" s="13" t="s">
        <v>14522</v>
      </c>
      <c r="BF498" s="52" t="str">
        <f>HYPERLINK("http://dx.doi.org/10.1371/journal.pone.0082492","http://dx.doi.org/10.1371/journal.pone.0082492")</f>
        <v>http://dx.doi.org/10.1371/journal.pone.0082492</v>
      </c>
      <c r="BG498" s="13" t="s">
        <v>5510</v>
      </c>
      <c r="BH498" s="13" t="s">
        <v>5510</v>
      </c>
      <c r="BI498" s="13">
        <v>11.0</v>
      </c>
      <c r="BJ498" s="13" t="s">
        <v>5560</v>
      </c>
      <c r="BK498" s="13" t="s">
        <v>5561</v>
      </c>
      <c r="BL498" s="13" t="s">
        <v>5562</v>
      </c>
      <c r="BM498" s="13" t="s">
        <v>14523</v>
      </c>
      <c r="BN498" s="13">
        <v>2.4349296E7</v>
      </c>
      <c r="BO498" s="13" t="s">
        <v>5564</v>
      </c>
      <c r="BP498" s="13" t="s">
        <v>5510</v>
      </c>
      <c r="BQ498" s="13" t="s">
        <v>5510</v>
      </c>
      <c r="BR498" s="13" t="s">
        <v>5538</v>
      </c>
      <c r="BS498" s="13" t="s">
        <v>14524</v>
      </c>
      <c r="BT498" s="13">
        <v>23639.0</v>
      </c>
      <c r="BU498" s="13" t="s">
        <v>5540</v>
      </c>
      <c r="BV498" s="13" t="s">
        <v>4856</v>
      </c>
      <c r="BW498" s="13" t="str">
        <f>VLOOKUP($BT498,Enriched!$A$2:$E$1070,5,false)</f>
        <v>["Climate Change &amp; Severe Weather"]</v>
      </c>
      <c r="BX498" s="13" t="str">
        <f>VLOOKUP($BT498,Enriched!$A$2:$E$1070,4,false)</f>
        <v>["Temperature extremes"]</v>
      </c>
      <c r="BY498" s="13" t="b">
        <f>VLOOKUP(BT498,Enriched!$A$1:$AA$1070,27,falsE)</f>
        <v>0</v>
      </c>
      <c r="BZ498" s="2" t="str">
        <f>VLOOKUP(BT498,Enriched!$A$1:$AA$1070,14,falsE)</f>
        <v>level2</v>
      </c>
      <c r="CA498" s="13" t="str">
        <f>HYPERLINK("https%3A%2F%2Fwww.webofscience.com%2Fwos%2Fwoscc%2Ffull-record%2FWOS:000327949300156","View Full Record in Web of Science")</f>
        <v>View Full Record in Web of Science</v>
      </c>
    </row>
    <row r="499" ht="12.75" customHeight="1">
      <c r="A499" s="13" t="s">
        <v>5508</v>
      </c>
      <c r="B499" s="13" t="s">
        <v>14525</v>
      </c>
      <c r="C499" s="13" t="s">
        <v>5510</v>
      </c>
      <c r="D499" s="13" t="s">
        <v>5510</v>
      </c>
      <c r="E499" s="13" t="s">
        <v>5510</v>
      </c>
      <c r="F499" s="13" t="s">
        <v>14526</v>
      </c>
      <c r="G499" s="13" t="s">
        <v>5510</v>
      </c>
      <c r="H499" s="13" t="s">
        <v>5510</v>
      </c>
      <c r="I499" s="13" t="s">
        <v>14527</v>
      </c>
      <c r="J499" s="13" t="s">
        <v>5543</v>
      </c>
      <c r="K499" s="13" t="s">
        <v>5510</v>
      </c>
      <c r="L499" s="13" t="s">
        <v>5510</v>
      </c>
      <c r="M499" s="13" t="s">
        <v>5513</v>
      </c>
      <c r="N499" s="13" t="s">
        <v>5514</v>
      </c>
      <c r="O499" s="13" t="s">
        <v>5510</v>
      </c>
      <c r="P499" s="13" t="s">
        <v>5510</v>
      </c>
      <c r="Q499" s="13" t="s">
        <v>5510</v>
      </c>
      <c r="R499" s="13" t="s">
        <v>5510</v>
      </c>
      <c r="S499" s="13" t="s">
        <v>5510</v>
      </c>
      <c r="T499" s="13" t="s">
        <v>5510</v>
      </c>
      <c r="U499" s="13" t="s">
        <v>14528</v>
      </c>
      <c r="V499" s="13" t="s">
        <v>14529</v>
      </c>
      <c r="W499" s="13" t="s">
        <v>14530</v>
      </c>
      <c r="X499" s="13" t="s">
        <v>5510</v>
      </c>
      <c r="Y499" s="13" t="s">
        <v>14531</v>
      </c>
      <c r="Z499" s="13" t="s">
        <v>14532</v>
      </c>
      <c r="AA499" s="13" t="s">
        <v>14533</v>
      </c>
      <c r="AB499" s="13" t="s">
        <v>14534</v>
      </c>
      <c r="AC499" s="13" t="s">
        <v>14535</v>
      </c>
      <c r="AD499" s="13" t="s">
        <v>14535</v>
      </c>
      <c r="AE499" s="13" t="s">
        <v>14536</v>
      </c>
      <c r="AF499" s="13" t="s">
        <v>5510</v>
      </c>
      <c r="AG499" s="13">
        <v>90.0</v>
      </c>
      <c r="AH499" s="13">
        <v>63.0</v>
      </c>
      <c r="AI499" s="13">
        <v>84.0</v>
      </c>
      <c r="AJ499" s="13">
        <v>0.0</v>
      </c>
      <c r="AK499" s="13">
        <v>55.0</v>
      </c>
      <c r="AL499" s="13" t="s">
        <v>5552</v>
      </c>
      <c r="AM499" s="13" t="s">
        <v>5553</v>
      </c>
      <c r="AN499" s="13" t="s">
        <v>5554</v>
      </c>
      <c r="AO499" s="13" t="s">
        <v>5555</v>
      </c>
      <c r="AP499" s="13" t="s">
        <v>5510</v>
      </c>
      <c r="AQ499" s="13" t="s">
        <v>5510</v>
      </c>
      <c r="AR499" s="13" t="s">
        <v>5543</v>
      </c>
      <c r="AS499" s="13" t="s">
        <v>5556</v>
      </c>
      <c r="AT499" s="13" t="s">
        <v>14537</v>
      </c>
      <c r="AU499" s="13">
        <v>2011.0</v>
      </c>
      <c r="AV499" s="13">
        <v>6.0</v>
      </c>
      <c r="AW499" s="13">
        <v>10.0</v>
      </c>
      <c r="AX499" s="13" t="s">
        <v>5510</v>
      </c>
      <c r="AY499" s="13" t="s">
        <v>5510</v>
      </c>
      <c r="AZ499" s="13" t="s">
        <v>5510</v>
      </c>
      <c r="BA499" s="13" t="s">
        <v>5510</v>
      </c>
      <c r="BB499" s="13" t="s">
        <v>5510</v>
      </c>
      <c r="BC499" s="13" t="s">
        <v>5510</v>
      </c>
      <c r="BD499" s="13" t="s">
        <v>14538</v>
      </c>
      <c r="BE499" s="13" t="s">
        <v>14539</v>
      </c>
      <c r="BF499" s="52" t="str">
        <f>HYPERLINK("http://dx.doi.org/10.1371/journal.pone.0026273","http://dx.doi.org/10.1371/journal.pone.0026273")</f>
        <v>http://dx.doi.org/10.1371/journal.pone.0026273</v>
      </c>
      <c r="BG499" s="13" t="s">
        <v>5510</v>
      </c>
      <c r="BH499" s="13" t="s">
        <v>5510</v>
      </c>
      <c r="BI499" s="13">
        <v>18.0</v>
      </c>
      <c r="BJ499" s="13" t="s">
        <v>5560</v>
      </c>
      <c r="BK499" s="13" t="s">
        <v>5561</v>
      </c>
      <c r="BL499" s="13" t="s">
        <v>5562</v>
      </c>
      <c r="BM499" s="13" t="s">
        <v>14540</v>
      </c>
      <c r="BN499" s="13">
        <v>2.2022587E7</v>
      </c>
      <c r="BO499" s="13" t="s">
        <v>5564</v>
      </c>
      <c r="BP499" s="13" t="s">
        <v>5510</v>
      </c>
      <c r="BQ499" s="13" t="s">
        <v>5510</v>
      </c>
      <c r="BR499" s="13" t="s">
        <v>5538</v>
      </c>
      <c r="BS499" s="13" t="s">
        <v>14541</v>
      </c>
      <c r="BT499" s="13">
        <v>23793.0</v>
      </c>
      <c r="BU499" s="13" t="s">
        <v>5540</v>
      </c>
      <c r="BV499" s="13" t="s">
        <v>4856</v>
      </c>
      <c r="BW499" s="13" t="str">
        <f>VLOOKUP($BT499,Enriched!$A$2:$E$1070,5,false)</f>
        <v>["Energy Production &amp; Mining", "Transportation &amp; Service Corridors"]</v>
      </c>
      <c r="BX499" s="13" t="str">
        <f>VLOOKUP($BT499,Enriched!$A$2:$E$1070,4,false)</f>
        <v>["Oil &amp; gas drilling", "Roads &amp; railroads"]</v>
      </c>
      <c r="BY499" s="13" t="b">
        <f>VLOOKUP(BT499,Enriched!$A$1:$AA$1070,27,falsE)</f>
        <v>0</v>
      </c>
      <c r="BZ499" s="2" t="str">
        <f>VLOOKUP(BT499,Enriched!$A$1:$AA$1070,14,falsE)</f>
        <v>level2</v>
      </c>
      <c r="CA499" s="13" t="str">
        <f>HYPERLINK("https%3A%2F%2Fwww.webofscience.com%2Fwos%2Fwoscc%2Ffull-record%2FWOS:000295978600048","View Full Record in Web of Science")</f>
        <v>View Full Record in Web of Science</v>
      </c>
    </row>
    <row r="500" ht="12.75" customHeight="1">
      <c r="A500" s="13" t="s">
        <v>5508</v>
      </c>
      <c r="B500" s="13" t="s">
        <v>14542</v>
      </c>
      <c r="C500" s="13" t="s">
        <v>5510</v>
      </c>
      <c r="D500" s="13" t="s">
        <v>5510</v>
      </c>
      <c r="E500" s="13" t="s">
        <v>5510</v>
      </c>
      <c r="F500" s="13" t="s">
        <v>14543</v>
      </c>
      <c r="G500" s="13" t="s">
        <v>5510</v>
      </c>
      <c r="H500" s="13" t="s">
        <v>5510</v>
      </c>
      <c r="I500" s="2" t="s">
        <v>1507</v>
      </c>
      <c r="J500" s="13" t="s">
        <v>5919</v>
      </c>
      <c r="K500" s="13" t="s">
        <v>5510</v>
      </c>
      <c r="L500" s="13" t="s">
        <v>5510</v>
      </c>
      <c r="M500" s="13" t="s">
        <v>5513</v>
      </c>
      <c r="N500" s="13" t="s">
        <v>5514</v>
      </c>
      <c r="O500" s="13" t="s">
        <v>5510</v>
      </c>
      <c r="P500" s="13" t="s">
        <v>5510</v>
      </c>
      <c r="Q500" s="13" t="s">
        <v>5510</v>
      </c>
      <c r="R500" s="13" t="s">
        <v>5510</v>
      </c>
      <c r="S500" s="13" t="s">
        <v>5510</v>
      </c>
      <c r="T500" s="13" t="s">
        <v>14544</v>
      </c>
      <c r="U500" s="13" t="s">
        <v>14545</v>
      </c>
      <c r="V500" s="13" t="s">
        <v>14546</v>
      </c>
      <c r="W500" s="13" t="s">
        <v>14547</v>
      </c>
      <c r="X500" s="13" t="s">
        <v>14548</v>
      </c>
      <c r="Y500" s="13" t="s">
        <v>14549</v>
      </c>
      <c r="Z500" s="13" t="s">
        <v>14550</v>
      </c>
      <c r="AA500" s="13" t="s">
        <v>14551</v>
      </c>
      <c r="AB500" s="13" t="s">
        <v>14552</v>
      </c>
      <c r="AC500" s="13" t="s">
        <v>14553</v>
      </c>
      <c r="AD500" s="13" t="s">
        <v>14554</v>
      </c>
      <c r="AE500" s="13" t="s">
        <v>14555</v>
      </c>
      <c r="AF500" s="13" t="s">
        <v>5510</v>
      </c>
      <c r="AG500" s="13">
        <v>77.0</v>
      </c>
      <c r="AH500" s="13">
        <v>50.0</v>
      </c>
      <c r="AI500" s="13">
        <v>55.0</v>
      </c>
      <c r="AJ500" s="13">
        <v>0.0</v>
      </c>
      <c r="AK500" s="13">
        <v>53.0</v>
      </c>
      <c r="AL500" s="13" t="s">
        <v>5931</v>
      </c>
      <c r="AM500" s="13" t="s">
        <v>5932</v>
      </c>
      <c r="AN500" s="13" t="s">
        <v>5933</v>
      </c>
      <c r="AO500" s="13" t="s">
        <v>5934</v>
      </c>
      <c r="AP500" s="13" t="s">
        <v>5935</v>
      </c>
      <c r="AQ500" s="13" t="s">
        <v>5510</v>
      </c>
      <c r="AR500" s="13" t="s">
        <v>5936</v>
      </c>
      <c r="AS500" s="13" t="s">
        <v>5937</v>
      </c>
      <c r="AT500" s="13" t="s">
        <v>5667</v>
      </c>
      <c r="AU500" s="13">
        <v>2009.0</v>
      </c>
      <c r="AV500" s="13">
        <v>142.0</v>
      </c>
      <c r="AW500" s="13">
        <v>7.0</v>
      </c>
      <c r="AX500" s="13" t="s">
        <v>5510</v>
      </c>
      <c r="AY500" s="13" t="s">
        <v>5510</v>
      </c>
      <c r="AZ500" s="13" t="s">
        <v>5510</v>
      </c>
      <c r="BA500" s="13" t="s">
        <v>5510</v>
      </c>
      <c r="BB500" s="13">
        <v>1523.0</v>
      </c>
      <c r="BC500" s="13">
        <v>1535.0</v>
      </c>
      <c r="BD500" s="13" t="s">
        <v>5510</v>
      </c>
      <c r="BE500" s="13" t="s">
        <v>14556</v>
      </c>
      <c r="BF500" s="52" t="str">
        <f>HYPERLINK("http://dx.doi.org/10.1016/j.biocon.2009.02.022","http://dx.doi.org/10.1016/j.biocon.2009.02.022")</f>
        <v>http://dx.doi.org/10.1016/j.biocon.2009.02.022</v>
      </c>
      <c r="BG500" s="13" t="s">
        <v>5510</v>
      </c>
      <c r="BH500" s="13" t="s">
        <v>5510</v>
      </c>
      <c r="BI500" s="13">
        <v>13.0</v>
      </c>
      <c r="BJ500" s="13" t="s">
        <v>5698</v>
      </c>
      <c r="BK500" s="13" t="s">
        <v>5561</v>
      </c>
      <c r="BL500" s="13" t="s">
        <v>5699</v>
      </c>
      <c r="BM500" s="13" t="s">
        <v>14557</v>
      </c>
      <c r="BN500" s="13" t="s">
        <v>5510</v>
      </c>
      <c r="BO500" s="13" t="s">
        <v>5510</v>
      </c>
      <c r="BP500" s="13" t="s">
        <v>5510</v>
      </c>
      <c r="BQ500" s="13" t="s">
        <v>5510</v>
      </c>
      <c r="BR500" s="13" t="s">
        <v>5538</v>
      </c>
      <c r="BS500" s="13" t="s">
        <v>14558</v>
      </c>
      <c r="BT500" s="13">
        <v>24460.0</v>
      </c>
      <c r="BU500" s="13" t="s">
        <v>5540</v>
      </c>
      <c r="BV500" s="13" t="s">
        <v>4856</v>
      </c>
      <c r="BW500" s="13" t="str">
        <f>VLOOKUP($BT500,Enriched!$A$2:$E$1070,5,false)</f>
        <v>["Agriculture &amp; Aquaculture", "Invasive &amp; Other Problematic Species, Genes &amp; Diseases"]</v>
      </c>
      <c r="BX500" s="13" t="str">
        <f>VLOOKUP($BT500,Enriched!$A$2:$E$1070,4,false)</f>
        <v>["Housing &amp; urban area", "Annual &amp; perennial non-timber crops", "Wood &amp; pulp plantations", "Invasive non-native/alien species/diseases"]</v>
      </c>
      <c r="BY500" s="13" t="b">
        <f>VLOOKUP(BT500,Enriched!$A$1:$AA$1070,27,falsE)</f>
        <v>0</v>
      </c>
      <c r="BZ500" s="2" t="str">
        <f>VLOOKUP(BT500,Enriched!$A$1:$AA$1070,14,falsE)</f>
        <v>level2</v>
      </c>
      <c r="CA500" s="13" t="str">
        <f>HYPERLINK("https%3A%2F%2Fwww.webofscience.com%2Fwos%2Fwoscc%2Ffull-record%2FWOS:000266752500029","View Full Record in Web of Science")</f>
        <v>View Full Record in Web of Science</v>
      </c>
    </row>
    <row r="501" ht="12.75" customHeight="1">
      <c r="A501" s="13" t="s">
        <v>5508</v>
      </c>
      <c r="B501" s="13" t="s">
        <v>14559</v>
      </c>
      <c r="C501" s="13" t="s">
        <v>5510</v>
      </c>
      <c r="D501" s="13" t="s">
        <v>5510</v>
      </c>
      <c r="E501" s="13" t="s">
        <v>5510</v>
      </c>
      <c r="F501" s="13" t="s">
        <v>14560</v>
      </c>
      <c r="G501" s="13" t="s">
        <v>5510</v>
      </c>
      <c r="H501" s="13" t="s">
        <v>5510</v>
      </c>
      <c r="I501" s="13" t="s">
        <v>1504</v>
      </c>
      <c r="J501" s="13" t="s">
        <v>14561</v>
      </c>
      <c r="K501" s="13" t="s">
        <v>5510</v>
      </c>
      <c r="L501" s="13" t="s">
        <v>5510</v>
      </c>
      <c r="M501" s="13" t="s">
        <v>5513</v>
      </c>
      <c r="N501" s="13" t="s">
        <v>5514</v>
      </c>
      <c r="O501" s="13" t="s">
        <v>5510</v>
      </c>
      <c r="P501" s="13" t="s">
        <v>5510</v>
      </c>
      <c r="Q501" s="13" t="s">
        <v>5510</v>
      </c>
      <c r="R501" s="13" t="s">
        <v>5510</v>
      </c>
      <c r="S501" s="13" t="s">
        <v>5510</v>
      </c>
      <c r="T501" s="13" t="s">
        <v>14562</v>
      </c>
      <c r="U501" s="13" t="s">
        <v>14563</v>
      </c>
      <c r="V501" s="13" t="s">
        <v>14564</v>
      </c>
      <c r="W501" s="13" t="s">
        <v>14565</v>
      </c>
      <c r="X501" s="13" t="s">
        <v>14566</v>
      </c>
      <c r="Y501" s="13" t="s">
        <v>14567</v>
      </c>
      <c r="Z501" s="13" t="s">
        <v>14568</v>
      </c>
      <c r="AA501" s="13" t="s">
        <v>14569</v>
      </c>
      <c r="AB501" s="13" t="s">
        <v>14570</v>
      </c>
      <c r="AC501" s="13" t="s">
        <v>14571</v>
      </c>
      <c r="AD501" s="13" t="s">
        <v>14572</v>
      </c>
      <c r="AE501" s="13" t="s">
        <v>14573</v>
      </c>
      <c r="AF501" s="13" t="s">
        <v>5510</v>
      </c>
      <c r="AG501" s="13">
        <v>59.0</v>
      </c>
      <c r="AH501" s="13">
        <v>36.0</v>
      </c>
      <c r="AI501" s="13">
        <v>40.0</v>
      </c>
      <c r="AJ501" s="13">
        <v>2.0</v>
      </c>
      <c r="AK501" s="13">
        <v>162.0</v>
      </c>
      <c r="AL501" s="13" t="s">
        <v>5759</v>
      </c>
      <c r="AM501" s="13" t="s">
        <v>5760</v>
      </c>
      <c r="AN501" s="13" t="s">
        <v>5761</v>
      </c>
      <c r="AO501" s="13" t="s">
        <v>14574</v>
      </c>
      <c r="AP501" s="13" t="s">
        <v>14575</v>
      </c>
      <c r="AQ501" s="13" t="s">
        <v>5510</v>
      </c>
      <c r="AR501" s="13" t="s">
        <v>14576</v>
      </c>
      <c r="AS501" s="13" t="s">
        <v>14577</v>
      </c>
      <c r="AT501" s="13" t="s">
        <v>2738</v>
      </c>
      <c r="AU501" s="13">
        <v>2019.0</v>
      </c>
      <c r="AV501" s="13">
        <v>74.0</v>
      </c>
      <c r="AW501" s="13" t="s">
        <v>5510</v>
      </c>
      <c r="AX501" s="13" t="s">
        <v>5510</v>
      </c>
      <c r="AY501" s="13" t="s">
        <v>5510</v>
      </c>
      <c r="AZ501" s="13" t="s">
        <v>5510</v>
      </c>
      <c r="BA501" s="13" t="s">
        <v>5510</v>
      </c>
      <c r="BB501" s="13">
        <v>281.0</v>
      </c>
      <c r="BC501" s="13">
        <v>294.0</v>
      </c>
      <c r="BD501" s="13" t="s">
        <v>5510</v>
      </c>
      <c r="BE501" s="13" t="s">
        <v>14578</v>
      </c>
      <c r="BF501" s="52" t="str">
        <f>HYPERLINK("http://dx.doi.org/10.1016/j.jag.2018.09.017","http://dx.doi.org/10.1016/j.jag.2018.09.017")</f>
        <v>http://dx.doi.org/10.1016/j.jag.2018.09.017</v>
      </c>
      <c r="BG501" s="13" t="s">
        <v>5510</v>
      </c>
      <c r="BH501" s="13" t="s">
        <v>5510</v>
      </c>
      <c r="BI501" s="13">
        <v>14.0</v>
      </c>
      <c r="BJ501" s="13" t="s">
        <v>866</v>
      </c>
      <c r="BK501" s="13" t="s">
        <v>5561</v>
      </c>
      <c r="BL501" s="13" t="s">
        <v>866</v>
      </c>
      <c r="BM501" s="13" t="s">
        <v>14579</v>
      </c>
      <c r="BN501" s="13" t="s">
        <v>5510</v>
      </c>
      <c r="BO501" s="13" t="s">
        <v>5510</v>
      </c>
      <c r="BP501" s="13" t="s">
        <v>5510</v>
      </c>
      <c r="BQ501" s="13" t="s">
        <v>5510</v>
      </c>
      <c r="BR501" s="13" t="s">
        <v>5538</v>
      </c>
      <c r="BS501" s="13" t="s">
        <v>14580</v>
      </c>
      <c r="BT501" s="13">
        <v>25575.0</v>
      </c>
      <c r="BU501" s="13" t="s">
        <v>5540</v>
      </c>
      <c r="BV501" s="13" t="s">
        <v>4880</v>
      </c>
      <c r="BW501" s="13" t="str">
        <f>VLOOKUP($BT501,Enriched!$A$2:$E$1070,5,false)</f>
        <v>["Agriculture &amp; Aquaculture"]</v>
      </c>
      <c r="BX501" s="13" t="str">
        <f>VLOOKUP($BT501,Enriched!$A$2:$E$1070,4,false)</f>
        <v>["Wood &amp; pulp plantations"]</v>
      </c>
      <c r="BY501" s="13" t="b">
        <f>VLOOKUP(BT501,Enriched!$A$1:$AA$1070,27,falsE)</f>
        <v>1</v>
      </c>
      <c r="BZ501" s="2" t="str">
        <f>VLOOKUP(BT501,Enriched!$A$1:$AA$1070,14,falsE)</f>
        <v>level2</v>
      </c>
      <c r="CA501" s="13" t="str">
        <f>HYPERLINK("https%3A%2F%2Fwww.webofscience.com%2Fwos%2Fwoscc%2Ffull-record%2FWOS:000449126800026","View Full Record in Web of Science")</f>
        <v>View Full Record in Web of Science</v>
      </c>
    </row>
    <row r="502" ht="12.75" customHeight="1">
      <c r="A502" s="13" t="s">
        <v>5508</v>
      </c>
      <c r="B502" s="13" t="s">
        <v>14581</v>
      </c>
      <c r="C502" s="13" t="s">
        <v>5510</v>
      </c>
      <c r="D502" s="13" t="s">
        <v>5510</v>
      </c>
      <c r="E502" s="13" t="s">
        <v>5510</v>
      </c>
      <c r="F502" s="13" t="s">
        <v>14581</v>
      </c>
      <c r="G502" s="13" t="s">
        <v>5510</v>
      </c>
      <c r="H502" s="13" t="s">
        <v>5510</v>
      </c>
      <c r="I502" s="13" t="s">
        <v>1500</v>
      </c>
      <c r="J502" s="13" t="s">
        <v>13320</v>
      </c>
      <c r="K502" s="13" t="s">
        <v>5510</v>
      </c>
      <c r="L502" s="13" t="s">
        <v>5510</v>
      </c>
      <c r="M502" s="13" t="s">
        <v>5513</v>
      </c>
      <c r="N502" s="13" t="s">
        <v>5514</v>
      </c>
      <c r="O502" s="13" t="s">
        <v>5510</v>
      </c>
      <c r="P502" s="13" t="s">
        <v>5510</v>
      </c>
      <c r="Q502" s="13" t="s">
        <v>5510</v>
      </c>
      <c r="R502" s="13" t="s">
        <v>5510</v>
      </c>
      <c r="S502" s="13" t="s">
        <v>5510</v>
      </c>
      <c r="T502" s="13" t="s">
        <v>14582</v>
      </c>
      <c r="U502" s="13" t="s">
        <v>14583</v>
      </c>
      <c r="V502" s="13" t="s">
        <v>14584</v>
      </c>
      <c r="W502" s="13" t="s">
        <v>14585</v>
      </c>
      <c r="X502" s="13" t="s">
        <v>14586</v>
      </c>
      <c r="Y502" s="13" t="s">
        <v>14587</v>
      </c>
      <c r="Z502" s="13" t="s">
        <v>14588</v>
      </c>
      <c r="AA502" s="13" t="s">
        <v>13814</v>
      </c>
      <c r="AB502" s="13" t="s">
        <v>13815</v>
      </c>
      <c r="AC502" s="13" t="s">
        <v>5510</v>
      </c>
      <c r="AD502" s="13" t="s">
        <v>5510</v>
      </c>
      <c r="AE502" s="13" t="s">
        <v>5510</v>
      </c>
      <c r="AF502" s="13" t="s">
        <v>5510</v>
      </c>
      <c r="AG502" s="13">
        <v>58.0</v>
      </c>
      <c r="AH502" s="13">
        <v>37.0</v>
      </c>
      <c r="AI502" s="13">
        <v>48.0</v>
      </c>
      <c r="AJ502" s="13">
        <v>0.0</v>
      </c>
      <c r="AK502" s="13">
        <v>40.0</v>
      </c>
      <c r="AL502" s="13" t="s">
        <v>5759</v>
      </c>
      <c r="AM502" s="13" t="s">
        <v>5760</v>
      </c>
      <c r="AN502" s="13" t="s">
        <v>5761</v>
      </c>
      <c r="AO502" s="13" t="s">
        <v>13329</v>
      </c>
      <c r="AP502" s="13" t="s">
        <v>13330</v>
      </c>
      <c r="AQ502" s="13" t="s">
        <v>5510</v>
      </c>
      <c r="AR502" s="13" t="s">
        <v>13331</v>
      </c>
      <c r="AS502" s="13" t="s">
        <v>13332</v>
      </c>
      <c r="AT502" s="13" t="s">
        <v>6828</v>
      </c>
      <c r="AU502" s="13">
        <v>2003.0</v>
      </c>
      <c r="AV502" s="13">
        <v>95.0</v>
      </c>
      <c r="AW502" s="13">
        <v>1.0</v>
      </c>
      <c r="AX502" s="13" t="s">
        <v>5510</v>
      </c>
      <c r="AY502" s="13" t="s">
        <v>5510</v>
      </c>
      <c r="AZ502" s="13" t="s">
        <v>5510</v>
      </c>
      <c r="BA502" s="13" t="s">
        <v>5510</v>
      </c>
      <c r="BB502" s="13">
        <v>157.0</v>
      </c>
      <c r="BC502" s="13">
        <v>178.0</v>
      </c>
      <c r="BD502" s="13" t="s">
        <v>14589</v>
      </c>
      <c r="BE502" s="13" t="s">
        <v>14590</v>
      </c>
      <c r="BF502" s="52" t="str">
        <f>HYPERLINK("http://dx.doi.org/10.1016/S0167-8809(02)00102-0","http://dx.doi.org/10.1016/S0167-8809(02)00102-0")</f>
        <v>http://dx.doi.org/10.1016/S0167-8809(02)00102-0</v>
      </c>
      <c r="BG502" s="13" t="s">
        <v>5510</v>
      </c>
      <c r="BH502" s="13" t="s">
        <v>5510</v>
      </c>
      <c r="BI502" s="13">
        <v>22.0</v>
      </c>
      <c r="BJ502" s="13" t="s">
        <v>13334</v>
      </c>
      <c r="BK502" s="13" t="s">
        <v>5561</v>
      </c>
      <c r="BL502" s="13" t="s">
        <v>6256</v>
      </c>
      <c r="BM502" s="13" t="s">
        <v>14591</v>
      </c>
      <c r="BN502" s="13" t="s">
        <v>5510</v>
      </c>
      <c r="BO502" s="13" t="s">
        <v>5510</v>
      </c>
      <c r="BP502" s="13" t="s">
        <v>5510</v>
      </c>
      <c r="BQ502" s="13" t="s">
        <v>5510</v>
      </c>
      <c r="BR502" s="13" t="s">
        <v>5538</v>
      </c>
      <c r="BS502" s="13" t="s">
        <v>14592</v>
      </c>
      <c r="BT502" s="13">
        <v>25998.0</v>
      </c>
      <c r="BU502" s="13" t="s">
        <v>5540</v>
      </c>
      <c r="BV502" s="13" t="s">
        <v>4856</v>
      </c>
      <c r="BW502" s="13" t="str">
        <f>VLOOKUP($BT502,Enriched!$A$2:$E$1070,5,false)</f>
        <v>["Agriculture &amp; Aquaculture"]</v>
      </c>
      <c r="BX502" s="13" t="str">
        <f>VLOOKUP($BT502,Enriched!$A$2:$E$1070,4,false)</f>
        <v>["Annual &amp; perennial non-timber crops", "Wood &amp; pulp plantations"]</v>
      </c>
      <c r="BY502" s="13" t="b">
        <f>VLOOKUP(BT502,Enriched!$A$1:$AA$1070,27,falsE)</f>
        <v>0</v>
      </c>
      <c r="BZ502" s="2" t="str">
        <f>VLOOKUP(BT502,Enriched!$A$1:$AA$1070,14,falsE)</f>
        <v>level2</v>
      </c>
      <c r="CA502" s="13" t="str">
        <f>HYPERLINK("https%3A%2F%2Fwww.webofscience.com%2Fwos%2Fwoscc%2Ffull-record%2FWOS:000181704100015","View Full Record in Web of Science")</f>
        <v>View Full Record in Web of Science</v>
      </c>
    </row>
    <row r="503" ht="12.75" customHeight="1">
      <c r="A503" s="13" t="s">
        <v>5508</v>
      </c>
      <c r="B503" s="13" t="s">
        <v>14593</v>
      </c>
      <c r="C503" s="13" t="s">
        <v>5510</v>
      </c>
      <c r="D503" s="13" t="s">
        <v>5510</v>
      </c>
      <c r="E503" s="13" t="s">
        <v>5510</v>
      </c>
      <c r="F503" s="13" t="s">
        <v>14594</v>
      </c>
      <c r="G503" s="13" t="s">
        <v>5510</v>
      </c>
      <c r="H503" s="13" t="s">
        <v>5510</v>
      </c>
      <c r="I503" s="13" t="s">
        <v>1497</v>
      </c>
      <c r="J503" s="13" t="s">
        <v>6114</v>
      </c>
      <c r="K503" s="13" t="s">
        <v>5510</v>
      </c>
      <c r="L503" s="13" t="s">
        <v>5510</v>
      </c>
      <c r="M503" s="13" t="s">
        <v>5513</v>
      </c>
      <c r="N503" s="13" t="s">
        <v>5514</v>
      </c>
      <c r="O503" s="13" t="s">
        <v>5510</v>
      </c>
      <c r="P503" s="13" t="s">
        <v>5510</v>
      </c>
      <c r="Q503" s="13" t="s">
        <v>5510</v>
      </c>
      <c r="R503" s="13" t="s">
        <v>5510</v>
      </c>
      <c r="S503" s="13" t="s">
        <v>5510</v>
      </c>
      <c r="T503" s="13" t="s">
        <v>14595</v>
      </c>
      <c r="U503" s="13" t="s">
        <v>14596</v>
      </c>
      <c r="V503" s="13" t="s">
        <v>14597</v>
      </c>
      <c r="W503" s="13" t="s">
        <v>14598</v>
      </c>
      <c r="X503" s="13" t="s">
        <v>14599</v>
      </c>
      <c r="Y503" s="13" t="s">
        <v>14600</v>
      </c>
      <c r="Z503" s="13" t="s">
        <v>14601</v>
      </c>
      <c r="AA503" s="13" t="s">
        <v>5510</v>
      </c>
      <c r="AB503" s="13" t="s">
        <v>14602</v>
      </c>
      <c r="AC503" s="13" t="s">
        <v>14603</v>
      </c>
      <c r="AD503" s="13" t="s">
        <v>14603</v>
      </c>
      <c r="AE503" s="13" t="s">
        <v>14604</v>
      </c>
      <c r="AF503" s="13" t="s">
        <v>5510</v>
      </c>
      <c r="AG503" s="13">
        <v>92.0</v>
      </c>
      <c r="AH503" s="13">
        <v>22.0</v>
      </c>
      <c r="AI503" s="13">
        <v>25.0</v>
      </c>
      <c r="AJ503" s="13">
        <v>1.0</v>
      </c>
      <c r="AK503" s="13">
        <v>46.0</v>
      </c>
      <c r="AL503" s="13" t="s">
        <v>5931</v>
      </c>
      <c r="AM503" s="13" t="s">
        <v>5932</v>
      </c>
      <c r="AN503" s="13" t="s">
        <v>5933</v>
      </c>
      <c r="AO503" s="13" t="s">
        <v>6127</v>
      </c>
      <c r="AP503" s="13" t="s">
        <v>6128</v>
      </c>
      <c r="AQ503" s="13" t="s">
        <v>5510</v>
      </c>
      <c r="AR503" s="13" t="s">
        <v>6129</v>
      </c>
      <c r="AS503" s="13" t="s">
        <v>6130</v>
      </c>
      <c r="AT503" s="13" t="s">
        <v>14605</v>
      </c>
      <c r="AU503" s="13">
        <v>2019.0</v>
      </c>
      <c r="AV503" s="13">
        <v>172.0</v>
      </c>
      <c r="AW503" s="13" t="s">
        <v>5510</v>
      </c>
      <c r="AX503" s="13" t="s">
        <v>5510</v>
      </c>
      <c r="AY503" s="13" t="s">
        <v>5510</v>
      </c>
      <c r="AZ503" s="13" t="s">
        <v>5510</v>
      </c>
      <c r="BA503" s="13" t="s">
        <v>5510</v>
      </c>
      <c r="BB503" s="13">
        <v>82.0</v>
      </c>
      <c r="BC503" s="13">
        <v>92.0</v>
      </c>
      <c r="BD503" s="13" t="s">
        <v>5510</v>
      </c>
      <c r="BE503" s="13" t="s">
        <v>14606</v>
      </c>
      <c r="BF503" s="52" t="str">
        <f>HYPERLINK("http://dx.doi.org/10.1016/j.ocecoaman.2019.02.002","http://dx.doi.org/10.1016/j.ocecoaman.2019.02.002")</f>
        <v>http://dx.doi.org/10.1016/j.ocecoaman.2019.02.002</v>
      </c>
      <c r="BG503" s="13" t="s">
        <v>5510</v>
      </c>
      <c r="BH503" s="13" t="s">
        <v>5510</v>
      </c>
      <c r="BI503" s="13">
        <v>11.0</v>
      </c>
      <c r="BJ503" s="13" t="s">
        <v>6133</v>
      </c>
      <c r="BK503" s="13" t="s">
        <v>5534</v>
      </c>
      <c r="BL503" s="13" t="s">
        <v>6133</v>
      </c>
      <c r="BM503" s="13" t="s">
        <v>14607</v>
      </c>
      <c r="BN503" s="13" t="s">
        <v>5510</v>
      </c>
      <c r="BO503" s="13" t="s">
        <v>5510</v>
      </c>
      <c r="BP503" s="13" t="s">
        <v>5510</v>
      </c>
      <c r="BQ503" s="13" t="s">
        <v>5510</v>
      </c>
      <c r="BR503" s="13" t="s">
        <v>5538</v>
      </c>
      <c r="BS503" s="13" t="s">
        <v>14608</v>
      </c>
      <c r="BT503" s="13">
        <v>24944.0</v>
      </c>
      <c r="BU503" s="13" t="s">
        <v>5540</v>
      </c>
      <c r="BV503" s="13" t="s">
        <v>4864</v>
      </c>
      <c r="BW503" s="13" t="str">
        <f>VLOOKUP($BT503,Enriched!$A$2:$E$1070,5,false)</f>
        <v>["Biological resource use"]</v>
      </c>
      <c r="BX503" s="13" t="str">
        <f>VLOOKUP($BT503,Enriched!$A$2:$E$1070,4,false)</f>
        <v>["Fishing &amp; harvesting aquatic resources"]</v>
      </c>
      <c r="BY503" s="13" t="b">
        <f>VLOOKUP(BT503,Enriched!$A$1:$AA$1070,27,falsE)</f>
        <v>0</v>
      </c>
      <c r="BZ503" s="2" t="str">
        <f>VLOOKUP(BT503,Enriched!$A$1:$AA$1070,14,falsE)</f>
        <v>level2</v>
      </c>
      <c r="CA503" s="13" t="str">
        <f>HYPERLINK("https%3A%2F%2Fwww.webofscience.com%2Fwos%2Fwoscc%2Ffull-record%2FWOS:000462801300007","View Full Record in Web of Science")</f>
        <v>View Full Record in Web of Science</v>
      </c>
    </row>
    <row r="504" ht="12.75" customHeight="1">
      <c r="A504" s="13" t="s">
        <v>5508</v>
      </c>
      <c r="B504" s="13" t="s">
        <v>14609</v>
      </c>
      <c r="C504" s="13" t="s">
        <v>5510</v>
      </c>
      <c r="D504" s="13" t="s">
        <v>5510</v>
      </c>
      <c r="E504" s="13" t="s">
        <v>5510</v>
      </c>
      <c r="F504" s="13" t="s">
        <v>14610</v>
      </c>
      <c r="G504" s="13" t="s">
        <v>5510</v>
      </c>
      <c r="H504" s="13" t="s">
        <v>5510</v>
      </c>
      <c r="I504" s="13" t="s">
        <v>1494</v>
      </c>
      <c r="J504" s="13" t="s">
        <v>6212</v>
      </c>
      <c r="K504" s="13" t="s">
        <v>5510</v>
      </c>
      <c r="L504" s="13" t="s">
        <v>5510</v>
      </c>
      <c r="M504" s="13" t="s">
        <v>5513</v>
      </c>
      <c r="N504" s="13" t="s">
        <v>5514</v>
      </c>
      <c r="O504" s="13" t="s">
        <v>5510</v>
      </c>
      <c r="P504" s="13" t="s">
        <v>5510</v>
      </c>
      <c r="Q504" s="13" t="s">
        <v>5510</v>
      </c>
      <c r="R504" s="13" t="s">
        <v>5510</v>
      </c>
      <c r="S504" s="13" t="s">
        <v>5510</v>
      </c>
      <c r="T504" s="13" t="s">
        <v>14611</v>
      </c>
      <c r="U504" s="13" t="s">
        <v>5510</v>
      </c>
      <c r="V504" s="13" t="s">
        <v>14612</v>
      </c>
      <c r="W504" s="13" t="s">
        <v>14613</v>
      </c>
      <c r="X504" s="13" t="s">
        <v>14614</v>
      </c>
      <c r="Y504" s="13" t="s">
        <v>14615</v>
      </c>
      <c r="Z504" s="13" t="s">
        <v>14616</v>
      </c>
      <c r="AA504" s="13" t="s">
        <v>14617</v>
      </c>
      <c r="AB504" s="13" t="s">
        <v>14618</v>
      </c>
      <c r="AC504" s="13" t="s">
        <v>14619</v>
      </c>
      <c r="AD504" s="13" t="s">
        <v>14620</v>
      </c>
      <c r="AE504" s="13" t="s">
        <v>14621</v>
      </c>
      <c r="AF504" s="13" t="s">
        <v>5510</v>
      </c>
      <c r="AG504" s="13">
        <v>74.0</v>
      </c>
      <c r="AH504" s="13">
        <v>86.0</v>
      </c>
      <c r="AI504" s="13">
        <v>100.0</v>
      </c>
      <c r="AJ504" s="13">
        <v>1.0</v>
      </c>
      <c r="AK504" s="13">
        <v>21.0</v>
      </c>
      <c r="AL504" s="13" t="s">
        <v>5759</v>
      </c>
      <c r="AM504" s="13" t="s">
        <v>5760</v>
      </c>
      <c r="AN504" s="13" t="s">
        <v>5761</v>
      </c>
      <c r="AO504" s="13" t="s">
        <v>6225</v>
      </c>
      <c r="AP504" s="13" t="s">
        <v>5510</v>
      </c>
      <c r="AQ504" s="13" t="s">
        <v>5510</v>
      </c>
      <c r="AR504" s="13" t="s">
        <v>6226</v>
      </c>
      <c r="AS504" s="13" t="s">
        <v>6227</v>
      </c>
      <c r="AT504" s="13" t="s">
        <v>5667</v>
      </c>
      <c r="AU504" s="13">
        <v>2015.0</v>
      </c>
      <c r="AV504" s="13">
        <v>4.0</v>
      </c>
      <c r="AW504" s="13" t="s">
        <v>5510</v>
      </c>
      <c r="AX504" s="13" t="s">
        <v>5510</v>
      </c>
      <c r="AY504" s="13" t="s">
        <v>5510</v>
      </c>
      <c r="AZ504" s="13" t="s">
        <v>5510</v>
      </c>
      <c r="BA504" s="13" t="s">
        <v>5510</v>
      </c>
      <c r="BB504" s="13">
        <v>559.0</v>
      </c>
      <c r="BC504" s="13">
        <v>571.0</v>
      </c>
      <c r="BD504" s="13" t="s">
        <v>5510</v>
      </c>
      <c r="BE504" s="13" t="s">
        <v>14622</v>
      </c>
      <c r="BF504" s="52" t="str">
        <f>HYPERLINK("http://dx.doi.org/10.1016/j.gecco.2015.10.006","http://dx.doi.org/10.1016/j.gecco.2015.10.006")</f>
        <v>http://dx.doi.org/10.1016/j.gecco.2015.10.006</v>
      </c>
      <c r="BG504" s="13" t="s">
        <v>5510</v>
      </c>
      <c r="BH504" s="13" t="s">
        <v>5510</v>
      </c>
      <c r="BI504" s="13">
        <v>13.0</v>
      </c>
      <c r="BJ504" s="13" t="s">
        <v>5958</v>
      </c>
      <c r="BK504" s="13" t="s">
        <v>5561</v>
      </c>
      <c r="BL504" s="13" t="s">
        <v>5699</v>
      </c>
      <c r="BM504" s="13" t="s">
        <v>14623</v>
      </c>
      <c r="BN504" s="13" t="s">
        <v>5510</v>
      </c>
      <c r="BO504" s="13" t="s">
        <v>5537</v>
      </c>
      <c r="BP504" s="13" t="s">
        <v>5510</v>
      </c>
      <c r="BQ504" s="13" t="s">
        <v>5510</v>
      </c>
      <c r="BR504" s="13" t="s">
        <v>5538</v>
      </c>
      <c r="BS504" s="13" t="s">
        <v>14624</v>
      </c>
      <c r="BT504" s="13">
        <v>23740.0</v>
      </c>
      <c r="BU504" s="13" t="s">
        <v>5540</v>
      </c>
      <c r="BV504" s="13" t="s">
        <v>4856</v>
      </c>
      <c r="BW504" s="13" t="str">
        <f>VLOOKUP($BT504,Enriched!$A$2:$E$1070,5,false)</f>
        <v>["Agriculture &amp; Aquaculture"]</v>
      </c>
      <c r="BX504" s="13" t="str">
        <f>VLOOKUP($BT504,Enriched!$A$2:$E$1070,4,false)</f>
        <v/>
      </c>
      <c r="BY504" s="13" t="b">
        <f>VLOOKUP(BT504,Enriched!$A$1:$AA$1070,27,falsE)</f>
        <v>1</v>
      </c>
      <c r="BZ504" s="2" t="str">
        <f>VLOOKUP(BT504,Enriched!$A$1:$AA$1070,14,falsE)</f>
        <v>level2</v>
      </c>
      <c r="CA504" s="13" t="str">
        <f>HYPERLINK("https%3A%2F%2Fwww.webofscience.com%2Fwos%2Fwoscc%2Ffull-record%2FWOS:000416220800052","View Full Record in Web of Science")</f>
        <v>View Full Record in Web of Science</v>
      </c>
    </row>
    <row r="505" ht="12.75" customHeight="1">
      <c r="A505" s="13" t="s">
        <v>5508</v>
      </c>
      <c r="B505" s="13" t="s">
        <v>14625</v>
      </c>
      <c r="C505" s="13" t="s">
        <v>5510</v>
      </c>
      <c r="D505" s="13" t="s">
        <v>5510</v>
      </c>
      <c r="E505" s="13" t="s">
        <v>5510</v>
      </c>
      <c r="F505" s="13" t="s">
        <v>14626</v>
      </c>
      <c r="G505" s="13" t="s">
        <v>5510</v>
      </c>
      <c r="H505" s="13" t="s">
        <v>5510</v>
      </c>
      <c r="I505" s="13" t="s">
        <v>1491</v>
      </c>
      <c r="J505" s="13" t="s">
        <v>5746</v>
      </c>
      <c r="K505" s="13" t="s">
        <v>5510</v>
      </c>
      <c r="L505" s="13" t="s">
        <v>5510</v>
      </c>
      <c r="M505" s="13" t="s">
        <v>5513</v>
      </c>
      <c r="N505" s="13" t="s">
        <v>5514</v>
      </c>
      <c r="O505" s="13" t="s">
        <v>5510</v>
      </c>
      <c r="P505" s="13" t="s">
        <v>5510</v>
      </c>
      <c r="Q505" s="13" t="s">
        <v>5510</v>
      </c>
      <c r="R505" s="13" t="s">
        <v>5510</v>
      </c>
      <c r="S505" s="13" t="s">
        <v>5510</v>
      </c>
      <c r="T505" s="13" t="s">
        <v>14627</v>
      </c>
      <c r="U505" s="13" t="s">
        <v>14628</v>
      </c>
      <c r="V505" s="13" t="s">
        <v>14629</v>
      </c>
      <c r="W505" s="13" t="s">
        <v>14630</v>
      </c>
      <c r="X505" s="13" t="s">
        <v>14631</v>
      </c>
      <c r="Y505" s="13" t="s">
        <v>14632</v>
      </c>
      <c r="Z505" s="13" t="s">
        <v>14633</v>
      </c>
      <c r="AA505" s="13" t="s">
        <v>14634</v>
      </c>
      <c r="AB505" s="13" t="s">
        <v>14635</v>
      </c>
      <c r="AC505" s="13" t="s">
        <v>13978</v>
      </c>
      <c r="AD505" s="13" t="s">
        <v>13979</v>
      </c>
      <c r="AE505" s="13" t="s">
        <v>14636</v>
      </c>
      <c r="AF505" s="13" t="s">
        <v>5510</v>
      </c>
      <c r="AG505" s="13">
        <v>65.0</v>
      </c>
      <c r="AH505" s="13">
        <v>48.0</v>
      </c>
      <c r="AI505" s="13">
        <v>54.0</v>
      </c>
      <c r="AJ505" s="13">
        <v>1.0</v>
      </c>
      <c r="AK505" s="13">
        <v>212.0</v>
      </c>
      <c r="AL505" s="13" t="s">
        <v>5759</v>
      </c>
      <c r="AM505" s="13" t="s">
        <v>5760</v>
      </c>
      <c r="AN505" s="13" t="s">
        <v>5761</v>
      </c>
      <c r="AO505" s="13" t="s">
        <v>5762</v>
      </c>
      <c r="AP505" s="13" t="s">
        <v>5763</v>
      </c>
      <c r="AQ505" s="13" t="s">
        <v>5510</v>
      </c>
      <c r="AR505" s="13" t="s">
        <v>5764</v>
      </c>
      <c r="AS505" s="13" t="s">
        <v>5765</v>
      </c>
      <c r="AT505" s="13" t="s">
        <v>14637</v>
      </c>
      <c r="AU505" s="13">
        <v>2017.0</v>
      </c>
      <c r="AV505" s="13">
        <v>590.0</v>
      </c>
      <c r="AW505" s="13" t="s">
        <v>5510</v>
      </c>
      <c r="AX505" s="13" t="s">
        <v>5510</v>
      </c>
      <c r="AY505" s="13" t="s">
        <v>5510</v>
      </c>
      <c r="AZ505" s="13" t="s">
        <v>5510</v>
      </c>
      <c r="BA505" s="13" t="s">
        <v>5510</v>
      </c>
      <c r="BB505" s="13">
        <v>566.0</v>
      </c>
      <c r="BC505" s="13">
        <v>578.0</v>
      </c>
      <c r="BD505" s="13" t="s">
        <v>5510</v>
      </c>
      <c r="BE505" s="13" t="s">
        <v>14638</v>
      </c>
      <c r="BF505" s="52" t="str">
        <f>HYPERLINK("http://dx.doi.org/10.1016/j.scitotenv.2017.02.221","http://dx.doi.org/10.1016/j.scitotenv.2017.02.221")</f>
        <v>http://dx.doi.org/10.1016/j.scitotenv.2017.02.221</v>
      </c>
      <c r="BG505" s="13" t="s">
        <v>5510</v>
      </c>
      <c r="BH505" s="13" t="s">
        <v>5510</v>
      </c>
      <c r="BI505" s="13">
        <v>13.0</v>
      </c>
      <c r="BJ505" s="13" t="s">
        <v>5768</v>
      </c>
      <c r="BK505" s="13" t="s">
        <v>5561</v>
      </c>
      <c r="BL505" s="13" t="s">
        <v>5535</v>
      </c>
      <c r="BM505" s="13" t="s">
        <v>14639</v>
      </c>
      <c r="BN505" s="13">
        <v>2.8284647E7</v>
      </c>
      <c r="BO505" s="13" t="s">
        <v>6623</v>
      </c>
      <c r="BP505" s="13" t="s">
        <v>5510</v>
      </c>
      <c r="BQ505" s="13" t="s">
        <v>5510</v>
      </c>
      <c r="BR505" s="13" t="s">
        <v>5538</v>
      </c>
      <c r="BS505" s="13" t="s">
        <v>14640</v>
      </c>
      <c r="BT505" s="13">
        <v>24694.0</v>
      </c>
      <c r="BU505" s="13" t="s">
        <v>5540</v>
      </c>
      <c r="BV505" s="13" t="s">
        <v>4864</v>
      </c>
      <c r="BW505" s="13" t="str">
        <f>VLOOKUP($BT505,Enriched!$A$2:$E$1070,5,false)</f>
        <v>["Energy Production &amp; Mining", "Pollution"]</v>
      </c>
      <c r="BX505" s="13" t="str">
        <f>VLOOKUP($BT505,Enriched!$A$2:$E$1070,4,false)</f>
        <v>["Housing &amp; urban area", "Oil &amp; gas drilling"]</v>
      </c>
      <c r="BY505" s="13" t="b">
        <f>VLOOKUP(BT505,Enriched!$A$1:$AA$1070,27,falsE)</f>
        <v>1</v>
      </c>
      <c r="BZ505" s="2" t="str">
        <f>VLOOKUP(BT505,Enriched!$A$1:$AA$1070,14,falsE)</f>
        <v>level2</v>
      </c>
      <c r="CA505" s="13" t="str">
        <f>HYPERLINK("https%3A%2F%2Fwww.webofscience.com%2Fwos%2Fwoscc%2Ffull-record%2FWOS:000399511800056","View Full Record in Web of Science")</f>
        <v>View Full Record in Web of Science</v>
      </c>
    </row>
    <row r="506" ht="12.75" customHeight="1">
      <c r="A506" s="13" t="s">
        <v>5508</v>
      </c>
      <c r="B506" s="13" t="s">
        <v>14641</v>
      </c>
      <c r="C506" s="13" t="s">
        <v>5510</v>
      </c>
      <c r="D506" s="13" t="s">
        <v>5510</v>
      </c>
      <c r="E506" s="13" t="s">
        <v>5510</v>
      </c>
      <c r="F506" s="13" t="s">
        <v>14642</v>
      </c>
      <c r="G506" s="13" t="s">
        <v>5510</v>
      </c>
      <c r="H506" s="13" t="s">
        <v>5510</v>
      </c>
      <c r="I506" s="13" t="s">
        <v>1488</v>
      </c>
      <c r="J506" s="13" t="s">
        <v>6493</v>
      </c>
      <c r="K506" s="13" t="s">
        <v>5510</v>
      </c>
      <c r="L506" s="13" t="s">
        <v>5510</v>
      </c>
      <c r="M506" s="13" t="s">
        <v>5513</v>
      </c>
      <c r="N506" s="13" t="s">
        <v>5514</v>
      </c>
      <c r="O506" s="13" t="s">
        <v>5510</v>
      </c>
      <c r="P506" s="13" t="s">
        <v>5510</v>
      </c>
      <c r="Q506" s="13" t="s">
        <v>5510</v>
      </c>
      <c r="R506" s="13" t="s">
        <v>5510</v>
      </c>
      <c r="S506" s="13" t="s">
        <v>5510</v>
      </c>
      <c r="T506" s="13" t="s">
        <v>14643</v>
      </c>
      <c r="U506" s="13" t="s">
        <v>14644</v>
      </c>
      <c r="V506" s="13" t="s">
        <v>14645</v>
      </c>
      <c r="W506" s="13" t="s">
        <v>14646</v>
      </c>
      <c r="X506" s="13" t="s">
        <v>14647</v>
      </c>
      <c r="Y506" s="13" t="s">
        <v>14648</v>
      </c>
      <c r="Z506" s="13" t="s">
        <v>14649</v>
      </c>
      <c r="AA506" s="13" t="s">
        <v>14650</v>
      </c>
      <c r="AB506" s="13" t="s">
        <v>14651</v>
      </c>
      <c r="AC506" s="13" t="s">
        <v>14652</v>
      </c>
      <c r="AD506" s="13" t="s">
        <v>14653</v>
      </c>
      <c r="AE506" s="13" t="s">
        <v>14654</v>
      </c>
      <c r="AF506" s="13" t="s">
        <v>5510</v>
      </c>
      <c r="AG506" s="13">
        <v>48.0</v>
      </c>
      <c r="AH506" s="13">
        <v>49.0</v>
      </c>
      <c r="AI506" s="13">
        <v>52.0</v>
      </c>
      <c r="AJ506" s="13">
        <v>1.0</v>
      </c>
      <c r="AK506" s="13">
        <v>35.0</v>
      </c>
      <c r="AL506" s="13" t="s">
        <v>5690</v>
      </c>
      <c r="AM506" s="13" t="s">
        <v>6503</v>
      </c>
      <c r="AN506" s="13" t="s">
        <v>6504</v>
      </c>
      <c r="AO506" s="13" t="s">
        <v>6505</v>
      </c>
      <c r="AP506" s="13" t="s">
        <v>6506</v>
      </c>
      <c r="AQ506" s="13" t="s">
        <v>5510</v>
      </c>
      <c r="AR506" s="13" t="s">
        <v>6493</v>
      </c>
      <c r="AS506" s="13" t="s">
        <v>138</v>
      </c>
      <c r="AT506" s="13" t="s">
        <v>1925</v>
      </c>
      <c r="AU506" s="13">
        <v>2016.0</v>
      </c>
      <c r="AV506" s="13">
        <v>35.0</v>
      </c>
      <c r="AW506" s="13">
        <v>3.0</v>
      </c>
      <c r="AX506" s="13" t="s">
        <v>5510</v>
      </c>
      <c r="AY506" s="13" t="s">
        <v>5510</v>
      </c>
      <c r="AZ506" s="13" t="s">
        <v>5510</v>
      </c>
      <c r="BA506" s="13" t="s">
        <v>5510</v>
      </c>
      <c r="BB506" s="13">
        <v>751.0</v>
      </c>
      <c r="BC506" s="13">
        <v>763.0</v>
      </c>
      <c r="BD506" s="13" t="s">
        <v>5510</v>
      </c>
      <c r="BE506" s="13" t="s">
        <v>14655</v>
      </c>
      <c r="BF506" s="52" t="str">
        <f>HYPERLINK("http://dx.doi.org/10.1007/s00338-016-1441-0","http://dx.doi.org/10.1007/s00338-016-1441-0")</f>
        <v>http://dx.doi.org/10.1007/s00338-016-1441-0</v>
      </c>
      <c r="BG506" s="13" t="s">
        <v>5510</v>
      </c>
      <c r="BH506" s="13" t="s">
        <v>5510</v>
      </c>
      <c r="BI506" s="13">
        <v>13.0</v>
      </c>
      <c r="BJ506" s="13" t="s">
        <v>6508</v>
      </c>
      <c r="BK506" s="13" t="s">
        <v>5561</v>
      </c>
      <c r="BL506" s="13" t="s">
        <v>6508</v>
      </c>
      <c r="BM506" s="13" t="s">
        <v>14656</v>
      </c>
      <c r="BN506" s="13" t="s">
        <v>5510</v>
      </c>
      <c r="BO506" s="13" t="s">
        <v>5510</v>
      </c>
      <c r="BP506" s="13" t="s">
        <v>5510</v>
      </c>
      <c r="BQ506" s="13" t="s">
        <v>5510</v>
      </c>
      <c r="BR506" s="13" t="s">
        <v>5538</v>
      </c>
      <c r="BS506" s="13" t="s">
        <v>14657</v>
      </c>
      <c r="BT506" s="13">
        <v>24129.0</v>
      </c>
      <c r="BU506" s="13" t="s">
        <v>5540</v>
      </c>
      <c r="BV506" s="13" t="s">
        <v>4864</v>
      </c>
      <c r="BW506" s="13" t="str">
        <f>VLOOKUP($BT506,Enriched!$A$2:$E$1070,5,false)</f>
        <v>["Biological resource use"]</v>
      </c>
      <c r="BX506" s="13" t="str">
        <f>VLOOKUP($BT506,Enriched!$A$2:$E$1070,4,false)</f>
        <v>["Fishing &amp; harvesting aquatic resources"]</v>
      </c>
      <c r="BY506" s="13" t="b">
        <f>VLOOKUP(BT506,Enriched!$A$1:$AA$1070,27,falsE)</f>
        <v>0</v>
      </c>
      <c r="BZ506" s="2" t="str">
        <f>VLOOKUP(BT506,Enriched!$A$1:$AA$1070,14,falsE)</f>
        <v>level2</v>
      </c>
      <c r="CA506" s="13" t="str">
        <f>HYPERLINK("https%3A%2F%2Fwww.webofscience.com%2Fwos%2Fwoscc%2Ffull-record%2FWOS:000382019400001","View Full Record in Web of Science")</f>
        <v>View Full Record in Web of Science</v>
      </c>
    </row>
    <row r="507" ht="12.75" customHeight="1">
      <c r="A507" s="13" t="s">
        <v>5508</v>
      </c>
      <c r="B507" s="13" t="s">
        <v>14658</v>
      </c>
      <c r="C507" s="13" t="s">
        <v>5510</v>
      </c>
      <c r="D507" s="13" t="s">
        <v>5510</v>
      </c>
      <c r="E507" s="13" t="s">
        <v>5510</v>
      </c>
      <c r="F507" s="13" t="s">
        <v>14659</v>
      </c>
      <c r="G507" s="13" t="s">
        <v>5510</v>
      </c>
      <c r="H507" s="13" t="s">
        <v>5510</v>
      </c>
      <c r="I507" s="2" t="s">
        <v>1486</v>
      </c>
      <c r="J507" s="13" t="s">
        <v>5919</v>
      </c>
      <c r="K507" s="13" t="s">
        <v>5510</v>
      </c>
      <c r="L507" s="13" t="s">
        <v>5510</v>
      </c>
      <c r="M507" s="13" t="s">
        <v>5513</v>
      </c>
      <c r="N507" s="13" t="s">
        <v>5514</v>
      </c>
      <c r="O507" s="13" t="s">
        <v>5510</v>
      </c>
      <c r="P507" s="13" t="s">
        <v>5510</v>
      </c>
      <c r="Q507" s="13" t="s">
        <v>5510</v>
      </c>
      <c r="R507" s="13" t="s">
        <v>5510</v>
      </c>
      <c r="S507" s="13" t="s">
        <v>5510</v>
      </c>
      <c r="T507" s="13" t="s">
        <v>14660</v>
      </c>
      <c r="U507" s="13" t="s">
        <v>14661</v>
      </c>
      <c r="V507" s="13" t="s">
        <v>14662</v>
      </c>
      <c r="W507" s="13" t="s">
        <v>14663</v>
      </c>
      <c r="X507" s="13" t="s">
        <v>14664</v>
      </c>
      <c r="Y507" s="13" t="s">
        <v>14665</v>
      </c>
      <c r="Z507" s="13" t="s">
        <v>14666</v>
      </c>
      <c r="AA507" s="13" t="s">
        <v>14667</v>
      </c>
      <c r="AB507" s="13" t="s">
        <v>14668</v>
      </c>
      <c r="AC507" s="13" t="s">
        <v>5510</v>
      </c>
      <c r="AD507" s="13" t="s">
        <v>5510</v>
      </c>
      <c r="AE507" s="13" t="s">
        <v>5510</v>
      </c>
      <c r="AF507" s="13" t="s">
        <v>5510</v>
      </c>
      <c r="AG507" s="13">
        <v>58.0</v>
      </c>
      <c r="AH507" s="13">
        <v>72.0</v>
      </c>
      <c r="AI507" s="13">
        <v>90.0</v>
      </c>
      <c r="AJ507" s="13">
        <v>2.0</v>
      </c>
      <c r="AK507" s="13">
        <v>53.0</v>
      </c>
      <c r="AL507" s="13" t="s">
        <v>5931</v>
      </c>
      <c r="AM507" s="13" t="s">
        <v>5932</v>
      </c>
      <c r="AN507" s="13" t="s">
        <v>5933</v>
      </c>
      <c r="AO507" s="13" t="s">
        <v>5934</v>
      </c>
      <c r="AP507" s="13" t="s">
        <v>5935</v>
      </c>
      <c r="AQ507" s="13" t="s">
        <v>5510</v>
      </c>
      <c r="AR507" s="13" t="s">
        <v>5936</v>
      </c>
      <c r="AS507" s="13" t="s">
        <v>5937</v>
      </c>
      <c r="AT507" s="13" t="s">
        <v>5720</v>
      </c>
      <c r="AU507" s="13">
        <v>2007.0</v>
      </c>
      <c r="AV507" s="13">
        <v>137.0</v>
      </c>
      <c r="AW507" s="13">
        <v>1.0</v>
      </c>
      <c r="AX507" s="13" t="s">
        <v>5510</v>
      </c>
      <c r="AY507" s="13" t="s">
        <v>5510</v>
      </c>
      <c r="AZ507" s="13" t="s">
        <v>5510</v>
      </c>
      <c r="BA507" s="13" t="s">
        <v>5510</v>
      </c>
      <c r="BB507" s="13">
        <v>57.0</v>
      </c>
      <c r="BC507" s="13">
        <v>69.0</v>
      </c>
      <c r="BD507" s="13" t="s">
        <v>5510</v>
      </c>
      <c r="BE507" s="13" t="s">
        <v>14669</v>
      </c>
      <c r="BF507" s="52" t="str">
        <f>HYPERLINK("http://dx.doi.org/10.1016/j.biocon.2007.01.014","http://dx.doi.org/10.1016/j.biocon.2007.01.014")</f>
        <v>http://dx.doi.org/10.1016/j.biocon.2007.01.014</v>
      </c>
      <c r="BG507" s="13" t="s">
        <v>5510</v>
      </c>
      <c r="BH507" s="13" t="s">
        <v>5510</v>
      </c>
      <c r="BI507" s="13">
        <v>13.0</v>
      </c>
      <c r="BJ507" s="13" t="s">
        <v>5698</v>
      </c>
      <c r="BK507" s="13" t="s">
        <v>5561</v>
      </c>
      <c r="BL507" s="13" t="s">
        <v>5699</v>
      </c>
      <c r="BM507" s="13" t="s">
        <v>14670</v>
      </c>
      <c r="BN507" s="13" t="s">
        <v>5510</v>
      </c>
      <c r="BO507" s="13" t="s">
        <v>5510</v>
      </c>
      <c r="BP507" s="13" t="s">
        <v>5510</v>
      </c>
      <c r="BQ507" s="13" t="s">
        <v>5510</v>
      </c>
      <c r="BR507" s="13" t="s">
        <v>5538</v>
      </c>
      <c r="BS507" s="13" t="s">
        <v>14671</v>
      </c>
      <c r="BT507" s="13">
        <v>23223.0</v>
      </c>
      <c r="BU507" s="13" t="s">
        <v>5540</v>
      </c>
      <c r="BV507" s="13" t="s">
        <v>4856</v>
      </c>
      <c r="BW507" s="13" t="str">
        <f>VLOOKUP($BT507,Enriched!$A$2:$E$1070,5,false)</f>
        <v>["Invasive &amp; other problematic species, genes &amp; diseases"]</v>
      </c>
      <c r="BX507" s="13" t="str">
        <f>VLOOKUP($BT507,Enriched!$A$2:$E$1070,4,false)</f>
        <v>["Invasive non-native/alien species/diseases"]</v>
      </c>
      <c r="BY507" s="13" t="b">
        <f>VLOOKUP(BT507,Enriched!$A$1:$AA$1070,27,falsE)</f>
        <v>0</v>
      </c>
      <c r="BZ507" s="2" t="str">
        <f>VLOOKUP(BT507,Enriched!$A$1:$AA$1070,14,falsE)</f>
        <v>level2</v>
      </c>
      <c r="CA507" s="13" t="str">
        <f>HYPERLINK("https%3A%2F%2Fwww.webofscience.com%2Fwos%2Fwoscc%2Ffull-record%2FWOS:000247583400006","View Full Record in Web of Science")</f>
        <v>View Full Record in Web of Science</v>
      </c>
    </row>
    <row r="508" ht="12.75" customHeight="1">
      <c r="A508" s="13" t="s">
        <v>5508</v>
      </c>
      <c r="B508" s="13" t="s">
        <v>14672</v>
      </c>
      <c r="C508" s="13" t="s">
        <v>5510</v>
      </c>
      <c r="D508" s="13" t="s">
        <v>5510</v>
      </c>
      <c r="E508" s="13" t="s">
        <v>5510</v>
      </c>
      <c r="F508" s="13" t="s">
        <v>14673</v>
      </c>
      <c r="G508" s="13" t="s">
        <v>5510</v>
      </c>
      <c r="H508" s="13" t="s">
        <v>5510</v>
      </c>
      <c r="I508" s="13" t="s">
        <v>1483</v>
      </c>
      <c r="J508" s="13" t="s">
        <v>5919</v>
      </c>
      <c r="K508" s="13" t="s">
        <v>5510</v>
      </c>
      <c r="L508" s="13" t="s">
        <v>5510</v>
      </c>
      <c r="M508" s="13" t="s">
        <v>5513</v>
      </c>
      <c r="N508" s="13" t="s">
        <v>5514</v>
      </c>
      <c r="O508" s="13" t="s">
        <v>5510</v>
      </c>
      <c r="P508" s="13" t="s">
        <v>5510</v>
      </c>
      <c r="Q508" s="13" t="s">
        <v>5510</v>
      </c>
      <c r="R508" s="13" t="s">
        <v>5510</v>
      </c>
      <c r="S508" s="13" t="s">
        <v>5510</v>
      </c>
      <c r="T508" s="13" t="s">
        <v>14674</v>
      </c>
      <c r="U508" s="13" t="s">
        <v>14675</v>
      </c>
      <c r="V508" s="13" t="s">
        <v>14676</v>
      </c>
      <c r="W508" s="13" t="s">
        <v>14677</v>
      </c>
      <c r="X508" s="13" t="s">
        <v>14678</v>
      </c>
      <c r="Y508" s="13" t="s">
        <v>14679</v>
      </c>
      <c r="Z508" s="13" t="s">
        <v>14680</v>
      </c>
      <c r="AA508" s="13" t="s">
        <v>14681</v>
      </c>
      <c r="AB508" s="13" t="s">
        <v>5510</v>
      </c>
      <c r="AC508" s="13" t="s">
        <v>5510</v>
      </c>
      <c r="AD508" s="13" t="s">
        <v>5510</v>
      </c>
      <c r="AE508" s="13" t="s">
        <v>5510</v>
      </c>
      <c r="AF508" s="13" t="s">
        <v>5510</v>
      </c>
      <c r="AG508" s="13">
        <v>74.0</v>
      </c>
      <c r="AH508" s="13">
        <v>46.0</v>
      </c>
      <c r="AI508" s="13">
        <v>60.0</v>
      </c>
      <c r="AJ508" s="13">
        <v>0.0</v>
      </c>
      <c r="AK508" s="13">
        <v>83.0</v>
      </c>
      <c r="AL508" s="13" t="s">
        <v>5931</v>
      </c>
      <c r="AM508" s="13" t="s">
        <v>5932</v>
      </c>
      <c r="AN508" s="13" t="s">
        <v>5933</v>
      </c>
      <c r="AO508" s="13" t="s">
        <v>5934</v>
      </c>
      <c r="AP508" s="13" t="s">
        <v>5935</v>
      </c>
      <c r="AQ508" s="13" t="s">
        <v>5510</v>
      </c>
      <c r="AR508" s="13" t="s">
        <v>5936</v>
      </c>
      <c r="AS508" s="13" t="s">
        <v>5937</v>
      </c>
      <c r="AT508" s="13" t="s">
        <v>6828</v>
      </c>
      <c r="AU508" s="13">
        <v>2012.0</v>
      </c>
      <c r="AV508" s="13">
        <v>148.0</v>
      </c>
      <c r="AW508" s="13">
        <v>1.0</v>
      </c>
      <c r="AX508" s="13" t="s">
        <v>5510</v>
      </c>
      <c r="AY508" s="13" t="s">
        <v>5510</v>
      </c>
      <c r="AZ508" s="13" t="s">
        <v>5510</v>
      </c>
      <c r="BA508" s="13" t="s">
        <v>5510</v>
      </c>
      <c r="BB508" s="13">
        <v>210.0</v>
      </c>
      <c r="BC508" s="13">
        <v>215.0</v>
      </c>
      <c r="BD508" s="13" t="s">
        <v>5510</v>
      </c>
      <c r="BE508" s="13" t="s">
        <v>14682</v>
      </c>
      <c r="BF508" s="52" t="str">
        <f>HYPERLINK("http://dx.doi.org/10.1016/j.biocon.2012.01.022","http://dx.doi.org/10.1016/j.biocon.2012.01.022")</f>
        <v>http://dx.doi.org/10.1016/j.biocon.2012.01.022</v>
      </c>
      <c r="BG508" s="13" t="s">
        <v>5510</v>
      </c>
      <c r="BH508" s="13" t="s">
        <v>5510</v>
      </c>
      <c r="BI508" s="13">
        <v>6.0</v>
      </c>
      <c r="BJ508" s="13" t="s">
        <v>5698</v>
      </c>
      <c r="BK508" s="13" t="s">
        <v>5561</v>
      </c>
      <c r="BL508" s="13" t="s">
        <v>5699</v>
      </c>
      <c r="BM508" s="13" t="s">
        <v>14683</v>
      </c>
      <c r="BN508" s="13" t="s">
        <v>5510</v>
      </c>
      <c r="BO508" s="13" t="s">
        <v>5510</v>
      </c>
      <c r="BP508" s="13" t="s">
        <v>5510</v>
      </c>
      <c r="BQ508" s="13" t="s">
        <v>5510</v>
      </c>
      <c r="BR508" s="13" t="s">
        <v>5538</v>
      </c>
      <c r="BS508" s="13" t="s">
        <v>14684</v>
      </c>
      <c r="BT508" s="13">
        <v>25896.0</v>
      </c>
      <c r="BU508" s="13" t="s">
        <v>9118</v>
      </c>
      <c r="BV508" s="13" t="s">
        <v>4856</v>
      </c>
      <c r="BW508" s="13" t="str">
        <f>VLOOKUP($BT508,Enriched!$A$2:$E$1070,5,false)</f>
        <v>["Biological resource use"]</v>
      </c>
      <c r="BX508" s="13" t="str">
        <f>VLOOKUP($BT508,Enriched!$A$2:$E$1070,4,false)</f>
        <v>["Hunting &amp; collecting terrestrial animals"]</v>
      </c>
      <c r="BY508" s="13" t="b">
        <f>VLOOKUP(BT508,Enriched!$A$1:$AA$1070,27,falsE)</f>
        <v>0</v>
      </c>
      <c r="BZ508" s="2" t="str">
        <f>VLOOKUP(BT508,Enriched!$A$1:$AA$1070,14,falsE)</f>
        <v>level2</v>
      </c>
      <c r="CA508" s="13" t="str">
        <f>HYPERLINK("https%3A%2F%2Fwww.webofscience.com%2Fwos%2Fwoscc%2Ffull-record%2FWOS:000302840100022","View Full Record in Web of Science")</f>
        <v>View Full Record in Web of Science</v>
      </c>
    </row>
    <row r="509" ht="12.75" customHeight="1">
      <c r="A509" s="13" t="s">
        <v>5508</v>
      </c>
      <c r="B509" s="13" t="s">
        <v>14685</v>
      </c>
      <c r="C509" s="13" t="s">
        <v>5510</v>
      </c>
      <c r="D509" s="13" t="s">
        <v>5510</v>
      </c>
      <c r="E509" s="13" t="s">
        <v>5510</v>
      </c>
      <c r="F509" s="13" t="s">
        <v>14686</v>
      </c>
      <c r="G509" s="13" t="s">
        <v>5510</v>
      </c>
      <c r="H509" s="13" t="s">
        <v>5510</v>
      </c>
      <c r="I509" s="13" t="s">
        <v>1480</v>
      </c>
      <c r="J509" s="13" t="s">
        <v>5919</v>
      </c>
      <c r="K509" s="13" t="s">
        <v>5510</v>
      </c>
      <c r="L509" s="13" t="s">
        <v>5510</v>
      </c>
      <c r="M509" s="13" t="s">
        <v>5513</v>
      </c>
      <c r="N509" s="13" t="s">
        <v>5514</v>
      </c>
      <c r="O509" s="13" t="s">
        <v>5510</v>
      </c>
      <c r="P509" s="13" t="s">
        <v>5510</v>
      </c>
      <c r="Q509" s="13" t="s">
        <v>5510</v>
      </c>
      <c r="R509" s="13" t="s">
        <v>5510</v>
      </c>
      <c r="S509" s="13" t="s">
        <v>5510</v>
      </c>
      <c r="T509" s="13" t="s">
        <v>14687</v>
      </c>
      <c r="U509" s="13" t="s">
        <v>14688</v>
      </c>
      <c r="V509" s="13" t="s">
        <v>14689</v>
      </c>
      <c r="W509" s="13" t="s">
        <v>14690</v>
      </c>
      <c r="X509" s="13" t="s">
        <v>14691</v>
      </c>
      <c r="Y509" s="13" t="s">
        <v>14692</v>
      </c>
      <c r="Z509" s="13" t="s">
        <v>14693</v>
      </c>
      <c r="AA509" s="13" t="s">
        <v>14694</v>
      </c>
      <c r="AB509" s="13" t="s">
        <v>14695</v>
      </c>
      <c r="AC509" s="13" t="s">
        <v>14696</v>
      </c>
      <c r="AD509" s="13" t="s">
        <v>14697</v>
      </c>
      <c r="AE509" s="13" t="s">
        <v>14698</v>
      </c>
      <c r="AF509" s="13" t="s">
        <v>5510</v>
      </c>
      <c r="AG509" s="13">
        <v>42.0</v>
      </c>
      <c r="AH509" s="13">
        <v>39.0</v>
      </c>
      <c r="AI509" s="13">
        <v>43.0</v>
      </c>
      <c r="AJ509" s="13">
        <v>1.0</v>
      </c>
      <c r="AK509" s="13">
        <v>53.0</v>
      </c>
      <c r="AL509" s="13" t="s">
        <v>5931</v>
      </c>
      <c r="AM509" s="13" t="s">
        <v>5932</v>
      </c>
      <c r="AN509" s="13" t="s">
        <v>5933</v>
      </c>
      <c r="AO509" s="13" t="s">
        <v>5934</v>
      </c>
      <c r="AP509" s="13" t="s">
        <v>5935</v>
      </c>
      <c r="AQ509" s="13" t="s">
        <v>5510</v>
      </c>
      <c r="AR509" s="13" t="s">
        <v>5936</v>
      </c>
      <c r="AS509" s="13" t="s">
        <v>5937</v>
      </c>
      <c r="AT509" s="13" t="s">
        <v>2514</v>
      </c>
      <c r="AU509" s="13">
        <v>2011.0</v>
      </c>
      <c r="AV509" s="13">
        <v>144.0</v>
      </c>
      <c r="AW509" s="13">
        <v>10.0</v>
      </c>
      <c r="AX509" s="13" t="s">
        <v>5510</v>
      </c>
      <c r="AY509" s="13" t="s">
        <v>5510</v>
      </c>
      <c r="AZ509" s="13" t="s">
        <v>5510</v>
      </c>
      <c r="BA509" s="13" t="s">
        <v>5510</v>
      </c>
      <c r="BB509" s="13">
        <v>2441.0</v>
      </c>
      <c r="BC509" s="13">
        <v>2449.0</v>
      </c>
      <c r="BD509" s="13" t="s">
        <v>5510</v>
      </c>
      <c r="BE509" s="13" t="s">
        <v>14699</v>
      </c>
      <c r="BF509" s="52" t="str">
        <f>HYPERLINK("http://dx.doi.org/10.1016/j.biocon.2011.06.021","http://dx.doi.org/10.1016/j.biocon.2011.06.021")</f>
        <v>http://dx.doi.org/10.1016/j.biocon.2011.06.021</v>
      </c>
      <c r="BG509" s="13" t="s">
        <v>5510</v>
      </c>
      <c r="BH509" s="13" t="s">
        <v>5510</v>
      </c>
      <c r="BI509" s="13">
        <v>9.0</v>
      </c>
      <c r="BJ509" s="13" t="s">
        <v>5698</v>
      </c>
      <c r="BK509" s="13" t="s">
        <v>5561</v>
      </c>
      <c r="BL509" s="13" t="s">
        <v>5699</v>
      </c>
      <c r="BM509" s="13" t="s">
        <v>14700</v>
      </c>
      <c r="BN509" s="13" t="s">
        <v>5510</v>
      </c>
      <c r="BO509" s="13" t="s">
        <v>5510</v>
      </c>
      <c r="BP509" s="13" t="s">
        <v>5510</v>
      </c>
      <c r="BQ509" s="13" t="s">
        <v>5510</v>
      </c>
      <c r="BR509" s="13" t="s">
        <v>5538</v>
      </c>
      <c r="BS509" s="13" t="s">
        <v>14701</v>
      </c>
      <c r="BT509" s="13">
        <v>24155.0</v>
      </c>
      <c r="BU509" s="13" t="s">
        <v>5540</v>
      </c>
      <c r="BV509" s="13" t="s">
        <v>4856</v>
      </c>
      <c r="BW509" s="13" t="str">
        <f>VLOOKUP($BT509,Enriched!$A$2:$E$1070,5,false)</f>
        <v>["Biological resource use"]</v>
      </c>
      <c r="BX509" s="13" t="str">
        <f>VLOOKUP($BT509,Enriched!$A$2:$E$1070,4,false)</f>
        <v>["Hunting &amp; collecting terrestrial animals"]</v>
      </c>
      <c r="BY509" s="13" t="b">
        <f>VLOOKUP(BT509,Enriched!$A$1:$AA$1070,27,falsE)</f>
        <v>0</v>
      </c>
      <c r="BZ509" s="2" t="str">
        <f>VLOOKUP(BT509,Enriched!$A$1:$AA$1070,14,falsE)</f>
        <v>level2</v>
      </c>
      <c r="CA509" s="13" t="str">
        <f>HYPERLINK("https%3A%2F%2Fwww.webofscience.com%2Fwos%2Fwoscc%2Ffull-record%2FWOS:000295112300007","View Full Record in Web of Science")</f>
        <v>View Full Record in Web of Science</v>
      </c>
    </row>
    <row r="510" ht="12.75" customHeight="1">
      <c r="A510" s="13" t="s">
        <v>5508</v>
      </c>
      <c r="B510" s="13" t="s">
        <v>14702</v>
      </c>
      <c r="C510" s="13" t="s">
        <v>5510</v>
      </c>
      <c r="D510" s="13" t="s">
        <v>5510</v>
      </c>
      <c r="E510" s="13" t="s">
        <v>5510</v>
      </c>
      <c r="F510" s="13" t="s">
        <v>14703</v>
      </c>
      <c r="G510" s="13" t="s">
        <v>5510</v>
      </c>
      <c r="H510" s="13" t="s">
        <v>5510</v>
      </c>
      <c r="I510" s="13" t="s">
        <v>1478</v>
      </c>
      <c r="J510" s="13" t="s">
        <v>8925</v>
      </c>
      <c r="K510" s="13" t="s">
        <v>5510</v>
      </c>
      <c r="L510" s="13" t="s">
        <v>5510</v>
      </c>
      <c r="M510" s="13" t="s">
        <v>5513</v>
      </c>
      <c r="N510" s="13" t="s">
        <v>5514</v>
      </c>
      <c r="O510" s="13" t="s">
        <v>5510</v>
      </c>
      <c r="P510" s="13" t="s">
        <v>5510</v>
      </c>
      <c r="Q510" s="13" t="s">
        <v>5510</v>
      </c>
      <c r="R510" s="13" t="s">
        <v>5510</v>
      </c>
      <c r="S510" s="13" t="s">
        <v>5510</v>
      </c>
      <c r="T510" s="13" t="s">
        <v>5510</v>
      </c>
      <c r="U510" s="13" t="s">
        <v>14704</v>
      </c>
      <c r="V510" s="13" t="s">
        <v>14705</v>
      </c>
      <c r="W510" s="13" t="s">
        <v>14706</v>
      </c>
      <c r="X510" s="13" t="s">
        <v>14707</v>
      </c>
      <c r="Y510" s="13" t="s">
        <v>14708</v>
      </c>
      <c r="Z510" s="13" t="s">
        <v>8647</v>
      </c>
      <c r="AA510" s="13" t="s">
        <v>14709</v>
      </c>
      <c r="AB510" s="13" t="s">
        <v>14710</v>
      </c>
      <c r="AC510" s="13" t="s">
        <v>14711</v>
      </c>
      <c r="AD510" s="13" t="s">
        <v>14712</v>
      </c>
      <c r="AE510" s="13" t="s">
        <v>14713</v>
      </c>
      <c r="AF510" s="13" t="s">
        <v>5510</v>
      </c>
      <c r="AG510" s="13">
        <v>69.0</v>
      </c>
      <c r="AH510" s="13">
        <v>44.0</v>
      </c>
      <c r="AI510" s="13">
        <v>45.0</v>
      </c>
      <c r="AJ510" s="13">
        <v>2.0</v>
      </c>
      <c r="AK510" s="13">
        <v>60.0</v>
      </c>
      <c r="AL510" s="13" t="s">
        <v>8937</v>
      </c>
      <c r="AM510" s="13" t="s">
        <v>6046</v>
      </c>
      <c r="AN510" s="13" t="s">
        <v>8938</v>
      </c>
      <c r="AO510" s="13" t="s">
        <v>8939</v>
      </c>
      <c r="AP510" s="13" t="s">
        <v>5510</v>
      </c>
      <c r="AQ510" s="13" t="s">
        <v>5510</v>
      </c>
      <c r="AR510" s="13" t="s">
        <v>8940</v>
      </c>
      <c r="AS510" s="13" t="s">
        <v>8941</v>
      </c>
      <c r="AT510" s="13" t="s">
        <v>2738</v>
      </c>
      <c r="AU510" s="13">
        <v>2016.0</v>
      </c>
      <c r="AV510" s="13">
        <v>7.0</v>
      </c>
      <c r="AW510" s="13" t="s">
        <v>5510</v>
      </c>
      <c r="AX510" s="13" t="s">
        <v>5510</v>
      </c>
      <c r="AY510" s="13" t="s">
        <v>5510</v>
      </c>
      <c r="AZ510" s="13" t="s">
        <v>5510</v>
      </c>
      <c r="BA510" s="13" t="s">
        <v>5510</v>
      </c>
      <c r="BB510" s="13" t="s">
        <v>5510</v>
      </c>
      <c r="BC510" s="13" t="s">
        <v>5510</v>
      </c>
      <c r="BD510" s="13">
        <v>10491.0</v>
      </c>
      <c r="BE510" s="13" t="s">
        <v>14714</v>
      </c>
      <c r="BF510" s="52" t="str">
        <f>HYPERLINK("http://dx.doi.org/10.1038/ncomms10491","http://dx.doi.org/10.1038/ncomms10491")</f>
        <v>http://dx.doi.org/10.1038/ncomms10491</v>
      </c>
      <c r="BG510" s="13" t="s">
        <v>5510</v>
      </c>
      <c r="BH510" s="13" t="s">
        <v>5510</v>
      </c>
      <c r="BI510" s="13">
        <v>9.0</v>
      </c>
      <c r="BJ510" s="13" t="s">
        <v>5560</v>
      </c>
      <c r="BK510" s="13" t="s">
        <v>5561</v>
      </c>
      <c r="BL510" s="13" t="s">
        <v>5562</v>
      </c>
      <c r="BM510" s="13" t="s">
        <v>14715</v>
      </c>
      <c r="BN510" s="13">
        <v>2.6839155E7</v>
      </c>
      <c r="BO510" s="13" t="s">
        <v>5564</v>
      </c>
      <c r="BP510" s="13" t="s">
        <v>5510</v>
      </c>
      <c r="BQ510" s="13" t="s">
        <v>5510</v>
      </c>
      <c r="BR510" s="13" t="s">
        <v>5538</v>
      </c>
      <c r="BS510" s="13" t="s">
        <v>14716</v>
      </c>
      <c r="BT510" s="13">
        <v>24772.0</v>
      </c>
      <c r="BU510" s="13" t="s">
        <v>5540</v>
      </c>
      <c r="BV510" s="13" t="s">
        <v>4864</v>
      </c>
      <c r="BW510" s="13" t="str">
        <f>VLOOKUP($BT510,Enriched!$A$2:$E$1070,5,false)</f>
        <v>["Biological Resource Use", "Agriculture &amp; Aquaculture", "Pollution", "Climate Change &amp; Severe Weather"]</v>
      </c>
      <c r="BX510" s="13" t="str">
        <f>VLOOKUP($BT510,Enriched!$A$2:$E$1070,4,false)</f>
        <v>["Housing &amp; urban area", "Fishing &amp; harvesting aquatic resources", "Marine &amp; freshwater aquaculture", "Habitat shifting &amp; alteration"]</v>
      </c>
      <c r="BY510" s="13" t="b">
        <f>VLOOKUP(BT510,Enriched!$A$1:$AA$1070,27,falsE)</f>
        <v>1</v>
      </c>
      <c r="BZ510" s="2" t="str">
        <f>VLOOKUP(BT510,Enriched!$A$1:$AA$1070,14,falsE)</f>
        <v>cumulative</v>
      </c>
      <c r="CA510" s="13" t="str">
        <f>HYPERLINK("https%3A%2F%2Fwww.webofscience.com%2Fwos%2Fwoscc%2Ffull-record%2FWOS:000371012100003","View Full Record in Web of Science")</f>
        <v>View Full Record in Web of Science</v>
      </c>
    </row>
    <row r="511" ht="12.75" customHeight="1">
      <c r="A511" s="13" t="s">
        <v>5508</v>
      </c>
      <c r="B511" s="13" t="s">
        <v>14717</v>
      </c>
      <c r="C511" s="13" t="s">
        <v>5510</v>
      </c>
      <c r="D511" s="13" t="s">
        <v>5510</v>
      </c>
      <c r="E511" s="13" t="s">
        <v>5510</v>
      </c>
      <c r="F511" s="13" t="s">
        <v>14718</v>
      </c>
      <c r="G511" s="13" t="s">
        <v>5510</v>
      </c>
      <c r="H511" s="13" t="s">
        <v>5510</v>
      </c>
      <c r="I511" s="13" t="s">
        <v>1475</v>
      </c>
      <c r="J511" s="13" t="s">
        <v>6627</v>
      </c>
      <c r="K511" s="13" t="s">
        <v>5510</v>
      </c>
      <c r="L511" s="13" t="s">
        <v>5510</v>
      </c>
      <c r="M511" s="13" t="s">
        <v>5513</v>
      </c>
      <c r="N511" s="13" t="s">
        <v>5514</v>
      </c>
      <c r="O511" s="13" t="s">
        <v>5510</v>
      </c>
      <c r="P511" s="13" t="s">
        <v>5510</v>
      </c>
      <c r="Q511" s="13" t="s">
        <v>5510</v>
      </c>
      <c r="R511" s="13" t="s">
        <v>5510</v>
      </c>
      <c r="S511" s="13" t="s">
        <v>5510</v>
      </c>
      <c r="T511" s="13" t="s">
        <v>14719</v>
      </c>
      <c r="U511" s="13" t="s">
        <v>14720</v>
      </c>
      <c r="V511" s="13" t="s">
        <v>14721</v>
      </c>
      <c r="W511" s="13" t="s">
        <v>14722</v>
      </c>
      <c r="X511" s="13" t="s">
        <v>14723</v>
      </c>
      <c r="Y511" s="13" t="s">
        <v>14724</v>
      </c>
      <c r="Z511" s="13" t="s">
        <v>14725</v>
      </c>
      <c r="AA511" s="13" t="s">
        <v>14726</v>
      </c>
      <c r="AB511" s="13" t="s">
        <v>14727</v>
      </c>
      <c r="AC511" s="13" t="s">
        <v>14728</v>
      </c>
      <c r="AD511" s="13" t="s">
        <v>14728</v>
      </c>
      <c r="AE511" s="13" t="s">
        <v>14729</v>
      </c>
      <c r="AF511" s="13" t="s">
        <v>5510</v>
      </c>
      <c r="AG511" s="13">
        <v>78.0</v>
      </c>
      <c r="AH511" s="13">
        <v>64.0</v>
      </c>
      <c r="AI511" s="13">
        <v>77.0</v>
      </c>
      <c r="AJ511" s="13">
        <v>1.0</v>
      </c>
      <c r="AK511" s="13">
        <v>141.0</v>
      </c>
      <c r="AL511" s="13" t="s">
        <v>5527</v>
      </c>
      <c r="AM511" s="13" t="s">
        <v>5528</v>
      </c>
      <c r="AN511" s="13" t="s">
        <v>5529</v>
      </c>
      <c r="AO511" s="13" t="s">
        <v>6640</v>
      </c>
      <c r="AP511" s="13" t="s">
        <v>6641</v>
      </c>
      <c r="AQ511" s="13" t="s">
        <v>5510</v>
      </c>
      <c r="AR511" s="13" t="s">
        <v>6642</v>
      </c>
      <c r="AS511" s="13" t="s">
        <v>6643</v>
      </c>
      <c r="AT511" s="13" t="s">
        <v>6089</v>
      </c>
      <c r="AU511" s="13">
        <v>2012.0</v>
      </c>
      <c r="AV511" s="13">
        <v>18.0</v>
      </c>
      <c r="AW511" s="13">
        <v>3.0</v>
      </c>
      <c r="AX511" s="13" t="s">
        <v>5510</v>
      </c>
      <c r="AY511" s="13" t="s">
        <v>5510</v>
      </c>
      <c r="AZ511" s="13" t="s">
        <v>5510</v>
      </c>
      <c r="BA511" s="13" t="s">
        <v>5510</v>
      </c>
      <c r="BB511" s="13">
        <v>294.0</v>
      </c>
      <c r="BC511" s="13">
        <v>306.0</v>
      </c>
      <c r="BD511" s="13" t="s">
        <v>5510</v>
      </c>
      <c r="BE511" s="13" t="s">
        <v>14730</v>
      </c>
      <c r="BF511" s="52" t="str">
        <f>HYPERLINK("http://dx.doi.org/10.1111/j.1472-4642.2011.00873.x","http://dx.doi.org/10.1111/j.1472-4642.2011.00873.x")</f>
        <v>http://dx.doi.org/10.1111/j.1472-4642.2011.00873.x</v>
      </c>
      <c r="BG511" s="13" t="s">
        <v>5510</v>
      </c>
      <c r="BH511" s="13" t="s">
        <v>5510</v>
      </c>
      <c r="BI511" s="13">
        <v>13.0</v>
      </c>
      <c r="BJ511" s="13" t="s">
        <v>5958</v>
      </c>
      <c r="BK511" s="13" t="s">
        <v>5561</v>
      </c>
      <c r="BL511" s="13" t="s">
        <v>5699</v>
      </c>
      <c r="BM511" s="13" t="s">
        <v>14731</v>
      </c>
      <c r="BN511" s="13" t="s">
        <v>5510</v>
      </c>
      <c r="BO511" s="13" t="s">
        <v>6586</v>
      </c>
      <c r="BP511" s="13" t="s">
        <v>5510</v>
      </c>
      <c r="BQ511" s="13" t="s">
        <v>5510</v>
      </c>
      <c r="BR511" s="13" t="s">
        <v>5538</v>
      </c>
      <c r="BS511" s="13" t="s">
        <v>14732</v>
      </c>
      <c r="BT511" s="13">
        <v>24761.0</v>
      </c>
      <c r="BU511" s="13" t="s">
        <v>5540</v>
      </c>
      <c r="BV511" s="13" t="s">
        <v>4856</v>
      </c>
      <c r="BW511" s="13" t="str">
        <f>VLOOKUP($BT511,Enriched!$A$2:$E$1070,5,false)</f>
        <v>["Biological Resource Use", "Human Intrusions &amp; Disturbance", "Invasive &amp; Other Problematic Species, Genes &amp; Diseases"]</v>
      </c>
      <c r="BX511" s="13" t="str">
        <f>VLOOKUP($BT511,Enriched!$A$2:$E$1070,4,false)</f>
        <v>["Fishing &amp; harvesting aquatic resources", "Recreational activities", "Invasive non-native/alien species/diseases"]</v>
      </c>
      <c r="BY511" s="13" t="b">
        <f>VLOOKUP(BT511,Enriched!$A$1:$AA$1070,27,falsE)</f>
        <v>0</v>
      </c>
      <c r="BZ511" s="2" t="str">
        <f>VLOOKUP(BT511,Enriched!$A$1:$AA$1070,14,falsE)</f>
        <v>level2</v>
      </c>
      <c r="CA511" s="13" t="str">
        <f>HYPERLINK("https%3A%2F%2Fwww.webofscience.com%2Fwos%2Fwoscc%2Ffull-record%2FWOS:000300047500008","View Full Record in Web of Science")</f>
        <v>View Full Record in Web of Science</v>
      </c>
    </row>
    <row r="512" ht="12.75" customHeight="1">
      <c r="A512" s="13" t="s">
        <v>5508</v>
      </c>
      <c r="B512" s="13" t="s">
        <v>14733</v>
      </c>
      <c r="C512" s="13" t="s">
        <v>5510</v>
      </c>
      <c r="D512" s="13" t="s">
        <v>5510</v>
      </c>
      <c r="E512" s="13" t="s">
        <v>5510</v>
      </c>
      <c r="F512" s="13" t="s">
        <v>14734</v>
      </c>
      <c r="G512" s="13" t="s">
        <v>5510</v>
      </c>
      <c r="H512" s="13" t="s">
        <v>5510</v>
      </c>
      <c r="I512" s="2" t="s">
        <v>1471</v>
      </c>
      <c r="J512" s="13" t="s">
        <v>7440</v>
      </c>
      <c r="K512" s="13" t="s">
        <v>5510</v>
      </c>
      <c r="L512" s="13" t="s">
        <v>5510</v>
      </c>
      <c r="M512" s="13" t="s">
        <v>5513</v>
      </c>
      <c r="N512" s="13" t="s">
        <v>5514</v>
      </c>
      <c r="O512" s="13" t="s">
        <v>5510</v>
      </c>
      <c r="P512" s="13" t="s">
        <v>5510</v>
      </c>
      <c r="Q512" s="13" t="s">
        <v>5510</v>
      </c>
      <c r="R512" s="13" t="s">
        <v>5510</v>
      </c>
      <c r="S512" s="13" t="s">
        <v>5510</v>
      </c>
      <c r="T512" s="13" t="s">
        <v>14735</v>
      </c>
      <c r="U512" s="13" t="s">
        <v>14736</v>
      </c>
      <c r="V512" s="13" t="s">
        <v>14737</v>
      </c>
      <c r="W512" s="13" t="s">
        <v>14738</v>
      </c>
      <c r="X512" s="13" t="s">
        <v>14739</v>
      </c>
      <c r="Y512" s="13" t="s">
        <v>14740</v>
      </c>
      <c r="Z512" s="13" t="s">
        <v>14741</v>
      </c>
      <c r="AA512" s="13" t="s">
        <v>14742</v>
      </c>
      <c r="AB512" s="13" t="s">
        <v>14743</v>
      </c>
      <c r="AC512" s="13" t="s">
        <v>5510</v>
      </c>
      <c r="AD512" s="13" t="s">
        <v>5510</v>
      </c>
      <c r="AE512" s="13" t="s">
        <v>5510</v>
      </c>
      <c r="AF512" s="13" t="s">
        <v>5510</v>
      </c>
      <c r="AG512" s="13">
        <v>220.0</v>
      </c>
      <c r="AH512" s="13">
        <v>126.0</v>
      </c>
      <c r="AI512" s="13">
        <v>135.0</v>
      </c>
      <c r="AJ512" s="13">
        <v>3.0</v>
      </c>
      <c r="AK512" s="13">
        <v>153.0</v>
      </c>
      <c r="AL512" s="13" t="s">
        <v>7450</v>
      </c>
      <c r="AM512" s="13" t="s">
        <v>6046</v>
      </c>
      <c r="AN512" s="13" t="s">
        <v>7451</v>
      </c>
      <c r="AO512" s="13" t="s">
        <v>7452</v>
      </c>
      <c r="AP512" s="13" t="s">
        <v>7453</v>
      </c>
      <c r="AQ512" s="13" t="s">
        <v>5510</v>
      </c>
      <c r="AR512" s="13" t="s">
        <v>7454</v>
      </c>
      <c r="AS512" s="13" t="s">
        <v>7455</v>
      </c>
      <c r="AT512" s="13" t="s">
        <v>14744</v>
      </c>
      <c r="AU512" s="13">
        <v>2016.0</v>
      </c>
      <c r="AV512" s="13">
        <v>169.0</v>
      </c>
      <c r="AW512" s="13" t="s">
        <v>5510</v>
      </c>
      <c r="AX512" s="13" t="s">
        <v>5510</v>
      </c>
      <c r="AY512" s="13" t="s">
        <v>5510</v>
      </c>
      <c r="AZ512" s="13" t="s">
        <v>5510</v>
      </c>
      <c r="BA512" s="13" t="s">
        <v>5510</v>
      </c>
      <c r="BB512" s="13">
        <v>56.0</v>
      </c>
      <c r="BC512" s="13">
        <v>73.0</v>
      </c>
      <c r="BD512" s="13" t="s">
        <v>5510</v>
      </c>
      <c r="BE512" s="13" t="s">
        <v>14745</v>
      </c>
      <c r="BF512" s="52" t="str">
        <f>HYPERLINK("http://dx.doi.org/10.1016/j.ecss.2015.11.025","http://dx.doi.org/10.1016/j.ecss.2015.11.025")</f>
        <v>http://dx.doi.org/10.1016/j.ecss.2015.11.025</v>
      </c>
      <c r="BG512" s="13" t="s">
        <v>5510</v>
      </c>
      <c r="BH512" s="13" t="s">
        <v>5510</v>
      </c>
      <c r="BI512" s="13">
        <v>18.0</v>
      </c>
      <c r="BJ512" s="13" t="s">
        <v>7458</v>
      </c>
      <c r="BK512" s="13" t="s">
        <v>5561</v>
      </c>
      <c r="BL512" s="13" t="s">
        <v>7458</v>
      </c>
      <c r="BM512" s="13" t="s">
        <v>14746</v>
      </c>
      <c r="BN512" s="13" t="s">
        <v>5510</v>
      </c>
      <c r="BO512" s="13" t="s">
        <v>14747</v>
      </c>
      <c r="BP512" s="13" t="s">
        <v>5510</v>
      </c>
      <c r="BQ512" s="13" t="s">
        <v>5510</v>
      </c>
      <c r="BR512" s="13" t="s">
        <v>5538</v>
      </c>
      <c r="BS512" s="13" t="s">
        <v>14748</v>
      </c>
      <c r="BT512" s="13">
        <v>25496.0</v>
      </c>
      <c r="BU512" s="13" t="s">
        <v>9118</v>
      </c>
      <c r="BV512" s="13" t="s">
        <v>4864</v>
      </c>
      <c r="BW512" s="13" t="str">
        <f>VLOOKUP($BT512,Enriched!$A$2:$E$1070,5,false)</f>
        <v>["Residential &amp; Commercial Development", "Human Intrusions &amp; Disturbance", "Energy Production &amp; Mining", "Natural System Modifications", "Invasive &amp; Other Problematic Species, Genes &amp; Diseases", "Biological Resource Use", "Pollution"]</v>
      </c>
      <c r="BX512" s="13" t="str">
        <f>VLOOKUP($BT512,Enriched!$A$2:$E$1070,4,false)</f>
        <v>["Housing &amp; urban area", "Tourism &amp; recreation areas", "Recreational activities", "Oil &amp; gas drilling", "Mining &amp; quarrying", "Other ecosystem modifications", "Invasive non-native/alien species/diseases", "Hunting &amp; collecting terrestrial animals", "Gathering terrestrial plants", "Industrial &amp; military effluents"]</v>
      </c>
      <c r="BY512" s="13" t="b">
        <f>VLOOKUP(BT512,Enriched!$A$1:$AA$1070,27,falsE)</f>
        <v>0</v>
      </c>
      <c r="BZ512" s="2" t="str">
        <f>VLOOKUP(BT512,Enriched!$A$1:$AA$1070,14,falsE)</f>
        <v>cumulative</v>
      </c>
      <c r="CA512" s="13" t="str">
        <f>HYPERLINK("https%3A%2F%2Fwww.webofscience.com%2Fwos%2Fwoscc%2Ffull-record%2FWOS:000370884600008","View Full Record in Web of Science")</f>
        <v>View Full Record in Web of Science</v>
      </c>
    </row>
    <row r="513" ht="12.75" customHeight="1">
      <c r="A513" s="13" t="s">
        <v>5508</v>
      </c>
      <c r="B513" s="13" t="s">
        <v>14749</v>
      </c>
      <c r="C513" s="13" t="s">
        <v>5510</v>
      </c>
      <c r="D513" s="13" t="s">
        <v>5510</v>
      </c>
      <c r="E513" s="13" t="s">
        <v>5510</v>
      </c>
      <c r="F513" s="13" t="s">
        <v>14750</v>
      </c>
      <c r="G513" s="13" t="s">
        <v>5510</v>
      </c>
      <c r="H513" s="13" t="s">
        <v>5510</v>
      </c>
      <c r="I513" s="13" t="s">
        <v>1469</v>
      </c>
      <c r="J513" s="13" t="s">
        <v>5919</v>
      </c>
      <c r="K513" s="13" t="s">
        <v>5510</v>
      </c>
      <c r="L513" s="13" t="s">
        <v>5510</v>
      </c>
      <c r="M513" s="13" t="s">
        <v>5513</v>
      </c>
      <c r="N513" s="13" t="s">
        <v>5514</v>
      </c>
      <c r="O513" s="13" t="s">
        <v>5510</v>
      </c>
      <c r="P513" s="13" t="s">
        <v>5510</v>
      </c>
      <c r="Q513" s="13" t="s">
        <v>5510</v>
      </c>
      <c r="R513" s="13" t="s">
        <v>5510</v>
      </c>
      <c r="S513" s="13" t="s">
        <v>5510</v>
      </c>
      <c r="T513" s="13" t="s">
        <v>14751</v>
      </c>
      <c r="U513" s="13" t="s">
        <v>14752</v>
      </c>
      <c r="V513" s="13" t="s">
        <v>14753</v>
      </c>
      <c r="W513" s="13" t="s">
        <v>14754</v>
      </c>
      <c r="X513" s="13" t="s">
        <v>14755</v>
      </c>
      <c r="Y513" s="13" t="s">
        <v>14756</v>
      </c>
      <c r="Z513" s="13" t="s">
        <v>14757</v>
      </c>
      <c r="AA513" s="13" t="s">
        <v>14758</v>
      </c>
      <c r="AB513" s="13" t="s">
        <v>5510</v>
      </c>
      <c r="AC513" s="13" t="s">
        <v>14759</v>
      </c>
      <c r="AD513" s="13" t="s">
        <v>14760</v>
      </c>
      <c r="AE513" s="13" t="s">
        <v>14761</v>
      </c>
      <c r="AF513" s="13" t="s">
        <v>5510</v>
      </c>
      <c r="AG513" s="13">
        <v>61.0</v>
      </c>
      <c r="AH513" s="13">
        <v>176.0</v>
      </c>
      <c r="AI513" s="13">
        <v>212.0</v>
      </c>
      <c r="AJ513" s="13">
        <v>17.0</v>
      </c>
      <c r="AK513" s="13">
        <v>150.0</v>
      </c>
      <c r="AL513" s="13" t="s">
        <v>5931</v>
      </c>
      <c r="AM513" s="13" t="s">
        <v>7486</v>
      </c>
      <c r="AN513" s="13" t="s">
        <v>7487</v>
      </c>
      <c r="AO513" s="13" t="s">
        <v>5934</v>
      </c>
      <c r="AP513" s="13" t="s">
        <v>5935</v>
      </c>
      <c r="AQ513" s="13" t="s">
        <v>5510</v>
      </c>
      <c r="AR513" s="13" t="s">
        <v>5936</v>
      </c>
      <c r="AS513" s="13" t="s">
        <v>5937</v>
      </c>
      <c r="AT513" s="13" t="s">
        <v>5582</v>
      </c>
      <c r="AU513" s="13">
        <v>2020.0</v>
      </c>
      <c r="AV513" s="13">
        <v>241.0</v>
      </c>
      <c r="AW513" s="13" t="s">
        <v>5510</v>
      </c>
      <c r="AX513" s="13" t="s">
        <v>5510</v>
      </c>
      <c r="AY513" s="13" t="s">
        <v>5510</v>
      </c>
      <c r="AZ513" s="13" t="s">
        <v>5510</v>
      </c>
      <c r="BA513" s="13" t="s">
        <v>5510</v>
      </c>
      <c r="BB513" s="13" t="s">
        <v>5510</v>
      </c>
      <c r="BC513" s="13" t="s">
        <v>5510</v>
      </c>
      <c r="BD513" s="13">
        <v>108383.0</v>
      </c>
      <c r="BE513" s="13" t="s">
        <v>14762</v>
      </c>
      <c r="BF513" s="52" t="str">
        <f>HYPERLINK("http://dx.doi.org/10.1016/j.biocon.2019.108383","http://dx.doi.org/10.1016/j.biocon.2019.108383")</f>
        <v>http://dx.doi.org/10.1016/j.biocon.2019.108383</v>
      </c>
      <c r="BG513" s="13" t="s">
        <v>5510</v>
      </c>
      <c r="BH513" s="13" t="s">
        <v>5510</v>
      </c>
      <c r="BI513" s="13">
        <v>11.0</v>
      </c>
      <c r="BJ513" s="13" t="s">
        <v>5698</v>
      </c>
      <c r="BK513" s="13" t="s">
        <v>5534</v>
      </c>
      <c r="BL513" s="13" t="s">
        <v>5699</v>
      </c>
      <c r="BM513" s="13" t="s">
        <v>14763</v>
      </c>
      <c r="BN513" s="13" t="s">
        <v>5510</v>
      </c>
      <c r="BO513" s="13" t="s">
        <v>5510</v>
      </c>
      <c r="BP513" s="13" t="s">
        <v>5510</v>
      </c>
      <c r="BQ513" s="13" t="s">
        <v>5510</v>
      </c>
      <c r="BR513" s="13" t="s">
        <v>5538</v>
      </c>
      <c r="BS513" s="13" t="s">
        <v>14764</v>
      </c>
      <c r="BT513" s="13">
        <v>24962.0</v>
      </c>
      <c r="BU513" s="13" t="s">
        <v>5540</v>
      </c>
      <c r="BV513" s="13" t="s">
        <v>4856</v>
      </c>
      <c r="BW513" s="13" t="str">
        <f>VLOOKUP($BT513,Enriched!$A$2:$E$1070,5,false)</f>
        <v>["Residential &amp; Commercial Development", "Transportation &amp; Service Corridors", "Human Intrusions &amp; Disturbance"]</v>
      </c>
      <c r="BX513" s="13" t="str">
        <f>VLOOKUP($BT513,Enriched!$A$2:$E$1070,4,false)</f>
        <v>["Housing &amp; urban area", "Commercial &amp; industrial areas", "Roads &amp; railroads", "Recreational activities"]</v>
      </c>
      <c r="BY513" s="13" t="b">
        <f>VLOOKUP(BT513,Enriched!$A$1:$AA$1070,27,falsE)</f>
        <v>0</v>
      </c>
      <c r="BZ513" s="2" t="str">
        <f>VLOOKUP(BT513,Enriched!$A$1:$AA$1070,14,falsE)</f>
        <v>level2</v>
      </c>
      <c r="CA513" s="13" t="str">
        <f>HYPERLINK("https%3A%2F%2Fwww.webofscience.com%2Fwos%2Fwoscc%2Ffull-record%2FWOS:000518695100021","View Full Record in Web of Science")</f>
        <v>View Full Record in Web of Science</v>
      </c>
    </row>
    <row r="514" ht="12.75" customHeight="1">
      <c r="A514" s="13" t="s">
        <v>5508</v>
      </c>
      <c r="B514" s="13" t="s">
        <v>14765</v>
      </c>
      <c r="C514" s="13" t="s">
        <v>5510</v>
      </c>
      <c r="D514" s="13" t="s">
        <v>5510</v>
      </c>
      <c r="E514" s="13" t="s">
        <v>5510</v>
      </c>
      <c r="F514" s="13" t="s">
        <v>14766</v>
      </c>
      <c r="G514" s="13" t="s">
        <v>5510</v>
      </c>
      <c r="H514" s="13" t="s">
        <v>5510</v>
      </c>
      <c r="I514" s="13" t="s">
        <v>1466</v>
      </c>
      <c r="J514" s="13" t="s">
        <v>6008</v>
      </c>
      <c r="K514" s="13" t="s">
        <v>5510</v>
      </c>
      <c r="L514" s="13" t="s">
        <v>5510</v>
      </c>
      <c r="M514" s="13" t="s">
        <v>5513</v>
      </c>
      <c r="N514" s="13" t="s">
        <v>5514</v>
      </c>
      <c r="O514" s="13" t="s">
        <v>5510</v>
      </c>
      <c r="P514" s="13" t="s">
        <v>5510</v>
      </c>
      <c r="Q514" s="13" t="s">
        <v>5510</v>
      </c>
      <c r="R514" s="13" t="s">
        <v>5510</v>
      </c>
      <c r="S514" s="13" t="s">
        <v>5510</v>
      </c>
      <c r="T514" s="13" t="s">
        <v>14767</v>
      </c>
      <c r="U514" s="13" t="s">
        <v>14768</v>
      </c>
      <c r="V514" s="13" t="s">
        <v>14769</v>
      </c>
      <c r="W514" s="13" t="s">
        <v>14770</v>
      </c>
      <c r="X514" s="13" t="s">
        <v>14771</v>
      </c>
      <c r="Y514" s="13" t="s">
        <v>14772</v>
      </c>
      <c r="Z514" s="13" t="s">
        <v>14773</v>
      </c>
      <c r="AA514" s="13" t="s">
        <v>14774</v>
      </c>
      <c r="AB514" s="13" t="s">
        <v>14775</v>
      </c>
      <c r="AC514" s="13" t="s">
        <v>5510</v>
      </c>
      <c r="AD514" s="13" t="s">
        <v>5510</v>
      </c>
      <c r="AE514" s="13" t="s">
        <v>5510</v>
      </c>
      <c r="AF514" s="13" t="s">
        <v>5510</v>
      </c>
      <c r="AG514" s="13">
        <v>65.0</v>
      </c>
      <c r="AH514" s="13">
        <v>508.0</v>
      </c>
      <c r="AI514" s="13">
        <v>632.0</v>
      </c>
      <c r="AJ514" s="13">
        <v>5.0</v>
      </c>
      <c r="AK514" s="13">
        <v>236.0</v>
      </c>
      <c r="AL514" s="13" t="s">
        <v>5527</v>
      </c>
      <c r="AM514" s="13" t="s">
        <v>5528</v>
      </c>
      <c r="AN514" s="13" t="s">
        <v>5529</v>
      </c>
      <c r="AO514" s="13" t="s">
        <v>6020</v>
      </c>
      <c r="AP514" s="13" t="s">
        <v>6021</v>
      </c>
      <c r="AQ514" s="13" t="s">
        <v>5510</v>
      </c>
      <c r="AR514" s="13" t="s">
        <v>6022</v>
      </c>
      <c r="AS514" s="13" t="s">
        <v>6023</v>
      </c>
      <c r="AT514" s="13" t="s">
        <v>5667</v>
      </c>
      <c r="AU514" s="13">
        <v>2007.0</v>
      </c>
      <c r="AV514" s="13">
        <v>17.0</v>
      </c>
      <c r="AW514" s="13">
        <v>5.0</v>
      </c>
      <c r="AX514" s="13" t="s">
        <v>5510</v>
      </c>
      <c r="AY514" s="13" t="s">
        <v>5510</v>
      </c>
      <c r="AZ514" s="13" t="s">
        <v>5510</v>
      </c>
      <c r="BA514" s="13" t="s">
        <v>5510</v>
      </c>
      <c r="BB514" s="13">
        <v>1388.0</v>
      </c>
      <c r="BC514" s="13">
        <v>1402.0</v>
      </c>
      <c r="BD514" s="13" t="s">
        <v>5510</v>
      </c>
      <c r="BE514" s="13" t="s">
        <v>14776</v>
      </c>
      <c r="BF514" s="52" t="str">
        <f>HYPERLINK("http://dx.doi.org/10.1890/06-1128.1","http://dx.doi.org/10.1890/06-1128.1")</f>
        <v>http://dx.doi.org/10.1890/06-1128.1</v>
      </c>
      <c r="BG514" s="13" t="s">
        <v>5510</v>
      </c>
      <c r="BH514" s="13" t="s">
        <v>5510</v>
      </c>
      <c r="BI514" s="13">
        <v>15.0</v>
      </c>
      <c r="BJ514" s="13" t="s">
        <v>6026</v>
      </c>
      <c r="BK514" s="13" t="s">
        <v>5561</v>
      </c>
      <c r="BL514" s="13" t="s">
        <v>5535</v>
      </c>
      <c r="BM514" s="13" t="s">
        <v>14777</v>
      </c>
      <c r="BN514" s="13">
        <v>1.7708216E7</v>
      </c>
      <c r="BO514" s="13" t="s">
        <v>5510</v>
      </c>
      <c r="BP514" s="13" t="s">
        <v>5510</v>
      </c>
      <c r="BQ514" s="13" t="s">
        <v>5510</v>
      </c>
      <c r="BR514" s="13" t="s">
        <v>5538</v>
      </c>
      <c r="BS514" s="13" t="s">
        <v>14778</v>
      </c>
      <c r="BT514" s="13">
        <v>25713.0</v>
      </c>
      <c r="BU514" s="13" t="s">
        <v>5540</v>
      </c>
      <c r="BV514" s="13" t="s">
        <v>4856</v>
      </c>
      <c r="BW514" s="13" t="str">
        <f>VLOOKUP($BT514,Enriched!$A$2:$E$1070,5,false)</f>
        <v>["Natural System Modifications"]</v>
      </c>
      <c r="BX514" s="13" t="str">
        <f>VLOOKUP($BT514,Enriched!$A$2:$E$1070,4,false)</f>
        <v>["Fire &amp; fire suppression", "Housing &amp; urban area"]</v>
      </c>
      <c r="BY514" s="13" t="b">
        <f>VLOOKUP(BT514,Enriched!$A$1:$AA$1070,27,falsE)</f>
        <v>0</v>
      </c>
      <c r="BZ514" s="2" t="str">
        <f>VLOOKUP(BT514,Enriched!$A$1:$AA$1070,14,falsE)</f>
        <v>level2</v>
      </c>
      <c r="CA514" s="13" t="str">
        <f>HYPERLINK("https%3A%2F%2Fwww.webofscience.com%2Fwos%2Fwoscc%2Ffull-record%2FWOS:000248265700011","View Full Record in Web of Science")</f>
        <v>View Full Record in Web of Science</v>
      </c>
    </row>
    <row r="515" ht="12.75" customHeight="1">
      <c r="A515" s="13" t="s">
        <v>5508</v>
      </c>
      <c r="B515" s="13" t="s">
        <v>14779</v>
      </c>
      <c r="C515" s="13" t="s">
        <v>5510</v>
      </c>
      <c r="D515" s="13" t="s">
        <v>5510</v>
      </c>
      <c r="E515" s="13" t="s">
        <v>5510</v>
      </c>
      <c r="F515" s="13" t="s">
        <v>14780</v>
      </c>
      <c r="G515" s="13" t="s">
        <v>5510</v>
      </c>
      <c r="H515" s="13" t="s">
        <v>5510</v>
      </c>
      <c r="I515" s="13" t="s">
        <v>1464</v>
      </c>
      <c r="J515" s="13" t="s">
        <v>6212</v>
      </c>
      <c r="K515" s="13" t="s">
        <v>5510</v>
      </c>
      <c r="L515" s="13" t="s">
        <v>5510</v>
      </c>
      <c r="M515" s="13" t="s">
        <v>5513</v>
      </c>
      <c r="N515" s="13" t="s">
        <v>5514</v>
      </c>
      <c r="O515" s="13" t="s">
        <v>5510</v>
      </c>
      <c r="P515" s="13" t="s">
        <v>5510</v>
      </c>
      <c r="Q515" s="13" t="s">
        <v>5510</v>
      </c>
      <c r="R515" s="13" t="s">
        <v>5510</v>
      </c>
      <c r="S515" s="13" t="s">
        <v>5510</v>
      </c>
      <c r="T515" s="13" t="s">
        <v>14781</v>
      </c>
      <c r="U515" s="13" t="s">
        <v>14782</v>
      </c>
      <c r="V515" s="13" t="s">
        <v>14783</v>
      </c>
      <c r="W515" s="13" t="s">
        <v>14784</v>
      </c>
      <c r="X515" s="13" t="s">
        <v>14785</v>
      </c>
      <c r="Y515" s="13" t="s">
        <v>14786</v>
      </c>
      <c r="Z515" s="13" t="s">
        <v>14787</v>
      </c>
      <c r="AA515" s="13" t="s">
        <v>14788</v>
      </c>
      <c r="AB515" s="13" t="s">
        <v>14789</v>
      </c>
      <c r="AC515" s="13" t="s">
        <v>14790</v>
      </c>
      <c r="AD515" s="13" t="s">
        <v>14790</v>
      </c>
      <c r="AE515" s="13" t="s">
        <v>14791</v>
      </c>
      <c r="AF515" s="13" t="s">
        <v>5510</v>
      </c>
      <c r="AG515" s="13">
        <v>117.0</v>
      </c>
      <c r="AH515" s="13">
        <v>23.0</v>
      </c>
      <c r="AI515" s="13">
        <v>29.0</v>
      </c>
      <c r="AJ515" s="13">
        <v>1.0</v>
      </c>
      <c r="AK515" s="13">
        <v>36.0</v>
      </c>
      <c r="AL515" s="13" t="s">
        <v>5759</v>
      </c>
      <c r="AM515" s="13" t="s">
        <v>5760</v>
      </c>
      <c r="AN515" s="13" t="s">
        <v>5761</v>
      </c>
      <c r="AO515" s="13" t="s">
        <v>6225</v>
      </c>
      <c r="AP515" s="13" t="s">
        <v>5510</v>
      </c>
      <c r="AQ515" s="13" t="s">
        <v>5510</v>
      </c>
      <c r="AR515" s="13" t="s">
        <v>6226</v>
      </c>
      <c r="AS515" s="13" t="s">
        <v>6227</v>
      </c>
      <c r="AT515" s="13" t="s">
        <v>6828</v>
      </c>
      <c r="AU515" s="13">
        <v>2016.0</v>
      </c>
      <c r="AV515" s="13">
        <v>6.0</v>
      </c>
      <c r="AW515" s="13" t="s">
        <v>5510</v>
      </c>
      <c r="AX515" s="13" t="s">
        <v>5510</v>
      </c>
      <c r="AY515" s="13" t="s">
        <v>5510</v>
      </c>
      <c r="AZ515" s="13" t="s">
        <v>5510</v>
      </c>
      <c r="BA515" s="13" t="s">
        <v>5510</v>
      </c>
      <c r="BB515" s="13">
        <v>79.0</v>
      </c>
      <c r="BC515" s="13">
        <v>92.0</v>
      </c>
      <c r="BD515" s="13" t="s">
        <v>5510</v>
      </c>
      <c r="BE515" s="13" t="s">
        <v>14792</v>
      </c>
      <c r="BF515" s="52" t="str">
        <f>HYPERLINK("http://dx.doi.org/10.1016/j.gecco.2016.01.004","http://dx.doi.org/10.1016/j.gecco.2016.01.004")</f>
        <v>http://dx.doi.org/10.1016/j.gecco.2016.01.004</v>
      </c>
      <c r="BG515" s="13" t="s">
        <v>5510</v>
      </c>
      <c r="BH515" s="13" t="s">
        <v>5510</v>
      </c>
      <c r="BI515" s="13">
        <v>14.0</v>
      </c>
      <c r="BJ515" s="13" t="s">
        <v>5958</v>
      </c>
      <c r="BK515" s="13" t="s">
        <v>5561</v>
      </c>
      <c r="BL515" s="13" t="s">
        <v>5699</v>
      </c>
      <c r="BM515" s="13" t="s">
        <v>14793</v>
      </c>
      <c r="BN515" s="13" t="s">
        <v>5510</v>
      </c>
      <c r="BO515" s="13" t="s">
        <v>5537</v>
      </c>
      <c r="BP515" s="13" t="s">
        <v>5510</v>
      </c>
      <c r="BQ515" s="13" t="s">
        <v>5510</v>
      </c>
      <c r="BR515" s="13" t="s">
        <v>5538</v>
      </c>
      <c r="BS515" s="13" t="s">
        <v>14794</v>
      </c>
      <c r="BT515" s="13">
        <v>24895.0</v>
      </c>
      <c r="BU515" s="13" t="s">
        <v>5540</v>
      </c>
      <c r="BV515" s="13" t="s">
        <v>4856</v>
      </c>
      <c r="BW515" s="13" t="str">
        <f>VLOOKUP($BT515,Enriched!$A$2:$E$1070,5,false)</f>
        <v>["Transportation &amp; Service Corridors", "Agriculture &amp; Aquaculture", "Energy Production &amp; Mining"]</v>
      </c>
      <c r="BX515" s="13" t="str">
        <f>VLOOKUP($BT515,Enriched!$A$2:$E$1070,4,false)</f>
        <v>["Housing &amp; urban area", "Roads &amp; railroads", "Livestock farming &amp; ranching", "Mining &amp; quarrying", "Utility &amp; service lines", "Wood &amp; pulp plantations"]</v>
      </c>
      <c r="BY515" s="13" t="b">
        <f>VLOOKUP(BT515,Enriched!$A$1:$AA$1070,27,falsE)</f>
        <v>0</v>
      </c>
      <c r="BZ515" s="2" t="str">
        <f>VLOOKUP(BT515,Enriched!$A$1:$AA$1070,14,falsE)</f>
        <v>level2</v>
      </c>
      <c r="CA515" s="13" t="str">
        <f>HYPERLINK("https%3A%2F%2Fwww.webofscience.com%2Fwos%2Fwoscc%2Ffull-record%2FWOS:000413276500008","View Full Record in Web of Science")</f>
        <v>View Full Record in Web of Science</v>
      </c>
    </row>
    <row r="516" ht="12.75" customHeight="1">
      <c r="A516" s="13" t="s">
        <v>5508</v>
      </c>
      <c r="B516" s="13" t="s">
        <v>14795</v>
      </c>
      <c r="C516" s="13" t="s">
        <v>5510</v>
      </c>
      <c r="D516" s="13" t="s">
        <v>5510</v>
      </c>
      <c r="E516" s="13" t="s">
        <v>5510</v>
      </c>
      <c r="F516" s="13" t="s">
        <v>14796</v>
      </c>
      <c r="G516" s="13" t="s">
        <v>5510</v>
      </c>
      <c r="H516" s="13" t="s">
        <v>5510</v>
      </c>
      <c r="I516" s="13" t="s">
        <v>1461</v>
      </c>
      <c r="J516" s="13" t="s">
        <v>5746</v>
      </c>
      <c r="K516" s="13" t="s">
        <v>5510</v>
      </c>
      <c r="L516" s="13" t="s">
        <v>5510</v>
      </c>
      <c r="M516" s="13" t="s">
        <v>5513</v>
      </c>
      <c r="N516" s="13" t="s">
        <v>5514</v>
      </c>
      <c r="O516" s="13" t="s">
        <v>5510</v>
      </c>
      <c r="P516" s="13" t="s">
        <v>5510</v>
      </c>
      <c r="Q516" s="13" t="s">
        <v>5510</v>
      </c>
      <c r="R516" s="13" t="s">
        <v>5510</v>
      </c>
      <c r="S516" s="13" t="s">
        <v>5510</v>
      </c>
      <c r="T516" s="13" t="s">
        <v>14797</v>
      </c>
      <c r="U516" s="13" t="s">
        <v>14798</v>
      </c>
      <c r="V516" s="13" t="s">
        <v>14799</v>
      </c>
      <c r="W516" s="13" t="s">
        <v>14800</v>
      </c>
      <c r="X516" s="13" t="s">
        <v>14801</v>
      </c>
      <c r="Y516" s="13" t="s">
        <v>14802</v>
      </c>
      <c r="Z516" s="13" t="s">
        <v>14803</v>
      </c>
      <c r="AA516" s="13" t="s">
        <v>14804</v>
      </c>
      <c r="AB516" s="13" t="s">
        <v>14805</v>
      </c>
      <c r="AC516" s="13" t="s">
        <v>14806</v>
      </c>
      <c r="AD516" s="13" t="s">
        <v>14807</v>
      </c>
      <c r="AE516" s="13" t="s">
        <v>14808</v>
      </c>
      <c r="AF516" s="13" t="s">
        <v>5510</v>
      </c>
      <c r="AG516" s="13">
        <v>69.0</v>
      </c>
      <c r="AH516" s="13">
        <v>139.0</v>
      </c>
      <c r="AI516" s="13">
        <v>174.0</v>
      </c>
      <c r="AJ516" s="13">
        <v>9.0</v>
      </c>
      <c r="AK516" s="13">
        <v>328.0</v>
      </c>
      <c r="AL516" s="13" t="s">
        <v>5759</v>
      </c>
      <c r="AM516" s="13" t="s">
        <v>5760</v>
      </c>
      <c r="AN516" s="13" t="s">
        <v>5761</v>
      </c>
      <c r="AO516" s="13" t="s">
        <v>5762</v>
      </c>
      <c r="AP516" s="13" t="s">
        <v>5763</v>
      </c>
      <c r="AQ516" s="13" t="s">
        <v>5510</v>
      </c>
      <c r="AR516" s="13" t="s">
        <v>5764</v>
      </c>
      <c r="AS516" s="13" t="s">
        <v>5765</v>
      </c>
      <c r="AT516" s="13" t="s">
        <v>14605</v>
      </c>
      <c r="AU516" s="13">
        <v>2018.0</v>
      </c>
      <c r="AV516" s="13">
        <v>621.0</v>
      </c>
      <c r="AW516" s="13" t="s">
        <v>5510</v>
      </c>
      <c r="AX516" s="13" t="s">
        <v>5510</v>
      </c>
      <c r="AY516" s="13" t="s">
        <v>5510</v>
      </c>
      <c r="AZ516" s="13" t="s">
        <v>5510</v>
      </c>
      <c r="BA516" s="13" t="s">
        <v>5510</v>
      </c>
      <c r="BB516" s="13">
        <v>18.0</v>
      </c>
      <c r="BC516" s="13">
        <v>29.0</v>
      </c>
      <c r="BD516" s="13" t="s">
        <v>5510</v>
      </c>
      <c r="BE516" s="13" t="s">
        <v>14809</v>
      </c>
      <c r="BF516" s="52" t="str">
        <f>HYPERLINK("http://dx.doi.org/10.1016/j.scitotenv.2017.11.216","http://dx.doi.org/10.1016/j.scitotenv.2017.11.216")</f>
        <v>http://dx.doi.org/10.1016/j.scitotenv.2017.11.216</v>
      </c>
      <c r="BG516" s="13" t="s">
        <v>5510</v>
      </c>
      <c r="BH516" s="13" t="s">
        <v>5510</v>
      </c>
      <c r="BI516" s="13">
        <v>12.0</v>
      </c>
      <c r="BJ516" s="13" t="s">
        <v>5768</v>
      </c>
      <c r="BK516" s="13" t="s">
        <v>5561</v>
      </c>
      <c r="BL516" s="13" t="s">
        <v>5535</v>
      </c>
      <c r="BM516" s="13" t="s">
        <v>14810</v>
      </c>
      <c r="BN516" s="13">
        <v>2.9175618E7</v>
      </c>
      <c r="BO516" s="13" t="s">
        <v>5510</v>
      </c>
      <c r="BP516" s="13" t="s">
        <v>5510</v>
      </c>
      <c r="BQ516" s="13" t="s">
        <v>5510</v>
      </c>
      <c r="BR516" s="13" t="s">
        <v>5538</v>
      </c>
      <c r="BS516" s="13" t="s">
        <v>14811</v>
      </c>
      <c r="BT516" s="13">
        <v>24544.0</v>
      </c>
      <c r="BU516" s="13" t="s">
        <v>5540</v>
      </c>
      <c r="BV516" s="13" t="s">
        <v>4856</v>
      </c>
      <c r="BW516" s="13" t="str">
        <f>VLOOKUP($BT516,Enriched!$A$2:$E$1070,5,false)</f>
        <v>["Residential &amp; Commercial Development", "Agriculture &amp; Aquaculture", "Transportation &amp; Service Corridors"]</v>
      </c>
      <c r="BX516" s="13" t="str">
        <f>VLOOKUP($BT516,Enriched!$A$2:$E$1070,4,false)</f>
        <v>["Livestock farming &amp; ranching", "Annual &amp; perennial non-timber crops", "Roads &amp; railroads"]</v>
      </c>
      <c r="BY516" s="13" t="b">
        <f>VLOOKUP(BT516,Enriched!$A$1:$AA$1070,27,falsE)</f>
        <v>1</v>
      </c>
      <c r="BZ516" s="2" t="str">
        <f>VLOOKUP(BT516,Enriched!$A$1:$AA$1070,14,falsE)</f>
        <v>cumulative</v>
      </c>
      <c r="CA516" s="13" t="str">
        <f>HYPERLINK("https%3A%2F%2Fwww.webofscience.com%2Fwos%2Fwoscc%2Ffull-record%2FWOS:000424196800003","View Full Record in Web of Science")</f>
        <v>View Full Record in Web of Science</v>
      </c>
    </row>
    <row r="517" ht="12.75" customHeight="1">
      <c r="A517" s="13" t="s">
        <v>5508</v>
      </c>
      <c r="B517" s="13" t="s">
        <v>14812</v>
      </c>
      <c r="C517" s="13" t="s">
        <v>5510</v>
      </c>
      <c r="D517" s="13" t="s">
        <v>5510</v>
      </c>
      <c r="E517" s="13" t="s">
        <v>5510</v>
      </c>
      <c r="F517" s="13" t="s">
        <v>14813</v>
      </c>
      <c r="G517" s="13" t="s">
        <v>5510</v>
      </c>
      <c r="H517" s="13" t="s">
        <v>5510</v>
      </c>
      <c r="I517" s="13" t="s">
        <v>1458</v>
      </c>
      <c r="J517" s="13" t="s">
        <v>9683</v>
      </c>
      <c r="K517" s="13" t="s">
        <v>5510</v>
      </c>
      <c r="L517" s="13" t="s">
        <v>5510</v>
      </c>
      <c r="M517" s="13" t="s">
        <v>5513</v>
      </c>
      <c r="N517" s="13" t="s">
        <v>5514</v>
      </c>
      <c r="O517" s="13" t="s">
        <v>5510</v>
      </c>
      <c r="P517" s="13" t="s">
        <v>5510</v>
      </c>
      <c r="Q517" s="13" t="s">
        <v>5510</v>
      </c>
      <c r="R517" s="13" t="s">
        <v>5510</v>
      </c>
      <c r="S517" s="13" t="s">
        <v>5510</v>
      </c>
      <c r="T517" s="13" t="s">
        <v>5510</v>
      </c>
      <c r="U517" s="13" t="s">
        <v>14814</v>
      </c>
      <c r="V517" s="13" t="s">
        <v>14815</v>
      </c>
      <c r="W517" s="13" t="s">
        <v>14816</v>
      </c>
      <c r="X517" s="13" t="s">
        <v>14817</v>
      </c>
      <c r="Y517" s="13" t="s">
        <v>14818</v>
      </c>
      <c r="Z517" s="13" t="s">
        <v>14819</v>
      </c>
      <c r="AA517" s="13" t="s">
        <v>14820</v>
      </c>
      <c r="AB517" s="13" t="s">
        <v>14821</v>
      </c>
      <c r="AC517" s="13" t="s">
        <v>14822</v>
      </c>
      <c r="AD517" s="13" t="s">
        <v>14823</v>
      </c>
      <c r="AE517" s="13" t="s">
        <v>14824</v>
      </c>
      <c r="AF517" s="13" t="s">
        <v>5510</v>
      </c>
      <c r="AG517" s="13">
        <v>33.0</v>
      </c>
      <c r="AH517" s="13">
        <v>53.0</v>
      </c>
      <c r="AI517" s="13">
        <v>61.0</v>
      </c>
      <c r="AJ517" s="13">
        <v>8.0</v>
      </c>
      <c r="AK517" s="13">
        <v>78.0</v>
      </c>
      <c r="AL517" s="13" t="s">
        <v>5527</v>
      </c>
      <c r="AM517" s="13" t="s">
        <v>5528</v>
      </c>
      <c r="AN517" s="13" t="s">
        <v>5529</v>
      </c>
      <c r="AO517" s="13" t="s">
        <v>9695</v>
      </c>
      <c r="AP517" s="13" t="s">
        <v>9696</v>
      </c>
      <c r="AQ517" s="13" t="s">
        <v>5510</v>
      </c>
      <c r="AR517" s="13" t="s">
        <v>9697</v>
      </c>
      <c r="AS517" s="13" t="s">
        <v>9698</v>
      </c>
      <c r="AT517" s="13" t="s">
        <v>2514</v>
      </c>
      <c r="AU517" s="13">
        <v>2018.0</v>
      </c>
      <c r="AV517" s="13">
        <v>16.0</v>
      </c>
      <c r="AW517" s="13">
        <v>8.0</v>
      </c>
      <c r="AX517" s="13" t="s">
        <v>5510</v>
      </c>
      <c r="AY517" s="13" t="s">
        <v>5510</v>
      </c>
      <c r="AZ517" s="13" t="s">
        <v>5510</v>
      </c>
      <c r="BA517" s="13" t="s">
        <v>5510</v>
      </c>
      <c r="BB517" s="13">
        <v>447.0</v>
      </c>
      <c r="BC517" s="13">
        <v>452.0</v>
      </c>
      <c r="BD517" s="13" t="s">
        <v>5510</v>
      </c>
      <c r="BE517" s="13" t="s">
        <v>14825</v>
      </c>
      <c r="BF517" s="52" t="str">
        <f>HYPERLINK("http://dx.doi.org/10.1002/fee.1825","http://dx.doi.org/10.1002/fee.1825")</f>
        <v>http://dx.doi.org/10.1002/fee.1825</v>
      </c>
      <c r="BG517" s="13" t="s">
        <v>5510</v>
      </c>
      <c r="BH517" s="13" t="s">
        <v>5510</v>
      </c>
      <c r="BI517" s="13">
        <v>6.0</v>
      </c>
      <c r="BJ517" s="13" t="s">
        <v>6026</v>
      </c>
      <c r="BK517" s="13" t="s">
        <v>5534</v>
      </c>
      <c r="BL517" s="13" t="s">
        <v>5535</v>
      </c>
      <c r="BM517" s="13" t="s">
        <v>14826</v>
      </c>
      <c r="BN517" s="13" t="s">
        <v>5510</v>
      </c>
      <c r="BO517" s="13" t="s">
        <v>5510</v>
      </c>
      <c r="BP517" s="13" t="s">
        <v>5510</v>
      </c>
      <c r="BQ517" s="13" t="s">
        <v>5510</v>
      </c>
      <c r="BR517" s="13" t="s">
        <v>5538</v>
      </c>
      <c r="BS517" s="13" t="s">
        <v>14827</v>
      </c>
      <c r="BT517" s="13">
        <v>25988.0</v>
      </c>
      <c r="BU517" s="13" t="s">
        <v>5540</v>
      </c>
      <c r="BV517" s="13" t="s">
        <v>4856</v>
      </c>
      <c r="BW517" s="13" t="str">
        <f>VLOOKUP($BT517,Enriched!$A$2:$E$1070,5,false)</f>
        <v>["Agriculture &amp; aquaculture"]</v>
      </c>
      <c r="BX517" s="13" t="str">
        <f>VLOOKUP($BT517,Enriched!$A$2:$E$1070,4,false)</f>
        <v>["Annual &amp; perennial non-timber crops"]</v>
      </c>
      <c r="BY517" s="13" t="b">
        <f>VLOOKUP(BT517,Enriched!$A$1:$AA$1070,27,falsE)</f>
        <v>0</v>
      </c>
      <c r="BZ517" s="2" t="str">
        <f>VLOOKUP(BT517,Enriched!$A$1:$AA$1070,14,falsE)</f>
        <v>level2</v>
      </c>
      <c r="CA517" s="13" t="str">
        <f>HYPERLINK("https%3A%2F%2Fwww.webofscience.com%2Fwos%2Fwoscc%2Ffull-record%2FWOS:000446011400006","View Full Record in Web of Science")</f>
        <v>View Full Record in Web of Science</v>
      </c>
    </row>
    <row r="518" ht="12.75" customHeight="1">
      <c r="A518" s="13" t="s">
        <v>5508</v>
      </c>
      <c r="B518" s="13" t="s">
        <v>14828</v>
      </c>
      <c r="C518" s="13" t="s">
        <v>5510</v>
      </c>
      <c r="D518" s="13" t="s">
        <v>5510</v>
      </c>
      <c r="E518" s="13" t="s">
        <v>5510</v>
      </c>
      <c r="F518" s="13" t="s">
        <v>14829</v>
      </c>
      <c r="G518" s="13" t="s">
        <v>5510</v>
      </c>
      <c r="H518" s="13" t="s">
        <v>5510</v>
      </c>
      <c r="I518" s="13" t="s">
        <v>1455</v>
      </c>
      <c r="J518" s="13" t="s">
        <v>10093</v>
      </c>
      <c r="K518" s="13" t="s">
        <v>5510</v>
      </c>
      <c r="L518" s="13" t="s">
        <v>5510</v>
      </c>
      <c r="M518" s="13" t="s">
        <v>5513</v>
      </c>
      <c r="N518" s="13" t="s">
        <v>5514</v>
      </c>
      <c r="O518" s="13" t="s">
        <v>5510</v>
      </c>
      <c r="P518" s="13" t="s">
        <v>5510</v>
      </c>
      <c r="Q518" s="13" t="s">
        <v>5510</v>
      </c>
      <c r="R518" s="13" t="s">
        <v>5510</v>
      </c>
      <c r="S518" s="13" t="s">
        <v>5510</v>
      </c>
      <c r="T518" s="13" t="s">
        <v>14830</v>
      </c>
      <c r="U518" s="13" t="s">
        <v>14831</v>
      </c>
      <c r="V518" s="13" t="s">
        <v>14832</v>
      </c>
      <c r="W518" s="13" t="s">
        <v>14833</v>
      </c>
      <c r="X518" s="13" t="s">
        <v>14834</v>
      </c>
      <c r="Y518" s="13" t="s">
        <v>14835</v>
      </c>
      <c r="Z518" s="13" t="s">
        <v>14836</v>
      </c>
      <c r="AA518" s="13" t="s">
        <v>5510</v>
      </c>
      <c r="AB518" s="13" t="s">
        <v>5510</v>
      </c>
      <c r="AC518" s="13" t="s">
        <v>14837</v>
      </c>
      <c r="AD518" s="13" t="s">
        <v>14838</v>
      </c>
      <c r="AE518" s="13" t="s">
        <v>14839</v>
      </c>
      <c r="AF518" s="13" t="s">
        <v>5510</v>
      </c>
      <c r="AG518" s="13">
        <v>91.0</v>
      </c>
      <c r="AH518" s="13">
        <v>69.0</v>
      </c>
      <c r="AI518" s="13">
        <v>85.0</v>
      </c>
      <c r="AJ518" s="13">
        <v>2.0</v>
      </c>
      <c r="AK518" s="13">
        <v>204.0</v>
      </c>
      <c r="AL518" s="13" t="s">
        <v>7505</v>
      </c>
      <c r="AM518" s="13" t="s">
        <v>7506</v>
      </c>
      <c r="AN518" s="13" t="s">
        <v>7507</v>
      </c>
      <c r="AO518" s="13" t="s">
        <v>10103</v>
      </c>
      <c r="AP518" s="13" t="s">
        <v>10104</v>
      </c>
      <c r="AQ518" s="13" t="s">
        <v>5510</v>
      </c>
      <c r="AR518" s="13" t="s">
        <v>10105</v>
      </c>
      <c r="AS518" s="13" t="s">
        <v>10106</v>
      </c>
      <c r="AT518" s="13" t="s">
        <v>2738</v>
      </c>
      <c r="AU518" s="13">
        <v>2015.0</v>
      </c>
      <c r="AV518" s="13">
        <v>15.0</v>
      </c>
      <c r="AW518" s="13">
        <v>2.0</v>
      </c>
      <c r="AX518" s="13" t="s">
        <v>5510</v>
      </c>
      <c r="AY518" s="13" t="s">
        <v>5510</v>
      </c>
      <c r="AZ518" s="13" t="s">
        <v>5510</v>
      </c>
      <c r="BA518" s="13" t="s">
        <v>5510</v>
      </c>
      <c r="BB518" s="13">
        <v>415.0</v>
      </c>
      <c r="BC518" s="13">
        <v>429.0</v>
      </c>
      <c r="BD518" s="13" t="s">
        <v>5510</v>
      </c>
      <c r="BE518" s="13" t="s">
        <v>14840</v>
      </c>
      <c r="BF518" s="52" t="str">
        <f>HYPERLINK("http://dx.doi.org/10.1007/s10113-014-0629-5","http://dx.doi.org/10.1007/s10113-014-0629-5")</f>
        <v>http://dx.doi.org/10.1007/s10113-014-0629-5</v>
      </c>
      <c r="BG518" s="13" t="s">
        <v>5510</v>
      </c>
      <c r="BH518" s="13" t="s">
        <v>5510</v>
      </c>
      <c r="BI518" s="13">
        <v>15.0</v>
      </c>
      <c r="BJ518" s="13" t="s">
        <v>10108</v>
      </c>
      <c r="BK518" s="13" t="s">
        <v>5534</v>
      </c>
      <c r="BL518" s="13" t="s">
        <v>5535</v>
      </c>
      <c r="BM518" s="13" t="s">
        <v>14841</v>
      </c>
      <c r="BN518" s="13" t="s">
        <v>5510</v>
      </c>
      <c r="BO518" s="13" t="s">
        <v>5510</v>
      </c>
      <c r="BP518" s="13" t="s">
        <v>5510</v>
      </c>
      <c r="BQ518" s="13" t="s">
        <v>5510</v>
      </c>
      <c r="BR518" s="13" t="s">
        <v>5538</v>
      </c>
      <c r="BS518" s="13" t="s">
        <v>14842</v>
      </c>
      <c r="BT518" s="13">
        <v>25980.0</v>
      </c>
      <c r="BU518" s="13" t="s">
        <v>5540</v>
      </c>
      <c r="BV518" s="13" t="s">
        <v>4856</v>
      </c>
      <c r="BW518" s="13" t="str">
        <f>VLOOKUP($BT518,Enriched!$A$2:$E$1070,5,false)</f>
        <v>["Agriculture &amp; Aquaculture", "Transportation &amp; Service Corridors"]</v>
      </c>
      <c r="BX518" s="13" t="str">
        <f>VLOOKUP($BT518,Enriched!$A$2:$E$1070,4,false)</f>
        <v>["Annual &amp; perennial non-timber crops", "Roads &amp; railroads", "Housing &amp; urban area"]</v>
      </c>
      <c r="BY518" s="13" t="b">
        <f>VLOOKUP(BT518,Enriched!$A$1:$AA$1070,27,falsE)</f>
        <v>0</v>
      </c>
      <c r="BZ518" s="2" t="str">
        <f>VLOOKUP(BT518,Enriched!$A$1:$AA$1070,14,falsE)</f>
        <v>cumulative</v>
      </c>
      <c r="CA518" s="13" t="str">
        <f>HYPERLINK("https%3A%2F%2Fwww.webofscience.com%2Fwos%2Fwoscc%2Ffull-record%2FWOS:000347705300017","View Full Record in Web of Science")</f>
        <v>View Full Record in Web of Science</v>
      </c>
    </row>
    <row r="519" ht="12.75" customHeight="1">
      <c r="A519" s="13" t="s">
        <v>5508</v>
      </c>
      <c r="B519" s="13" t="s">
        <v>14843</v>
      </c>
      <c r="C519" s="13" t="s">
        <v>5510</v>
      </c>
      <c r="D519" s="13" t="s">
        <v>5510</v>
      </c>
      <c r="E519" s="13" t="s">
        <v>5510</v>
      </c>
      <c r="F519" s="13" t="s">
        <v>14844</v>
      </c>
      <c r="G519" s="13" t="s">
        <v>5510</v>
      </c>
      <c r="H519" s="13" t="s">
        <v>5510</v>
      </c>
      <c r="I519" s="13" t="s">
        <v>1441</v>
      </c>
      <c r="J519" s="13" t="s">
        <v>13492</v>
      </c>
      <c r="K519" s="13" t="s">
        <v>5510</v>
      </c>
      <c r="L519" s="13" t="s">
        <v>5510</v>
      </c>
      <c r="M519" s="13" t="s">
        <v>5513</v>
      </c>
      <c r="N519" s="13" t="s">
        <v>5514</v>
      </c>
      <c r="O519" s="13" t="s">
        <v>5510</v>
      </c>
      <c r="P519" s="13" t="s">
        <v>5510</v>
      </c>
      <c r="Q519" s="13" t="s">
        <v>5510</v>
      </c>
      <c r="R519" s="13" t="s">
        <v>5510</v>
      </c>
      <c r="S519" s="13" t="s">
        <v>5510</v>
      </c>
      <c r="T519" s="13" t="s">
        <v>14845</v>
      </c>
      <c r="U519" s="13" t="s">
        <v>14846</v>
      </c>
      <c r="V519" s="13" t="s">
        <v>14847</v>
      </c>
      <c r="W519" s="13" t="s">
        <v>14848</v>
      </c>
      <c r="X519" s="13" t="s">
        <v>5510</v>
      </c>
      <c r="Y519" s="13" t="s">
        <v>14849</v>
      </c>
      <c r="Z519" s="13" t="s">
        <v>14850</v>
      </c>
      <c r="AA519" s="13" t="s">
        <v>14851</v>
      </c>
      <c r="AB519" s="13" t="s">
        <v>14852</v>
      </c>
      <c r="AC519" s="13" t="s">
        <v>14853</v>
      </c>
      <c r="AD519" s="13" t="s">
        <v>14853</v>
      </c>
      <c r="AE519" s="13" t="s">
        <v>14854</v>
      </c>
      <c r="AF519" s="13" t="s">
        <v>5510</v>
      </c>
      <c r="AG519" s="13">
        <v>46.0</v>
      </c>
      <c r="AH519" s="13">
        <v>22.0</v>
      </c>
      <c r="AI519" s="13">
        <v>23.0</v>
      </c>
      <c r="AJ519" s="13">
        <v>1.0</v>
      </c>
      <c r="AK519" s="13">
        <v>42.0</v>
      </c>
      <c r="AL519" s="13" t="s">
        <v>5690</v>
      </c>
      <c r="AM519" s="13" t="s">
        <v>5691</v>
      </c>
      <c r="AN519" s="13" t="s">
        <v>5692</v>
      </c>
      <c r="AO519" s="13" t="s">
        <v>13504</v>
      </c>
      <c r="AP519" s="13" t="s">
        <v>13505</v>
      </c>
      <c r="AQ519" s="13" t="s">
        <v>5510</v>
      </c>
      <c r="AR519" s="13" t="s">
        <v>13492</v>
      </c>
      <c r="AS519" s="13" t="s">
        <v>400</v>
      </c>
      <c r="AT519" s="13" t="s">
        <v>2514</v>
      </c>
      <c r="AU519" s="13">
        <v>2016.0</v>
      </c>
      <c r="AV519" s="13">
        <v>36.0</v>
      </c>
      <c r="AW519" s="13">
        <v>5.0</v>
      </c>
      <c r="AX519" s="13" t="s">
        <v>5510</v>
      </c>
      <c r="AY519" s="13" t="s">
        <v>5510</v>
      </c>
      <c r="AZ519" s="13" t="s">
        <v>5510</v>
      </c>
      <c r="BA519" s="13" t="s">
        <v>5510</v>
      </c>
      <c r="BB519" s="13">
        <v>935.0</v>
      </c>
      <c r="BC519" s="13">
        <v>943.0</v>
      </c>
      <c r="BD519" s="13" t="s">
        <v>5510</v>
      </c>
      <c r="BE519" s="13" t="s">
        <v>14855</v>
      </c>
      <c r="BF519" s="52" t="str">
        <f>HYPERLINK("http://dx.doi.org/10.1007/s13157-016-0806-z","http://dx.doi.org/10.1007/s13157-016-0806-z")</f>
        <v>http://dx.doi.org/10.1007/s13157-016-0806-z</v>
      </c>
      <c r="BG519" s="13" t="s">
        <v>5510</v>
      </c>
      <c r="BH519" s="13" t="s">
        <v>5510</v>
      </c>
      <c r="BI519" s="13">
        <v>9.0</v>
      </c>
      <c r="BJ519" s="13" t="s">
        <v>6026</v>
      </c>
      <c r="BK519" s="13" t="s">
        <v>5561</v>
      </c>
      <c r="BL519" s="13" t="s">
        <v>5535</v>
      </c>
      <c r="BM519" s="13" t="s">
        <v>14856</v>
      </c>
      <c r="BN519" s="13" t="s">
        <v>5510</v>
      </c>
      <c r="BO519" s="13" t="s">
        <v>5510</v>
      </c>
      <c r="BP519" s="13" t="s">
        <v>5510</v>
      </c>
      <c r="BQ519" s="13" t="s">
        <v>5510</v>
      </c>
      <c r="BR519" s="13" t="s">
        <v>5538</v>
      </c>
      <c r="BS519" s="13" t="s">
        <v>14857</v>
      </c>
      <c r="BT519" s="13">
        <v>25080.0</v>
      </c>
      <c r="BU519" s="13" t="s">
        <v>5540</v>
      </c>
      <c r="BV519" s="13" t="s">
        <v>4886</v>
      </c>
      <c r="BW519" s="13" t="str">
        <f>VLOOKUP($BT519,Enriched!$A$2:$E$1070,5,false)</f>
        <v>["Agriculture &amp; Aquaculture", "Natural System Modifications", "Energy Production &amp; Mining", "Residential &amp; Commercial Development"]</v>
      </c>
      <c r="BX519" s="13" t="str">
        <f>VLOOKUP($BT519,Enriched!$A$2:$E$1070,4,false)</f>
        <v>["Livestock farming &amp; ranching", "Annual &amp; perennial non-timber crops", "Fire &amp; fire suppression", "Housing &amp; urban area", "Mining &amp; quarrying", "Wood &amp; pulp plantations"]</v>
      </c>
      <c r="BY519" s="13" t="b">
        <f>VLOOKUP(BT519,Enriched!$A$1:$AA$1070,27,falsE)</f>
        <v>1</v>
      </c>
      <c r="BZ519" s="2" t="str">
        <f>VLOOKUP(BT519,Enriched!$A$1:$AA$1070,14,falsE)</f>
        <v>level2</v>
      </c>
      <c r="CA519" s="13" t="str">
        <f>HYPERLINK("https%3A%2F%2Fwww.webofscience.com%2Fwos%2Fwoscc%2Ffull-record%2FWOS:000385162100014","View Full Record in Web of Science")</f>
        <v>View Full Record in Web of Science</v>
      </c>
    </row>
    <row r="520" ht="12.75" customHeight="1">
      <c r="A520" s="13" t="s">
        <v>5508</v>
      </c>
      <c r="B520" s="13" t="s">
        <v>14858</v>
      </c>
      <c r="C520" s="13" t="s">
        <v>5510</v>
      </c>
      <c r="D520" s="13" t="s">
        <v>5510</v>
      </c>
      <c r="E520" s="13" t="s">
        <v>5510</v>
      </c>
      <c r="F520" s="13" t="s">
        <v>14859</v>
      </c>
      <c r="G520" s="13" t="s">
        <v>5510</v>
      </c>
      <c r="H520" s="13" t="s">
        <v>5510</v>
      </c>
      <c r="I520" s="2" t="s">
        <v>1439</v>
      </c>
      <c r="J520" s="13" t="s">
        <v>14860</v>
      </c>
      <c r="K520" s="13" t="s">
        <v>5510</v>
      </c>
      <c r="L520" s="13" t="s">
        <v>5510</v>
      </c>
      <c r="M520" s="13" t="s">
        <v>5513</v>
      </c>
      <c r="N520" s="13" t="s">
        <v>6168</v>
      </c>
      <c r="O520" s="13" t="s">
        <v>5510</v>
      </c>
      <c r="P520" s="13" t="s">
        <v>5510</v>
      </c>
      <c r="Q520" s="13" t="s">
        <v>5510</v>
      </c>
      <c r="R520" s="13" t="s">
        <v>5510</v>
      </c>
      <c r="S520" s="13" t="s">
        <v>5510</v>
      </c>
      <c r="T520" s="13" t="s">
        <v>5510</v>
      </c>
      <c r="U520" s="13" t="s">
        <v>5510</v>
      </c>
      <c r="V520" s="13" t="s">
        <v>5510</v>
      </c>
      <c r="W520" s="13" t="s">
        <v>5510</v>
      </c>
      <c r="X520" s="13" t="s">
        <v>5510</v>
      </c>
      <c r="Y520" s="13" t="s">
        <v>5510</v>
      </c>
      <c r="Z520" s="13" t="s">
        <v>5510</v>
      </c>
      <c r="AA520" s="13" t="s">
        <v>14861</v>
      </c>
      <c r="AB520" s="13" t="s">
        <v>14862</v>
      </c>
      <c r="AC520" s="13" t="s">
        <v>5510</v>
      </c>
      <c r="AD520" s="13" t="s">
        <v>5510</v>
      </c>
      <c r="AE520" s="13" t="s">
        <v>5510</v>
      </c>
      <c r="AF520" s="13" t="s">
        <v>5510</v>
      </c>
      <c r="AG520" s="13">
        <v>1.0</v>
      </c>
      <c r="AH520" s="13">
        <v>4.0</v>
      </c>
      <c r="AI520" s="13">
        <v>5.0</v>
      </c>
      <c r="AJ520" s="13">
        <v>0.0</v>
      </c>
      <c r="AK520" s="13">
        <v>13.0</v>
      </c>
      <c r="AL520" s="13" t="s">
        <v>5552</v>
      </c>
      <c r="AM520" s="13" t="s">
        <v>5553</v>
      </c>
      <c r="AN520" s="13" t="s">
        <v>5554</v>
      </c>
      <c r="AO520" s="13" t="s">
        <v>14863</v>
      </c>
      <c r="AP520" s="13" t="s">
        <v>14864</v>
      </c>
      <c r="AQ520" s="13" t="s">
        <v>5510</v>
      </c>
      <c r="AR520" s="13" t="s">
        <v>14865</v>
      </c>
      <c r="AS520" s="13" t="s">
        <v>14866</v>
      </c>
      <c r="AT520" s="13" t="s">
        <v>5978</v>
      </c>
      <c r="AU520" s="13">
        <v>2019.0</v>
      </c>
      <c r="AV520" s="13">
        <v>17.0</v>
      </c>
      <c r="AW520" s="13">
        <v>12.0</v>
      </c>
      <c r="AX520" s="13" t="s">
        <v>5510</v>
      </c>
      <c r="AY520" s="13" t="s">
        <v>5510</v>
      </c>
      <c r="AZ520" s="13" t="s">
        <v>5510</v>
      </c>
      <c r="BA520" s="13" t="s">
        <v>5510</v>
      </c>
      <c r="BB520" s="13" t="s">
        <v>5510</v>
      </c>
      <c r="BC520" s="13" t="s">
        <v>5510</v>
      </c>
      <c r="BD520" s="13" t="s">
        <v>14867</v>
      </c>
      <c r="BE520" s="13" t="s">
        <v>14868</v>
      </c>
      <c r="BF520" s="52" t="str">
        <f>HYPERLINK("http://dx.doi.org/10.1371/journal.pbio.3000598","http://dx.doi.org/10.1371/journal.pbio.3000598")</f>
        <v>http://dx.doi.org/10.1371/journal.pbio.3000598</v>
      </c>
      <c r="BG520" s="13" t="s">
        <v>5510</v>
      </c>
      <c r="BH520" s="13" t="s">
        <v>5510</v>
      </c>
      <c r="BI520" s="13">
        <v>1.0</v>
      </c>
      <c r="BJ520" s="13" t="s">
        <v>14869</v>
      </c>
      <c r="BK520" s="13" t="s">
        <v>5561</v>
      </c>
      <c r="BL520" s="13" t="s">
        <v>14870</v>
      </c>
      <c r="BM520" s="13" t="s">
        <v>14871</v>
      </c>
      <c r="BN520" s="13">
        <v>3.1841524E7</v>
      </c>
      <c r="BO520" s="13" t="s">
        <v>5564</v>
      </c>
      <c r="BP520" s="13" t="s">
        <v>5510</v>
      </c>
      <c r="BQ520" s="13" t="s">
        <v>5510</v>
      </c>
      <c r="BR520" s="13" t="s">
        <v>5538</v>
      </c>
      <c r="BS520" s="13" t="s">
        <v>14872</v>
      </c>
      <c r="BT520" s="13">
        <v>23072.0</v>
      </c>
      <c r="BU520" s="13" t="s">
        <v>5540</v>
      </c>
      <c r="BV520" s="13" t="s">
        <v>4856</v>
      </c>
      <c r="BW520" s="13" t="str">
        <f>VLOOKUP($BT520,Enriched!$A$2:$E$1070,5,false)</f>
        <v>["Residential &amp; Commercial Development", "Agriculture &amp; Aquaculture", "Transportation &amp; Service Corridors", "Biological Resource Use", "Human Intrusions &amp; Disturbance", "Invasive &amp; Other Problematic Species, Genes &amp; Diseases", "Pollution"]</v>
      </c>
      <c r="BX520" s="13" t="str">
        <f>VLOOKUP($BT520,Enriched!$A$2:$E$1070,4,false)</f>
        <v>["Housing &amp; urban area", "Commercial &amp; industrial areas", "Annual &amp; perennial non-timber crops", "Livestock farming &amp; ranching", "Roads &amp; railroads", "Utility &amp; service lines", "Hunting &amp; collecting terrestrial animals", "Gathering terrestrial plants", "Recreational activities", "Work &amp; other activities", "Invasive non-native/alien species/diseases", "Domestic &amp; urban waste water", "Agricultural &amp; forestry effluents", "Garbage &amp; solid waste", "Excess energy"]</v>
      </c>
      <c r="BY520" s="13" t="b">
        <f>VLOOKUP(BT520,Enriched!$A$1:$AA$1070,27,falsE)</f>
        <v>0</v>
      </c>
      <c r="BZ520" s="2" t="str">
        <f>VLOOKUP(BT520,Enriched!$A$1:$AA$1070,14,falsE)</f>
        <v>cumulative</v>
      </c>
      <c r="CA520" s="13" t="str">
        <f>HYPERLINK("https%3A%2F%2Fwww.webofscience.com%2Fwos%2Fwoscc%2Ffull-record%2FWOS:000559665300004","View Full Record in Web of Science")</f>
        <v>View Full Record in Web of Science</v>
      </c>
    </row>
    <row r="521" ht="12.75" customHeight="1">
      <c r="A521" s="13" t="s">
        <v>5508</v>
      </c>
      <c r="B521" s="13" t="s">
        <v>14858</v>
      </c>
      <c r="C521" s="13" t="s">
        <v>5510</v>
      </c>
      <c r="D521" s="13" t="s">
        <v>5510</v>
      </c>
      <c r="E521" s="13" t="s">
        <v>5510</v>
      </c>
      <c r="F521" s="13" t="s">
        <v>14859</v>
      </c>
      <c r="G521" s="13" t="s">
        <v>5510</v>
      </c>
      <c r="H521" s="13" t="s">
        <v>5510</v>
      </c>
      <c r="I521" s="13" t="s">
        <v>1439</v>
      </c>
      <c r="J521" s="13" t="s">
        <v>14860</v>
      </c>
      <c r="K521" s="13" t="s">
        <v>5510</v>
      </c>
      <c r="L521" s="13" t="s">
        <v>5510</v>
      </c>
      <c r="M521" s="13" t="s">
        <v>5513</v>
      </c>
      <c r="N521" s="13" t="s">
        <v>5514</v>
      </c>
      <c r="O521" s="13" t="s">
        <v>5510</v>
      </c>
      <c r="P521" s="13" t="s">
        <v>5510</v>
      </c>
      <c r="Q521" s="13" t="s">
        <v>5510</v>
      </c>
      <c r="R521" s="13" t="s">
        <v>5510</v>
      </c>
      <c r="S521" s="13" t="s">
        <v>5510</v>
      </c>
      <c r="T521" s="13" t="s">
        <v>5510</v>
      </c>
      <c r="U521" s="13" t="s">
        <v>14873</v>
      </c>
      <c r="V521" s="13" t="s">
        <v>14874</v>
      </c>
      <c r="W521" s="13" t="s">
        <v>14875</v>
      </c>
      <c r="X521" s="13" t="s">
        <v>14876</v>
      </c>
      <c r="Y521" s="13" t="s">
        <v>14877</v>
      </c>
      <c r="Z521" s="13" t="s">
        <v>14878</v>
      </c>
      <c r="AA521" s="13" t="s">
        <v>14879</v>
      </c>
      <c r="AB521" s="13" t="s">
        <v>14880</v>
      </c>
      <c r="AC521" s="13" t="s">
        <v>5510</v>
      </c>
      <c r="AD521" s="13" t="s">
        <v>5510</v>
      </c>
      <c r="AE521" s="13" t="s">
        <v>5510</v>
      </c>
      <c r="AF521" s="13" t="s">
        <v>5510</v>
      </c>
      <c r="AG521" s="13">
        <v>73.0</v>
      </c>
      <c r="AH521" s="13">
        <v>123.0</v>
      </c>
      <c r="AI521" s="13">
        <v>139.0</v>
      </c>
      <c r="AJ521" s="13">
        <v>3.0</v>
      </c>
      <c r="AK521" s="13">
        <v>95.0</v>
      </c>
      <c r="AL521" s="13" t="s">
        <v>5552</v>
      </c>
      <c r="AM521" s="13" t="s">
        <v>5553</v>
      </c>
      <c r="AN521" s="13" t="s">
        <v>5554</v>
      </c>
      <c r="AO521" s="13" t="s">
        <v>14863</v>
      </c>
      <c r="AP521" s="13" t="s">
        <v>14864</v>
      </c>
      <c r="AQ521" s="13" t="s">
        <v>5510</v>
      </c>
      <c r="AR521" s="13" t="s">
        <v>14865</v>
      </c>
      <c r="AS521" s="13" t="s">
        <v>14866</v>
      </c>
      <c r="AT521" s="13" t="s">
        <v>6089</v>
      </c>
      <c r="AU521" s="13">
        <v>2019.0</v>
      </c>
      <c r="AV521" s="13">
        <v>17.0</v>
      </c>
      <c r="AW521" s="13">
        <v>3.0</v>
      </c>
      <c r="AX521" s="13" t="s">
        <v>5510</v>
      </c>
      <c r="AY521" s="13" t="s">
        <v>5510</v>
      </c>
      <c r="AZ521" s="13" t="s">
        <v>5510</v>
      </c>
      <c r="BA521" s="13" t="s">
        <v>5510</v>
      </c>
      <c r="BB521" s="13" t="s">
        <v>5510</v>
      </c>
      <c r="BC521" s="13" t="s">
        <v>5510</v>
      </c>
      <c r="BD521" s="13" t="s">
        <v>14881</v>
      </c>
      <c r="BE521" s="13" t="s">
        <v>14882</v>
      </c>
      <c r="BF521" s="52" t="str">
        <f>HYPERLINK("http://dx.doi.org/10.1371/journal.pbio.3000158","http://dx.doi.org/10.1371/journal.pbio.3000158")</f>
        <v>http://dx.doi.org/10.1371/journal.pbio.3000158</v>
      </c>
      <c r="BG521" s="13" t="s">
        <v>5510</v>
      </c>
      <c r="BH521" s="13" t="s">
        <v>5510</v>
      </c>
      <c r="BI521" s="13">
        <v>18.0</v>
      </c>
      <c r="BJ521" s="13" t="s">
        <v>14869</v>
      </c>
      <c r="BK521" s="13" t="s">
        <v>5561</v>
      </c>
      <c r="BL521" s="13" t="s">
        <v>14870</v>
      </c>
      <c r="BM521" s="13" t="s">
        <v>14883</v>
      </c>
      <c r="BN521" s="13">
        <v>3.0860989E7</v>
      </c>
      <c r="BO521" s="13" t="s">
        <v>8477</v>
      </c>
      <c r="BP521" s="13" t="s">
        <v>5510</v>
      </c>
      <c r="BQ521" s="13" t="s">
        <v>5510</v>
      </c>
      <c r="BR521" s="13" t="s">
        <v>5538</v>
      </c>
      <c r="BS521" s="13" t="s">
        <v>14884</v>
      </c>
      <c r="BT521" s="13">
        <v>23072.0</v>
      </c>
      <c r="BU521" s="13" t="s">
        <v>5540</v>
      </c>
      <c r="BV521" s="13" t="s">
        <v>4856</v>
      </c>
      <c r="BW521" s="13" t="str">
        <f>VLOOKUP($BT521,Enriched!$A$2:$E$1070,5,false)</f>
        <v>["Residential &amp; Commercial Development", "Agriculture &amp; Aquaculture", "Transportation &amp; Service Corridors", "Biological Resource Use", "Human Intrusions &amp; Disturbance", "Invasive &amp; Other Problematic Species, Genes &amp; Diseases", "Pollution"]</v>
      </c>
      <c r="BX521" s="13" t="str">
        <f>VLOOKUP($BT521,Enriched!$A$2:$E$1070,4,false)</f>
        <v>["Housing &amp; urban area", "Commercial &amp; industrial areas", "Annual &amp; perennial non-timber crops", "Livestock farming &amp; ranching", "Roads &amp; railroads", "Utility &amp; service lines", "Hunting &amp; collecting terrestrial animals", "Gathering terrestrial plants", "Recreational activities", "Work &amp; other activities", "Invasive non-native/alien species/diseases", "Domestic &amp; urban waste water", "Agricultural &amp; forestry effluents", "Garbage &amp; solid waste", "Excess energy"]</v>
      </c>
      <c r="BY521" s="13" t="b">
        <f>VLOOKUP(BT521,Enriched!$A$1:$AA$1070,27,falsE)</f>
        <v>0</v>
      </c>
      <c r="BZ521" s="2" t="str">
        <f>VLOOKUP(BT521,Enriched!$A$1:$AA$1070,14,falsE)</f>
        <v>cumulative</v>
      </c>
      <c r="CA521" s="13" t="str">
        <f>HYPERLINK("https%3A%2F%2Fwww.webofscience.com%2Fwos%2Fwoscc%2Ffull-record%2FWOS:000462993700019","View Full Record in Web of Science")</f>
        <v>View Full Record in Web of Science</v>
      </c>
    </row>
    <row r="522" ht="12.75" customHeight="1">
      <c r="A522" s="13" t="s">
        <v>5508</v>
      </c>
      <c r="B522" s="13" t="s">
        <v>14885</v>
      </c>
      <c r="C522" s="13" t="s">
        <v>5510</v>
      </c>
      <c r="D522" s="13" t="s">
        <v>5510</v>
      </c>
      <c r="E522" s="13" t="s">
        <v>5510</v>
      </c>
      <c r="F522" s="13" t="s">
        <v>14886</v>
      </c>
      <c r="G522" s="13" t="s">
        <v>5510</v>
      </c>
      <c r="H522" s="13" t="s">
        <v>5510</v>
      </c>
      <c r="I522" s="13" t="s">
        <v>1436</v>
      </c>
      <c r="J522" s="13" t="s">
        <v>5919</v>
      </c>
      <c r="K522" s="13" t="s">
        <v>5510</v>
      </c>
      <c r="L522" s="13" t="s">
        <v>5510</v>
      </c>
      <c r="M522" s="13" t="s">
        <v>5513</v>
      </c>
      <c r="N522" s="13" t="s">
        <v>5514</v>
      </c>
      <c r="O522" s="13" t="s">
        <v>5510</v>
      </c>
      <c r="P522" s="13" t="s">
        <v>5510</v>
      </c>
      <c r="Q522" s="13" t="s">
        <v>5510</v>
      </c>
      <c r="R522" s="13" t="s">
        <v>5510</v>
      </c>
      <c r="S522" s="13" t="s">
        <v>5510</v>
      </c>
      <c r="T522" s="13" t="s">
        <v>14887</v>
      </c>
      <c r="U522" s="13" t="s">
        <v>14888</v>
      </c>
      <c r="V522" s="13" t="s">
        <v>14889</v>
      </c>
      <c r="W522" s="13" t="s">
        <v>14890</v>
      </c>
      <c r="X522" s="13" t="s">
        <v>14891</v>
      </c>
      <c r="Y522" s="13" t="s">
        <v>7766</v>
      </c>
      <c r="Z522" s="13" t="s">
        <v>14892</v>
      </c>
      <c r="AA522" s="13" t="s">
        <v>14893</v>
      </c>
      <c r="AB522" s="13" t="s">
        <v>14894</v>
      </c>
      <c r="AC522" s="13" t="s">
        <v>14895</v>
      </c>
      <c r="AD522" s="13" t="s">
        <v>14896</v>
      </c>
      <c r="AE522" s="13" t="s">
        <v>14897</v>
      </c>
      <c r="AF522" s="13" t="s">
        <v>5510</v>
      </c>
      <c r="AG522" s="13">
        <v>50.0</v>
      </c>
      <c r="AH522" s="13">
        <v>96.0</v>
      </c>
      <c r="AI522" s="13">
        <v>107.0</v>
      </c>
      <c r="AJ522" s="13">
        <v>1.0</v>
      </c>
      <c r="AK522" s="13">
        <v>103.0</v>
      </c>
      <c r="AL522" s="13" t="s">
        <v>5931</v>
      </c>
      <c r="AM522" s="13" t="s">
        <v>7486</v>
      </c>
      <c r="AN522" s="13" t="s">
        <v>7487</v>
      </c>
      <c r="AO522" s="13" t="s">
        <v>5934</v>
      </c>
      <c r="AP522" s="13" t="s">
        <v>5935</v>
      </c>
      <c r="AQ522" s="13" t="s">
        <v>5510</v>
      </c>
      <c r="AR522" s="13" t="s">
        <v>5936</v>
      </c>
      <c r="AS522" s="13" t="s">
        <v>5937</v>
      </c>
      <c r="AT522" s="13" t="s">
        <v>5978</v>
      </c>
      <c r="AU522" s="13">
        <v>2016.0</v>
      </c>
      <c r="AV522" s="13">
        <v>204.0</v>
      </c>
      <c r="AW522" s="13" t="s">
        <v>5510</v>
      </c>
      <c r="AX522" s="13" t="s">
        <v>6176</v>
      </c>
      <c r="AY522" s="13" t="s">
        <v>5510</v>
      </c>
      <c r="AZ522" s="13" t="s">
        <v>5646</v>
      </c>
      <c r="BA522" s="13" t="s">
        <v>5510</v>
      </c>
      <c r="BB522" s="13">
        <v>32.0</v>
      </c>
      <c r="BC522" s="13">
        <v>41.0</v>
      </c>
      <c r="BD522" s="13" t="s">
        <v>5510</v>
      </c>
      <c r="BE522" s="13" t="s">
        <v>14898</v>
      </c>
      <c r="BF522" s="52" t="str">
        <f>HYPERLINK("http://dx.doi.org/10.1016/j.biocon.2016.06.002","http://dx.doi.org/10.1016/j.biocon.2016.06.002")</f>
        <v>http://dx.doi.org/10.1016/j.biocon.2016.06.002</v>
      </c>
      <c r="BG522" s="13" t="s">
        <v>5510</v>
      </c>
      <c r="BH522" s="13" t="s">
        <v>5510</v>
      </c>
      <c r="BI522" s="13">
        <v>10.0</v>
      </c>
      <c r="BJ522" s="13" t="s">
        <v>5698</v>
      </c>
      <c r="BK522" s="13" t="s">
        <v>5561</v>
      </c>
      <c r="BL522" s="13" t="s">
        <v>5699</v>
      </c>
      <c r="BM522" s="13" t="s">
        <v>14899</v>
      </c>
      <c r="BN522" s="13" t="s">
        <v>5510</v>
      </c>
      <c r="BO522" s="13" t="s">
        <v>5510</v>
      </c>
      <c r="BP522" s="13" t="s">
        <v>5510</v>
      </c>
      <c r="BQ522" s="13" t="s">
        <v>5510</v>
      </c>
      <c r="BR522" s="13" t="s">
        <v>5538</v>
      </c>
      <c r="BS522" s="13" t="s">
        <v>14900</v>
      </c>
      <c r="BT522" s="13">
        <v>23331.0</v>
      </c>
      <c r="BU522" s="13" t="s">
        <v>5540</v>
      </c>
      <c r="BV522" s="13" t="s">
        <v>4855</v>
      </c>
      <c r="BW522" s="13" t="str">
        <f>VLOOKUP($BT522,Enriched!$A$2:$E$1070,5,false)</f>
        <v>["Climate Change &amp; Severe Weather"]</v>
      </c>
      <c r="BX522" s="13" t="str">
        <f>VLOOKUP($BT522,Enriched!$A$2:$E$1070,4,false)</f>
        <v>["Temperature extremes", "Droughts", "Other impacts"]</v>
      </c>
      <c r="BY522" s="13" t="b">
        <f>VLOOKUP(BT522,Enriched!$A$1:$AA$1070,27,falsE)</f>
        <v>1</v>
      </c>
      <c r="BZ522" s="2" t="str">
        <f>VLOOKUP(BT522,Enriched!$A$1:$AA$1070,14,falsE)</f>
        <v>level1</v>
      </c>
      <c r="CA522" s="13" t="str">
        <f>HYPERLINK("https%3A%2F%2Fwww.webofscience.com%2Fwos%2Fwoscc%2Ffull-record%2FWOS:000390629600005","View Full Record in Web of Science")</f>
        <v>View Full Record in Web of Science</v>
      </c>
    </row>
    <row r="523" ht="12.75" customHeight="1">
      <c r="A523" s="13" t="s">
        <v>5508</v>
      </c>
      <c r="B523" s="13" t="s">
        <v>14901</v>
      </c>
      <c r="C523" s="13" t="s">
        <v>5510</v>
      </c>
      <c r="D523" s="13" t="s">
        <v>5510</v>
      </c>
      <c r="E523" s="13" t="s">
        <v>5510</v>
      </c>
      <c r="F523" s="13" t="s">
        <v>14902</v>
      </c>
      <c r="G523" s="13" t="s">
        <v>5510</v>
      </c>
      <c r="H523" s="13" t="s">
        <v>5510</v>
      </c>
      <c r="I523" s="13" t="s">
        <v>1433</v>
      </c>
      <c r="J523" s="13" t="s">
        <v>6008</v>
      </c>
      <c r="K523" s="13" t="s">
        <v>5510</v>
      </c>
      <c r="L523" s="13" t="s">
        <v>5510</v>
      </c>
      <c r="M523" s="13" t="s">
        <v>5513</v>
      </c>
      <c r="N523" s="13" t="s">
        <v>5514</v>
      </c>
      <c r="O523" s="13" t="s">
        <v>5510</v>
      </c>
      <c r="P523" s="13" t="s">
        <v>5510</v>
      </c>
      <c r="Q523" s="13" t="s">
        <v>5510</v>
      </c>
      <c r="R523" s="13" t="s">
        <v>5510</v>
      </c>
      <c r="S523" s="13" t="s">
        <v>5510</v>
      </c>
      <c r="T523" s="13" t="s">
        <v>14903</v>
      </c>
      <c r="U523" s="13" t="s">
        <v>14904</v>
      </c>
      <c r="V523" s="13" t="s">
        <v>14905</v>
      </c>
      <c r="W523" s="13" t="s">
        <v>14906</v>
      </c>
      <c r="X523" s="13" t="s">
        <v>14907</v>
      </c>
      <c r="Y523" s="13" t="s">
        <v>14908</v>
      </c>
      <c r="Z523" s="13" t="s">
        <v>14909</v>
      </c>
      <c r="AA523" s="13" t="s">
        <v>14910</v>
      </c>
      <c r="AB523" s="13" t="s">
        <v>14911</v>
      </c>
      <c r="AC523" s="13" t="s">
        <v>5510</v>
      </c>
      <c r="AD523" s="13" t="s">
        <v>5510</v>
      </c>
      <c r="AE523" s="13" t="s">
        <v>5510</v>
      </c>
      <c r="AF523" s="13" t="s">
        <v>5510</v>
      </c>
      <c r="AG523" s="13">
        <v>48.0</v>
      </c>
      <c r="AH523" s="13">
        <v>175.0</v>
      </c>
      <c r="AI523" s="13">
        <v>200.0</v>
      </c>
      <c r="AJ523" s="13">
        <v>0.0</v>
      </c>
      <c r="AK523" s="13">
        <v>58.0</v>
      </c>
      <c r="AL523" s="13" t="s">
        <v>5527</v>
      </c>
      <c r="AM523" s="13" t="s">
        <v>5528</v>
      </c>
      <c r="AN523" s="13" t="s">
        <v>5529</v>
      </c>
      <c r="AO523" s="13" t="s">
        <v>6020</v>
      </c>
      <c r="AP523" s="13" t="s">
        <v>6021</v>
      </c>
      <c r="AQ523" s="13" t="s">
        <v>5510</v>
      </c>
      <c r="AR523" s="13" t="s">
        <v>6022</v>
      </c>
      <c r="AS523" s="13" t="s">
        <v>6023</v>
      </c>
      <c r="AT523" s="13" t="s">
        <v>5978</v>
      </c>
      <c r="AU523" s="13">
        <v>2006.0</v>
      </c>
      <c r="AV523" s="13">
        <v>16.0</v>
      </c>
      <c r="AW523" s="13">
        <v>6.0</v>
      </c>
      <c r="AX523" s="13" t="s">
        <v>5510</v>
      </c>
      <c r="AY523" s="13" t="s">
        <v>5510</v>
      </c>
      <c r="AZ523" s="13" t="s">
        <v>5510</v>
      </c>
      <c r="BA523" s="13" t="s">
        <v>5510</v>
      </c>
      <c r="BB523" s="13">
        <v>2313.0</v>
      </c>
      <c r="BC523" s="13">
        <v>2324.0</v>
      </c>
      <c r="BD523" s="13" t="s">
        <v>5510</v>
      </c>
      <c r="BE523" s="13" t="s">
        <v>14912</v>
      </c>
      <c r="BF523" s="52" t="str">
        <f>HYPERLINK("http://dx.doi.org/10.1890/1051-0761(2006)016[2313:HDAIRO]2.0.CO;2","http://dx.doi.org/10.1890/1051-0761(2006)016[2313:HDAIRO]2.0.CO;2")</f>
        <v>http://dx.doi.org/10.1890/1051-0761(2006)016[2313:HDAIRO]2.0.CO;2</v>
      </c>
      <c r="BG523" s="13" t="s">
        <v>5510</v>
      </c>
      <c r="BH523" s="13" t="s">
        <v>5510</v>
      </c>
      <c r="BI523" s="13">
        <v>12.0</v>
      </c>
      <c r="BJ523" s="13" t="s">
        <v>6026</v>
      </c>
      <c r="BK523" s="13" t="s">
        <v>5561</v>
      </c>
      <c r="BL523" s="13" t="s">
        <v>5535</v>
      </c>
      <c r="BM523" s="13" t="s">
        <v>14913</v>
      </c>
      <c r="BN523" s="13">
        <v>1.7205906E7</v>
      </c>
      <c r="BO523" s="13" t="s">
        <v>5510</v>
      </c>
      <c r="BP523" s="13" t="s">
        <v>5510</v>
      </c>
      <c r="BQ523" s="13" t="s">
        <v>5510</v>
      </c>
      <c r="BR523" s="13" t="s">
        <v>5538</v>
      </c>
      <c r="BS523" s="13" t="s">
        <v>14914</v>
      </c>
      <c r="BT523" s="13">
        <v>23571.0</v>
      </c>
      <c r="BU523" s="13" t="s">
        <v>5540</v>
      </c>
      <c r="BV523" s="13" t="s">
        <v>4852</v>
      </c>
      <c r="BW523" s="13" t="str">
        <f>VLOOKUP($BT523,Enriched!$A$2:$E$1070,5,false)</f>
        <v>["Invasive &amp; other problematic species, genes &amp; diseases"]</v>
      </c>
      <c r="BX523" s="13" t="str">
        <f>VLOOKUP($BT523,Enriched!$A$2:$E$1070,4,false)</f>
        <v>["Invasive non-native/alien species/diseases"]</v>
      </c>
      <c r="BY523" s="13" t="b">
        <f>VLOOKUP(BT523,Enriched!$A$1:$AA$1070,27,falsE)</f>
        <v>0</v>
      </c>
      <c r="BZ523" s="2" t="str">
        <f>VLOOKUP(BT523,Enriched!$A$1:$AA$1070,14,falsE)</f>
        <v>level2</v>
      </c>
      <c r="CA523" s="13" t="str">
        <f>HYPERLINK("https%3A%2F%2Fwww.webofscience.com%2Fwos%2Fwoscc%2Ffull-record%2FWOS:000242849300020","View Full Record in Web of Science")</f>
        <v>View Full Record in Web of Science</v>
      </c>
    </row>
    <row r="524" ht="12.75" customHeight="1">
      <c r="A524" s="13" t="s">
        <v>5508</v>
      </c>
      <c r="B524" s="13" t="s">
        <v>14915</v>
      </c>
      <c r="C524" s="13" t="s">
        <v>5510</v>
      </c>
      <c r="D524" s="13" t="s">
        <v>5510</v>
      </c>
      <c r="E524" s="13" t="s">
        <v>5510</v>
      </c>
      <c r="F524" s="13" t="s">
        <v>14916</v>
      </c>
      <c r="G524" s="13" t="s">
        <v>5510</v>
      </c>
      <c r="H524" s="13" t="s">
        <v>14917</v>
      </c>
      <c r="I524" s="13" t="s">
        <v>1431</v>
      </c>
      <c r="J524" s="13" t="s">
        <v>6032</v>
      </c>
      <c r="K524" s="13" t="s">
        <v>5510</v>
      </c>
      <c r="L524" s="13" t="s">
        <v>5510</v>
      </c>
      <c r="M524" s="13" t="s">
        <v>5513</v>
      </c>
      <c r="N524" s="13" t="s">
        <v>5514</v>
      </c>
      <c r="O524" s="13" t="s">
        <v>5510</v>
      </c>
      <c r="P524" s="13" t="s">
        <v>5510</v>
      </c>
      <c r="Q524" s="13" t="s">
        <v>5510</v>
      </c>
      <c r="R524" s="13" t="s">
        <v>5510</v>
      </c>
      <c r="S524" s="13" t="s">
        <v>5510</v>
      </c>
      <c r="T524" s="13" t="s">
        <v>14918</v>
      </c>
      <c r="U524" s="13" t="s">
        <v>14919</v>
      </c>
      <c r="V524" s="13" t="s">
        <v>14920</v>
      </c>
      <c r="W524" s="13" t="s">
        <v>14921</v>
      </c>
      <c r="X524" s="13" t="s">
        <v>14922</v>
      </c>
      <c r="Y524" s="13" t="s">
        <v>14923</v>
      </c>
      <c r="Z524" s="13" t="s">
        <v>14924</v>
      </c>
      <c r="AA524" s="13" t="s">
        <v>5510</v>
      </c>
      <c r="AB524" s="13" t="s">
        <v>14925</v>
      </c>
      <c r="AC524" s="13" t="s">
        <v>14926</v>
      </c>
      <c r="AD524" s="13" t="s">
        <v>14927</v>
      </c>
      <c r="AE524" s="13" t="s">
        <v>14928</v>
      </c>
      <c r="AF524" s="13" t="s">
        <v>5510</v>
      </c>
      <c r="AG524" s="13">
        <v>61.0</v>
      </c>
      <c r="AH524" s="13">
        <v>42.0</v>
      </c>
      <c r="AI524" s="13">
        <v>45.0</v>
      </c>
      <c r="AJ524" s="13">
        <v>1.0</v>
      </c>
      <c r="AK524" s="13">
        <v>64.0</v>
      </c>
      <c r="AL524" s="13" t="s">
        <v>6045</v>
      </c>
      <c r="AM524" s="13" t="s">
        <v>6046</v>
      </c>
      <c r="AN524" s="13" t="s">
        <v>6047</v>
      </c>
      <c r="AO524" s="13" t="s">
        <v>6048</v>
      </c>
      <c r="AP524" s="13" t="s">
        <v>5510</v>
      </c>
      <c r="AQ524" s="13" t="s">
        <v>5510</v>
      </c>
      <c r="AR524" s="13" t="s">
        <v>6032</v>
      </c>
      <c r="AS524" s="13" t="s">
        <v>174</v>
      </c>
      <c r="AT524" s="13" t="s">
        <v>14929</v>
      </c>
      <c r="AU524" s="13">
        <v>2018.0</v>
      </c>
      <c r="AV524" s="13">
        <v>6.0</v>
      </c>
      <c r="AW524" s="13" t="s">
        <v>5510</v>
      </c>
      <c r="AX524" s="13" t="s">
        <v>5510</v>
      </c>
      <c r="AY524" s="13" t="s">
        <v>5510</v>
      </c>
      <c r="AZ524" s="13" t="s">
        <v>5510</v>
      </c>
      <c r="BA524" s="13" t="s">
        <v>5510</v>
      </c>
      <c r="BB524" s="13" t="s">
        <v>5510</v>
      </c>
      <c r="BC524" s="13" t="s">
        <v>5510</v>
      </c>
      <c r="BD524" s="13" t="s">
        <v>14930</v>
      </c>
      <c r="BE524" s="13" t="s">
        <v>14931</v>
      </c>
      <c r="BF524" s="52" t="str">
        <f>HYPERLINK("http://dx.doi.org/10.7717/peerj.4382","http://dx.doi.org/10.7717/peerj.4382")</f>
        <v>http://dx.doi.org/10.7717/peerj.4382</v>
      </c>
      <c r="BG524" s="13" t="s">
        <v>5510</v>
      </c>
      <c r="BH524" s="13" t="s">
        <v>5510</v>
      </c>
      <c r="BI524" s="13">
        <v>27.0</v>
      </c>
      <c r="BJ524" s="13" t="s">
        <v>5560</v>
      </c>
      <c r="BK524" s="13" t="s">
        <v>5561</v>
      </c>
      <c r="BL524" s="13" t="s">
        <v>5562</v>
      </c>
      <c r="BM524" s="13" t="s">
        <v>14932</v>
      </c>
      <c r="BN524" s="13">
        <v>2.9473007E7</v>
      </c>
      <c r="BO524" s="13" t="s">
        <v>5564</v>
      </c>
      <c r="BP524" s="13" t="s">
        <v>5510</v>
      </c>
      <c r="BQ524" s="13" t="s">
        <v>5510</v>
      </c>
      <c r="BR524" s="13" t="s">
        <v>5538</v>
      </c>
      <c r="BS524" s="13" t="s">
        <v>14933</v>
      </c>
      <c r="BT524" s="13">
        <v>24446.0</v>
      </c>
      <c r="BU524" s="13" t="s">
        <v>5540</v>
      </c>
      <c r="BV524" s="13" t="s">
        <v>4864</v>
      </c>
      <c r="BW524" s="13" t="str">
        <f>VLOOKUP($BT524,Enriched!$A$2:$E$1070,5,false)</f>
        <v>["Climate Change &amp; Severe Weather"]</v>
      </c>
      <c r="BX524" s="13" t="str">
        <f>VLOOKUP($BT524,Enriched!$A$2:$E$1070,4,false)</f>
        <v>["Temperature extremes"]</v>
      </c>
      <c r="BY524" s="13" t="b">
        <f>VLOOKUP(BT524,Enriched!$A$1:$AA$1070,27,falsE)</f>
        <v>0</v>
      </c>
      <c r="BZ524" s="2" t="str">
        <f>VLOOKUP(BT524,Enriched!$A$1:$AA$1070,14,falsE)</f>
        <v>level2</v>
      </c>
      <c r="CA524" s="13" t="str">
        <f>HYPERLINK("https%3A%2F%2Fwww.webofscience.com%2Fwos%2Fwoscc%2Ffull-record%2FWOS:000425362900004","View Full Record in Web of Science")</f>
        <v>View Full Record in Web of Science</v>
      </c>
    </row>
    <row r="525" ht="12.75" customHeight="1">
      <c r="A525" s="13" t="s">
        <v>5508</v>
      </c>
      <c r="B525" s="13" t="s">
        <v>14934</v>
      </c>
      <c r="C525" s="13" t="s">
        <v>5510</v>
      </c>
      <c r="D525" s="13" t="s">
        <v>5510</v>
      </c>
      <c r="E525" s="13" t="s">
        <v>5510</v>
      </c>
      <c r="F525" s="13" t="s">
        <v>14935</v>
      </c>
      <c r="G525" s="13" t="s">
        <v>5510</v>
      </c>
      <c r="H525" s="13" t="s">
        <v>5510</v>
      </c>
      <c r="I525" s="13" t="s">
        <v>1428</v>
      </c>
      <c r="J525" s="13" t="s">
        <v>13163</v>
      </c>
      <c r="K525" s="13" t="s">
        <v>5510</v>
      </c>
      <c r="L525" s="13" t="s">
        <v>5510</v>
      </c>
      <c r="M525" s="13" t="s">
        <v>5513</v>
      </c>
      <c r="N525" s="13" t="s">
        <v>5514</v>
      </c>
      <c r="O525" s="13" t="s">
        <v>5510</v>
      </c>
      <c r="P525" s="13" t="s">
        <v>5510</v>
      </c>
      <c r="Q525" s="13" t="s">
        <v>5510</v>
      </c>
      <c r="R525" s="13" t="s">
        <v>5510</v>
      </c>
      <c r="S525" s="13" t="s">
        <v>5510</v>
      </c>
      <c r="T525" s="13" t="s">
        <v>14936</v>
      </c>
      <c r="U525" s="13" t="s">
        <v>14937</v>
      </c>
      <c r="V525" s="13" t="s">
        <v>14938</v>
      </c>
      <c r="W525" s="13" t="s">
        <v>14939</v>
      </c>
      <c r="X525" s="13" t="s">
        <v>14940</v>
      </c>
      <c r="Y525" s="13" t="s">
        <v>14941</v>
      </c>
      <c r="Z525" s="13" t="s">
        <v>14942</v>
      </c>
      <c r="AA525" s="13" t="s">
        <v>14943</v>
      </c>
      <c r="AB525" s="13" t="s">
        <v>14944</v>
      </c>
      <c r="AC525" s="13" t="s">
        <v>14945</v>
      </c>
      <c r="AD525" s="13" t="s">
        <v>14946</v>
      </c>
      <c r="AE525" s="13" t="s">
        <v>14947</v>
      </c>
      <c r="AF525" s="13" t="s">
        <v>5510</v>
      </c>
      <c r="AG525" s="13">
        <v>88.0</v>
      </c>
      <c r="AH525" s="13">
        <v>31.0</v>
      </c>
      <c r="AI525" s="13">
        <v>32.0</v>
      </c>
      <c r="AJ525" s="13">
        <v>3.0</v>
      </c>
      <c r="AK525" s="13">
        <v>49.0</v>
      </c>
      <c r="AL525" s="13" t="s">
        <v>5527</v>
      </c>
      <c r="AM525" s="13" t="s">
        <v>5528</v>
      </c>
      <c r="AN525" s="13" t="s">
        <v>5529</v>
      </c>
      <c r="AO525" s="13" t="s">
        <v>13176</v>
      </c>
      <c r="AP525" s="13" t="s">
        <v>13177</v>
      </c>
      <c r="AQ525" s="13" t="s">
        <v>5510</v>
      </c>
      <c r="AR525" s="13" t="s">
        <v>13178</v>
      </c>
      <c r="AS525" s="13" t="s">
        <v>13179</v>
      </c>
      <c r="AT525" s="13" t="s">
        <v>6175</v>
      </c>
      <c r="AU525" s="13">
        <v>2020.0</v>
      </c>
      <c r="AV525" s="13">
        <v>23.0</v>
      </c>
      <c r="AW525" s="13">
        <v>4.0</v>
      </c>
      <c r="AX525" s="13" t="s">
        <v>5510</v>
      </c>
      <c r="AY525" s="13" t="s">
        <v>5510</v>
      </c>
      <c r="AZ525" s="13" t="s">
        <v>5510</v>
      </c>
      <c r="BA525" s="13" t="s">
        <v>5510</v>
      </c>
      <c r="BB525" s="13">
        <v>466.0</v>
      </c>
      <c r="BC525" s="13">
        <v>478.0</v>
      </c>
      <c r="BD525" s="13" t="s">
        <v>5510</v>
      </c>
      <c r="BE525" s="13" t="s">
        <v>14948</v>
      </c>
      <c r="BF525" s="52" t="str">
        <f>HYPERLINK("http://dx.doi.org/10.1111/acv.12560","http://dx.doi.org/10.1111/acv.12560")</f>
        <v>http://dx.doi.org/10.1111/acv.12560</v>
      </c>
      <c r="BG525" s="13" t="s">
        <v>5510</v>
      </c>
      <c r="BH525" s="13" t="s">
        <v>14949</v>
      </c>
      <c r="BI525" s="13">
        <v>13.0</v>
      </c>
      <c r="BJ525" s="13" t="s">
        <v>5958</v>
      </c>
      <c r="BK525" s="13" t="s">
        <v>5561</v>
      </c>
      <c r="BL525" s="13" t="s">
        <v>5699</v>
      </c>
      <c r="BM525" s="13" t="s">
        <v>14950</v>
      </c>
      <c r="BN525" s="13" t="s">
        <v>5510</v>
      </c>
      <c r="BO525" s="13" t="s">
        <v>5510</v>
      </c>
      <c r="BP525" s="13" t="s">
        <v>5510</v>
      </c>
      <c r="BQ525" s="13" t="s">
        <v>5510</v>
      </c>
      <c r="BR525" s="13" t="s">
        <v>5538</v>
      </c>
      <c r="BS525" s="13" t="s">
        <v>14951</v>
      </c>
      <c r="BT525" s="13">
        <v>25591.0</v>
      </c>
      <c r="BU525" s="13" t="s">
        <v>5540</v>
      </c>
      <c r="BV525" s="13" t="s">
        <v>4856</v>
      </c>
      <c r="BW525" s="13" t="str">
        <f>VLOOKUP($BT525,Enriched!$A$2:$E$1070,5,false)</f>
        <v>["Transportation &amp; Service Corridors"]</v>
      </c>
      <c r="BX525" s="13" t="str">
        <f>VLOOKUP($BT525,Enriched!$A$2:$E$1070,4,false)</f>
        <v>["Roads &amp; railroads"]</v>
      </c>
      <c r="BY525" s="13" t="b">
        <f>VLOOKUP(BT525,Enriched!$A$1:$AA$1070,27,falsE)</f>
        <v>0</v>
      </c>
      <c r="BZ525" s="2" t="str">
        <f>VLOOKUP(BT525,Enriched!$A$1:$AA$1070,14,falsE)</f>
        <v>level2</v>
      </c>
      <c r="CA525" s="13" t="str">
        <f>HYPERLINK("https%3A%2F%2Fwww.webofscience.com%2Fwos%2Fwoscc%2Ffull-record%2FWOS:000505964200001","View Full Record in Web of Science")</f>
        <v>View Full Record in Web of Science</v>
      </c>
    </row>
    <row r="526" ht="12.75" customHeight="1">
      <c r="A526" s="13" t="s">
        <v>5508</v>
      </c>
      <c r="B526" s="13" t="s">
        <v>14952</v>
      </c>
      <c r="C526" s="13" t="s">
        <v>5510</v>
      </c>
      <c r="D526" s="13" t="s">
        <v>5510</v>
      </c>
      <c r="E526" s="13" t="s">
        <v>5510</v>
      </c>
      <c r="F526" s="13" t="s">
        <v>14953</v>
      </c>
      <c r="G526" s="13" t="s">
        <v>5510</v>
      </c>
      <c r="H526" s="13" t="s">
        <v>5510</v>
      </c>
      <c r="I526" s="2" t="s">
        <v>1427</v>
      </c>
      <c r="J526" s="13" t="s">
        <v>5543</v>
      </c>
      <c r="K526" s="13" t="s">
        <v>5510</v>
      </c>
      <c r="L526" s="13" t="s">
        <v>5510</v>
      </c>
      <c r="M526" s="13" t="s">
        <v>5513</v>
      </c>
      <c r="N526" s="13" t="s">
        <v>6168</v>
      </c>
      <c r="O526" s="13" t="s">
        <v>5510</v>
      </c>
      <c r="P526" s="13" t="s">
        <v>5510</v>
      </c>
      <c r="Q526" s="13" t="s">
        <v>5510</v>
      </c>
      <c r="R526" s="13" t="s">
        <v>5510</v>
      </c>
      <c r="S526" s="13" t="s">
        <v>5510</v>
      </c>
      <c r="T526" s="13" t="s">
        <v>5510</v>
      </c>
      <c r="U526" s="13" t="s">
        <v>5510</v>
      </c>
      <c r="V526" s="13" t="s">
        <v>5510</v>
      </c>
      <c r="W526" s="13" t="s">
        <v>5510</v>
      </c>
      <c r="X526" s="13" t="s">
        <v>5510</v>
      </c>
      <c r="Y526" s="13" t="s">
        <v>5510</v>
      </c>
      <c r="Z526" s="13" t="s">
        <v>5510</v>
      </c>
      <c r="AA526" s="13" t="s">
        <v>14954</v>
      </c>
      <c r="AB526" s="13" t="s">
        <v>14955</v>
      </c>
      <c r="AC526" s="13" t="s">
        <v>5510</v>
      </c>
      <c r="AD526" s="13" t="s">
        <v>5510</v>
      </c>
      <c r="AE526" s="13" t="s">
        <v>5510</v>
      </c>
      <c r="AF526" s="13" t="s">
        <v>5510</v>
      </c>
      <c r="AG526" s="13">
        <v>1.0</v>
      </c>
      <c r="AH526" s="13">
        <v>7.0</v>
      </c>
      <c r="AI526" s="13">
        <v>8.0</v>
      </c>
      <c r="AJ526" s="13">
        <v>0.0</v>
      </c>
      <c r="AK526" s="13">
        <v>15.0</v>
      </c>
      <c r="AL526" s="13" t="s">
        <v>5552</v>
      </c>
      <c r="AM526" s="13" t="s">
        <v>5553</v>
      </c>
      <c r="AN526" s="13" t="s">
        <v>5554</v>
      </c>
      <c r="AO526" s="13" t="s">
        <v>5555</v>
      </c>
      <c r="AP526" s="13" t="s">
        <v>5510</v>
      </c>
      <c r="AQ526" s="13" t="s">
        <v>5510</v>
      </c>
      <c r="AR526" s="13" t="s">
        <v>5543</v>
      </c>
      <c r="AS526" s="13" t="s">
        <v>5556</v>
      </c>
      <c r="AT526" s="13" t="s">
        <v>14956</v>
      </c>
      <c r="AU526" s="13">
        <v>2017.0</v>
      </c>
      <c r="AV526" s="13">
        <v>12.0</v>
      </c>
      <c r="AW526" s="13">
        <v>3.0</v>
      </c>
      <c r="AX526" s="13" t="s">
        <v>5510</v>
      </c>
      <c r="AY526" s="13" t="s">
        <v>5510</v>
      </c>
      <c r="AZ526" s="13" t="s">
        <v>5510</v>
      </c>
      <c r="BA526" s="13" t="s">
        <v>5510</v>
      </c>
      <c r="BB526" s="13" t="s">
        <v>5510</v>
      </c>
      <c r="BC526" s="13" t="s">
        <v>5510</v>
      </c>
      <c r="BD526" s="13" t="s">
        <v>14957</v>
      </c>
      <c r="BE526" s="13" t="s">
        <v>14958</v>
      </c>
      <c r="BF526" s="52" t="str">
        <f>HYPERLINK("http://dx.doi.org/10.1371/journal.pone.0173649","http://dx.doi.org/10.1371/journal.pone.0173649")</f>
        <v>http://dx.doi.org/10.1371/journal.pone.0173649</v>
      </c>
      <c r="BG526" s="13" t="s">
        <v>5510</v>
      </c>
      <c r="BH526" s="13" t="s">
        <v>5510</v>
      </c>
      <c r="BI526" s="13">
        <v>2.0</v>
      </c>
      <c r="BJ526" s="13" t="s">
        <v>5560</v>
      </c>
      <c r="BK526" s="13" t="s">
        <v>5561</v>
      </c>
      <c r="BL526" s="13" t="s">
        <v>5562</v>
      </c>
      <c r="BM526" s="13" t="s">
        <v>14959</v>
      </c>
      <c r="BN526" s="13">
        <v>2.825743E7</v>
      </c>
      <c r="BO526" s="13" t="s">
        <v>5564</v>
      </c>
      <c r="BP526" s="13" t="s">
        <v>5510</v>
      </c>
      <c r="BQ526" s="13" t="s">
        <v>5510</v>
      </c>
      <c r="BR526" s="13" t="s">
        <v>5538</v>
      </c>
      <c r="BS526" s="13" t="s">
        <v>14960</v>
      </c>
      <c r="BT526" s="13">
        <v>25127.0</v>
      </c>
      <c r="BU526" s="13" t="s">
        <v>5540</v>
      </c>
      <c r="BV526" s="13" t="s">
        <v>4856</v>
      </c>
      <c r="BW526" s="13" t="str">
        <f>VLOOKUP($BT526,Enriched!$A$2:$E$1070,5,false)</f>
        <v>["Residential &amp; Commercial Development", "Human Intrusions &amp; Disturbance"]</v>
      </c>
      <c r="BX526" s="13" t="str">
        <f>VLOOKUP($BT526,Enriched!$A$2:$E$1070,4,false)</f>
        <v>["Housing &amp; urban area", "Tourism &amp; recreation areas", "Recreational activities", "Work &amp; other activities"]</v>
      </c>
      <c r="BY526" s="13" t="b">
        <f>VLOOKUP(BT526,Enriched!$A$1:$AA$1070,27,falsE)</f>
        <v>0</v>
      </c>
      <c r="BZ526" s="2" t="str">
        <f>VLOOKUP(BT526,Enriched!$A$1:$AA$1070,14,falsE)</f>
        <v>cumulative</v>
      </c>
      <c r="CA526" s="13" t="str">
        <f>HYPERLINK("https%3A%2F%2Fwww.webofscience.com%2Fwos%2Fwoscc%2Ffull-record%2FWOS:000396021100098","View Full Record in Web of Science")</f>
        <v>View Full Record in Web of Science</v>
      </c>
    </row>
    <row r="527" ht="12.75" customHeight="1">
      <c r="A527" s="13" t="s">
        <v>5508</v>
      </c>
      <c r="B527" s="13" t="s">
        <v>14952</v>
      </c>
      <c r="C527" s="13" t="s">
        <v>5510</v>
      </c>
      <c r="D527" s="13" t="s">
        <v>5510</v>
      </c>
      <c r="E527" s="13" t="s">
        <v>5510</v>
      </c>
      <c r="F527" s="13" t="s">
        <v>14953</v>
      </c>
      <c r="G527" s="13" t="s">
        <v>5510</v>
      </c>
      <c r="H527" s="13" t="s">
        <v>5510</v>
      </c>
      <c r="I527" s="13" t="s">
        <v>14961</v>
      </c>
      <c r="J527" s="13" t="s">
        <v>5543</v>
      </c>
      <c r="K527" s="13" t="s">
        <v>5510</v>
      </c>
      <c r="L527" s="13" t="s">
        <v>5510</v>
      </c>
      <c r="M527" s="13" t="s">
        <v>5513</v>
      </c>
      <c r="N527" s="13" t="s">
        <v>5514</v>
      </c>
      <c r="O527" s="13" t="s">
        <v>5510</v>
      </c>
      <c r="P527" s="13" t="s">
        <v>5510</v>
      </c>
      <c r="Q527" s="13" t="s">
        <v>5510</v>
      </c>
      <c r="R527" s="13" t="s">
        <v>5510</v>
      </c>
      <c r="S527" s="13" t="s">
        <v>5510</v>
      </c>
      <c r="T527" s="13" t="s">
        <v>5510</v>
      </c>
      <c r="U527" s="13" t="s">
        <v>14962</v>
      </c>
      <c r="V527" s="13" t="s">
        <v>14963</v>
      </c>
      <c r="W527" s="13" t="s">
        <v>14964</v>
      </c>
      <c r="X527" s="13" t="s">
        <v>14965</v>
      </c>
      <c r="Y527" s="13" t="s">
        <v>14966</v>
      </c>
      <c r="Z527" s="13" t="s">
        <v>14967</v>
      </c>
      <c r="AA527" s="13" t="s">
        <v>14968</v>
      </c>
      <c r="AB527" s="13" t="s">
        <v>14969</v>
      </c>
      <c r="AC527" s="13" t="s">
        <v>14970</v>
      </c>
      <c r="AD527" s="13" t="s">
        <v>14971</v>
      </c>
      <c r="AE527" s="13" t="s">
        <v>14972</v>
      </c>
      <c r="AF527" s="13" t="s">
        <v>5510</v>
      </c>
      <c r="AG527" s="13">
        <v>49.0</v>
      </c>
      <c r="AH527" s="13">
        <v>84.0</v>
      </c>
      <c r="AI527" s="13">
        <v>91.0</v>
      </c>
      <c r="AJ527" s="13">
        <v>1.0</v>
      </c>
      <c r="AK527" s="13">
        <v>35.0</v>
      </c>
      <c r="AL527" s="13" t="s">
        <v>5552</v>
      </c>
      <c r="AM527" s="13" t="s">
        <v>5553</v>
      </c>
      <c r="AN527" s="13" t="s">
        <v>5554</v>
      </c>
      <c r="AO527" s="13" t="s">
        <v>5555</v>
      </c>
      <c r="AP527" s="13" t="s">
        <v>5510</v>
      </c>
      <c r="AQ527" s="13" t="s">
        <v>5510</v>
      </c>
      <c r="AR527" s="13" t="s">
        <v>5543</v>
      </c>
      <c r="AS527" s="13" t="s">
        <v>5556</v>
      </c>
      <c r="AT527" s="13" t="s">
        <v>14973</v>
      </c>
      <c r="AU527" s="13">
        <v>2017.0</v>
      </c>
      <c r="AV527" s="13">
        <v>12.0</v>
      </c>
      <c r="AW527" s="13">
        <v>1.0</v>
      </c>
      <c r="AX527" s="13" t="s">
        <v>5510</v>
      </c>
      <c r="AY527" s="13" t="s">
        <v>5510</v>
      </c>
      <c r="AZ527" s="13" t="s">
        <v>5510</v>
      </c>
      <c r="BA527" s="13" t="s">
        <v>5510</v>
      </c>
      <c r="BB527" s="13" t="s">
        <v>5510</v>
      </c>
      <c r="BC527" s="13" t="s">
        <v>5510</v>
      </c>
      <c r="BD527" s="13" t="s">
        <v>14974</v>
      </c>
      <c r="BE527" s="13" t="s">
        <v>14975</v>
      </c>
      <c r="BF527" s="52" t="str">
        <f>HYPERLINK("http://dx.doi.org/10.1371/journal.pone.0168280","http://dx.doi.org/10.1371/journal.pone.0168280")</f>
        <v>http://dx.doi.org/10.1371/journal.pone.0168280</v>
      </c>
      <c r="BG527" s="13" t="s">
        <v>5510</v>
      </c>
      <c r="BH527" s="13" t="s">
        <v>5510</v>
      </c>
      <c r="BI527" s="13">
        <v>20.0</v>
      </c>
      <c r="BJ527" s="13" t="s">
        <v>5560</v>
      </c>
      <c r="BK527" s="13" t="s">
        <v>5561</v>
      </c>
      <c r="BL527" s="13" t="s">
        <v>5562</v>
      </c>
      <c r="BM527" s="13" t="s">
        <v>14976</v>
      </c>
      <c r="BN527" s="13">
        <v>2.8085889E7</v>
      </c>
      <c r="BO527" s="13" t="s">
        <v>5564</v>
      </c>
      <c r="BP527" s="13" t="s">
        <v>5510</v>
      </c>
      <c r="BQ527" s="13" t="s">
        <v>5510</v>
      </c>
      <c r="BR527" s="13" t="s">
        <v>5538</v>
      </c>
      <c r="BS527" s="13" t="s">
        <v>14977</v>
      </c>
      <c r="BT527" s="13">
        <v>25127.0</v>
      </c>
      <c r="BU527" s="13" t="s">
        <v>5540</v>
      </c>
      <c r="BV527" s="13" t="s">
        <v>4856</v>
      </c>
      <c r="BW527" s="13" t="str">
        <f>VLOOKUP($BT527,Enriched!$A$2:$E$1070,5,false)</f>
        <v>["Residential &amp; Commercial Development", "Human Intrusions &amp; Disturbance"]</v>
      </c>
      <c r="BX527" s="13" t="str">
        <f>VLOOKUP($BT527,Enriched!$A$2:$E$1070,4,false)</f>
        <v>["Housing &amp; urban area", "Tourism &amp; recreation areas", "Recreational activities", "Work &amp; other activities"]</v>
      </c>
      <c r="BY527" s="13" t="b">
        <f>VLOOKUP(BT527,Enriched!$A$1:$AA$1070,27,falsE)</f>
        <v>0</v>
      </c>
      <c r="BZ527" s="2" t="str">
        <f>VLOOKUP(BT527,Enriched!$A$1:$AA$1070,14,falsE)</f>
        <v>cumulative</v>
      </c>
      <c r="CA527" s="13" t="str">
        <f>HYPERLINK("https%3A%2F%2Fwww.webofscience.com%2Fwos%2Fwoscc%2Ffull-record%2FWOS:000391972600005","View Full Record in Web of Science")</f>
        <v>View Full Record in Web of Science</v>
      </c>
    </row>
    <row r="528" ht="12.75" customHeight="1">
      <c r="A528" s="13" t="s">
        <v>5508</v>
      </c>
      <c r="B528" s="13" t="s">
        <v>14978</v>
      </c>
      <c r="C528" s="13" t="s">
        <v>5510</v>
      </c>
      <c r="D528" s="13" t="s">
        <v>5510</v>
      </c>
      <c r="E528" s="13" t="s">
        <v>5510</v>
      </c>
      <c r="F528" s="13" t="s">
        <v>14979</v>
      </c>
      <c r="G528" s="13" t="s">
        <v>5510</v>
      </c>
      <c r="H528" s="13" t="s">
        <v>5510</v>
      </c>
      <c r="I528" s="13" t="s">
        <v>1424</v>
      </c>
      <c r="J528" s="13" t="s">
        <v>7741</v>
      </c>
      <c r="K528" s="13" t="s">
        <v>5510</v>
      </c>
      <c r="L528" s="13" t="s">
        <v>5510</v>
      </c>
      <c r="M528" s="13" t="s">
        <v>5513</v>
      </c>
      <c r="N528" s="13" t="s">
        <v>5514</v>
      </c>
      <c r="O528" s="13" t="s">
        <v>5510</v>
      </c>
      <c r="P528" s="13" t="s">
        <v>5510</v>
      </c>
      <c r="Q528" s="13" t="s">
        <v>5510</v>
      </c>
      <c r="R528" s="13" t="s">
        <v>5510</v>
      </c>
      <c r="S528" s="13" t="s">
        <v>5510</v>
      </c>
      <c r="T528" s="13" t="s">
        <v>14980</v>
      </c>
      <c r="U528" s="13" t="s">
        <v>14981</v>
      </c>
      <c r="V528" s="13" t="s">
        <v>14982</v>
      </c>
      <c r="W528" s="13" t="s">
        <v>14983</v>
      </c>
      <c r="X528" s="13" t="s">
        <v>14984</v>
      </c>
      <c r="Y528" s="13" t="s">
        <v>14985</v>
      </c>
      <c r="Z528" s="13" t="s">
        <v>14986</v>
      </c>
      <c r="AA528" s="13" t="s">
        <v>5510</v>
      </c>
      <c r="AB528" s="13" t="s">
        <v>5510</v>
      </c>
      <c r="AC528" s="13" t="s">
        <v>14987</v>
      </c>
      <c r="AD528" s="13" t="s">
        <v>14988</v>
      </c>
      <c r="AE528" s="13" t="s">
        <v>14989</v>
      </c>
      <c r="AF528" s="13" t="s">
        <v>5510</v>
      </c>
      <c r="AG528" s="13">
        <v>84.0</v>
      </c>
      <c r="AH528" s="13">
        <v>15.0</v>
      </c>
      <c r="AI528" s="13">
        <v>17.0</v>
      </c>
      <c r="AJ528" s="13">
        <v>2.0</v>
      </c>
      <c r="AK528" s="13">
        <v>19.0</v>
      </c>
      <c r="AL528" s="13" t="s">
        <v>6717</v>
      </c>
      <c r="AM528" s="13" t="s">
        <v>5932</v>
      </c>
      <c r="AN528" s="13" t="s">
        <v>6718</v>
      </c>
      <c r="AO528" s="13" t="s">
        <v>7752</v>
      </c>
      <c r="AP528" s="13" t="s">
        <v>7753</v>
      </c>
      <c r="AQ528" s="13" t="s">
        <v>5510</v>
      </c>
      <c r="AR528" s="13" t="s">
        <v>7754</v>
      </c>
      <c r="AS528" s="13" t="s">
        <v>7755</v>
      </c>
      <c r="AT528" s="13" t="s">
        <v>5720</v>
      </c>
      <c r="AU528" s="13">
        <v>2019.0</v>
      </c>
      <c r="AV528" s="13">
        <v>143.0</v>
      </c>
      <c r="AW528" s="13" t="s">
        <v>5510</v>
      </c>
      <c r="AX528" s="13" t="s">
        <v>5510</v>
      </c>
      <c r="AY528" s="13" t="s">
        <v>5510</v>
      </c>
      <c r="AZ528" s="13" t="s">
        <v>5510</v>
      </c>
      <c r="BA528" s="13" t="s">
        <v>5510</v>
      </c>
      <c r="BB528" s="13">
        <v>81.0</v>
      </c>
      <c r="BC528" s="13">
        <v>91.0</v>
      </c>
      <c r="BD528" s="13" t="s">
        <v>5510</v>
      </c>
      <c r="BE528" s="13" t="s">
        <v>14990</v>
      </c>
      <c r="BF528" s="52" t="str">
        <f>HYPERLINK("http://dx.doi.org/10.1016/j.marpolbul.2019.04.006","http://dx.doi.org/10.1016/j.marpolbul.2019.04.006")</f>
        <v>http://dx.doi.org/10.1016/j.marpolbul.2019.04.006</v>
      </c>
      <c r="BG528" s="13" t="s">
        <v>5510</v>
      </c>
      <c r="BH528" s="13" t="s">
        <v>5510</v>
      </c>
      <c r="BI528" s="13">
        <v>11.0</v>
      </c>
      <c r="BJ528" s="13" t="s">
        <v>6327</v>
      </c>
      <c r="BK528" s="13" t="s">
        <v>5561</v>
      </c>
      <c r="BL528" s="13" t="s">
        <v>6328</v>
      </c>
      <c r="BM528" s="13" t="s">
        <v>14991</v>
      </c>
      <c r="BN528" s="13">
        <v>3.178917E7</v>
      </c>
      <c r="BO528" s="13" t="s">
        <v>5809</v>
      </c>
      <c r="BP528" s="13" t="s">
        <v>5510</v>
      </c>
      <c r="BQ528" s="13" t="s">
        <v>5510</v>
      </c>
      <c r="BR528" s="13" t="s">
        <v>5538</v>
      </c>
      <c r="BS528" s="13" t="s">
        <v>14992</v>
      </c>
      <c r="BT528" s="13">
        <v>24677.0</v>
      </c>
      <c r="BU528" s="13" t="s">
        <v>5540</v>
      </c>
      <c r="BV528" s="13" t="s">
        <v>4864</v>
      </c>
      <c r="BW528" s="13" t="str">
        <f>VLOOKUP($BT528,Enriched!$A$2:$E$1070,5,false)</f>
        <v>["Pollution"]</v>
      </c>
      <c r="BX528" s="13" t="str">
        <f>VLOOKUP($BT528,Enriched!$A$2:$E$1070,4,false)</f>
        <v>["Industrial &amp; military effluents"]</v>
      </c>
      <c r="BY528" s="13" t="b">
        <f>VLOOKUP(BT528,Enriched!$A$1:$AA$1070,27,falsE)</f>
        <v>0</v>
      </c>
      <c r="BZ528" s="2" t="str">
        <f>VLOOKUP(BT528,Enriched!$A$1:$AA$1070,14,falsE)</f>
        <v>level2</v>
      </c>
      <c r="CA528" s="13" t="str">
        <f>HYPERLINK("https%3A%2F%2Fwww.webofscience.com%2Fwos%2Fwoscc%2Ffull-record%2FWOS:000473121200011","View Full Record in Web of Science")</f>
        <v>View Full Record in Web of Science</v>
      </c>
    </row>
    <row r="529" ht="12.75" customHeight="1">
      <c r="A529" s="13" t="s">
        <v>5508</v>
      </c>
      <c r="B529" s="13" t="s">
        <v>14993</v>
      </c>
      <c r="C529" s="13" t="s">
        <v>5510</v>
      </c>
      <c r="D529" s="13" t="s">
        <v>5510</v>
      </c>
      <c r="E529" s="13" t="s">
        <v>5510</v>
      </c>
      <c r="F529" s="13" t="s">
        <v>14994</v>
      </c>
      <c r="G529" s="13" t="s">
        <v>5510</v>
      </c>
      <c r="H529" s="13" t="s">
        <v>5510</v>
      </c>
      <c r="I529" s="13" t="s">
        <v>14995</v>
      </c>
      <c r="J529" s="13" t="s">
        <v>5543</v>
      </c>
      <c r="K529" s="13" t="s">
        <v>5510</v>
      </c>
      <c r="L529" s="13" t="s">
        <v>5510</v>
      </c>
      <c r="M529" s="13" t="s">
        <v>5513</v>
      </c>
      <c r="N529" s="13" t="s">
        <v>5514</v>
      </c>
      <c r="O529" s="13" t="s">
        <v>5510</v>
      </c>
      <c r="P529" s="13" t="s">
        <v>5510</v>
      </c>
      <c r="Q529" s="13" t="s">
        <v>5510</v>
      </c>
      <c r="R529" s="13" t="s">
        <v>5510</v>
      </c>
      <c r="S529" s="13" t="s">
        <v>5510</v>
      </c>
      <c r="T529" s="13" t="s">
        <v>5510</v>
      </c>
      <c r="U529" s="13" t="s">
        <v>14996</v>
      </c>
      <c r="V529" s="13" t="s">
        <v>14997</v>
      </c>
      <c r="W529" s="13" t="s">
        <v>14998</v>
      </c>
      <c r="X529" s="13" t="s">
        <v>14999</v>
      </c>
      <c r="Y529" s="13" t="s">
        <v>15000</v>
      </c>
      <c r="Z529" s="13" t="s">
        <v>15001</v>
      </c>
      <c r="AA529" s="13" t="s">
        <v>15002</v>
      </c>
      <c r="AB529" s="13" t="s">
        <v>15003</v>
      </c>
      <c r="AC529" s="13" t="s">
        <v>15004</v>
      </c>
      <c r="AD529" s="13" t="s">
        <v>15005</v>
      </c>
      <c r="AE529" s="13" t="s">
        <v>15006</v>
      </c>
      <c r="AF529" s="13" t="s">
        <v>5510</v>
      </c>
      <c r="AG529" s="13">
        <v>112.0</v>
      </c>
      <c r="AH529" s="13">
        <v>115.0</v>
      </c>
      <c r="AI529" s="13">
        <v>145.0</v>
      </c>
      <c r="AJ529" s="13">
        <v>0.0</v>
      </c>
      <c r="AK529" s="13">
        <v>118.0</v>
      </c>
      <c r="AL529" s="13" t="s">
        <v>5552</v>
      </c>
      <c r="AM529" s="13" t="s">
        <v>5553</v>
      </c>
      <c r="AN529" s="13" t="s">
        <v>5554</v>
      </c>
      <c r="AO529" s="13" t="s">
        <v>5555</v>
      </c>
      <c r="AP529" s="13" t="s">
        <v>5510</v>
      </c>
      <c r="AQ529" s="13" t="s">
        <v>5510</v>
      </c>
      <c r="AR529" s="13" t="s">
        <v>5543</v>
      </c>
      <c r="AS529" s="13" t="s">
        <v>5556</v>
      </c>
      <c r="AT529" s="13" t="s">
        <v>15007</v>
      </c>
      <c r="AU529" s="13">
        <v>2012.0</v>
      </c>
      <c r="AV529" s="13">
        <v>7.0</v>
      </c>
      <c r="AW529" s="13">
        <v>5.0</v>
      </c>
      <c r="AX529" s="13" t="s">
        <v>5510</v>
      </c>
      <c r="AY529" s="13" t="s">
        <v>5510</v>
      </c>
      <c r="AZ529" s="13" t="s">
        <v>5510</v>
      </c>
      <c r="BA529" s="13" t="s">
        <v>5510</v>
      </c>
      <c r="BB529" s="13" t="s">
        <v>5510</v>
      </c>
      <c r="BC529" s="13" t="s">
        <v>5510</v>
      </c>
      <c r="BD529" s="13" t="s">
        <v>15008</v>
      </c>
      <c r="BE529" s="13" t="s">
        <v>15009</v>
      </c>
      <c r="BF529" s="52" t="str">
        <f>HYPERLINK("http://dx.doi.org/10.1371/journal.pone.0038007","http://dx.doi.org/10.1371/journal.pone.0038007")</f>
        <v>http://dx.doi.org/10.1371/journal.pone.0038007</v>
      </c>
      <c r="BG529" s="13" t="s">
        <v>5510</v>
      </c>
      <c r="BH529" s="13" t="s">
        <v>5510</v>
      </c>
      <c r="BI529" s="13">
        <v>14.0</v>
      </c>
      <c r="BJ529" s="13" t="s">
        <v>5560</v>
      </c>
      <c r="BK529" s="13" t="s">
        <v>5561</v>
      </c>
      <c r="BL529" s="13" t="s">
        <v>5562</v>
      </c>
      <c r="BM529" s="13" t="s">
        <v>15010</v>
      </c>
      <c r="BN529" s="13">
        <v>2.2666433E7</v>
      </c>
      <c r="BO529" s="13" t="s">
        <v>5564</v>
      </c>
      <c r="BP529" s="13" t="s">
        <v>5510</v>
      </c>
      <c r="BQ529" s="13" t="s">
        <v>5510</v>
      </c>
      <c r="BR529" s="13" t="s">
        <v>5538</v>
      </c>
      <c r="BS529" s="13" t="s">
        <v>15011</v>
      </c>
      <c r="BT529" s="13">
        <v>23412.0</v>
      </c>
      <c r="BU529" s="13" t="s">
        <v>5540</v>
      </c>
      <c r="BV529" s="13" t="s">
        <v>4856</v>
      </c>
      <c r="BW529" s="13" t="str">
        <f>VLOOKUP($BT529,Enriched!$A$2:$E$1070,5,false)</f>
        <v>["Biological resource use"]</v>
      </c>
      <c r="BX529" s="13" t="str">
        <f>VLOOKUP($BT529,Enriched!$A$2:$E$1070,4,false)</f>
        <v>["Hunting &amp; collecting terrestrial animals"]</v>
      </c>
      <c r="BY529" s="13" t="b">
        <f>VLOOKUP(BT529,Enriched!$A$1:$AA$1070,27,falsE)</f>
        <v>0</v>
      </c>
      <c r="BZ529" s="2" t="str">
        <f>VLOOKUP(BT529,Enriched!$A$1:$AA$1070,14,falsE)</f>
        <v>level2</v>
      </c>
      <c r="CA529" s="13" t="str">
        <f>HYPERLINK("https%3A%2F%2Fwww.webofscience.com%2Fwos%2Fwoscc%2Ffull-record%2FWOS:000305353400068","View Full Record in Web of Science")</f>
        <v>View Full Record in Web of Science</v>
      </c>
    </row>
    <row r="530" ht="12.75" customHeight="1">
      <c r="A530" s="13" t="s">
        <v>5508</v>
      </c>
      <c r="B530" s="13" t="s">
        <v>15012</v>
      </c>
      <c r="C530" s="13" t="s">
        <v>5510</v>
      </c>
      <c r="D530" s="13" t="s">
        <v>5510</v>
      </c>
      <c r="E530" s="13" t="s">
        <v>5510</v>
      </c>
      <c r="F530" s="13" t="s">
        <v>15013</v>
      </c>
      <c r="G530" s="13" t="s">
        <v>5510</v>
      </c>
      <c r="H530" s="13" t="s">
        <v>5510</v>
      </c>
      <c r="I530" s="13" t="s">
        <v>15014</v>
      </c>
      <c r="J530" s="13" t="s">
        <v>8185</v>
      </c>
      <c r="K530" s="13" t="s">
        <v>5510</v>
      </c>
      <c r="L530" s="13" t="s">
        <v>5510</v>
      </c>
      <c r="M530" s="13" t="s">
        <v>5513</v>
      </c>
      <c r="N530" s="13" t="s">
        <v>5514</v>
      </c>
      <c r="O530" s="13" t="s">
        <v>5510</v>
      </c>
      <c r="P530" s="13" t="s">
        <v>5510</v>
      </c>
      <c r="Q530" s="13" t="s">
        <v>5510</v>
      </c>
      <c r="R530" s="13" t="s">
        <v>5510</v>
      </c>
      <c r="S530" s="13" t="s">
        <v>5510</v>
      </c>
      <c r="T530" s="13" t="s">
        <v>15015</v>
      </c>
      <c r="U530" s="13" t="s">
        <v>15016</v>
      </c>
      <c r="V530" s="13" t="s">
        <v>15017</v>
      </c>
      <c r="W530" s="13" t="s">
        <v>15018</v>
      </c>
      <c r="X530" s="13" t="s">
        <v>15019</v>
      </c>
      <c r="Y530" s="13" t="s">
        <v>15020</v>
      </c>
      <c r="Z530" s="13" t="s">
        <v>15021</v>
      </c>
      <c r="AA530" s="13" t="s">
        <v>15022</v>
      </c>
      <c r="AB530" s="13" t="s">
        <v>5510</v>
      </c>
      <c r="AC530" s="13" t="s">
        <v>5510</v>
      </c>
      <c r="AD530" s="13" t="s">
        <v>5510</v>
      </c>
      <c r="AE530" s="13" t="s">
        <v>5510</v>
      </c>
      <c r="AF530" s="13" t="s">
        <v>5510</v>
      </c>
      <c r="AG530" s="13">
        <v>61.0</v>
      </c>
      <c r="AH530" s="13">
        <v>64.0</v>
      </c>
      <c r="AI530" s="13">
        <v>78.0</v>
      </c>
      <c r="AJ530" s="13">
        <v>1.0</v>
      </c>
      <c r="AK530" s="13">
        <v>131.0</v>
      </c>
      <c r="AL530" s="13" t="s">
        <v>5527</v>
      </c>
      <c r="AM530" s="13" t="s">
        <v>5528</v>
      </c>
      <c r="AN530" s="13" t="s">
        <v>5529</v>
      </c>
      <c r="AO530" s="13" t="s">
        <v>8194</v>
      </c>
      <c r="AP530" s="13" t="s">
        <v>8195</v>
      </c>
      <c r="AQ530" s="13" t="s">
        <v>5510</v>
      </c>
      <c r="AR530" s="13" t="s">
        <v>8196</v>
      </c>
      <c r="AS530" s="13" t="s">
        <v>8197</v>
      </c>
      <c r="AT530" s="13" t="s">
        <v>5866</v>
      </c>
      <c r="AU530" s="13">
        <v>2010.0</v>
      </c>
      <c r="AV530" s="13">
        <v>74.0</v>
      </c>
      <c r="AW530" s="13">
        <v>4.0</v>
      </c>
      <c r="AX530" s="13" t="s">
        <v>5510</v>
      </c>
      <c r="AY530" s="13" t="s">
        <v>5510</v>
      </c>
      <c r="AZ530" s="13" t="s">
        <v>5510</v>
      </c>
      <c r="BA530" s="13" t="s">
        <v>5510</v>
      </c>
      <c r="BB530" s="13">
        <v>654.0</v>
      </c>
      <c r="BC530" s="13">
        <v>667.0</v>
      </c>
      <c r="BD530" s="13" t="s">
        <v>5510</v>
      </c>
      <c r="BE530" s="13" t="s">
        <v>15023</v>
      </c>
      <c r="BF530" s="52" t="str">
        <f>HYPERLINK("http://dx.doi.org/10.2193/2009-206","http://dx.doi.org/10.2193/2009-206")</f>
        <v>http://dx.doi.org/10.2193/2009-206</v>
      </c>
      <c r="BG530" s="13" t="s">
        <v>5510</v>
      </c>
      <c r="BH530" s="13" t="s">
        <v>5510</v>
      </c>
      <c r="BI530" s="13">
        <v>14.0</v>
      </c>
      <c r="BJ530" s="13" t="s">
        <v>5584</v>
      </c>
      <c r="BK530" s="13" t="s">
        <v>5561</v>
      </c>
      <c r="BL530" s="13" t="s">
        <v>5585</v>
      </c>
      <c r="BM530" s="13" t="s">
        <v>15024</v>
      </c>
      <c r="BN530" s="13" t="s">
        <v>5510</v>
      </c>
      <c r="BO530" s="13" t="s">
        <v>5510</v>
      </c>
      <c r="BP530" s="13" t="s">
        <v>5510</v>
      </c>
      <c r="BQ530" s="13" t="s">
        <v>5510</v>
      </c>
      <c r="BR530" s="13" t="s">
        <v>5538</v>
      </c>
      <c r="BS530" s="13" t="s">
        <v>15025</v>
      </c>
      <c r="BT530" s="13">
        <v>25513.0</v>
      </c>
      <c r="BU530" s="13" t="s">
        <v>5540</v>
      </c>
      <c r="BV530" s="13" t="s">
        <v>4856</v>
      </c>
      <c r="BW530" s="13" t="str">
        <f>VLOOKUP($BT530,Enriched!$A$2:$E$1070,5,false)</f>
        <v>["Residential &amp; Commercial Development", "Transportation &amp; Service Corridors", "Biological Resource Use"]</v>
      </c>
      <c r="BX530" s="13" t="str">
        <f>VLOOKUP($BT530,Enriched!$A$2:$E$1070,4,false)</f>
        <v>["Roads &amp; railroads", "Hunting &amp; collecting terrestrial animals"]</v>
      </c>
      <c r="BY530" s="13" t="b">
        <f>VLOOKUP(BT530,Enriched!$A$1:$AA$1070,27,falsE)</f>
        <v>1</v>
      </c>
      <c r="BZ530" s="2" t="str">
        <f>VLOOKUP(BT530,Enriched!$A$1:$AA$1070,14,falsE)</f>
        <v>cumulative</v>
      </c>
      <c r="CA530" s="13" t="str">
        <f>HYPERLINK("https%3A%2F%2Fwww.webofscience.com%2Fwos%2Fwoscc%2Ffull-record%2FWOS:000277305800005","View Full Record in Web of Science")</f>
        <v>View Full Record in Web of Science</v>
      </c>
    </row>
    <row r="531" ht="12.75" customHeight="1">
      <c r="A531" s="13" t="s">
        <v>5508</v>
      </c>
      <c r="B531" s="13" t="s">
        <v>15026</v>
      </c>
      <c r="C531" s="13" t="s">
        <v>5510</v>
      </c>
      <c r="D531" s="13" t="s">
        <v>5510</v>
      </c>
      <c r="E531" s="13" t="s">
        <v>5510</v>
      </c>
      <c r="F531" s="13" t="s">
        <v>15027</v>
      </c>
      <c r="G531" s="13" t="s">
        <v>5510</v>
      </c>
      <c r="H531" s="13" t="s">
        <v>5510</v>
      </c>
      <c r="I531" s="13" t="s">
        <v>1407</v>
      </c>
      <c r="J531" s="13" t="s">
        <v>15028</v>
      </c>
      <c r="K531" s="13" t="s">
        <v>5510</v>
      </c>
      <c r="L531" s="13" t="s">
        <v>5510</v>
      </c>
      <c r="M531" s="13" t="s">
        <v>5513</v>
      </c>
      <c r="N531" s="13" t="s">
        <v>4904</v>
      </c>
      <c r="O531" s="13" t="s">
        <v>5510</v>
      </c>
      <c r="P531" s="13" t="s">
        <v>5510</v>
      </c>
      <c r="Q531" s="13" t="s">
        <v>5510</v>
      </c>
      <c r="R531" s="13" t="s">
        <v>5510</v>
      </c>
      <c r="S531" s="13" t="s">
        <v>5510</v>
      </c>
      <c r="T531" s="13" t="s">
        <v>15029</v>
      </c>
      <c r="U531" s="13" t="s">
        <v>15030</v>
      </c>
      <c r="V531" s="13" t="s">
        <v>15031</v>
      </c>
      <c r="W531" s="13" t="s">
        <v>15032</v>
      </c>
      <c r="X531" s="13" t="s">
        <v>15033</v>
      </c>
      <c r="Y531" s="13" t="s">
        <v>15034</v>
      </c>
      <c r="Z531" s="13" t="s">
        <v>15035</v>
      </c>
      <c r="AA531" s="13" t="s">
        <v>15036</v>
      </c>
      <c r="AB531" s="13" t="s">
        <v>15037</v>
      </c>
      <c r="AC531" s="13" t="s">
        <v>15038</v>
      </c>
      <c r="AD531" s="13" t="s">
        <v>15039</v>
      </c>
      <c r="AE531" s="13" t="s">
        <v>15040</v>
      </c>
      <c r="AF531" s="13" t="s">
        <v>5510</v>
      </c>
      <c r="AG531" s="13">
        <v>84.0</v>
      </c>
      <c r="AH531" s="13">
        <v>50.0</v>
      </c>
      <c r="AI531" s="13">
        <v>61.0</v>
      </c>
      <c r="AJ531" s="13">
        <v>1.0</v>
      </c>
      <c r="AK531" s="13">
        <v>103.0</v>
      </c>
      <c r="AL531" s="13" t="s">
        <v>5690</v>
      </c>
      <c r="AM531" s="13" t="s">
        <v>6503</v>
      </c>
      <c r="AN531" s="13" t="s">
        <v>6504</v>
      </c>
      <c r="AO531" s="13" t="s">
        <v>15041</v>
      </c>
      <c r="AP531" s="13" t="s">
        <v>15042</v>
      </c>
      <c r="AQ531" s="13" t="s">
        <v>5510</v>
      </c>
      <c r="AR531" s="13" t="s">
        <v>15043</v>
      </c>
      <c r="AS531" s="13" t="s">
        <v>15044</v>
      </c>
      <c r="AT531" s="13" t="s">
        <v>2738</v>
      </c>
      <c r="AU531" s="13">
        <v>2019.0</v>
      </c>
      <c r="AV531" s="13">
        <v>65.0</v>
      </c>
      <c r="AW531" s="13">
        <v>1.0</v>
      </c>
      <c r="AX531" s="13" t="s">
        <v>5510</v>
      </c>
      <c r="AY531" s="13" t="s">
        <v>5510</v>
      </c>
      <c r="AZ531" s="13" t="s">
        <v>5510</v>
      </c>
      <c r="BA531" s="13" t="s">
        <v>5510</v>
      </c>
      <c r="BB531" s="13" t="s">
        <v>5510</v>
      </c>
      <c r="BC531" s="13" t="s">
        <v>5510</v>
      </c>
      <c r="BD531" s="13">
        <v>7.0</v>
      </c>
      <c r="BE531" s="13" t="s">
        <v>15045</v>
      </c>
      <c r="BF531" s="52" t="str">
        <f>HYPERLINK("http://dx.doi.org/10.1007/s10344-018-1241-7","http://dx.doi.org/10.1007/s10344-018-1241-7")</f>
        <v>http://dx.doi.org/10.1007/s10344-018-1241-7</v>
      </c>
      <c r="BG531" s="13" t="s">
        <v>5510</v>
      </c>
      <c r="BH531" s="13" t="s">
        <v>5510</v>
      </c>
      <c r="BI531" s="13">
        <v>10.0</v>
      </c>
      <c r="BJ531" s="13" t="s">
        <v>5584</v>
      </c>
      <c r="BK531" s="13" t="s">
        <v>5561</v>
      </c>
      <c r="BL531" s="13" t="s">
        <v>5585</v>
      </c>
      <c r="BM531" s="13" t="s">
        <v>15046</v>
      </c>
      <c r="BN531" s="13" t="s">
        <v>5510</v>
      </c>
      <c r="BO531" s="13" t="s">
        <v>5510</v>
      </c>
      <c r="BP531" s="13" t="s">
        <v>5510</v>
      </c>
      <c r="BQ531" s="13" t="s">
        <v>5510</v>
      </c>
      <c r="BR531" s="13" t="s">
        <v>5538</v>
      </c>
      <c r="BS531" s="13" t="s">
        <v>15047</v>
      </c>
      <c r="BT531" s="13">
        <v>23856.0</v>
      </c>
      <c r="BU531" s="13" t="s">
        <v>5540</v>
      </c>
      <c r="BV531" s="13" t="s">
        <v>4856</v>
      </c>
      <c r="BW531" s="13" t="str">
        <f>VLOOKUP($BT531,Enriched!$A$2:$E$1070,5,false)</f>
        <v>["Transportation &amp; Service Corridors"]</v>
      </c>
      <c r="BX531" s="13" t="str">
        <f>VLOOKUP($BT531,Enriched!$A$2:$E$1070,4,false)</f>
        <v>["Roads &amp; railroads"]</v>
      </c>
      <c r="BY531" s="13" t="b">
        <f>VLOOKUP(BT531,Enriched!$A$1:$AA$1070,27,falsE)</f>
        <v>0</v>
      </c>
      <c r="BZ531" s="2" t="str">
        <f>VLOOKUP(BT531,Enriched!$A$1:$AA$1070,14,falsE)</f>
        <v>level2</v>
      </c>
      <c r="CA531" s="13" t="str">
        <f>HYPERLINK("https%3A%2F%2Fwww.webofscience.com%2Fwos%2Fwoscc%2Ffull-record%2FWOS:000454799300003","View Full Record in Web of Science")</f>
        <v>View Full Record in Web of Science</v>
      </c>
    </row>
    <row r="532" ht="12.75" customHeight="1">
      <c r="A532" s="13" t="s">
        <v>5508</v>
      </c>
      <c r="B532" s="13" t="s">
        <v>15048</v>
      </c>
      <c r="C532" s="13" t="s">
        <v>5510</v>
      </c>
      <c r="D532" s="13" t="s">
        <v>5510</v>
      </c>
      <c r="E532" s="13" t="s">
        <v>5510</v>
      </c>
      <c r="F532" s="13" t="s">
        <v>15049</v>
      </c>
      <c r="G532" s="13" t="s">
        <v>5510</v>
      </c>
      <c r="H532" s="13" t="s">
        <v>5510</v>
      </c>
      <c r="I532" s="13" t="s">
        <v>1399</v>
      </c>
      <c r="J532" s="13" t="s">
        <v>6877</v>
      </c>
      <c r="K532" s="13" t="s">
        <v>5510</v>
      </c>
      <c r="L532" s="13" t="s">
        <v>5510</v>
      </c>
      <c r="M532" s="13" t="s">
        <v>5513</v>
      </c>
      <c r="N532" s="13" t="s">
        <v>5514</v>
      </c>
      <c r="O532" s="13" t="s">
        <v>5510</v>
      </c>
      <c r="P532" s="13" t="s">
        <v>5510</v>
      </c>
      <c r="Q532" s="13" t="s">
        <v>5510</v>
      </c>
      <c r="R532" s="13" t="s">
        <v>5510</v>
      </c>
      <c r="S532" s="13" t="s">
        <v>5510</v>
      </c>
      <c r="T532" s="13" t="s">
        <v>15050</v>
      </c>
      <c r="U532" s="13" t="s">
        <v>15051</v>
      </c>
      <c r="V532" s="13" t="s">
        <v>15052</v>
      </c>
      <c r="W532" s="13" t="s">
        <v>15053</v>
      </c>
      <c r="X532" s="13" t="s">
        <v>15054</v>
      </c>
      <c r="Y532" s="13" t="s">
        <v>15055</v>
      </c>
      <c r="Z532" s="13" t="s">
        <v>15056</v>
      </c>
      <c r="AA532" s="13" t="s">
        <v>5510</v>
      </c>
      <c r="AB532" s="13" t="s">
        <v>5510</v>
      </c>
      <c r="AC532" s="13" t="s">
        <v>15057</v>
      </c>
      <c r="AD532" s="13" t="s">
        <v>15058</v>
      </c>
      <c r="AE532" s="13" t="s">
        <v>15059</v>
      </c>
      <c r="AF532" s="13" t="s">
        <v>5510</v>
      </c>
      <c r="AG532" s="13">
        <v>59.0</v>
      </c>
      <c r="AH532" s="13">
        <v>17.0</v>
      </c>
      <c r="AI532" s="13">
        <v>19.0</v>
      </c>
      <c r="AJ532" s="13">
        <v>0.0</v>
      </c>
      <c r="AK532" s="13">
        <v>84.0</v>
      </c>
      <c r="AL532" s="13" t="s">
        <v>6890</v>
      </c>
      <c r="AM532" s="13" t="s">
        <v>6891</v>
      </c>
      <c r="AN532" s="13" t="s">
        <v>6892</v>
      </c>
      <c r="AO532" s="13" t="s">
        <v>6893</v>
      </c>
      <c r="AP532" s="13" t="s">
        <v>6894</v>
      </c>
      <c r="AQ532" s="13" t="s">
        <v>5510</v>
      </c>
      <c r="AR532" s="13" t="s">
        <v>6895</v>
      </c>
      <c r="AS532" s="13" t="s">
        <v>6896</v>
      </c>
      <c r="AT532" s="13" t="s">
        <v>15060</v>
      </c>
      <c r="AU532" s="13">
        <v>2014.0</v>
      </c>
      <c r="AV532" s="13">
        <v>95.0</v>
      </c>
      <c r="AW532" s="13">
        <v>4.0</v>
      </c>
      <c r="AX532" s="13" t="s">
        <v>5510</v>
      </c>
      <c r="AY532" s="13" t="s">
        <v>5510</v>
      </c>
      <c r="AZ532" s="13" t="s">
        <v>5510</v>
      </c>
      <c r="BA532" s="13" t="s">
        <v>5510</v>
      </c>
      <c r="BB532" s="13">
        <v>824.0</v>
      </c>
      <c r="BC532" s="13">
        <v>833.0</v>
      </c>
      <c r="BD532" s="13" t="s">
        <v>5510</v>
      </c>
      <c r="BE532" s="13" t="s">
        <v>15061</v>
      </c>
      <c r="BF532" s="52" t="str">
        <f>HYPERLINK("http://dx.doi.org/10.1644/13-MAMM-A-265","http://dx.doi.org/10.1644/13-MAMM-A-265")</f>
        <v>http://dx.doi.org/10.1644/13-MAMM-A-265</v>
      </c>
      <c r="BG532" s="13" t="s">
        <v>5510</v>
      </c>
      <c r="BH532" s="13" t="s">
        <v>5510</v>
      </c>
      <c r="BI532" s="13">
        <v>10.0</v>
      </c>
      <c r="BJ532" s="13" t="s">
        <v>6899</v>
      </c>
      <c r="BK532" s="13" t="s">
        <v>5561</v>
      </c>
      <c r="BL532" s="13" t="s">
        <v>6899</v>
      </c>
      <c r="BM532" s="13" t="s">
        <v>15062</v>
      </c>
      <c r="BN532" s="13" t="s">
        <v>5510</v>
      </c>
      <c r="BO532" s="13" t="s">
        <v>5587</v>
      </c>
      <c r="BP532" s="13" t="s">
        <v>5510</v>
      </c>
      <c r="BQ532" s="13" t="s">
        <v>5510</v>
      </c>
      <c r="BR532" s="13" t="s">
        <v>5538</v>
      </c>
      <c r="BS532" s="13" t="s">
        <v>15063</v>
      </c>
      <c r="BT532" s="13">
        <v>24053.0</v>
      </c>
      <c r="BU532" s="13" t="s">
        <v>5540</v>
      </c>
      <c r="BV532" s="13" t="s">
        <v>4852</v>
      </c>
      <c r="BW532" s="13" t="str">
        <f>VLOOKUP($BT532,Enriched!$A$2:$E$1070,5,false)</f>
        <v>["Residential &amp; commercial development"]</v>
      </c>
      <c r="BX532" s="13" t="str">
        <f>VLOOKUP($BT532,Enriched!$A$2:$E$1070,4,false)</f>
        <v>["Housing &amp; urban area"]</v>
      </c>
      <c r="BY532" s="13" t="b">
        <f>VLOOKUP(BT532,Enriched!$A$1:$AA$1070,27,falsE)</f>
        <v>0</v>
      </c>
      <c r="BZ532" s="2" t="str">
        <f>VLOOKUP(BT532,Enriched!$A$1:$AA$1070,14,falsE)</f>
        <v>level1</v>
      </c>
      <c r="CA532" s="13" t="str">
        <f>HYPERLINK("https%3A%2F%2Fwww.webofscience.com%2Fwos%2Fwoscc%2Ffull-record%2FWOS:000341065200013","View Full Record in Web of Science")</f>
        <v>View Full Record in Web of Science</v>
      </c>
    </row>
    <row r="533" ht="12.75" customHeight="1">
      <c r="A533" s="13" t="s">
        <v>5508</v>
      </c>
      <c r="B533" s="13" t="s">
        <v>15064</v>
      </c>
      <c r="C533" s="13" t="s">
        <v>5510</v>
      </c>
      <c r="D533" s="13" t="s">
        <v>5510</v>
      </c>
      <c r="E533" s="13" t="s">
        <v>5510</v>
      </c>
      <c r="F533" s="13" t="s">
        <v>15065</v>
      </c>
      <c r="G533" s="13" t="s">
        <v>5510</v>
      </c>
      <c r="H533" s="13" t="s">
        <v>5510</v>
      </c>
      <c r="I533" s="13" t="s">
        <v>1394</v>
      </c>
      <c r="J533" s="13" t="s">
        <v>6627</v>
      </c>
      <c r="K533" s="13" t="s">
        <v>5510</v>
      </c>
      <c r="L533" s="13" t="s">
        <v>5510</v>
      </c>
      <c r="M533" s="13" t="s">
        <v>5513</v>
      </c>
      <c r="N533" s="13" t="s">
        <v>5514</v>
      </c>
      <c r="O533" s="13" t="s">
        <v>5510</v>
      </c>
      <c r="P533" s="13" t="s">
        <v>5510</v>
      </c>
      <c r="Q533" s="13" t="s">
        <v>5510</v>
      </c>
      <c r="R533" s="13" t="s">
        <v>5510</v>
      </c>
      <c r="S533" s="13" t="s">
        <v>5510</v>
      </c>
      <c r="T533" s="13" t="s">
        <v>15066</v>
      </c>
      <c r="U533" s="13" t="s">
        <v>15067</v>
      </c>
      <c r="V533" s="13" t="s">
        <v>15068</v>
      </c>
      <c r="W533" s="13" t="s">
        <v>15069</v>
      </c>
      <c r="X533" s="13" t="s">
        <v>15070</v>
      </c>
      <c r="Y533" s="13" t="s">
        <v>15071</v>
      </c>
      <c r="Z533" s="13" t="s">
        <v>13782</v>
      </c>
      <c r="AA533" s="13" t="s">
        <v>15072</v>
      </c>
      <c r="AB533" s="13" t="s">
        <v>15073</v>
      </c>
      <c r="AC533" s="13" t="s">
        <v>15074</v>
      </c>
      <c r="AD533" s="13" t="s">
        <v>15075</v>
      </c>
      <c r="AE533" s="13" t="s">
        <v>15076</v>
      </c>
      <c r="AF533" s="13" t="s">
        <v>5510</v>
      </c>
      <c r="AG533" s="13">
        <v>72.0</v>
      </c>
      <c r="AH533" s="13">
        <v>72.0</v>
      </c>
      <c r="AI533" s="13">
        <v>81.0</v>
      </c>
      <c r="AJ533" s="13">
        <v>4.0</v>
      </c>
      <c r="AK533" s="13">
        <v>100.0</v>
      </c>
      <c r="AL533" s="13" t="s">
        <v>5527</v>
      </c>
      <c r="AM533" s="13" t="s">
        <v>5528</v>
      </c>
      <c r="AN533" s="13" t="s">
        <v>5529</v>
      </c>
      <c r="AO533" s="13" t="s">
        <v>6640</v>
      </c>
      <c r="AP533" s="13" t="s">
        <v>6641</v>
      </c>
      <c r="AQ533" s="13" t="s">
        <v>5510</v>
      </c>
      <c r="AR533" s="13" t="s">
        <v>6642</v>
      </c>
      <c r="AS533" s="13" t="s">
        <v>6643</v>
      </c>
      <c r="AT533" s="13" t="s">
        <v>2738</v>
      </c>
      <c r="AU533" s="13">
        <v>2019.0</v>
      </c>
      <c r="AV533" s="13">
        <v>25.0</v>
      </c>
      <c r="AW533" s="13">
        <v>2.0</v>
      </c>
      <c r="AX533" s="13" t="s">
        <v>5510</v>
      </c>
      <c r="AY533" s="13" t="s">
        <v>5510</v>
      </c>
      <c r="AZ533" s="13" t="s">
        <v>5510</v>
      </c>
      <c r="BA533" s="13" t="s">
        <v>5510</v>
      </c>
      <c r="BB533" s="13">
        <v>176.0</v>
      </c>
      <c r="BC533" s="13">
        <v>190.0</v>
      </c>
      <c r="BD533" s="13" t="s">
        <v>5510</v>
      </c>
      <c r="BE533" s="13" t="s">
        <v>15077</v>
      </c>
      <c r="BF533" s="52" t="str">
        <f>HYPERLINK("http://dx.doi.org/10.1111/ddi.12843","http://dx.doi.org/10.1111/ddi.12843")</f>
        <v>http://dx.doi.org/10.1111/ddi.12843</v>
      </c>
      <c r="BG533" s="13" t="s">
        <v>5510</v>
      </c>
      <c r="BH533" s="13" t="s">
        <v>5510</v>
      </c>
      <c r="BI533" s="13">
        <v>15.0</v>
      </c>
      <c r="BJ533" s="13" t="s">
        <v>5958</v>
      </c>
      <c r="BK533" s="13" t="s">
        <v>5561</v>
      </c>
      <c r="BL533" s="13" t="s">
        <v>5699</v>
      </c>
      <c r="BM533" s="13" t="s">
        <v>15078</v>
      </c>
      <c r="BN533" s="13" t="s">
        <v>5510</v>
      </c>
      <c r="BO533" s="13" t="s">
        <v>5809</v>
      </c>
      <c r="BP533" s="13" t="s">
        <v>5510</v>
      </c>
      <c r="BQ533" s="13" t="s">
        <v>5510</v>
      </c>
      <c r="BR533" s="13" t="s">
        <v>5538</v>
      </c>
      <c r="BS533" s="13" t="s">
        <v>15079</v>
      </c>
      <c r="BT533" s="13">
        <v>25416.0</v>
      </c>
      <c r="BU533" s="13" t="s">
        <v>5540</v>
      </c>
      <c r="BV533" s="13" t="s">
        <v>4856</v>
      </c>
      <c r="BW533" s="13" t="str">
        <f>VLOOKUP($BT533,Enriched!$A$2:$E$1070,5,false)</f>
        <v>["Agriculture &amp; Aquaculture", "Biological Resource Use"]</v>
      </c>
      <c r="BX533" s="13" t="str">
        <f>VLOOKUP($BT533,Enriched!$A$2:$E$1070,4,false)</f>
        <v>["Annual &amp; perennial non-timber crops", "Hunting &amp; collecting terrestrial animals"]</v>
      </c>
      <c r="BY533" s="13" t="b">
        <f>VLOOKUP(BT533,Enriched!$A$1:$AA$1070,27,falsE)</f>
        <v>0</v>
      </c>
      <c r="BZ533" s="2" t="str">
        <f>VLOOKUP(BT533,Enriched!$A$1:$AA$1070,14,falsE)</f>
        <v>level2</v>
      </c>
      <c r="CA533" s="13" t="str">
        <f>HYPERLINK("https%3A%2F%2Fwww.webofscience.com%2Fwos%2Fwoscc%2Ffull-record%2FWOS:000456796100002","View Full Record in Web of Science")</f>
        <v>View Full Record in Web of Science</v>
      </c>
    </row>
    <row r="534" ht="12.75" customHeight="1">
      <c r="A534" s="13" t="s">
        <v>5508</v>
      </c>
      <c r="B534" s="13" t="s">
        <v>15080</v>
      </c>
      <c r="C534" s="13" t="s">
        <v>5510</v>
      </c>
      <c r="D534" s="13" t="s">
        <v>5510</v>
      </c>
      <c r="E534" s="13" t="s">
        <v>5510</v>
      </c>
      <c r="F534" s="13" t="s">
        <v>15081</v>
      </c>
      <c r="G534" s="13" t="s">
        <v>5510</v>
      </c>
      <c r="H534" s="13" t="s">
        <v>5510</v>
      </c>
      <c r="I534" s="13" t="s">
        <v>1392</v>
      </c>
      <c r="J534" s="13" t="s">
        <v>8925</v>
      </c>
      <c r="K534" s="13" t="s">
        <v>5510</v>
      </c>
      <c r="L534" s="13" t="s">
        <v>5510</v>
      </c>
      <c r="M534" s="13" t="s">
        <v>5513</v>
      </c>
      <c r="N534" s="13" t="s">
        <v>5514</v>
      </c>
      <c r="O534" s="13" t="s">
        <v>5510</v>
      </c>
      <c r="P534" s="13" t="s">
        <v>5510</v>
      </c>
      <c r="Q534" s="13" t="s">
        <v>5510</v>
      </c>
      <c r="R534" s="13" t="s">
        <v>5510</v>
      </c>
      <c r="S534" s="13" t="s">
        <v>5510</v>
      </c>
      <c r="T534" s="13" t="s">
        <v>5510</v>
      </c>
      <c r="U534" s="13" t="s">
        <v>15082</v>
      </c>
      <c r="V534" s="13" t="s">
        <v>15083</v>
      </c>
      <c r="W534" s="13" t="s">
        <v>15084</v>
      </c>
      <c r="X534" s="13" t="s">
        <v>15085</v>
      </c>
      <c r="Y534" s="13" t="s">
        <v>15086</v>
      </c>
      <c r="Z534" s="13" t="s">
        <v>11254</v>
      </c>
      <c r="AA534" s="13" t="s">
        <v>15087</v>
      </c>
      <c r="AB534" s="13" t="s">
        <v>15088</v>
      </c>
      <c r="AC534" s="13" t="s">
        <v>15089</v>
      </c>
      <c r="AD534" s="13" t="s">
        <v>15090</v>
      </c>
      <c r="AE534" s="13" t="s">
        <v>15091</v>
      </c>
      <c r="AF534" s="13" t="s">
        <v>5510</v>
      </c>
      <c r="AG534" s="13">
        <v>74.0</v>
      </c>
      <c r="AH534" s="13">
        <v>213.0</v>
      </c>
      <c r="AI534" s="13">
        <v>235.0</v>
      </c>
      <c r="AJ534" s="13">
        <v>5.0</v>
      </c>
      <c r="AK534" s="13">
        <v>99.0</v>
      </c>
      <c r="AL534" s="13" t="s">
        <v>8937</v>
      </c>
      <c r="AM534" s="13" t="s">
        <v>6046</v>
      </c>
      <c r="AN534" s="13" t="s">
        <v>8938</v>
      </c>
      <c r="AO534" s="13" t="s">
        <v>8939</v>
      </c>
      <c r="AP534" s="13" t="s">
        <v>5510</v>
      </c>
      <c r="AQ534" s="13" t="s">
        <v>5510</v>
      </c>
      <c r="AR534" s="13" t="s">
        <v>8940</v>
      </c>
      <c r="AS534" s="13" t="s">
        <v>8941</v>
      </c>
      <c r="AT534" s="13" t="s">
        <v>15092</v>
      </c>
      <c r="AU534" s="13">
        <v>2020.0</v>
      </c>
      <c r="AV534" s="13">
        <v>11.0</v>
      </c>
      <c r="AW534" s="13">
        <v>1.0</v>
      </c>
      <c r="AX534" s="13" t="s">
        <v>5510</v>
      </c>
      <c r="AY534" s="13" t="s">
        <v>5510</v>
      </c>
      <c r="AZ534" s="13" t="s">
        <v>5510</v>
      </c>
      <c r="BA534" s="13" t="s">
        <v>5510</v>
      </c>
      <c r="BB534" s="13" t="s">
        <v>5510</v>
      </c>
      <c r="BC534" s="13" t="s">
        <v>5510</v>
      </c>
      <c r="BD534" s="13">
        <v>536.0</v>
      </c>
      <c r="BE534" s="13" t="s">
        <v>15093</v>
      </c>
      <c r="BF534" s="52" t="str">
        <f>HYPERLINK("http://dx.doi.org/10.1038/s41467-019-14215-w","http://dx.doi.org/10.1038/s41467-019-14215-w")</f>
        <v>http://dx.doi.org/10.1038/s41467-019-14215-w</v>
      </c>
      <c r="BG534" s="13" t="s">
        <v>5510</v>
      </c>
      <c r="BH534" s="13" t="s">
        <v>5510</v>
      </c>
      <c r="BI534" s="13">
        <v>12.0</v>
      </c>
      <c r="BJ534" s="13" t="s">
        <v>5560</v>
      </c>
      <c r="BK534" s="13" t="s">
        <v>5561</v>
      </c>
      <c r="BL534" s="13" t="s">
        <v>5562</v>
      </c>
      <c r="BM534" s="13" t="s">
        <v>15094</v>
      </c>
      <c r="BN534" s="13">
        <v>3.1988285E7</v>
      </c>
      <c r="BO534" s="13" t="s">
        <v>5564</v>
      </c>
      <c r="BP534" s="13" t="s">
        <v>5510</v>
      </c>
      <c r="BQ534" s="13" t="s">
        <v>5510</v>
      </c>
      <c r="BR534" s="13" t="s">
        <v>5538</v>
      </c>
      <c r="BS534" s="13" t="s">
        <v>15095</v>
      </c>
      <c r="BT534" s="13">
        <v>25470.0</v>
      </c>
      <c r="BU534" s="13" t="s">
        <v>5540</v>
      </c>
      <c r="BV534" s="13" t="s">
        <v>4864</v>
      </c>
      <c r="BW534" s="13" t="str">
        <f>VLOOKUP($BT534,Enriched!$A$2:$E$1070,5,false)</f>
        <v>["Climate Change &amp; Severe Weather", "Biological Resource Use"]</v>
      </c>
      <c r="BX534" s="13" t="str">
        <f>VLOOKUP($BT534,Enriched!$A$2:$E$1070,4,false)</f>
        <v>["Temperature extremes", "Fishing &amp; harvesting aquatic resources"]</v>
      </c>
      <c r="BY534" s="13" t="b">
        <f>VLOOKUP(BT534,Enriched!$A$1:$AA$1070,27,falsE)</f>
        <v>0</v>
      </c>
      <c r="BZ534" s="2" t="str">
        <f>VLOOKUP(BT534,Enriched!$A$1:$AA$1070,14,falsE)</f>
        <v>level2</v>
      </c>
      <c r="CA534" s="13" t="str">
        <f>HYPERLINK("https%3A%2F%2Fwww.webofscience.com%2Fwos%2Fwoscc%2Ffull-record%2FWOS:000512539500006","View Full Record in Web of Science")</f>
        <v>View Full Record in Web of Science</v>
      </c>
    </row>
    <row r="535" ht="12.75" customHeight="1">
      <c r="A535" s="13" t="s">
        <v>5508</v>
      </c>
      <c r="B535" s="13" t="s">
        <v>15096</v>
      </c>
      <c r="C535" s="13" t="s">
        <v>5510</v>
      </c>
      <c r="D535" s="13" t="s">
        <v>5510</v>
      </c>
      <c r="E535" s="13" t="s">
        <v>5510</v>
      </c>
      <c r="F535" s="13" t="s">
        <v>15097</v>
      </c>
      <c r="G535" s="13" t="s">
        <v>5510</v>
      </c>
      <c r="H535" s="13" t="s">
        <v>5510</v>
      </c>
      <c r="I535" s="13" t="s">
        <v>15098</v>
      </c>
      <c r="J535" s="13" t="s">
        <v>8185</v>
      </c>
      <c r="K535" s="13" t="s">
        <v>5510</v>
      </c>
      <c r="L535" s="13" t="s">
        <v>5510</v>
      </c>
      <c r="M535" s="13" t="s">
        <v>5513</v>
      </c>
      <c r="N535" s="13" t="s">
        <v>4904</v>
      </c>
      <c r="O535" s="13" t="s">
        <v>5510</v>
      </c>
      <c r="P535" s="13" t="s">
        <v>5510</v>
      </c>
      <c r="Q535" s="13" t="s">
        <v>5510</v>
      </c>
      <c r="R535" s="13" t="s">
        <v>5510</v>
      </c>
      <c r="S535" s="13" t="s">
        <v>5510</v>
      </c>
      <c r="T535" s="13" t="s">
        <v>15099</v>
      </c>
      <c r="U535" s="13" t="s">
        <v>15100</v>
      </c>
      <c r="V535" s="13" t="s">
        <v>15101</v>
      </c>
      <c r="W535" s="13" t="s">
        <v>15102</v>
      </c>
      <c r="X535" s="13" t="s">
        <v>15103</v>
      </c>
      <c r="Y535" s="13" t="s">
        <v>15104</v>
      </c>
      <c r="Z535" s="13" t="s">
        <v>15105</v>
      </c>
      <c r="AA535" s="13" t="s">
        <v>15106</v>
      </c>
      <c r="AB535" s="13" t="s">
        <v>15107</v>
      </c>
      <c r="AC535" s="13" t="s">
        <v>15108</v>
      </c>
      <c r="AD535" s="13" t="s">
        <v>15108</v>
      </c>
      <c r="AE535" s="13" t="s">
        <v>15109</v>
      </c>
      <c r="AF535" s="13" t="s">
        <v>5510</v>
      </c>
      <c r="AG535" s="13">
        <v>109.0</v>
      </c>
      <c r="AH535" s="13">
        <v>69.0</v>
      </c>
      <c r="AI535" s="13">
        <v>83.0</v>
      </c>
      <c r="AJ535" s="13">
        <v>2.0</v>
      </c>
      <c r="AK535" s="13">
        <v>180.0</v>
      </c>
      <c r="AL535" s="13" t="s">
        <v>5527</v>
      </c>
      <c r="AM535" s="13" t="s">
        <v>5528</v>
      </c>
      <c r="AN535" s="13" t="s">
        <v>5529</v>
      </c>
      <c r="AO535" s="13" t="s">
        <v>8194</v>
      </c>
      <c r="AP535" s="13" t="s">
        <v>8195</v>
      </c>
      <c r="AQ535" s="13" t="s">
        <v>5510</v>
      </c>
      <c r="AR535" s="13" t="s">
        <v>8196</v>
      </c>
      <c r="AS535" s="13" t="s">
        <v>8197</v>
      </c>
      <c r="AT535" s="13" t="s">
        <v>5866</v>
      </c>
      <c r="AU535" s="13">
        <v>2015.0</v>
      </c>
      <c r="AV535" s="13">
        <v>79.0</v>
      </c>
      <c r="AW535" s="13">
        <v>4.0</v>
      </c>
      <c r="AX535" s="13" t="s">
        <v>5510</v>
      </c>
      <c r="AY535" s="13" t="s">
        <v>5510</v>
      </c>
      <c r="AZ535" s="13" t="s">
        <v>5510</v>
      </c>
      <c r="BA535" s="13" t="s">
        <v>5510</v>
      </c>
      <c r="BB535" s="13">
        <v>544.0</v>
      </c>
      <c r="BC535" s="13">
        <v>558.0</v>
      </c>
      <c r="BD535" s="13" t="s">
        <v>5510</v>
      </c>
      <c r="BE535" s="13" t="s">
        <v>15110</v>
      </c>
      <c r="BF535" s="52" t="str">
        <f>HYPERLINK("http://dx.doi.org/10.1002/jwmg.862","http://dx.doi.org/10.1002/jwmg.862")</f>
        <v>http://dx.doi.org/10.1002/jwmg.862</v>
      </c>
      <c r="BG535" s="13" t="s">
        <v>5510</v>
      </c>
      <c r="BH535" s="13" t="s">
        <v>5510</v>
      </c>
      <c r="BI535" s="13">
        <v>15.0</v>
      </c>
      <c r="BJ535" s="13" t="s">
        <v>5584</v>
      </c>
      <c r="BK535" s="13" t="s">
        <v>5561</v>
      </c>
      <c r="BL535" s="13" t="s">
        <v>5585</v>
      </c>
      <c r="BM535" s="13" t="s">
        <v>15111</v>
      </c>
      <c r="BN535" s="13" t="s">
        <v>5510</v>
      </c>
      <c r="BO535" s="13" t="s">
        <v>5510</v>
      </c>
      <c r="BP535" s="13" t="s">
        <v>5510</v>
      </c>
      <c r="BQ535" s="13" t="s">
        <v>5510</v>
      </c>
      <c r="BR535" s="13" t="s">
        <v>5538</v>
      </c>
      <c r="BS535" s="13" t="s">
        <v>15112</v>
      </c>
      <c r="BT535" s="13">
        <v>25223.0</v>
      </c>
      <c r="BU535" s="13" t="s">
        <v>5540</v>
      </c>
      <c r="BV535" s="13" t="s">
        <v>4856</v>
      </c>
      <c r="BW535" s="13" t="str">
        <f>VLOOKUP($BT535,Enriched!$A$2:$E$1070,5,false)</f>
        <v>["Transportation &amp; Service Corridors"]</v>
      </c>
      <c r="BX535" s="13" t="str">
        <f>VLOOKUP($BT535,Enriched!$A$2:$E$1070,4,false)</f>
        <v>["Roads &amp; railroads"]</v>
      </c>
      <c r="BY535" s="13" t="b">
        <f>VLOOKUP(BT535,Enriched!$A$1:$AA$1070,27,falsE)</f>
        <v>0</v>
      </c>
      <c r="BZ535" s="2" t="str">
        <f>VLOOKUP(BT535,Enriched!$A$1:$AA$1070,14,falsE)</f>
        <v>level2</v>
      </c>
      <c r="CA535" s="13" t="str">
        <f>HYPERLINK("https%3A%2F%2Fwww.webofscience.com%2Fwos%2Fwoscc%2Ffull-record%2FWOS:000353217100004","View Full Record in Web of Science")</f>
        <v>View Full Record in Web of Science</v>
      </c>
    </row>
    <row r="536" ht="12.75" customHeight="1">
      <c r="A536" s="13" t="s">
        <v>5508</v>
      </c>
      <c r="B536" s="13" t="s">
        <v>15113</v>
      </c>
      <c r="C536" s="13" t="s">
        <v>5510</v>
      </c>
      <c r="D536" s="13" t="s">
        <v>5510</v>
      </c>
      <c r="E536" s="13" t="s">
        <v>5510</v>
      </c>
      <c r="F536" s="13" t="s">
        <v>15114</v>
      </c>
      <c r="G536" s="13" t="s">
        <v>5510</v>
      </c>
      <c r="H536" s="13" t="s">
        <v>5510</v>
      </c>
      <c r="I536" s="13" t="s">
        <v>1387</v>
      </c>
      <c r="J536" s="13" t="s">
        <v>6032</v>
      </c>
      <c r="K536" s="13" t="s">
        <v>5510</v>
      </c>
      <c r="L536" s="13" t="s">
        <v>5510</v>
      </c>
      <c r="M536" s="13" t="s">
        <v>5513</v>
      </c>
      <c r="N536" s="13" t="s">
        <v>5514</v>
      </c>
      <c r="O536" s="13" t="s">
        <v>5510</v>
      </c>
      <c r="P536" s="13" t="s">
        <v>5510</v>
      </c>
      <c r="Q536" s="13" t="s">
        <v>5510</v>
      </c>
      <c r="R536" s="13" t="s">
        <v>5510</v>
      </c>
      <c r="S536" s="13" t="s">
        <v>5510</v>
      </c>
      <c r="T536" s="13" t="s">
        <v>15115</v>
      </c>
      <c r="U536" s="13" t="s">
        <v>15116</v>
      </c>
      <c r="V536" s="13" t="s">
        <v>15117</v>
      </c>
      <c r="W536" s="13" t="s">
        <v>15118</v>
      </c>
      <c r="X536" s="13" t="s">
        <v>15119</v>
      </c>
      <c r="Y536" s="13" t="s">
        <v>15120</v>
      </c>
      <c r="Z536" s="13" t="s">
        <v>15121</v>
      </c>
      <c r="AA536" s="13" t="s">
        <v>15122</v>
      </c>
      <c r="AB536" s="13" t="s">
        <v>15123</v>
      </c>
      <c r="AC536" s="13" t="s">
        <v>15124</v>
      </c>
      <c r="AD536" s="13" t="s">
        <v>15125</v>
      </c>
      <c r="AE536" s="13" t="s">
        <v>15126</v>
      </c>
      <c r="AF536" s="13" t="s">
        <v>5510</v>
      </c>
      <c r="AG536" s="13">
        <v>82.0</v>
      </c>
      <c r="AH536" s="13">
        <v>10.0</v>
      </c>
      <c r="AI536" s="13">
        <v>10.0</v>
      </c>
      <c r="AJ536" s="13">
        <v>6.0</v>
      </c>
      <c r="AK536" s="13">
        <v>26.0</v>
      </c>
      <c r="AL536" s="13" t="s">
        <v>6045</v>
      </c>
      <c r="AM536" s="13" t="s">
        <v>6046</v>
      </c>
      <c r="AN536" s="13" t="s">
        <v>6047</v>
      </c>
      <c r="AO536" s="13" t="s">
        <v>6048</v>
      </c>
      <c r="AP536" s="13" t="s">
        <v>5510</v>
      </c>
      <c r="AQ536" s="13" t="s">
        <v>5510</v>
      </c>
      <c r="AR536" s="13" t="s">
        <v>6032</v>
      </c>
      <c r="AS536" s="13" t="s">
        <v>174</v>
      </c>
      <c r="AT536" s="13" t="s">
        <v>5602</v>
      </c>
      <c r="AU536" s="13">
        <v>2019.0</v>
      </c>
      <c r="AV536" s="13">
        <v>7.0</v>
      </c>
      <c r="AW536" s="13" t="s">
        <v>5510</v>
      </c>
      <c r="AX536" s="13" t="s">
        <v>5510</v>
      </c>
      <c r="AY536" s="13" t="s">
        <v>5510</v>
      </c>
      <c r="AZ536" s="13" t="s">
        <v>5510</v>
      </c>
      <c r="BA536" s="13" t="s">
        <v>5510</v>
      </c>
      <c r="BB536" s="13" t="s">
        <v>5510</v>
      </c>
      <c r="BC536" s="13" t="s">
        <v>5510</v>
      </c>
      <c r="BD536" s="13" t="s">
        <v>15127</v>
      </c>
      <c r="BE536" s="13" t="s">
        <v>15128</v>
      </c>
      <c r="BF536" s="52" t="str">
        <f>HYPERLINK("http://dx.doi.org/10.7717/peerj.7296","http://dx.doi.org/10.7717/peerj.7296")</f>
        <v>http://dx.doi.org/10.7717/peerj.7296</v>
      </c>
      <c r="BG536" s="13" t="s">
        <v>5510</v>
      </c>
      <c r="BH536" s="13" t="s">
        <v>5510</v>
      </c>
      <c r="BI536" s="13">
        <v>26.0</v>
      </c>
      <c r="BJ536" s="13" t="s">
        <v>5560</v>
      </c>
      <c r="BK536" s="13" t="s">
        <v>5561</v>
      </c>
      <c r="BL536" s="13" t="s">
        <v>5562</v>
      </c>
      <c r="BM536" s="13" t="s">
        <v>15129</v>
      </c>
      <c r="BN536" s="13">
        <v>3.1428536E7</v>
      </c>
      <c r="BO536" s="13" t="s">
        <v>5564</v>
      </c>
      <c r="BP536" s="13" t="s">
        <v>5510</v>
      </c>
      <c r="BQ536" s="13" t="s">
        <v>5510</v>
      </c>
      <c r="BR536" s="13" t="s">
        <v>5538</v>
      </c>
      <c r="BS536" s="13" t="s">
        <v>15130</v>
      </c>
      <c r="BT536" s="13">
        <v>24395.0</v>
      </c>
      <c r="BU536" s="13" t="s">
        <v>5540</v>
      </c>
      <c r="BV536" s="13" t="s">
        <v>4856</v>
      </c>
      <c r="BW536" s="13" t="str">
        <f>VLOOKUP($BT536,Enriched!$A$2:$E$1070,5,false)</f>
        <v>["Agriculture &amp; Aquaculture"]</v>
      </c>
      <c r="BX536" s="13" t="str">
        <f>VLOOKUP($BT536,Enriched!$A$2:$E$1070,4,false)</f>
        <v>["Livestock farming &amp; ranching"]</v>
      </c>
      <c r="BY536" s="13" t="b">
        <f>VLOOKUP(BT536,Enriched!$A$1:$AA$1070,27,falsE)</f>
        <v>0</v>
      </c>
      <c r="BZ536" s="2" t="str">
        <f>VLOOKUP(BT536,Enriched!$A$1:$AA$1070,14,falsE)</f>
        <v>level2</v>
      </c>
      <c r="CA536" s="13" t="str">
        <f>HYPERLINK("https%3A%2F%2Fwww.webofscience.com%2Fwos%2Fwoscc%2Ffull-record%2FWOS:000480647100001","View Full Record in Web of Science")</f>
        <v>View Full Record in Web of Science</v>
      </c>
    </row>
    <row r="537" ht="12.75" customHeight="1">
      <c r="A537" s="13" t="s">
        <v>5508</v>
      </c>
      <c r="B537" s="13" t="s">
        <v>15131</v>
      </c>
      <c r="C537" s="13" t="s">
        <v>5510</v>
      </c>
      <c r="D537" s="13" t="s">
        <v>5510</v>
      </c>
      <c r="E537" s="13" t="s">
        <v>5510</v>
      </c>
      <c r="F537" s="13" t="s">
        <v>15132</v>
      </c>
      <c r="G537" s="13" t="s">
        <v>5510</v>
      </c>
      <c r="H537" s="13" t="s">
        <v>5510</v>
      </c>
      <c r="I537" s="13" t="s">
        <v>1383</v>
      </c>
      <c r="J537" s="13" t="s">
        <v>5895</v>
      </c>
      <c r="K537" s="13" t="s">
        <v>5510</v>
      </c>
      <c r="L537" s="13" t="s">
        <v>5510</v>
      </c>
      <c r="M537" s="13" t="s">
        <v>5513</v>
      </c>
      <c r="N537" s="13" t="s">
        <v>5514</v>
      </c>
      <c r="O537" s="13" t="s">
        <v>5510</v>
      </c>
      <c r="P537" s="13" t="s">
        <v>5510</v>
      </c>
      <c r="Q537" s="13" t="s">
        <v>5510</v>
      </c>
      <c r="R537" s="13" t="s">
        <v>5510</v>
      </c>
      <c r="S537" s="13" t="s">
        <v>5510</v>
      </c>
      <c r="T537" s="13" t="s">
        <v>15133</v>
      </c>
      <c r="U537" s="13" t="s">
        <v>15134</v>
      </c>
      <c r="V537" s="13" t="s">
        <v>15135</v>
      </c>
      <c r="W537" s="13" t="s">
        <v>15136</v>
      </c>
      <c r="X537" s="13" t="s">
        <v>15137</v>
      </c>
      <c r="Y537" s="13" t="s">
        <v>15138</v>
      </c>
      <c r="Z537" s="13" t="s">
        <v>15139</v>
      </c>
      <c r="AA537" s="13" t="s">
        <v>15140</v>
      </c>
      <c r="AB537" s="13" t="s">
        <v>15141</v>
      </c>
      <c r="AC537" s="13" t="s">
        <v>15142</v>
      </c>
      <c r="AD537" s="13" t="s">
        <v>15143</v>
      </c>
      <c r="AE537" s="13" t="s">
        <v>15144</v>
      </c>
      <c r="AF537" s="13" t="s">
        <v>5510</v>
      </c>
      <c r="AG537" s="13">
        <v>70.0</v>
      </c>
      <c r="AH537" s="13">
        <v>222.0</v>
      </c>
      <c r="AI537" s="13">
        <v>235.0</v>
      </c>
      <c r="AJ537" s="13">
        <v>0.0</v>
      </c>
      <c r="AK537" s="13">
        <v>239.0</v>
      </c>
      <c r="AL537" s="13" t="s">
        <v>5907</v>
      </c>
      <c r="AM537" s="13" t="s">
        <v>5908</v>
      </c>
      <c r="AN537" s="13" t="s">
        <v>5909</v>
      </c>
      <c r="AO537" s="13" t="s">
        <v>5910</v>
      </c>
      <c r="AP537" s="13" t="s">
        <v>5510</v>
      </c>
      <c r="AQ537" s="13" t="s">
        <v>5510</v>
      </c>
      <c r="AR537" s="13" t="s">
        <v>5911</v>
      </c>
      <c r="AS537" s="13" t="s">
        <v>5912</v>
      </c>
      <c r="AT537" s="13" t="s">
        <v>11901</v>
      </c>
      <c r="AU537" s="13">
        <v>2018.0</v>
      </c>
      <c r="AV537" s="13">
        <v>115.0</v>
      </c>
      <c r="AW537" s="13">
        <v>27.0</v>
      </c>
      <c r="AX537" s="13" t="s">
        <v>5510</v>
      </c>
      <c r="AY537" s="13" t="s">
        <v>5510</v>
      </c>
      <c r="AZ537" s="13" t="s">
        <v>5510</v>
      </c>
      <c r="BA537" s="13" t="s">
        <v>5510</v>
      </c>
      <c r="BB537" s="13" t="s">
        <v>15145</v>
      </c>
      <c r="BC537" s="13" t="s">
        <v>15146</v>
      </c>
      <c r="BD537" s="13" t="s">
        <v>5510</v>
      </c>
      <c r="BE537" s="13" t="s">
        <v>15147</v>
      </c>
      <c r="BF537" s="52" t="str">
        <f>HYPERLINK("http://dx.doi.org/10.1073/pnas.1708001115","http://dx.doi.org/10.1073/pnas.1708001115")</f>
        <v>http://dx.doi.org/10.1073/pnas.1708001115</v>
      </c>
      <c r="BG537" s="13" t="s">
        <v>5510</v>
      </c>
      <c r="BH537" s="13" t="s">
        <v>5510</v>
      </c>
      <c r="BI537" s="13">
        <v>10.0</v>
      </c>
      <c r="BJ537" s="13" t="s">
        <v>5560</v>
      </c>
      <c r="BK537" s="13" t="s">
        <v>5534</v>
      </c>
      <c r="BL537" s="13" t="s">
        <v>5562</v>
      </c>
      <c r="BM537" s="13" t="s">
        <v>15148</v>
      </c>
      <c r="BN537" s="13">
        <v>2.9915066E7</v>
      </c>
      <c r="BO537" s="13" t="s">
        <v>5587</v>
      </c>
      <c r="BP537" s="13" t="s">
        <v>5510</v>
      </c>
      <c r="BQ537" s="13" t="s">
        <v>5510</v>
      </c>
      <c r="BR537" s="13" t="s">
        <v>5538</v>
      </c>
      <c r="BS537" s="13" t="s">
        <v>15149</v>
      </c>
      <c r="BT537" s="13" t="s">
        <v>1381</v>
      </c>
      <c r="BU537" s="13" t="s">
        <v>5540</v>
      </c>
      <c r="BV537" s="13" t="s">
        <v>4864</v>
      </c>
      <c r="BW537" s="13" t="str">
        <f>VLOOKUP($BT537,Enriched!$A$2:$E$1070,5,false)</f>
        <v>["Biological resource use"]</v>
      </c>
      <c r="BX537" s="13" t="str">
        <f>VLOOKUP($BT537,Enriched!$A$2:$E$1070,4,false)</f>
        <v>["Fishing &amp; harvesting aquatic resources"]</v>
      </c>
      <c r="BY537" s="13" t="b">
        <f>VLOOKUP(BT537,Enriched!$A$1:$AA$1070,27,falsE)</f>
        <v>0</v>
      </c>
      <c r="BZ537" s="2" t="str">
        <f>VLOOKUP(BT537,Enriched!$A$1:$AA$1070,14,falsE)</f>
        <v>level2</v>
      </c>
      <c r="CA537" s="13" t="str">
        <f>HYPERLINK("https%3A%2F%2Fwww.webofscience.com%2Fwos%2Fwoscc%2Ffull-record%2FWOS:000437107000006","View Full Record in Web of Science")</f>
        <v>View Full Record in Web of Science</v>
      </c>
    </row>
    <row r="538" ht="12.75" customHeight="1">
      <c r="A538" s="13" t="s">
        <v>5508</v>
      </c>
      <c r="B538" s="13" t="s">
        <v>15150</v>
      </c>
      <c r="C538" s="13" t="s">
        <v>5510</v>
      </c>
      <c r="D538" s="13" t="s">
        <v>5510</v>
      </c>
      <c r="E538" s="13" t="s">
        <v>5510</v>
      </c>
      <c r="F538" s="13" t="s">
        <v>15151</v>
      </c>
      <c r="G538" s="13" t="s">
        <v>5510</v>
      </c>
      <c r="H538" s="13" t="s">
        <v>5510</v>
      </c>
      <c r="I538" s="13" t="s">
        <v>15152</v>
      </c>
      <c r="J538" s="13" t="s">
        <v>15153</v>
      </c>
      <c r="K538" s="13" t="s">
        <v>5510</v>
      </c>
      <c r="L538" s="13" t="s">
        <v>5510</v>
      </c>
      <c r="M538" s="13" t="s">
        <v>5513</v>
      </c>
      <c r="N538" s="13" t="s">
        <v>5514</v>
      </c>
      <c r="O538" s="13" t="s">
        <v>5510</v>
      </c>
      <c r="P538" s="13" t="s">
        <v>5510</v>
      </c>
      <c r="Q538" s="13" t="s">
        <v>5510</v>
      </c>
      <c r="R538" s="13" t="s">
        <v>5510</v>
      </c>
      <c r="S538" s="13" t="s">
        <v>5510</v>
      </c>
      <c r="T538" s="13" t="s">
        <v>15154</v>
      </c>
      <c r="U538" s="13" t="s">
        <v>15155</v>
      </c>
      <c r="V538" s="13" t="s">
        <v>15156</v>
      </c>
      <c r="W538" s="13" t="s">
        <v>15157</v>
      </c>
      <c r="X538" s="13" t="s">
        <v>15158</v>
      </c>
      <c r="Y538" s="13" t="s">
        <v>15159</v>
      </c>
      <c r="Z538" s="13" t="s">
        <v>15160</v>
      </c>
      <c r="AA538" s="13" t="s">
        <v>15161</v>
      </c>
      <c r="AB538" s="13" t="s">
        <v>15162</v>
      </c>
      <c r="AC538" s="13" t="s">
        <v>15163</v>
      </c>
      <c r="AD538" s="13" t="s">
        <v>15164</v>
      </c>
      <c r="AE538" s="13" t="s">
        <v>15165</v>
      </c>
      <c r="AF538" s="13" t="s">
        <v>5510</v>
      </c>
      <c r="AG538" s="13">
        <v>69.0</v>
      </c>
      <c r="AH538" s="13">
        <v>5.0</v>
      </c>
      <c r="AI538" s="13">
        <v>6.0</v>
      </c>
      <c r="AJ538" s="13">
        <v>0.0</v>
      </c>
      <c r="AK538" s="13">
        <v>18.0</v>
      </c>
      <c r="AL538" s="13" t="s">
        <v>6849</v>
      </c>
      <c r="AM538" s="13" t="s">
        <v>6850</v>
      </c>
      <c r="AN538" s="13" t="s">
        <v>6851</v>
      </c>
      <c r="AO538" s="13" t="s">
        <v>5510</v>
      </c>
      <c r="AP538" s="13" t="s">
        <v>15166</v>
      </c>
      <c r="AQ538" s="13" t="s">
        <v>5510</v>
      </c>
      <c r="AR538" s="13" t="s">
        <v>15153</v>
      </c>
      <c r="AS538" s="13" t="s">
        <v>15167</v>
      </c>
      <c r="AT538" s="13" t="s">
        <v>2514</v>
      </c>
      <c r="AU538" s="13">
        <v>2019.0</v>
      </c>
      <c r="AV538" s="13">
        <v>11.0</v>
      </c>
      <c r="AW538" s="13">
        <v>10.0</v>
      </c>
      <c r="AX538" s="13" t="s">
        <v>5510</v>
      </c>
      <c r="AY538" s="13" t="s">
        <v>5510</v>
      </c>
      <c r="AZ538" s="13" t="s">
        <v>5510</v>
      </c>
      <c r="BA538" s="13" t="s">
        <v>5510</v>
      </c>
      <c r="BB538" s="13" t="s">
        <v>5510</v>
      </c>
      <c r="BC538" s="13" t="s">
        <v>5510</v>
      </c>
      <c r="BD538" s="13">
        <v>192.0</v>
      </c>
      <c r="BE538" s="13" t="s">
        <v>15168</v>
      </c>
      <c r="BF538" s="52" t="str">
        <f>HYPERLINK("http://dx.doi.org/10.3390/d11100192","http://dx.doi.org/10.3390/d11100192")</f>
        <v>http://dx.doi.org/10.3390/d11100192</v>
      </c>
      <c r="BG538" s="13" t="s">
        <v>5510</v>
      </c>
      <c r="BH538" s="13" t="s">
        <v>5510</v>
      </c>
      <c r="BI538" s="13">
        <v>19.0</v>
      </c>
      <c r="BJ538" s="13" t="s">
        <v>5958</v>
      </c>
      <c r="BK538" s="13" t="s">
        <v>5561</v>
      </c>
      <c r="BL538" s="13" t="s">
        <v>5699</v>
      </c>
      <c r="BM538" s="13" t="s">
        <v>15169</v>
      </c>
      <c r="BN538" s="13" t="s">
        <v>5510</v>
      </c>
      <c r="BO538" s="13" t="s">
        <v>5564</v>
      </c>
      <c r="BP538" s="13" t="s">
        <v>5510</v>
      </c>
      <c r="BQ538" s="13" t="s">
        <v>5510</v>
      </c>
      <c r="BR538" s="13" t="s">
        <v>5538</v>
      </c>
      <c r="BS538" s="13" t="s">
        <v>15170</v>
      </c>
      <c r="BT538" s="13">
        <v>25944.0</v>
      </c>
      <c r="BU538" s="13" t="s">
        <v>5540</v>
      </c>
      <c r="BV538" s="13" t="s">
        <v>4856</v>
      </c>
      <c r="BW538" s="13" t="str">
        <f>VLOOKUP($BT538,Enriched!$A$2:$E$1070,5,false)</f>
        <v>["Invasive &amp; other problematic species, genes &amp; diseases"]</v>
      </c>
      <c r="BX538" s="13" t="str">
        <f>VLOOKUP($BT538,Enriched!$A$2:$E$1070,4,false)</f>
        <v>["Invasive non-native/alien species/diseases"]</v>
      </c>
      <c r="BY538" s="13" t="b">
        <f>VLOOKUP(BT538,Enriched!$A$1:$AA$1070,27,falsE)</f>
        <v>0</v>
      </c>
      <c r="BZ538" s="2" t="str">
        <f>VLOOKUP(BT538,Enriched!$A$1:$AA$1070,14,falsE)</f>
        <v>level2</v>
      </c>
      <c r="CA538" s="13" t="str">
        <f>HYPERLINK("https%3A%2F%2Fwww.webofscience.com%2Fwos%2Fwoscc%2Ffull-record%2FWOS:000494425500023","View Full Record in Web of Science")</f>
        <v>View Full Record in Web of Science</v>
      </c>
    </row>
    <row r="539" ht="12.75" customHeight="1">
      <c r="A539" s="13" t="s">
        <v>5508</v>
      </c>
      <c r="B539" s="13" t="s">
        <v>15171</v>
      </c>
      <c r="C539" s="13" t="s">
        <v>5510</v>
      </c>
      <c r="D539" s="13" t="s">
        <v>5510</v>
      </c>
      <c r="E539" s="13" t="s">
        <v>5510</v>
      </c>
      <c r="F539" s="13" t="s">
        <v>15172</v>
      </c>
      <c r="G539" s="13" t="s">
        <v>5510</v>
      </c>
      <c r="H539" s="13" t="s">
        <v>5510</v>
      </c>
      <c r="I539" s="13" t="s">
        <v>1376</v>
      </c>
      <c r="J539" s="13" t="s">
        <v>7857</v>
      </c>
      <c r="K539" s="13" t="s">
        <v>5510</v>
      </c>
      <c r="L539" s="13" t="s">
        <v>5510</v>
      </c>
      <c r="M539" s="13" t="s">
        <v>5513</v>
      </c>
      <c r="N539" s="13" t="s">
        <v>5514</v>
      </c>
      <c r="O539" s="13" t="s">
        <v>5510</v>
      </c>
      <c r="P539" s="13" t="s">
        <v>5510</v>
      </c>
      <c r="Q539" s="13" t="s">
        <v>5510</v>
      </c>
      <c r="R539" s="13" t="s">
        <v>5510</v>
      </c>
      <c r="S539" s="13" t="s">
        <v>5510</v>
      </c>
      <c r="T539" s="13" t="s">
        <v>15173</v>
      </c>
      <c r="U539" s="13" t="s">
        <v>15174</v>
      </c>
      <c r="V539" s="13" t="s">
        <v>15175</v>
      </c>
      <c r="W539" s="13" t="s">
        <v>15176</v>
      </c>
      <c r="X539" s="13" t="s">
        <v>15177</v>
      </c>
      <c r="Y539" s="13" t="s">
        <v>15178</v>
      </c>
      <c r="Z539" s="13" t="s">
        <v>15179</v>
      </c>
      <c r="AA539" s="13" t="s">
        <v>15180</v>
      </c>
      <c r="AB539" s="13" t="s">
        <v>15181</v>
      </c>
      <c r="AC539" s="13" t="s">
        <v>15182</v>
      </c>
      <c r="AD539" s="13" t="s">
        <v>15182</v>
      </c>
      <c r="AE539" s="13" t="s">
        <v>15183</v>
      </c>
      <c r="AF539" s="13" t="s">
        <v>5510</v>
      </c>
      <c r="AG539" s="13">
        <v>65.0</v>
      </c>
      <c r="AH539" s="13">
        <v>175.0</v>
      </c>
      <c r="AI539" s="13">
        <v>190.0</v>
      </c>
      <c r="AJ539" s="13">
        <v>3.0</v>
      </c>
      <c r="AK539" s="13">
        <v>102.0</v>
      </c>
      <c r="AL539" s="13" t="s">
        <v>5527</v>
      </c>
      <c r="AM539" s="13" t="s">
        <v>5528</v>
      </c>
      <c r="AN539" s="13" t="s">
        <v>5529</v>
      </c>
      <c r="AO539" s="13" t="s">
        <v>7870</v>
      </c>
      <c r="AP539" s="13" t="s">
        <v>7871</v>
      </c>
      <c r="AQ539" s="13" t="s">
        <v>5510</v>
      </c>
      <c r="AR539" s="13" t="s">
        <v>7872</v>
      </c>
      <c r="AS539" s="13" t="s">
        <v>7873</v>
      </c>
      <c r="AT539" s="13" t="s">
        <v>5866</v>
      </c>
      <c r="AU539" s="13">
        <v>2012.0</v>
      </c>
      <c r="AV539" s="13">
        <v>18.0</v>
      </c>
      <c r="AW539" s="13">
        <v>5.0</v>
      </c>
      <c r="AX539" s="13" t="s">
        <v>5510</v>
      </c>
      <c r="AY539" s="13" t="s">
        <v>5510</v>
      </c>
      <c r="AZ539" s="13" t="s">
        <v>5510</v>
      </c>
      <c r="BA539" s="13" t="s">
        <v>5510</v>
      </c>
      <c r="BB539" s="13">
        <v>1549.0</v>
      </c>
      <c r="BC539" s="13">
        <v>1560.0</v>
      </c>
      <c r="BD539" s="13" t="s">
        <v>5510</v>
      </c>
      <c r="BE539" s="13" t="s">
        <v>15184</v>
      </c>
      <c r="BF539" s="52" t="str">
        <f>HYPERLINK("http://dx.doi.org/10.1111/j.1365-2486.2011.02608.x","http://dx.doi.org/10.1111/j.1365-2486.2011.02608.x")</f>
        <v>http://dx.doi.org/10.1111/j.1365-2486.2011.02608.x</v>
      </c>
      <c r="BG539" s="13" t="s">
        <v>5510</v>
      </c>
      <c r="BH539" s="13" t="s">
        <v>5510</v>
      </c>
      <c r="BI539" s="13">
        <v>12.0</v>
      </c>
      <c r="BJ539" s="13" t="s">
        <v>5698</v>
      </c>
      <c r="BK539" s="13" t="s">
        <v>5561</v>
      </c>
      <c r="BL539" s="13" t="s">
        <v>5699</v>
      </c>
      <c r="BM539" s="13" t="s">
        <v>15185</v>
      </c>
      <c r="BN539" s="13" t="s">
        <v>5510</v>
      </c>
      <c r="BO539" s="13" t="s">
        <v>5510</v>
      </c>
      <c r="BP539" s="13" t="s">
        <v>5510</v>
      </c>
      <c r="BQ539" s="13" t="s">
        <v>5510</v>
      </c>
      <c r="BR539" s="13" t="s">
        <v>5538</v>
      </c>
      <c r="BS539" s="13" t="s">
        <v>15186</v>
      </c>
      <c r="BT539" s="13">
        <v>23074.0</v>
      </c>
      <c r="BU539" s="13" t="s">
        <v>5540</v>
      </c>
      <c r="BV539" s="13" t="s">
        <v>4852</v>
      </c>
      <c r="BW539" s="13" t="str">
        <f>VLOOKUP($BT539,Enriched!$A$2:$E$1070,5,false)</f>
        <v>["Climate Change &amp; Severe Weather"]</v>
      </c>
      <c r="BX539" s="13" t="str">
        <f>VLOOKUP($BT539,Enriched!$A$2:$E$1070,4,false)</f>
        <v>["Temperature extremes"]</v>
      </c>
      <c r="BY539" s="13" t="b">
        <f>VLOOKUP(BT539,Enriched!$A$1:$AA$1070,27,falsE)</f>
        <v>0</v>
      </c>
      <c r="BZ539" s="2" t="str">
        <f>VLOOKUP(BT539,Enriched!$A$1:$AA$1070,14,falsE)</f>
        <v>level2</v>
      </c>
      <c r="CA539" s="13" t="str">
        <f>HYPERLINK("https%3A%2F%2Fwww.webofscience.com%2Fwos%2Fwoscc%2Ffull-record%2FWOS:000302543500008","View Full Record in Web of Science")</f>
        <v>View Full Record in Web of Science</v>
      </c>
    </row>
    <row r="540" ht="12.75" customHeight="1">
      <c r="A540" s="13" t="s">
        <v>5508</v>
      </c>
      <c r="B540" s="13" t="s">
        <v>15187</v>
      </c>
      <c r="C540" s="13" t="s">
        <v>5510</v>
      </c>
      <c r="D540" s="13" t="s">
        <v>5510</v>
      </c>
      <c r="E540" s="13" t="s">
        <v>5510</v>
      </c>
      <c r="F540" s="13" t="s">
        <v>15188</v>
      </c>
      <c r="G540" s="13" t="s">
        <v>5510</v>
      </c>
      <c r="H540" s="13" t="s">
        <v>5510</v>
      </c>
      <c r="I540" s="13" t="s">
        <v>1374</v>
      </c>
      <c r="J540" s="13" t="s">
        <v>10883</v>
      </c>
      <c r="K540" s="13" t="s">
        <v>5510</v>
      </c>
      <c r="L540" s="13" t="s">
        <v>5510</v>
      </c>
      <c r="M540" s="13" t="s">
        <v>5513</v>
      </c>
      <c r="N540" s="13" t="s">
        <v>5514</v>
      </c>
      <c r="O540" s="13" t="s">
        <v>5510</v>
      </c>
      <c r="P540" s="13" t="s">
        <v>5510</v>
      </c>
      <c r="Q540" s="13" t="s">
        <v>5510</v>
      </c>
      <c r="R540" s="13" t="s">
        <v>5510</v>
      </c>
      <c r="S540" s="13" t="s">
        <v>5510</v>
      </c>
      <c r="T540" s="13" t="s">
        <v>15189</v>
      </c>
      <c r="U540" s="13" t="s">
        <v>15190</v>
      </c>
      <c r="V540" s="13" t="s">
        <v>15191</v>
      </c>
      <c r="W540" s="13" t="s">
        <v>15192</v>
      </c>
      <c r="X540" s="13" t="s">
        <v>15193</v>
      </c>
      <c r="Y540" s="13" t="s">
        <v>15194</v>
      </c>
      <c r="Z540" s="13" t="s">
        <v>15195</v>
      </c>
      <c r="AA540" s="13" t="s">
        <v>15196</v>
      </c>
      <c r="AB540" s="13" t="s">
        <v>15197</v>
      </c>
      <c r="AC540" s="13" t="s">
        <v>15198</v>
      </c>
      <c r="AD540" s="13" t="s">
        <v>15199</v>
      </c>
      <c r="AE540" s="13" t="s">
        <v>15200</v>
      </c>
      <c r="AF540" s="13" t="s">
        <v>5510</v>
      </c>
      <c r="AG540" s="13">
        <v>64.0</v>
      </c>
      <c r="AH540" s="13">
        <v>250.0</v>
      </c>
      <c r="AI540" s="13">
        <v>294.0</v>
      </c>
      <c r="AJ540" s="13">
        <v>3.0</v>
      </c>
      <c r="AK540" s="13">
        <v>290.0</v>
      </c>
      <c r="AL540" s="13" t="s">
        <v>9186</v>
      </c>
      <c r="AM540" s="13" t="s">
        <v>6046</v>
      </c>
      <c r="AN540" s="13" t="s">
        <v>9187</v>
      </c>
      <c r="AO540" s="13" t="s">
        <v>10896</v>
      </c>
      <c r="AP540" s="13" t="s">
        <v>10897</v>
      </c>
      <c r="AQ540" s="13" t="s">
        <v>5510</v>
      </c>
      <c r="AR540" s="13" t="s">
        <v>10898</v>
      </c>
      <c r="AS540" s="13" t="s">
        <v>10899</v>
      </c>
      <c r="AT540" s="13" t="s">
        <v>15060</v>
      </c>
      <c r="AU540" s="13">
        <v>2014.0</v>
      </c>
      <c r="AV540" s="13">
        <v>281.0</v>
      </c>
      <c r="AW540" s="13">
        <v>1789.0</v>
      </c>
      <c r="AX540" s="13" t="s">
        <v>5510</v>
      </c>
      <c r="AY540" s="13" t="s">
        <v>5510</v>
      </c>
      <c r="AZ540" s="13" t="s">
        <v>5510</v>
      </c>
      <c r="BA540" s="13" t="s">
        <v>5510</v>
      </c>
      <c r="BB540" s="13" t="s">
        <v>5510</v>
      </c>
      <c r="BC540" s="13" t="s">
        <v>5510</v>
      </c>
      <c r="BD540" s="13">
        <v>2.0141097E7</v>
      </c>
      <c r="BE540" s="13" t="s">
        <v>15201</v>
      </c>
      <c r="BF540" s="52" t="str">
        <f>HYPERLINK("http://dx.doi.org/10.1098/rspb.2014.1097","http://dx.doi.org/10.1098/rspb.2014.1097")</f>
        <v>http://dx.doi.org/10.1098/rspb.2014.1097</v>
      </c>
      <c r="BG540" s="13" t="s">
        <v>5510</v>
      </c>
      <c r="BH540" s="13" t="s">
        <v>5510</v>
      </c>
      <c r="BI540" s="13">
        <v>8.0</v>
      </c>
      <c r="BJ540" s="13" t="s">
        <v>9194</v>
      </c>
      <c r="BK540" s="13" t="s">
        <v>5561</v>
      </c>
      <c r="BL540" s="13" t="s">
        <v>9195</v>
      </c>
      <c r="BM540" s="13" t="s">
        <v>15202</v>
      </c>
      <c r="BN540" s="13">
        <v>2.5009066E7</v>
      </c>
      <c r="BO540" s="13" t="s">
        <v>5587</v>
      </c>
      <c r="BP540" s="13" t="s">
        <v>5510</v>
      </c>
      <c r="BQ540" s="13" t="s">
        <v>5510</v>
      </c>
      <c r="BR540" s="13" t="s">
        <v>5538</v>
      </c>
      <c r="BS540" s="13" t="s">
        <v>15203</v>
      </c>
      <c r="BT540" s="13">
        <v>24381.0</v>
      </c>
      <c r="BU540" s="13" t="s">
        <v>5540</v>
      </c>
      <c r="BV540" s="13" t="s">
        <v>4856</v>
      </c>
      <c r="BW540" s="13" t="str">
        <f>VLOOKUP($BT540,Enriched!$A$2:$E$1070,5,false)</f>
        <v>["Climate Change &amp; Severe Weather"]</v>
      </c>
      <c r="BX540" s="13" t="str">
        <f>VLOOKUP($BT540,Enriched!$A$2:$E$1070,4,false)</f>
        <v>["Temperature extremes"]</v>
      </c>
      <c r="BY540" s="13" t="b">
        <f>VLOOKUP(BT540,Enriched!$A$1:$AA$1070,27,falsE)</f>
        <v>0</v>
      </c>
      <c r="BZ540" s="2" t="str">
        <f>VLOOKUP(BT540,Enriched!$A$1:$AA$1070,14,falsE)</f>
        <v>level2</v>
      </c>
      <c r="CA540" s="13" t="str">
        <f>HYPERLINK("https%3A%2F%2Fwww.webofscience.com%2Fwos%2Fwoscc%2Ffull-record%2FWOS:000339164400027","View Full Record in Web of Science")</f>
        <v>View Full Record in Web of Science</v>
      </c>
    </row>
    <row r="541" ht="12.75" customHeight="1">
      <c r="A541" s="13" t="s">
        <v>5508</v>
      </c>
      <c r="B541" s="13" t="s">
        <v>15204</v>
      </c>
      <c r="C541" s="13" t="s">
        <v>5510</v>
      </c>
      <c r="D541" s="13" t="s">
        <v>5510</v>
      </c>
      <c r="E541" s="13" t="s">
        <v>5510</v>
      </c>
      <c r="F541" s="13" t="s">
        <v>15205</v>
      </c>
      <c r="G541" s="13" t="s">
        <v>5510</v>
      </c>
      <c r="H541" s="13" t="s">
        <v>5510</v>
      </c>
      <c r="I541" s="13" t="s">
        <v>1371</v>
      </c>
      <c r="J541" s="13" t="s">
        <v>7857</v>
      </c>
      <c r="K541" s="13" t="s">
        <v>5510</v>
      </c>
      <c r="L541" s="13" t="s">
        <v>5510</v>
      </c>
      <c r="M541" s="13" t="s">
        <v>5513</v>
      </c>
      <c r="N541" s="13" t="s">
        <v>5514</v>
      </c>
      <c r="O541" s="13" t="s">
        <v>5510</v>
      </c>
      <c r="P541" s="13" t="s">
        <v>5510</v>
      </c>
      <c r="Q541" s="13" t="s">
        <v>5510</v>
      </c>
      <c r="R541" s="13" t="s">
        <v>5510</v>
      </c>
      <c r="S541" s="13" t="s">
        <v>5510</v>
      </c>
      <c r="T541" s="13" t="s">
        <v>15206</v>
      </c>
      <c r="U541" s="13" t="s">
        <v>15207</v>
      </c>
      <c r="V541" s="13" t="s">
        <v>15208</v>
      </c>
      <c r="W541" s="13" t="s">
        <v>15209</v>
      </c>
      <c r="X541" s="13" t="s">
        <v>15210</v>
      </c>
      <c r="Y541" s="13" t="s">
        <v>15211</v>
      </c>
      <c r="Z541" s="13" t="s">
        <v>15212</v>
      </c>
      <c r="AA541" s="13" t="s">
        <v>15213</v>
      </c>
      <c r="AB541" s="13" t="s">
        <v>15214</v>
      </c>
      <c r="AC541" s="13" t="s">
        <v>15215</v>
      </c>
      <c r="AD541" s="13" t="s">
        <v>15216</v>
      </c>
      <c r="AE541" s="13" t="s">
        <v>15217</v>
      </c>
      <c r="AF541" s="13" t="s">
        <v>5510</v>
      </c>
      <c r="AG541" s="13">
        <v>78.0</v>
      </c>
      <c r="AH541" s="13">
        <v>40.0</v>
      </c>
      <c r="AI541" s="13">
        <v>43.0</v>
      </c>
      <c r="AJ541" s="13">
        <v>0.0</v>
      </c>
      <c r="AK541" s="13">
        <v>57.0</v>
      </c>
      <c r="AL541" s="13" t="s">
        <v>5527</v>
      </c>
      <c r="AM541" s="13" t="s">
        <v>5528</v>
      </c>
      <c r="AN541" s="13" t="s">
        <v>5529</v>
      </c>
      <c r="AO541" s="13" t="s">
        <v>7870</v>
      </c>
      <c r="AP541" s="13" t="s">
        <v>7871</v>
      </c>
      <c r="AQ541" s="13" t="s">
        <v>5510</v>
      </c>
      <c r="AR541" s="13" t="s">
        <v>7872</v>
      </c>
      <c r="AS541" s="13" t="s">
        <v>7873</v>
      </c>
      <c r="AT541" s="13" t="s">
        <v>6175</v>
      </c>
      <c r="AU541" s="13">
        <v>2020.0</v>
      </c>
      <c r="AV541" s="13">
        <v>26.0</v>
      </c>
      <c r="AW541" s="13">
        <v>8.0</v>
      </c>
      <c r="AX541" s="13" t="s">
        <v>5510</v>
      </c>
      <c r="AY541" s="13" t="s">
        <v>5510</v>
      </c>
      <c r="AZ541" s="13" t="s">
        <v>5510</v>
      </c>
      <c r="BA541" s="13" t="s">
        <v>5510</v>
      </c>
      <c r="BB541" s="13">
        <v>4251.0</v>
      </c>
      <c r="BC541" s="13">
        <v>4262.0</v>
      </c>
      <c r="BD541" s="13" t="s">
        <v>5510</v>
      </c>
      <c r="BE541" s="13" t="s">
        <v>15218</v>
      </c>
      <c r="BF541" s="52" t="str">
        <f>HYPERLINK("http://dx.doi.org/10.1111/gcb.15135","http://dx.doi.org/10.1111/gcb.15135")</f>
        <v>http://dx.doi.org/10.1111/gcb.15135</v>
      </c>
      <c r="BG541" s="13" t="s">
        <v>5510</v>
      </c>
      <c r="BH541" s="13" t="s">
        <v>11809</v>
      </c>
      <c r="BI541" s="13">
        <v>12.0</v>
      </c>
      <c r="BJ541" s="13" t="s">
        <v>5698</v>
      </c>
      <c r="BK541" s="13" t="s">
        <v>5561</v>
      </c>
      <c r="BL541" s="13" t="s">
        <v>5699</v>
      </c>
      <c r="BM541" s="13" t="s">
        <v>15219</v>
      </c>
      <c r="BN541" s="13">
        <v>3.2338813E7</v>
      </c>
      <c r="BO541" s="13" t="s">
        <v>5510</v>
      </c>
      <c r="BP541" s="13" t="s">
        <v>5510</v>
      </c>
      <c r="BQ541" s="13" t="s">
        <v>5510</v>
      </c>
      <c r="BR541" s="13" t="s">
        <v>5538</v>
      </c>
      <c r="BS541" s="13" t="s">
        <v>15220</v>
      </c>
      <c r="BT541" s="13">
        <v>25908.0</v>
      </c>
      <c r="BU541" s="13" t="s">
        <v>5540</v>
      </c>
      <c r="BV541" s="13" t="s">
        <v>4856</v>
      </c>
      <c r="BW541" s="13" t="str">
        <f>VLOOKUP($BT541,Enriched!$A$2:$E$1070,5,false)</f>
        <v>["Agriculture &amp; Aquaculture", "Biological Resource Use"]</v>
      </c>
      <c r="BX541" s="13" t="str">
        <f>VLOOKUP($BT541,Enriched!$A$2:$E$1070,4,false)</f>
        <v>["Housing &amp; urban area", "Logging &amp; wood harvesting"]</v>
      </c>
      <c r="BY541" s="13" t="b">
        <f>VLOOKUP(BT541,Enriched!$A$1:$AA$1070,27,falsE)</f>
        <v>1</v>
      </c>
      <c r="BZ541" s="2" t="str">
        <f>VLOOKUP(BT541,Enriched!$A$1:$AA$1070,14,falsE)</f>
        <v>level2</v>
      </c>
      <c r="CA541" s="13" t="str">
        <f>HYPERLINK("https%3A%2F%2Fwww.webofscience.com%2Fwos%2Fwoscc%2Ffull-record%2FWOS:000535629300001","View Full Record in Web of Science")</f>
        <v>View Full Record in Web of Science</v>
      </c>
    </row>
    <row r="542" ht="12.75" customHeight="1">
      <c r="A542" s="13" t="s">
        <v>5508</v>
      </c>
      <c r="B542" s="13" t="s">
        <v>15221</v>
      </c>
      <c r="C542" s="13" t="s">
        <v>5510</v>
      </c>
      <c r="D542" s="13" t="s">
        <v>5510</v>
      </c>
      <c r="E542" s="13" t="s">
        <v>5510</v>
      </c>
      <c r="F542" s="13" t="s">
        <v>15222</v>
      </c>
      <c r="G542" s="13" t="s">
        <v>5510</v>
      </c>
      <c r="H542" s="13" t="s">
        <v>5510</v>
      </c>
      <c r="I542" s="2" t="s">
        <v>1368</v>
      </c>
      <c r="J542" s="13" t="s">
        <v>15223</v>
      </c>
      <c r="K542" s="13" t="s">
        <v>5510</v>
      </c>
      <c r="L542" s="13" t="s">
        <v>5510</v>
      </c>
      <c r="M542" s="13" t="s">
        <v>5513</v>
      </c>
      <c r="N542" s="13" t="s">
        <v>6168</v>
      </c>
      <c r="O542" s="13" t="s">
        <v>5510</v>
      </c>
      <c r="P542" s="13" t="s">
        <v>5510</v>
      </c>
      <c r="Q542" s="13" t="s">
        <v>5510</v>
      </c>
      <c r="R542" s="13" t="s">
        <v>5510</v>
      </c>
      <c r="S542" s="13" t="s">
        <v>5510</v>
      </c>
      <c r="T542" s="13" t="s">
        <v>5510</v>
      </c>
      <c r="U542" s="13" t="s">
        <v>5510</v>
      </c>
      <c r="V542" s="13" t="s">
        <v>5510</v>
      </c>
      <c r="W542" s="13" t="s">
        <v>5510</v>
      </c>
      <c r="X542" s="13" t="s">
        <v>5510</v>
      </c>
      <c r="Y542" s="13" t="s">
        <v>5510</v>
      </c>
      <c r="Z542" s="13" t="s">
        <v>5510</v>
      </c>
      <c r="AA542" s="13" t="s">
        <v>15224</v>
      </c>
      <c r="AB542" s="13" t="s">
        <v>15225</v>
      </c>
      <c r="AC542" s="13" t="s">
        <v>5510</v>
      </c>
      <c r="AD542" s="13" t="s">
        <v>5510</v>
      </c>
      <c r="AE542" s="13" t="s">
        <v>5510</v>
      </c>
      <c r="AF542" s="13" t="s">
        <v>5510</v>
      </c>
      <c r="AG542" s="13">
        <v>1.0</v>
      </c>
      <c r="AH542" s="13">
        <v>91.0</v>
      </c>
      <c r="AI542" s="13">
        <v>103.0</v>
      </c>
      <c r="AJ542" s="13">
        <v>10.0</v>
      </c>
      <c r="AK542" s="13">
        <v>452.0</v>
      </c>
      <c r="AL542" s="13" t="s">
        <v>8937</v>
      </c>
      <c r="AM542" s="13" t="s">
        <v>6046</v>
      </c>
      <c r="AN542" s="13" t="s">
        <v>8938</v>
      </c>
      <c r="AO542" s="13" t="s">
        <v>15226</v>
      </c>
      <c r="AP542" s="13" t="s">
        <v>5510</v>
      </c>
      <c r="AQ542" s="13" t="s">
        <v>5510</v>
      </c>
      <c r="AR542" s="13" t="s">
        <v>15223</v>
      </c>
      <c r="AS542" s="13" t="s">
        <v>1362</v>
      </c>
      <c r="AT542" s="13" t="s">
        <v>10397</v>
      </c>
      <c r="AU542" s="13">
        <v>2010.0</v>
      </c>
      <c r="AV542" s="13">
        <v>468.0</v>
      </c>
      <c r="AW542" s="13">
        <v>7321.0</v>
      </c>
      <c r="AX542" s="13" t="s">
        <v>5510</v>
      </c>
      <c r="AY542" s="13" t="s">
        <v>5510</v>
      </c>
      <c r="AZ542" s="13" t="s">
        <v>5510</v>
      </c>
      <c r="BA542" s="13" t="s">
        <v>5510</v>
      </c>
      <c r="BB542" s="13">
        <v>334.0</v>
      </c>
      <c r="BC542" s="13">
        <v>334.0</v>
      </c>
      <c r="BD542" s="13" t="s">
        <v>5510</v>
      </c>
      <c r="BE542" s="13" t="s">
        <v>15227</v>
      </c>
      <c r="BF542" s="52" t="str">
        <f>HYPERLINK("http://dx.doi.org/10.1038/nature09549","http://dx.doi.org/10.1038/nature09549")</f>
        <v>http://dx.doi.org/10.1038/nature09549</v>
      </c>
      <c r="BG542" s="13" t="s">
        <v>5510</v>
      </c>
      <c r="BH542" s="13" t="s">
        <v>5510</v>
      </c>
      <c r="BI542" s="13">
        <v>1.0</v>
      </c>
      <c r="BJ542" s="13" t="s">
        <v>5560</v>
      </c>
      <c r="BK542" s="13" t="s">
        <v>5561</v>
      </c>
      <c r="BL542" s="13" t="s">
        <v>5562</v>
      </c>
      <c r="BM542" s="13" t="s">
        <v>15228</v>
      </c>
      <c r="BN542" s="13" t="s">
        <v>5510</v>
      </c>
      <c r="BO542" s="13" t="s">
        <v>5809</v>
      </c>
      <c r="BP542" s="13" t="s">
        <v>5510</v>
      </c>
      <c r="BQ542" s="13" t="s">
        <v>5510</v>
      </c>
      <c r="BR542" s="13" t="s">
        <v>5538</v>
      </c>
      <c r="BS542" s="13" t="s">
        <v>15229</v>
      </c>
      <c r="BT542" s="13">
        <v>25936.0</v>
      </c>
      <c r="BU542" s="13" t="s">
        <v>5540</v>
      </c>
      <c r="BV542" s="13" t="s">
        <v>4852</v>
      </c>
      <c r="BW542" s="13" t="str">
        <f>VLOOKUP($BT542,Enriched!$A$2:$E$1070,5,false)</f>
        <v>["Agriculture &amp; Aquaculture", "Residential &amp; Commercial Development", "Pollution", "Natural System Modifications", "Invasive &amp; Other Problematic Species, Genes &amp; Diseases", "Biological Resource Use"]</v>
      </c>
      <c r="BX542" s="13" t="str">
        <f>VLOOKUP($BT542,Enriched!$A$2:$E$1070,4,false)</f>
        <v>["Annual &amp; perennial non-timber crops", "Livestock farming &amp; ranching", "Agricultural &amp; forestry effluents", "Industrial &amp; military effluents", "Excess energy", "Air-borne pollutants", "Dams &amp; water management/use", "Invasive non-native/alien species/diseases", "Marine &amp; freshwater aquaculture", "Fishing &amp; harvesting aquatic resources"]</v>
      </c>
      <c r="BY542" s="13" t="b">
        <f>VLOOKUP(BT542,Enriched!$A$1:$AA$1070,27,falsE)</f>
        <v>1</v>
      </c>
      <c r="BZ542" s="2" t="str">
        <f>VLOOKUP(BT542,Enriched!$A$1:$AA$1070,14,falsE)</f>
        <v>cumulative</v>
      </c>
      <c r="CA542" s="13" t="str">
        <f>HYPERLINK("https%3A%2F%2Fwww.webofscience.com%2Fwos%2Fwoscc%2Ffull-record%2FWOS:000284051000057","View Full Record in Web of Science")</f>
        <v>View Full Record in Web of Science</v>
      </c>
    </row>
    <row r="543" ht="12.75" customHeight="1">
      <c r="A543" s="13" t="s">
        <v>5508</v>
      </c>
      <c r="B543" s="13" t="s">
        <v>15221</v>
      </c>
      <c r="C543" s="13" t="s">
        <v>5510</v>
      </c>
      <c r="D543" s="13" t="s">
        <v>5510</v>
      </c>
      <c r="E543" s="13" t="s">
        <v>5510</v>
      </c>
      <c r="F543" s="13" t="s">
        <v>15222</v>
      </c>
      <c r="G543" s="13" t="s">
        <v>5510</v>
      </c>
      <c r="H543" s="13" t="s">
        <v>5510</v>
      </c>
      <c r="I543" s="13" t="s">
        <v>1368</v>
      </c>
      <c r="J543" s="13" t="s">
        <v>15223</v>
      </c>
      <c r="K543" s="13" t="s">
        <v>5510</v>
      </c>
      <c r="L543" s="13" t="s">
        <v>5510</v>
      </c>
      <c r="M543" s="13" t="s">
        <v>5513</v>
      </c>
      <c r="N543" s="13" t="s">
        <v>5514</v>
      </c>
      <c r="O543" s="13" t="s">
        <v>5510</v>
      </c>
      <c r="P543" s="13" t="s">
        <v>5510</v>
      </c>
      <c r="Q543" s="13" t="s">
        <v>5510</v>
      </c>
      <c r="R543" s="13" t="s">
        <v>5510</v>
      </c>
      <c r="S543" s="13" t="s">
        <v>5510</v>
      </c>
      <c r="T543" s="13" t="s">
        <v>5510</v>
      </c>
      <c r="U543" s="13" t="s">
        <v>15230</v>
      </c>
      <c r="V543" s="13" t="s">
        <v>15231</v>
      </c>
      <c r="W543" s="13" t="s">
        <v>15232</v>
      </c>
      <c r="X543" s="13" t="s">
        <v>15233</v>
      </c>
      <c r="Y543" s="13" t="s">
        <v>15234</v>
      </c>
      <c r="Z543" s="13" t="s">
        <v>15235</v>
      </c>
      <c r="AA543" s="13" t="s">
        <v>15236</v>
      </c>
      <c r="AB543" s="13" t="s">
        <v>15237</v>
      </c>
      <c r="AC543" s="13" t="s">
        <v>15238</v>
      </c>
      <c r="AD543" s="13" t="s">
        <v>15239</v>
      </c>
      <c r="AE543" s="13" t="s">
        <v>15240</v>
      </c>
      <c r="AF543" s="13" t="s">
        <v>5510</v>
      </c>
      <c r="AG543" s="13">
        <v>50.0</v>
      </c>
      <c r="AH543" s="13">
        <v>5337.0</v>
      </c>
      <c r="AI543" s="13">
        <v>6175.0</v>
      </c>
      <c r="AJ543" s="13">
        <v>84.0</v>
      </c>
      <c r="AK543" s="13">
        <v>3312.0</v>
      </c>
      <c r="AL543" s="13" t="s">
        <v>8807</v>
      </c>
      <c r="AM543" s="13" t="s">
        <v>8808</v>
      </c>
      <c r="AN543" s="13" t="s">
        <v>8809</v>
      </c>
      <c r="AO543" s="13" t="s">
        <v>15226</v>
      </c>
      <c r="AP543" s="13" t="s">
        <v>15241</v>
      </c>
      <c r="AQ543" s="13" t="s">
        <v>5510</v>
      </c>
      <c r="AR543" s="13" t="s">
        <v>15223</v>
      </c>
      <c r="AS543" s="13" t="s">
        <v>1362</v>
      </c>
      <c r="AT543" s="13" t="s">
        <v>1925</v>
      </c>
      <c r="AU543" s="13">
        <v>2010.0</v>
      </c>
      <c r="AV543" s="13">
        <v>467.0</v>
      </c>
      <c r="AW543" s="13">
        <v>7315.0</v>
      </c>
      <c r="AX543" s="13" t="s">
        <v>5510</v>
      </c>
      <c r="AY543" s="13" t="s">
        <v>5510</v>
      </c>
      <c r="AZ543" s="13" t="s">
        <v>5510</v>
      </c>
      <c r="BA543" s="13" t="s">
        <v>5510</v>
      </c>
      <c r="BB543" s="13">
        <v>555.0</v>
      </c>
      <c r="BC543" s="13">
        <v>561.0</v>
      </c>
      <c r="BD543" s="13" t="s">
        <v>5510</v>
      </c>
      <c r="BE543" s="13" t="s">
        <v>15242</v>
      </c>
      <c r="BF543" s="52" t="str">
        <f>HYPERLINK("http://dx.doi.org/10.1038/nature09440","http://dx.doi.org/10.1038/nature09440")</f>
        <v>http://dx.doi.org/10.1038/nature09440</v>
      </c>
      <c r="BG543" s="13" t="s">
        <v>5510</v>
      </c>
      <c r="BH543" s="13" t="s">
        <v>5510</v>
      </c>
      <c r="BI543" s="13">
        <v>7.0</v>
      </c>
      <c r="BJ543" s="13" t="s">
        <v>5560</v>
      </c>
      <c r="BK543" s="13" t="s">
        <v>5561</v>
      </c>
      <c r="BL543" s="13" t="s">
        <v>5562</v>
      </c>
      <c r="BM543" s="13" t="s">
        <v>15243</v>
      </c>
      <c r="BN543" s="13">
        <v>2.088201E7</v>
      </c>
      <c r="BO543" s="13" t="s">
        <v>5510</v>
      </c>
      <c r="BP543" s="13" t="s">
        <v>5510</v>
      </c>
      <c r="BQ543" s="13" t="s">
        <v>5510</v>
      </c>
      <c r="BR543" s="13" t="s">
        <v>5538</v>
      </c>
      <c r="BS543" s="13" t="s">
        <v>15244</v>
      </c>
      <c r="BT543" s="13">
        <v>25936.0</v>
      </c>
      <c r="BU543" s="13" t="s">
        <v>5540</v>
      </c>
      <c r="BV543" s="13" t="s">
        <v>4852</v>
      </c>
      <c r="BW543" s="13" t="str">
        <f>VLOOKUP($BT543,Enriched!$A$2:$E$1070,5,false)</f>
        <v>["Agriculture &amp; Aquaculture", "Residential &amp; Commercial Development", "Pollution", "Natural System Modifications", "Invasive &amp; Other Problematic Species, Genes &amp; Diseases", "Biological Resource Use"]</v>
      </c>
      <c r="BX543" s="13" t="str">
        <f>VLOOKUP($BT543,Enriched!$A$2:$E$1070,4,false)</f>
        <v>["Annual &amp; perennial non-timber crops", "Livestock farming &amp; ranching", "Agricultural &amp; forestry effluents", "Industrial &amp; military effluents", "Excess energy", "Air-borne pollutants", "Dams &amp; water management/use", "Invasive non-native/alien species/diseases", "Marine &amp; freshwater aquaculture", "Fishing &amp; harvesting aquatic resources"]</v>
      </c>
      <c r="BY543" s="13" t="b">
        <f>VLOOKUP(BT543,Enriched!$A$1:$AA$1070,27,falsE)</f>
        <v>1</v>
      </c>
      <c r="BZ543" s="2" t="str">
        <f>VLOOKUP(BT543,Enriched!$A$1:$AA$1070,14,falsE)</f>
        <v>cumulative</v>
      </c>
      <c r="CA543" s="13" t="str">
        <f>HYPERLINK("https%3A%2F%2Fwww.webofscience.com%2Fwos%2Fwoscc%2Ffull-record%2FWOS:000282273100031","View Full Record in Web of Science")</f>
        <v>View Full Record in Web of Science</v>
      </c>
    </row>
    <row r="544" ht="12.75" customHeight="1">
      <c r="A544" s="13" t="s">
        <v>5508</v>
      </c>
      <c r="B544" s="13" t="s">
        <v>15245</v>
      </c>
      <c r="C544" s="13" t="s">
        <v>5510</v>
      </c>
      <c r="D544" s="13" t="s">
        <v>5510</v>
      </c>
      <c r="E544" s="13" t="s">
        <v>5510</v>
      </c>
      <c r="F544" s="13" t="s">
        <v>15246</v>
      </c>
      <c r="G544" s="13" t="s">
        <v>5510</v>
      </c>
      <c r="H544" s="13" t="s">
        <v>5510</v>
      </c>
      <c r="I544" s="13" t="s">
        <v>1365</v>
      </c>
      <c r="J544" s="13" t="s">
        <v>15247</v>
      </c>
      <c r="K544" s="13" t="s">
        <v>5510</v>
      </c>
      <c r="L544" s="13" t="s">
        <v>5510</v>
      </c>
      <c r="M544" s="13" t="s">
        <v>5513</v>
      </c>
      <c r="N544" s="13" t="s">
        <v>5514</v>
      </c>
      <c r="O544" s="13" t="s">
        <v>5510</v>
      </c>
      <c r="P544" s="13" t="s">
        <v>5510</v>
      </c>
      <c r="Q544" s="13" t="s">
        <v>5510</v>
      </c>
      <c r="R544" s="13" t="s">
        <v>5510</v>
      </c>
      <c r="S544" s="13" t="s">
        <v>5510</v>
      </c>
      <c r="T544" s="13" t="s">
        <v>15248</v>
      </c>
      <c r="U544" s="13" t="s">
        <v>15249</v>
      </c>
      <c r="V544" s="13" t="s">
        <v>15250</v>
      </c>
      <c r="W544" s="13" t="s">
        <v>15251</v>
      </c>
      <c r="X544" s="13" t="s">
        <v>15252</v>
      </c>
      <c r="Y544" s="13" t="s">
        <v>15253</v>
      </c>
      <c r="Z544" s="13" t="s">
        <v>15254</v>
      </c>
      <c r="AA544" s="13" t="s">
        <v>15255</v>
      </c>
      <c r="AB544" s="13" t="s">
        <v>15256</v>
      </c>
      <c r="AC544" s="13" t="s">
        <v>15257</v>
      </c>
      <c r="AD544" s="13" t="s">
        <v>15257</v>
      </c>
      <c r="AE544" s="13" t="s">
        <v>15258</v>
      </c>
      <c r="AF544" s="13" t="s">
        <v>5510</v>
      </c>
      <c r="AG544" s="13">
        <v>80.0</v>
      </c>
      <c r="AH544" s="13">
        <v>16.0</v>
      </c>
      <c r="AI544" s="13">
        <v>17.0</v>
      </c>
      <c r="AJ544" s="13">
        <v>3.0</v>
      </c>
      <c r="AK544" s="13">
        <v>38.0</v>
      </c>
      <c r="AL544" s="13" t="s">
        <v>7450</v>
      </c>
      <c r="AM544" s="13" t="s">
        <v>6046</v>
      </c>
      <c r="AN544" s="13" t="s">
        <v>7451</v>
      </c>
      <c r="AO544" s="13" t="s">
        <v>15259</v>
      </c>
      <c r="AP544" s="13" t="s">
        <v>15260</v>
      </c>
      <c r="AQ544" s="13" t="s">
        <v>5510</v>
      </c>
      <c r="AR544" s="13" t="s">
        <v>15261</v>
      </c>
      <c r="AS544" s="13" t="s">
        <v>15262</v>
      </c>
      <c r="AT544" s="13" t="s">
        <v>1925</v>
      </c>
      <c r="AU544" s="13">
        <v>2018.0</v>
      </c>
      <c r="AV544" s="13">
        <v>156.0</v>
      </c>
      <c r="AW544" s="13" t="s">
        <v>5510</v>
      </c>
      <c r="AX544" s="13" t="s">
        <v>5510</v>
      </c>
      <c r="AY544" s="13" t="s">
        <v>5510</v>
      </c>
      <c r="AZ544" s="13" t="s">
        <v>5510</v>
      </c>
      <c r="BA544" s="13" t="s">
        <v>5510</v>
      </c>
      <c r="BB544" s="13">
        <v>77.0</v>
      </c>
      <c r="BC544" s="13">
        <v>86.0</v>
      </c>
      <c r="BD544" s="13" t="s">
        <v>5510</v>
      </c>
      <c r="BE544" s="13" t="s">
        <v>15263</v>
      </c>
      <c r="BF544" s="52" t="str">
        <f>HYPERLINK("http://dx.doi.org/10.1016/j.jaridenv.2018.05.006","http://dx.doi.org/10.1016/j.jaridenv.2018.05.006")</f>
        <v>http://dx.doi.org/10.1016/j.jaridenv.2018.05.006</v>
      </c>
      <c r="BG544" s="13" t="s">
        <v>5510</v>
      </c>
      <c r="BH544" s="13" t="s">
        <v>5510</v>
      </c>
      <c r="BI544" s="13">
        <v>10.0</v>
      </c>
      <c r="BJ544" s="13" t="s">
        <v>6026</v>
      </c>
      <c r="BK544" s="13" t="s">
        <v>5561</v>
      </c>
      <c r="BL544" s="13" t="s">
        <v>5535</v>
      </c>
      <c r="BM544" s="13" t="s">
        <v>15264</v>
      </c>
      <c r="BN544" s="13" t="s">
        <v>5510</v>
      </c>
      <c r="BO544" s="13" t="s">
        <v>5510</v>
      </c>
      <c r="BP544" s="13" t="s">
        <v>5510</v>
      </c>
      <c r="BQ544" s="13" t="s">
        <v>5510</v>
      </c>
      <c r="BR544" s="13" t="s">
        <v>5538</v>
      </c>
      <c r="BS544" s="13" t="s">
        <v>15265</v>
      </c>
      <c r="BT544" s="13">
        <v>24718.0</v>
      </c>
      <c r="BU544" s="13" t="s">
        <v>5540</v>
      </c>
      <c r="BV544" s="13" t="s">
        <v>4856</v>
      </c>
      <c r="BW544" s="13" t="str">
        <f>VLOOKUP($BT544,Enriched!$A$2:$E$1070,5,false)</f>
        <v>["Invasive &amp; other problematic species, genes &amp; diseases"]</v>
      </c>
      <c r="BX544" s="13" t="str">
        <f>VLOOKUP($BT544,Enriched!$A$2:$E$1070,4,false)</f>
        <v>["Invasive non-native/alien species/diseases"]</v>
      </c>
      <c r="BY544" s="13" t="b">
        <f>VLOOKUP(BT544,Enriched!$A$1:$AA$1070,27,falsE)</f>
        <v>0</v>
      </c>
      <c r="BZ544" s="2" t="str">
        <f>VLOOKUP(BT544,Enriched!$A$1:$AA$1070,14,falsE)</f>
        <v>level2</v>
      </c>
      <c r="CA544" s="13" t="str">
        <f>HYPERLINK("https%3A%2F%2Fwww.webofscience.com%2Fwos%2Fwoscc%2Ffull-record%2FWOS:000439682400010","View Full Record in Web of Science")</f>
        <v>View Full Record in Web of Science</v>
      </c>
    </row>
    <row r="545" ht="12.75" customHeight="1">
      <c r="A545" s="13" t="s">
        <v>5508</v>
      </c>
      <c r="B545" s="13" t="s">
        <v>15266</v>
      </c>
      <c r="C545" s="13" t="s">
        <v>5510</v>
      </c>
      <c r="D545" s="13" t="s">
        <v>5510</v>
      </c>
      <c r="E545" s="13" t="s">
        <v>5510</v>
      </c>
      <c r="F545" s="13" t="s">
        <v>15267</v>
      </c>
      <c r="G545" s="13" t="s">
        <v>5510</v>
      </c>
      <c r="H545" s="13" t="s">
        <v>5510</v>
      </c>
      <c r="I545" s="13" t="s">
        <v>1361</v>
      </c>
      <c r="J545" s="13" t="s">
        <v>15223</v>
      </c>
      <c r="K545" s="13" t="s">
        <v>5510</v>
      </c>
      <c r="L545" s="13" t="s">
        <v>5510</v>
      </c>
      <c r="M545" s="13" t="s">
        <v>5513</v>
      </c>
      <c r="N545" s="13" t="s">
        <v>5514</v>
      </c>
      <c r="O545" s="13" t="s">
        <v>5510</v>
      </c>
      <c r="P545" s="13" t="s">
        <v>5510</v>
      </c>
      <c r="Q545" s="13" t="s">
        <v>5510</v>
      </c>
      <c r="R545" s="13" t="s">
        <v>5510</v>
      </c>
      <c r="S545" s="13" t="s">
        <v>5510</v>
      </c>
      <c r="T545" s="13" t="s">
        <v>5510</v>
      </c>
      <c r="U545" s="13" t="s">
        <v>15268</v>
      </c>
      <c r="V545" s="13" t="s">
        <v>15269</v>
      </c>
      <c r="W545" s="13" t="s">
        <v>15270</v>
      </c>
      <c r="X545" s="13" t="s">
        <v>15271</v>
      </c>
      <c r="Y545" s="13" t="s">
        <v>15272</v>
      </c>
      <c r="Z545" s="13" t="s">
        <v>9180</v>
      </c>
      <c r="AA545" s="13" t="s">
        <v>15273</v>
      </c>
      <c r="AB545" s="13" t="s">
        <v>15274</v>
      </c>
      <c r="AC545" s="13" t="s">
        <v>15275</v>
      </c>
      <c r="AD545" s="13" t="s">
        <v>15276</v>
      </c>
      <c r="AE545" s="13" t="s">
        <v>15277</v>
      </c>
      <c r="AF545" s="13" t="s">
        <v>5510</v>
      </c>
      <c r="AG545" s="13">
        <v>48.0</v>
      </c>
      <c r="AH545" s="13">
        <v>326.0</v>
      </c>
      <c r="AI545" s="13">
        <v>348.0</v>
      </c>
      <c r="AJ545" s="13">
        <v>12.0</v>
      </c>
      <c r="AK545" s="13">
        <v>312.0</v>
      </c>
      <c r="AL545" s="13" t="s">
        <v>8807</v>
      </c>
      <c r="AM545" s="13" t="s">
        <v>8808</v>
      </c>
      <c r="AN545" s="13" t="s">
        <v>8809</v>
      </c>
      <c r="AO545" s="13" t="s">
        <v>15226</v>
      </c>
      <c r="AP545" s="13" t="s">
        <v>15241</v>
      </c>
      <c r="AQ545" s="13" t="s">
        <v>5510</v>
      </c>
      <c r="AR545" s="13" t="s">
        <v>15223</v>
      </c>
      <c r="AS545" s="13" t="s">
        <v>1362</v>
      </c>
      <c r="AT545" s="13" t="s">
        <v>15060</v>
      </c>
      <c r="AU545" s="13">
        <v>2019.0</v>
      </c>
      <c r="AV545" s="13">
        <v>572.0</v>
      </c>
      <c r="AW545" s="13">
        <v>7770.0</v>
      </c>
      <c r="AX545" s="13" t="s">
        <v>5510</v>
      </c>
      <c r="AY545" s="13" t="s">
        <v>5510</v>
      </c>
      <c r="AZ545" s="13" t="s">
        <v>5510</v>
      </c>
      <c r="BA545" s="13" t="s">
        <v>5510</v>
      </c>
      <c r="BB545" s="13">
        <v>461.0</v>
      </c>
      <c r="BC545" s="13" t="s">
        <v>9408</v>
      </c>
      <c r="BD545" s="13" t="s">
        <v>5510</v>
      </c>
      <c r="BE545" s="13" t="s">
        <v>15278</v>
      </c>
      <c r="BF545" s="52" t="str">
        <f>HYPERLINK("http://dx.doi.org/10.1038/s41586-019-1444-4","http://dx.doi.org/10.1038/s41586-019-1444-4")</f>
        <v>http://dx.doi.org/10.1038/s41586-019-1444-4</v>
      </c>
      <c r="BG545" s="13" t="s">
        <v>5510</v>
      </c>
      <c r="BH545" s="13" t="s">
        <v>5510</v>
      </c>
      <c r="BI545" s="13">
        <v>20.0</v>
      </c>
      <c r="BJ545" s="13" t="s">
        <v>5560</v>
      </c>
      <c r="BK545" s="13" t="s">
        <v>5534</v>
      </c>
      <c r="BL545" s="13" t="s">
        <v>5562</v>
      </c>
      <c r="BM545" s="13" t="s">
        <v>15279</v>
      </c>
      <c r="BN545" s="13">
        <v>3.1340216E7</v>
      </c>
      <c r="BO545" s="13" t="s">
        <v>6623</v>
      </c>
      <c r="BP545" s="13" t="s">
        <v>5510</v>
      </c>
      <c r="BQ545" s="13" t="s">
        <v>5510</v>
      </c>
      <c r="BR545" s="13" t="s">
        <v>5538</v>
      </c>
      <c r="BS545" s="13" t="s">
        <v>15280</v>
      </c>
      <c r="BT545" s="13">
        <v>25247.0</v>
      </c>
      <c r="BU545" s="13" t="s">
        <v>5540</v>
      </c>
      <c r="BV545" s="13" t="s">
        <v>4864</v>
      </c>
      <c r="BW545" s="13" t="str">
        <f>VLOOKUP($BT545,Enriched!$A$2:$E$1070,5,false)</f>
        <v>["Biological resource use"]</v>
      </c>
      <c r="BX545" s="13" t="str">
        <f>VLOOKUP($BT545,Enriched!$A$2:$E$1070,4,false)</f>
        <v>["Fishing &amp; harvesting aquatic resources"]</v>
      </c>
      <c r="BY545" s="13" t="b">
        <f>VLOOKUP(BT545,Enriched!$A$1:$AA$1070,27,falsE)</f>
        <v>0</v>
      </c>
      <c r="BZ545" s="2" t="str">
        <f>VLOOKUP(BT545,Enriched!$A$1:$AA$1070,14,falsE)</f>
        <v>level2</v>
      </c>
      <c r="CA545" s="13" t="str">
        <f>HYPERLINK("https%3A%2F%2Fwww.webofscience.com%2Fwos%2Fwoscc%2Ffull-record%2FWOS:000482219600033","View Full Record in Web of Science")</f>
        <v>View Full Record in Web of Science</v>
      </c>
    </row>
    <row r="546" ht="12.75" customHeight="1">
      <c r="A546" s="13" t="s">
        <v>5508</v>
      </c>
      <c r="B546" s="13" t="s">
        <v>15281</v>
      </c>
      <c r="C546" s="13" t="s">
        <v>5510</v>
      </c>
      <c r="D546" s="13" t="s">
        <v>5510</v>
      </c>
      <c r="E546" s="13" t="s">
        <v>5510</v>
      </c>
      <c r="F546" s="13" t="s">
        <v>15282</v>
      </c>
      <c r="G546" s="13" t="s">
        <v>5510</v>
      </c>
      <c r="H546" s="13" t="s">
        <v>5510</v>
      </c>
      <c r="I546" s="13" t="s">
        <v>1358</v>
      </c>
      <c r="J546" s="13" t="s">
        <v>12753</v>
      </c>
      <c r="K546" s="13" t="s">
        <v>5510</v>
      </c>
      <c r="L546" s="13" t="s">
        <v>5510</v>
      </c>
      <c r="M546" s="13" t="s">
        <v>5513</v>
      </c>
      <c r="N546" s="13" t="s">
        <v>5514</v>
      </c>
      <c r="O546" s="13" t="s">
        <v>5510</v>
      </c>
      <c r="P546" s="13" t="s">
        <v>5510</v>
      </c>
      <c r="Q546" s="13" t="s">
        <v>5510</v>
      </c>
      <c r="R546" s="13" t="s">
        <v>5510</v>
      </c>
      <c r="S546" s="13" t="s">
        <v>5510</v>
      </c>
      <c r="T546" s="13" t="s">
        <v>15283</v>
      </c>
      <c r="U546" s="13" t="s">
        <v>15284</v>
      </c>
      <c r="V546" s="13" t="s">
        <v>15285</v>
      </c>
      <c r="W546" s="13" t="s">
        <v>15286</v>
      </c>
      <c r="X546" s="13" t="s">
        <v>15287</v>
      </c>
      <c r="Y546" s="13" t="s">
        <v>12759</v>
      </c>
      <c r="Z546" s="13" t="s">
        <v>12760</v>
      </c>
      <c r="AA546" s="13" t="s">
        <v>15288</v>
      </c>
      <c r="AB546" s="13" t="s">
        <v>15289</v>
      </c>
      <c r="AC546" s="13" t="s">
        <v>15290</v>
      </c>
      <c r="AD546" s="13" t="s">
        <v>15291</v>
      </c>
      <c r="AE546" s="13" t="s">
        <v>15292</v>
      </c>
      <c r="AF546" s="13" t="s">
        <v>5510</v>
      </c>
      <c r="AG546" s="13">
        <v>22.0</v>
      </c>
      <c r="AH546" s="13">
        <v>82.0</v>
      </c>
      <c r="AI546" s="13">
        <v>89.0</v>
      </c>
      <c r="AJ546" s="13">
        <v>3.0</v>
      </c>
      <c r="AK546" s="13">
        <v>72.0</v>
      </c>
      <c r="AL546" s="13" t="s">
        <v>5527</v>
      </c>
      <c r="AM546" s="13" t="s">
        <v>5528</v>
      </c>
      <c r="AN546" s="13" t="s">
        <v>5529</v>
      </c>
      <c r="AO546" s="13" t="s">
        <v>12766</v>
      </c>
      <c r="AP546" s="13" t="s">
        <v>5510</v>
      </c>
      <c r="AQ546" s="13" t="s">
        <v>5510</v>
      </c>
      <c r="AR546" s="13" t="s">
        <v>12767</v>
      </c>
      <c r="AS546" s="13" t="s">
        <v>12768</v>
      </c>
      <c r="AT546" s="13" t="s">
        <v>6175</v>
      </c>
      <c r="AU546" s="13">
        <v>2009.0</v>
      </c>
      <c r="AV546" s="13">
        <v>2.0</v>
      </c>
      <c r="AW546" s="13">
        <v>4.0</v>
      </c>
      <c r="AX546" s="13" t="s">
        <v>5510</v>
      </c>
      <c r="AY546" s="13" t="s">
        <v>5510</v>
      </c>
      <c r="AZ546" s="13" t="s">
        <v>5510</v>
      </c>
      <c r="BA546" s="13" t="s">
        <v>5510</v>
      </c>
      <c r="BB546" s="13">
        <v>189.0</v>
      </c>
      <c r="BC546" s="13">
        <v>196.0</v>
      </c>
      <c r="BD546" s="13" t="s">
        <v>5510</v>
      </c>
      <c r="BE546" s="13" t="s">
        <v>15293</v>
      </c>
      <c r="BF546" s="52" t="str">
        <f>HYPERLINK("http://dx.doi.org/10.1111/j.1755-263X.2009.00060.x","http://dx.doi.org/10.1111/j.1755-263X.2009.00060.x")</f>
        <v>http://dx.doi.org/10.1111/j.1755-263X.2009.00060.x</v>
      </c>
      <c r="BG546" s="13" t="s">
        <v>5510</v>
      </c>
      <c r="BH546" s="13" t="s">
        <v>5510</v>
      </c>
      <c r="BI546" s="13">
        <v>8.0</v>
      </c>
      <c r="BJ546" s="13" t="s">
        <v>5648</v>
      </c>
      <c r="BK546" s="13" t="s">
        <v>5561</v>
      </c>
      <c r="BL546" s="13" t="s">
        <v>5650</v>
      </c>
      <c r="BM546" s="13" t="s">
        <v>15294</v>
      </c>
      <c r="BN546" s="13" t="s">
        <v>5510</v>
      </c>
      <c r="BO546" s="13" t="s">
        <v>6586</v>
      </c>
      <c r="BP546" s="13" t="s">
        <v>5510</v>
      </c>
      <c r="BQ546" s="13" t="s">
        <v>5510</v>
      </c>
      <c r="BR546" s="13" t="s">
        <v>5538</v>
      </c>
      <c r="BS546" s="13" t="s">
        <v>15295</v>
      </c>
      <c r="BT546" s="13">
        <v>24126.0</v>
      </c>
      <c r="BU546" s="13" t="s">
        <v>5540</v>
      </c>
      <c r="BV546" s="13" t="s">
        <v>4855</v>
      </c>
      <c r="BW546" s="13" t="str">
        <f>VLOOKUP($BT546,Enriched!$A$2:$E$1070,5,false)</f>
        <v>["Pollution", "Residential &amp; Commercial Development", "Human Intrusions &amp; Disturbance"]</v>
      </c>
      <c r="BX546" s="13" t="str">
        <f>VLOOKUP($BT546,Enriched!$A$2:$E$1070,4,false)</f>
        <v>["Agricultural &amp; forestry effluents", "Industrial &amp; military effluents", "Commercial &amp; industrial areas", "Work &amp; other activities"]</v>
      </c>
      <c r="BY546" s="13" t="b">
        <f>VLOOKUP(BT546,Enriched!$A$1:$AA$1070,27,falsE)</f>
        <v>0</v>
      </c>
      <c r="BZ546" s="2" t="str">
        <f>VLOOKUP(BT546,Enriched!$A$1:$AA$1070,14,falsE)</f>
        <v>cumulative</v>
      </c>
      <c r="CA546" s="13" t="str">
        <f>HYPERLINK("https%3A%2F%2Fwww.webofscience.com%2Fwos%2Fwoscc%2Ffull-record%2FWOS:000279223600006","View Full Record in Web of Science")</f>
        <v>View Full Record in Web of Science</v>
      </c>
    </row>
    <row r="547" ht="12.75" customHeight="1">
      <c r="A547" s="13" t="s">
        <v>5508</v>
      </c>
      <c r="B547" s="13" t="s">
        <v>15296</v>
      </c>
      <c r="C547" s="13" t="s">
        <v>5510</v>
      </c>
      <c r="D547" s="13" t="s">
        <v>5510</v>
      </c>
      <c r="E547" s="13" t="s">
        <v>5510</v>
      </c>
      <c r="F547" s="13" t="s">
        <v>15297</v>
      </c>
      <c r="G547" s="13" t="s">
        <v>5510</v>
      </c>
      <c r="H547" s="13" t="s">
        <v>5510</v>
      </c>
      <c r="I547" s="13" t="s">
        <v>1357</v>
      </c>
      <c r="J547" s="13" t="s">
        <v>8925</v>
      </c>
      <c r="K547" s="13" t="s">
        <v>5510</v>
      </c>
      <c r="L547" s="13" t="s">
        <v>5510</v>
      </c>
      <c r="M547" s="13" t="s">
        <v>5513</v>
      </c>
      <c r="N547" s="13" t="s">
        <v>5514</v>
      </c>
      <c r="O547" s="13" t="s">
        <v>5510</v>
      </c>
      <c r="P547" s="13" t="s">
        <v>5510</v>
      </c>
      <c r="Q547" s="13" t="s">
        <v>5510</v>
      </c>
      <c r="R547" s="13" t="s">
        <v>5510</v>
      </c>
      <c r="S547" s="13" t="s">
        <v>5510</v>
      </c>
      <c r="T547" s="13" t="s">
        <v>5510</v>
      </c>
      <c r="U547" s="13" t="s">
        <v>15298</v>
      </c>
      <c r="V547" s="13" t="s">
        <v>15299</v>
      </c>
      <c r="W547" s="13" t="s">
        <v>15300</v>
      </c>
      <c r="X547" s="13" t="s">
        <v>15301</v>
      </c>
      <c r="Y547" s="13" t="s">
        <v>15302</v>
      </c>
      <c r="Z547" s="13" t="s">
        <v>15303</v>
      </c>
      <c r="AA547" s="13" t="s">
        <v>15304</v>
      </c>
      <c r="AB547" s="13" t="s">
        <v>15305</v>
      </c>
      <c r="AC547" s="13" t="s">
        <v>15306</v>
      </c>
      <c r="AD547" s="13" t="s">
        <v>15307</v>
      </c>
      <c r="AE547" s="13" t="s">
        <v>15308</v>
      </c>
      <c r="AF547" s="13" t="s">
        <v>5510</v>
      </c>
      <c r="AG547" s="13">
        <v>72.0</v>
      </c>
      <c r="AH547" s="13">
        <v>86.0</v>
      </c>
      <c r="AI547" s="13">
        <v>91.0</v>
      </c>
      <c r="AJ547" s="13">
        <v>3.0</v>
      </c>
      <c r="AK547" s="13">
        <v>43.0</v>
      </c>
      <c r="AL547" s="13" t="s">
        <v>8807</v>
      </c>
      <c r="AM547" s="13" t="s">
        <v>8808</v>
      </c>
      <c r="AN547" s="13" t="s">
        <v>8809</v>
      </c>
      <c r="AO547" s="13" t="s">
        <v>5510</v>
      </c>
      <c r="AP547" s="13" t="s">
        <v>8939</v>
      </c>
      <c r="AQ547" s="13" t="s">
        <v>5510</v>
      </c>
      <c r="AR547" s="13" t="s">
        <v>8940</v>
      </c>
      <c r="AS547" s="13" t="s">
        <v>8941</v>
      </c>
      <c r="AT547" s="13" t="s">
        <v>11611</v>
      </c>
      <c r="AU547" s="13">
        <v>2020.0</v>
      </c>
      <c r="AV547" s="13">
        <v>11.0</v>
      </c>
      <c r="AW547" s="13">
        <v>1.0</v>
      </c>
      <c r="AX547" s="13" t="s">
        <v>5510</v>
      </c>
      <c r="AY547" s="13" t="s">
        <v>5510</v>
      </c>
      <c r="AZ547" s="13" t="s">
        <v>5510</v>
      </c>
      <c r="BA547" s="13" t="s">
        <v>5510</v>
      </c>
      <c r="BB547" s="13" t="s">
        <v>5510</v>
      </c>
      <c r="BC547" s="13" t="s">
        <v>5510</v>
      </c>
      <c r="BD547" s="13" t="s">
        <v>5510</v>
      </c>
      <c r="BE547" s="13" t="s">
        <v>15309</v>
      </c>
      <c r="BF547" s="52" t="str">
        <f>HYPERLINK("http://dx.doi.org/10.1038/s41467-020-16410-6","http://dx.doi.org/10.1038/s41467-020-16410-6")</f>
        <v>http://dx.doi.org/10.1038/s41467-020-16410-6</v>
      </c>
      <c r="BG547" s="13" t="s">
        <v>5510</v>
      </c>
      <c r="BH547" s="13" t="s">
        <v>5510</v>
      </c>
      <c r="BI547" s="13">
        <v>13.0</v>
      </c>
      <c r="BJ547" s="13" t="s">
        <v>5560</v>
      </c>
      <c r="BK547" s="13" t="s">
        <v>5561</v>
      </c>
      <c r="BL547" s="13" t="s">
        <v>5562</v>
      </c>
      <c r="BM547" s="13" t="s">
        <v>15310</v>
      </c>
      <c r="BN547" s="13">
        <v>3.2457412E7</v>
      </c>
      <c r="BO547" s="13" t="s">
        <v>5564</v>
      </c>
      <c r="BP547" s="13" t="s">
        <v>5510</v>
      </c>
      <c r="BQ547" s="13" t="s">
        <v>5510</v>
      </c>
      <c r="BR547" s="13" t="s">
        <v>5538</v>
      </c>
      <c r="BS547" s="13" t="s">
        <v>15311</v>
      </c>
      <c r="BT547" s="13">
        <v>24108.0</v>
      </c>
      <c r="BU547" s="13" t="s">
        <v>5540</v>
      </c>
      <c r="BV547" s="13" t="s">
        <v>4856</v>
      </c>
      <c r="BW547" s="13" t="str">
        <f>VLOOKUP($BT547,Enriched!$A$2:$E$1070,5,false)</f>
        <v>["Residential &amp; Commercial Development", "Agriculture &amp; Aquaculture", "Transportation &amp; Service Corridors", "Pollution"]</v>
      </c>
      <c r="BX547" s="13" t="str">
        <f>VLOOKUP($BT547,Enriched!$A$2:$E$1070,4,false)</f>
        <v>["Housing &amp; urban area", "Commercial &amp; industrial areas", "Tourism &amp; recreation areas", "Annual &amp; perennial non-timber crops", "Livestock farming &amp; ranching", "Roads &amp; railroads", "Excess energy"]</v>
      </c>
      <c r="BY547" s="13" t="b">
        <f>VLOOKUP(BT547,Enriched!$A$1:$AA$1070,27,falsE)</f>
        <v>0</v>
      </c>
      <c r="BZ547" s="2" t="str">
        <f>VLOOKUP(BT547,Enriched!$A$1:$AA$1070,14,falsE)</f>
        <v>cumulative</v>
      </c>
      <c r="CA547" s="13" t="str">
        <f>HYPERLINK("https%3A%2F%2Fwww.webofscience.com%2Fwos%2Fwoscc%2Ffull-record%2FWOS:000538809900006","View Full Record in Web of Science")</f>
        <v>View Full Record in Web of Science</v>
      </c>
    </row>
    <row r="548" ht="12.75" customHeight="1">
      <c r="A548" s="13" t="s">
        <v>5508</v>
      </c>
      <c r="B548" s="13" t="s">
        <v>15312</v>
      </c>
      <c r="C548" s="13" t="s">
        <v>5510</v>
      </c>
      <c r="D548" s="13" t="s">
        <v>5510</v>
      </c>
      <c r="E548" s="13" t="s">
        <v>5510</v>
      </c>
      <c r="F548" s="13" t="s">
        <v>15313</v>
      </c>
      <c r="G548" s="13" t="s">
        <v>5510</v>
      </c>
      <c r="H548" s="13" t="s">
        <v>5510</v>
      </c>
      <c r="I548" s="13" t="s">
        <v>15314</v>
      </c>
      <c r="J548" s="13" t="s">
        <v>5543</v>
      </c>
      <c r="K548" s="13" t="s">
        <v>5510</v>
      </c>
      <c r="L548" s="13" t="s">
        <v>5510</v>
      </c>
      <c r="M548" s="13" t="s">
        <v>5513</v>
      </c>
      <c r="N548" s="13" t="s">
        <v>5514</v>
      </c>
      <c r="O548" s="13" t="s">
        <v>5510</v>
      </c>
      <c r="P548" s="13" t="s">
        <v>5510</v>
      </c>
      <c r="Q548" s="13" t="s">
        <v>5510</v>
      </c>
      <c r="R548" s="13" t="s">
        <v>5510</v>
      </c>
      <c r="S548" s="13" t="s">
        <v>5510</v>
      </c>
      <c r="T548" s="13" t="s">
        <v>5510</v>
      </c>
      <c r="U548" s="13" t="s">
        <v>15315</v>
      </c>
      <c r="V548" s="13" t="s">
        <v>15316</v>
      </c>
      <c r="W548" s="13" t="s">
        <v>15317</v>
      </c>
      <c r="X548" s="13" t="s">
        <v>15318</v>
      </c>
      <c r="Y548" s="13" t="s">
        <v>15319</v>
      </c>
      <c r="Z548" s="13" t="s">
        <v>15320</v>
      </c>
      <c r="AA548" s="13" t="s">
        <v>15321</v>
      </c>
      <c r="AB548" s="13" t="s">
        <v>15322</v>
      </c>
      <c r="AC548" s="13" t="s">
        <v>15323</v>
      </c>
      <c r="AD548" s="13" t="s">
        <v>15324</v>
      </c>
      <c r="AE548" s="13" t="s">
        <v>15325</v>
      </c>
      <c r="AF548" s="13" t="s">
        <v>5510</v>
      </c>
      <c r="AG548" s="13">
        <v>46.0</v>
      </c>
      <c r="AH548" s="13">
        <v>29.0</v>
      </c>
      <c r="AI548" s="13">
        <v>36.0</v>
      </c>
      <c r="AJ548" s="13">
        <v>0.0</v>
      </c>
      <c r="AK548" s="13">
        <v>48.0</v>
      </c>
      <c r="AL548" s="13" t="s">
        <v>5552</v>
      </c>
      <c r="AM548" s="13" t="s">
        <v>5553</v>
      </c>
      <c r="AN548" s="13" t="s">
        <v>5554</v>
      </c>
      <c r="AO548" s="13" t="s">
        <v>5555</v>
      </c>
      <c r="AP548" s="13" t="s">
        <v>5510</v>
      </c>
      <c r="AQ548" s="13" t="s">
        <v>5510</v>
      </c>
      <c r="AR548" s="13" t="s">
        <v>5543</v>
      </c>
      <c r="AS548" s="13" t="s">
        <v>5556</v>
      </c>
      <c r="AT548" s="13" t="s">
        <v>15326</v>
      </c>
      <c r="AU548" s="13">
        <v>2014.0</v>
      </c>
      <c r="AV548" s="13">
        <v>9.0</v>
      </c>
      <c r="AW548" s="13">
        <v>11.0</v>
      </c>
      <c r="AX548" s="13" t="s">
        <v>5510</v>
      </c>
      <c r="AY548" s="13" t="s">
        <v>5510</v>
      </c>
      <c r="AZ548" s="13" t="s">
        <v>5510</v>
      </c>
      <c r="BA548" s="13" t="s">
        <v>5510</v>
      </c>
      <c r="BB548" s="13" t="s">
        <v>5510</v>
      </c>
      <c r="BC548" s="13" t="s">
        <v>5510</v>
      </c>
      <c r="BD548" s="13" t="s">
        <v>15327</v>
      </c>
      <c r="BE548" s="13" t="s">
        <v>15328</v>
      </c>
      <c r="BF548" s="52" t="str">
        <f>HYPERLINK("http://dx.doi.org/10.1371/journal.pone.0110984","http://dx.doi.org/10.1371/journal.pone.0110984")</f>
        <v>http://dx.doi.org/10.1371/journal.pone.0110984</v>
      </c>
      <c r="BG548" s="13" t="s">
        <v>5510</v>
      </c>
      <c r="BH548" s="13" t="s">
        <v>5510</v>
      </c>
      <c r="BI548" s="13">
        <v>7.0</v>
      </c>
      <c r="BJ548" s="13" t="s">
        <v>5560</v>
      </c>
      <c r="BK548" s="13" t="s">
        <v>5561</v>
      </c>
      <c r="BL548" s="13" t="s">
        <v>5562</v>
      </c>
      <c r="BM548" s="13" t="s">
        <v>15329</v>
      </c>
      <c r="BN548" s="13">
        <v>2.536507E7</v>
      </c>
      <c r="BO548" s="13" t="s">
        <v>5564</v>
      </c>
      <c r="BP548" s="13" t="s">
        <v>5510</v>
      </c>
      <c r="BQ548" s="13" t="s">
        <v>5510</v>
      </c>
      <c r="BR548" s="13" t="s">
        <v>5538</v>
      </c>
      <c r="BS548" s="13" t="s">
        <v>15330</v>
      </c>
      <c r="BT548" s="13">
        <v>25071.0</v>
      </c>
      <c r="BU548" s="13" t="s">
        <v>5540</v>
      </c>
      <c r="BV548" s="13" t="s">
        <v>4856</v>
      </c>
      <c r="BW548" s="13" t="str">
        <f>VLOOKUP($BT548,Enriched!$A$2:$E$1070,5,false)</f>
        <v>["Invasive &amp; other problematic species, genes &amp; diseases"]</v>
      </c>
      <c r="BX548" s="13" t="str">
        <f>VLOOKUP($BT548,Enriched!$A$2:$E$1070,4,false)</f>
        <v>["Invasive non-native/alien species/diseases"]</v>
      </c>
      <c r="BY548" s="13" t="b">
        <f>VLOOKUP(BT548,Enriched!$A$1:$AA$1070,27,falsE)</f>
        <v>0</v>
      </c>
      <c r="BZ548" s="2" t="str">
        <f>VLOOKUP(BT548,Enriched!$A$1:$AA$1070,14,falsE)</f>
        <v>level2</v>
      </c>
      <c r="CA548" s="13" t="str">
        <f>HYPERLINK("https%3A%2F%2Fwww.webofscience.com%2Fwos%2Fwoscc%2Ffull-record%2FWOS:000345558100040","View Full Record in Web of Science")</f>
        <v>View Full Record in Web of Science</v>
      </c>
    </row>
    <row r="549" ht="12.75" customHeight="1">
      <c r="A549" s="13" t="s">
        <v>5508</v>
      </c>
      <c r="B549" s="13" t="s">
        <v>15331</v>
      </c>
      <c r="C549" s="13" t="s">
        <v>5510</v>
      </c>
      <c r="D549" s="13" t="s">
        <v>5510</v>
      </c>
      <c r="E549" s="13" t="s">
        <v>5510</v>
      </c>
      <c r="F549" s="13" t="s">
        <v>15332</v>
      </c>
      <c r="G549" s="13" t="s">
        <v>5510</v>
      </c>
      <c r="H549" s="13" t="s">
        <v>5510</v>
      </c>
      <c r="I549" s="13" t="s">
        <v>1352</v>
      </c>
      <c r="J549" s="13" t="s">
        <v>6333</v>
      </c>
      <c r="K549" s="13" t="s">
        <v>5510</v>
      </c>
      <c r="L549" s="13" t="s">
        <v>5510</v>
      </c>
      <c r="M549" s="13" t="s">
        <v>5513</v>
      </c>
      <c r="N549" s="13" t="s">
        <v>5514</v>
      </c>
      <c r="O549" s="13" t="s">
        <v>5510</v>
      </c>
      <c r="P549" s="13" t="s">
        <v>5510</v>
      </c>
      <c r="Q549" s="13" t="s">
        <v>5510</v>
      </c>
      <c r="R549" s="13" t="s">
        <v>5510</v>
      </c>
      <c r="S549" s="13" t="s">
        <v>5510</v>
      </c>
      <c r="T549" s="13" t="s">
        <v>15333</v>
      </c>
      <c r="U549" s="13" t="s">
        <v>15334</v>
      </c>
      <c r="V549" s="13" t="s">
        <v>15335</v>
      </c>
      <c r="W549" s="13" t="s">
        <v>15336</v>
      </c>
      <c r="X549" s="13" t="s">
        <v>15337</v>
      </c>
      <c r="Y549" s="13" t="s">
        <v>15338</v>
      </c>
      <c r="Z549" s="13" t="s">
        <v>15339</v>
      </c>
      <c r="AA549" s="13" t="s">
        <v>15340</v>
      </c>
      <c r="AB549" s="13" t="s">
        <v>15341</v>
      </c>
      <c r="AC549" s="13" t="s">
        <v>15342</v>
      </c>
      <c r="AD549" s="13" t="s">
        <v>15343</v>
      </c>
      <c r="AE549" s="13" t="s">
        <v>15344</v>
      </c>
      <c r="AF549" s="13" t="s">
        <v>5510</v>
      </c>
      <c r="AG549" s="13">
        <v>40.0</v>
      </c>
      <c r="AH549" s="13">
        <v>131.0</v>
      </c>
      <c r="AI549" s="13">
        <v>154.0</v>
      </c>
      <c r="AJ549" s="13">
        <v>3.0</v>
      </c>
      <c r="AK549" s="13">
        <v>118.0</v>
      </c>
      <c r="AL549" s="13" t="s">
        <v>5527</v>
      </c>
      <c r="AM549" s="13" t="s">
        <v>5528</v>
      </c>
      <c r="AN549" s="13" t="s">
        <v>5529</v>
      </c>
      <c r="AO549" s="13" t="s">
        <v>6342</v>
      </c>
      <c r="AP549" s="13" t="s">
        <v>6343</v>
      </c>
      <c r="AQ549" s="13" t="s">
        <v>5510</v>
      </c>
      <c r="AR549" s="13" t="s">
        <v>6344</v>
      </c>
      <c r="AS549" s="13" t="s">
        <v>6345</v>
      </c>
      <c r="AT549" s="13" t="s">
        <v>5978</v>
      </c>
      <c r="AU549" s="13">
        <v>2015.0</v>
      </c>
      <c r="AV549" s="13">
        <v>29.0</v>
      </c>
      <c r="AW549" s="13">
        <v>6.0</v>
      </c>
      <c r="AX549" s="13" t="s">
        <v>5510</v>
      </c>
      <c r="AY549" s="13" t="s">
        <v>5510</v>
      </c>
      <c r="AZ549" s="13" t="s">
        <v>5510</v>
      </c>
      <c r="BA549" s="13" t="s">
        <v>5510</v>
      </c>
      <c r="BB549" s="13">
        <v>1684.0</v>
      </c>
      <c r="BC549" s="13">
        <v>1694.0</v>
      </c>
      <c r="BD549" s="13" t="s">
        <v>5510</v>
      </c>
      <c r="BE549" s="13" t="s">
        <v>15345</v>
      </c>
      <c r="BF549" s="52" t="str">
        <f>HYPERLINK("http://dx.doi.org/10.1111/cobi.12537","http://dx.doi.org/10.1111/cobi.12537")</f>
        <v>http://dx.doi.org/10.1111/cobi.12537</v>
      </c>
      <c r="BG549" s="13" t="s">
        <v>5510</v>
      </c>
      <c r="BH549" s="13" t="s">
        <v>5510</v>
      </c>
      <c r="BI549" s="13">
        <v>11.0</v>
      </c>
      <c r="BJ549" s="13" t="s">
        <v>5698</v>
      </c>
      <c r="BK549" s="13" t="s">
        <v>5561</v>
      </c>
      <c r="BL549" s="13" t="s">
        <v>5699</v>
      </c>
      <c r="BM549" s="13" t="s">
        <v>15346</v>
      </c>
      <c r="BN549" s="13">
        <v>2.6059233E7</v>
      </c>
      <c r="BO549" s="13" t="s">
        <v>5510</v>
      </c>
      <c r="BP549" s="13" t="s">
        <v>5510</v>
      </c>
      <c r="BQ549" s="13" t="s">
        <v>5510</v>
      </c>
      <c r="BR549" s="13" t="s">
        <v>5538</v>
      </c>
      <c r="BS549" s="13" t="s">
        <v>15347</v>
      </c>
      <c r="BT549" s="13">
        <v>24346.0</v>
      </c>
      <c r="BU549" s="13" t="s">
        <v>5540</v>
      </c>
      <c r="BV549" s="13" t="s">
        <v>4856</v>
      </c>
      <c r="BW549" s="13" t="str">
        <f>VLOOKUP($BT549,Enriched!$A$2:$E$1070,5,false)</f>
        <v>["Biological resource use"]</v>
      </c>
      <c r="BX549" s="13" t="str">
        <f>VLOOKUP($BT549,Enriched!$A$2:$E$1070,4,false)</f>
        <v>["Hunting &amp; collecting terrestrial animals"]</v>
      </c>
      <c r="BY549" s="13" t="b">
        <f>VLOOKUP(BT549,Enriched!$A$1:$AA$1070,27,falsE)</f>
        <v>0</v>
      </c>
      <c r="BZ549" s="2" t="str">
        <f>VLOOKUP(BT549,Enriched!$A$1:$AA$1070,14,falsE)</f>
        <v>level2</v>
      </c>
      <c r="CA549" s="13" t="str">
        <f>HYPERLINK("https%3A%2F%2Fwww.webofscience.com%2Fwos%2Fwoscc%2Ffull-record%2FWOS:000368334800021","View Full Record in Web of Science")</f>
        <v>View Full Record in Web of Science</v>
      </c>
    </row>
    <row r="550" ht="12.75" customHeight="1">
      <c r="A550" s="13" t="s">
        <v>5508</v>
      </c>
      <c r="B550" s="13" t="s">
        <v>15348</v>
      </c>
      <c r="C550" s="13" t="s">
        <v>5510</v>
      </c>
      <c r="D550" s="13" t="s">
        <v>5510</v>
      </c>
      <c r="E550" s="13" t="s">
        <v>5510</v>
      </c>
      <c r="F550" s="13" t="s">
        <v>15349</v>
      </c>
      <c r="G550" s="13" t="s">
        <v>5510</v>
      </c>
      <c r="H550" s="13" t="s">
        <v>5510</v>
      </c>
      <c r="I550" s="13" t="s">
        <v>1349</v>
      </c>
      <c r="J550" s="13" t="s">
        <v>6627</v>
      </c>
      <c r="K550" s="13" t="s">
        <v>5510</v>
      </c>
      <c r="L550" s="13" t="s">
        <v>5510</v>
      </c>
      <c r="M550" s="13" t="s">
        <v>5513</v>
      </c>
      <c r="N550" s="13" t="s">
        <v>5514</v>
      </c>
      <c r="O550" s="13" t="s">
        <v>5510</v>
      </c>
      <c r="P550" s="13" t="s">
        <v>5510</v>
      </c>
      <c r="Q550" s="13" t="s">
        <v>5510</v>
      </c>
      <c r="R550" s="13" t="s">
        <v>5510</v>
      </c>
      <c r="S550" s="13" t="s">
        <v>5510</v>
      </c>
      <c r="T550" s="13" t="s">
        <v>15350</v>
      </c>
      <c r="U550" s="13" t="s">
        <v>15351</v>
      </c>
      <c r="V550" s="13" t="s">
        <v>15352</v>
      </c>
      <c r="W550" s="13" t="s">
        <v>15353</v>
      </c>
      <c r="X550" s="13" t="s">
        <v>15354</v>
      </c>
      <c r="Y550" s="13" t="s">
        <v>15355</v>
      </c>
      <c r="Z550" s="13" t="s">
        <v>15356</v>
      </c>
      <c r="AA550" s="13" t="s">
        <v>15357</v>
      </c>
      <c r="AB550" s="13" t="s">
        <v>15358</v>
      </c>
      <c r="AC550" s="13" t="s">
        <v>15359</v>
      </c>
      <c r="AD550" s="13" t="s">
        <v>15360</v>
      </c>
      <c r="AE550" s="13" t="s">
        <v>15361</v>
      </c>
      <c r="AF550" s="13" t="s">
        <v>5510</v>
      </c>
      <c r="AG550" s="13">
        <v>63.0</v>
      </c>
      <c r="AH550" s="13">
        <v>66.0</v>
      </c>
      <c r="AI550" s="13">
        <v>76.0</v>
      </c>
      <c r="AJ550" s="13">
        <v>3.0</v>
      </c>
      <c r="AK550" s="13">
        <v>160.0</v>
      </c>
      <c r="AL550" s="13" t="s">
        <v>5527</v>
      </c>
      <c r="AM550" s="13" t="s">
        <v>5528</v>
      </c>
      <c r="AN550" s="13" t="s">
        <v>5529</v>
      </c>
      <c r="AO550" s="13" t="s">
        <v>6640</v>
      </c>
      <c r="AP550" s="13" t="s">
        <v>6641</v>
      </c>
      <c r="AQ550" s="13" t="s">
        <v>5510</v>
      </c>
      <c r="AR550" s="13" t="s">
        <v>6642</v>
      </c>
      <c r="AS550" s="13" t="s">
        <v>6643</v>
      </c>
      <c r="AT550" s="13" t="s">
        <v>1453</v>
      </c>
      <c r="AU550" s="13">
        <v>2015.0</v>
      </c>
      <c r="AV550" s="13">
        <v>21.0</v>
      </c>
      <c r="AW550" s="13">
        <v>11.0</v>
      </c>
      <c r="AX550" s="13" t="s">
        <v>5510</v>
      </c>
      <c r="AY550" s="13" t="s">
        <v>5510</v>
      </c>
      <c r="AZ550" s="13" t="s">
        <v>5510</v>
      </c>
      <c r="BA550" s="13" t="s">
        <v>5510</v>
      </c>
      <c r="BB550" s="13">
        <v>1308.0</v>
      </c>
      <c r="BC550" s="13">
        <v>1318.0</v>
      </c>
      <c r="BD550" s="13" t="s">
        <v>5510</v>
      </c>
      <c r="BE550" s="13" t="s">
        <v>15362</v>
      </c>
      <c r="BF550" s="52" t="str">
        <f>HYPERLINK("http://dx.doi.org/10.1111/ddi.12359","http://dx.doi.org/10.1111/ddi.12359")</f>
        <v>http://dx.doi.org/10.1111/ddi.12359</v>
      </c>
      <c r="BG550" s="13" t="s">
        <v>5510</v>
      </c>
      <c r="BH550" s="13" t="s">
        <v>5510</v>
      </c>
      <c r="BI550" s="13">
        <v>11.0</v>
      </c>
      <c r="BJ550" s="13" t="s">
        <v>5958</v>
      </c>
      <c r="BK550" s="13" t="s">
        <v>5561</v>
      </c>
      <c r="BL550" s="13" t="s">
        <v>5699</v>
      </c>
      <c r="BM550" s="13" t="s">
        <v>15363</v>
      </c>
      <c r="BN550" s="13" t="s">
        <v>5510</v>
      </c>
      <c r="BO550" s="13" t="s">
        <v>6586</v>
      </c>
      <c r="BP550" s="13" t="s">
        <v>5510</v>
      </c>
      <c r="BQ550" s="13" t="s">
        <v>5510</v>
      </c>
      <c r="BR550" s="13" t="s">
        <v>5538</v>
      </c>
      <c r="BS550" s="13" t="s">
        <v>15364</v>
      </c>
      <c r="BT550" s="13">
        <v>24368.0</v>
      </c>
      <c r="BU550" s="13" t="s">
        <v>5540</v>
      </c>
      <c r="BV550" s="13" t="s">
        <v>4856</v>
      </c>
      <c r="BW550" s="13" t="str">
        <f>VLOOKUP($BT550,Enriched!$A$2:$E$1070,5,false)</f>
        <v>["Agriculture &amp; Aquaculture", "Pollution"]</v>
      </c>
      <c r="BX550" s="13" t="str">
        <f>VLOOKUP($BT550,Enriched!$A$2:$E$1070,4,false)</f>
        <v>["Annual &amp; perennial non-timber crops", "Agricultural &amp; forestry effluents", "Livestock farming &amp; ranching"]</v>
      </c>
      <c r="BY550" s="13" t="b">
        <f>VLOOKUP(BT550,Enriched!$A$1:$AA$1070,27,falsE)</f>
        <v>0</v>
      </c>
      <c r="BZ550" s="2" t="str">
        <f>VLOOKUP(BT550,Enriched!$A$1:$AA$1070,14,falsE)</f>
        <v>level2</v>
      </c>
      <c r="CA550" s="13" t="str">
        <f>HYPERLINK("https%3A%2F%2Fwww.webofscience.com%2Fwos%2Fwoscc%2Ffull-record%2FWOS:000362795700004","View Full Record in Web of Science")</f>
        <v>View Full Record in Web of Science</v>
      </c>
    </row>
    <row r="551" ht="12.75" customHeight="1">
      <c r="A551" s="13" t="s">
        <v>5508</v>
      </c>
      <c r="B551" s="13" t="s">
        <v>15365</v>
      </c>
      <c r="C551" s="13" t="s">
        <v>5510</v>
      </c>
      <c r="D551" s="13" t="s">
        <v>5510</v>
      </c>
      <c r="E551" s="13" t="s">
        <v>5510</v>
      </c>
      <c r="F551" s="13" t="s">
        <v>15366</v>
      </c>
      <c r="G551" s="13" t="s">
        <v>5510</v>
      </c>
      <c r="H551" s="13" t="s">
        <v>5510</v>
      </c>
      <c r="I551" s="13" t="s">
        <v>1347</v>
      </c>
      <c r="J551" s="13" t="s">
        <v>10883</v>
      </c>
      <c r="K551" s="13" t="s">
        <v>5510</v>
      </c>
      <c r="L551" s="13" t="s">
        <v>5510</v>
      </c>
      <c r="M551" s="13" t="s">
        <v>5513</v>
      </c>
      <c r="N551" s="13" t="s">
        <v>5514</v>
      </c>
      <c r="O551" s="13" t="s">
        <v>5510</v>
      </c>
      <c r="P551" s="13" t="s">
        <v>5510</v>
      </c>
      <c r="Q551" s="13" t="s">
        <v>5510</v>
      </c>
      <c r="R551" s="13" t="s">
        <v>5510</v>
      </c>
      <c r="S551" s="13" t="s">
        <v>5510</v>
      </c>
      <c r="T551" s="13" t="s">
        <v>15367</v>
      </c>
      <c r="U551" s="13" t="s">
        <v>15368</v>
      </c>
      <c r="V551" s="13" t="s">
        <v>15369</v>
      </c>
      <c r="W551" s="13" t="s">
        <v>15370</v>
      </c>
      <c r="X551" s="13" t="s">
        <v>15371</v>
      </c>
      <c r="Y551" s="13" t="s">
        <v>15372</v>
      </c>
      <c r="Z551" s="13" t="s">
        <v>15373</v>
      </c>
      <c r="AA551" s="13" t="s">
        <v>15374</v>
      </c>
      <c r="AB551" s="13" t="s">
        <v>15375</v>
      </c>
      <c r="AC551" s="13" t="s">
        <v>15376</v>
      </c>
      <c r="AD551" s="13" t="s">
        <v>15377</v>
      </c>
      <c r="AE551" s="13" t="s">
        <v>15378</v>
      </c>
      <c r="AF551" s="13" t="s">
        <v>5510</v>
      </c>
      <c r="AG551" s="13">
        <v>53.0</v>
      </c>
      <c r="AH551" s="13">
        <v>209.0</v>
      </c>
      <c r="AI551" s="13">
        <v>232.0</v>
      </c>
      <c r="AJ551" s="13">
        <v>11.0</v>
      </c>
      <c r="AK551" s="13">
        <v>231.0</v>
      </c>
      <c r="AL551" s="13" t="s">
        <v>9186</v>
      </c>
      <c r="AM551" s="13" t="s">
        <v>6046</v>
      </c>
      <c r="AN551" s="13" t="s">
        <v>9187</v>
      </c>
      <c r="AO551" s="13" t="s">
        <v>10896</v>
      </c>
      <c r="AP551" s="13" t="s">
        <v>10897</v>
      </c>
      <c r="AQ551" s="13" t="s">
        <v>5510</v>
      </c>
      <c r="AR551" s="13" t="s">
        <v>10898</v>
      </c>
      <c r="AS551" s="13" t="s">
        <v>10899</v>
      </c>
      <c r="AT551" s="13" t="s">
        <v>15092</v>
      </c>
      <c r="AU551" s="13">
        <v>2016.0</v>
      </c>
      <c r="AV551" s="13">
        <v>283.0</v>
      </c>
      <c r="AW551" s="13">
        <v>1823.0</v>
      </c>
      <c r="AX551" s="13" t="s">
        <v>5510</v>
      </c>
      <c r="AY551" s="13" t="s">
        <v>5510</v>
      </c>
      <c r="AZ551" s="13" t="s">
        <v>5510</v>
      </c>
      <c r="BA551" s="13" t="s">
        <v>5510</v>
      </c>
      <c r="BB551" s="13" t="s">
        <v>5510</v>
      </c>
      <c r="BC551" s="13" t="s">
        <v>5510</v>
      </c>
      <c r="BD551" s="13">
        <v>2.0152454E7</v>
      </c>
      <c r="BE551" s="13" t="s">
        <v>15379</v>
      </c>
      <c r="BF551" s="52" t="str">
        <f>HYPERLINK("http://dx.doi.org/10.1098/rspb.2015.2454","http://dx.doi.org/10.1098/rspb.2015.2454")</f>
        <v>http://dx.doi.org/10.1098/rspb.2015.2454</v>
      </c>
      <c r="BG551" s="13" t="s">
        <v>5510</v>
      </c>
      <c r="BH551" s="13" t="s">
        <v>5510</v>
      </c>
      <c r="BI551" s="13">
        <v>9.0</v>
      </c>
      <c r="BJ551" s="13" t="s">
        <v>9194</v>
      </c>
      <c r="BK551" s="13" t="s">
        <v>5561</v>
      </c>
      <c r="BL551" s="13" t="s">
        <v>9195</v>
      </c>
      <c r="BM551" s="13" t="s">
        <v>15380</v>
      </c>
      <c r="BN551" s="13">
        <v>2.6817767E7</v>
      </c>
      <c r="BO551" s="13" t="s">
        <v>5587</v>
      </c>
      <c r="BP551" s="13" t="s">
        <v>5510</v>
      </c>
      <c r="BQ551" s="13" t="s">
        <v>5510</v>
      </c>
      <c r="BR551" s="13" t="s">
        <v>5538</v>
      </c>
      <c r="BS551" s="13" t="s">
        <v>15381</v>
      </c>
      <c r="BT551" s="13">
        <v>23276.0</v>
      </c>
      <c r="BU551" s="13" t="s">
        <v>5540</v>
      </c>
      <c r="BV551" s="13" t="s">
        <v>4856</v>
      </c>
      <c r="BW551" s="13" t="str">
        <f>VLOOKUP($BT551,Enriched!$A$2:$E$1070,5,false)</f>
        <v>["Invasive &amp; other problematic species, genes &amp; diseases"]</v>
      </c>
      <c r="BX551" s="13" t="str">
        <f>VLOOKUP($BT551,Enriched!$A$2:$E$1070,4,false)</f>
        <v>["Invasive non-native/alien species/diseases"]</v>
      </c>
      <c r="BY551" s="13" t="b">
        <f>VLOOKUP(BT551,Enriched!$A$1:$AA$1070,27,falsE)</f>
        <v>0</v>
      </c>
      <c r="BZ551" s="2" t="str">
        <f>VLOOKUP(BT551,Enriched!$A$1:$AA$1070,14,falsE)</f>
        <v>level2</v>
      </c>
      <c r="CA551" s="13" t="str">
        <f>HYPERLINK("https%3A%2F%2Fwww.webofscience.com%2Fwos%2Fwoscc%2Ffull-record%2FWOS:000375858400014","View Full Record in Web of Science")</f>
        <v>View Full Record in Web of Science</v>
      </c>
    </row>
    <row r="552" ht="12.75" customHeight="1">
      <c r="A552" s="13" t="s">
        <v>5508</v>
      </c>
      <c r="B552" s="13" t="s">
        <v>15382</v>
      </c>
      <c r="C552" s="13" t="s">
        <v>5510</v>
      </c>
      <c r="D552" s="13" t="s">
        <v>5510</v>
      </c>
      <c r="E552" s="13" t="s">
        <v>5510</v>
      </c>
      <c r="F552" s="13" t="s">
        <v>15383</v>
      </c>
      <c r="G552" s="13" t="s">
        <v>5510</v>
      </c>
      <c r="H552" s="13" t="s">
        <v>5510</v>
      </c>
      <c r="I552" s="13" t="s">
        <v>1345</v>
      </c>
      <c r="J552" s="13" t="s">
        <v>5543</v>
      </c>
      <c r="K552" s="13" t="s">
        <v>5510</v>
      </c>
      <c r="L552" s="13" t="s">
        <v>5510</v>
      </c>
      <c r="M552" s="13" t="s">
        <v>5513</v>
      </c>
      <c r="N552" s="13" t="s">
        <v>5514</v>
      </c>
      <c r="O552" s="13" t="s">
        <v>5510</v>
      </c>
      <c r="P552" s="13" t="s">
        <v>5510</v>
      </c>
      <c r="Q552" s="13" t="s">
        <v>5510</v>
      </c>
      <c r="R552" s="13" t="s">
        <v>5510</v>
      </c>
      <c r="S552" s="13" t="s">
        <v>5510</v>
      </c>
      <c r="T552" s="13" t="s">
        <v>5510</v>
      </c>
      <c r="U552" s="13" t="s">
        <v>15384</v>
      </c>
      <c r="V552" s="13" t="s">
        <v>15385</v>
      </c>
      <c r="W552" s="13" t="s">
        <v>15386</v>
      </c>
      <c r="X552" s="13" t="s">
        <v>15387</v>
      </c>
      <c r="Y552" s="13" t="s">
        <v>15388</v>
      </c>
      <c r="Z552" s="13" t="s">
        <v>15389</v>
      </c>
      <c r="AA552" s="13" t="s">
        <v>15390</v>
      </c>
      <c r="AB552" s="13" t="s">
        <v>15391</v>
      </c>
      <c r="AC552" s="13" t="s">
        <v>15392</v>
      </c>
      <c r="AD552" s="13" t="s">
        <v>15392</v>
      </c>
      <c r="AE552" s="13" t="s">
        <v>15393</v>
      </c>
      <c r="AF552" s="13" t="s">
        <v>5510</v>
      </c>
      <c r="AG552" s="13">
        <v>71.0</v>
      </c>
      <c r="AH552" s="13">
        <v>57.0</v>
      </c>
      <c r="AI552" s="13">
        <v>65.0</v>
      </c>
      <c r="AJ552" s="13">
        <v>2.0</v>
      </c>
      <c r="AK552" s="13">
        <v>36.0</v>
      </c>
      <c r="AL552" s="13" t="s">
        <v>5552</v>
      </c>
      <c r="AM552" s="13" t="s">
        <v>5553</v>
      </c>
      <c r="AN552" s="13" t="s">
        <v>5554</v>
      </c>
      <c r="AO552" s="13" t="s">
        <v>5555</v>
      </c>
      <c r="AP552" s="13" t="s">
        <v>5510</v>
      </c>
      <c r="AQ552" s="13" t="s">
        <v>5510</v>
      </c>
      <c r="AR552" s="13" t="s">
        <v>5543</v>
      </c>
      <c r="AS552" s="13" t="s">
        <v>5556</v>
      </c>
      <c r="AT552" s="13" t="s">
        <v>15394</v>
      </c>
      <c r="AU552" s="13">
        <v>2020.0</v>
      </c>
      <c r="AV552" s="13">
        <v>15.0</v>
      </c>
      <c r="AW552" s="13">
        <v>8.0</v>
      </c>
      <c r="AX552" s="13" t="s">
        <v>5510</v>
      </c>
      <c r="AY552" s="13" t="s">
        <v>5510</v>
      </c>
      <c r="AZ552" s="13" t="s">
        <v>5510</v>
      </c>
      <c r="BA552" s="13" t="s">
        <v>5510</v>
      </c>
      <c r="BB552" s="13" t="s">
        <v>5510</v>
      </c>
      <c r="BC552" s="13" t="s">
        <v>5510</v>
      </c>
      <c r="BD552" s="13" t="s">
        <v>15395</v>
      </c>
      <c r="BE552" s="13" t="s">
        <v>15396</v>
      </c>
      <c r="BF552" s="52" t="str">
        <f>HYPERLINK("http://dx.doi.org/10.1371/journal.pone.0227163","http://dx.doi.org/10.1371/journal.pone.0227163")</f>
        <v>http://dx.doi.org/10.1371/journal.pone.0227163</v>
      </c>
      <c r="BG552" s="13" t="s">
        <v>5510</v>
      </c>
      <c r="BH552" s="13" t="s">
        <v>5510</v>
      </c>
      <c r="BI552" s="13">
        <v>14.0</v>
      </c>
      <c r="BJ552" s="13" t="s">
        <v>5560</v>
      </c>
      <c r="BK552" s="13" t="s">
        <v>5561</v>
      </c>
      <c r="BL552" s="13" t="s">
        <v>5562</v>
      </c>
      <c r="BM552" s="13" t="s">
        <v>15397</v>
      </c>
      <c r="BN552" s="13">
        <v>3.2822346E7</v>
      </c>
      <c r="BO552" s="13" t="s">
        <v>5564</v>
      </c>
      <c r="BP552" s="13" t="s">
        <v>5510</v>
      </c>
      <c r="BQ552" s="13" t="s">
        <v>5510</v>
      </c>
      <c r="BR552" s="13" t="s">
        <v>5538</v>
      </c>
      <c r="BS552" s="13" t="s">
        <v>15398</v>
      </c>
      <c r="BT552" s="13">
        <v>25365.0</v>
      </c>
      <c r="BU552" s="13" t="s">
        <v>9118</v>
      </c>
      <c r="BV552" s="13" t="s">
        <v>4856</v>
      </c>
      <c r="BW552" s="13" t="str">
        <f>VLOOKUP($BT552,Enriched!$A$2:$E$1070,5,false)</f>
        <v>["Biological resource use"]</v>
      </c>
      <c r="BX552" s="13" t="str">
        <f>VLOOKUP($BT552,Enriched!$A$2:$E$1070,4,false)</f>
        <v>["Hunting &amp; collecting terrestrial animals"]</v>
      </c>
      <c r="BY552" s="13" t="b">
        <f>VLOOKUP(BT552,Enriched!$A$1:$AA$1070,27,falsE)</f>
        <v>0</v>
      </c>
      <c r="BZ552" s="2" t="str">
        <f>VLOOKUP(BT552,Enriched!$A$1:$AA$1070,14,falsE)</f>
        <v>level2</v>
      </c>
      <c r="CA552" s="13" t="str">
        <f>HYPERLINK("https%3A%2F%2Fwww.webofscience.com%2Fwos%2Fwoscc%2Ffull-record%2FWOS:000564080300035","View Full Record in Web of Science")</f>
        <v>View Full Record in Web of Science</v>
      </c>
    </row>
    <row r="553" ht="12.75" customHeight="1">
      <c r="A553" s="13" t="s">
        <v>5508</v>
      </c>
      <c r="B553" s="13" t="s">
        <v>15399</v>
      </c>
      <c r="C553" s="13" t="s">
        <v>5510</v>
      </c>
      <c r="D553" s="13" t="s">
        <v>5510</v>
      </c>
      <c r="E553" s="13" t="s">
        <v>5510</v>
      </c>
      <c r="F553" s="13" t="s">
        <v>15400</v>
      </c>
      <c r="G553" s="13" t="s">
        <v>5510</v>
      </c>
      <c r="H553" s="13" t="s">
        <v>5510</v>
      </c>
      <c r="I553" s="13" t="s">
        <v>1342</v>
      </c>
      <c r="J553" s="13" t="s">
        <v>7213</v>
      </c>
      <c r="K553" s="13" t="s">
        <v>5510</v>
      </c>
      <c r="L553" s="13" t="s">
        <v>5510</v>
      </c>
      <c r="M553" s="13" t="s">
        <v>5513</v>
      </c>
      <c r="N553" s="13" t="s">
        <v>5514</v>
      </c>
      <c r="O553" s="13" t="s">
        <v>5510</v>
      </c>
      <c r="P553" s="13" t="s">
        <v>5510</v>
      </c>
      <c r="Q553" s="13" t="s">
        <v>5510</v>
      </c>
      <c r="R553" s="13" t="s">
        <v>5510</v>
      </c>
      <c r="S553" s="13" t="s">
        <v>5510</v>
      </c>
      <c r="T553" s="13" t="s">
        <v>15401</v>
      </c>
      <c r="U553" s="13" t="s">
        <v>15402</v>
      </c>
      <c r="V553" s="13" t="s">
        <v>15403</v>
      </c>
      <c r="W553" s="13" t="s">
        <v>15404</v>
      </c>
      <c r="X553" s="13" t="s">
        <v>15405</v>
      </c>
      <c r="Y553" s="13" t="s">
        <v>15406</v>
      </c>
      <c r="Z553" s="13" t="s">
        <v>15407</v>
      </c>
      <c r="AA553" s="13" t="s">
        <v>15408</v>
      </c>
      <c r="AB553" s="13" t="s">
        <v>15409</v>
      </c>
      <c r="AC553" s="13" t="s">
        <v>15410</v>
      </c>
      <c r="AD553" s="13" t="s">
        <v>15411</v>
      </c>
      <c r="AE553" s="13" t="s">
        <v>15412</v>
      </c>
      <c r="AF553" s="13" t="s">
        <v>5510</v>
      </c>
      <c r="AG553" s="13">
        <v>43.0</v>
      </c>
      <c r="AH553" s="13">
        <v>90.0</v>
      </c>
      <c r="AI553" s="13">
        <v>103.0</v>
      </c>
      <c r="AJ553" s="13">
        <v>1.0</v>
      </c>
      <c r="AK553" s="13">
        <v>47.0</v>
      </c>
      <c r="AL553" s="13" t="s">
        <v>5527</v>
      </c>
      <c r="AM553" s="13" t="s">
        <v>5528</v>
      </c>
      <c r="AN553" s="13" t="s">
        <v>5529</v>
      </c>
      <c r="AO553" s="13" t="s">
        <v>7226</v>
      </c>
      <c r="AP553" s="13" t="s">
        <v>7227</v>
      </c>
      <c r="AQ553" s="13" t="s">
        <v>5510</v>
      </c>
      <c r="AR553" s="13" t="s">
        <v>7228</v>
      </c>
      <c r="AS553" s="13" t="s">
        <v>7229</v>
      </c>
      <c r="AT553" s="13" t="s">
        <v>5866</v>
      </c>
      <c r="AU553" s="13">
        <v>2017.0</v>
      </c>
      <c r="AV553" s="13">
        <v>26.0</v>
      </c>
      <c r="AW553" s="13">
        <v>5.0</v>
      </c>
      <c r="AX553" s="13" t="s">
        <v>5510</v>
      </c>
      <c r="AY553" s="13" t="s">
        <v>5510</v>
      </c>
      <c r="AZ553" s="13" t="s">
        <v>5510</v>
      </c>
      <c r="BA553" s="13" t="s">
        <v>5510</v>
      </c>
      <c r="BB553" s="13">
        <v>592.0</v>
      </c>
      <c r="BC553" s="13">
        <v>600.0</v>
      </c>
      <c r="BD553" s="13" t="s">
        <v>5510</v>
      </c>
      <c r="BE553" s="13" t="s">
        <v>15413</v>
      </c>
      <c r="BF553" s="52" t="str">
        <f>HYPERLINK("http://dx.doi.org/10.1111/geb.12564","http://dx.doi.org/10.1111/geb.12564")</f>
        <v>http://dx.doi.org/10.1111/geb.12564</v>
      </c>
      <c r="BG553" s="13" t="s">
        <v>5510</v>
      </c>
      <c r="BH553" s="13" t="s">
        <v>5510</v>
      </c>
      <c r="BI553" s="13">
        <v>9.0</v>
      </c>
      <c r="BJ553" s="13" t="s">
        <v>6463</v>
      </c>
      <c r="BK553" s="13" t="s">
        <v>5561</v>
      </c>
      <c r="BL553" s="13" t="s">
        <v>6464</v>
      </c>
      <c r="BM553" s="13" t="s">
        <v>15414</v>
      </c>
      <c r="BN553" s="13" t="s">
        <v>5510</v>
      </c>
      <c r="BO553" s="13" t="s">
        <v>6586</v>
      </c>
      <c r="BP553" s="13" t="s">
        <v>5510</v>
      </c>
      <c r="BQ553" s="13" t="s">
        <v>5510</v>
      </c>
      <c r="BR553" s="13" t="s">
        <v>5538</v>
      </c>
      <c r="BS553" s="13" t="s">
        <v>15415</v>
      </c>
      <c r="BT553" s="13">
        <v>23490.0</v>
      </c>
      <c r="BU553" s="13" t="s">
        <v>5540</v>
      </c>
      <c r="BV553" s="13" t="s">
        <v>4856</v>
      </c>
      <c r="BW553" s="13" t="str">
        <f>VLOOKUP($BT553,Enriched!$A$2:$E$1070,5,false)</f>
        <v>["Transportation &amp; Service Corridors"]</v>
      </c>
      <c r="BX553" s="13" t="str">
        <f>VLOOKUP($BT553,Enriched!$A$2:$E$1070,4,false)</f>
        <v>["Roads &amp; railroads"]</v>
      </c>
      <c r="BY553" s="13" t="b">
        <f>VLOOKUP(BT553,Enriched!$A$1:$AA$1070,27,falsE)</f>
        <v>0</v>
      </c>
      <c r="BZ553" s="2" t="str">
        <f>VLOOKUP(BT553,Enriched!$A$1:$AA$1070,14,falsE)</f>
        <v>level2</v>
      </c>
      <c r="CA553" s="13" t="str">
        <f>HYPERLINK("https%3A%2F%2Fwww.webofscience.com%2Fwos%2Fwoscc%2Ffull-record%2FWOS:000399900400008","View Full Record in Web of Science")</f>
        <v>View Full Record in Web of Science</v>
      </c>
    </row>
    <row r="554" ht="12.75" customHeight="1">
      <c r="A554" s="13" t="s">
        <v>5508</v>
      </c>
      <c r="B554" s="13" t="s">
        <v>15416</v>
      </c>
      <c r="C554" s="13" t="s">
        <v>5510</v>
      </c>
      <c r="D554" s="13" t="s">
        <v>5510</v>
      </c>
      <c r="E554" s="13" t="s">
        <v>5510</v>
      </c>
      <c r="F554" s="13" t="s">
        <v>15417</v>
      </c>
      <c r="G554" s="13" t="s">
        <v>5510</v>
      </c>
      <c r="H554" s="13" t="s">
        <v>5510</v>
      </c>
      <c r="I554" s="13" t="s">
        <v>1339</v>
      </c>
      <c r="J554" s="13" t="s">
        <v>9546</v>
      </c>
      <c r="K554" s="13" t="s">
        <v>5510</v>
      </c>
      <c r="L554" s="13" t="s">
        <v>5510</v>
      </c>
      <c r="M554" s="13" t="s">
        <v>5513</v>
      </c>
      <c r="N554" s="13" t="s">
        <v>5514</v>
      </c>
      <c r="O554" s="13" t="s">
        <v>5510</v>
      </c>
      <c r="P554" s="13" t="s">
        <v>5510</v>
      </c>
      <c r="Q554" s="13" t="s">
        <v>5510</v>
      </c>
      <c r="R554" s="13" t="s">
        <v>5510</v>
      </c>
      <c r="S554" s="13" t="s">
        <v>5510</v>
      </c>
      <c r="T554" s="13" t="s">
        <v>15418</v>
      </c>
      <c r="U554" s="13" t="s">
        <v>15419</v>
      </c>
      <c r="V554" s="13" t="s">
        <v>15420</v>
      </c>
      <c r="W554" s="13" t="s">
        <v>15421</v>
      </c>
      <c r="X554" s="13" t="s">
        <v>5510</v>
      </c>
      <c r="Y554" s="13" t="s">
        <v>15422</v>
      </c>
      <c r="Z554" s="13" t="s">
        <v>15423</v>
      </c>
      <c r="AA554" s="13" t="s">
        <v>15424</v>
      </c>
      <c r="AB554" s="13" t="s">
        <v>15425</v>
      </c>
      <c r="AC554" s="13" t="s">
        <v>15426</v>
      </c>
      <c r="AD554" s="13" t="s">
        <v>15426</v>
      </c>
      <c r="AE554" s="13" t="s">
        <v>15427</v>
      </c>
      <c r="AF554" s="13" t="s">
        <v>5510</v>
      </c>
      <c r="AG554" s="13">
        <v>70.0</v>
      </c>
      <c r="AH554" s="13">
        <v>114.0</v>
      </c>
      <c r="AI554" s="13">
        <v>125.0</v>
      </c>
      <c r="AJ554" s="13">
        <v>1.0</v>
      </c>
      <c r="AK554" s="13">
        <v>123.0</v>
      </c>
      <c r="AL554" s="13" t="s">
        <v>7450</v>
      </c>
      <c r="AM554" s="13" t="s">
        <v>6046</v>
      </c>
      <c r="AN554" s="13" t="s">
        <v>7451</v>
      </c>
      <c r="AO554" s="13" t="s">
        <v>9559</v>
      </c>
      <c r="AP554" s="13" t="s">
        <v>9560</v>
      </c>
      <c r="AQ554" s="13" t="s">
        <v>5510</v>
      </c>
      <c r="AR554" s="13" t="s">
        <v>9561</v>
      </c>
      <c r="AS554" s="13" t="s">
        <v>9562</v>
      </c>
      <c r="AT554" s="13" t="s">
        <v>12301</v>
      </c>
      <c r="AU554" s="13">
        <v>2016.0</v>
      </c>
      <c r="AV554" s="13">
        <v>180.0</v>
      </c>
      <c r="AW554" s="13" t="s">
        <v>5510</v>
      </c>
      <c r="AX554" s="13" t="s">
        <v>5510</v>
      </c>
      <c r="AY554" s="13" t="s">
        <v>5510</v>
      </c>
      <c r="AZ554" s="13" t="s">
        <v>5510</v>
      </c>
      <c r="BA554" s="13" t="s">
        <v>5510</v>
      </c>
      <c r="BB554" s="13">
        <v>409.0</v>
      </c>
      <c r="BC554" s="13">
        <v>420.0</v>
      </c>
      <c r="BD554" s="13" t="s">
        <v>5510</v>
      </c>
      <c r="BE554" s="13" t="s">
        <v>15428</v>
      </c>
      <c r="BF554" s="52" t="str">
        <f>HYPERLINK("http://dx.doi.org/10.1016/j.jenvman.2016.05.040","http://dx.doi.org/10.1016/j.jenvman.2016.05.040")</f>
        <v>http://dx.doi.org/10.1016/j.jenvman.2016.05.040</v>
      </c>
      <c r="BG554" s="13" t="s">
        <v>5510</v>
      </c>
      <c r="BH554" s="13" t="s">
        <v>5510</v>
      </c>
      <c r="BI554" s="13">
        <v>12.0</v>
      </c>
      <c r="BJ554" s="13" t="s">
        <v>5768</v>
      </c>
      <c r="BK554" s="13" t="s">
        <v>5561</v>
      </c>
      <c r="BL554" s="13" t="s">
        <v>5535</v>
      </c>
      <c r="BM554" s="13" t="s">
        <v>15429</v>
      </c>
      <c r="BN554" s="13">
        <v>2.726234E7</v>
      </c>
      <c r="BO554" s="13" t="s">
        <v>5510</v>
      </c>
      <c r="BP554" s="13" t="s">
        <v>5510</v>
      </c>
      <c r="BQ554" s="13" t="s">
        <v>5510</v>
      </c>
      <c r="BR554" s="13" t="s">
        <v>5538</v>
      </c>
      <c r="BS554" s="13" t="s">
        <v>15430</v>
      </c>
      <c r="BT554" s="13">
        <v>24901.0</v>
      </c>
      <c r="BU554" s="13" t="s">
        <v>5540</v>
      </c>
      <c r="BV554" s="13" t="s">
        <v>4856</v>
      </c>
      <c r="BW554" s="13" t="str">
        <f>VLOOKUP($BT554,Enriched!$A$2:$E$1070,5,false)</f>
        <v>["Energy Production &amp; Mining"]</v>
      </c>
      <c r="BX554" s="13" t="str">
        <f>VLOOKUP($BT554,Enriched!$A$2:$E$1070,4,false)</f>
        <v>["Mining &amp; quarrying"]</v>
      </c>
      <c r="BY554" s="13" t="b">
        <f>VLOOKUP(BT554,Enriched!$A$1:$AA$1070,27,falsE)</f>
        <v>0</v>
      </c>
      <c r="BZ554" s="2" t="str">
        <f>VLOOKUP(BT554,Enriched!$A$1:$AA$1070,14,falsE)</f>
        <v>level2</v>
      </c>
      <c r="CA554" s="13" t="str">
        <f>HYPERLINK("https%3A%2F%2Fwww.webofscience.com%2Fwos%2Fwoscc%2Ffull-record%2FWOS:000380418700044","View Full Record in Web of Science")</f>
        <v>View Full Record in Web of Science</v>
      </c>
    </row>
    <row r="555" ht="12.75" customHeight="1">
      <c r="A555" s="13" t="s">
        <v>5508</v>
      </c>
      <c r="B555" s="13" t="s">
        <v>15431</v>
      </c>
      <c r="C555" s="13" t="s">
        <v>5510</v>
      </c>
      <c r="D555" s="13" t="s">
        <v>5510</v>
      </c>
      <c r="E555" s="13" t="s">
        <v>5510</v>
      </c>
      <c r="F555" s="13" t="s">
        <v>15432</v>
      </c>
      <c r="G555" s="13" t="s">
        <v>5510</v>
      </c>
      <c r="H555" s="13" t="s">
        <v>5510</v>
      </c>
      <c r="I555" s="2" t="s">
        <v>1337</v>
      </c>
      <c r="J555" s="13" t="s">
        <v>13906</v>
      </c>
      <c r="K555" s="13" t="s">
        <v>5510</v>
      </c>
      <c r="L555" s="13" t="s">
        <v>5510</v>
      </c>
      <c r="M555" s="13" t="s">
        <v>5513</v>
      </c>
      <c r="N555" s="13" t="s">
        <v>6168</v>
      </c>
      <c r="O555" s="13" t="s">
        <v>5510</v>
      </c>
      <c r="P555" s="13" t="s">
        <v>5510</v>
      </c>
      <c r="Q555" s="13" t="s">
        <v>5510</v>
      </c>
      <c r="R555" s="13" t="s">
        <v>5510</v>
      </c>
      <c r="S555" s="13" t="s">
        <v>5510</v>
      </c>
      <c r="T555" s="13" t="s">
        <v>5510</v>
      </c>
      <c r="U555" s="13" t="s">
        <v>5510</v>
      </c>
      <c r="V555" s="13" t="s">
        <v>5510</v>
      </c>
      <c r="W555" s="13" t="s">
        <v>15433</v>
      </c>
      <c r="X555" s="13" t="s">
        <v>15434</v>
      </c>
      <c r="Y555" s="13" t="s">
        <v>15435</v>
      </c>
      <c r="Z555" s="13" t="s">
        <v>15436</v>
      </c>
      <c r="AA555" s="13" t="s">
        <v>15437</v>
      </c>
      <c r="AB555" s="13" t="s">
        <v>15438</v>
      </c>
      <c r="AC555" s="13" t="s">
        <v>5510</v>
      </c>
      <c r="AD555" s="13" t="s">
        <v>5510</v>
      </c>
      <c r="AE555" s="13" t="s">
        <v>5510</v>
      </c>
      <c r="AF555" s="13" t="s">
        <v>5510</v>
      </c>
      <c r="AG555" s="13">
        <v>1.0</v>
      </c>
      <c r="AH555" s="13">
        <v>67.0</v>
      </c>
      <c r="AI555" s="13">
        <v>76.0</v>
      </c>
      <c r="AJ555" s="13">
        <v>4.0</v>
      </c>
      <c r="AK555" s="13">
        <v>9.0</v>
      </c>
      <c r="AL555" s="13" t="s">
        <v>15439</v>
      </c>
      <c r="AM555" s="13" t="s">
        <v>13920</v>
      </c>
      <c r="AN555" s="13" t="s">
        <v>13921</v>
      </c>
      <c r="AO555" s="13" t="s">
        <v>13922</v>
      </c>
      <c r="AP555" s="13" t="s">
        <v>5510</v>
      </c>
      <c r="AQ555" s="13" t="s">
        <v>5510</v>
      </c>
      <c r="AR555" s="13" t="s">
        <v>13923</v>
      </c>
      <c r="AS555" s="13" t="s">
        <v>13924</v>
      </c>
      <c r="AT555" s="13" t="s">
        <v>2738</v>
      </c>
      <c r="AU555" s="13">
        <v>2015.0</v>
      </c>
      <c r="AV555" s="13">
        <v>10.0</v>
      </c>
      <c r="AW555" s="13">
        <v>2.0</v>
      </c>
      <c r="AX555" s="13" t="s">
        <v>5510</v>
      </c>
      <c r="AY555" s="13" t="s">
        <v>5510</v>
      </c>
      <c r="AZ555" s="13" t="s">
        <v>5510</v>
      </c>
      <c r="BA555" s="13" t="s">
        <v>5510</v>
      </c>
      <c r="BB555" s="13" t="s">
        <v>5510</v>
      </c>
      <c r="BC555" s="13" t="s">
        <v>5510</v>
      </c>
      <c r="BD555" s="13">
        <v>29501.0</v>
      </c>
      <c r="BE555" s="13" t="s">
        <v>15440</v>
      </c>
      <c r="BF555" s="52" t="str">
        <f>HYPERLINK("http://dx.doi.org/10.1088/1748-9326/10/2/029501","http://dx.doi.org/10.1088/1748-9326/10/2/029501")</f>
        <v>http://dx.doi.org/10.1088/1748-9326/10/2/029501</v>
      </c>
      <c r="BG555" s="13" t="s">
        <v>5510</v>
      </c>
      <c r="BH555" s="13" t="s">
        <v>5510</v>
      </c>
      <c r="BI555" s="13">
        <v>1.0</v>
      </c>
      <c r="BJ555" s="13" t="s">
        <v>13926</v>
      </c>
      <c r="BK555" s="13" t="s">
        <v>5561</v>
      </c>
      <c r="BL555" s="13" t="s">
        <v>9790</v>
      </c>
      <c r="BM555" s="13" t="s">
        <v>15441</v>
      </c>
      <c r="BN555" s="13" t="s">
        <v>5510</v>
      </c>
      <c r="BO555" s="13" t="s">
        <v>5537</v>
      </c>
      <c r="BP555" s="13" t="s">
        <v>5510</v>
      </c>
      <c r="BQ555" s="13" t="s">
        <v>5510</v>
      </c>
      <c r="BR555" s="13" t="s">
        <v>5538</v>
      </c>
      <c r="BS555" s="13" t="s">
        <v>15442</v>
      </c>
      <c r="BT555" s="13">
        <v>23083.0</v>
      </c>
      <c r="BU555" s="13" t="s">
        <v>5540</v>
      </c>
      <c r="BV555" s="13" t="s">
        <v>4856</v>
      </c>
      <c r="BW555" s="13" t="str">
        <f>VLOOKUP($BT555,Enriched!$A$2:$E$1070,5,false)</f>
        <v>["Energy Production &amp; Mining"]</v>
      </c>
      <c r="BX555" s="13" t="str">
        <f>VLOOKUP($BT555,Enriched!$A$2:$E$1070,4,false)</f>
        <v>["Mining &amp; quarrying"]</v>
      </c>
      <c r="BY555" s="13" t="b">
        <f>VLOOKUP(BT555,Enriched!$A$1:$AA$1070,27,falsE)</f>
        <v>0</v>
      </c>
      <c r="BZ555" s="2" t="str">
        <f>VLOOKUP(BT555,Enriched!$A$1:$AA$1070,14,falsE)</f>
        <v>level2</v>
      </c>
      <c r="CA555" s="13" t="str">
        <f>HYPERLINK("https%3A%2F%2Fwww.webofscience.com%2Fwos%2Fwoscc%2Ffull-record%2FWOS:000350573500028","View Full Record in Web of Science")</f>
        <v>View Full Record in Web of Science</v>
      </c>
    </row>
    <row r="556" ht="12.75" customHeight="1">
      <c r="A556" s="13" t="s">
        <v>5508</v>
      </c>
      <c r="B556" s="13" t="s">
        <v>15443</v>
      </c>
      <c r="C556" s="13" t="s">
        <v>5510</v>
      </c>
      <c r="D556" s="13" t="s">
        <v>5510</v>
      </c>
      <c r="E556" s="13" t="s">
        <v>5510</v>
      </c>
      <c r="F556" s="13" t="s">
        <v>15444</v>
      </c>
      <c r="G556" s="13" t="s">
        <v>5510</v>
      </c>
      <c r="H556" s="13" t="s">
        <v>5510</v>
      </c>
      <c r="I556" s="13" t="s">
        <v>1335</v>
      </c>
      <c r="J556" s="13" t="s">
        <v>7857</v>
      </c>
      <c r="K556" s="13" t="s">
        <v>5510</v>
      </c>
      <c r="L556" s="13" t="s">
        <v>5510</v>
      </c>
      <c r="M556" s="13" t="s">
        <v>5513</v>
      </c>
      <c r="N556" s="13" t="s">
        <v>5514</v>
      </c>
      <c r="O556" s="13" t="s">
        <v>5510</v>
      </c>
      <c r="P556" s="13" t="s">
        <v>5510</v>
      </c>
      <c r="Q556" s="13" t="s">
        <v>5510</v>
      </c>
      <c r="R556" s="13" t="s">
        <v>5510</v>
      </c>
      <c r="S556" s="13" t="s">
        <v>5510</v>
      </c>
      <c r="T556" s="13" t="s">
        <v>15445</v>
      </c>
      <c r="U556" s="13" t="s">
        <v>15446</v>
      </c>
      <c r="V556" s="13" t="s">
        <v>15447</v>
      </c>
      <c r="W556" s="13" t="s">
        <v>15448</v>
      </c>
      <c r="X556" s="13" t="s">
        <v>15449</v>
      </c>
      <c r="Y556" s="13" t="s">
        <v>15450</v>
      </c>
      <c r="Z556" s="13" t="s">
        <v>15451</v>
      </c>
      <c r="AA556" s="13" t="s">
        <v>15452</v>
      </c>
      <c r="AB556" s="13" t="s">
        <v>15453</v>
      </c>
      <c r="AC556" s="13" t="s">
        <v>15454</v>
      </c>
      <c r="AD556" s="13" t="s">
        <v>15455</v>
      </c>
      <c r="AE556" s="13" t="s">
        <v>15456</v>
      </c>
      <c r="AF556" s="13" t="s">
        <v>5510</v>
      </c>
      <c r="AG556" s="13">
        <v>60.0</v>
      </c>
      <c r="AH556" s="13">
        <v>632.0</v>
      </c>
      <c r="AI556" s="13">
        <v>719.0</v>
      </c>
      <c r="AJ556" s="13">
        <v>50.0</v>
      </c>
      <c r="AK556" s="13">
        <v>514.0</v>
      </c>
      <c r="AL556" s="13" t="s">
        <v>5527</v>
      </c>
      <c r="AM556" s="13" t="s">
        <v>5528</v>
      </c>
      <c r="AN556" s="13" t="s">
        <v>5529</v>
      </c>
      <c r="AO556" s="13" t="s">
        <v>7870</v>
      </c>
      <c r="AP556" s="13" t="s">
        <v>7871</v>
      </c>
      <c r="AQ556" s="13" t="s">
        <v>5510</v>
      </c>
      <c r="AR556" s="13" t="s">
        <v>7872</v>
      </c>
      <c r="AS556" s="13" t="s">
        <v>7873</v>
      </c>
      <c r="AT556" s="13" t="s">
        <v>2514</v>
      </c>
      <c r="AU556" s="13">
        <v>2020.0</v>
      </c>
      <c r="AV556" s="13">
        <v>26.0</v>
      </c>
      <c r="AW556" s="13">
        <v>10.0</v>
      </c>
      <c r="AX556" s="13" t="s">
        <v>5510</v>
      </c>
      <c r="AY556" s="13" t="s">
        <v>5510</v>
      </c>
      <c r="AZ556" s="13" t="s">
        <v>5510</v>
      </c>
      <c r="BA556" s="13" t="s">
        <v>5510</v>
      </c>
      <c r="BB556" s="13">
        <v>5844.0</v>
      </c>
      <c r="BC556" s="13">
        <v>5855.0</v>
      </c>
      <c r="BD556" s="13" t="s">
        <v>5510</v>
      </c>
      <c r="BE556" s="13" t="s">
        <v>15457</v>
      </c>
      <c r="BF556" s="52" t="str">
        <f>HYPERLINK("http://dx.doi.org/10.1111/gcb.15275","http://dx.doi.org/10.1111/gcb.15275")</f>
        <v>http://dx.doi.org/10.1111/gcb.15275</v>
      </c>
      <c r="BG556" s="13" t="s">
        <v>5510</v>
      </c>
      <c r="BH556" s="13" t="s">
        <v>5868</v>
      </c>
      <c r="BI556" s="13">
        <v>12.0</v>
      </c>
      <c r="BJ556" s="13" t="s">
        <v>5698</v>
      </c>
      <c r="BK556" s="13" t="s">
        <v>5561</v>
      </c>
      <c r="BL556" s="13" t="s">
        <v>5699</v>
      </c>
      <c r="BM556" s="13" t="s">
        <v>15458</v>
      </c>
      <c r="BN556" s="13">
        <v>3.2654309E7</v>
      </c>
      <c r="BO556" s="13" t="s">
        <v>15459</v>
      </c>
      <c r="BP556" s="13" t="s">
        <v>5510</v>
      </c>
      <c r="BQ556" s="13" t="s">
        <v>5510</v>
      </c>
      <c r="BR556" s="13" t="s">
        <v>5538</v>
      </c>
      <c r="BS556" s="13" t="s">
        <v>15460</v>
      </c>
      <c r="BT556" s="13">
        <v>24050.0</v>
      </c>
      <c r="BU556" s="13" t="s">
        <v>5540</v>
      </c>
      <c r="BV556" s="13" t="s">
        <v>4855</v>
      </c>
      <c r="BW556" s="13" t="str">
        <f>VLOOKUP($BT556,Enriched!$A$2:$E$1070,5,false)</f>
        <v>["Residential &amp; Commercial Development", "Agriculture &amp; Aquaculture", "Energy Production &amp; Mining"]</v>
      </c>
      <c r="BX556" s="13" t="str">
        <f>VLOOKUP($BT556,Enriched!$A$2:$E$1070,4,false)</f>
        <v>["Housing &amp; urban area", "Commercial &amp; industrial areas", "Annual &amp; perennial non-timber crops", "Marine &amp; freshwater aquaculture", "Oil &amp; gas drilling", "Mining &amp; quarrying"]</v>
      </c>
      <c r="BY556" s="13" t="b">
        <f>VLOOKUP(BT556,Enriched!$A$1:$AA$1070,27,falsE)</f>
        <v>0</v>
      </c>
      <c r="BZ556" s="2" t="str">
        <f>VLOOKUP(BT556,Enriched!$A$1:$AA$1070,14,falsE)</f>
        <v>level1</v>
      </c>
      <c r="CA556" s="13" t="str">
        <f>HYPERLINK("https%3A%2F%2Fwww.webofscience.com%2Fwos%2Fwoscc%2Ffull-record%2FWOS:000554504400001","View Full Record in Web of Science")</f>
        <v>View Full Record in Web of Science</v>
      </c>
    </row>
    <row r="557" ht="12.75" customHeight="1">
      <c r="A557" s="13" t="s">
        <v>5508</v>
      </c>
      <c r="B557" s="13" t="s">
        <v>15461</v>
      </c>
      <c r="C557" s="13" t="s">
        <v>5510</v>
      </c>
      <c r="D557" s="13" t="s">
        <v>5510</v>
      </c>
      <c r="E557" s="13" t="s">
        <v>5510</v>
      </c>
      <c r="F557" s="13" t="s">
        <v>15462</v>
      </c>
      <c r="G557" s="13" t="s">
        <v>5510</v>
      </c>
      <c r="H557" s="13" t="s">
        <v>5510</v>
      </c>
      <c r="I557" s="2" t="s">
        <v>1333</v>
      </c>
      <c r="J557" s="13" t="s">
        <v>5543</v>
      </c>
      <c r="K557" s="13" t="s">
        <v>5510</v>
      </c>
      <c r="L557" s="13" t="s">
        <v>5510</v>
      </c>
      <c r="M557" s="13" t="s">
        <v>5513</v>
      </c>
      <c r="N557" s="13" t="s">
        <v>5514</v>
      </c>
      <c r="O557" s="13" t="s">
        <v>5510</v>
      </c>
      <c r="P557" s="13" t="s">
        <v>5510</v>
      </c>
      <c r="Q557" s="13" t="s">
        <v>5510</v>
      </c>
      <c r="R557" s="13" t="s">
        <v>5510</v>
      </c>
      <c r="S557" s="13" t="s">
        <v>5510</v>
      </c>
      <c r="T557" s="13" t="s">
        <v>5510</v>
      </c>
      <c r="U557" s="13" t="s">
        <v>15463</v>
      </c>
      <c r="V557" s="13" t="s">
        <v>15464</v>
      </c>
      <c r="W557" s="13" t="s">
        <v>15465</v>
      </c>
      <c r="X557" s="13" t="s">
        <v>15466</v>
      </c>
      <c r="Y557" s="13" t="s">
        <v>15467</v>
      </c>
      <c r="Z557" s="13" t="s">
        <v>11622</v>
      </c>
      <c r="AA557" s="13" t="s">
        <v>15468</v>
      </c>
      <c r="AB557" s="13" t="s">
        <v>15469</v>
      </c>
      <c r="AC557" s="13" t="s">
        <v>15470</v>
      </c>
      <c r="AD557" s="13" t="s">
        <v>15471</v>
      </c>
      <c r="AE557" s="13" t="s">
        <v>15472</v>
      </c>
      <c r="AF557" s="13" t="s">
        <v>5510</v>
      </c>
      <c r="AG557" s="13">
        <v>221.0</v>
      </c>
      <c r="AH557" s="13">
        <v>313.0</v>
      </c>
      <c r="AI557" s="13">
        <v>391.0</v>
      </c>
      <c r="AJ557" s="13">
        <v>2.0</v>
      </c>
      <c r="AK557" s="13">
        <v>218.0</v>
      </c>
      <c r="AL557" s="13" t="s">
        <v>5552</v>
      </c>
      <c r="AM557" s="13" t="s">
        <v>5553</v>
      </c>
      <c r="AN557" s="13" t="s">
        <v>5554</v>
      </c>
      <c r="AO557" s="13" t="s">
        <v>5555</v>
      </c>
      <c r="AP557" s="13" t="s">
        <v>5510</v>
      </c>
      <c r="AQ557" s="13" t="s">
        <v>5510</v>
      </c>
      <c r="AR557" s="13" t="s">
        <v>5543</v>
      </c>
      <c r="AS557" s="13" t="s">
        <v>5556</v>
      </c>
      <c r="AT557" s="13" t="s">
        <v>15473</v>
      </c>
      <c r="AU557" s="13">
        <v>2010.0</v>
      </c>
      <c r="AV557" s="13">
        <v>5.0</v>
      </c>
      <c r="AW557" s="13">
        <v>1.0</v>
      </c>
      <c r="AX557" s="13" t="s">
        <v>5510</v>
      </c>
      <c r="AY557" s="13" t="s">
        <v>5510</v>
      </c>
      <c r="AZ557" s="13" t="s">
        <v>5510</v>
      </c>
      <c r="BA557" s="13" t="s">
        <v>5510</v>
      </c>
      <c r="BB557" s="13" t="s">
        <v>5510</v>
      </c>
      <c r="BC557" s="13" t="s">
        <v>5510</v>
      </c>
      <c r="BD557" s="13" t="s">
        <v>15474</v>
      </c>
      <c r="BE557" s="13" t="s">
        <v>15475</v>
      </c>
      <c r="BF557" s="52" t="str">
        <f>HYPERLINK("http://dx.doi.org/10.1371/journal.pone.0008767","http://dx.doi.org/10.1371/journal.pone.0008767")</f>
        <v>http://dx.doi.org/10.1371/journal.pone.0008767</v>
      </c>
      <c r="BG557" s="13" t="s">
        <v>5510</v>
      </c>
      <c r="BH557" s="13" t="s">
        <v>5510</v>
      </c>
      <c r="BI557" s="13">
        <v>22.0</v>
      </c>
      <c r="BJ557" s="13" t="s">
        <v>5560</v>
      </c>
      <c r="BK557" s="13" t="s">
        <v>5561</v>
      </c>
      <c r="BL557" s="13" t="s">
        <v>5562</v>
      </c>
      <c r="BM557" s="13" t="s">
        <v>15476</v>
      </c>
      <c r="BN557" s="13">
        <v>2.0098736E7</v>
      </c>
      <c r="BO557" s="13" t="s">
        <v>5564</v>
      </c>
      <c r="BP557" s="13" t="s">
        <v>5510</v>
      </c>
      <c r="BQ557" s="13" t="s">
        <v>5510</v>
      </c>
      <c r="BR557" s="13" t="s">
        <v>5538</v>
      </c>
      <c r="BS557" s="13" t="s">
        <v>15477</v>
      </c>
      <c r="BT557" s="13">
        <v>23242.0</v>
      </c>
      <c r="BU557" s="13" t="s">
        <v>5540</v>
      </c>
      <c r="BV557" s="13" t="s">
        <v>4856</v>
      </c>
      <c r="BW557" s="13" t="str">
        <f>VLOOKUP($BT557,Enriched!$A$2:$E$1070,5,false)</f>
        <v>["Energy Production &amp; Mining"]</v>
      </c>
      <c r="BX557" s="13" t="str">
        <f>VLOOKUP($BT557,Enriched!$A$2:$E$1070,4,false)</f>
        <v>["Oil &amp; gas drilling"]</v>
      </c>
      <c r="BY557" s="13" t="b">
        <f>VLOOKUP(BT557,Enriched!$A$1:$AA$1070,27,falsE)</f>
        <v>0</v>
      </c>
      <c r="BZ557" s="2" t="str">
        <f>VLOOKUP(BT557,Enriched!$A$1:$AA$1070,14,falsE)</f>
        <v>level2</v>
      </c>
      <c r="CA557" s="13" t="str">
        <f>HYPERLINK("https%3A%2F%2Fwww.webofscience.com%2Fwos%2Fwoscc%2Ffull-record%2FWOS:000273778900011","View Full Record in Web of Science")</f>
        <v>View Full Record in Web of Science</v>
      </c>
    </row>
    <row r="558" ht="12.75" customHeight="1">
      <c r="A558" s="13" t="s">
        <v>5508</v>
      </c>
      <c r="B558" s="13" t="s">
        <v>15478</v>
      </c>
      <c r="C558" s="13" t="s">
        <v>5510</v>
      </c>
      <c r="D558" s="13" t="s">
        <v>5510</v>
      </c>
      <c r="E558" s="13" t="s">
        <v>5510</v>
      </c>
      <c r="F558" s="13" t="s">
        <v>15479</v>
      </c>
      <c r="G558" s="13" t="s">
        <v>5510</v>
      </c>
      <c r="H558" s="13" t="s">
        <v>5510</v>
      </c>
      <c r="I558" s="13" t="s">
        <v>15480</v>
      </c>
      <c r="J558" s="13" t="s">
        <v>5543</v>
      </c>
      <c r="K558" s="13" t="s">
        <v>5510</v>
      </c>
      <c r="L558" s="13" t="s">
        <v>5510</v>
      </c>
      <c r="M558" s="13" t="s">
        <v>5513</v>
      </c>
      <c r="N558" s="13" t="s">
        <v>5514</v>
      </c>
      <c r="O558" s="13" t="s">
        <v>5510</v>
      </c>
      <c r="P558" s="13" t="s">
        <v>5510</v>
      </c>
      <c r="Q558" s="13" t="s">
        <v>5510</v>
      </c>
      <c r="R558" s="13" t="s">
        <v>5510</v>
      </c>
      <c r="S558" s="13" t="s">
        <v>5510</v>
      </c>
      <c r="T558" s="13" t="s">
        <v>5510</v>
      </c>
      <c r="U558" s="13" t="s">
        <v>15481</v>
      </c>
      <c r="V558" s="13" t="s">
        <v>15482</v>
      </c>
      <c r="W558" s="13" t="s">
        <v>15483</v>
      </c>
      <c r="X558" s="13" t="s">
        <v>15484</v>
      </c>
      <c r="Y558" s="13" t="s">
        <v>15485</v>
      </c>
      <c r="Z558" s="13" t="s">
        <v>15486</v>
      </c>
      <c r="AA558" s="13" t="s">
        <v>15487</v>
      </c>
      <c r="AB558" s="13" t="s">
        <v>15488</v>
      </c>
      <c r="AC558" s="13" t="s">
        <v>15489</v>
      </c>
      <c r="AD558" s="13" t="s">
        <v>15489</v>
      </c>
      <c r="AE558" s="13" t="s">
        <v>15490</v>
      </c>
      <c r="AF558" s="13" t="s">
        <v>5510</v>
      </c>
      <c r="AG558" s="13">
        <v>43.0</v>
      </c>
      <c r="AH558" s="13">
        <v>434.0</v>
      </c>
      <c r="AI558" s="13">
        <v>510.0</v>
      </c>
      <c r="AJ558" s="13">
        <v>0.0</v>
      </c>
      <c r="AK558" s="13">
        <v>202.0</v>
      </c>
      <c r="AL558" s="13" t="s">
        <v>5552</v>
      </c>
      <c r="AM558" s="13" t="s">
        <v>5553</v>
      </c>
      <c r="AN558" s="13" t="s">
        <v>5554</v>
      </c>
      <c r="AO558" s="13" t="s">
        <v>5555</v>
      </c>
      <c r="AP558" s="13" t="s">
        <v>5510</v>
      </c>
      <c r="AQ558" s="13" t="s">
        <v>5510</v>
      </c>
      <c r="AR558" s="13" t="s">
        <v>5543</v>
      </c>
      <c r="AS558" s="13" t="s">
        <v>5556</v>
      </c>
      <c r="AT558" s="13" t="s">
        <v>15491</v>
      </c>
      <c r="AU558" s="13">
        <v>2011.0</v>
      </c>
      <c r="AV558" s="13">
        <v>6.0</v>
      </c>
      <c r="AW558" s="13">
        <v>9.0</v>
      </c>
      <c r="AX558" s="13" t="s">
        <v>5510</v>
      </c>
      <c r="AY558" s="13" t="s">
        <v>5510</v>
      </c>
      <c r="AZ558" s="13" t="s">
        <v>5510</v>
      </c>
      <c r="BA558" s="13" t="s">
        <v>5510</v>
      </c>
      <c r="BB558" s="13" t="s">
        <v>5510</v>
      </c>
      <c r="BC558" s="13" t="s">
        <v>5510</v>
      </c>
      <c r="BD558" s="13" t="s">
        <v>15492</v>
      </c>
      <c r="BE558" s="13" t="s">
        <v>15493</v>
      </c>
      <c r="BF558" s="52" t="str">
        <f>HYPERLINK("http://dx.doi.org/10.1371/journal.pone.0024510","http://dx.doi.org/10.1371/journal.pone.0024510")</f>
        <v>http://dx.doi.org/10.1371/journal.pone.0024510</v>
      </c>
      <c r="BG558" s="13" t="s">
        <v>5510</v>
      </c>
      <c r="BH558" s="13" t="s">
        <v>5510</v>
      </c>
      <c r="BI558" s="13">
        <v>14.0</v>
      </c>
      <c r="BJ558" s="13" t="s">
        <v>5560</v>
      </c>
      <c r="BK558" s="13" t="s">
        <v>5561</v>
      </c>
      <c r="BL558" s="13" t="s">
        <v>5562</v>
      </c>
      <c r="BM558" s="13" t="s">
        <v>15494</v>
      </c>
      <c r="BN558" s="13">
        <v>2.1969858E7</v>
      </c>
      <c r="BO558" s="13" t="s">
        <v>5564</v>
      </c>
      <c r="BP558" s="13" t="s">
        <v>5510</v>
      </c>
      <c r="BQ558" s="13" t="s">
        <v>5510</v>
      </c>
      <c r="BR558" s="13" t="s">
        <v>5538</v>
      </c>
      <c r="BS558" s="13" t="s">
        <v>15495</v>
      </c>
      <c r="BT558" s="13">
        <v>25952.0</v>
      </c>
      <c r="BU558" s="13" t="s">
        <v>5540</v>
      </c>
      <c r="BV558" s="13" t="s">
        <v>4864</v>
      </c>
      <c r="BW558" s="13" t="str">
        <f>VLOOKUP($BT558,Enriched!$A$2:$E$1070,5,false)</f>
        <v>["Biological Resource Use", "Residential &amp; Commercial Development", "Pollution", "Climate Change &amp; Severe Weather"]</v>
      </c>
      <c r="BX558" s="13" t="str">
        <f>VLOOKUP($BT558,Enriched!$A$2:$E$1070,4,false)</f>
        <v>["Fishing &amp; harvesting aquatic resources", "Habitat shifting &amp; alteration"]</v>
      </c>
      <c r="BY558" s="13" t="b">
        <f>VLOOKUP(BT558,Enriched!$A$1:$AA$1070,27,falsE)</f>
        <v>1</v>
      </c>
      <c r="BZ558" s="2" t="str">
        <f>VLOOKUP(BT558,Enriched!$A$1:$AA$1070,14,falsE)</f>
        <v>cumulative</v>
      </c>
      <c r="CA558" s="13" t="str">
        <f>HYPERLINK("https%3A%2F%2Fwww.webofscience.com%2Fwos%2Fwoscc%2Ffull-record%2FWOS:000295936900009","View Full Record in Web of Science")</f>
        <v>View Full Record in Web of Science</v>
      </c>
    </row>
    <row r="559" ht="12.75" customHeight="1">
      <c r="A559" s="13" t="s">
        <v>5508</v>
      </c>
      <c r="B559" s="13" t="s">
        <v>15496</v>
      </c>
      <c r="C559" s="13" t="s">
        <v>5510</v>
      </c>
      <c r="D559" s="13" t="s">
        <v>5510</v>
      </c>
      <c r="E559" s="13" t="s">
        <v>5510</v>
      </c>
      <c r="F559" s="13" t="s">
        <v>15497</v>
      </c>
      <c r="G559" s="13" t="s">
        <v>5510</v>
      </c>
      <c r="H559" s="13" t="s">
        <v>5510</v>
      </c>
      <c r="I559" s="13" t="s">
        <v>1328</v>
      </c>
      <c r="J559" s="13" t="s">
        <v>7857</v>
      </c>
      <c r="K559" s="13" t="s">
        <v>5510</v>
      </c>
      <c r="L559" s="13" t="s">
        <v>5510</v>
      </c>
      <c r="M559" s="13" t="s">
        <v>5513</v>
      </c>
      <c r="N559" s="13" t="s">
        <v>5514</v>
      </c>
      <c r="O559" s="13" t="s">
        <v>5510</v>
      </c>
      <c r="P559" s="13" t="s">
        <v>5510</v>
      </c>
      <c r="Q559" s="13" t="s">
        <v>5510</v>
      </c>
      <c r="R559" s="13" t="s">
        <v>5510</v>
      </c>
      <c r="S559" s="13" t="s">
        <v>5510</v>
      </c>
      <c r="T559" s="13" t="s">
        <v>15498</v>
      </c>
      <c r="U559" s="13" t="s">
        <v>15499</v>
      </c>
      <c r="V559" s="13" t="s">
        <v>15500</v>
      </c>
      <c r="W559" s="13" t="s">
        <v>15501</v>
      </c>
      <c r="X559" s="13" t="s">
        <v>15502</v>
      </c>
      <c r="Y559" s="13" t="s">
        <v>15503</v>
      </c>
      <c r="Z559" s="13" t="s">
        <v>15504</v>
      </c>
      <c r="AA559" s="13" t="s">
        <v>15505</v>
      </c>
      <c r="AB559" s="13" t="s">
        <v>15506</v>
      </c>
      <c r="AC559" s="13" t="s">
        <v>15507</v>
      </c>
      <c r="AD559" s="13" t="s">
        <v>15508</v>
      </c>
      <c r="AE559" s="13" t="s">
        <v>15509</v>
      </c>
      <c r="AF559" s="13" t="s">
        <v>5510</v>
      </c>
      <c r="AG559" s="13">
        <v>74.0</v>
      </c>
      <c r="AH559" s="13">
        <v>13.0</v>
      </c>
      <c r="AI559" s="13">
        <v>17.0</v>
      </c>
      <c r="AJ559" s="13">
        <v>2.0</v>
      </c>
      <c r="AK559" s="13">
        <v>64.0</v>
      </c>
      <c r="AL559" s="13" t="s">
        <v>5527</v>
      </c>
      <c r="AM559" s="13" t="s">
        <v>5528</v>
      </c>
      <c r="AN559" s="13" t="s">
        <v>5529</v>
      </c>
      <c r="AO559" s="13" t="s">
        <v>7870</v>
      </c>
      <c r="AP559" s="13" t="s">
        <v>7871</v>
      </c>
      <c r="AQ559" s="13" t="s">
        <v>5510</v>
      </c>
      <c r="AR559" s="13" t="s">
        <v>7872</v>
      </c>
      <c r="AS559" s="13" t="s">
        <v>7873</v>
      </c>
      <c r="AT559" s="13" t="s">
        <v>5720</v>
      </c>
      <c r="AU559" s="13">
        <v>2019.0</v>
      </c>
      <c r="AV559" s="13">
        <v>25.0</v>
      </c>
      <c r="AW559" s="13">
        <v>6.0</v>
      </c>
      <c r="AX559" s="13" t="s">
        <v>5510</v>
      </c>
      <c r="AY559" s="13" t="s">
        <v>5510</v>
      </c>
      <c r="AZ559" s="13" t="s">
        <v>5510</v>
      </c>
      <c r="BA559" s="13" t="s">
        <v>5510</v>
      </c>
      <c r="BB559" s="13">
        <v>2009.0</v>
      </c>
      <c r="BC559" s="13">
        <v>2020.0</v>
      </c>
      <c r="BD559" s="13" t="s">
        <v>5510</v>
      </c>
      <c r="BE559" s="13" t="s">
        <v>15510</v>
      </c>
      <c r="BF559" s="52" t="str">
        <f>HYPERLINK("http://dx.doi.org/10.1111/gcb.14616","http://dx.doi.org/10.1111/gcb.14616")</f>
        <v>http://dx.doi.org/10.1111/gcb.14616</v>
      </c>
      <c r="BG559" s="13" t="s">
        <v>5510</v>
      </c>
      <c r="BH559" s="13" t="s">
        <v>5510</v>
      </c>
      <c r="BI559" s="13">
        <v>12.0</v>
      </c>
      <c r="BJ559" s="13" t="s">
        <v>5698</v>
      </c>
      <c r="BK559" s="13" t="s">
        <v>5561</v>
      </c>
      <c r="BL559" s="13" t="s">
        <v>5699</v>
      </c>
      <c r="BM559" s="13" t="s">
        <v>15511</v>
      </c>
      <c r="BN559" s="13">
        <v>3.0854759E7</v>
      </c>
      <c r="BO559" s="13" t="s">
        <v>5510</v>
      </c>
      <c r="BP559" s="13" t="s">
        <v>5510</v>
      </c>
      <c r="BQ559" s="13" t="s">
        <v>5510</v>
      </c>
      <c r="BR559" s="13" t="s">
        <v>5538</v>
      </c>
      <c r="BS559" s="13" t="s">
        <v>15512</v>
      </c>
      <c r="BT559" s="13">
        <v>25903.0</v>
      </c>
      <c r="BU559" s="13" t="s">
        <v>5540</v>
      </c>
      <c r="BV559" s="13" t="s">
        <v>4864</v>
      </c>
      <c r="BW559" s="13" t="str">
        <f>VLOOKUP($BT559,Enriched!$A$2:$E$1070,5,false)</f>
        <v>["Energy Production &amp; Mining"]</v>
      </c>
      <c r="BX559" s="13" t="str">
        <f>VLOOKUP($BT559,Enriched!$A$2:$E$1070,4,false)</f>
        <v>["Oil &amp; gas drilling"]</v>
      </c>
      <c r="BY559" s="13" t="b">
        <f>VLOOKUP(BT559,Enriched!$A$1:$AA$1070,27,falsE)</f>
        <v>0</v>
      </c>
      <c r="BZ559" s="2" t="str">
        <f>VLOOKUP(BT559,Enriched!$A$1:$AA$1070,14,falsE)</f>
        <v>level2</v>
      </c>
      <c r="CA559" s="13" t="str">
        <f>HYPERLINK("https%3A%2F%2Fwww.webofscience.com%2Fwos%2Fwoscc%2Ffull-record%2FWOS:000467441900012","View Full Record in Web of Science")</f>
        <v>View Full Record in Web of Science</v>
      </c>
    </row>
    <row r="560" ht="12.75" customHeight="1">
      <c r="A560" s="13" t="s">
        <v>5508</v>
      </c>
      <c r="B560" s="13" t="s">
        <v>15513</v>
      </c>
      <c r="C560" s="13" t="s">
        <v>5510</v>
      </c>
      <c r="D560" s="13" t="s">
        <v>5510</v>
      </c>
      <c r="E560" s="13" t="s">
        <v>5510</v>
      </c>
      <c r="F560" s="13" t="s">
        <v>15514</v>
      </c>
      <c r="G560" s="13" t="s">
        <v>5510</v>
      </c>
      <c r="H560" s="13" t="s">
        <v>5510</v>
      </c>
      <c r="I560" s="13" t="s">
        <v>1325</v>
      </c>
      <c r="J560" s="13" t="s">
        <v>5919</v>
      </c>
      <c r="K560" s="13" t="s">
        <v>5510</v>
      </c>
      <c r="L560" s="13" t="s">
        <v>5510</v>
      </c>
      <c r="M560" s="13" t="s">
        <v>5513</v>
      </c>
      <c r="N560" s="13" t="s">
        <v>5514</v>
      </c>
      <c r="O560" s="13" t="s">
        <v>5510</v>
      </c>
      <c r="P560" s="13" t="s">
        <v>5510</v>
      </c>
      <c r="Q560" s="13" t="s">
        <v>5510</v>
      </c>
      <c r="R560" s="13" t="s">
        <v>5510</v>
      </c>
      <c r="S560" s="13" t="s">
        <v>5510</v>
      </c>
      <c r="T560" s="13" t="s">
        <v>15515</v>
      </c>
      <c r="U560" s="13" t="s">
        <v>15516</v>
      </c>
      <c r="V560" s="13" t="s">
        <v>15517</v>
      </c>
      <c r="W560" s="13" t="s">
        <v>15518</v>
      </c>
      <c r="X560" s="13" t="s">
        <v>15519</v>
      </c>
      <c r="Y560" s="13" t="s">
        <v>15520</v>
      </c>
      <c r="Z560" s="13" t="s">
        <v>15521</v>
      </c>
      <c r="AA560" s="13" t="s">
        <v>15522</v>
      </c>
      <c r="AB560" s="13" t="s">
        <v>15523</v>
      </c>
      <c r="AC560" s="13" t="s">
        <v>15524</v>
      </c>
      <c r="AD560" s="13" t="s">
        <v>15525</v>
      </c>
      <c r="AE560" s="13" t="s">
        <v>15526</v>
      </c>
      <c r="AF560" s="13" t="s">
        <v>5510</v>
      </c>
      <c r="AG560" s="13">
        <v>49.0</v>
      </c>
      <c r="AH560" s="13">
        <v>72.0</v>
      </c>
      <c r="AI560" s="13">
        <v>89.0</v>
      </c>
      <c r="AJ560" s="13">
        <v>4.0</v>
      </c>
      <c r="AK560" s="13">
        <v>151.0</v>
      </c>
      <c r="AL560" s="13" t="s">
        <v>5931</v>
      </c>
      <c r="AM560" s="13" t="s">
        <v>5932</v>
      </c>
      <c r="AN560" s="13" t="s">
        <v>5933</v>
      </c>
      <c r="AO560" s="13" t="s">
        <v>5934</v>
      </c>
      <c r="AP560" s="13" t="s">
        <v>5935</v>
      </c>
      <c r="AQ560" s="13" t="s">
        <v>5510</v>
      </c>
      <c r="AR560" s="13" t="s">
        <v>5936</v>
      </c>
      <c r="AS560" s="13" t="s">
        <v>5937</v>
      </c>
      <c r="AT560" s="13" t="s">
        <v>5978</v>
      </c>
      <c r="AU560" s="13">
        <v>2016.0</v>
      </c>
      <c r="AV560" s="13">
        <v>204.0</v>
      </c>
      <c r="AW560" s="13" t="s">
        <v>5510</v>
      </c>
      <c r="AX560" s="13" t="s">
        <v>8616</v>
      </c>
      <c r="AY560" s="13" t="s">
        <v>5510</v>
      </c>
      <c r="AZ560" s="13" t="s">
        <v>5510</v>
      </c>
      <c r="BA560" s="13" t="s">
        <v>5510</v>
      </c>
      <c r="BB560" s="13">
        <v>333.0</v>
      </c>
      <c r="BC560" s="13">
        <v>339.0</v>
      </c>
      <c r="BD560" s="13" t="s">
        <v>5510</v>
      </c>
      <c r="BE560" s="13" t="s">
        <v>15527</v>
      </c>
      <c r="BF560" s="52" t="str">
        <f>HYPERLINK("http://dx.doi.org/10.1016/j.biocon.2016.10.005","http://dx.doi.org/10.1016/j.biocon.2016.10.005")</f>
        <v>http://dx.doi.org/10.1016/j.biocon.2016.10.005</v>
      </c>
      <c r="BG560" s="13" t="s">
        <v>5510</v>
      </c>
      <c r="BH560" s="13" t="s">
        <v>5510</v>
      </c>
      <c r="BI560" s="13">
        <v>7.0</v>
      </c>
      <c r="BJ560" s="13" t="s">
        <v>5698</v>
      </c>
      <c r="BK560" s="13" t="s">
        <v>5561</v>
      </c>
      <c r="BL560" s="13" t="s">
        <v>5699</v>
      </c>
      <c r="BM560" s="13" t="s">
        <v>15528</v>
      </c>
      <c r="BN560" s="13" t="s">
        <v>5510</v>
      </c>
      <c r="BO560" s="13" t="s">
        <v>5510</v>
      </c>
      <c r="BP560" s="13" t="s">
        <v>5510</v>
      </c>
      <c r="BQ560" s="13" t="s">
        <v>5510</v>
      </c>
      <c r="BR560" s="13" t="s">
        <v>5538</v>
      </c>
      <c r="BS560" s="13" t="s">
        <v>15529</v>
      </c>
      <c r="BT560" s="13">
        <v>24307.0</v>
      </c>
      <c r="BU560" s="13" t="s">
        <v>5540</v>
      </c>
      <c r="BV560" s="13" t="s">
        <v>4864</v>
      </c>
      <c r="BW560" s="13" t="str">
        <f>VLOOKUP($BT560,Enriched!$A$2:$E$1070,5,false)</f>
        <v>["Residential &amp; Commercial Development", "Energy Production &amp; Mining", "Transportation &amp; Service Corridors", "Biological Resource Use", "Invasive &amp; Other Problematic Species, Genes &amp; Diseases", "Pollution", "Climate Change &amp; Severe Weather"]</v>
      </c>
      <c r="BX560" s="13" t="str">
        <f>VLOOKUP($BT560,Enriched!$A$2:$E$1070,4,false)</f>
        <v>["Commercial &amp; industrial areas", "Oil &amp; gas drilling", "Shipping lanes", "Fishing &amp; harvesting aquatic resources", "Invasive non-native/alien species/diseases", "Domestic &amp; urban waste water", "Habitat shifting &amp; alteration", "Temperature extremes", "Other impacts"]</v>
      </c>
      <c r="BY560" s="13" t="b">
        <f>VLOOKUP(BT560,Enriched!$A$1:$AA$1070,27,falsE)</f>
        <v>1</v>
      </c>
      <c r="BZ560" s="2" t="str">
        <f>VLOOKUP(BT560,Enriched!$A$1:$AA$1070,14,falsE)</f>
        <v>cumulative</v>
      </c>
      <c r="CA560" s="13" t="str">
        <f>HYPERLINK("https%3A%2F%2Fwww.webofscience.com%2Fwos%2Fwoscc%2Ffull-record%2FWOS:000390968900023","View Full Record in Web of Science")</f>
        <v>View Full Record in Web of Science</v>
      </c>
    </row>
    <row r="561" ht="12.75" customHeight="1">
      <c r="A561" s="13" t="s">
        <v>5508</v>
      </c>
      <c r="B561" s="13" t="s">
        <v>15530</v>
      </c>
      <c r="C561" s="13" t="s">
        <v>5510</v>
      </c>
      <c r="D561" s="13" t="s">
        <v>5510</v>
      </c>
      <c r="E561" s="13" t="s">
        <v>5510</v>
      </c>
      <c r="F561" s="13" t="s">
        <v>15531</v>
      </c>
      <c r="G561" s="13" t="s">
        <v>5510</v>
      </c>
      <c r="H561" s="13" t="s">
        <v>5510</v>
      </c>
      <c r="I561" s="13" t="s">
        <v>1322</v>
      </c>
      <c r="J561" s="13" t="s">
        <v>6333</v>
      </c>
      <c r="K561" s="13" t="s">
        <v>5510</v>
      </c>
      <c r="L561" s="13" t="s">
        <v>5510</v>
      </c>
      <c r="M561" s="13" t="s">
        <v>5513</v>
      </c>
      <c r="N561" s="13" t="s">
        <v>5514</v>
      </c>
      <c r="O561" s="13" t="s">
        <v>5510</v>
      </c>
      <c r="P561" s="13" t="s">
        <v>5510</v>
      </c>
      <c r="Q561" s="13" t="s">
        <v>5510</v>
      </c>
      <c r="R561" s="13" t="s">
        <v>5510</v>
      </c>
      <c r="S561" s="13" t="s">
        <v>5510</v>
      </c>
      <c r="T561" s="13" t="s">
        <v>15532</v>
      </c>
      <c r="U561" s="13" t="s">
        <v>15533</v>
      </c>
      <c r="V561" s="13" t="s">
        <v>15534</v>
      </c>
      <c r="W561" s="13" t="s">
        <v>15535</v>
      </c>
      <c r="X561" s="13" t="s">
        <v>15536</v>
      </c>
      <c r="Y561" s="13" t="s">
        <v>15537</v>
      </c>
      <c r="Z561" s="13" t="s">
        <v>15538</v>
      </c>
      <c r="AA561" s="13" t="s">
        <v>15539</v>
      </c>
      <c r="AB561" s="13" t="s">
        <v>15540</v>
      </c>
      <c r="AC561" s="13" t="s">
        <v>15541</v>
      </c>
      <c r="AD561" s="13" t="s">
        <v>15542</v>
      </c>
      <c r="AE561" s="13" t="s">
        <v>15543</v>
      </c>
      <c r="AF561" s="13" t="s">
        <v>5510</v>
      </c>
      <c r="AG561" s="13">
        <v>71.0</v>
      </c>
      <c r="AH561" s="13">
        <v>250.0</v>
      </c>
      <c r="AI561" s="13">
        <v>295.0</v>
      </c>
      <c r="AJ561" s="13">
        <v>0.0</v>
      </c>
      <c r="AK561" s="13">
        <v>243.0</v>
      </c>
      <c r="AL561" s="13" t="s">
        <v>5527</v>
      </c>
      <c r="AM561" s="13" t="s">
        <v>5528</v>
      </c>
      <c r="AN561" s="13" t="s">
        <v>5529</v>
      </c>
      <c r="AO561" s="13" t="s">
        <v>6342</v>
      </c>
      <c r="AP561" s="13" t="s">
        <v>6343</v>
      </c>
      <c r="AQ561" s="13" t="s">
        <v>5510</v>
      </c>
      <c r="AR561" s="13" t="s">
        <v>6344</v>
      </c>
      <c r="AS561" s="13" t="s">
        <v>6345</v>
      </c>
      <c r="AT561" s="13" t="s">
        <v>2738</v>
      </c>
      <c r="AU561" s="13">
        <v>2014.0</v>
      </c>
      <c r="AV561" s="13">
        <v>28.0</v>
      </c>
      <c r="AW561" s="13">
        <v>1.0</v>
      </c>
      <c r="AX561" s="13" t="s">
        <v>5510</v>
      </c>
      <c r="AY561" s="13" t="s">
        <v>5510</v>
      </c>
      <c r="AZ561" s="13" t="s">
        <v>5510</v>
      </c>
      <c r="BA561" s="13" t="s">
        <v>5510</v>
      </c>
      <c r="BB561" s="13">
        <v>129.0</v>
      </c>
      <c r="BC561" s="13">
        <v>139.0</v>
      </c>
      <c r="BD561" s="13" t="s">
        <v>5510</v>
      </c>
      <c r="BE561" s="13" t="s">
        <v>15544</v>
      </c>
      <c r="BF561" s="52" t="str">
        <f>HYPERLINK("http://dx.doi.org/10.1111/cobi.12126","http://dx.doi.org/10.1111/cobi.12126")</f>
        <v>http://dx.doi.org/10.1111/cobi.12126</v>
      </c>
      <c r="BG561" s="13" t="s">
        <v>5510</v>
      </c>
      <c r="BH561" s="13" t="s">
        <v>5510</v>
      </c>
      <c r="BI561" s="13">
        <v>11.0</v>
      </c>
      <c r="BJ561" s="13" t="s">
        <v>5698</v>
      </c>
      <c r="BK561" s="13" t="s">
        <v>5561</v>
      </c>
      <c r="BL561" s="13" t="s">
        <v>5699</v>
      </c>
      <c r="BM561" s="13" t="s">
        <v>12689</v>
      </c>
      <c r="BN561" s="13">
        <v>2.3914794E7</v>
      </c>
      <c r="BO561" s="13" t="s">
        <v>6028</v>
      </c>
      <c r="BP561" s="13" t="s">
        <v>5510</v>
      </c>
      <c r="BQ561" s="13" t="s">
        <v>5510</v>
      </c>
      <c r="BR561" s="13" t="s">
        <v>5538</v>
      </c>
      <c r="BS561" s="13" t="s">
        <v>15545</v>
      </c>
      <c r="BT561" s="13">
        <v>25512.0</v>
      </c>
      <c r="BU561" s="13" t="s">
        <v>9118</v>
      </c>
      <c r="BV561" s="13" t="s">
        <v>4864</v>
      </c>
      <c r="BW561" s="13" t="str">
        <f>VLOOKUP($BT561,Enriched!$A$2:$E$1070,5,false)</f>
        <v>["Pollution"]</v>
      </c>
      <c r="BX561" s="13" t="str">
        <f>VLOOKUP($BT561,Enriched!$A$2:$E$1070,4,false)</f>
        <v>["Garbage &amp; solid waste"]</v>
      </c>
      <c r="BY561" s="13" t="b">
        <f>VLOOKUP(BT561,Enriched!$A$1:$AA$1070,27,falsE)</f>
        <v>0</v>
      </c>
      <c r="BZ561" s="2" t="str">
        <f>VLOOKUP(BT561,Enriched!$A$1:$AA$1070,14,falsE)</f>
        <v>level2</v>
      </c>
      <c r="CA561" s="13" t="str">
        <f>HYPERLINK("https%3A%2F%2Fwww.webofscience.com%2Fwos%2Fwoscc%2Ffull-record%2FWOS:000330265900014","View Full Record in Web of Science")</f>
        <v>View Full Record in Web of Science</v>
      </c>
    </row>
    <row r="562" ht="12.75" customHeight="1">
      <c r="A562" s="13" t="s">
        <v>5508</v>
      </c>
      <c r="B562" s="13" t="s">
        <v>15546</v>
      </c>
      <c r="C562" s="13" t="s">
        <v>5510</v>
      </c>
      <c r="D562" s="13" t="s">
        <v>5510</v>
      </c>
      <c r="E562" s="13" t="s">
        <v>5510</v>
      </c>
      <c r="F562" s="13" t="s">
        <v>15547</v>
      </c>
      <c r="G562" s="13" t="s">
        <v>5510</v>
      </c>
      <c r="H562" s="13" t="s">
        <v>5510</v>
      </c>
      <c r="I562" s="13" t="s">
        <v>1320</v>
      </c>
      <c r="J562" s="13" t="s">
        <v>5963</v>
      </c>
      <c r="K562" s="13" t="s">
        <v>5510</v>
      </c>
      <c r="L562" s="13" t="s">
        <v>5510</v>
      </c>
      <c r="M562" s="13" t="s">
        <v>5513</v>
      </c>
      <c r="N562" s="13" t="s">
        <v>5514</v>
      </c>
      <c r="O562" s="13" t="s">
        <v>5510</v>
      </c>
      <c r="P562" s="13" t="s">
        <v>5510</v>
      </c>
      <c r="Q562" s="13" t="s">
        <v>5510</v>
      </c>
      <c r="R562" s="13" t="s">
        <v>5510</v>
      </c>
      <c r="S562" s="13" t="s">
        <v>5510</v>
      </c>
      <c r="T562" s="13" t="s">
        <v>15548</v>
      </c>
      <c r="U562" s="13" t="s">
        <v>15549</v>
      </c>
      <c r="V562" s="13" t="s">
        <v>15550</v>
      </c>
      <c r="W562" s="13" t="s">
        <v>15551</v>
      </c>
      <c r="X562" s="13" t="s">
        <v>15552</v>
      </c>
      <c r="Y562" s="13" t="s">
        <v>15553</v>
      </c>
      <c r="Z562" s="13" t="s">
        <v>15554</v>
      </c>
      <c r="AA562" s="13" t="s">
        <v>15555</v>
      </c>
      <c r="AB562" s="13" t="s">
        <v>15556</v>
      </c>
      <c r="AC562" s="13" t="s">
        <v>15557</v>
      </c>
      <c r="AD562" s="13" t="s">
        <v>15558</v>
      </c>
      <c r="AE562" s="13" t="s">
        <v>15559</v>
      </c>
      <c r="AF562" s="13" t="s">
        <v>5510</v>
      </c>
      <c r="AG562" s="13">
        <v>34.0</v>
      </c>
      <c r="AH562" s="13">
        <v>8.0</v>
      </c>
      <c r="AI562" s="13">
        <v>10.0</v>
      </c>
      <c r="AJ562" s="13">
        <v>1.0</v>
      </c>
      <c r="AK562" s="13">
        <v>24.0</v>
      </c>
      <c r="AL562" s="13" t="s">
        <v>5690</v>
      </c>
      <c r="AM562" s="13" t="s">
        <v>5691</v>
      </c>
      <c r="AN562" s="13" t="s">
        <v>5692</v>
      </c>
      <c r="AO562" s="13" t="s">
        <v>5975</v>
      </c>
      <c r="AP562" s="13" t="s">
        <v>8269</v>
      </c>
      <c r="AQ562" s="13" t="s">
        <v>5510</v>
      </c>
      <c r="AR562" s="13" t="s">
        <v>5976</v>
      </c>
      <c r="AS562" s="13" t="s">
        <v>5977</v>
      </c>
      <c r="AT562" s="13" t="s">
        <v>5667</v>
      </c>
      <c r="AU562" s="13">
        <v>2018.0</v>
      </c>
      <c r="AV562" s="13">
        <v>190.0</v>
      </c>
      <c r="AW562" s="13">
        <v>7.0</v>
      </c>
      <c r="AX562" s="13" t="s">
        <v>5510</v>
      </c>
      <c r="AY562" s="13" t="s">
        <v>5510</v>
      </c>
      <c r="AZ562" s="13" t="s">
        <v>5510</v>
      </c>
      <c r="BA562" s="13" t="s">
        <v>5510</v>
      </c>
      <c r="BB562" s="13" t="s">
        <v>5510</v>
      </c>
      <c r="BC562" s="13" t="s">
        <v>5510</v>
      </c>
      <c r="BD562" s="13">
        <v>405.0</v>
      </c>
      <c r="BE562" s="13" t="s">
        <v>15560</v>
      </c>
      <c r="BF562" s="52" t="str">
        <f>HYPERLINK("http://dx.doi.org/10.1007/s10661-018-6753-9","http://dx.doi.org/10.1007/s10661-018-6753-9")</f>
        <v>http://dx.doi.org/10.1007/s10661-018-6753-9</v>
      </c>
      <c r="BG562" s="13" t="s">
        <v>5510</v>
      </c>
      <c r="BH562" s="13" t="s">
        <v>5510</v>
      </c>
      <c r="BI562" s="13">
        <v>12.0</v>
      </c>
      <c r="BJ562" s="13" t="s">
        <v>5768</v>
      </c>
      <c r="BK562" s="13" t="s">
        <v>5561</v>
      </c>
      <c r="BL562" s="13" t="s">
        <v>5535</v>
      </c>
      <c r="BM562" s="13" t="s">
        <v>15561</v>
      </c>
      <c r="BN562" s="13">
        <v>2.9907889E7</v>
      </c>
      <c r="BO562" s="13" t="s">
        <v>5510</v>
      </c>
      <c r="BP562" s="13" t="s">
        <v>5510</v>
      </c>
      <c r="BQ562" s="13" t="s">
        <v>5510</v>
      </c>
      <c r="BR562" s="13" t="s">
        <v>5538</v>
      </c>
      <c r="BS562" s="13" t="s">
        <v>15562</v>
      </c>
      <c r="BT562" s="13">
        <v>23759.0</v>
      </c>
      <c r="BU562" s="13" t="s">
        <v>5540</v>
      </c>
      <c r="BV562" s="13" t="s">
        <v>4856</v>
      </c>
      <c r="BW562" s="13" t="str">
        <f>VLOOKUP($BT562,Enriched!$A$2:$E$1070,5,false)</f>
        <v>["Agriculture &amp; aquaculture"]</v>
      </c>
      <c r="BX562" s="13" t="str">
        <f>VLOOKUP($BT562,Enriched!$A$2:$E$1070,4,false)</f>
        <v>["Annual &amp; perennial non-timber crops"]</v>
      </c>
      <c r="BY562" s="13" t="b">
        <f>VLOOKUP(BT562,Enriched!$A$1:$AA$1070,27,falsE)</f>
        <v>0</v>
      </c>
      <c r="BZ562" s="2" t="str">
        <f>VLOOKUP(BT562,Enriched!$A$1:$AA$1070,14,falsE)</f>
        <v>level2</v>
      </c>
      <c r="CA562" s="13" t="str">
        <f>HYPERLINK("https%3A%2F%2Fwww.webofscience.com%2Fwos%2Fwoscc%2Ffull-record%2FWOS:000435548300003","View Full Record in Web of Science")</f>
        <v>View Full Record in Web of Science</v>
      </c>
    </row>
    <row r="563" ht="12.75" customHeight="1">
      <c r="A563" s="13" t="s">
        <v>5508</v>
      </c>
      <c r="B563" s="13" t="s">
        <v>15563</v>
      </c>
      <c r="C563" s="13" t="s">
        <v>5510</v>
      </c>
      <c r="D563" s="13" t="s">
        <v>5510</v>
      </c>
      <c r="E563" s="13" t="s">
        <v>5510</v>
      </c>
      <c r="F563" s="13" t="s">
        <v>15564</v>
      </c>
      <c r="G563" s="13" t="s">
        <v>5510</v>
      </c>
      <c r="H563" s="13" t="s">
        <v>5510</v>
      </c>
      <c r="I563" s="13" t="s">
        <v>1317</v>
      </c>
      <c r="J563" s="13" t="s">
        <v>5677</v>
      </c>
      <c r="K563" s="13" t="s">
        <v>5510</v>
      </c>
      <c r="L563" s="13" t="s">
        <v>5510</v>
      </c>
      <c r="M563" s="13" t="s">
        <v>5513</v>
      </c>
      <c r="N563" s="13" t="s">
        <v>5514</v>
      </c>
      <c r="O563" s="13" t="s">
        <v>5510</v>
      </c>
      <c r="P563" s="13" t="s">
        <v>5510</v>
      </c>
      <c r="Q563" s="13" t="s">
        <v>5510</v>
      </c>
      <c r="R563" s="13" t="s">
        <v>5510</v>
      </c>
      <c r="S563" s="13" t="s">
        <v>5510</v>
      </c>
      <c r="T563" s="13" t="s">
        <v>15565</v>
      </c>
      <c r="U563" s="13" t="s">
        <v>15566</v>
      </c>
      <c r="V563" s="13" t="s">
        <v>15567</v>
      </c>
      <c r="W563" s="13" t="s">
        <v>15568</v>
      </c>
      <c r="X563" s="13" t="s">
        <v>15569</v>
      </c>
      <c r="Y563" s="13" t="s">
        <v>15570</v>
      </c>
      <c r="Z563" s="13" t="s">
        <v>15571</v>
      </c>
      <c r="AA563" s="13" t="s">
        <v>15572</v>
      </c>
      <c r="AB563" s="13" t="s">
        <v>15573</v>
      </c>
      <c r="AC563" s="13" t="s">
        <v>15574</v>
      </c>
      <c r="AD563" s="13" t="s">
        <v>15574</v>
      </c>
      <c r="AE563" s="13" t="s">
        <v>15575</v>
      </c>
      <c r="AF563" s="13" t="s">
        <v>5510</v>
      </c>
      <c r="AG563" s="13">
        <v>83.0</v>
      </c>
      <c r="AH563" s="13">
        <v>24.0</v>
      </c>
      <c r="AI563" s="13">
        <v>26.0</v>
      </c>
      <c r="AJ563" s="13">
        <v>1.0</v>
      </c>
      <c r="AK563" s="13">
        <v>35.0</v>
      </c>
      <c r="AL563" s="13" t="s">
        <v>5690</v>
      </c>
      <c r="AM563" s="13" t="s">
        <v>5691</v>
      </c>
      <c r="AN563" s="13" t="s">
        <v>5692</v>
      </c>
      <c r="AO563" s="13" t="s">
        <v>5693</v>
      </c>
      <c r="AP563" s="13" t="s">
        <v>5694</v>
      </c>
      <c r="AQ563" s="13" t="s">
        <v>5510</v>
      </c>
      <c r="AR563" s="13" t="s">
        <v>5695</v>
      </c>
      <c r="AS563" s="13" t="s">
        <v>5696</v>
      </c>
      <c r="AT563" s="13" t="s">
        <v>2514</v>
      </c>
      <c r="AU563" s="13">
        <v>2013.0</v>
      </c>
      <c r="AV563" s="13">
        <v>22.0</v>
      </c>
      <c r="AW563" s="13">
        <v>11.0</v>
      </c>
      <c r="AX563" s="13" t="s">
        <v>5510</v>
      </c>
      <c r="AY563" s="13" t="s">
        <v>5510</v>
      </c>
      <c r="AZ563" s="13" t="s">
        <v>5510</v>
      </c>
      <c r="BA563" s="13" t="s">
        <v>5510</v>
      </c>
      <c r="BB563" s="13">
        <v>2537.0</v>
      </c>
      <c r="BC563" s="13">
        <v>2566.0</v>
      </c>
      <c r="BD563" s="13" t="s">
        <v>5510</v>
      </c>
      <c r="BE563" s="13" t="s">
        <v>15576</v>
      </c>
      <c r="BF563" s="52" t="str">
        <f>HYPERLINK("http://dx.doi.org/10.1007/s10531-013-0538-9","http://dx.doi.org/10.1007/s10531-013-0538-9")</f>
        <v>http://dx.doi.org/10.1007/s10531-013-0538-9</v>
      </c>
      <c r="BG563" s="13" t="s">
        <v>5510</v>
      </c>
      <c r="BH563" s="13" t="s">
        <v>5510</v>
      </c>
      <c r="BI563" s="13">
        <v>30.0</v>
      </c>
      <c r="BJ563" s="13" t="s">
        <v>5698</v>
      </c>
      <c r="BK563" s="13" t="s">
        <v>5561</v>
      </c>
      <c r="BL563" s="13" t="s">
        <v>5699</v>
      </c>
      <c r="BM563" s="13" t="s">
        <v>15577</v>
      </c>
      <c r="BN563" s="13" t="s">
        <v>5510</v>
      </c>
      <c r="BO563" s="13" t="s">
        <v>5510</v>
      </c>
      <c r="BP563" s="13" t="s">
        <v>5510</v>
      </c>
      <c r="BQ563" s="13" t="s">
        <v>5510</v>
      </c>
      <c r="BR563" s="13" t="s">
        <v>5538</v>
      </c>
      <c r="BS563" s="13" t="s">
        <v>15578</v>
      </c>
      <c r="BT563" s="13">
        <v>25296.0</v>
      </c>
      <c r="BU563" s="13" t="s">
        <v>5540</v>
      </c>
      <c r="BV563" s="13" t="s">
        <v>4856</v>
      </c>
      <c r="BW563" s="13" t="str">
        <f>VLOOKUP($BT563,Enriched!$A$2:$E$1070,5,false)</f>
        <v>["Agriculture &amp; Aquaculture"]</v>
      </c>
      <c r="BX563" s="13" t="str">
        <f>VLOOKUP($BT563,Enriched!$A$2:$E$1070,4,false)</f>
        <v>[ "Wood &amp; pulp plantations", "Housing &amp; urban area"]</v>
      </c>
      <c r="BY563" s="13" t="b">
        <f>VLOOKUP(BT563,Enriched!$A$1:$AA$1070,27,falsE)</f>
        <v>1</v>
      </c>
      <c r="BZ563" s="2" t="str">
        <f>VLOOKUP(BT563,Enriched!$A$1:$AA$1070,14,falsE)</f>
        <v>level2</v>
      </c>
      <c r="CA563" s="13" t="str">
        <f>HYPERLINK("https%3A%2F%2Fwww.webofscience.com%2Fwos%2Fwoscc%2Ffull-record%2FWOS:000324555300006","View Full Record in Web of Science")</f>
        <v>View Full Record in Web of Science</v>
      </c>
    </row>
    <row r="564" ht="12.75" customHeight="1">
      <c r="A564" s="13" t="s">
        <v>5508</v>
      </c>
      <c r="B564" s="13" t="s">
        <v>15579</v>
      </c>
      <c r="C564" s="13" t="s">
        <v>5510</v>
      </c>
      <c r="D564" s="13" t="s">
        <v>5510</v>
      </c>
      <c r="E564" s="13" t="s">
        <v>5510</v>
      </c>
      <c r="F564" s="13" t="s">
        <v>15580</v>
      </c>
      <c r="G564" s="13" t="s">
        <v>5510</v>
      </c>
      <c r="H564" s="13" t="s">
        <v>5510</v>
      </c>
      <c r="I564" s="13" t="s">
        <v>1313</v>
      </c>
      <c r="J564" s="13" t="s">
        <v>9000</v>
      </c>
      <c r="K564" s="13" t="s">
        <v>5510</v>
      </c>
      <c r="L564" s="13" t="s">
        <v>5510</v>
      </c>
      <c r="M564" s="13" t="s">
        <v>5513</v>
      </c>
      <c r="N564" s="13" t="s">
        <v>5514</v>
      </c>
      <c r="O564" s="13" t="s">
        <v>5510</v>
      </c>
      <c r="P564" s="13" t="s">
        <v>5510</v>
      </c>
      <c r="Q564" s="13" t="s">
        <v>5510</v>
      </c>
      <c r="R564" s="13" t="s">
        <v>5510</v>
      </c>
      <c r="S564" s="13" t="s">
        <v>5510</v>
      </c>
      <c r="T564" s="13" t="s">
        <v>15581</v>
      </c>
      <c r="U564" s="13" t="s">
        <v>15582</v>
      </c>
      <c r="V564" s="13" t="s">
        <v>15583</v>
      </c>
      <c r="W564" s="13" t="s">
        <v>15584</v>
      </c>
      <c r="X564" s="13" t="s">
        <v>8691</v>
      </c>
      <c r="Y564" s="13" t="s">
        <v>15585</v>
      </c>
      <c r="Z564" s="13" t="s">
        <v>15586</v>
      </c>
      <c r="AA564" s="13" t="s">
        <v>5510</v>
      </c>
      <c r="AB564" s="13" t="s">
        <v>5510</v>
      </c>
      <c r="AC564" s="13" t="s">
        <v>5510</v>
      </c>
      <c r="AD564" s="13" t="s">
        <v>5510</v>
      </c>
      <c r="AE564" s="13" t="s">
        <v>5510</v>
      </c>
      <c r="AF564" s="13" t="s">
        <v>5510</v>
      </c>
      <c r="AG564" s="13">
        <v>12.0</v>
      </c>
      <c r="AH564" s="13">
        <v>15.0</v>
      </c>
      <c r="AI564" s="13">
        <v>17.0</v>
      </c>
      <c r="AJ564" s="13">
        <v>0.0</v>
      </c>
      <c r="AK564" s="13">
        <v>25.0</v>
      </c>
      <c r="AL564" s="13" t="s">
        <v>5690</v>
      </c>
      <c r="AM564" s="13" t="s">
        <v>6503</v>
      </c>
      <c r="AN564" s="13" t="s">
        <v>7040</v>
      </c>
      <c r="AO564" s="13" t="s">
        <v>9011</v>
      </c>
      <c r="AP564" s="13" t="s">
        <v>9012</v>
      </c>
      <c r="AQ564" s="13" t="s">
        <v>5510</v>
      </c>
      <c r="AR564" s="13" t="s">
        <v>9013</v>
      </c>
      <c r="AS564" s="13" t="s">
        <v>9014</v>
      </c>
      <c r="AT564" s="13" t="s">
        <v>5978</v>
      </c>
      <c r="AU564" s="13">
        <v>2009.0</v>
      </c>
      <c r="AV564" s="13">
        <v>37.0</v>
      </c>
      <c r="AW564" s="13">
        <v>4.0</v>
      </c>
      <c r="AX564" s="13" t="s">
        <v>5510</v>
      </c>
      <c r="AY564" s="13" t="s">
        <v>5510</v>
      </c>
      <c r="AZ564" s="13" t="s">
        <v>5510</v>
      </c>
      <c r="BA564" s="13" t="s">
        <v>5510</v>
      </c>
      <c r="BB564" s="13">
        <v>573.0</v>
      </c>
      <c r="BC564" s="13">
        <v>585.0</v>
      </c>
      <c r="BD564" s="13" t="s">
        <v>5510</v>
      </c>
      <c r="BE564" s="13" t="s">
        <v>15587</v>
      </c>
      <c r="BF564" s="52" t="str">
        <f>HYPERLINK("http://dx.doi.org/10.1007/s12524-009-0052-4","http://dx.doi.org/10.1007/s12524-009-0052-4")</f>
        <v>http://dx.doi.org/10.1007/s12524-009-0052-4</v>
      </c>
      <c r="BG564" s="13" t="s">
        <v>5510</v>
      </c>
      <c r="BH564" s="13" t="s">
        <v>5510</v>
      </c>
      <c r="BI564" s="13">
        <v>13.0</v>
      </c>
      <c r="BJ564" s="13" t="s">
        <v>9016</v>
      </c>
      <c r="BK564" s="13" t="s">
        <v>5561</v>
      </c>
      <c r="BL564" s="13" t="s">
        <v>9017</v>
      </c>
      <c r="BM564" s="13" t="s">
        <v>15588</v>
      </c>
      <c r="BN564" s="13" t="s">
        <v>5510</v>
      </c>
      <c r="BO564" s="13" t="s">
        <v>5510</v>
      </c>
      <c r="BP564" s="13" t="s">
        <v>5510</v>
      </c>
      <c r="BQ564" s="13" t="s">
        <v>5510</v>
      </c>
      <c r="BR564" s="13" t="s">
        <v>5538</v>
      </c>
      <c r="BS564" s="13" t="s">
        <v>15589</v>
      </c>
      <c r="BT564" s="13">
        <v>25600.0</v>
      </c>
      <c r="BU564" s="13" t="s">
        <v>5540</v>
      </c>
      <c r="BV564" s="13" t="s">
        <v>4856</v>
      </c>
      <c r="BW564" s="13" t="str">
        <f>VLOOKUP($BT564,Enriched!$A$2:$E$1070,5,false)</f>
        <v>["Agriculture &amp; Aquaculture"]</v>
      </c>
      <c r="BX564" s="13" t="str">
        <f>VLOOKUP($BT564,Enriched!$A$2:$E$1070,4,false)</f>
        <v>["Wood &amp; pulp plantations"]</v>
      </c>
      <c r="BY564" s="13" t="b">
        <f>VLOOKUP(BT564,Enriched!$A$1:$AA$1070,27,falsE)</f>
        <v>1</v>
      </c>
      <c r="BZ564" s="2" t="str">
        <f>VLOOKUP(BT564,Enriched!$A$1:$AA$1070,14,falsE)</f>
        <v>level2</v>
      </c>
      <c r="CA564" s="13" t="str">
        <f>HYPERLINK("https%3A%2F%2Fwww.webofscience.com%2Fwos%2Fwoscc%2Ffull-record%2FWOS:000276181400004","View Full Record in Web of Science")</f>
        <v>View Full Record in Web of Science</v>
      </c>
    </row>
    <row r="565" ht="12.75" customHeight="1">
      <c r="A565" s="13" t="s">
        <v>5508</v>
      </c>
      <c r="B565" s="13" t="s">
        <v>15590</v>
      </c>
      <c r="C565" s="13" t="s">
        <v>5510</v>
      </c>
      <c r="D565" s="13" t="s">
        <v>5510</v>
      </c>
      <c r="E565" s="13" t="s">
        <v>5510</v>
      </c>
      <c r="F565" s="13" t="s">
        <v>15591</v>
      </c>
      <c r="G565" s="13" t="s">
        <v>5510</v>
      </c>
      <c r="H565" s="13" t="s">
        <v>5510</v>
      </c>
      <c r="I565" s="13" t="s">
        <v>1310</v>
      </c>
      <c r="J565" s="13" t="s">
        <v>15592</v>
      </c>
      <c r="K565" s="13" t="s">
        <v>5510</v>
      </c>
      <c r="L565" s="13" t="s">
        <v>5510</v>
      </c>
      <c r="M565" s="13" t="s">
        <v>5513</v>
      </c>
      <c r="N565" s="13" t="s">
        <v>5514</v>
      </c>
      <c r="O565" s="13" t="s">
        <v>5510</v>
      </c>
      <c r="P565" s="13" t="s">
        <v>5510</v>
      </c>
      <c r="Q565" s="13" t="s">
        <v>5510</v>
      </c>
      <c r="R565" s="13" t="s">
        <v>5510</v>
      </c>
      <c r="S565" s="13" t="s">
        <v>5510</v>
      </c>
      <c r="T565" s="13" t="s">
        <v>5510</v>
      </c>
      <c r="U565" s="13" t="s">
        <v>5510</v>
      </c>
      <c r="V565" s="13" t="s">
        <v>15593</v>
      </c>
      <c r="W565" s="13" t="s">
        <v>15594</v>
      </c>
      <c r="X565" s="13" t="s">
        <v>15595</v>
      </c>
      <c r="Y565" s="13" t="s">
        <v>15596</v>
      </c>
      <c r="Z565" s="13" t="s">
        <v>12051</v>
      </c>
      <c r="AA565" s="13" t="s">
        <v>15597</v>
      </c>
      <c r="AB565" s="13" t="s">
        <v>15598</v>
      </c>
      <c r="AC565" s="13" t="s">
        <v>5510</v>
      </c>
      <c r="AD565" s="13" t="s">
        <v>5510</v>
      </c>
      <c r="AE565" s="13" t="s">
        <v>5510</v>
      </c>
      <c r="AF565" s="13" t="s">
        <v>5510</v>
      </c>
      <c r="AG565" s="13">
        <v>77.0</v>
      </c>
      <c r="AH565" s="13">
        <v>37.0</v>
      </c>
      <c r="AI565" s="13">
        <v>46.0</v>
      </c>
      <c r="AJ565" s="13">
        <v>0.0</v>
      </c>
      <c r="AK565" s="13">
        <v>13.0</v>
      </c>
      <c r="AL565" s="13" t="s">
        <v>15599</v>
      </c>
      <c r="AM565" s="13" t="s">
        <v>6046</v>
      </c>
      <c r="AN565" s="13" t="s">
        <v>11828</v>
      </c>
      <c r="AO565" s="13" t="s">
        <v>15600</v>
      </c>
      <c r="AP565" s="13" t="s">
        <v>15601</v>
      </c>
      <c r="AQ565" s="13" t="s">
        <v>5510</v>
      </c>
      <c r="AR565" s="13" t="s">
        <v>15602</v>
      </c>
      <c r="AS565" s="13" t="s">
        <v>15603</v>
      </c>
      <c r="AT565" s="13" t="s">
        <v>9192</v>
      </c>
      <c r="AU565" s="13">
        <v>2016.0</v>
      </c>
      <c r="AV565" s="13">
        <v>3.0</v>
      </c>
      <c r="AW565" s="13" t="s">
        <v>5510</v>
      </c>
      <c r="AX565" s="13" t="s">
        <v>5510</v>
      </c>
      <c r="AY565" s="13" t="s">
        <v>5510</v>
      </c>
      <c r="AZ565" s="13" t="s">
        <v>5510</v>
      </c>
      <c r="BA565" s="13" t="s">
        <v>5510</v>
      </c>
      <c r="BB565" s="13" t="s">
        <v>5510</v>
      </c>
      <c r="BC565" s="13" t="s">
        <v>5510</v>
      </c>
      <c r="BD565" s="13">
        <v>10.0</v>
      </c>
      <c r="BE565" s="13" t="s">
        <v>15604</v>
      </c>
      <c r="BF565" s="52" t="str">
        <f>HYPERLINK("http://dx.doi.org/10.1186/s40663-016-0069-4","http://dx.doi.org/10.1186/s40663-016-0069-4")</f>
        <v>http://dx.doi.org/10.1186/s40663-016-0069-4</v>
      </c>
      <c r="BG565" s="13" t="s">
        <v>5510</v>
      </c>
      <c r="BH565" s="13" t="s">
        <v>5510</v>
      </c>
      <c r="BI565" s="13">
        <v>15.0</v>
      </c>
      <c r="BJ565" s="13" t="s">
        <v>8294</v>
      </c>
      <c r="BK565" s="13" t="s">
        <v>5561</v>
      </c>
      <c r="BL565" s="13" t="s">
        <v>8294</v>
      </c>
      <c r="BM565" s="13" t="s">
        <v>15605</v>
      </c>
      <c r="BN565" s="13" t="s">
        <v>5510</v>
      </c>
      <c r="BO565" s="13" t="s">
        <v>5564</v>
      </c>
      <c r="BP565" s="13" t="s">
        <v>5510</v>
      </c>
      <c r="BQ565" s="13" t="s">
        <v>5510</v>
      </c>
      <c r="BR565" s="13" t="s">
        <v>5538</v>
      </c>
      <c r="BS565" s="13" t="s">
        <v>15606</v>
      </c>
      <c r="BT565" s="13">
        <v>25274.0</v>
      </c>
      <c r="BU565" s="13" t="s">
        <v>5540</v>
      </c>
      <c r="BV565" s="13" t="s">
        <v>4856</v>
      </c>
      <c r="BW565" s="13" t="str">
        <f>VLOOKUP($BT565,Enriched!$A$2:$E$1070,5,false)</f>
        <v>["Residential &amp; Commercial Development", "Agriculture &amp; Aquaculture"]</v>
      </c>
      <c r="BX565" s="13" t="str">
        <f>VLOOKUP($BT565,Enriched!$A$2:$E$1070,4,false)</f>
        <v>["Annual &amp; perennial non-timber crops"]</v>
      </c>
      <c r="BY565" s="13" t="b">
        <f>VLOOKUP(BT565,Enriched!$A$1:$AA$1070,27,falsE)</f>
        <v>1</v>
      </c>
      <c r="BZ565" s="2" t="str">
        <f>VLOOKUP(BT565,Enriched!$A$1:$AA$1070,14,falsE)</f>
        <v>level1</v>
      </c>
      <c r="CA565" s="13" t="str">
        <f>HYPERLINK("https%3A%2F%2Fwww.webofscience.com%2Fwos%2Fwoscc%2Ffull-record%2FWOS:000390032600001","View Full Record in Web of Science")</f>
        <v>View Full Record in Web of Science</v>
      </c>
    </row>
    <row r="566" ht="12.75" customHeight="1">
      <c r="A566" s="13" t="s">
        <v>5508</v>
      </c>
      <c r="B566" s="13" t="s">
        <v>15607</v>
      </c>
      <c r="C566" s="13" t="s">
        <v>5510</v>
      </c>
      <c r="D566" s="13" t="s">
        <v>5510</v>
      </c>
      <c r="E566" s="13" t="s">
        <v>5510</v>
      </c>
      <c r="F566" s="13" t="s">
        <v>15608</v>
      </c>
      <c r="G566" s="13" t="s">
        <v>5510</v>
      </c>
      <c r="H566" s="13" t="s">
        <v>5510</v>
      </c>
      <c r="I566" s="13" t="s">
        <v>15609</v>
      </c>
      <c r="J566" s="13" t="s">
        <v>15610</v>
      </c>
      <c r="K566" s="13" t="s">
        <v>5510</v>
      </c>
      <c r="L566" s="13" t="s">
        <v>5510</v>
      </c>
      <c r="M566" s="13" t="s">
        <v>5513</v>
      </c>
      <c r="N566" s="13" t="s">
        <v>5514</v>
      </c>
      <c r="O566" s="13" t="s">
        <v>5510</v>
      </c>
      <c r="P566" s="13" t="s">
        <v>5510</v>
      </c>
      <c r="Q566" s="13" t="s">
        <v>5510</v>
      </c>
      <c r="R566" s="13" t="s">
        <v>5510</v>
      </c>
      <c r="S566" s="13" t="s">
        <v>5510</v>
      </c>
      <c r="T566" s="13" t="s">
        <v>15611</v>
      </c>
      <c r="U566" s="13" t="s">
        <v>15612</v>
      </c>
      <c r="V566" s="13" t="s">
        <v>15613</v>
      </c>
      <c r="W566" s="13" t="s">
        <v>15614</v>
      </c>
      <c r="X566" s="13" t="s">
        <v>15615</v>
      </c>
      <c r="Y566" s="13" t="s">
        <v>15616</v>
      </c>
      <c r="Z566" s="13" t="s">
        <v>15617</v>
      </c>
      <c r="AA566" s="13" t="s">
        <v>15618</v>
      </c>
      <c r="AB566" s="13" t="s">
        <v>15619</v>
      </c>
      <c r="AC566" s="13" t="s">
        <v>15620</v>
      </c>
      <c r="AD566" s="13" t="s">
        <v>15621</v>
      </c>
      <c r="AE566" s="13" t="s">
        <v>15622</v>
      </c>
      <c r="AF566" s="13" t="s">
        <v>5510</v>
      </c>
      <c r="AG566" s="13">
        <v>58.0</v>
      </c>
      <c r="AH566" s="13">
        <v>12.0</v>
      </c>
      <c r="AI566" s="13">
        <v>12.0</v>
      </c>
      <c r="AJ566" s="13">
        <v>0.0</v>
      </c>
      <c r="AK566" s="13">
        <v>13.0</v>
      </c>
      <c r="AL566" s="13" t="s">
        <v>7385</v>
      </c>
      <c r="AM566" s="13" t="s">
        <v>7386</v>
      </c>
      <c r="AN566" s="13" t="s">
        <v>7387</v>
      </c>
      <c r="AO566" s="13" t="s">
        <v>15623</v>
      </c>
      <c r="AP566" s="13" t="s">
        <v>15624</v>
      </c>
      <c r="AQ566" s="13" t="s">
        <v>5510</v>
      </c>
      <c r="AR566" s="13" t="s">
        <v>15625</v>
      </c>
      <c r="AS566" s="13" t="s">
        <v>15626</v>
      </c>
      <c r="AT566" s="13" t="s">
        <v>5510</v>
      </c>
      <c r="AU566" s="13">
        <v>2018.0</v>
      </c>
      <c r="AV566" s="13">
        <v>9.0</v>
      </c>
      <c r="AW566" s="13">
        <v>1.0</v>
      </c>
      <c r="AX566" s="13" t="s">
        <v>5510</v>
      </c>
      <c r="AY566" s="13" t="s">
        <v>5510</v>
      </c>
      <c r="AZ566" s="13" t="s">
        <v>5510</v>
      </c>
      <c r="BA566" s="13" t="s">
        <v>5510</v>
      </c>
      <c r="BB566" s="13">
        <v>645.0</v>
      </c>
      <c r="BC566" s="13">
        <v>661.0</v>
      </c>
      <c r="BD566" s="13" t="s">
        <v>5510</v>
      </c>
      <c r="BE566" s="13" t="s">
        <v>15627</v>
      </c>
      <c r="BF566" s="52" t="str">
        <f>HYPERLINK("http://dx.doi.org/10.1080/19475705.2018.1470112","http://dx.doi.org/10.1080/19475705.2018.1470112")</f>
        <v>http://dx.doi.org/10.1080/19475705.2018.1470112</v>
      </c>
      <c r="BG566" s="13" t="s">
        <v>5510</v>
      </c>
      <c r="BH566" s="13" t="s">
        <v>5510</v>
      </c>
      <c r="BI566" s="13">
        <v>17.0</v>
      </c>
      <c r="BJ566" s="13" t="s">
        <v>15628</v>
      </c>
      <c r="BK566" s="13" t="s">
        <v>5561</v>
      </c>
      <c r="BL566" s="13" t="s">
        <v>15629</v>
      </c>
      <c r="BM566" s="13" t="s">
        <v>15630</v>
      </c>
      <c r="BN566" s="13" t="s">
        <v>5510</v>
      </c>
      <c r="BO566" s="13" t="s">
        <v>5564</v>
      </c>
      <c r="BP566" s="13" t="s">
        <v>5510</v>
      </c>
      <c r="BQ566" s="13" t="s">
        <v>5510</v>
      </c>
      <c r="BR566" s="13" t="s">
        <v>5538</v>
      </c>
      <c r="BS566" s="13" t="s">
        <v>15631</v>
      </c>
      <c r="BT566" s="13">
        <v>23052.0</v>
      </c>
      <c r="BU566" s="13" t="s">
        <v>5540</v>
      </c>
      <c r="BV566" s="13" t="s">
        <v>4856</v>
      </c>
      <c r="BW566" s="13" t="str">
        <f>VLOOKUP($BT566,Enriched!$A$2:$E$1070,5,false)</f>
        <v>["Climate change &amp; severe weather"]</v>
      </c>
      <c r="BX566" s="13" t="str">
        <f>VLOOKUP($BT566,Enriched!$A$2:$E$1070,4,false)</f>
        <v>["Habitat shifting &amp; alteration"]</v>
      </c>
      <c r="BY566" s="13" t="b">
        <f>VLOOKUP(BT566,Enriched!$A$1:$AA$1070,27,falsE)</f>
        <v>0</v>
      </c>
      <c r="BZ566" s="2" t="str">
        <f>VLOOKUP(BT566,Enriched!$A$1:$AA$1070,14,falsE)</f>
        <v>level2</v>
      </c>
      <c r="CA566" s="13" t="str">
        <f>HYPERLINK("https%3A%2F%2Fwww.webofscience.com%2Fwos%2Fwoscc%2Ffull-record%2FWOS:000452285800003","View Full Record in Web of Science")</f>
        <v>View Full Record in Web of Science</v>
      </c>
    </row>
    <row r="567" ht="12.75" customHeight="1">
      <c r="A567" s="13" t="s">
        <v>5508</v>
      </c>
      <c r="B567" s="13" t="s">
        <v>15632</v>
      </c>
      <c r="C567" s="13" t="s">
        <v>5510</v>
      </c>
      <c r="D567" s="13" t="s">
        <v>5510</v>
      </c>
      <c r="E567" s="13" t="s">
        <v>5510</v>
      </c>
      <c r="F567" s="13" t="s">
        <v>15633</v>
      </c>
      <c r="G567" s="13" t="s">
        <v>5510</v>
      </c>
      <c r="H567" s="13" t="s">
        <v>5510</v>
      </c>
      <c r="I567" s="13" t="s">
        <v>1302</v>
      </c>
      <c r="J567" s="13" t="s">
        <v>15634</v>
      </c>
      <c r="K567" s="13" t="s">
        <v>5510</v>
      </c>
      <c r="L567" s="13" t="s">
        <v>5510</v>
      </c>
      <c r="M567" s="13" t="s">
        <v>5513</v>
      </c>
      <c r="N567" s="13" t="s">
        <v>5514</v>
      </c>
      <c r="O567" s="13" t="s">
        <v>5510</v>
      </c>
      <c r="P567" s="13" t="s">
        <v>5510</v>
      </c>
      <c r="Q567" s="13" t="s">
        <v>5510</v>
      </c>
      <c r="R567" s="13" t="s">
        <v>5510</v>
      </c>
      <c r="S567" s="13" t="s">
        <v>5510</v>
      </c>
      <c r="T567" s="13" t="s">
        <v>15635</v>
      </c>
      <c r="U567" s="13" t="s">
        <v>15636</v>
      </c>
      <c r="V567" s="13" t="s">
        <v>15637</v>
      </c>
      <c r="W567" s="13" t="s">
        <v>15638</v>
      </c>
      <c r="X567" s="13" t="s">
        <v>15639</v>
      </c>
      <c r="Y567" s="13" t="s">
        <v>15640</v>
      </c>
      <c r="Z567" s="13" t="s">
        <v>15641</v>
      </c>
      <c r="AA567" s="13" t="s">
        <v>15642</v>
      </c>
      <c r="AB567" s="13" t="s">
        <v>15643</v>
      </c>
      <c r="AC567" s="13" t="s">
        <v>5510</v>
      </c>
      <c r="AD567" s="13" t="s">
        <v>5510</v>
      </c>
      <c r="AE567" s="13" t="s">
        <v>5510</v>
      </c>
      <c r="AF567" s="13" t="s">
        <v>5510</v>
      </c>
      <c r="AG567" s="13">
        <v>61.0</v>
      </c>
      <c r="AH567" s="13">
        <v>4.0</v>
      </c>
      <c r="AI567" s="13">
        <v>4.0</v>
      </c>
      <c r="AJ567" s="13">
        <v>1.0</v>
      </c>
      <c r="AK567" s="13">
        <v>20.0</v>
      </c>
      <c r="AL567" s="13" t="s">
        <v>5690</v>
      </c>
      <c r="AM567" s="13" t="s">
        <v>5691</v>
      </c>
      <c r="AN567" s="13" t="s">
        <v>5692</v>
      </c>
      <c r="AO567" s="13" t="s">
        <v>15644</v>
      </c>
      <c r="AP567" s="13" t="s">
        <v>15645</v>
      </c>
      <c r="AQ567" s="13" t="s">
        <v>5510</v>
      </c>
      <c r="AR567" s="13" t="s">
        <v>15646</v>
      </c>
      <c r="AS567" s="13" t="s">
        <v>15647</v>
      </c>
      <c r="AT567" s="13" t="s">
        <v>5978</v>
      </c>
      <c r="AU567" s="13">
        <v>2019.0</v>
      </c>
      <c r="AV567" s="13">
        <v>12.0</v>
      </c>
      <c r="AW567" s="13">
        <v>4.0</v>
      </c>
      <c r="AX567" s="13" t="s">
        <v>5510</v>
      </c>
      <c r="AY567" s="13" t="s">
        <v>5510</v>
      </c>
      <c r="AZ567" s="13" t="s">
        <v>5510</v>
      </c>
      <c r="BA567" s="13" t="s">
        <v>5510</v>
      </c>
      <c r="BB567" s="13">
        <v>847.0</v>
      </c>
      <c r="BC567" s="13">
        <v>870.0</v>
      </c>
      <c r="BD567" s="13" t="s">
        <v>5510</v>
      </c>
      <c r="BE567" s="13" t="s">
        <v>15648</v>
      </c>
      <c r="BF567" s="52" t="str">
        <f>HYPERLINK("http://dx.doi.org/10.1007/s12061-018-9272-8","http://dx.doi.org/10.1007/s12061-018-9272-8")</f>
        <v>http://dx.doi.org/10.1007/s12061-018-9272-8</v>
      </c>
      <c r="BG567" s="13" t="s">
        <v>5510</v>
      </c>
      <c r="BH567" s="13" t="s">
        <v>5510</v>
      </c>
      <c r="BI567" s="13">
        <v>24.0</v>
      </c>
      <c r="BJ567" s="13" t="s">
        <v>15649</v>
      </c>
      <c r="BK567" s="13" t="s">
        <v>8375</v>
      </c>
      <c r="BL567" s="13" t="s">
        <v>15650</v>
      </c>
      <c r="BM567" s="13" t="s">
        <v>15651</v>
      </c>
      <c r="BN567" s="13" t="s">
        <v>5510</v>
      </c>
      <c r="BO567" s="13" t="s">
        <v>6623</v>
      </c>
      <c r="BP567" s="13" t="s">
        <v>5510</v>
      </c>
      <c r="BQ567" s="13" t="s">
        <v>5510</v>
      </c>
      <c r="BR567" s="13" t="s">
        <v>5538</v>
      </c>
      <c r="BS567" s="13" t="s">
        <v>15652</v>
      </c>
      <c r="BT567" s="13">
        <v>23938.0</v>
      </c>
      <c r="BU567" s="13" t="s">
        <v>5540</v>
      </c>
      <c r="BV567" s="13" t="s">
        <v>4856</v>
      </c>
      <c r="BW567" s="13" t="str">
        <f>VLOOKUP($BT567,Enriched!$A$2:$E$1070,5,false)</f>
        <v>["Residential &amp; Commercial Development", "Agriculture &amp; Aquaculture", "Transportation &amp; Service Corridors"]</v>
      </c>
      <c r="BX567" s="13" t="str">
        <f>VLOOKUP($BT567,Enriched!$A$2:$E$1070,4,false)</f>
        <v>["Housing &amp; urban area", "Commercial &amp; industrial areas", "Tourism &amp; recreation areas", "Annual &amp; perennial non-timber crops", "Wood &amp; pulp plantations", "Livestock farming &amp; ranching", "Roads &amp; railroads"]</v>
      </c>
      <c r="BY567" s="13" t="b">
        <f>VLOOKUP(BT567,Enriched!$A$1:$AA$1070,27,falsE)</f>
        <v>0</v>
      </c>
      <c r="BZ567" s="2" t="str">
        <f>VLOOKUP(BT567,Enriched!$A$1:$AA$1070,14,falsE)</f>
        <v>level1</v>
      </c>
      <c r="CA567" s="13" t="str">
        <f>HYPERLINK("https%3A%2F%2Fwww.webofscience.com%2Fwos%2Fwoscc%2Ffull-record%2FWOS:000501905800005","View Full Record in Web of Science")</f>
        <v>View Full Record in Web of Science</v>
      </c>
    </row>
    <row r="568" ht="12.75" customHeight="1">
      <c r="A568" s="13" t="s">
        <v>5508</v>
      </c>
      <c r="B568" s="13" t="s">
        <v>15653</v>
      </c>
      <c r="C568" s="13" t="s">
        <v>5510</v>
      </c>
      <c r="D568" s="13" t="s">
        <v>5510</v>
      </c>
      <c r="E568" s="13" t="s">
        <v>5510</v>
      </c>
      <c r="F568" s="13" t="s">
        <v>15654</v>
      </c>
      <c r="G568" s="13" t="s">
        <v>5510</v>
      </c>
      <c r="H568" s="13" t="s">
        <v>5510</v>
      </c>
      <c r="I568" s="13" t="s">
        <v>1299</v>
      </c>
      <c r="J568" s="13" t="s">
        <v>6627</v>
      </c>
      <c r="K568" s="13" t="s">
        <v>5510</v>
      </c>
      <c r="L568" s="13" t="s">
        <v>5510</v>
      </c>
      <c r="M568" s="13" t="s">
        <v>5513</v>
      </c>
      <c r="N568" s="13" t="s">
        <v>5514</v>
      </c>
      <c r="O568" s="13" t="s">
        <v>5510</v>
      </c>
      <c r="P568" s="13" t="s">
        <v>5510</v>
      </c>
      <c r="Q568" s="13" t="s">
        <v>5510</v>
      </c>
      <c r="R568" s="13" t="s">
        <v>5510</v>
      </c>
      <c r="S568" s="13" t="s">
        <v>5510</v>
      </c>
      <c r="T568" s="13" t="s">
        <v>15655</v>
      </c>
      <c r="U568" s="13" t="s">
        <v>15656</v>
      </c>
      <c r="V568" s="13" t="s">
        <v>15657</v>
      </c>
      <c r="W568" s="13" t="s">
        <v>15658</v>
      </c>
      <c r="X568" s="13" t="s">
        <v>15659</v>
      </c>
      <c r="Y568" s="13" t="s">
        <v>15660</v>
      </c>
      <c r="Z568" s="13" t="s">
        <v>15661</v>
      </c>
      <c r="AA568" s="13" t="s">
        <v>15662</v>
      </c>
      <c r="AB568" s="13" t="s">
        <v>15663</v>
      </c>
      <c r="AC568" s="13" t="s">
        <v>15664</v>
      </c>
      <c r="AD568" s="13" t="s">
        <v>15665</v>
      </c>
      <c r="AE568" s="13" t="s">
        <v>15666</v>
      </c>
      <c r="AF568" s="13" t="s">
        <v>5510</v>
      </c>
      <c r="AG568" s="13">
        <v>42.0</v>
      </c>
      <c r="AH568" s="13">
        <v>66.0</v>
      </c>
      <c r="AI568" s="13">
        <v>72.0</v>
      </c>
      <c r="AJ568" s="13">
        <v>0.0</v>
      </c>
      <c r="AK568" s="13">
        <v>31.0</v>
      </c>
      <c r="AL568" s="13" t="s">
        <v>5527</v>
      </c>
      <c r="AM568" s="13" t="s">
        <v>5528</v>
      </c>
      <c r="AN568" s="13" t="s">
        <v>5529</v>
      </c>
      <c r="AO568" s="13" t="s">
        <v>6640</v>
      </c>
      <c r="AP568" s="13" t="s">
        <v>6641</v>
      </c>
      <c r="AQ568" s="13" t="s">
        <v>5510</v>
      </c>
      <c r="AR568" s="13" t="s">
        <v>6642</v>
      </c>
      <c r="AS568" s="13" t="s">
        <v>6643</v>
      </c>
      <c r="AT568" s="13" t="s">
        <v>1925</v>
      </c>
      <c r="AU568" s="13">
        <v>2010.0</v>
      </c>
      <c r="AV568" s="13">
        <v>16.0</v>
      </c>
      <c r="AW568" s="13">
        <v>5.0</v>
      </c>
      <c r="AX568" s="13" t="s">
        <v>5510</v>
      </c>
      <c r="AY568" s="13" t="s">
        <v>5510</v>
      </c>
      <c r="AZ568" s="13" t="s">
        <v>5510</v>
      </c>
      <c r="BA568" s="13" t="s">
        <v>5510</v>
      </c>
      <c r="BB568" s="13">
        <v>744.0</v>
      </c>
      <c r="BC568" s="13">
        <v>754.0</v>
      </c>
      <c r="BD568" s="13" t="s">
        <v>5510</v>
      </c>
      <c r="BE568" s="13" t="s">
        <v>15667</v>
      </c>
      <c r="BF568" s="52" t="str">
        <f>HYPERLINK("http://dx.doi.org/10.1111/j.1472-4642.2010.00680.x","http://dx.doi.org/10.1111/j.1472-4642.2010.00680.x")</f>
        <v>http://dx.doi.org/10.1111/j.1472-4642.2010.00680.x</v>
      </c>
      <c r="BG568" s="13" t="s">
        <v>5510</v>
      </c>
      <c r="BH568" s="13" t="s">
        <v>5510</v>
      </c>
      <c r="BI568" s="13">
        <v>11.0</v>
      </c>
      <c r="BJ568" s="13" t="s">
        <v>5958</v>
      </c>
      <c r="BK568" s="13" t="s">
        <v>5561</v>
      </c>
      <c r="BL568" s="13" t="s">
        <v>5699</v>
      </c>
      <c r="BM568" s="13" t="s">
        <v>15668</v>
      </c>
      <c r="BN568" s="13" t="s">
        <v>5510</v>
      </c>
      <c r="BO568" s="13" t="s">
        <v>15669</v>
      </c>
      <c r="BP568" s="13" t="s">
        <v>5510</v>
      </c>
      <c r="BQ568" s="13" t="s">
        <v>5510</v>
      </c>
      <c r="BR568" s="13" t="s">
        <v>5538</v>
      </c>
      <c r="BS568" s="13" t="s">
        <v>15670</v>
      </c>
      <c r="BT568" s="13">
        <v>23572.0</v>
      </c>
      <c r="BU568" s="13" t="s">
        <v>5540</v>
      </c>
      <c r="BV568" s="13" t="s">
        <v>4852</v>
      </c>
      <c r="BW568" s="13" t="str">
        <f>VLOOKUP($BT568,Enriched!$A$2:$E$1070,5,false)</f>
        <v>["Natural System Modifications", "Invasive &amp; Other Problematic Species, Genes &amp; Diseases", "Residential &amp; Commercial Development", "Biological Resource Use", "Pollution", "Agriculture &amp; aquaculture"]</v>
      </c>
      <c r="BX568" s="13" t="str">
        <f>VLOOKUP($BT568,Enriched!$A$2:$E$1070,4,false)</f>
        <v>[ "Dams &amp; water management/use", "Invasive non-native/alien species/diseases", "Commercial &amp; industrial areas", "Fishing &amp; harvesting aquatic resources"]</v>
      </c>
      <c r="BY568" s="13" t="b">
        <f>VLOOKUP(BT568,Enriched!$A$1:$AA$1070,27,falsE)</f>
        <v>1</v>
      </c>
      <c r="BZ568" s="2" t="str">
        <f>VLOOKUP(BT568,Enriched!$A$1:$AA$1070,14,falsE)</f>
        <v>cumulative</v>
      </c>
      <c r="CA568" s="13" t="str">
        <f>HYPERLINK("https%3A%2F%2Fwww.webofscience.com%2Fwos%2Fwoscc%2Ffull-record%2FWOS:000280973100004","View Full Record in Web of Science")</f>
        <v>View Full Record in Web of Science</v>
      </c>
    </row>
    <row r="569" ht="12.75" customHeight="1">
      <c r="A569" s="13" t="s">
        <v>5508</v>
      </c>
      <c r="B569" s="13" t="s">
        <v>15671</v>
      </c>
      <c r="C569" s="13" t="s">
        <v>5510</v>
      </c>
      <c r="D569" s="13" t="s">
        <v>5510</v>
      </c>
      <c r="E569" s="13" t="s">
        <v>5510</v>
      </c>
      <c r="F569" s="13" t="s">
        <v>15672</v>
      </c>
      <c r="G569" s="13" t="s">
        <v>5510</v>
      </c>
      <c r="H569" s="13" t="s">
        <v>5510</v>
      </c>
      <c r="I569" s="2" t="s">
        <v>1295</v>
      </c>
      <c r="J569" s="13" t="s">
        <v>14217</v>
      </c>
      <c r="K569" s="13" t="s">
        <v>5510</v>
      </c>
      <c r="L569" s="13" t="s">
        <v>5510</v>
      </c>
      <c r="M569" s="13" t="s">
        <v>5513</v>
      </c>
      <c r="N569" s="13" t="s">
        <v>5514</v>
      </c>
      <c r="O569" s="13" t="s">
        <v>5510</v>
      </c>
      <c r="P569" s="13" t="s">
        <v>5510</v>
      </c>
      <c r="Q569" s="13" t="s">
        <v>5510</v>
      </c>
      <c r="R569" s="13" t="s">
        <v>5510</v>
      </c>
      <c r="S569" s="13" t="s">
        <v>5510</v>
      </c>
      <c r="T569" s="13" t="s">
        <v>15673</v>
      </c>
      <c r="U569" s="13" t="s">
        <v>15674</v>
      </c>
      <c r="V569" s="13" t="s">
        <v>15675</v>
      </c>
      <c r="W569" s="13" t="s">
        <v>15676</v>
      </c>
      <c r="X569" s="13" t="s">
        <v>15677</v>
      </c>
      <c r="Y569" s="13" t="s">
        <v>15678</v>
      </c>
      <c r="Z569" s="13" t="s">
        <v>15679</v>
      </c>
      <c r="AA569" s="13" t="s">
        <v>15680</v>
      </c>
      <c r="AB569" s="13" t="s">
        <v>15681</v>
      </c>
      <c r="AC569" s="13" t="s">
        <v>15682</v>
      </c>
      <c r="AD569" s="13" t="s">
        <v>15683</v>
      </c>
      <c r="AE569" s="13" t="s">
        <v>15684</v>
      </c>
      <c r="AF569" s="13" t="s">
        <v>5510</v>
      </c>
      <c r="AG569" s="13">
        <v>34.0</v>
      </c>
      <c r="AH569" s="13">
        <v>1.0</v>
      </c>
      <c r="AI569" s="13">
        <v>1.0</v>
      </c>
      <c r="AJ569" s="13">
        <v>0.0</v>
      </c>
      <c r="AK569" s="13">
        <v>6.0</v>
      </c>
      <c r="AL569" s="13" t="s">
        <v>14217</v>
      </c>
      <c r="AM569" s="13" t="s">
        <v>14229</v>
      </c>
      <c r="AN569" s="13" t="s">
        <v>14230</v>
      </c>
      <c r="AO569" s="13" t="s">
        <v>14231</v>
      </c>
      <c r="AP569" s="13" t="s">
        <v>14232</v>
      </c>
      <c r="AQ569" s="13" t="s">
        <v>5510</v>
      </c>
      <c r="AR569" s="13" t="s">
        <v>14233</v>
      </c>
      <c r="AS569" s="13" t="s">
        <v>14234</v>
      </c>
      <c r="AT569" s="13" t="s">
        <v>1925</v>
      </c>
      <c r="AU569" s="13">
        <v>2018.0</v>
      </c>
      <c r="AV569" s="13">
        <v>66.0</v>
      </c>
      <c r="AW569" s="13">
        <v>3.0</v>
      </c>
      <c r="AX569" s="13" t="s">
        <v>5510</v>
      </c>
      <c r="AY569" s="13" t="s">
        <v>5510</v>
      </c>
      <c r="AZ569" s="13" t="s">
        <v>5510</v>
      </c>
      <c r="BA569" s="13" t="s">
        <v>5510</v>
      </c>
      <c r="BB569" s="13">
        <v>1272.0</v>
      </c>
      <c r="BC569" s="13">
        <v>1281.0</v>
      </c>
      <c r="BD569" s="13" t="s">
        <v>5510</v>
      </c>
      <c r="BE569" s="13" t="s">
        <v>15685</v>
      </c>
      <c r="BF569" s="52" t="str">
        <f>HYPERLINK("http://dx.doi.org/10.15517/rbt.v66i3.30818","http://dx.doi.org/10.15517/rbt.v66i3.30818")</f>
        <v>http://dx.doi.org/10.15517/rbt.v66i3.30818</v>
      </c>
      <c r="BG569" s="13" t="s">
        <v>5510</v>
      </c>
      <c r="BH569" s="13" t="s">
        <v>5510</v>
      </c>
      <c r="BI569" s="13">
        <v>10.0</v>
      </c>
      <c r="BJ569" s="13" t="s">
        <v>7022</v>
      </c>
      <c r="BK569" s="13" t="s">
        <v>5561</v>
      </c>
      <c r="BL569" s="13" t="s">
        <v>7023</v>
      </c>
      <c r="BM569" s="13" t="s">
        <v>15686</v>
      </c>
      <c r="BN569" s="13" t="s">
        <v>5510</v>
      </c>
      <c r="BO569" s="13" t="s">
        <v>13790</v>
      </c>
      <c r="BP569" s="13" t="s">
        <v>5510</v>
      </c>
      <c r="BQ569" s="13" t="s">
        <v>5510</v>
      </c>
      <c r="BR569" s="13" t="s">
        <v>5538</v>
      </c>
      <c r="BS569" s="13" t="s">
        <v>15687</v>
      </c>
      <c r="BT569" s="13">
        <v>25413.0</v>
      </c>
      <c r="BU569" s="13" t="s">
        <v>5540</v>
      </c>
      <c r="BV569" s="13" t="s">
        <v>4886</v>
      </c>
      <c r="BW569" s="13" t="str">
        <f>VLOOKUP($BT569,Enriched!$A$2:$E$1070,5,false)</f>
        <v>["Residential &amp; Commercial Development", "Agriculture &amp; Aquaculture", "Transportation &amp; Service Corridors", "Pollution"]</v>
      </c>
      <c r="BX569" s="13" t="str">
        <f>VLOOKUP($BT569,Enriched!$A$2:$E$1070,4,false)</f>
        <v>["Housing &amp; urban area", "Roads &amp; railroads", "Excess energy"]</v>
      </c>
      <c r="BY569" s="13" t="b">
        <f>VLOOKUP(BT569,Enriched!$A$1:$AA$1070,27,falsE)</f>
        <v>1</v>
      </c>
      <c r="BZ569" s="2" t="str">
        <f>VLOOKUP(BT569,Enriched!$A$1:$AA$1070,14,falsE)</f>
        <v>cumulative</v>
      </c>
      <c r="CA569" s="13" t="str">
        <f>HYPERLINK("https%3A%2F%2Fwww.webofscience.com%2Fwos%2Fwoscc%2Ffull-record%2FWOS:000452046100026","View Full Record in Web of Science")</f>
        <v>View Full Record in Web of Science</v>
      </c>
    </row>
    <row r="570" ht="12.75" customHeight="1">
      <c r="A570" s="13" t="s">
        <v>5508</v>
      </c>
      <c r="B570" s="13" t="s">
        <v>15688</v>
      </c>
      <c r="C570" s="13" t="s">
        <v>5510</v>
      </c>
      <c r="D570" s="13" t="s">
        <v>5510</v>
      </c>
      <c r="E570" s="13" t="s">
        <v>5510</v>
      </c>
      <c r="F570" s="13" t="s">
        <v>15689</v>
      </c>
      <c r="G570" s="13" t="s">
        <v>5510</v>
      </c>
      <c r="H570" s="13" t="s">
        <v>5510</v>
      </c>
      <c r="I570" s="13" t="s">
        <v>15690</v>
      </c>
      <c r="J570" s="13" t="s">
        <v>8582</v>
      </c>
      <c r="K570" s="13" t="s">
        <v>5510</v>
      </c>
      <c r="L570" s="13" t="s">
        <v>5510</v>
      </c>
      <c r="M570" s="13" t="s">
        <v>5513</v>
      </c>
      <c r="N570" s="13" t="s">
        <v>5514</v>
      </c>
      <c r="O570" s="13" t="s">
        <v>5510</v>
      </c>
      <c r="P570" s="13" t="s">
        <v>5510</v>
      </c>
      <c r="Q570" s="13" t="s">
        <v>5510</v>
      </c>
      <c r="R570" s="13" t="s">
        <v>5510</v>
      </c>
      <c r="S570" s="13" t="s">
        <v>5510</v>
      </c>
      <c r="T570" s="13" t="s">
        <v>15691</v>
      </c>
      <c r="U570" s="13" t="s">
        <v>15692</v>
      </c>
      <c r="V570" s="13" t="s">
        <v>15693</v>
      </c>
      <c r="W570" s="13" t="s">
        <v>15694</v>
      </c>
      <c r="X570" s="13" t="s">
        <v>15695</v>
      </c>
      <c r="Y570" s="13" t="s">
        <v>15696</v>
      </c>
      <c r="Z570" s="13" t="s">
        <v>15697</v>
      </c>
      <c r="AA570" s="13" t="s">
        <v>5510</v>
      </c>
      <c r="AB570" s="13" t="s">
        <v>15698</v>
      </c>
      <c r="AC570" s="13" t="s">
        <v>15699</v>
      </c>
      <c r="AD570" s="13" t="s">
        <v>15699</v>
      </c>
      <c r="AE570" s="13" t="s">
        <v>15700</v>
      </c>
      <c r="AF570" s="13" t="s">
        <v>5510</v>
      </c>
      <c r="AG570" s="13">
        <v>46.0</v>
      </c>
      <c r="AH570" s="13">
        <v>11.0</v>
      </c>
      <c r="AI570" s="13">
        <v>14.0</v>
      </c>
      <c r="AJ570" s="13">
        <v>0.0</v>
      </c>
      <c r="AK570" s="13">
        <v>36.0</v>
      </c>
      <c r="AL570" s="13" t="s">
        <v>5690</v>
      </c>
      <c r="AM570" s="13" t="s">
        <v>6503</v>
      </c>
      <c r="AN570" s="13" t="s">
        <v>7040</v>
      </c>
      <c r="AO570" s="13" t="s">
        <v>8592</v>
      </c>
      <c r="AP570" s="13" t="s">
        <v>8593</v>
      </c>
      <c r="AQ570" s="13" t="s">
        <v>5510</v>
      </c>
      <c r="AR570" s="13" t="s">
        <v>8594</v>
      </c>
      <c r="AS570" s="13" t="s">
        <v>8595</v>
      </c>
      <c r="AT570" s="13" t="s">
        <v>1925</v>
      </c>
      <c r="AU570" s="13">
        <v>2011.0</v>
      </c>
      <c r="AV570" s="13">
        <v>48.0</v>
      </c>
      <c r="AW570" s="13">
        <v>3.0</v>
      </c>
      <c r="AX570" s="13" t="s">
        <v>5510</v>
      </c>
      <c r="AY570" s="13" t="s">
        <v>5510</v>
      </c>
      <c r="AZ570" s="13" t="s">
        <v>5510</v>
      </c>
      <c r="BA570" s="13" t="s">
        <v>5510</v>
      </c>
      <c r="BB570" s="13">
        <v>577.0</v>
      </c>
      <c r="BC570" s="13">
        <v>587.0</v>
      </c>
      <c r="BD570" s="13" t="s">
        <v>5510</v>
      </c>
      <c r="BE570" s="13" t="s">
        <v>15701</v>
      </c>
      <c r="BF570" s="52" t="str">
        <f>HYPERLINK("http://dx.doi.org/10.1007/s00267-011-9687-3","http://dx.doi.org/10.1007/s00267-011-9687-3")</f>
        <v>http://dx.doi.org/10.1007/s00267-011-9687-3</v>
      </c>
      <c r="BG570" s="13" t="s">
        <v>5510</v>
      </c>
      <c r="BH570" s="13" t="s">
        <v>5510</v>
      </c>
      <c r="BI570" s="13">
        <v>11.0</v>
      </c>
      <c r="BJ570" s="13" t="s">
        <v>5768</v>
      </c>
      <c r="BK570" s="13" t="s">
        <v>5534</v>
      </c>
      <c r="BL570" s="13" t="s">
        <v>5535</v>
      </c>
      <c r="BM570" s="13" t="s">
        <v>15702</v>
      </c>
      <c r="BN570" s="13">
        <v>2.1598035E7</v>
      </c>
      <c r="BO570" s="13" t="s">
        <v>5510</v>
      </c>
      <c r="BP570" s="13" t="s">
        <v>5510</v>
      </c>
      <c r="BQ570" s="13" t="s">
        <v>5510</v>
      </c>
      <c r="BR570" s="13" t="s">
        <v>5538</v>
      </c>
      <c r="BS570" s="13" t="s">
        <v>15703</v>
      </c>
      <c r="BT570" s="13">
        <v>26094.0</v>
      </c>
      <c r="BU570" s="13" t="s">
        <v>5540</v>
      </c>
      <c r="BV570" s="13" t="s">
        <v>4856</v>
      </c>
      <c r="BW570" s="13" t="str">
        <f>VLOOKUP($BT570,Enriched!$A$2:$E$1070,5,false)</f>
        <v>["Biological resource use"]</v>
      </c>
      <c r="BX570" s="13" t="str">
        <f>VLOOKUP($BT570,Enriched!$A$2:$E$1070,4,false)</f>
        <v>["Gathering terrestrial plants"]</v>
      </c>
      <c r="BY570" s="13" t="b">
        <f>VLOOKUP(BT570,Enriched!$A$1:$AA$1070,27,falsE)</f>
        <v>0</v>
      </c>
      <c r="BZ570" s="2" t="str">
        <f>VLOOKUP(BT570,Enriched!$A$1:$AA$1070,14,falsE)</f>
        <v>level2</v>
      </c>
      <c r="CA570" s="13" t="str">
        <f>HYPERLINK("https%3A%2F%2Fwww.webofscience.com%2Fwos%2Fwoscc%2Ffull-record%2FWOS:000293636400017","View Full Record in Web of Science")</f>
        <v>View Full Record in Web of Science</v>
      </c>
    </row>
    <row r="571" ht="12.75" customHeight="1">
      <c r="A571" s="13" t="s">
        <v>5508</v>
      </c>
      <c r="B571" s="13" t="s">
        <v>15704</v>
      </c>
      <c r="C571" s="13" t="s">
        <v>5510</v>
      </c>
      <c r="D571" s="13" t="s">
        <v>5510</v>
      </c>
      <c r="E571" s="13" t="s">
        <v>5510</v>
      </c>
      <c r="F571" s="13" t="s">
        <v>15705</v>
      </c>
      <c r="G571" s="13" t="s">
        <v>5510</v>
      </c>
      <c r="H571" s="13" t="s">
        <v>5510</v>
      </c>
      <c r="I571" s="13" t="s">
        <v>15706</v>
      </c>
      <c r="J571" s="13" t="s">
        <v>15707</v>
      </c>
      <c r="K571" s="13" t="s">
        <v>5510</v>
      </c>
      <c r="L571" s="13" t="s">
        <v>5510</v>
      </c>
      <c r="M571" s="13" t="s">
        <v>5513</v>
      </c>
      <c r="N571" s="13" t="s">
        <v>5514</v>
      </c>
      <c r="O571" s="13" t="s">
        <v>5510</v>
      </c>
      <c r="P571" s="13" t="s">
        <v>5510</v>
      </c>
      <c r="Q571" s="13" t="s">
        <v>5510</v>
      </c>
      <c r="R571" s="13" t="s">
        <v>5510</v>
      </c>
      <c r="S571" s="13" t="s">
        <v>5510</v>
      </c>
      <c r="T571" s="13" t="s">
        <v>15708</v>
      </c>
      <c r="U571" s="13" t="s">
        <v>15709</v>
      </c>
      <c r="V571" s="13" t="s">
        <v>15710</v>
      </c>
      <c r="W571" s="13" t="s">
        <v>15711</v>
      </c>
      <c r="X571" s="13" t="s">
        <v>15712</v>
      </c>
      <c r="Y571" s="13" t="s">
        <v>15713</v>
      </c>
      <c r="Z571" s="13" t="s">
        <v>15714</v>
      </c>
      <c r="AA571" s="13" t="s">
        <v>15715</v>
      </c>
      <c r="AB571" s="13" t="s">
        <v>15716</v>
      </c>
      <c r="AC571" s="13" t="s">
        <v>15717</v>
      </c>
      <c r="AD571" s="13" t="s">
        <v>15718</v>
      </c>
      <c r="AE571" s="13" t="s">
        <v>15719</v>
      </c>
      <c r="AF571" s="13" t="s">
        <v>5510</v>
      </c>
      <c r="AG571" s="13">
        <v>98.0</v>
      </c>
      <c r="AH571" s="13">
        <v>12.0</v>
      </c>
      <c r="AI571" s="13">
        <v>12.0</v>
      </c>
      <c r="AJ571" s="13">
        <v>0.0</v>
      </c>
      <c r="AK571" s="13">
        <v>22.0</v>
      </c>
      <c r="AL571" s="13" t="s">
        <v>10962</v>
      </c>
      <c r="AM571" s="13" t="s">
        <v>10963</v>
      </c>
      <c r="AN571" s="13" t="s">
        <v>10964</v>
      </c>
      <c r="AO571" s="13" t="s">
        <v>15720</v>
      </c>
      <c r="AP571" s="13" t="s">
        <v>15721</v>
      </c>
      <c r="AQ571" s="13" t="s">
        <v>5510</v>
      </c>
      <c r="AR571" s="13" t="s">
        <v>15722</v>
      </c>
      <c r="AS571" s="13" t="s">
        <v>15723</v>
      </c>
      <c r="AT571" s="13" t="s">
        <v>5510</v>
      </c>
      <c r="AU571" s="13">
        <v>2016.0</v>
      </c>
      <c r="AV571" s="13">
        <v>67.0</v>
      </c>
      <c r="AW571" s="13">
        <v>10.0</v>
      </c>
      <c r="AX571" s="13" t="s">
        <v>5510</v>
      </c>
      <c r="AY571" s="13" t="s">
        <v>5510</v>
      </c>
      <c r="AZ571" s="13" t="s">
        <v>5510</v>
      </c>
      <c r="BA571" s="13" t="s">
        <v>5510</v>
      </c>
      <c r="BB571" s="13">
        <v>1463.0</v>
      </c>
      <c r="BC571" s="13">
        <v>1478.0</v>
      </c>
      <c r="BD571" s="13" t="s">
        <v>5510</v>
      </c>
      <c r="BE571" s="13" t="s">
        <v>15724</v>
      </c>
      <c r="BF571" s="52" t="str">
        <f>HYPERLINK("http://dx.doi.org/10.1071/MF15003","http://dx.doi.org/10.1071/MF15003")</f>
        <v>http://dx.doi.org/10.1071/MF15003</v>
      </c>
      <c r="BG571" s="13" t="s">
        <v>5510</v>
      </c>
      <c r="BH571" s="13" t="s">
        <v>5510</v>
      </c>
      <c r="BI571" s="13">
        <v>16.0</v>
      </c>
      <c r="BJ571" s="13" t="s">
        <v>15725</v>
      </c>
      <c r="BK571" s="13" t="s">
        <v>5561</v>
      </c>
      <c r="BL571" s="13" t="s">
        <v>8920</v>
      </c>
      <c r="BM571" s="13" t="s">
        <v>15726</v>
      </c>
      <c r="BN571" s="13" t="s">
        <v>5510</v>
      </c>
      <c r="BO571" s="13" t="s">
        <v>5809</v>
      </c>
      <c r="BP571" s="13" t="s">
        <v>5510</v>
      </c>
      <c r="BQ571" s="13" t="s">
        <v>5510</v>
      </c>
      <c r="BR571" s="13" t="s">
        <v>5538</v>
      </c>
      <c r="BS571" s="13" t="s">
        <v>15727</v>
      </c>
      <c r="BT571" s="13">
        <v>24624.0</v>
      </c>
      <c r="BU571" s="13" t="s">
        <v>5540</v>
      </c>
      <c r="BV571" s="13" t="s">
        <v>4852</v>
      </c>
      <c r="BW571" s="13" t="str">
        <f>VLOOKUP($BT571,Enriched!$A$2:$E$1070,5,false)</f>
        <v>["Biological resource use"]</v>
      </c>
      <c r="BX571" s="13" t="str">
        <f>VLOOKUP($BT571,Enriched!$A$2:$E$1070,4,false)</f>
        <v>["Fishing &amp; harvesting aquatic resources"]</v>
      </c>
      <c r="BY571" s="13" t="b">
        <f>VLOOKUP(BT571,Enriched!$A$1:$AA$1070,27,falsE)</f>
        <v>0</v>
      </c>
      <c r="BZ571" s="2" t="str">
        <f>VLOOKUP(BT571,Enriched!$A$1:$AA$1070,14,falsE)</f>
        <v>level2</v>
      </c>
      <c r="CA571" s="13" t="str">
        <f>HYPERLINK("https%3A%2F%2Fwww.webofscience.com%2Fwos%2Fwoscc%2Ffull-record%2FWOS:000384453700007","View Full Record in Web of Science")</f>
        <v>View Full Record in Web of Science</v>
      </c>
    </row>
    <row r="572" ht="12.75" customHeight="1">
      <c r="A572" s="13" t="s">
        <v>5508</v>
      </c>
      <c r="B572" s="13" t="s">
        <v>15728</v>
      </c>
      <c r="C572" s="13" t="s">
        <v>5510</v>
      </c>
      <c r="D572" s="13" t="s">
        <v>5510</v>
      </c>
      <c r="E572" s="13" t="s">
        <v>5510</v>
      </c>
      <c r="F572" s="13" t="s">
        <v>15729</v>
      </c>
      <c r="G572" s="13" t="s">
        <v>5510</v>
      </c>
      <c r="H572" s="13" t="s">
        <v>5510</v>
      </c>
      <c r="I572" s="13" t="s">
        <v>1284</v>
      </c>
      <c r="J572" s="13" t="s">
        <v>15730</v>
      </c>
      <c r="K572" s="13" t="s">
        <v>5510</v>
      </c>
      <c r="L572" s="13" t="s">
        <v>5510</v>
      </c>
      <c r="M572" s="13" t="s">
        <v>5513</v>
      </c>
      <c r="N572" s="13" t="s">
        <v>5514</v>
      </c>
      <c r="O572" s="13" t="s">
        <v>5510</v>
      </c>
      <c r="P572" s="13" t="s">
        <v>5510</v>
      </c>
      <c r="Q572" s="13" t="s">
        <v>5510</v>
      </c>
      <c r="R572" s="13" t="s">
        <v>5510</v>
      </c>
      <c r="S572" s="13" t="s">
        <v>5510</v>
      </c>
      <c r="T572" s="13" t="s">
        <v>15731</v>
      </c>
      <c r="U572" s="13" t="s">
        <v>15732</v>
      </c>
      <c r="V572" s="13" t="s">
        <v>15733</v>
      </c>
      <c r="W572" s="13" t="s">
        <v>15734</v>
      </c>
      <c r="X572" s="13" t="s">
        <v>15735</v>
      </c>
      <c r="Y572" s="13" t="s">
        <v>15736</v>
      </c>
      <c r="Z572" s="13" t="s">
        <v>15737</v>
      </c>
      <c r="AA572" s="13" t="s">
        <v>15738</v>
      </c>
      <c r="AB572" s="13" t="s">
        <v>15739</v>
      </c>
      <c r="AC572" s="13" t="s">
        <v>15740</v>
      </c>
      <c r="AD572" s="13" t="s">
        <v>15740</v>
      </c>
      <c r="AE572" s="13" t="s">
        <v>15741</v>
      </c>
      <c r="AF572" s="13" t="s">
        <v>5510</v>
      </c>
      <c r="AG572" s="13">
        <v>39.0</v>
      </c>
      <c r="AH572" s="13">
        <v>12.0</v>
      </c>
      <c r="AI572" s="13">
        <v>13.0</v>
      </c>
      <c r="AJ572" s="13">
        <v>0.0</v>
      </c>
      <c r="AK572" s="13">
        <v>50.0</v>
      </c>
      <c r="AL572" s="13" t="s">
        <v>5800</v>
      </c>
      <c r="AM572" s="13" t="s">
        <v>5801</v>
      </c>
      <c r="AN572" s="13" t="s">
        <v>5802</v>
      </c>
      <c r="AO572" s="13" t="s">
        <v>15742</v>
      </c>
      <c r="AP572" s="13" t="s">
        <v>15743</v>
      </c>
      <c r="AQ572" s="13" t="s">
        <v>5510</v>
      </c>
      <c r="AR572" s="13" t="s">
        <v>15744</v>
      </c>
      <c r="AS572" s="13" t="s">
        <v>15745</v>
      </c>
      <c r="AT572" s="13" t="s">
        <v>10344</v>
      </c>
      <c r="AU572" s="13">
        <v>2013.0</v>
      </c>
      <c r="AV572" s="13">
        <v>107.0</v>
      </c>
      <c r="AW572" s="13">
        <v>1.0</v>
      </c>
      <c r="AX572" s="13" t="s">
        <v>5510</v>
      </c>
      <c r="AY572" s="13" t="s">
        <v>5510</v>
      </c>
      <c r="AZ572" s="13" t="s">
        <v>5510</v>
      </c>
      <c r="BA572" s="13" t="s">
        <v>5510</v>
      </c>
      <c r="BB572" s="13">
        <v>61.0</v>
      </c>
      <c r="BC572" s="13">
        <v>68.0</v>
      </c>
      <c r="BD572" s="13" t="s">
        <v>5510</v>
      </c>
      <c r="BE572" s="13" t="s">
        <v>15746</v>
      </c>
      <c r="BF572" s="52" t="str">
        <f>HYPERLINK("http://dx.doi.org/10.3354/dao02655","http://dx.doi.org/10.3354/dao02655")</f>
        <v>http://dx.doi.org/10.3354/dao02655</v>
      </c>
      <c r="BG572" s="13" t="s">
        <v>5510</v>
      </c>
      <c r="BH572" s="13" t="s">
        <v>5510</v>
      </c>
      <c r="BI572" s="13">
        <v>8.0</v>
      </c>
      <c r="BJ572" s="13" t="s">
        <v>15747</v>
      </c>
      <c r="BK572" s="13" t="s">
        <v>5561</v>
      </c>
      <c r="BL572" s="13" t="s">
        <v>15747</v>
      </c>
      <c r="BM572" s="13" t="s">
        <v>15748</v>
      </c>
      <c r="BN572" s="13">
        <v>2.4270024E7</v>
      </c>
      <c r="BO572" s="13" t="s">
        <v>5809</v>
      </c>
      <c r="BP572" s="13" t="s">
        <v>5510</v>
      </c>
      <c r="BQ572" s="13" t="s">
        <v>5510</v>
      </c>
      <c r="BR572" s="13" t="s">
        <v>5538</v>
      </c>
      <c r="BS572" s="13" t="s">
        <v>15749</v>
      </c>
      <c r="BT572" s="13">
        <v>26111.0</v>
      </c>
      <c r="BU572" s="13" t="s">
        <v>5540</v>
      </c>
      <c r="BV572" s="13" t="s">
        <v>4852</v>
      </c>
      <c r="BW572" s="13" t="str">
        <f>VLOOKUP($BT572,Enriched!$A$2:$E$1070,5,false)</f>
        <v>["Invasive &amp; other problematic species, genes &amp; diseases"]</v>
      </c>
      <c r="BX572" s="13" t="str">
        <f>VLOOKUP($BT572,Enriched!$A$2:$E$1070,4,false)</f>
        <v>["Invasive non-native/alien species/diseases"]</v>
      </c>
      <c r="BY572" s="13" t="b">
        <f>VLOOKUP(BT572,Enriched!$A$1:$AA$1070,27,falsE)</f>
        <v>0</v>
      </c>
      <c r="BZ572" s="2" t="str">
        <f>VLOOKUP(BT572,Enriched!$A$1:$AA$1070,14,falsE)</f>
        <v>level2</v>
      </c>
      <c r="CA572" s="13" t="str">
        <f>HYPERLINK("https%3A%2F%2Fwww.webofscience.com%2Fwos%2Fwoscc%2Ffull-record%2FWOS:000327551600007","View Full Record in Web of Science")</f>
        <v>View Full Record in Web of Science</v>
      </c>
    </row>
    <row r="573" ht="12.75" customHeight="1">
      <c r="A573" s="13" t="s">
        <v>5508</v>
      </c>
      <c r="B573" s="13" t="s">
        <v>15750</v>
      </c>
      <c r="C573" s="13" t="s">
        <v>5510</v>
      </c>
      <c r="D573" s="13" t="s">
        <v>5510</v>
      </c>
      <c r="E573" s="13" t="s">
        <v>5510</v>
      </c>
      <c r="F573" s="13" t="s">
        <v>15751</v>
      </c>
      <c r="G573" s="13" t="s">
        <v>5510</v>
      </c>
      <c r="H573" s="13" t="s">
        <v>5510</v>
      </c>
      <c r="I573" s="13" t="s">
        <v>1282</v>
      </c>
      <c r="J573" s="13" t="s">
        <v>5919</v>
      </c>
      <c r="K573" s="13" t="s">
        <v>5510</v>
      </c>
      <c r="L573" s="13" t="s">
        <v>5510</v>
      </c>
      <c r="M573" s="13" t="s">
        <v>5513</v>
      </c>
      <c r="N573" s="13" t="s">
        <v>5514</v>
      </c>
      <c r="O573" s="13" t="s">
        <v>5510</v>
      </c>
      <c r="P573" s="13" t="s">
        <v>5510</v>
      </c>
      <c r="Q573" s="13" t="s">
        <v>5510</v>
      </c>
      <c r="R573" s="13" t="s">
        <v>5510</v>
      </c>
      <c r="S573" s="13" t="s">
        <v>5510</v>
      </c>
      <c r="T573" s="13" t="s">
        <v>15752</v>
      </c>
      <c r="U573" s="13" t="s">
        <v>15753</v>
      </c>
      <c r="V573" s="13" t="s">
        <v>15754</v>
      </c>
      <c r="W573" s="13" t="s">
        <v>15755</v>
      </c>
      <c r="X573" s="13" t="s">
        <v>15756</v>
      </c>
      <c r="Y573" s="13" t="s">
        <v>15757</v>
      </c>
      <c r="Z573" s="13" t="s">
        <v>15758</v>
      </c>
      <c r="AA573" s="13" t="s">
        <v>15759</v>
      </c>
      <c r="AB573" s="13" t="s">
        <v>15760</v>
      </c>
      <c r="AC573" s="13" t="s">
        <v>5510</v>
      </c>
      <c r="AD573" s="13" t="s">
        <v>5510</v>
      </c>
      <c r="AE573" s="13" t="s">
        <v>5510</v>
      </c>
      <c r="AF573" s="13" t="s">
        <v>5510</v>
      </c>
      <c r="AG573" s="13">
        <v>37.0</v>
      </c>
      <c r="AH573" s="13">
        <v>64.0</v>
      </c>
      <c r="AI573" s="13">
        <v>68.0</v>
      </c>
      <c r="AJ573" s="13">
        <v>1.0</v>
      </c>
      <c r="AK573" s="13">
        <v>36.0</v>
      </c>
      <c r="AL573" s="13" t="s">
        <v>5931</v>
      </c>
      <c r="AM573" s="13" t="s">
        <v>7486</v>
      </c>
      <c r="AN573" s="13" t="s">
        <v>7487</v>
      </c>
      <c r="AO573" s="13" t="s">
        <v>5934</v>
      </c>
      <c r="AP573" s="13" t="s">
        <v>5935</v>
      </c>
      <c r="AQ573" s="13" t="s">
        <v>5510</v>
      </c>
      <c r="AR573" s="13" t="s">
        <v>5936</v>
      </c>
      <c r="AS573" s="13" t="s">
        <v>5937</v>
      </c>
      <c r="AT573" s="13" t="s">
        <v>2514</v>
      </c>
      <c r="AU573" s="13">
        <v>2019.0</v>
      </c>
      <c r="AV573" s="13">
        <v>238.0</v>
      </c>
      <c r="AW573" s="13" t="s">
        <v>5510</v>
      </c>
      <c r="AX573" s="13" t="s">
        <v>5510</v>
      </c>
      <c r="AY573" s="13" t="s">
        <v>5510</v>
      </c>
      <c r="AZ573" s="13" t="s">
        <v>5510</v>
      </c>
      <c r="BA573" s="13" t="s">
        <v>5510</v>
      </c>
      <c r="BB573" s="13" t="s">
        <v>5510</v>
      </c>
      <c r="BC573" s="13" t="s">
        <v>5510</v>
      </c>
      <c r="BD573" s="13">
        <v>108203.0</v>
      </c>
      <c r="BE573" s="13" t="s">
        <v>15761</v>
      </c>
      <c r="BF573" s="52" t="str">
        <f>HYPERLINK("http://dx.doi.org/10.1016/j.biocon.2019.108203","http://dx.doi.org/10.1016/j.biocon.2019.108203")</f>
        <v>http://dx.doi.org/10.1016/j.biocon.2019.108203</v>
      </c>
      <c r="BG573" s="13" t="s">
        <v>5510</v>
      </c>
      <c r="BH573" s="13" t="s">
        <v>5510</v>
      </c>
      <c r="BI573" s="13">
        <v>10.0</v>
      </c>
      <c r="BJ573" s="13" t="s">
        <v>5698</v>
      </c>
      <c r="BK573" s="13" t="s">
        <v>5561</v>
      </c>
      <c r="BL573" s="13" t="s">
        <v>5699</v>
      </c>
      <c r="BM573" s="13" t="s">
        <v>15762</v>
      </c>
      <c r="BN573" s="13" t="s">
        <v>5510</v>
      </c>
      <c r="BO573" s="13" t="s">
        <v>6623</v>
      </c>
      <c r="BP573" s="13" t="s">
        <v>5510</v>
      </c>
      <c r="BQ573" s="13" t="s">
        <v>5510</v>
      </c>
      <c r="BR573" s="13" t="s">
        <v>5538</v>
      </c>
      <c r="BS573" s="13" t="s">
        <v>15763</v>
      </c>
      <c r="BT573" s="13">
        <v>25781.0</v>
      </c>
      <c r="BU573" s="13" t="s">
        <v>5540</v>
      </c>
      <c r="BV573" s="13" t="s">
        <v>4856</v>
      </c>
      <c r="BW573" s="13" t="str">
        <f>VLOOKUP($BT573,Enriched!$A$2:$E$1070,5,false)</f>
        <v>["Natural System Modifications", "Invasive &amp; Other Problematic Species, Genes &amp; Diseases", "Agriculture &amp; aquaculture"]</v>
      </c>
      <c r="BX573" s="13" t="str">
        <f>VLOOKUP($BT573,Enriched!$A$2:$E$1070,4,false)</f>
        <v>["Fire &amp; fire suppression", "Invasive non-native/alien species/diseases"]</v>
      </c>
      <c r="BY573" s="13" t="b">
        <f>VLOOKUP(BT573,Enriched!$A$1:$AA$1070,27,falsE)</f>
        <v>1</v>
      </c>
      <c r="BZ573" s="2" t="str">
        <f>VLOOKUP(BT573,Enriched!$A$1:$AA$1070,14,falsE)</f>
        <v>level2</v>
      </c>
      <c r="CA573" s="13" t="str">
        <f>HYPERLINK("https%3A%2F%2Fwww.webofscience.com%2Fwos%2Fwoscc%2Ffull-record%2FWOS:000497252700011","View Full Record in Web of Science")</f>
        <v>View Full Record in Web of Science</v>
      </c>
    </row>
    <row r="574" ht="12.75" customHeight="1">
      <c r="A574" s="13" t="s">
        <v>5508</v>
      </c>
      <c r="B574" s="13" t="s">
        <v>15764</v>
      </c>
      <c r="C574" s="13" t="s">
        <v>5510</v>
      </c>
      <c r="D574" s="13" t="s">
        <v>5510</v>
      </c>
      <c r="E574" s="13" t="s">
        <v>5510</v>
      </c>
      <c r="F574" s="13" t="s">
        <v>15764</v>
      </c>
      <c r="G574" s="13" t="s">
        <v>5510</v>
      </c>
      <c r="H574" s="13" t="s">
        <v>5510</v>
      </c>
      <c r="I574" s="13" t="s">
        <v>15765</v>
      </c>
      <c r="J574" s="13" t="s">
        <v>15766</v>
      </c>
      <c r="K574" s="13" t="s">
        <v>5510</v>
      </c>
      <c r="L574" s="13" t="s">
        <v>5510</v>
      </c>
      <c r="M574" s="13" t="s">
        <v>5513</v>
      </c>
      <c r="N574" s="13" t="s">
        <v>5514</v>
      </c>
      <c r="O574" s="13" t="s">
        <v>5510</v>
      </c>
      <c r="P574" s="13" t="s">
        <v>5510</v>
      </c>
      <c r="Q574" s="13" t="s">
        <v>5510</v>
      </c>
      <c r="R574" s="13" t="s">
        <v>5510</v>
      </c>
      <c r="S574" s="13" t="s">
        <v>5510</v>
      </c>
      <c r="T574" s="13" t="s">
        <v>15767</v>
      </c>
      <c r="U574" s="13" t="s">
        <v>15768</v>
      </c>
      <c r="V574" s="13" t="s">
        <v>15769</v>
      </c>
      <c r="W574" s="13" t="s">
        <v>15770</v>
      </c>
      <c r="X574" s="13" t="s">
        <v>15771</v>
      </c>
      <c r="Y574" s="13" t="s">
        <v>15772</v>
      </c>
      <c r="Z574" s="13" t="s">
        <v>15773</v>
      </c>
      <c r="AA574" s="13" t="s">
        <v>5510</v>
      </c>
      <c r="AB574" s="13" t="s">
        <v>15774</v>
      </c>
      <c r="AC574" s="13" t="s">
        <v>5510</v>
      </c>
      <c r="AD574" s="13" t="s">
        <v>5510</v>
      </c>
      <c r="AE574" s="13" t="s">
        <v>5510</v>
      </c>
      <c r="AF574" s="13" t="s">
        <v>5510</v>
      </c>
      <c r="AG574" s="13">
        <v>42.0</v>
      </c>
      <c r="AH574" s="13">
        <v>21.0</v>
      </c>
      <c r="AI574" s="13">
        <v>28.0</v>
      </c>
      <c r="AJ574" s="13">
        <v>0.0</v>
      </c>
      <c r="AK574" s="13">
        <v>19.0</v>
      </c>
      <c r="AL574" s="13" t="s">
        <v>15775</v>
      </c>
      <c r="AM574" s="13" t="s">
        <v>5932</v>
      </c>
      <c r="AN574" s="13" t="s">
        <v>15776</v>
      </c>
      <c r="AO574" s="13" t="s">
        <v>15777</v>
      </c>
      <c r="AP574" s="13" t="s">
        <v>5510</v>
      </c>
      <c r="AQ574" s="13" t="s">
        <v>5510</v>
      </c>
      <c r="AR574" s="13" t="s">
        <v>15778</v>
      </c>
      <c r="AS574" s="13" t="s">
        <v>15779</v>
      </c>
      <c r="AT574" s="13" t="s">
        <v>5720</v>
      </c>
      <c r="AU574" s="13">
        <v>2006.0</v>
      </c>
      <c r="AV574" s="13">
        <v>26.0</v>
      </c>
      <c r="AW574" s="13">
        <v>3.0</v>
      </c>
      <c r="AX574" s="13" t="s">
        <v>5510</v>
      </c>
      <c r="AY574" s="13" t="s">
        <v>5510</v>
      </c>
      <c r="AZ574" s="13" t="s">
        <v>5510</v>
      </c>
      <c r="BA574" s="13" t="s">
        <v>5510</v>
      </c>
      <c r="BB574" s="13">
        <v>845.0</v>
      </c>
      <c r="BC574" s="13">
        <v>858.0</v>
      </c>
      <c r="BD574" s="13" t="s">
        <v>5510</v>
      </c>
      <c r="BE574" s="13" t="s">
        <v>15780</v>
      </c>
      <c r="BF574" s="52" t="str">
        <f>HYPERLINK("http://dx.doi.org/10.1111/j.1539-6924.2006.00763.x","http://dx.doi.org/10.1111/j.1539-6924.2006.00763.x")</f>
        <v>http://dx.doi.org/10.1111/j.1539-6924.2006.00763.x</v>
      </c>
      <c r="BG574" s="13" t="s">
        <v>5510</v>
      </c>
      <c r="BH574" s="13" t="s">
        <v>5510</v>
      </c>
      <c r="BI574" s="13">
        <v>14.0</v>
      </c>
      <c r="BJ574" s="13" t="s">
        <v>15781</v>
      </c>
      <c r="BK574" s="13" t="s">
        <v>5534</v>
      </c>
      <c r="BL574" s="13" t="s">
        <v>15782</v>
      </c>
      <c r="BM574" s="13" t="s">
        <v>15783</v>
      </c>
      <c r="BN574" s="13">
        <v>1.6834638E7</v>
      </c>
      <c r="BO574" s="13" t="s">
        <v>5510</v>
      </c>
      <c r="BP574" s="13" t="s">
        <v>5510</v>
      </c>
      <c r="BQ574" s="13" t="s">
        <v>5510</v>
      </c>
      <c r="BR574" s="13" t="s">
        <v>5538</v>
      </c>
      <c r="BS574" s="13" t="s">
        <v>15784</v>
      </c>
      <c r="BT574" s="13">
        <v>25130.0</v>
      </c>
      <c r="BU574" s="13" t="s">
        <v>5540</v>
      </c>
      <c r="BV574" s="13" t="s">
        <v>4856</v>
      </c>
      <c r="BW574" s="13" t="str">
        <f>VLOOKUP($BT574,Enriched!$A$2:$E$1070,5,false)</f>
        <v>["Invasive &amp; other problematic species, genes &amp; diseases"]</v>
      </c>
      <c r="BX574" s="13" t="str">
        <f>VLOOKUP($BT574,Enriched!$A$2:$E$1070,4,false)</f>
        <v>["Introduced genetic material"]</v>
      </c>
      <c r="BY574" s="13" t="b">
        <f>VLOOKUP(BT574,Enriched!$A$1:$AA$1070,27,falsE)</f>
        <v>0</v>
      </c>
      <c r="BZ574" s="2" t="str">
        <f>VLOOKUP(BT574,Enriched!$A$1:$AA$1070,14,falsE)</f>
        <v>level2</v>
      </c>
      <c r="CA574" s="13" t="str">
        <f>HYPERLINK("https%3A%2F%2Fwww.webofscience.com%2Fwos%2Fwoscc%2Ffull-record%2FWOS:000238442900025","View Full Record in Web of Science")</f>
        <v>View Full Record in Web of Science</v>
      </c>
    </row>
    <row r="575" ht="12.75" customHeight="1">
      <c r="A575" s="13" t="s">
        <v>5508</v>
      </c>
      <c r="B575" s="13" t="s">
        <v>15785</v>
      </c>
      <c r="C575" s="13" t="s">
        <v>5510</v>
      </c>
      <c r="D575" s="13" t="s">
        <v>5510</v>
      </c>
      <c r="E575" s="13" t="s">
        <v>5510</v>
      </c>
      <c r="F575" s="13" t="s">
        <v>15786</v>
      </c>
      <c r="G575" s="13" t="s">
        <v>5510</v>
      </c>
      <c r="H575" s="13" t="s">
        <v>5510</v>
      </c>
      <c r="I575" s="13" t="s">
        <v>1274</v>
      </c>
      <c r="J575" s="13" t="s">
        <v>11793</v>
      </c>
      <c r="K575" s="13" t="s">
        <v>5510</v>
      </c>
      <c r="L575" s="13" t="s">
        <v>5510</v>
      </c>
      <c r="M575" s="13" t="s">
        <v>5513</v>
      </c>
      <c r="N575" s="13" t="s">
        <v>5514</v>
      </c>
      <c r="O575" s="13" t="s">
        <v>5510</v>
      </c>
      <c r="P575" s="13" t="s">
        <v>5510</v>
      </c>
      <c r="Q575" s="13" t="s">
        <v>5510</v>
      </c>
      <c r="R575" s="13" t="s">
        <v>5510</v>
      </c>
      <c r="S575" s="13" t="s">
        <v>5510</v>
      </c>
      <c r="T575" s="13" t="s">
        <v>5510</v>
      </c>
      <c r="U575" s="13" t="s">
        <v>15787</v>
      </c>
      <c r="V575" s="13" t="s">
        <v>15788</v>
      </c>
      <c r="W575" s="13" t="s">
        <v>15789</v>
      </c>
      <c r="X575" s="13" t="s">
        <v>15790</v>
      </c>
      <c r="Y575" s="13" t="s">
        <v>15791</v>
      </c>
      <c r="Z575" s="13" t="s">
        <v>15792</v>
      </c>
      <c r="AA575" s="13" t="s">
        <v>15793</v>
      </c>
      <c r="AB575" s="13" t="s">
        <v>15794</v>
      </c>
      <c r="AC575" s="13" t="s">
        <v>15795</v>
      </c>
      <c r="AD575" s="13" t="s">
        <v>15796</v>
      </c>
      <c r="AE575" s="13" t="s">
        <v>15797</v>
      </c>
      <c r="AF575" s="13" t="s">
        <v>5510</v>
      </c>
      <c r="AG575" s="13">
        <v>52.0</v>
      </c>
      <c r="AH575" s="13">
        <v>9.0</v>
      </c>
      <c r="AI575" s="13">
        <v>9.0</v>
      </c>
      <c r="AJ575" s="13">
        <v>1.0</v>
      </c>
      <c r="AK575" s="13">
        <v>34.0</v>
      </c>
      <c r="AL575" s="13" t="s">
        <v>5527</v>
      </c>
      <c r="AM575" s="13" t="s">
        <v>5528</v>
      </c>
      <c r="AN575" s="13" t="s">
        <v>5529</v>
      </c>
      <c r="AO575" s="13" t="s">
        <v>11804</v>
      </c>
      <c r="AP575" s="13" t="s">
        <v>11805</v>
      </c>
      <c r="AQ575" s="13" t="s">
        <v>5510</v>
      </c>
      <c r="AR575" s="13" t="s">
        <v>11806</v>
      </c>
      <c r="AS575" s="13" t="s">
        <v>11807</v>
      </c>
      <c r="AT575" s="13" t="s">
        <v>5510</v>
      </c>
      <c r="AU575" s="13">
        <v>2016.0</v>
      </c>
      <c r="AV575" s="13">
        <v>145.0</v>
      </c>
      <c r="AW575" s="13">
        <v>5.0</v>
      </c>
      <c r="AX575" s="13" t="s">
        <v>5510</v>
      </c>
      <c r="AY575" s="13" t="s">
        <v>5510</v>
      </c>
      <c r="AZ575" s="13" t="s">
        <v>5510</v>
      </c>
      <c r="BA575" s="13" t="s">
        <v>5510</v>
      </c>
      <c r="BB575" s="13">
        <v>1093.0</v>
      </c>
      <c r="BC575" s="13">
        <v>1109.0</v>
      </c>
      <c r="BD575" s="13" t="s">
        <v>5510</v>
      </c>
      <c r="BE575" s="13" t="s">
        <v>15798</v>
      </c>
      <c r="BF575" s="52" t="str">
        <f>HYPERLINK("http://dx.doi.org/10.1080/00028487.2016.1173587","http://dx.doi.org/10.1080/00028487.2016.1173587")</f>
        <v>http://dx.doi.org/10.1080/00028487.2016.1173587</v>
      </c>
      <c r="BG575" s="13" t="s">
        <v>5510</v>
      </c>
      <c r="BH575" s="13" t="s">
        <v>5510</v>
      </c>
      <c r="BI575" s="13">
        <v>17.0</v>
      </c>
      <c r="BJ575" s="13" t="s">
        <v>7608</v>
      </c>
      <c r="BK575" s="13" t="s">
        <v>5561</v>
      </c>
      <c r="BL575" s="13" t="s">
        <v>7608</v>
      </c>
      <c r="BM575" s="13" t="s">
        <v>15799</v>
      </c>
      <c r="BN575" s="13" t="s">
        <v>5510</v>
      </c>
      <c r="BO575" s="13" t="s">
        <v>6623</v>
      </c>
      <c r="BP575" s="13" t="s">
        <v>5510</v>
      </c>
      <c r="BQ575" s="13" t="s">
        <v>5510</v>
      </c>
      <c r="BR575" s="13" t="s">
        <v>5538</v>
      </c>
      <c r="BS575" s="13" t="s">
        <v>15800</v>
      </c>
      <c r="BT575" s="13">
        <v>24888.0</v>
      </c>
      <c r="BU575" s="13" t="s">
        <v>5540</v>
      </c>
      <c r="BV575" s="13" t="s">
        <v>4852</v>
      </c>
      <c r="BW575" s="13" t="str">
        <f>VLOOKUP($BT575,Enriched!$A$2:$E$1070,5,false)</f>
        <v>["Invasive &amp; other problematic species, genes &amp; diseases"]</v>
      </c>
      <c r="BX575" s="13" t="str">
        <f>VLOOKUP($BT575,Enriched!$A$2:$E$1070,4,false)</f>
        <v>["Invasive non-native/alien species/diseases"]</v>
      </c>
      <c r="BY575" s="13" t="b">
        <f>VLOOKUP(BT575,Enriched!$A$1:$AA$1070,27,falsE)</f>
        <v>0</v>
      </c>
      <c r="BZ575" s="2" t="str">
        <f>VLOOKUP(BT575,Enriched!$A$1:$AA$1070,14,falsE)</f>
        <v>level2</v>
      </c>
      <c r="CA575" s="13" t="str">
        <f>HYPERLINK("https%3A%2F%2Fwww.webofscience.com%2Fwos%2Fwoscc%2Ffull-record%2FWOS:000382750200015","View Full Record in Web of Science")</f>
        <v>View Full Record in Web of Science</v>
      </c>
    </row>
    <row r="576" ht="12.75" customHeight="1">
      <c r="A576" s="13" t="s">
        <v>5508</v>
      </c>
      <c r="B576" s="13" t="s">
        <v>15801</v>
      </c>
      <c r="C576" s="13" t="s">
        <v>5510</v>
      </c>
      <c r="D576" s="13" t="s">
        <v>5510</v>
      </c>
      <c r="E576" s="13" t="s">
        <v>5510</v>
      </c>
      <c r="F576" s="13" t="s">
        <v>15802</v>
      </c>
      <c r="G576" s="13" t="s">
        <v>5510</v>
      </c>
      <c r="H576" s="13" t="s">
        <v>5510</v>
      </c>
      <c r="I576" s="13" t="s">
        <v>1271</v>
      </c>
      <c r="J576" s="13" t="s">
        <v>8015</v>
      </c>
      <c r="K576" s="13" t="s">
        <v>5510</v>
      </c>
      <c r="L576" s="13" t="s">
        <v>5510</v>
      </c>
      <c r="M576" s="13" t="s">
        <v>5513</v>
      </c>
      <c r="N576" s="13" t="s">
        <v>5514</v>
      </c>
      <c r="O576" s="13" t="s">
        <v>5510</v>
      </c>
      <c r="P576" s="13" t="s">
        <v>5510</v>
      </c>
      <c r="Q576" s="13" t="s">
        <v>5510</v>
      </c>
      <c r="R576" s="13" t="s">
        <v>5510</v>
      </c>
      <c r="S576" s="13" t="s">
        <v>5510</v>
      </c>
      <c r="T576" s="13" t="s">
        <v>15803</v>
      </c>
      <c r="U576" s="13" t="s">
        <v>15804</v>
      </c>
      <c r="V576" s="13" t="s">
        <v>15805</v>
      </c>
      <c r="W576" s="13" t="s">
        <v>15806</v>
      </c>
      <c r="X576" s="13" t="s">
        <v>15807</v>
      </c>
      <c r="Y576" s="13" t="s">
        <v>15808</v>
      </c>
      <c r="Z576" s="13" t="s">
        <v>15809</v>
      </c>
      <c r="AA576" s="13" t="s">
        <v>15810</v>
      </c>
      <c r="AB576" s="13" t="s">
        <v>5510</v>
      </c>
      <c r="AC576" s="13" t="s">
        <v>5510</v>
      </c>
      <c r="AD576" s="13" t="s">
        <v>5510</v>
      </c>
      <c r="AE576" s="13" t="s">
        <v>5510</v>
      </c>
      <c r="AF576" s="13" t="s">
        <v>5510</v>
      </c>
      <c r="AG576" s="13">
        <v>77.0</v>
      </c>
      <c r="AH576" s="13">
        <v>3.0</v>
      </c>
      <c r="AI576" s="13">
        <v>3.0</v>
      </c>
      <c r="AJ576" s="13">
        <v>0.0</v>
      </c>
      <c r="AK576" s="13">
        <v>18.0</v>
      </c>
      <c r="AL576" s="13" t="s">
        <v>5759</v>
      </c>
      <c r="AM576" s="13" t="s">
        <v>5760</v>
      </c>
      <c r="AN576" s="13" t="s">
        <v>5761</v>
      </c>
      <c r="AO576" s="13" t="s">
        <v>8025</v>
      </c>
      <c r="AP576" s="13" t="s">
        <v>8026</v>
      </c>
      <c r="AQ576" s="13" t="s">
        <v>5510</v>
      </c>
      <c r="AR576" s="13" t="s">
        <v>8027</v>
      </c>
      <c r="AS576" s="13" t="s">
        <v>8028</v>
      </c>
      <c r="AT576" s="13" t="s">
        <v>15811</v>
      </c>
      <c r="AU576" s="13">
        <v>2018.0</v>
      </c>
      <c r="AV576" s="13">
        <v>387.0</v>
      </c>
      <c r="AW576" s="13" t="s">
        <v>5510</v>
      </c>
      <c r="AX576" s="13" t="s">
        <v>5510</v>
      </c>
      <c r="AY576" s="13" t="s">
        <v>5510</v>
      </c>
      <c r="AZ576" s="13" t="s">
        <v>5510</v>
      </c>
      <c r="BA576" s="13" t="s">
        <v>5510</v>
      </c>
      <c r="BB576" s="13">
        <v>49.0</v>
      </c>
      <c r="BC576" s="13">
        <v>60.0</v>
      </c>
      <c r="BD576" s="13" t="s">
        <v>5510</v>
      </c>
      <c r="BE576" s="13" t="s">
        <v>15812</v>
      </c>
      <c r="BF576" s="52" t="str">
        <f>HYPERLINK("http://dx.doi.org/10.1016/j.ecolmodel.2018.09.001","http://dx.doi.org/10.1016/j.ecolmodel.2018.09.001")</f>
        <v>http://dx.doi.org/10.1016/j.ecolmodel.2018.09.001</v>
      </c>
      <c r="BG576" s="13" t="s">
        <v>5510</v>
      </c>
      <c r="BH576" s="13" t="s">
        <v>5510</v>
      </c>
      <c r="BI576" s="13">
        <v>12.0</v>
      </c>
      <c r="BJ576" s="13" t="s">
        <v>5533</v>
      </c>
      <c r="BK576" s="13" t="s">
        <v>5561</v>
      </c>
      <c r="BL576" s="13" t="s">
        <v>5535</v>
      </c>
      <c r="BM576" s="13" t="s">
        <v>15813</v>
      </c>
      <c r="BN576" s="13" t="s">
        <v>5510</v>
      </c>
      <c r="BO576" s="13" t="s">
        <v>5510</v>
      </c>
      <c r="BP576" s="13" t="s">
        <v>5510</v>
      </c>
      <c r="BQ576" s="13" t="s">
        <v>5510</v>
      </c>
      <c r="BR576" s="13" t="s">
        <v>5538</v>
      </c>
      <c r="BS576" s="13" t="s">
        <v>15814</v>
      </c>
      <c r="BT576" s="13">
        <v>24123.0</v>
      </c>
      <c r="BU576" s="13" t="s">
        <v>5540</v>
      </c>
      <c r="BV576" s="13" t="s">
        <v>4856</v>
      </c>
      <c r="BW576" s="13" t="str">
        <f>VLOOKUP($BT576,Enriched!$A$2:$E$1070,5,false)</f>
        <v>["Agriculture &amp; Aquaculture"]</v>
      </c>
      <c r="BX576" s="13" t="str">
        <f>VLOOKUP($BT576,Enriched!$A$2:$E$1070,4,false)</f>
        <v/>
      </c>
      <c r="BY576" s="13" t="b">
        <f>VLOOKUP(BT576,Enriched!$A$1:$AA$1070,27,falsE)</f>
        <v>1</v>
      </c>
      <c r="BZ576" s="2" t="str">
        <f>VLOOKUP(BT576,Enriched!$A$1:$AA$1070,14,falsE)</f>
        <v>level1</v>
      </c>
      <c r="CA576" s="13" t="str">
        <f>HYPERLINK("https%3A%2F%2Fwww.webofscience.com%2Fwos%2Fwoscc%2Ffull-record%2FWOS:000451653800006","View Full Record in Web of Science")</f>
        <v>View Full Record in Web of Science</v>
      </c>
    </row>
    <row r="577" ht="12.75" customHeight="1">
      <c r="A577" s="13" t="s">
        <v>5508</v>
      </c>
      <c r="B577" s="13" t="s">
        <v>15815</v>
      </c>
      <c r="C577" s="13" t="s">
        <v>5510</v>
      </c>
      <c r="D577" s="13" t="s">
        <v>5510</v>
      </c>
      <c r="E577" s="13" t="s">
        <v>5510</v>
      </c>
      <c r="F577" s="13" t="s">
        <v>15816</v>
      </c>
      <c r="G577" s="13" t="s">
        <v>5510</v>
      </c>
      <c r="H577" s="13" t="s">
        <v>5510</v>
      </c>
      <c r="I577" s="13" t="s">
        <v>1267</v>
      </c>
      <c r="J577" s="13" t="s">
        <v>10883</v>
      </c>
      <c r="K577" s="13" t="s">
        <v>5510</v>
      </c>
      <c r="L577" s="13" t="s">
        <v>5510</v>
      </c>
      <c r="M577" s="13" t="s">
        <v>5513</v>
      </c>
      <c r="N577" s="13" t="s">
        <v>5514</v>
      </c>
      <c r="O577" s="13" t="s">
        <v>5510</v>
      </c>
      <c r="P577" s="13" t="s">
        <v>5510</v>
      </c>
      <c r="Q577" s="13" t="s">
        <v>5510</v>
      </c>
      <c r="R577" s="13" t="s">
        <v>5510</v>
      </c>
      <c r="S577" s="13" t="s">
        <v>5510</v>
      </c>
      <c r="T577" s="13" t="s">
        <v>15817</v>
      </c>
      <c r="U577" s="13" t="s">
        <v>15818</v>
      </c>
      <c r="V577" s="13" t="s">
        <v>15819</v>
      </c>
      <c r="W577" s="13" t="s">
        <v>15820</v>
      </c>
      <c r="X577" s="13" t="s">
        <v>15821</v>
      </c>
      <c r="Y577" s="13" t="s">
        <v>15822</v>
      </c>
      <c r="Z577" s="13" t="s">
        <v>15823</v>
      </c>
      <c r="AA577" s="13" t="s">
        <v>15824</v>
      </c>
      <c r="AB577" s="13" t="s">
        <v>15825</v>
      </c>
      <c r="AC577" s="13" t="s">
        <v>5510</v>
      </c>
      <c r="AD577" s="13" t="s">
        <v>5510</v>
      </c>
      <c r="AE577" s="13" t="s">
        <v>5510</v>
      </c>
      <c r="AF577" s="13" t="s">
        <v>5510</v>
      </c>
      <c r="AG577" s="13">
        <v>49.0</v>
      </c>
      <c r="AH577" s="13">
        <v>121.0</v>
      </c>
      <c r="AI577" s="13">
        <v>139.0</v>
      </c>
      <c r="AJ577" s="13">
        <v>1.0</v>
      </c>
      <c r="AK577" s="13">
        <v>113.0</v>
      </c>
      <c r="AL577" s="13" t="s">
        <v>9186</v>
      </c>
      <c r="AM577" s="13" t="s">
        <v>6046</v>
      </c>
      <c r="AN577" s="13" t="s">
        <v>9187</v>
      </c>
      <c r="AO577" s="13" t="s">
        <v>10896</v>
      </c>
      <c r="AP577" s="13" t="s">
        <v>10897</v>
      </c>
      <c r="AQ577" s="13" t="s">
        <v>5510</v>
      </c>
      <c r="AR577" s="13" t="s">
        <v>10898</v>
      </c>
      <c r="AS577" s="13" t="s">
        <v>10899</v>
      </c>
      <c r="AT577" s="13" t="s">
        <v>15826</v>
      </c>
      <c r="AU577" s="13">
        <v>2008.0</v>
      </c>
      <c r="AV577" s="13">
        <v>275.0</v>
      </c>
      <c r="AW577" s="13">
        <v>1640.0</v>
      </c>
      <c r="AX577" s="13" t="s">
        <v>5510</v>
      </c>
      <c r="AY577" s="13" t="s">
        <v>5510</v>
      </c>
      <c r="AZ577" s="13" t="s">
        <v>5510</v>
      </c>
      <c r="BA577" s="13" t="s">
        <v>5510</v>
      </c>
      <c r="BB577" s="13">
        <v>1261.0</v>
      </c>
      <c r="BC577" s="13">
        <v>1270.0</v>
      </c>
      <c r="BD577" s="13" t="s">
        <v>5510</v>
      </c>
      <c r="BE577" s="13" t="s">
        <v>15827</v>
      </c>
      <c r="BF577" s="52" t="str">
        <f>HYPERLINK("http://dx.doi.org/10.1098/rspb.2007.1732","http://dx.doi.org/10.1098/rspb.2007.1732")</f>
        <v>http://dx.doi.org/10.1098/rspb.2007.1732</v>
      </c>
      <c r="BG577" s="13" t="s">
        <v>5510</v>
      </c>
      <c r="BH577" s="13" t="s">
        <v>5510</v>
      </c>
      <c r="BI577" s="13">
        <v>10.0</v>
      </c>
      <c r="BJ577" s="13" t="s">
        <v>9194</v>
      </c>
      <c r="BK577" s="13" t="s">
        <v>5561</v>
      </c>
      <c r="BL577" s="13" t="s">
        <v>9195</v>
      </c>
      <c r="BM577" s="13" t="s">
        <v>15828</v>
      </c>
      <c r="BN577" s="13">
        <v>1.8302999E7</v>
      </c>
      <c r="BO577" s="13" t="s">
        <v>6623</v>
      </c>
      <c r="BP577" s="13" t="s">
        <v>5510</v>
      </c>
      <c r="BQ577" s="13" t="s">
        <v>5510</v>
      </c>
      <c r="BR577" s="13" t="s">
        <v>5538</v>
      </c>
      <c r="BS577" s="13" t="s">
        <v>15829</v>
      </c>
      <c r="BT577" s="13">
        <v>24502.0</v>
      </c>
      <c r="BU577" s="13" t="s">
        <v>5540</v>
      </c>
      <c r="BV577" s="13" t="s">
        <v>4856</v>
      </c>
      <c r="BW577" s="13" t="str">
        <f>VLOOKUP($BT577,Enriched!$A$2:$E$1070,5,false)</f>
        <v>["Residential &amp; Commercial Development", "Agriculture &amp; Aquaculture"]</v>
      </c>
      <c r="BX577" s="13" t="str">
        <f>VLOOKUP($BT577,Enriched!$A$2:$E$1070,4,false)</f>
        <v>["Annual &amp; perennial non-timber crops"]</v>
      </c>
      <c r="BY577" s="13" t="b">
        <f>VLOOKUP(BT577,Enriched!$A$1:$AA$1070,27,falsE)</f>
        <v>1</v>
      </c>
      <c r="BZ577" s="2" t="str">
        <f>VLOOKUP(BT577,Enriched!$A$1:$AA$1070,14,falsE)</f>
        <v>cumulative</v>
      </c>
      <c r="CA577" s="13" t="str">
        <f>HYPERLINK("https%3A%2F%2Fwww.webofscience.com%2Fwos%2Fwoscc%2Ffull-record%2FWOS:000255056600005","View Full Record in Web of Science")</f>
        <v>View Full Record in Web of Science</v>
      </c>
    </row>
    <row r="578" ht="12.75" customHeight="1">
      <c r="A578" s="13" t="s">
        <v>5508</v>
      </c>
      <c r="B578" s="13" t="s">
        <v>15830</v>
      </c>
      <c r="C578" s="13" t="s">
        <v>5510</v>
      </c>
      <c r="D578" s="13" t="s">
        <v>5510</v>
      </c>
      <c r="E578" s="13" t="s">
        <v>5510</v>
      </c>
      <c r="F578" s="13" t="s">
        <v>15831</v>
      </c>
      <c r="G578" s="13" t="s">
        <v>5510</v>
      </c>
      <c r="H578" s="13" t="s">
        <v>5510</v>
      </c>
      <c r="I578" s="13" t="s">
        <v>1265</v>
      </c>
      <c r="J578" s="13" t="s">
        <v>12220</v>
      </c>
      <c r="K578" s="13" t="s">
        <v>5510</v>
      </c>
      <c r="L578" s="13" t="s">
        <v>5510</v>
      </c>
      <c r="M578" s="13" t="s">
        <v>5513</v>
      </c>
      <c r="N578" s="13" t="s">
        <v>5514</v>
      </c>
      <c r="O578" s="13" t="s">
        <v>5510</v>
      </c>
      <c r="P578" s="13" t="s">
        <v>5510</v>
      </c>
      <c r="Q578" s="13" t="s">
        <v>5510</v>
      </c>
      <c r="R578" s="13" t="s">
        <v>5510</v>
      </c>
      <c r="S578" s="13" t="s">
        <v>5510</v>
      </c>
      <c r="T578" s="13" t="s">
        <v>15832</v>
      </c>
      <c r="U578" s="13" t="s">
        <v>15833</v>
      </c>
      <c r="V578" s="13" t="s">
        <v>15834</v>
      </c>
      <c r="W578" s="13" t="s">
        <v>15835</v>
      </c>
      <c r="X578" s="13" t="s">
        <v>15836</v>
      </c>
      <c r="Y578" s="13" t="s">
        <v>15837</v>
      </c>
      <c r="Z578" s="13" t="s">
        <v>15838</v>
      </c>
      <c r="AA578" s="13" t="s">
        <v>5510</v>
      </c>
      <c r="AB578" s="13" t="s">
        <v>15839</v>
      </c>
      <c r="AC578" s="13" t="s">
        <v>15840</v>
      </c>
      <c r="AD578" s="13" t="s">
        <v>15841</v>
      </c>
      <c r="AE578" s="13" t="s">
        <v>15842</v>
      </c>
      <c r="AF578" s="13" t="s">
        <v>5510</v>
      </c>
      <c r="AG578" s="13">
        <v>87.0</v>
      </c>
      <c r="AH578" s="13">
        <v>18.0</v>
      </c>
      <c r="AI578" s="13">
        <v>18.0</v>
      </c>
      <c r="AJ578" s="13">
        <v>1.0</v>
      </c>
      <c r="AK578" s="13">
        <v>29.0</v>
      </c>
      <c r="AL578" s="13" t="s">
        <v>5931</v>
      </c>
      <c r="AM578" s="13" t="s">
        <v>5932</v>
      </c>
      <c r="AN578" s="13" t="s">
        <v>5933</v>
      </c>
      <c r="AO578" s="13" t="s">
        <v>12233</v>
      </c>
      <c r="AP578" s="13" t="s">
        <v>12234</v>
      </c>
      <c r="AQ578" s="13" t="s">
        <v>5510</v>
      </c>
      <c r="AR578" s="13" t="s">
        <v>12235</v>
      </c>
      <c r="AS578" s="13" t="s">
        <v>12236</v>
      </c>
      <c r="AT578" s="13" t="s">
        <v>1925</v>
      </c>
      <c r="AU578" s="13">
        <v>2017.0</v>
      </c>
      <c r="AV578" s="13">
        <v>130.0</v>
      </c>
      <c r="AW578" s="13" t="s">
        <v>5510</v>
      </c>
      <c r="AX578" s="13" t="s">
        <v>5510</v>
      </c>
      <c r="AY578" s="13" t="s">
        <v>5510</v>
      </c>
      <c r="AZ578" s="13" t="s">
        <v>5510</v>
      </c>
      <c r="BA578" s="13" t="s">
        <v>5510</v>
      </c>
      <c r="BB578" s="13">
        <v>1.0</v>
      </c>
      <c r="BC578" s="13">
        <v>11.0</v>
      </c>
      <c r="BD578" s="13" t="s">
        <v>5510</v>
      </c>
      <c r="BE578" s="13" t="s">
        <v>15843</v>
      </c>
      <c r="BF578" s="52" t="str">
        <f>HYPERLINK("http://dx.doi.org/10.1016/j.marenvres.2017.07.010","http://dx.doi.org/10.1016/j.marenvres.2017.07.010")</f>
        <v>http://dx.doi.org/10.1016/j.marenvres.2017.07.010</v>
      </c>
      <c r="BG578" s="13" t="s">
        <v>5510</v>
      </c>
      <c r="BH578" s="13" t="s">
        <v>5510</v>
      </c>
      <c r="BI578" s="13">
        <v>11.0</v>
      </c>
      <c r="BJ578" s="13" t="s">
        <v>12238</v>
      </c>
      <c r="BK578" s="13" t="s">
        <v>5561</v>
      </c>
      <c r="BL578" s="13" t="s">
        <v>12239</v>
      </c>
      <c r="BM578" s="13" t="s">
        <v>15844</v>
      </c>
      <c r="BN578" s="13">
        <v>2.8712824E7</v>
      </c>
      <c r="BO578" s="13" t="s">
        <v>5510</v>
      </c>
      <c r="BP578" s="13" t="s">
        <v>5510</v>
      </c>
      <c r="BQ578" s="13" t="s">
        <v>5510</v>
      </c>
      <c r="BR578" s="13" t="s">
        <v>5538</v>
      </c>
      <c r="BS578" s="13" t="s">
        <v>15845</v>
      </c>
      <c r="BT578" s="13">
        <v>24951.0</v>
      </c>
      <c r="BU578" s="13" t="s">
        <v>5540</v>
      </c>
      <c r="BV578" s="13" t="s">
        <v>4864</v>
      </c>
      <c r="BW578" s="13" t="str">
        <f>VLOOKUP($BT578,Enriched!$A$2:$E$1070,5,false)</f>
        <v>["Biological resource use"]</v>
      </c>
      <c r="BX578" s="13" t="str">
        <f>VLOOKUP($BT578,Enriched!$A$2:$E$1070,4,false)</f>
        <v>["Fishing &amp; harvesting aquatic resources"]</v>
      </c>
      <c r="BY578" s="13" t="b">
        <f>VLOOKUP(BT578,Enriched!$A$1:$AA$1070,27,falsE)</f>
        <v>0</v>
      </c>
      <c r="BZ578" s="2" t="str">
        <f>VLOOKUP(BT578,Enriched!$A$1:$AA$1070,14,falsE)</f>
        <v>level2</v>
      </c>
      <c r="CA578" s="13" t="str">
        <f>HYPERLINK("https%3A%2F%2Fwww.webofscience.com%2Fwos%2Fwoscc%2Ffull-record%2FWOS:000413382600001","View Full Record in Web of Science")</f>
        <v>View Full Record in Web of Science</v>
      </c>
    </row>
    <row r="579" ht="12.75" customHeight="1">
      <c r="A579" s="13" t="s">
        <v>5508</v>
      </c>
      <c r="B579" s="13" t="s">
        <v>15846</v>
      </c>
      <c r="C579" s="13" t="s">
        <v>5510</v>
      </c>
      <c r="D579" s="13" t="s">
        <v>5510</v>
      </c>
      <c r="E579" s="13" t="s">
        <v>5510</v>
      </c>
      <c r="F579" s="13" t="s">
        <v>15847</v>
      </c>
      <c r="G579" s="13" t="s">
        <v>5510</v>
      </c>
      <c r="H579" s="13" t="s">
        <v>5510</v>
      </c>
      <c r="I579" s="13" t="s">
        <v>1262</v>
      </c>
      <c r="J579" s="13" t="s">
        <v>7857</v>
      </c>
      <c r="K579" s="13" t="s">
        <v>5510</v>
      </c>
      <c r="L579" s="13" t="s">
        <v>5510</v>
      </c>
      <c r="M579" s="13" t="s">
        <v>5513</v>
      </c>
      <c r="N579" s="13" t="s">
        <v>5514</v>
      </c>
      <c r="O579" s="13" t="s">
        <v>5510</v>
      </c>
      <c r="P579" s="13" t="s">
        <v>5510</v>
      </c>
      <c r="Q579" s="13" t="s">
        <v>5510</v>
      </c>
      <c r="R579" s="13" t="s">
        <v>5510</v>
      </c>
      <c r="S579" s="13" t="s">
        <v>5510</v>
      </c>
      <c r="T579" s="13" t="s">
        <v>15848</v>
      </c>
      <c r="U579" s="13" t="s">
        <v>15849</v>
      </c>
      <c r="V579" s="13" t="s">
        <v>15850</v>
      </c>
      <c r="W579" s="13" t="s">
        <v>15851</v>
      </c>
      <c r="X579" s="13" t="s">
        <v>15852</v>
      </c>
      <c r="Y579" s="13" t="s">
        <v>15853</v>
      </c>
      <c r="Z579" s="13" t="s">
        <v>15854</v>
      </c>
      <c r="AA579" s="13" t="s">
        <v>15855</v>
      </c>
      <c r="AB579" s="13" t="s">
        <v>15856</v>
      </c>
      <c r="AC579" s="13" t="s">
        <v>5510</v>
      </c>
      <c r="AD579" s="13" t="s">
        <v>5510</v>
      </c>
      <c r="AE579" s="13" t="s">
        <v>5510</v>
      </c>
      <c r="AF579" s="13" t="s">
        <v>5510</v>
      </c>
      <c r="AG579" s="13">
        <v>73.0</v>
      </c>
      <c r="AH579" s="13">
        <v>2.0</v>
      </c>
      <c r="AI579" s="13">
        <v>2.0</v>
      </c>
      <c r="AJ579" s="13">
        <v>0.0</v>
      </c>
      <c r="AK579" s="13">
        <v>59.0</v>
      </c>
      <c r="AL579" s="13" t="s">
        <v>5527</v>
      </c>
      <c r="AM579" s="13" t="s">
        <v>5528</v>
      </c>
      <c r="AN579" s="13" t="s">
        <v>5529</v>
      </c>
      <c r="AO579" s="13" t="s">
        <v>7870</v>
      </c>
      <c r="AP579" s="13" t="s">
        <v>7871</v>
      </c>
      <c r="AQ579" s="13" t="s">
        <v>5510</v>
      </c>
      <c r="AR579" s="13" t="s">
        <v>7872</v>
      </c>
      <c r="AS579" s="13" t="s">
        <v>7873</v>
      </c>
      <c r="AT579" s="13" t="s">
        <v>5720</v>
      </c>
      <c r="AU579" s="13">
        <v>2017.0</v>
      </c>
      <c r="AV579" s="13">
        <v>23.0</v>
      </c>
      <c r="AW579" s="13">
        <v>6.0</v>
      </c>
      <c r="AX579" s="13" t="s">
        <v>5510</v>
      </c>
      <c r="AY579" s="13" t="s">
        <v>5510</v>
      </c>
      <c r="AZ579" s="13" t="s">
        <v>5510</v>
      </c>
      <c r="BA579" s="13" t="s">
        <v>5510</v>
      </c>
      <c r="BB579" s="13">
        <v>2250.0</v>
      </c>
      <c r="BC579" s="13">
        <v>2261.0</v>
      </c>
      <c r="BD579" s="13" t="s">
        <v>5510</v>
      </c>
      <c r="BE579" s="13" t="s">
        <v>15857</v>
      </c>
      <c r="BF579" s="52" t="str">
        <f>HYPERLINK("http://dx.doi.org/10.1111/gcb.13671","http://dx.doi.org/10.1111/gcb.13671")</f>
        <v>http://dx.doi.org/10.1111/gcb.13671</v>
      </c>
      <c r="BG579" s="13" t="s">
        <v>5510</v>
      </c>
      <c r="BH579" s="13" t="s">
        <v>5510</v>
      </c>
      <c r="BI579" s="13">
        <v>12.0</v>
      </c>
      <c r="BJ579" s="13" t="s">
        <v>5698</v>
      </c>
      <c r="BK579" s="13" t="s">
        <v>5561</v>
      </c>
      <c r="BL579" s="13" t="s">
        <v>5699</v>
      </c>
      <c r="BM579" s="13" t="s">
        <v>15858</v>
      </c>
      <c r="BN579" s="13">
        <v>2.8231634E7</v>
      </c>
      <c r="BO579" s="13" t="s">
        <v>6831</v>
      </c>
      <c r="BP579" s="13" t="s">
        <v>5510</v>
      </c>
      <c r="BQ579" s="13" t="s">
        <v>5510</v>
      </c>
      <c r="BR579" s="13" t="s">
        <v>5538</v>
      </c>
      <c r="BS579" s="13" t="s">
        <v>15859</v>
      </c>
      <c r="BT579" s="13">
        <v>24540.0</v>
      </c>
      <c r="BU579" s="13" t="s">
        <v>5540</v>
      </c>
      <c r="BV579" s="13" t="s">
        <v>4856</v>
      </c>
      <c r="BW579" s="13" t="str">
        <f>VLOOKUP($BT579,Enriched!$A$2:$E$1070,5,false)</f>
        <v>["Invasive &amp; other problematic species, genes &amp; diseases"]</v>
      </c>
      <c r="BX579" s="13" t="str">
        <f>VLOOKUP($BT579,Enriched!$A$2:$E$1070,4,false)</f>
        <v>["Invasive non-native/alien species/diseases"]</v>
      </c>
      <c r="BY579" s="13" t="b">
        <f>VLOOKUP(BT579,Enriched!$A$1:$AA$1070,27,falsE)</f>
        <v>0</v>
      </c>
      <c r="BZ579" s="2" t="str">
        <f>VLOOKUP(BT579,Enriched!$A$1:$AA$1070,14,falsE)</f>
        <v>level2</v>
      </c>
      <c r="CA579" s="13" t="str">
        <f>HYPERLINK("https%3A%2F%2Fwww.webofscience.com%2Fwos%2Fwoscc%2Ffull-record%2FWOS:000400445900011","View Full Record in Web of Science")</f>
        <v>View Full Record in Web of Science</v>
      </c>
    </row>
    <row r="580" ht="12.75" customHeight="1">
      <c r="A580" s="13" t="s">
        <v>5508</v>
      </c>
      <c r="B580" s="13" t="s">
        <v>15860</v>
      </c>
      <c r="C580" s="13" t="s">
        <v>5510</v>
      </c>
      <c r="D580" s="13" t="s">
        <v>5510</v>
      </c>
      <c r="E580" s="13" t="s">
        <v>5510</v>
      </c>
      <c r="F580" s="13" t="s">
        <v>15861</v>
      </c>
      <c r="G580" s="13" t="s">
        <v>5510</v>
      </c>
      <c r="H580" s="13" t="s">
        <v>5510</v>
      </c>
      <c r="I580" s="13" t="s">
        <v>1260</v>
      </c>
      <c r="J580" s="13" t="s">
        <v>6627</v>
      </c>
      <c r="K580" s="13" t="s">
        <v>5510</v>
      </c>
      <c r="L580" s="13" t="s">
        <v>5510</v>
      </c>
      <c r="M580" s="13" t="s">
        <v>5513</v>
      </c>
      <c r="N580" s="13" t="s">
        <v>5514</v>
      </c>
      <c r="O580" s="13" t="s">
        <v>5510</v>
      </c>
      <c r="P580" s="13" t="s">
        <v>5510</v>
      </c>
      <c r="Q580" s="13" t="s">
        <v>5510</v>
      </c>
      <c r="R580" s="13" t="s">
        <v>5510</v>
      </c>
      <c r="S580" s="13" t="s">
        <v>5510</v>
      </c>
      <c r="T580" s="13" t="s">
        <v>15862</v>
      </c>
      <c r="U580" s="13" t="s">
        <v>15863</v>
      </c>
      <c r="V580" s="13" t="s">
        <v>15864</v>
      </c>
      <c r="W580" s="13" t="s">
        <v>15865</v>
      </c>
      <c r="X580" s="13" t="s">
        <v>15866</v>
      </c>
      <c r="Y580" s="13" t="s">
        <v>15867</v>
      </c>
      <c r="Z580" s="13" t="s">
        <v>15868</v>
      </c>
      <c r="AA580" s="13" t="s">
        <v>15869</v>
      </c>
      <c r="AB580" s="13" t="s">
        <v>15870</v>
      </c>
      <c r="AC580" s="13" t="s">
        <v>15871</v>
      </c>
      <c r="AD580" s="13" t="s">
        <v>15872</v>
      </c>
      <c r="AE580" s="13" t="s">
        <v>15873</v>
      </c>
      <c r="AF580" s="13" t="s">
        <v>5510</v>
      </c>
      <c r="AG580" s="13">
        <v>62.0</v>
      </c>
      <c r="AH580" s="13">
        <v>60.0</v>
      </c>
      <c r="AI580" s="13">
        <v>68.0</v>
      </c>
      <c r="AJ580" s="13">
        <v>4.0</v>
      </c>
      <c r="AK580" s="13">
        <v>95.0</v>
      </c>
      <c r="AL580" s="13" t="s">
        <v>5527</v>
      </c>
      <c r="AM580" s="13" t="s">
        <v>5528</v>
      </c>
      <c r="AN580" s="13" t="s">
        <v>5529</v>
      </c>
      <c r="AO580" s="13" t="s">
        <v>6640</v>
      </c>
      <c r="AP580" s="13" t="s">
        <v>6641</v>
      </c>
      <c r="AQ580" s="13" t="s">
        <v>5510</v>
      </c>
      <c r="AR580" s="13" t="s">
        <v>6642</v>
      </c>
      <c r="AS580" s="13" t="s">
        <v>6643</v>
      </c>
      <c r="AT580" s="13" t="s">
        <v>2514</v>
      </c>
      <c r="AU580" s="13">
        <v>2018.0</v>
      </c>
      <c r="AV580" s="13">
        <v>24.0</v>
      </c>
      <c r="AW580" s="13">
        <v>10.0</v>
      </c>
      <c r="AX580" s="13" t="s">
        <v>5510</v>
      </c>
      <c r="AY580" s="13" t="s">
        <v>5510</v>
      </c>
      <c r="AZ580" s="13" t="s">
        <v>5510</v>
      </c>
      <c r="BA580" s="13" t="s">
        <v>5510</v>
      </c>
      <c r="BB580" s="13">
        <v>1395.0</v>
      </c>
      <c r="BC580" s="13">
        <v>1404.0</v>
      </c>
      <c r="BD580" s="13" t="s">
        <v>5510</v>
      </c>
      <c r="BE580" s="13" t="s">
        <v>15874</v>
      </c>
      <c r="BF580" s="52" t="str">
        <f>HYPERLINK("http://dx.doi.org/10.1111/ddi.12780","http://dx.doi.org/10.1111/ddi.12780")</f>
        <v>http://dx.doi.org/10.1111/ddi.12780</v>
      </c>
      <c r="BG580" s="13" t="s">
        <v>5510</v>
      </c>
      <c r="BH580" s="13" t="s">
        <v>5510</v>
      </c>
      <c r="BI580" s="13">
        <v>10.0</v>
      </c>
      <c r="BJ580" s="13" t="s">
        <v>5958</v>
      </c>
      <c r="BK580" s="13" t="s">
        <v>5561</v>
      </c>
      <c r="BL580" s="13" t="s">
        <v>5699</v>
      </c>
      <c r="BM580" s="13" t="s">
        <v>15875</v>
      </c>
      <c r="BN580" s="13" t="s">
        <v>5510</v>
      </c>
      <c r="BO580" s="13" t="s">
        <v>6028</v>
      </c>
      <c r="BP580" s="13" t="s">
        <v>5510</v>
      </c>
      <c r="BQ580" s="13" t="s">
        <v>5510</v>
      </c>
      <c r="BR580" s="13" t="s">
        <v>5538</v>
      </c>
      <c r="BS580" s="13" t="s">
        <v>15876</v>
      </c>
      <c r="BT580" s="13">
        <v>24174.0</v>
      </c>
      <c r="BU580" s="13" t="s">
        <v>5540</v>
      </c>
      <c r="BV580" s="13" t="s">
        <v>4852</v>
      </c>
      <c r="BW580" s="13" t="str">
        <f>VLOOKUP($BT580,Enriched!$A$2:$E$1070,5,false)</f>
        <v>["Residential &amp; Commercial Development", "Agriculture &amp; Aquaculture", "Biological Resource Use", "Natural System Modifications", "Invasive &amp; Other Problematic Species, Genes &amp; Diseases", "Pollution"]</v>
      </c>
      <c r="BX580" s="13" t="str">
        <f>VLOOKUP($BT580,Enriched!$A$2:$E$1070,4,false)</f>
        <v>["Fishing &amp; harvesting aquatic resources", "Dams &amp; water management/use", "Invasive non-native/alien species/diseases", "Excess energy"]</v>
      </c>
      <c r="BY580" s="13" t="b">
        <f>VLOOKUP(BT580,Enriched!$A$1:$AA$1070,27,falsE)</f>
        <v>1</v>
      </c>
      <c r="BZ580" s="2" t="str">
        <f>VLOOKUP(BT580,Enriched!$A$1:$AA$1070,14,falsE)</f>
        <v>cumulative</v>
      </c>
      <c r="CA580" s="13" t="str">
        <f>HYPERLINK("https%3A%2F%2Fwww.webofscience.com%2Fwos%2Fwoscc%2Ffull-record%2FWOS:000445727000004","View Full Record in Web of Science")</f>
        <v>View Full Record in Web of Science</v>
      </c>
    </row>
    <row r="581" ht="12.75" customHeight="1">
      <c r="A581" s="13" t="s">
        <v>5508</v>
      </c>
      <c r="B581" s="13" t="s">
        <v>15877</v>
      </c>
      <c r="C581" s="13" t="s">
        <v>5510</v>
      </c>
      <c r="D581" s="13" t="s">
        <v>5510</v>
      </c>
      <c r="E581" s="13" t="s">
        <v>5510</v>
      </c>
      <c r="F581" s="13" t="s">
        <v>15878</v>
      </c>
      <c r="G581" s="13" t="s">
        <v>5510</v>
      </c>
      <c r="H581" s="13" t="s">
        <v>5510</v>
      </c>
      <c r="I581" s="13" t="s">
        <v>1257</v>
      </c>
      <c r="J581" s="13" t="s">
        <v>6333</v>
      </c>
      <c r="K581" s="13" t="s">
        <v>5510</v>
      </c>
      <c r="L581" s="13" t="s">
        <v>5510</v>
      </c>
      <c r="M581" s="13" t="s">
        <v>5513</v>
      </c>
      <c r="N581" s="13" t="s">
        <v>5514</v>
      </c>
      <c r="O581" s="13" t="s">
        <v>5510</v>
      </c>
      <c r="P581" s="13" t="s">
        <v>5510</v>
      </c>
      <c r="Q581" s="13" t="s">
        <v>5510</v>
      </c>
      <c r="R581" s="13" t="s">
        <v>5510</v>
      </c>
      <c r="S581" s="13" t="s">
        <v>5510</v>
      </c>
      <c r="T581" s="13" t="s">
        <v>15879</v>
      </c>
      <c r="U581" s="13" t="s">
        <v>15880</v>
      </c>
      <c r="V581" s="13" t="s">
        <v>15881</v>
      </c>
      <c r="W581" s="13" t="s">
        <v>15882</v>
      </c>
      <c r="X581" s="13" t="s">
        <v>15883</v>
      </c>
      <c r="Y581" s="13" t="s">
        <v>15884</v>
      </c>
      <c r="Z581" s="13" t="s">
        <v>15885</v>
      </c>
      <c r="AA581" s="13" t="s">
        <v>15886</v>
      </c>
      <c r="AB581" s="13" t="s">
        <v>15887</v>
      </c>
      <c r="AC581" s="13" t="s">
        <v>15888</v>
      </c>
      <c r="AD581" s="13" t="s">
        <v>15889</v>
      </c>
      <c r="AE581" s="13" t="s">
        <v>5510</v>
      </c>
      <c r="AF581" s="13" t="s">
        <v>5510</v>
      </c>
      <c r="AG581" s="13">
        <v>66.0</v>
      </c>
      <c r="AH581" s="13">
        <v>64.0</v>
      </c>
      <c r="AI581" s="13">
        <v>73.0</v>
      </c>
      <c r="AJ581" s="13">
        <v>3.0</v>
      </c>
      <c r="AK581" s="13">
        <v>58.0</v>
      </c>
      <c r="AL581" s="13" t="s">
        <v>5527</v>
      </c>
      <c r="AM581" s="13" t="s">
        <v>5528</v>
      </c>
      <c r="AN581" s="13" t="s">
        <v>5529</v>
      </c>
      <c r="AO581" s="13" t="s">
        <v>6342</v>
      </c>
      <c r="AP581" s="13" t="s">
        <v>6343</v>
      </c>
      <c r="AQ581" s="13" t="s">
        <v>5510</v>
      </c>
      <c r="AR581" s="13" t="s">
        <v>6344</v>
      </c>
      <c r="AS581" s="13" t="s">
        <v>6345</v>
      </c>
      <c r="AT581" s="13" t="s">
        <v>6175</v>
      </c>
      <c r="AU581" s="13">
        <v>2020.0</v>
      </c>
      <c r="AV581" s="13">
        <v>34.0</v>
      </c>
      <c r="AW581" s="13">
        <v>4.0</v>
      </c>
      <c r="AX581" s="13" t="s">
        <v>5510</v>
      </c>
      <c r="AY581" s="13" t="s">
        <v>5510</v>
      </c>
      <c r="AZ581" s="13" t="s">
        <v>5510</v>
      </c>
      <c r="BA581" s="13" t="s">
        <v>5510</v>
      </c>
      <c r="BB581" s="13">
        <v>956.0</v>
      </c>
      <c r="BC581" s="13">
        <v>965.0</v>
      </c>
      <c r="BD581" s="13" t="s">
        <v>5510</v>
      </c>
      <c r="BE581" s="13" t="s">
        <v>15890</v>
      </c>
      <c r="BF581" s="52" t="str">
        <f>HYPERLINK("http://dx.doi.org/10.1111/cobi.13466","http://dx.doi.org/10.1111/cobi.13466")</f>
        <v>http://dx.doi.org/10.1111/cobi.13466</v>
      </c>
      <c r="BG581" s="13" t="s">
        <v>5510</v>
      </c>
      <c r="BH581" s="13" t="s">
        <v>5510</v>
      </c>
      <c r="BI581" s="13">
        <v>10.0</v>
      </c>
      <c r="BJ581" s="13" t="s">
        <v>5698</v>
      </c>
      <c r="BK581" s="13" t="s">
        <v>5561</v>
      </c>
      <c r="BL581" s="13" t="s">
        <v>5699</v>
      </c>
      <c r="BM581" s="13" t="s">
        <v>15891</v>
      </c>
      <c r="BN581" s="13">
        <v>3.1990088E7</v>
      </c>
      <c r="BO581" s="13" t="s">
        <v>5510</v>
      </c>
      <c r="BP581" s="13" t="s">
        <v>5510</v>
      </c>
      <c r="BQ581" s="13" t="s">
        <v>5510</v>
      </c>
      <c r="BR581" s="13" t="s">
        <v>5538</v>
      </c>
      <c r="BS581" s="13" t="s">
        <v>15892</v>
      </c>
      <c r="BT581" s="13">
        <v>24313.0</v>
      </c>
      <c r="BU581" s="13" t="s">
        <v>5540</v>
      </c>
      <c r="BV581" s="13" t="s">
        <v>4886</v>
      </c>
      <c r="BW581" s="13" t="str">
        <f>VLOOKUP($BT581,Enriched!$A$2:$E$1070,5,false)</f>
        <v>["Natural system modifications"]</v>
      </c>
      <c r="BX581" s="13" t="str">
        <f>VLOOKUP($BT581,Enriched!$A$2:$E$1070,4,false)</f>
        <v>["Dams &amp; water management/use"]</v>
      </c>
      <c r="BY581" s="13" t="b">
        <f>VLOOKUP(BT581,Enriched!$A$1:$AA$1070,27,falsE)</f>
        <v>0</v>
      </c>
      <c r="BZ581" s="2" t="str">
        <f>VLOOKUP(BT581,Enriched!$A$1:$AA$1070,14,falsE)</f>
        <v>level2</v>
      </c>
      <c r="CA581" s="13" t="str">
        <f>HYPERLINK("https%3A%2F%2Fwww.webofscience.com%2Fwos%2Fwoscc%2Ffull-record%2FWOS:000557929900019","View Full Record in Web of Science")</f>
        <v>View Full Record in Web of Science</v>
      </c>
    </row>
    <row r="582" ht="12.75" customHeight="1">
      <c r="A582" s="13" t="s">
        <v>5508</v>
      </c>
      <c r="B582" s="13" t="s">
        <v>15893</v>
      </c>
      <c r="C582" s="13" t="s">
        <v>5510</v>
      </c>
      <c r="D582" s="13" t="s">
        <v>5510</v>
      </c>
      <c r="E582" s="13" t="s">
        <v>5510</v>
      </c>
      <c r="F582" s="13" t="s">
        <v>15894</v>
      </c>
      <c r="G582" s="13" t="s">
        <v>5510</v>
      </c>
      <c r="H582" s="13" t="s">
        <v>5510</v>
      </c>
      <c r="I582" s="13" t="s">
        <v>1255</v>
      </c>
      <c r="J582" s="13" t="s">
        <v>8795</v>
      </c>
      <c r="K582" s="13" t="s">
        <v>5510</v>
      </c>
      <c r="L582" s="13" t="s">
        <v>5510</v>
      </c>
      <c r="M582" s="13" t="s">
        <v>5513</v>
      </c>
      <c r="N582" s="13" t="s">
        <v>5514</v>
      </c>
      <c r="O582" s="13" t="s">
        <v>5510</v>
      </c>
      <c r="P582" s="13" t="s">
        <v>5510</v>
      </c>
      <c r="Q582" s="13" t="s">
        <v>5510</v>
      </c>
      <c r="R582" s="13" t="s">
        <v>5510</v>
      </c>
      <c r="S582" s="13" t="s">
        <v>5510</v>
      </c>
      <c r="T582" s="13" t="s">
        <v>5510</v>
      </c>
      <c r="U582" s="13" t="s">
        <v>15895</v>
      </c>
      <c r="V582" s="13" t="s">
        <v>15896</v>
      </c>
      <c r="W582" s="13" t="s">
        <v>15897</v>
      </c>
      <c r="X582" s="13" t="s">
        <v>15898</v>
      </c>
      <c r="Y582" s="13" t="s">
        <v>15899</v>
      </c>
      <c r="Z582" s="13" t="s">
        <v>15900</v>
      </c>
      <c r="AA582" s="13" t="s">
        <v>15901</v>
      </c>
      <c r="AB582" s="13" t="s">
        <v>15902</v>
      </c>
      <c r="AC582" s="13" t="s">
        <v>15903</v>
      </c>
      <c r="AD582" s="13" t="s">
        <v>15903</v>
      </c>
      <c r="AE582" s="13" t="s">
        <v>15904</v>
      </c>
      <c r="AF582" s="13" t="s">
        <v>5510</v>
      </c>
      <c r="AG582" s="13">
        <v>56.0</v>
      </c>
      <c r="AH582" s="13">
        <v>9.0</v>
      </c>
      <c r="AI582" s="13">
        <v>12.0</v>
      </c>
      <c r="AJ582" s="13">
        <v>1.0</v>
      </c>
      <c r="AK582" s="13">
        <v>28.0</v>
      </c>
      <c r="AL582" s="13" t="s">
        <v>8807</v>
      </c>
      <c r="AM582" s="13" t="s">
        <v>8808</v>
      </c>
      <c r="AN582" s="13" t="s">
        <v>8809</v>
      </c>
      <c r="AO582" s="13" t="s">
        <v>8810</v>
      </c>
      <c r="AP582" s="13" t="s">
        <v>5510</v>
      </c>
      <c r="AQ582" s="13" t="s">
        <v>5510</v>
      </c>
      <c r="AR582" s="13" t="s">
        <v>8811</v>
      </c>
      <c r="AS582" s="13" t="s">
        <v>8812</v>
      </c>
      <c r="AT582" s="13" t="s">
        <v>15905</v>
      </c>
      <c r="AU582" s="13">
        <v>2020.0</v>
      </c>
      <c r="AV582" s="13">
        <v>10.0</v>
      </c>
      <c r="AW582" s="13">
        <v>1.0</v>
      </c>
      <c r="AX582" s="13" t="s">
        <v>5510</v>
      </c>
      <c r="AY582" s="13" t="s">
        <v>5510</v>
      </c>
      <c r="AZ582" s="13" t="s">
        <v>5510</v>
      </c>
      <c r="BA582" s="13" t="s">
        <v>5510</v>
      </c>
      <c r="BB582" s="13" t="s">
        <v>5510</v>
      </c>
      <c r="BC582" s="13" t="s">
        <v>5510</v>
      </c>
      <c r="BD582" s="13">
        <v>10247.0</v>
      </c>
      <c r="BE582" s="13" t="s">
        <v>15906</v>
      </c>
      <c r="BF582" s="52" t="str">
        <f>HYPERLINK("http://dx.doi.org/10.1038/s41598-020-66755-7","http://dx.doi.org/10.1038/s41598-020-66755-7")</f>
        <v>http://dx.doi.org/10.1038/s41598-020-66755-7</v>
      </c>
      <c r="BG582" s="13" t="s">
        <v>5510</v>
      </c>
      <c r="BH582" s="13" t="s">
        <v>5510</v>
      </c>
      <c r="BI582" s="13">
        <v>12.0</v>
      </c>
      <c r="BJ582" s="13" t="s">
        <v>5560</v>
      </c>
      <c r="BK582" s="13" t="s">
        <v>5561</v>
      </c>
      <c r="BL582" s="13" t="s">
        <v>5562</v>
      </c>
      <c r="BM582" s="13" t="s">
        <v>15907</v>
      </c>
      <c r="BN582" s="13">
        <v>3.2581315E7</v>
      </c>
      <c r="BO582" s="13" t="s">
        <v>5564</v>
      </c>
      <c r="BP582" s="13" t="s">
        <v>5510</v>
      </c>
      <c r="BQ582" s="13" t="s">
        <v>5510</v>
      </c>
      <c r="BR582" s="13" t="s">
        <v>5538</v>
      </c>
      <c r="BS582" s="13" t="s">
        <v>15908</v>
      </c>
      <c r="BT582" s="13">
        <v>23428.0</v>
      </c>
      <c r="BU582" s="13" t="s">
        <v>5540</v>
      </c>
      <c r="BV582" s="13" t="s">
        <v>4856</v>
      </c>
      <c r="BW582" s="13" t="str">
        <f>VLOOKUP($BT582,Enriched!$A$2:$E$1070,5,false)</f>
        <v>["Invasive &amp; other problematic species, genes &amp; diseases"]</v>
      </c>
      <c r="BX582" s="13" t="str">
        <f>VLOOKUP($BT582,Enriched!$A$2:$E$1070,4,false)</f>
        <v>["Invasive non-native/alien species/diseases"]</v>
      </c>
      <c r="BY582" s="13" t="b">
        <f>VLOOKUP(BT582,Enriched!$A$1:$AA$1070,27,falsE)</f>
        <v>0</v>
      </c>
      <c r="BZ582" s="2" t="str">
        <f>VLOOKUP(BT582,Enriched!$A$1:$AA$1070,14,falsE)</f>
        <v>level2</v>
      </c>
      <c r="CA582" s="13" t="str">
        <f>HYPERLINK("https%3A%2F%2Fwww.webofscience.com%2Fwos%2Fwoscc%2Ffull-record%2FWOS:000546711400014","View Full Record in Web of Science")</f>
        <v>View Full Record in Web of Science</v>
      </c>
    </row>
    <row r="583" ht="12.75" customHeight="1">
      <c r="A583" s="13" t="s">
        <v>5508</v>
      </c>
      <c r="B583" s="13" t="s">
        <v>15909</v>
      </c>
      <c r="C583" s="13" t="s">
        <v>5510</v>
      </c>
      <c r="D583" s="13" t="s">
        <v>5510</v>
      </c>
      <c r="E583" s="13" t="s">
        <v>5510</v>
      </c>
      <c r="F583" s="13" t="s">
        <v>15910</v>
      </c>
      <c r="G583" s="13" t="s">
        <v>5510</v>
      </c>
      <c r="H583" s="13" t="s">
        <v>5510</v>
      </c>
      <c r="I583" s="13" t="s">
        <v>1253</v>
      </c>
      <c r="J583" s="13" t="s">
        <v>5919</v>
      </c>
      <c r="K583" s="13" t="s">
        <v>5510</v>
      </c>
      <c r="L583" s="13" t="s">
        <v>5510</v>
      </c>
      <c r="M583" s="13" t="s">
        <v>5513</v>
      </c>
      <c r="N583" s="13" t="s">
        <v>5514</v>
      </c>
      <c r="O583" s="13" t="s">
        <v>5510</v>
      </c>
      <c r="P583" s="13" t="s">
        <v>5510</v>
      </c>
      <c r="Q583" s="13" t="s">
        <v>5510</v>
      </c>
      <c r="R583" s="13" t="s">
        <v>5510</v>
      </c>
      <c r="S583" s="13" t="s">
        <v>5510</v>
      </c>
      <c r="T583" s="13" t="s">
        <v>15911</v>
      </c>
      <c r="U583" s="13" t="s">
        <v>15912</v>
      </c>
      <c r="V583" s="13" t="s">
        <v>15913</v>
      </c>
      <c r="W583" s="13" t="s">
        <v>15914</v>
      </c>
      <c r="X583" s="13" t="s">
        <v>15915</v>
      </c>
      <c r="Y583" s="13" t="s">
        <v>15916</v>
      </c>
      <c r="Z583" s="13" t="s">
        <v>15917</v>
      </c>
      <c r="AA583" s="13" t="s">
        <v>15918</v>
      </c>
      <c r="AB583" s="13" t="s">
        <v>15919</v>
      </c>
      <c r="AC583" s="13" t="s">
        <v>15920</v>
      </c>
      <c r="AD583" s="13" t="s">
        <v>15921</v>
      </c>
      <c r="AE583" s="13" t="s">
        <v>15922</v>
      </c>
      <c r="AF583" s="13" t="s">
        <v>5510</v>
      </c>
      <c r="AG583" s="13">
        <v>85.0</v>
      </c>
      <c r="AH583" s="13">
        <v>39.0</v>
      </c>
      <c r="AI583" s="13">
        <v>43.0</v>
      </c>
      <c r="AJ583" s="13">
        <v>0.0</v>
      </c>
      <c r="AK583" s="13">
        <v>32.0</v>
      </c>
      <c r="AL583" s="13" t="s">
        <v>5931</v>
      </c>
      <c r="AM583" s="13" t="s">
        <v>7486</v>
      </c>
      <c r="AN583" s="13" t="s">
        <v>7487</v>
      </c>
      <c r="AO583" s="13" t="s">
        <v>5934</v>
      </c>
      <c r="AP583" s="13" t="s">
        <v>5935</v>
      </c>
      <c r="AQ583" s="13" t="s">
        <v>5510</v>
      </c>
      <c r="AR583" s="13" t="s">
        <v>5936</v>
      </c>
      <c r="AS583" s="13" t="s">
        <v>5937</v>
      </c>
      <c r="AT583" s="13" t="s">
        <v>6175</v>
      </c>
      <c r="AU583" s="13">
        <v>2020.0</v>
      </c>
      <c r="AV583" s="13">
        <v>248.0</v>
      </c>
      <c r="AW583" s="13" t="s">
        <v>5510</v>
      </c>
      <c r="AX583" s="13" t="s">
        <v>5510</v>
      </c>
      <c r="AY583" s="13" t="s">
        <v>5510</v>
      </c>
      <c r="AZ583" s="13" t="s">
        <v>5510</v>
      </c>
      <c r="BA583" s="13" t="s">
        <v>5510</v>
      </c>
      <c r="BB583" s="13" t="s">
        <v>5510</v>
      </c>
      <c r="BC583" s="13" t="s">
        <v>5510</v>
      </c>
      <c r="BD583" s="13">
        <v>108601.0</v>
      </c>
      <c r="BE583" s="13" t="s">
        <v>15923</v>
      </c>
      <c r="BF583" s="52" t="str">
        <f>HYPERLINK("http://dx.doi.org/10.1016/j.biocon.2020.108601","http://dx.doi.org/10.1016/j.biocon.2020.108601")</f>
        <v>http://dx.doi.org/10.1016/j.biocon.2020.108601</v>
      </c>
      <c r="BG583" s="13" t="s">
        <v>5510</v>
      </c>
      <c r="BH583" s="13" t="s">
        <v>5510</v>
      </c>
      <c r="BI583" s="13">
        <v>10.0</v>
      </c>
      <c r="BJ583" s="13" t="s">
        <v>5698</v>
      </c>
      <c r="BK583" s="13" t="s">
        <v>5561</v>
      </c>
      <c r="BL583" s="13" t="s">
        <v>5699</v>
      </c>
      <c r="BM583" s="13" t="s">
        <v>15924</v>
      </c>
      <c r="BN583" s="13" t="s">
        <v>5510</v>
      </c>
      <c r="BO583" s="13" t="s">
        <v>5809</v>
      </c>
      <c r="BP583" s="13" t="s">
        <v>5510</v>
      </c>
      <c r="BQ583" s="13" t="s">
        <v>5510</v>
      </c>
      <c r="BR583" s="13" t="s">
        <v>5538</v>
      </c>
      <c r="BS583" s="13" t="s">
        <v>15925</v>
      </c>
      <c r="BT583" s="13">
        <v>24212.0</v>
      </c>
      <c r="BU583" s="13" t="s">
        <v>5540</v>
      </c>
      <c r="BV583" s="13" t="s">
        <v>4856</v>
      </c>
      <c r="BW583" s="13" t="str">
        <f>VLOOKUP($BT583,Enriched!$A$2:$E$1070,5,false)</f>
        <v>["Biological resource use"]</v>
      </c>
      <c r="BX583" s="13" t="str">
        <f>VLOOKUP($BT583,Enriched!$A$2:$E$1070,4,false)</f>
        <v>["Hunting &amp; collecting terrestrial animals"]</v>
      </c>
      <c r="BY583" s="13" t="b">
        <f>VLOOKUP(BT583,Enriched!$A$1:$AA$1070,27,falsE)</f>
        <v>0</v>
      </c>
      <c r="BZ583" s="2" t="str">
        <f>VLOOKUP(BT583,Enriched!$A$1:$AA$1070,14,falsE)</f>
        <v>level2</v>
      </c>
      <c r="CA583" s="13" t="str">
        <f>HYPERLINK("https%3A%2F%2Fwww.webofscience.com%2Fwos%2Fwoscc%2Ffull-record%2FWOS:000556843900006","View Full Record in Web of Science")</f>
        <v>View Full Record in Web of Science</v>
      </c>
    </row>
    <row r="584" ht="12.75" customHeight="1">
      <c r="A584" s="13" t="s">
        <v>5508</v>
      </c>
      <c r="B584" s="13" t="s">
        <v>15926</v>
      </c>
      <c r="C584" s="13" t="s">
        <v>5510</v>
      </c>
      <c r="D584" s="13" t="s">
        <v>5510</v>
      </c>
      <c r="E584" s="13" t="s">
        <v>5510</v>
      </c>
      <c r="F584" s="13" t="s">
        <v>15927</v>
      </c>
      <c r="G584" s="13" t="s">
        <v>5510</v>
      </c>
      <c r="H584" s="13" t="s">
        <v>5510</v>
      </c>
      <c r="I584" s="13" t="s">
        <v>15928</v>
      </c>
      <c r="J584" s="13" t="s">
        <v>15929</v>
      </c>
      <c r="K584" s="13" t="s">
        <v>5510</v>
      </c>
      <c r="L584" s="13" t="s">
        <v>5510</v>
      </c>
      <c r="M584" s="13" t="s">
        <v>5513</v>
      </c>
      <c r="N584" s="13" t="s">
        <v>5514</v>
      </c>
      <c r="O584" s="13" t="s">
        <v>5510</v>
      </c>
      <c r="P584" s="13" t="s">
        <v>5510</v>
      </c>
      <c r="Q584" s="13" t="s">
        <v>5510</v>
      </c>
      <c r="R584" s="13" t="s">
        <v>5510</v>
      </c>
      <c r="S584" s="13" t="s">
        <v>5510</v>
      </c>
      <c r="T584" s="13" t="s">
        <v>5510</v>
      </c>
      <c r="U584" s="13" t="s">
        <v>15930</v>
      </c>
      <c r="V584" s="13" t="s">
        <v>15931</v>
      </c>
      <c r="W584" s="13" t="s">
        <v>15932</v>
      </c>
      <c r="X584" s="13" t="s">
        <v>15933</v>
      </c>
      <c r="Y584" s="13" t="s">
        <v>15934</v>
      </c>
      <c r="Z584" s="13" t="s">
        <v>15935</v>
      </c>
      <c r="AA584" s="13" t="s">
        <v>15936</v>
      </c>
      <c r="AB584" s="13" t="s">
        <v>15937</v>
      </c>
      <c r="AC584" s="13" t="s">
        <v>5510</v>
      </c>
      <c r="AD584" s="13" t="s">
        <v>5510</v>
      </c>
      <c r="AE584" s="13" t="s">
        <v>5510</v>
      </c>
      <c r="AF584" s="13" t="s">
        <v>5510</v>
      </c>
      <c r="AG584" s="13">
        <v>67.0</v>
      </c>
      <c r="AH584" s="13">
        <v>137.0</v>
      </c>
      <c r="AI584" s="13">
        <v>180.0</v>
      </c>
      <c r="AJ584" s="13">
        <v>2.0</v>
      </c>
      <c r="AK584" s="13">
        <v>134.0</v>
      </c>
      <c r="AL584" s="13" t="s">
        <v>6247</v>
      </c>
      <c r="AM584" s="13" t="s">
        <v>5908</v>
      </c>
      <c r="AN584" s="13" t="s">
        <v>15938</v>
      </c>
      <c r="AO584" s="13" t="s">
        <v>15939</v>
      </c>
      <c r="AP584" s="13" t="s">
        <v>15940</v>
      </c>
      <c r="AQ584" s="13" t="s">
        <v>5510</v>
      </c>
      <c r="AR584" s="13" t="s">
        <v>15941</v>
      </c>
      <c r="AS584" s="13" t="s">
        <v>15942</v>
      </c>
      <c r="AT584" s="13" t="s">
        <v>8511</v>
      </c>
      <c r="AU584" s="13">
        <v>2011.0</v>
      </c>
      <c r="AV584" s="13">
        <v>45.0</v>
      </c>
      <c r="AW584" s="13">
        <v>4.0</v>
      </c>
      <c r="AX584" s="13" t="s">
        <v>5510</v>
      </c>
      <c r="AY584" s="13" t="s">
        <v>5510</v>
      </c>
      <c r="AZ584" s="13" t="s">
        <v>5510</v>
      </c>
      <c r="BA584" s="13" t="s">
        <v>5510</v>
      </c>
      <c r="BB584" s="13">
        <v>1219.0</v>
      </c>
      <c r="BC584" s="13">
        <v>1227.0</v>
      </c>
      <c r="BD584" s="13" t="s">
        <v>5510</v>
      </c>
      <c r="BE584" s="13" t="s">
        <v>15943</v>
      </c>
      <c r="BF584" s="52" t="str">
        <f>HYPERLINK("http://dx.doi.org/10.1021/es102373d","http://dx.doi.org/10.1021/es102373d")</f>
        <v>http://dx.doi.org/10.1021/es102373d</v>
      </c>
      <c r="BG584" s="13" t="s">
        <v>5510</v>
      </c>
      <c r="BH584" s="13" t="s">
        <v>5510</v>
      </c>
      <c r="BI584" s="13">
        <v>9.0</v>
      </c>
      <c r="BJ584" s="13" t="s">
        <v>7664</v>
      </c>
      <c r="BK584" s="13" t="s">
        <v>5534</v>
      </c>
      <c r="BL584" s="13" t="s">
        <v>7665</v>
      </c>
      <c r="BM584" s="13" t="s">
        <v>15944</v>
      </c>
      <c r="BN584" s="13">
        <v>2.1222455E7</v>
      </c>
      <c r="BO584" s="13" t="s">
        <v>5510</v>
      </c>
      <c r="BP584" s="13" t="s">
        <v>5510</v>
      </c>
      <c r="BQ584" s="13" t="s">
        <v>5510</v>
      </c>
      <c r="BR584" s="13" t="s">
        <v>5538</v>
      </c>
      <c r="BS584" s="13" t="s">
        <v>15945</v>
      </c>
      <c r="BT584" s="13">
        <v>23666.0</v>
      </c>
      <c r="BU584" s="13" t="s">
        <v>5540</v>
      </c>
      <c r="BV584" s="13" t="s">
        <v>4856</v>
      </c>
      <c r="BW584" s="13" t="str">
        <f>VLOOKUP($BT584,Enriched!$A$2:$E$1070,5,false)</f>
        <v>["Agriculture &amp; Aquaculture", "Transportation &amp; Service Corridors"]</v>
      </c>
      <c r="BX584" s="13" t="str">
        <f>VLOOKUP($BT584,Enriched!$A$2:$E$1070,4,false)</f>
        <v>["Annual &amp; perennial non-timber crops", "Roads &amp; railroads"]</v>
      </c>
      <c r="BY584" s="13" t="b">
        <f>VLOOKUP(BT584,Enriched!$A$1:$AA$1070,27,falsE)</f>
        <v>0</v>
      </c>
      <c r="BZ584" s="2" t="str">
        <f>VLOOKUP(BT584,Enriched!$A$1:$AA$1070,14,falsE)</f>
        <v>level2</v>
      </c>
      <c r="CA584" s="13" t="str">
        <f>HYPERLINK("https%3A%2F%2Fwww.webofscience.com%2Fwos%2Fwoscc%2Ffull-record%2FWOS:000287122400011","View Full Record in Web of Science")</f>
        <v>View Full Record in Web of Science</v>
      </c>
    </row>
    <row r="585" ht="12.75" customHeight="1">
      <c r="A585" s="13" t="s">
        <v>5508</v>
      </c>
      <c r="B585" s="13" t="s">
        <v>15946</v>
      </c>
      <c r="C585" s="13" t="s">
        <v>5510</v>
      </c>
      <c r="D585" s="13" t="s">
        <v>5510</v>
      </c>
      <c r="E585" s="13" t="s">
        <v>5510</v>
      </c>
      <c r="F585" s="13" t="s">
        <v>15946</v>
      </c>
      <c r="G585" s="13" t="s">
        <v>5510</v>
      </c>
      <c r="H585" s="13" t="s">
        <v>5510</v>
      </c>
      <c r="I585" s="13" t="s">
        <v>1242</v>
      </c>
      <c r="J585" s="13" t="s">
        <v>8275</v>
      </c>
      <c r="K585" s="13" t="s">
        <v>5510</v>
      </c>
      <c r="L585" s="13" t="s">
        <v>5510</v>
      </c>
      <c r="M585" s="13" t="s">
        <v>5513</v>
      </c>
      <c r="N585" s="13" t="s">
        <v>5514</v>
      </c>
      <c r="O585" s="13" t="s">
        <v>5510</v>
      </c>
      <c r="P585" s="13" t="s">
        <v>5510</v>
      </c>
      <c r="Q585" s="13" t="s">
        <v>5510</v>
      </c>
      <c r="R585" s="13" t="s">
        <v>5510</v>
      </c>
      <c r="S585" s="13" t="s">
        <v>5510</v>
      </c>
      <c r="T585" s="13" t="s">
        <v>15947</v>
      </c>
      <c r="U585" s="13" t="s">
        <v>15948</v>
      </c>
      <c r="V585" s="13" t="s">
        <v>15949</v>
      </c>
      <c r="W585" s="13" t="s">
        <v>15950</v>
      </c>
      <c r="X585" s="13" t="s">
        <v>15951</v>
      </c>
      <c r="Y585" s="13" t="s">
        <v>15952</v>
      </c>
      <c r="Z585" s="13" t="s">
        <v>13327</v>
      </c>
      <c r="AA585" s="13" t="s">
        <v>15953</v>
      </c>
      <c r="AB585" s="13" t="s">
        <v>15954</v>
      </c>
      <c r="AC585" s="13" t="s">
        <v>5510</v>
      </c>
      <c r="AD585" s="13" t="s">
        <v>5510</v>
      </c>
      <c r="AE585" s="13" t="s">
        <v>5510</v>
      </c>
      <c r="AF585" s="13" t="s">
        <v>5510</v>
      </c>
      <c r="AG585" s="13">
        <v>85.0</v>
      </c>
      <c r="AH585" s="13">
        <v>67.0</v>
      </c>
      <c r="AI585" s="13">
        <v>83.0</v>
      </c>
      <c r="AJ585" s="13">
        <v>0.0</v>
      </c>
      <c r="AK585" s="13">
        <v>25.0</v>
      </c>
      <c r="AL585" s="13" t="s">
        <v>5759</v>
      </c>
      <c r="AM585" s="13" t="s">
        <v>5760</v>
      </c>
      <c r="AN585" s="13" t="s">
        <v>5761</v>
      </c>
      <c r="AO585" s="13" t="s">
        <v>8288</v>
      </c>
      <c r="AP585" s="13" t="s">
        <v>8289</v>
      </c>
      <c r="AQ585" s="13" t="s">
        <v>5510</v>
      </c>
      <c r="AR585" s="13" t="s">
        <v>8290</v>
      </c>
      <c r="AS585" s="13" t="s">
        <v>8291</v>
      </c>
      <c r="AT585" s="13" t="s">
        <v>12213</v>
      </c>
      <c r="AU585" s="13">
        <v>2005.0</v>
      </c>
      <c r="AV585" s="13">
        <v>213.0</v>
      </c>
      <c r="AW585" s="13" t="s">
        <v>7717</v>
      </c>
      <c r="AX585" s="13" t="s">
        <v>5510</v>
      </c>
      <c r="AY585" s="13" t="s">
        <v>5510</v>
      </c>
      <c r="AZ585" s="13" t="s">
        <v>5510</v>
      </c>
      <c r="BA585" s="13" t="s">
        <v>5510</v>
      </c>
      <c r="BB585" s="13">
        <v>229.0</v>
      </c>
      <c r="BC585" s="13">
        <v>242.0</v>
      </c>
      <c r="BD585" s="13" t="s">
        <v>5510</v>
      </c>
      <c r="BE585" s="13" t="s">
        <v>15955</v>
      </c>
      <c r="BF585" s="52" t="str">
        <f>HYPERLINK("http://dx.doi.org/10.1016/j.foreco.2005.03.061","http://dx.doi.org/10.1016/j.foreco.2005.03.061")</f>
        <v>http://dx.doi.org/10.1016/j.foreco.2005.03.061</v>
      </c>
      <c r="BG585" s="13" t="s">
        <v>5510</v>
      </c>
      <c r="BH585" s="13" t="s">
        <v>5510</v>
      </c>
      <c r="BI585" s="13">
        <v>14.0</v>
      </c>
      <c r="BJ585" s="13" t="s">
        <v>8294</v>
      </c>
      <c r="BK585" s="13" t="s">
        <v>5534</v>
      </c>
      <c r="BL585" s="13" t="s">
        <v>8294</v>
      </c>
      <c r="BM585" s="13" t="s">
        <v>15956</v>
      </c>
      <c r="BN585" s="13" t="s">
        <v>5510</v>
      </c>
      <c r="BO585" s="13" t="s">
        <v>5510</v>
      </c>
      <c r="BP585" s="13" t="s">
        <v>5510</v>
      </c>
      <c r="BQ585" s="13" t="s">
        <v>5510</v>
      </c>
      <c r="BR585" s="13" t="s">
        <v>5538</v>
      </c>
      <c r="BS585" s="13" t="s">
        <v>15957</v>
      </c>
      <c r="BT585" s="13">
        <v>25942.0</v>
      </c>
      <c r="BU585" s="13" t="s">
        <v>5540</v>
      </c>
      <c r="BV585" s="13" t="s">
        <v>4856</v>
      </c>
      <c r="BW585" s="13" t="str">
        <f>VLOOKUP($BT585,Enriched!$A$2:$E$1070,5,false)</f>
        <v>["Residential &amp; commercial development", "Agriculture &amp; aquaculture"]</v>
      </c>
      <c r="BX585" s="13" t="str">
        <f>VLOOKUP($BT585,Enriched!$A$2:$E$1070,4,false)</f>
        <v/>
      </c>
      <c r="BY585" s="13" t="b">
        <f>VLOOKUP(BT585,Enriched!$A$1:$AA$1070,27,falsE)</f>
        <v>1</v>
      </c>
      <c r="BZ585" s="2" t="str">
        <f>VLOOKUP(BT585,Enriched!$A$1:$AA$1070,14,falsE)</f>
        <v>cumulative</v>
      </c>
      <c r="CA585" s="13" t="str">
        <f>HYPERLINK("https%3A%2F%2Fwww.webofscience.com%2Fwos%2Fwoscc%2Ffull-record%2FWOS:000230440200017","View Full Record in Web of Science")</f>
        <v>View Full Record in Web of Science</v>
      </c>
    </row>
    <row r="586" ht="12.75" customHeight="1">
      <c r="A586" s="13" t="s">
        <v>5508</v>
      </c>
      <c r="B586" s="13" t="s">
        <v>15958</v>
      </c>
      <c r="C586" s="13" t="s">
        <v>5510</v>
      </c>
      <c r="D586" s="13" t="s">
        <v>5510</v>
      </c>
      <c r="E586" s="13" t="s">
        <v>5510</v>
      </c>
      <c r="F586" s="13" t="s">
        <v>15959</v>
      </c>
      <c r="G586" s="13" t="s">
        <v>5510</v>
      </c>
      <c r="H586" s="13" t="s">
        <v>5510</v>
      </c>
      <c r="I586" s="13" t="s">
        <v>1236</v>
      </c>
      <c r="J586" s="13" t="s">
        <v>6407</v>
      </c>
      <c r="K586" s="13" t="s">
        <v>5510</v>
      </c>
      <c r="L586" s="13" t="s">
        <v>5510</v>
      </c>
      <c r="M586" s="13" t="s">
        <v>5513</v>
      </c>
      <c r="N586" s="13" t="s">
        <v>5514</v>
      </c>
      <c r="O586" s="13" t="s">
        <v>5510</v>
      </c>
      <c r="P586" s="13" t="s">
        <v>5510</v>
      </c>
      <c r="Q586" s="13" t="s">
        <v>5510</v>
      </c>
      <c r="R586" s="13" t="s">
        <v>5510</v>
      </c>
      <c r="S586" s="13" t="s">
        <v>5510</v>
      </c>
      <c r="T586" s="13" t="s">
        <v>15960</v>
      </c>
      <c r="U586" s="13" t="s">
        <v>15961</v>
      </c>
      <c r="V586" s="13" t="s">
        <v>15962</v>
      </c>
      <c r="W586" s="13" t="s">
        <v>15963</v>
      </c>
      <c r="X586" s="13" t="s">
        <v>15964</v>
      </c>
      <c r="Y586" s="13" t="s">
        <v>15965</v>
      </c>
      <c r="Z586" s="13" t="s">
        <v>15966</v>
      </c>
      <c r="AA586" s="13" t="s">
        <v>15967</v>
      </c>
      <c r="AB586" s="13" t="s">
        <v>15968</v>
      </c>
      <c r="AC586" s="13" t="s">
        <v>15969</v>
      </c>
      <c r="AD586" s="13" t="s">
        <v>15970</v>
      </c>
      <c r="AE586" s="13" t="s">
        <v>15971</v>
      </c>
      <c r="AF586" s="13" t="s">
        <v>5510</v>
      </c>
      <c r="AG586" s="13">
        <v>80.0</v>
      </c>
      <c r="AH586" s="13">
        <v>70.0</v>
      </c>
      <c r="AI586" s="13">
        <v>80.0</v>
      </c>
      <c r="AJ586" s="13">
        <v>2.0</v>
      </c>
      <c r="AK586" s="13">
        <v>62.0</v>
      </c>
      <c r="AL586" s="13" t="s">
        <v>5759</v>
      </c>
      <c r="AM586" s="13" t="s">
        <v>5760</v>
      </c>
      <c r="AN586" s="13" t="s">
        <v>5761</v>
      </c>
      <c r="AO586" s="13" t="s">
        <v>6417</v>
      </c>
      <c r="AP586" s="13" t="s">
        <v>6418</v>
      </c>
      <c r="AQ586" s="13" t="s">
        <v>5510</v>
      </c>
      <c r="AR586" s="13" t="s">
        <v>6419</v>
      </c>
      <c r="AS586" s="13" t="s">
        <v>6420</v>
      </c>
      <c r="AT586" s="13" t="s">
        <v>6175</v>
      </c>
      <c r="AU586" s="13">
        <v>2020.0</v>
      </c>
      <c r="AV586" s="13">
        <v>115.0</v>
      </c>
      <c r="AW586" s="13" t="s">
        <v>5510</v>
      </c>
      <c r="AX586" s="13" t="s">
        <v>5510</v>
      </c>
      <c r="AY586" s="13" t="s">
        <v>5510</v>
      </c>
      <c r="AZ586" s="13" t="s">
        <v>5510</v>
      </c>
      <c r="BA586" s="13" t="s">
        <v>5510</v>
      </c>
      <c r="BB586" s="13" t="s">
        <v>5510</v>
      </c>
      <c r="BC586" s="13" t="s">
        <v>5510</v>
      </c>
      <c r="BD586" s="13">
        <v>106401.0</v>
      </c>
      <c r="BE586" s="13" t="s">
        <v>15972</v>
      </c>
      <c r="BF586" s="52" t="str">
        <f>HYPERLINK("http://dx.doi.org/10.1016/j.ecolind.2020.106401","http://dx.doi.org/10.1016/j.ecolind.2020.106401")</f>
        <v>http://dx.doi.org/10.1016/j.ecolind.2020.106401</v>
      </c>
      <c r="BG586" s="13" t="s">
        <v>5510</v>
      </c>
      <c r="BH586" s="13" t="s">
        <v>5510</v>
      </c>
      <c r="BI586" s="13">
        <v>10.0</v>
      </c>
      <c r="BJ586" s="13" t="s">
        <v>6422</v>
      </c>
      <c r="BK586" s="13" t="s">
        <v>5561</v>
      </c>
      <c r="BL586" s="13" t="s">
        <v>5699</v>
      </c>
      <c r="BM586" s="13" t="s">
        <v>15973</v>
      </c>
      <c r="BN586" s="13" t="s">
        <v>5510</v>
      </c>
      <c r="BO586" s="13" t="s">
        <v>5587</v>
      </c>
      <c r="BP586" s="13" t="s">
        <v>5510</v>
      </c>
      <c r="BQ586" s="13" t="s">
        <v>5510</v>
      </c>
      <c r="BR586" s="13" t="s">
        <v>5538</v>
      </c>
      <c r="BS586" s="13" t="s">
        <v>15974</v>
      </c>
      <c r="BT586" s="13">
        <v>24811.0</v>
      </c>
      <c r="BU586" s="13" t="s">
        <v>5540</v>
      </c>
      <c r="BV586" s="13" t="s">
        <v>4856</v>
      </c>
      <c r="BW586" s="13" t="str">
        <f>VLOOKUP($BT586,Enriched!$A$2:$E$1070,5,false)</f>
        <v>["Climate change &amp; severe weather"]</v>
      </c>
      <c r="BX586" s="13" t="str">
        <f>VLOOKUP($BT586,Enriched!$A$2:$E$1070,4,false)</f>
        <v>["Droughts"]</v>
      </c>
      <c r="BY586" s="13" t="b">
        <f>VLOOKUP(BT586,Enriched!$A$1:$AA$1070,27,falsE)</f>
        <v>0</v>
      </c>
      <c r="BZ586" s="2" t="str">
        <f>VLOOKUP(BT586,Enriched!$A$1:$AA$1070,14,falsE)</f>
        <v>level2</v>
      </c>
      <c r="CA586" s="13" t="str">
        <f>HYPERLINK("https%3A%2F%2Fwww.webofscience.com%2Fwos%2Fwoscc%2Ffull-record%2FWOS:000561438700016","View Full Record in Web of Science")</f>
        <v>View Full Record in Web of Science</v>
      </c>
    </row>
    <row r="587" ht="12.75" customHeight="1">
      <c r="A587" s="13" t="s">
        <v>5508</v>
      </c>
      <c r="B587" s="13" t="s">
        <v>15975</v>
      </c>
      <c r="C587" s="13" t="s">
        <v>5510</v>
      </c>
      <c r="D587" s="13" t="s">
        <v>5510</v>
      </c>
      <c r="E587" s="13" t="s">
        <v>5510</v>
      </c>
      <c r="F587" s="13" t="s">
        <v>15976</v>
      </c>
      <c r="G587" s="13" t="s">
        <v>5510</v>
      </c>
      <c r="H587" s="13" t="s">
        <v>5510</v>
      </c>
      <c r="I587" s="13" t="s">
        <v>1234</v>
      </c>
      <c r="J587" s="13" t="s">
        <v>6008</v>
      </c>
      <c r="K587" s="13" t="s">
        <v>5510</v>
      </c>
      <c r="L587" s="13" t="s">
        <v>5510</v>
      </c>
      <c r="M587" s="13" t="s">
        <v>5513</v>
      </c>
      <c r="N587" s="13" t="s">
        <v>5514</v>
      </c>
      <c r="O587" s="13" t="s">
        <v>5510</v>
      </c>
      <c r="P587" s="13" t="s">
        <v>5510</v>
      </c>
      <c r="Q587" s="13" t="s">
        <v>5510</v>
      </c>
      <c r="R587" s="13" t="s">
        <v>5510</v>
      </c>
      <c r="S587" s="13" t="s">
        <v>5510</v>
      </c>
      <c r="T587" s="13" t="s">
        <v>15977</v>
      </c>
      <c r="U587" s="13" t="s">
        <v>15978</v>
      </c>
      <c r="V587" s="13" t="s">
        <v>15979</v>
      </c>
      <c r="W587" s="13" t="s">
        <v>15980</v>
      </c>
      <c r="X587" s="13" t="s">
        <v>15981</v>
      </c>
      <c r="Y587" s="13" t="s">
        <v>15982</v>
      </c>
      <c r="Z587" s="13" t="s">
        <v>15983</v>
      </c>
      <c r="AA587" s="13" t="s">
        <v>15984</v>
      </c>
      <c r="AB587" s="13" t="s">
        <v>15985</v>
      </c>
      <c r="AC587" s="13" t="s">
        <v>5510</v>
      </c>
      <c r="AD587" s="13" t="s">
        <v>5510</v>
      </c>
      <c r="AE587" s="13" t="s">
        <v>5510</v>
      </c>
      <c r="AF587" s="13" t="s">
        <v>5510</v>
      </c>
      <c r="AG587" s="13">
        <v>62.0</v>
      </c>
      <c r="AH587" s="13">
        <v>44.0</v>
      </c>
      <c r="AI587" s="13">
        <v>53.0</v>
      </c>
      <c r="AJ587" s="13">
        <v>0.0</v>
      </c>
      <c r="AK587" s="13">
        <v>44.0</v>
      </c>
      <c r="AL587" s="13" t="s">
        <v>5527</v>
      </c>
      <c r="AM587" s="13" t="s">
        <v>5528</v>
      </c>
      <c r="AN587" s="13" t="s">
        <v>5529</v>
      </c>
      <c r="AO587" s="13" t="s">
        <v>6020</v>
      </c>
      <c r="AP587" s="13" t="s">
        <v>6021</v>
      </c>
      <c r="AQ587" s="13" t="s">
        <v>5510</v>
      </c>
      <c r="AR587" s="13" t="s">
        <v>6022</v>
      </c>
      <c r="AS587" s="13" t="s">
        <v>6023</v>
      </c>
      <c r="AT587" s="13" t="s">
        <v>6089</v>
      </c>
      <c r="AU587" s="13">
        <v>2008.0</v>
      </c>
      <c r="AV587" s="13">
        <v>18.0</v>
      </c>
      <c r="AW587" s="13">
        <v>2.0</v>
      </c>
      <c r="AX587" s="13" t="s">
        <v>5510</v>
      </c>
      <c r="AY587" s="13" t="s">
        <v>5510</v>
      </c>
      <c r="AZ587" s="13" t="s">
        <v>5510</v>
      </c>
      <c r="BA587" s="13" t="s">
        <v>5510</v>
      </c>
      <c r="BB587" s="13">
        <v>467.0</v>
      </c>
      <c r="BC587" s="13">
        <v>482.0</v>
      </c>
      <c r="BD587" s="13" t="s">
        <v>5510</v>
      </c>
      <c r="BE587" s="13" t="s">
        <v>15986</v>
      </c>
      <c r="BF587" s="52" t="str">
        <f>HYPERLINK("http://dx.doi.org/10.1890/07-0354.1","http://dx.doi.org/10.1890/07-0354.1")</f>
        <v>http://dx.doi.org/10.1890/07-0354.1</v>
      </c>
      <c r="BG587" s="13" t="s">
        <v>5510</v>
      </c>
      <c r="BH587" s="13" t="s">
        <v>5510</v>
      </c>
      <c r="BI587" s="13">
        <v>16.0</v>
      </c>
      <c r="BJ587" s="13" t="s">
        <v>6026</v>
      </c>
      <c r="BK587" s="13" t="s">
        <v>5561</v>
      </c>
      <c r="BL587" s="13" t="s">
        <v>5535</v>
      </c>
      <c r="BM587" s="13" t="s">
        <v>15987</v>
      </c>
      <c r="BN587" s="13">
        <v>1.8488609E7</v>
      </c>
      <c r="BO587" s="13" t="s">
        <v>5510</v>
      </c>
      <c r="BP587" s="13" t="s">
        <v>5510</v>
      </c>
      <c r="BQ587" s="13" t="s">
        <v>5510</v>
      </c>
      <c r="BR587" s="13" t="s">
        <v>5538</v>
      </c>
      <c r="BS587" s="13" t="s">
        <v>15988</v>
      </c>
      <c r="BT587" s="13">
        <v>24605.0</v>
      </c>
      <c r="BU587" s="13" t="s">
        <v>5540</v>
      </c>
      <c r="BV587" s="13" t="s">
        <v>4852</v>
      </c>
      <c r="BW587" s="13" t="str">
        <f>VLOOKUP($BT587,Enriched!$A$2:$E$1070,5,false)</f>
        <v>["Agriculture &amp; Aquaculture", "Residential &amp; Commercial Development"]</v>
      </c>
      <c r="BX587" s="13" t="str">
        <f>VLOOKUP($BT587,Enriched!$A$2:$E$1070,4,false)</f>
        <v>["Wood &amp; pulp plantations", "Livestock farming &amp; ranching", "Annual &amp; perennial non-timber crops", "Housing &amp; urban area", "Commercial &amp; industrial areas"]</v>
      </c>
      <c r="BY587" s="13" t="b">
        <f>VLOOKUP(BT587,Enriched!$A$1:$AA$1070,27,falsE)</f>
        <v>1</v>
      </c>
      <c r="BZ587" s="2" t="str">
        <f>VLOOKUP(BT587,Enriched!$A$1:$AA$1070,14,falsE)</f>
        <v>level2</v>
      </c>
      <c r="CA587" s="13" t="str">
        <f>HYPERLINK("https%3A%2F%2Fwww.webofscience.com%2Fwos%2Fwoscc%2Ffull-record%2FWOS:000255437400014","View Full Record in Web of Science")</f>
        <v>View Full Record in Web of Science</v>
      </c>
    </row>
    <row r="588" ht="12.75" customHeight="1">
      <c r="A588" s="13" t="s">
        <v>5508</v>
      </c>
      <c r="B588" s="13" t="s">
        <v>15989</v>
      </c>
      <c r="C588" s="13" t="s">
        <v>5510</v>
      </c>
      <c r="D588" s="13" t="s">
        <v>5510</v>
      </c>
      <c r="E588" s="13" t="s">
        <v>5510</v>
      </c>
      <c r="F588" s="13" t="s">
        <v>15990</v>
      </c>
      <c r="G588" s="13" t="s">
        <v>5510</v>
      </c>
      <c r="H588" s="13" t="s">
        <v>5510</v>
      </c>
      <c r="I588" s="13" t="s">
        <v>1232</v>
      </c>
      <c r="J588" s="13" t="s">
        <v>5963</v>
      </c>
      <c r="K588" s="13" t="s">
        <v>5510</v>
      </c>
      <c r="L588" s="13" t="s">
        <v>5510</v>
      </c>
      <c r="M588" s="13" t="s">
        <v>5513</v>
      </c>
      <c r="N588" s="13" t="s">
        <v>5514</v>
      </c>
      <c r="O588" s="13" t="s">
        <v>5510</v>
      </c>
      <c r="P588" s="13" t="s">
        <v>5510</v>
      </c>
      <c r="Q588" s="13" t="s">
        <v>5510</v>
      </c>
      <c r="R588" s="13" t="s">
        <v>5510</v>
      </c>
      <c r="S588" s="13" t="s">
        <v>5510</v>
      </c>
      <c r="T588" s="13" t="s">
        <v>15991</v>
      </c>
      <c r="U588" s="13" t="s">
        <v>15992</v>
      </c>
      <c r="V588" s="13" t="s">
        <v>15993</v>
      </c>
      <c r="W588" s="13" t="s">
        <v>15994</v>
      </c>
      <c r="X588" s="13" t="s">
        <v>15995</v>
      </c>
      <c r="Y588" s="13" t="s">
        <v>15996</v>
      </c>
      <c r="Z588" s="13" t="s">
        <v>15997</v>
      </c>
      <c r="AA588" s="13" t="s">
        <v>15998</v>
      </c>
      <c r="AB588" s="13" t="s">
        <v>15999</v>
      </c>
      <c r="AC588" s="13" t="s">
        <v>16000</v>
      </c>
      <c r="AD588" s="13" t="s">
        <v>16001</v>
      </c>
      <c r="AE588" s="13" t="s">
        <v>16002</v>
      </c>
      <c r="AF588" s="13" t="s">
        <v>5510</v>
      </c>
      <c r="AG588" s="13">
        <v>56.0</v>
      </c>
      <c r="AH588" s="13">
        <v>32.0</v>
      </c>
      <c r="AI588" s="13">
        <v>39.0</v>
      </c>
      <c r="AJ588" s="13">
        <v>1.0</v>
      </c>
      <c r="AK588" s="13">
        <v>68.0</v>
      </c>
      <c r="AL588" s="13" t="s">
        <v>5690</v>
      </c>
      <c r="AM588" s="13" t="s">
        <v>5691</v>
      </c>
      <c r="AN588" s="13" t="s">
        <v>5692</v>
      </c>
      <c r="AO588" s="13" t="s">
        <v>5975</v>
      </c>
      <c r="AP588" s="13" t="s">
        <v>8269</v>
      </c>
      <c r="AQ588" s="13" t="s">
        <v>5510</v>
      </c>
      <c r="AR588" s="13" t="s">
        <v>5976</v>
      </c>
      <c r="AS588" s="13" t="s">
        <v>5977</v>
      </c>
      <c r="AT588" s="13" t="s">
        <v>6089</v>
      </c>
      <c r="AU588" s="13">
        <v>2015.0</v>
      </c>
      <c r="AV588" s="13">
        <v>187.0</v>
      </c>
      <c r="AW588" s="13">
        <v>3.0</v>
      </c>
      <c r="AX588" s="13" t="s">
        <v>5510</v>
      </c>
      <c r="AY588" s="13" t="s">
        <v>5510</v>
      </c>
      <c r="AZ588" s="13" t="s">
        <v>5510</v>
      </c>
      <c r="BA588" s="13" t="s">
        <v>5510</v>
      </c>
      <c r="BB588" s="13" t="s">
        <v>5510</v>
      </c>
      <c r="BC588" s="13" t="s">
        <v>5510</v>
      </c>
      <c r="BD588" s="13">
        <v>59.0</v>
      </c>
      <c r="BE588" s="13" t="s">
        <v>16003</v>
      </c>
      <c r="BF588" s="52" t="str">
        <f>HYPERLINK("http://dx.doi.org/10.1007/s10661-015-4322-z","http://dx.doi.org/10.1007/s10661-015-4322-z")</f>
        <v>http://dx.doi.org/10.1007/s10661-015-4322-z</v>
      </c>
      <c r="BG588" s="13" t="s">
        <v>5510</v>
      </c>
      <c r="BH588" s="13" t="s">
        <v>5510</v>
      </c>
      <c r="BI588" s="13">
        <v>18.0</v>
      </c>
      <c r="BJ588" s="13" t="s">
        <v>5768</v>
      </c>
      <c r="BK588" s="13" t="s">
        <v>5561</v>
      </c>
      <c r="BL588" s="13" t="s">
        <v>5535</v>
      </c>
      <c r="BM588" s="13" t="s">
        <v>16004</v>
      </c>
      <c r="BN588" s="13">
        <v>2.5647805E7</v>
      </c>
      <c r="BO588" s="13" t="s">
        <v>5510</v>
      </c>
      <c r="BP588" s="13" t="s">
        <v>5510</v>
      </c>
      <c r="BQ588" s="13" t="s">
        <v>5510</v>
      </c>
      <c r="BR588" s="13" t="s">
        <v>5538</v>
      </c>
      <c r="BS588" s="13" t="s">
        <v>16005</v>
      </c>
      <c r="BT588" s="13">
        <v>23357.0</v>
      </c>
      <c r="BU588" s="13" t="s">
        <v>5540</v>
      </c>
      <c r="BV588" s="13" t="s">
        <v>4856</v>
      </c>
      <c r="BW588" s="13" t="str">
        <f>VLOOKUP($BT588,Enriched!$A$2:$E$1070,5,false)</f>
        <v>["Transportation &amp; Service Corridors", "Agriculture &amp; aquaculture"]</v>
      </c>
      <c r="BX588" s="13" t="str">
        <f>VLOOKUP($BT588,Enriched!$A$2:$E$1070,4,false)</f>
        <v>[ "Housing &amp; urban area", "Roads &amp; railroads"]</v>
      </c>
      <c r="BY588" s="13" t="b">
        <f>VLOOKUP(BT588,Enriched!$A$1:$AA$1070,27,falsE)</f>
        <v>1</v>
      </c>
      <c r="BZ588" s="2" t="str">
        <f>VLOOKUP(BT588,Enriched!$A$1:$AA$1070,14,falsE)</f>
        <v>level2</v>
      </c>
      <c r="CA588" s="13" t="str">
        <f>HYPERLINK("https%3A%2F%2Fwww.webofscience.com%2Fwos%2Fwoscc%2Ffull-record%2FWOS:000349434900004","View Full Record in Web of Science")</f>
        <v>View Full Record in Web of Science</v>
      </c>
    </row>
    <row r="589" ht="12.75" customHeight="1">
      <c r="A589" s="13" t="s">
        <v>5508</v>
      </c>
      <c r="B589" s="13" t="s">
        <v>16006</v>
      </c>
      <c r="C589" s="13" t="s">
        <v>5510</v>
      </c>
      <c r="D589" s="13" t="s">
        <v>5510</v>
      </c>
      <c r="E589" s="13" t="s">
        <v>5510</v>
      </c>
      <c r="F589" s="13" t="s">
        <v>16007</v>
      </c>
      <c r="G589" s="13" t="s">
        <v>5510</v>
      </c>
      <c r="H589" s="13" t="s">
        <v>5510</v>
      </c>
      <c r="I589" s="13" t="s">
        <v>1229</v>
      </c>
      <c r="J589" s="13" t="s">
        <v>7670</v>
      </c>
      <c r="K589" s="13" t="s">
        <v>5510</v>
      </c>
      <c r="L589" s="13" t="s">
        <v>5510</v>
      </c>
      <c r="M589" s="13" t="s">
        <v>5513</v>
      </c>
      <c r="N589" s="13" t="s">
        <v>5626</v>
      </c>
      <c r="O589" s="13" t="s">
        <v>16008</v>
      </c>
      <c r="P589" s="13" t="s">
        <v>16009</v>
      </c>
      <c r="Q589" s="13" t="s">
        <v>16010</v>
      </c>
      <c r="R589" s="13" t="s">
        <v>16011</v>
      </c>
      <c r="S589" s="13" t="s">
        <v>5510</v>
      </c>
      <c r="T589" s="13" t="s">
        <v>16012</v>
      </c>
      <c r="U589" s="13" t="s">
        <v>16013</v>
      </c>
      <c r="V589" s="13" t="s">
        <v>16014</v>
      </c>
      <c r="W589" s="13" t="s">
        <v>16015</v>
      </c>
      <c r="X589" s="13" t="s">
        <v>16016</v>
      </c>
      <c r="Y589" s="13" t="s">
        <v>16017</v>
      </c>
      <c r="Z589" s="13" t="s">
        <v>16018</v>
      </c>
      <c r="AA589" s="13" t="s">
        <v>16019</v>
      </c>
      <c r="AB589" s="13" t="s">
        <v>16020</v>
      </c>
      <c r="AC589" s="13" t="s">
        <v>5510</v>
      </c>
      <c r="AD589" s="13" t="s">
        <v>5510</v>
      </c>
      <c r="AE589" s="13" t="s">
        <v>5510</v>
      </c>
      <c r="AF589" s="13" t="s">
        <v>5510</v>
      </c>
      <c r="AG589" s="13">
        <v>34.0</v>
      </c>
      <c r="AH589" s="13">
        <v>25.0</v>
      </c>
      <c r="AI589" s="13">
        <v>29.0</v>
      </c>
      <c r="AJ589" s="13">
        <v>0.0</v>
      </c>
      <c r="AK589" s="13">
        <v>78.0</v>
      </c>
      <c r="AL589" s="13" t="s">
        <v>5690</v>
      </c>
      <c r="AM589" s="13" t="s">
        <v>6503</v>
      </c>
      <c r="AN589" s="13" t="s">
        <v>7040</v>
      </c>
      <c r="AO589" s="13" t="s">
        <v>7682</v>
      </c>
      <c r="AP589" s="13" t="s">
        <v>5510</v>
      </c>
      <c r="AQ589" s="13" t="s">
        <v>5510</v>
      </c>
      <c r="AR589" s="13" t="s">
        <v>7684</v>
      </c>
      <c r="AS589" s="13" t="s">
        <v>7685</v>
      </c>
      <c r="AT589" s="13" t="s">
        <v>2738</v>
      </c>
      <c r="AU589" s="13">
        <v>2011.0</v>
      </c>
      <c r="AV589" s="13">
        <v>32.0</v>
      </c>
      <c r="AW589" s="13">
        <v>1.0</v>
      </c>
      <c r="AX589" s="13" t="s">
        <v>5510</v>
      </c>
      <c r="AY589" s="13" t="s">
        <v>5510</v>
      </c>
      <c r="AZ589" s="13" t="s">
        <v>5510</v>
      </c>
      <c r="BA589" s="13" t="s">
        <v>5510</v>
      </c>
      <c r="BB589" s="13">
        <v>134.0</v>
      </c>
      <c r="BC589" s="13">
        <v>148.0</v>
      </c>
      <c r="BD589" s="13" t="s">
        <v>5510</v>
      </c>
      <c r="BE589" s="13" t="s">
        <v>16021</v>
      </c>
      <c r="BF589" s="52" t="str">
        <f>HYPERLINK("http://dx.doi.org/10.1007/s10764-010-9445-z","http://dx.doi.org/10.1007/s10764-010-9445-z")</f>
        <v>http://dx.doi.org/10.1007/s10764-010-9445-z</v>
      </c>
      <c r="BG589" s="13" t="s">
        <v>5510</v>
      </c>
      <c r="BH589" s="13" t="s">
        <v>5510</v>
      </c>
      <c r="BI589" s="13">
        <v>15.0</v>
      </c>
      <c r="BJ589" s="13" t="s">
        <v>6899</v>
      </c>
      <c r="BK589" s="13" t="s">
        <v>5649</v>
      </c>
      <c r="BL589" s="13" t="s">
        <v>6899</v>
      </c>
      <c r="BM589" s="13" t="s">
        <v>16022</v>
      </c>
      <c r="BN589" s="13" t="s">
        <v>5510</v>
      </c>
      <c r="BO589" s="13" t="s">
        <v>5510</v>
      </c>
      <c r="BP589" s="13" t="s">
        <v>5510</v>
      </c>
      <c r="BQ589" s="13" t="s">
        <v>5510</v>
      </c>
      <c r="BR589" s="13" t="s">
        <v>5538</v>
      </c>
      <c r="BS589" s="13" t="s">
        <v>16023</v>
      </c>
      <c r="BT589" s="13">
        <v>25099.0</v>
      </c>
      <c r="BU589" s="13" t="s">
        <v>5540</v>
      </c>
      <c r="BV589" s="13" t="s">
        <v>4856</v>
      </c>
      <c r="BW589" s="13" t="str">
        <f>VLOOKUP($BT589,Enriched!$A$2:$E$1070,5,false)</f>
        <v>["Biological resource use"]</v>
      </c>
      <c r="BX589" s="13" t="str">
        <f>VLOOKUP($BT589,Enriched!$A$2:$E$1070,4,false)</f>
        <v>["Hunting &amp; collecting terrestrial animals"]</v>
      </c>
      <c r="BY589" s="13" t="b">
        <f>VLOOKUP(BT589,Enriched!$A$1:$AA$1070,27,falsE)</f>
        <v>0</v>
      </c>
      <c r="BZ589" s="2" t="str">
        <f>VLOOKUP(BT589,Enriched!$A$1:$AA$1070,14,falsE)</f>
        <v>level2</v>
      </c>
      <c r="CA589" s="13" t="str">
        <f>HYPERLINK("https%3A%2F%2Fwww.webofscience.com%2Fwos%2Fwoscc%2Ffull-record%2FWOS:000286666500008","View Full Record in Web of Science")</f>
        <v>View Full Record in Web of Science</v>
      </c>
    </row>
    <row r="590" ht="12.75" customHeight="1">
      <c r="A590" s="13" t="s">
        <v>5508</v>
      </c>
      <c r="B590" s="13" t="s">
        <v>16024</v>
      </c>
      <c r="C590" s="13" t="s">
        <v>5510</v>
      </c>
      <c r="D590" s="13" t="s">
        <v>5510</v>
      </c>
      <c r="E590" s="13" t="s">
        <v>5510</v>
      </c>
      <c r="F590" s="13" t="s">
        <v>16025</v>
      </c>
      <c r="G590" s="13" t="s">
        <v>5510</v>
      </c>
      <c r="H590" s="13" t="s">
        <v>5510</v>
      </c>
      <c r="I590" s="2" t="s">
        <v>1221</v>
      </c>
      <c r="J590" s="13" t="s">
        <v>14860</v>
      </c>
      <c r="K590" s="13" t="s">
        <v>5510</v>
      </c>
      <c r="L590" s="13" t="s">
        <v>5510</v>
      </c>
      <c r="M590" s="13" t="s">
        <v>5513</v>
      </c>
      <c r="N590" s="13" t="s">
        <v>6168</v>
      </c>
      <c r="O590" s="13" t="s">
        <v>5510</v>
      </c>
      <c r="P590" s="13" t="s">
        <v>5510</v>
      </c>
      <c r="Q590" s="13" t="s">
        <v>5510</v>
      </c>
      <c r="R590" s="13" t="s">
        <v>5510</v>
      </c>
      <c r="S590" s="13" t="s">
        <v>5510</v>
      </c>
      <c r="T590" s="13" t="s">
        <v>5510</v>
      </c>
      <c r="U590" s="13" t="s">
        <v>5510</v>
      </c>
      <c r="V590" s="13" t="s">
        <v>5510</v>
      </c>
      <c r="W590" s="13" t="s">
        <v>5510</v>
      </c>
      <c r="X590" s="13" t="s">
        <v>5510</v>
      </c>
      <c r="Y590" s="13" t="s">
        <v>5510</v>
      </c>
      <c r="Z590" s="13" t="s">
        <v>5510</v>
      </c>
      <c r="AA590" s="13" t="s">
        <v>16026</v>
      </c>
      <c r="AB590" s="13" t="s">
        <v>16027</v>
      </c>
      <c r="AC590" s="13" t="s">
        <v>5510</v>
      </c>
      <c r="AD590" s="13" t="s">
        <v>5510</v>
      </c>
      <c r="AE590" s="13" t="s">
        <v>5510</v>
      </c>
      <c r="AF590" s="13" t="s">
        <v>5510</v>
      </c>
      <c r="AG590" s="13">
        <v>1.0</v>
      </c>
      <c r="AH590" s="13">
        <v>10.0</v>
      </c>
      <c r="AI590" s="13">
        <v>11.0</v>
      </c>
      <c r="AJ590" s="13">
        <v>1.0</v>
      </c>
      <c r="AK590" s="13">
        <v>29.0</v>
      </c>
      <c r="AL590" s="13" t="s">
        <v>5552</v>
      </c>
      <c r="AM590" s="13" t="s">
        <v>5553</v>
      </c>
      <c r="AN590" s="13" t="s">
        <v>5554</v>
      </c>
      <c r="AO590" s="13" t="s">
        <v>14863</v>
      </c>
      <c r="AP590" s="13" t="s">
        <v>14864</v>
      </c>
      <c r="AQ590" s="13" t="s">
        <v>5510</v>
      </c>
      <c r="AR590" s="13" t="s">
        <v>14865</v>
      </c>
      <c r="AS590" s="13" t="s">
        <v>14866</v>
      </c>
      <c r="AT590" s="13" t="s">
        <v>5978</v>
      </c>
      <c r="AU590" s="13">
        <v>2008.0</v>
      </c>
      <c r="AV590" s="13">
        <v>6.0</v>
      </c>
      <c r="AW590" s="13">
        <v>12.0</v>
      </c>
      <c r="AX590" s="13" t="s">
        <v>5510</v>
      </c>
      <c r="AY590" s="13" t="s">
        <v>5510</v>
      </c>
      <c r="AZ590" s="13" t="s">
        <v>5510</v>
      </c>
      <c r="BA590" s="13" t="s">
        <v>5510</v>
      </c>
      <c r="BB590" s="13">
        <v>2940.0</v>
      </c>
      <c r="BC590" s="13">
        <v>2940.0</v>
      </c>
      <c r="BD590" s="13" t="s">
        <v>16028</v>
      </c>
      <c r="BE590" s="13" t="s">
        <v>16029</v>
      </c>
      <c r="BF590" s="52" t="str">
        <f>HYPERLINK("http://dx.doi.org/10.1371/journal.pbio.0060322","http://dx.doi.org/10.1371/journal.pbio.0060322")</f>
        <v>http://dx.doi.org/10.1371/journal.pbio.0060322</v>
      </c>
      <c r="BG590" s="13" t="s">
        <v>5510</v>
      </c>
      <c r="BH590" s="13" t="s">
        <v>5510</v>
      </c>
      <c r="BI590" s="13">
        <v>1.0</v>
      </c>
      <c r="BJ590" s="13" t="s">
        <v>14869</v>
      </c>
      <c r="BK590" s="13" t="s">
        <v>5561</v>
      </c>
      <c r="BL590" s="13" t="s">
        <v>14870</v>
      </c>
      <c r="BM590" s="13" t="s">
        <v>16030</v>
      </c>
      <c r="BN590" s="13" t="s">
        <v>5510</v>
      </c>
      <c r="BO590" s="13" t="s">
        <v>5564</v>
      </c>
      <c r="BP590" s="13" t="s">
        <v>5510</v>
      </c>
      <c r="BQ590" s="13" t="s">
        <v>5510</v>
      </c>
      <c r="BR590" s="13" t="s">
        <v>5538</v>
      </c>
      <c r="BS590" s="13" t="s">
        <v>16031</v>
      </c>
      <c r="BT590" s="13">
        <v>24516.0</v>
      </c>
      <c r="BU590" s="13" t="s">
        <v>5540</v>
      </c>
      <c r="BV590" s="13" t="s">
        <v>4852</v>
      </c>
      <c r="BW590" s="13" t="str">
        <f>VLOOKUP($BT590,Enriched!$A$2:$E$1070,5,false)</f>
        <v>["Invasive &amp; other problematic species, genes &amp; diseases"]</v>
      </c>
      <c r="BX590" s="13" t="str">
        <f>VLOOKUP($BT590,Enriched!$A$2:$E$1070,4,false)</f>
        <v>["Invasive non-native/alien species/diseases"]</v>
      </c>
      <c r="BY590" s="13" t="b">
        <f>VLOOKUP(BT590,Enriched!$A$1:$AA$1070,27,falsE)</f>
        <v>0</v>
      </c>
      <c r="BZ590" s="2" t="str">
        <f>VLOOKUP(BT590,Enriched!$A$1:$AA$1070,14,falsE)</f>
        <v>level2</v>
      </c>
      <c r="CA590" s="13" t="str">
        <f>HYPERLINK("https%3A%2F%2Fwww.webofscience.com%2Fwos%2Fwoscc%2Ffull-record%2FWOS:000261913700029","View Full Record in Web of Science")</f>
        <v>View Full Record in Web of Science</v>
      </c>
    </row>
    <row r="591" ht="12.75" customHeight="1">
      <c r="A591" s="13" t="s">
        <v>5508</v>
      </c>
      <c r="B591" s="13" t="s">
        <v>16024</v>
      </c>
      <c r="C591" s="13" t="s">
        <v>5510</v>
      </c>
      <c r="D591" s="13" t="s">
        <v>5510</v>
      </c>
      <c r="E591" s="13" t="s">
        <v>5510</v>
      </c>
      <c r="F591" s="13" t="s">
        <v>16025</v>
      </c>
      <c r="G591" s="13" t="s">
        <v>5510</v>
      </c>
      <c r="H591" s="13" t="s">
        <v>5510</v>
      </c>
      <c r="I591" s="13" t="s">
        <v>1221</v>
      </c>
      <c r="J591" s="13" t="s">
        <v>14860</v>
      </c>
      <c r="K591" s="13" t="s">
        <v>5510</v>
      </c>
      <c r="L591" s="13" t="s">
        <v>5510</v>
      </c>
      <c r="M591" s="13" t="s">
        <v>5513</v>
      </c>
      <c r="N591" s="13" t="s">
        <v>5514</v>
      </c>
      <c r="O591" s="13" t="s">
        <v>5510</v>
      </c>
      <c r="P591" s="13" t="s">
        <v>5510</v>
      </c>
      <c r="Q591" s="13" t="s">
        <v>5510</v>
      </c>
      <c r="R591" s="13" t="s">
        <v>5510</v>
      </c>
      <c r="S591" s="13" t="s">
        <v>5510</v>
      </c>
      <c r="T591" s="13" t="s">
        <v>5510</v>
      </c>
      <c r="U591" s="13" t="s">
        <v>16032</v>
      </c>
      <c r="V591" s="13" t="s">
        <v>16033</v>
      </c>
      <c r="W591" s="13" t="s">
        <v>16034</v>
      </c>
      <c r="X591" s="13" t="s">
        <v>16035</v>
      </c>
      <c r="Y591" s="13" t="s">
        <v>16036</v>
      </c>
      <c r="Z591" s="13" t="s">
        <v>16037</v>
      </c>
      <c r="AA591" s="13" t="s">
        <v>16038</v>
      </c>
      <c r="AB591" s="13" t="s">
        <v>16039</v>
      </c>
      <c r="AC591" s="13" t="s">
        <v>5510</v>
      </c>
      <c r="AD591" s="13" t="s">
        <v>5510</v>
      </c>
      <c r="AE591" s="13" t="s">
        <v>5510</v>
      </c>
      <c r="AF591" s="13" t="s">
        <v>5510</v>
      </c>
      <c r="AG591" s="13">
        <v>54.0</v>
      </c>
      <c r="AH591" s="13">
        <v>359.0</v>
      </c>
      <c r="AI591" s="13">
        <v>375.0</v>
      </c>
      <c r="AJ591" s="13">
        <v>1.0</v>
      </c>
      <c r="AK591" s="13">
        <v>146.0</v>
      </c>
      <c r="AL591" s="13" t="s">
        <v>5552</v>
      </c>
      <c r="AM591" s="13" t="s">
        <v>5553</v>
      </c>
      <c r="AN591" s="13" t="s">
        <v>5554</v>
      </c>
      <c r="AO591" s="13" t="s">
        <v>14863</v>
      </c>
      <c r="AP591" s="13" t="s">
        <v>14864</v>
      </c>
      <c r="AQ591" s="13" t="s">
        <v>5510</v>
      </c>
      <c r="AR591" s="13" t="s">
        <v>14865</v>
      </c>
      <c r="AS591" s="13" t="s">
        <v>14866</v>
      </c>
      <c r="AT591" s="13" t="s">
        <v>2738</v>
      </c>
      <c r="AU591" s="13">
        <v>2008.0</v>
      </c>
      <c r="AV591" s="13">
        <v>6.0</v>
      </c>
      <c r="AW591" s="13">
        <v>2.0</v>
      </c>
      <c r="AX591" s="13" t="s">
        <v>5510</v>
      </c>
      <c r="AY591" s="13" t="s">
        <v>5510</v>
      </c>
      <c r="AZ591" s="13" t="s">
        <v>5510</v>
      </c>
      <c r="BA591" s="13" t="s">
        <v>5510</v>
      </c>
      <c r="BB591" s="13">
        <v>404.0</v>
      </c>
      <c r="BC591" s="13">
        <v>410.0</v>
      </c>
      <c r="BD591" s="13" t="s">
        <v>16040</v>
      </c>
      <c r="BE591" s="13" t="s">
        <v>16041</v>
      </c>
      <c r="BF591" s="52" t="str">
        <f>HYPERLINK("http://dx.doi.org/10.1371/journal.pbio.0060028","http://dx.doi.org/10.1371/journal.pbio.0060028")</f>
        <v>http://dx.doi.org/10.1371/journal.pbio.0060028</v>
      </c>
      <c r="BG591" s="13" t="s">
        <v>5510</v>
      </c>
      <c r="BH591" s="13" t="s">
        <v>5510</v>
      </c>
      <c r="BI591" s="13">
        <v>7.0</v>
      </c>
      <c r="BJ591" s="13" t="s">
        <v>14869</v>
      </c>
      <c r="BK591" s="13" t="s">
        <v>5561</v>
      </c>
      <c r="BL591" s="13" t="s">
        <v>14870</v>
      </c>
      <c r="BM591" s="13" t="s">
        <v>16042</v>
      </c>
      <c r="BN591" s="13" t="s">
        <v>5510</v>
      </c>
      <c r="BO591" s="13" t="s">
        <v>5564</v>
      </c>
      <c r="BP591" s="13" t="s">
        <v>5510</v>
      </c>
      <c r="BQ591" s="13" t="s">
        <v>5510</v>
      </c>
      <c r="BR591" s="13" t="s">
        <v>5538</v>
      </c>
      <c r="BS591" s="13" t="s">
        <v>16043</v>
      </c>
      <c r="BT591" s="13">
        <v>24516.0</v>
      </c>
      <c r="BU591" s="13" t="s">
        <v>5540</v>
      </c>
      <c r="BV591" s="13" t="s">
        <v>4852</v>
      </c>
      <c r="BW591" s="13" t="str">
        <f>VLOOKUP($BT591,Enriched!$A$2:$E$1070,5,false)</f>
        <v>["Invasive &amp; other problematic species, genes &amp; diseases"]</v>
      </c>
      <c r="BX591" s="13" t="str">
        <f>VLOOKUP($BT591,Enriched!$A$2:$E$1070,4,false)</f>
        <v>["Invasive non-native/alien species/diseases"]</v>
      </c>
      <c r="BY591" s="13" t="b">
        <f>VLOOKUP(BT591,Enriched!$A$1:$AA$1070,27,falsE)</f>
        <v>0</v>
      </c>
      <c r="BZ591" s="2" t="str">
        <f>VLOOKUP(BT591,Enriched!$A$1:$AA$1070,14,falsE)</f>
        <v>level2</v>
      </c>
      <c r="CA591" s="13" t="str">
        <f>HYPERLINK("https%3A%2F%2Fwww.webofscience.com%2Fwos%2Fwoscc%2Ffull-record%2FWOS:000254928400026","View Full Record in Web of Science")</f>
        <v>View Full Record in Web of Science</v>
      </c>
    </row>
    <row r="592" ht="12.75" customHeight="1">
      <c r="A592" s="13" t="s">
        <v>5508</v>
      </c>
      <c r="B592" s="13" t="s">
        <v>16044</v>
      </c>
      <c r="C592" s="13" t="s">
        <v>5510</v>
      </c>
      <c r="D592" s="13" t="s">
        <v>5510</v>
      </c>
      <c r="E592" s="13" t="s">
        <v>5510</v>
      </c>
      <c r="F592" s="13" t="s">
        <v>16045</v>
      </c>
      <c r="G592" s="13" t="s">
        <v>5510</v>
      </c>
      <c r="H592" s="13" t="s">
        <v>5510</v>
      </c>
      <c r="I592" s="13" t="s">
        <v>1217</v>
      </c>
      <c r="J592" s="13" t="s">
        <v>5849</v>
      </c>
      <c r="K592" s="13" t="s">
        <v>5510</v>
      </c>
      <c r="L592" s="13" t="s">
        <v>5510</v>
      </c>
      <c r="M592" s="13" t="s">
        <v>5513</v>
      </c>
      <c r="N592" s="13" t="s">
        <v>5514</v>
      </c>
      <c r="O592" s="13" t="s">
        <v>5510</v>
      </c>
      <c r="P592" s="13" t="s">
        <v>5510</v>
      </c>
      <c r="Q592" s="13" t="s">
        <v>5510</v>
      </c>
      <c r="R592" s="13" t="s">
        <v>5510</v>
      </c>
      <c r="S592" s="13" t="s">
        <v>5510</v>
      </c>
      <c r="T592" s="13" t="s">
        <v>16046</v>
      </c>
      <c r="U592" s="13" t="s">
        <v>16047</v>
      </c>
      <c r="V592" s="13" t="s">
        <v>16048</v>
      </c>
      <c r="W592" s="13" t="s">
        <v>16049</v>
      </c>
      <c r="X592" s="13" t="s">
        <v>16050</v>
      </c>
      <c r="Y592" s="13" t="s">
        <v>16051</v>
      </c>
      <c r="Z592" s="13" t="s">
        <v>16052</v>
      </c>
      <c r="AA592" s="13" t="s">
        <v>5510</v>
      </c>
      <c r="AB592" s="13" t="s">
        <v>16053</v>
      </c>
      <c r="AC592" s="13" t="s">
        <v>16054</v>
      </c>
      <c r="AD592" s="13" t="s">
        <v>16054</v>
      </c>
      <c r="AE592" s="13" t="s">
        <v>16055</v>
      </c>
      <c r="AF592" s="13" t="s">
        <v>5510</v>
      </c>
      <c r="AG592" s="13">
        <v>91.0</v>
      </c>
      <c r="AH592" s="13">
        <v>18.0</v>
      </c>
      <c r="AI592" s="13">
        <v>19.0</v>
      </c>
      <c r="AJ592" s="13">
        <v>1.0</v>
      </c>
      <c r="AK592" s="13">
        <v>16.0</v>
      </c>
      <c r="AL592" s="13" t="s">
        <v>5527</v>
      </c>
      <c r="AM592" s="13" t="s">
        <v>5528</v>
      </c>
      <c r="AN592" s="13" t="s">
        <v>5529</v>
      </c>
      <c r="AO592" s="13" t="s">
        <v>5862</v>
      </c>
      <c r="AP592" s="13" t="s">
        <v>5863</v>
      </c>
      <c r="AQ592" s="13" t="s">
        <v>5510</v>
      </c>
      <c r="AR592" s="13" t="s">
        <v>5864</v>
      </c>
      <c r="AS592" s="13" t="s">
        <v>5865</v>
      </c>
      <c r="AT592" s="13" t="s">
        <v>1925</v>
      </c>
      <c r="AU592" s="13">
        <v>2019.0</v>
      </c>
      <c r="AV592" s="13">
        <v>29.0</v>
      </c>
      <c r="AW592" s="13" t="s">
        <v>5510</v>
      </c>
      <c r="AX592" s="13" t="s">
        <v>5510</v>
      </c>
      <c r="AY592" s="13">
        <v>1.0</v>
      </c>
      <c r="AZ592" s="13" t="s">
        <v>5646</v>
      </c>
      <c r="BA592" s="13" t="s">
        <v>5510</v>
      </c>
      <c r="BB592" s="13">
        <v>212.0</v>
      </c>
      <c r="BC592" s="13">
        <v>226.0</v>
      </c>
      <c r="BD592" s="13" t="s">
        <v>5510</v>
      </c>
      <c r="BE592" s="13" t="s">
        <v>16056</v>
      </c>
      <c r="BF592" s="52" t="str">
        <f>HYPERLINK("http://dx.doi.org/10.1002/aqc.3153","http://dx.doi.org/10.1002/aqc.3153")</f>
        <v>http://dx.doi.org/10.1002/aqc.3153</v>
      </c>
      <c r="BG592" s="13" t="s">
        <v>5510</v>
      </c>
      <c r="BH592" s="13" t="s">
        <v>5510</v>
      </c>
      <c r="BI592" s="13">
        <v>15.0</v>
      </c>
      <c r="BJ592" s="13" t="s">
        <v>5869</v>
      </c>
      <c r="BK592" s="13" t="s">
        <v>5561</v>
      </c>
      <c r="BL592" s="13" t="s">
        <v>5870</v>
      </c>
      <c r="BM592" s="13" t="s">
        <v>16057</v>
      </c>
      <c r="BN592" s="13" t="s">
        <v>5510</v>
      </c>
      <c r="BO592" s="13" t="s">
        <v>5510</v>
      </c>
      <c r="BP592" s="13" t="s">
        <v>5510</v>
      </c>
      <c r="BQ592" s="13" t="s">
        <v>5510</v>
      </c>
      <c r="BR592" s="13" t="s">
        <v>5538</v>
      </c>
      <c r="BS592" s="13" t="s">
        <v>16058</v>
      </c>
      <c r="BT592" s="13">
        <v>24188.0</v>
      </c>
      <c r="BU592" s="13" t="s">
        <v>5540</v>
      </c>
      <c r="BV592" s="13" t="s">
        <v>4864</v>
      </c>
      <c r="BW592" s="13" t="str">
        <f>VLOOKUP($BT592,Enriched!$A$2:$E$1070,5,false)</f>
        <v>["Agriculture &amp; Aquaculture"]</v>
      </c>
      <c r="BX592" s="13" t="str">
        <f>VLOOKUP($BT592,Enriched!$A$2:$E$1070,4,false)</f>
        <v>["Marine &amp; freshwater aquaculture"]</v>
      </c>
      <c r="BY592" s="13" t="b">
        <f>VLOOKUP(BT592,Enriched!$A$1:$AA$1070,27,falsE)</f>
        <v>0</v>
      </c>
      <c r="BZ592" s="2" t="str">
        <f>VLOOKUP(BT592,Enriched!$A$1:$AA$1070,14,falsE)</f>
        <v>level2</v>
      </c>
      <c r="CA592" s="13" t="str">
        <f>HYPERLINK("https%3A%2F%2Fwww.webofscience.com%2Fwos%2Fwoscc%2Ffull-record%2FWOS:000484997200015","View Full Record in Web of Science")</f>
        <v>View Full Record in Web of Science</v>
      </c>
    </row>
    <row r="593" ht="12.75" customHeight="1">
      <c r="A593" s="13" t="s">
        <v>5508</v>
      </c>
      <c r="B593" s="13" t="s">
        <v>16059</v>
      </c>
      <c r="C593" s="13" t="s">
        <v>5510</v>
      </c>
      <c r="D593" s="13" t="s">
        <v>5510</v>
      </c>
      <c r="E593" s="13" t="s">
        <v>5510</v>
      </c>
      <c r="F593" s="13" t="s">
        <v>16060</v>
      </c>
      <c r="G593" s="13" t="s">
        <v>5510</v>
      </c>
      <c r="H593" s="13" t="s">
        <v>5510</v>
      </c>
      <c r="I593" s="13" t="s">
        <v>16061</v>
      </c>
      <c r="J593" s="13" t="s">
        <v>5543</v>
      </c>
      <c r="K593" s="13" t="s">
        <v>5510</v>
      </c>
      <c r="L593" s="13" t="s">
        <v>5510</v>
      </c>
      <c r="M593" s="13" t="s">
        <v>5513</v>
      </c>
      <c r="N593" s="13" t="s">
        <v>5514</v>
      </c>
      <c r="O593" s="13" t="s">
        <v>5510</v>
      </c>
      <c r="P593" s="13" t="s">
        <v>5510</v>
      </c>
      <c r="Q593" s="13" t="s">
        <v>5510</v>
      </c>
      <c r="R593" s="13" t="s">
        <v>5510</v>
      </c>
      <c r="S593" s="13" t="s">
        <v>5510</v>
      </c>
      <c r="T593" s="13" t="s">
        <v>5510</v>
      </c>
      <c r="U593" s="13" t="s">
        <v>16062</v>
      </c>
      <c r="V593" s="13" t="s">
        <v>16063</v>
      </c>
      <c r="W593" s="13" t="s">
        <v>16064</v>
      </c>
      <c r="X593" s="13" t="s">
        <v>16065</v>
      </c>
      <c r="Y593" s="13" t="s">
        <v>16066</v>
      </c>
      <c r="Z593" s="13" t="s">
        <v>16067</v>
      </c>
      <c r="AA593" s="13" t="s">
        <v>16068</v>
      </c>
      <c r="AB593" s="13" t="s">
        <v>16069</v>
      </c>
      <c r="AC593" s="13" t="s">
        <v>16070</v>
      </c>
      <c r="AD593" s="13" t="s">
        <v>16071</v>
      </c>
      <c r="AE593" s="13" t="s">
        <v>16072</v>
      </c>
      <c r="AF593" s="13" t="s">
        <v>5510</v>
      </c>
      <c r="AG593" s="13">
        <v>79.0</v>
      </c>
      <c r="AH593" s="13">
        <v>61.0</v>
      </c>
      <c r="AI593" s="13">
        <v>65.0</v>
      </c>
      <c r="AJ593" s="13">
        <v>0.0</v>
      </c>
      <c r="AK593" s="13">
        <v>117.0</v>
      </c>
      <c r="AL593" s="13" t="s">
        <v>5552</v>
      </c>
      <c r="AM593" s="13" t="s">
        <v>5553</v>
      </c>
      <c r="AN593" s="13" t="s">
        <v>5554</v>
      </c>
      <c r="AO593" s="13" t="s">
        <v>5555</v>
      </c>
      <c r="AP593" s="13" t="s">
        <v>5510</v>
      </c>
      <c r="AQ593" s="13" t="s">
        <v>5510</v>
      </c>
      <c r="AR593" s="13" t="s">
        <v>5543</v>
      </c>
      <c r="AS593" s="13" t="s">
        <v>5556</v>
      </c>
      <c r="AT593" s="13" t="s">
        <v>16073</v>
      </c>
      <c r="AU593" s="13">
        <v>2015.0</v>
      </c>
      <c r="AV593" s="13">
        <v>10.0</v>
      </c>
      <c r="AW593" s="13">
        <v>8.0</v>
      </c>
      <c r="AX593" s="13" t="s">
        <v>5510</v>
      </c>
      <c r="AY593" s="13" t="s">
        <v>5510</v>
      </c>
      <c r="AZ593" s="13" t="s">
        <v>5510</v>
      </c>
      <c r="BA593" s="13" t="s">
        <v>5510</v>
      </c>
      <c r="BB593" s="13" t="s">
        <v>5510</v>
      </c>
      <c r="BC593" s="13" t="s">
        <v>5510</v>
      </c>
      <c r="BD593" s="13" t="s">
        <v>16074</v>
      </c>
      <c r="BE593" s="13" t="s">
        <v>16075</v>
      </c>
      <c r="BF593" s="52" t="str">
        <f>HYPERLINK("http://dx.doi.org/10.1371/journal.pone.0135473","http://dx.doi.org/10.1371/journal.pone.0135473")</f>
        <v>http://dx.doi.org/10.1371/journal.pone.0135473</v>
      </c>
      <c r="BG593" s="13" t="s">
        <v>5510</v>
      </c>
      <c r="BH593" s="13" t="s">
        <v>5510</v>
      </c>
      <c r="BI593" s="13">
        <v>20.0</v>
      </c>
      <c r="BJ593" s="13" t="s">
        <v>5560</v>
      </c>
      <c r="BK593" s="13" t="s">
        <v>5561</v>
      </c>
      <c r="BL593" s="13" t="s">
        <v>5562</v>
      </c>
      <c r="BM593" s="13" t="s">
        <v>16076</v>
      </c>
      <c r="BN593" s="13">
        <v>2.6266542E7</v>
      </c>
      <c r="BO593" s="13" t="s">
        <v>5564</v>
      </c>
      <c r="BP593" s="13" t="s">
        <v>5510</v>
      </c>
      <c r="BQ593" s="13" t="s">
        <v>5510</v>
      </c>
      <c r="BR593" s="13" t="s">
        <v>5538</v>
      </c>
      <c r="BS593" s="13" t="s">
        <v>16077</v>
      </c>
      <c r="BT593" s="13">
        <v>24227.0</v>
      </c>
      <c r="BU593" s="13" t="s">
        <v>5540</v>
      </c>
      <c r="BV593" s="13" t="s">
        <v>4864</v>
      </c>
      <c r="BW593" s="13" t="str">
        <f>VLOOKUP($BT593,Enriched!$A$2:$E$1070,5,false)</f>
        <v>["Residential &amp; Commercial Development", "Agriculture &amp; Aquaculture", "Biological Resource Use", "Pollution", "Human Intrusions &amp; Disturbance"]</v>
      </c>
      <c r="BX593" s="13" t="str">
        <f>VLOOKUP($BT593,Enriched!$A$2:$E$1070,4,false)</f>
        <v>["Housing &amp; urban area", "Marine &amp; freshwater aquaculture", "Fishing &amp; harvesting aquatic resources", "Industrial &amp; military effluents", "Recreational activities", "Domestic &amp; urban waste water"]</v>
      </c>
      <c r="BY593" s="13" t="b">
        <f>VLOOKUP(BT593,Enriched!$A$1:$AA$1070,27,falsE)</f>
        <v>1</v>
      </c>
      <c r="BZ593" s="2" t="str">
        <f>VLOOKUP(BT593,Enriched!$A$1:$AA$1070,14,falsE)</f>
        <v>cumulative</v>
      </c>
      <c r="CA593" s="13" t="str">
        <f>HYPERLINK("https%3A%2F%2Fwww.webofscience.com%2Fwos%2Fwoscc%2Ffull-record%2FWOS:000359492300121","View Full Record in Web of Science")</f>
        <v>View Full Record in Web of Science</v>
      </c>
    </row>
    <row r="594" ht="12.75" customHeight="1">
      <c r="A594" s="13" t="s">
        <v>5508</v>
      </c>
      <c r="B594" s="13" t="s">
        <v>16078</v>
      </c>
      <c r="C594" s="13" t="s">
        <v>5510</v>
      </c>
      <c r="D594" s="13" t="s">
        <v>5510</v>
      </c>
      <c r="E594" s="13" t="s">
        <v>5510</v>
      </c>
      <c r="F594" s="13" t="s">
        <v>16079</v>
      </c>
      <c r="G594" s="13" t="s">
        <v>5510</v>
      </c>
      <c r="H594" s="13" t="s">
        <v>5510</v>
      </c>
      <c r="I594" s="13" t="s">
        <v>1213</v>
      </c>
      <c r="J594" s="13" t="s">
        <v>46</v>
      </c>
      <c r="K594" s="13" t="s">
        <v>5510</v>
      </c>
      <c r="L594" s="13" t="s">
        <v>5510</v>
      </c>
      <c r="M594" s="13" t="s">
        <v>5513</v>
      </c>
      <c r="N594" s="13" t="s">
        <v>5514</v>
      </c>
      <c r="O594" s="13" t="s">
        <v>5510</v>
      </c>
      <c r="P594" s="13" t="s">
        <v>5510</v>
      </c>
      <c r="Q594" s="13" t="s">
        <v>5510</v>
      </c>
      <c r="R594" s="13" t="s">
        <v>5510</v>
      </c>
      <c r="S594" s="13" t="s">
        <v>5510</v>
      </c>
      <c r="T594" s="13" t="s">
        <v>16080</v>
      </c>
      <c r="U594" s="13" t="s">
        <v>16081</v>
      </c>
      <c r="V594" s="13" t="s">
        <v>16082</v>
      </c>
      <c r="W594" s="13" t="s">
        <v>16083</v>
      </c>
      <c r="X594" s="13" t="s">
        <v>7746</v>
      </c>
      <c r="Y594" s="13" t="s">
        <v>16084</v>
      </c>
      <c r="Z594" s="13" t="s">
        <v>16085</v>
      </c>
      <c r="AA594" s="13" t="s">
        <v>16086</v>
      </c>
      <c r="AB594" s="13" t="s">
        <v>5510</v>
      </c>
      <c r="AC594" s="13" t="s">
        <v>16087</v>
      </c>
      <c r="AD594" s="13" t="s">
        <v>16088</v>
      </c>
      <c r="AE594" s="13" t="s">
        <v>16089</v>
      </c>
      <c r="AF594" s="13" t="s">
        <v>5510</v>
      </c>
      <c r="AG594" s="13">
        <v>61.0</v>
      </c>
      <c r="AH594" s="13">
        <v>55.0</v>
      </c>
      <c r="AI594" s="13">
        <v>61.0</v>
      </c>
      <c r="AJ594" s="13">
        <v>1.0</v>
      </c>
      <c r="AK594" s="13">
        <v>113.0</v>
      </c>
      <c r="AL594" s="13" t="s">
        <v>7065</v>
      </c>
      <c r="AM594" s="13" t="s">
        <v>13281</v>
      </c>
      <c r="AN594" s="13" t="s">
        <v>13282</v>
      </c>
      <c r="AO594" s="13" t="s">
        <v>7734</v>
      </c>
      <c r="AP594" s="13" t="s">
        <v>7735</v>
      </c>
      <c r="AQ594" s="13" t="s">
        <v>5510</v>
      </c>
      <c r="AR594" s="13" t="s">
        <v>46</v>
      </c>
      <c r="AS594" s="13" t="s">
        <v>1196</v>
      </c>
      <c r="AT594" s="13" t="s">
        <v>2514</v>
      </c>
      <c r="AU594" s="13">
        <v>2016.0</v>
      </c>
      <c r="AV594" s="13">
        <v>50.0</v>
      </c>
      <c r="AW594" s="13">
        <v>4.0</v>
      </c>
      <c r="AX594" s="13" t="s">
        <v>5510</v>
      </c>
      <c r="AY594" s="13" t="s">
        <v>5510</v>
      </c>
      <c r="AZ594" s="13" t="s">
        <v>5510</v>
      </c>
      <c r="BA594" s="13" t="s">
        <v>5510</v>
      </c>
      <c r="BB594" s="13">
        <v>713.0</v>
      </c>
      <c r="BC594" s="13">
        <v>720.0</v>
      </c>
      <c r="BD594" s="13" t="s">
        <v>5510</v>
      </c>
      <c r="BE594" s="13" t="s">
        <v>16090</v>
      </c>
      <c r="BF594" s="52" t="str">
        <f>HYPERLINK("http://dx.doi.org/10.1017/S0030605315000344","http://dx.doi.org/10.1017/S0030605315000344")</f>
        <v>http://dx.doi.org/10.1017/S0030605315000344</v>
      </c>
      <c r="BG594" s="13" t="s">
        <v>5510</v>
      </c>
      <c r="BH594" s="13" t="s">
        <v>5510</v>
      </c>
      <c r="BI594" s="13">
        <v>8.0</v>
      </c>
      <c r="BJ594" s="13" t="s">
        <v>5958</v>
      </c>
      <c r="BK594" s="13" t="s">
        <v>5561</v>
      </c>
      <c r="BL594" s="13" t="s">
        <v>5699</v>
      </c>
      <c r="BM594" s="13" t="s">
        <v>16091</v>
      </c>
      <c r="BN594" s="13" t="s">
        <v>5510</v>
      </c>
      <c r="BO594" s="13" t="s">
        <v>5809</v>
      </c>
      <c r="BP594" s="13" t="s">
        <v>5510</v>
      </c>
      <c r="BQ594" s="13" t="s">
        <v>5510</v>
      </c>
      <c r="BR594" s="13" t="s">
        <v>5538</v>
      </c>
      <c r="BS594" s="13" t="s">
        <v>16092</v>
      </c>
      <c r="BT594" s="13">
        <v>25642.0</v>
      </c>
      <c r="BU594" s="13" t="s">
        <v>5540</v>
      </c>
      <c r="BV594" s="13" t="s">
        <v>4856</v>
      </c>
      <c r="BW594" s="13" t="str">
        <f>VLOOKUP($BT594,Enriched!$A$2:$E$1070,5,false)</f>
        <v>["Agriculture &amp; Aquaculture"]</v>
      </c>
      <c r="BX594" s="13" t="str">
        <f>VLOOKUP($BT594,Enriched!$A$2:$E$1070,4,false)</f>
        <v>["Housing &amp; urban area", "Annual &amp; perennial non-timber crops", "Livestock farming &amp; ranching"]</v>
      </c>
      <c r="BY594" s="13" t="b">
        <f>VLOOKUP(BT594,Enriched!$A$1:$AA$1070,27,falsE)</f>
        <v>0</v>
      </c>
      <c r="BZ594" s="2" t="str">
        <f>VLOOKUP(BT594,Enriched!$A$1:$AA$1070,14,falsE)</f>
        <v>level2</v>
      </c>
      <c r="CA594" s="13" t="str">
        <f>HYPERLINK("https%3A%2F%2Fwww.webofscience.com%2Fwos%2Fwoscc%2Ffull-record%2FWOS:000383607200022","View Full Record in Web of Science")</f>
        <v>View Full Record in Web of Science</v>
      </c>
    </row>
    <row r="595" ht="12.75" customHeight="1">
      <c r="A595" s="13" t="s">
        <v>5508</v>
      </c>
      <c r="B595" s="13" t="s">
        <v>16093</v>
      </c>
      <c r="C595" s="13" t="s">
        <v>5510</v>
      </c>
      <c r="D595" s="13" t="s">
        <v>5510</v>
      </c>
      <c r="E595" s="13" t="s">
        <v>5510</v>
      </c>
      <c r="F595" s="13" t="s">
        <v>16094</v>
      </c>
      <c r="G595" s="13" t="s">
        <v>5510</v>
      </c>
      <c r="H595" s="13" t="s">
        <v>5510</v>
      </c>
      <c r="I595" s="13" t="s">
        <v>1209</v>
      </c>
      <c r="J595" s="13" t="s">
        <v>16095</v>
      </c>
      <c r="K595" s="13" t="s">
        <v>5510</v>
      </c>
      <c r="L595" s="13" t="s">
        <v>5510</v>
      </c>
      <c r="M595" s="13" t="s">
        <v>5513</v>
      </c>
      <c r="N595" s="13" t="s">
        <v>5514</v>
      </c>
      <c r="O595" s="13" t="s">
        <v>5510</v>
      </c>
      <c r="P595" s="13" t="s">
        <v>5510</v>
      </c>
      <c r="Q595" s="13" t="s">
        <v>5510</v>
      </c>
      <c r="R595" s="13" t="s">
        <v>5510</v>
      </c>
      <c r="S595" s="13" t="s">
        <v>5510</v>
      </c>
      <c r="T595" s="13" t="s">
        <v>16096</v>
      </c>
      <c r="U595" s="13" t="s">
        <v>16097</v>
      </c>
      <c r="V595" s="13" t="s">
        <v>16098</v>
      </c>
      <c r="W595" s="13" t="s">
        <v>16099</v>
      </c>
      <c r="X595" s="13" t="s">
        <v>9237</v>
      </c>
      <c r="Y595" s="13" t="s">
        <v>16100</v>
      </c>
      <c r="Z595" s="13" t="s">
        <v>16101</v>
      </c>
      <c r="AA595" s="13" t="s">
        <v>16102</v>
      </c>
      <c r="AB595" s="13" t="s">
        <v>16103</v>
      </c>
      <c r="AC595" s="13" t="s">
        <v>16104</v>
      </c>
      <c r="AD595" s="13" t="s">
        <v>16105</v>
      </c>
      <c r="AE595" s="13" t="s">
        <v>16106</v>
      </c>
      <c r="AF595" s="13" t="s">
        <v>5510</v>
      </c>
      <c r="AG595" s="13">
        <v>85.0</v>
      </c>
      <c r="AH595" s="13">
        <v>33.0</v>
      </c>
      <c r="AI595" s="13">
        <v>41.0</v>
      </c>
      <c r="AJ595" s="13">
        <v>2.0</v>
      </c>
      <c r="AK595" s="13">
        <v>92.0</v>
      </c>
      <c r="AL595" s="13" t="s">
        <v>5527</v>
      </c>
      <c r="AM595" s="13" t="s">
        <v>5528</v>
      </c>
      <c r="AN595" s="13" t="s">
        <v>5529</v>
      </c>
      <c r="AO595" s="13" t="s">
        <v>16107</v>
      </c>
      <c r="AP595" s="13" t="s">
        <v>16108</v>
      </c>
      <c r="AQ595" s="13" t="s">
        <v>5510</v>
      </c>
      <c r="AR595" s="13" t="s">
        <v>16109</v>
      </c>
      <c r="AS595" s="13" t="s">
        <v>16110</v>
      </c>
      <c r="AT595" s="13" t="s">
        <v>6089</v>
      </c>
      <c r="AU595" s="13">
        <v>2012.0</v>
      </c>
      <c r="AV595" s="13">
        <v>100.0</v>
      </c>
      <c r="AW595" s="13">
        <v>2.0</v>
      </c>
      <c r="AX595" s="13" t="s">
        <v>5510</v>
      </c>
      <c r="AY595" s="13" t="s">
        <v>5510</v>
      </c>
      <c r="AZ595" s="13" t="s">
        <v>5510</v>
      </c>
      <c r="BA595" s="13" t="s">
        <v>5510</v>
      </c>
      <c r="BB595" s="13">
        <v>331.0</v>
      </c>
      <c r="BC595" s="13">
        <v>342.0</v>
      </c>
      <c r="BD595" s="13" t="s">
        <v>5510</v>
      </c>
      <c r="BE595" s="13" t="s">
        <v>16111</v>
      </c>
      <c r="BF595" s="52" t="str">
        <f>HYPERLINK("http://dx.doi.org/10.1111/j.1365-2745.2011.01911.x","http://dx.doi.org/10.1111/j.1365-2745.2011.01911.x")</f>
        <v>http://dx.doi.org/10.1111/j.1365-2745.2011.01911.x</v>
      </c>
      <c r="BG595" s="13" t="s">
        <v>5510</v>
      </c>
      <c r="BH595" s="13" t="s">
        <v>5510</v>
      </c>
      <c r="BI595" s="13">
        <v>12.0</v>
      </c>
      <c r="BJ595" s="13" t="s">
        <v>16112</v>
      </c>
      <c r="BK595" s="13" t="s">
        <v>5561</v>
      </c>
      <c r="BL595" s="13" t="s">
        <v>16113</v>
      </c>
      <c r="BM595" s="13" t="s">
        <v>16114</v>
      </c>
      <c r="BN595" s="13" t="s">
        <v>5510</v>
      </c>
      <c r="BO595" s="13" t="s">
        <v>5510</v>
      </c>
      <c r="BP595" s="13" t="s">
        <v>5510</v>
      </c>
      <c r="BQ595" s="13" t="s">
        <v>5510</v>
      </c>
      <c r="BR595" s="13" t="s">
        <v>5538</v>
      </c>
      <c r="BS595" s="13" t="s">
        <v>16115</v>
      </c>
      <c r="BT595" s="13">
        <v>24322.0</v>
      </c>
      <c r="BU595" s="13" t="s">
        <v>5540</v>
      </c>
      <c r="BV595" s="13" t="s">
        <v>4856</v>
      </c>
      <c r="BW595" s="13" t="str">
        <f>VLOOKUP($BT595,Enriched!$A$2:$E$1070,5,false)</f>
        <v>["Pollution"]</v>
      </c>
      <c r="BX595" s="13" t="str">
        <f>VLOOKUP($BT595,Enriched!$A$2:$E$1070,4,false)</f>
        <v>["Air-borne pollutants"]</v>
      </c>
      <c r="BY595" s="13" t="b">
        <f>VLOOKUP(BT595,Enriched!$A$1:$AA$1070,27,falsE)</f>
        <v>0</v>
      </c>
      <c r="BZ595" s="2" t="str">
        <f>VLOOKUP(BT595,Enriched!$A$1:$AA$1070,14,falsE)</f>
        <v>level2</v>
      </c>
      <c r="CA595" s="13" t="str">
        <f>HYPERLINK("https%3A%2F%2Fwww.webofscience.com%2Fwos%2Fwoscc%2Ffull-record%2FWOS:000300500800004","View Full Record in Web of Science")</f>
        <v>View Full Record in Web of Science</v>
      </c>
    </row>
    <row r="596" ht="12.75" customHeight="1">
      <c r="A596" s="13" t="s">
        <v>5508</v>
      </c>
      <c r="B596" s="13" t="s">
        <v>16116</v>
      </c>
      <c r="C596" s="13" t="s">
        <v>5510</v>
      </c>
      <c r="D596" s="13" t="s">
        <v>5510</v>
      </c>
      <c r="E596" s="13" t="s">
        <v>5510</v>
      </c>
      <c r="F596" s="13" t="s">
        <v>16117</v>
      </c>
      <c r="G596" s="13" t="s">
        <v>5510</v>
      </c>
      <c r="H596" s="13" t="s">
        <v>5510</v>
      </c>
      <c r="I596" s="13" t="s">
        <v>1206</v>
      </c>
      <c r="J596" s="13" t="s">
        <v>15247</v>
      </c>
      <c r="K596" s="13" t="s">
        <v>5510</v>
      </c>
      <c r="L596" s="13" t="s">
        <v>5510</v>
      </c>
      <c r="M596" s="13" t="s">
        <v>5513</v>
      </c>
      <c r="N596" s="13" t="s">
        <v>5514</v>
      </c>
      <c r="O596" s="13" t="s">
        <v>5510</v>
      </c>
      <c r="P596" s="13" t="s">
        <v>5510</v>
      </c>
      <c r="Q596" s="13" t="s">
        <v>5510</v>
      </c>
      <c r="R596" s="13" t="s">
        <v>5510</v>
      </c>
      <c r="S596" s="13" t="s">
        <v>5510</v>
      </c>
      <c r="T596" s="13" t="s">
        <v>16118</v>
      </c>
      <c r="U596" s="13" t="s">
        <v>16119</v>
      </c>
      <c r="V596" s="13" t="s">
        <v>16120</v>
      </c>
      <c r="W596" s="13" t="s">
        <v>16121</v>
      </c>
      <c r="X596" s="13" t="s">
        <v>16122</v>
      </c>
      <c r="Y596" s="13" t="s">
        <v>16123</v>
      </c>
      <c r="Z596" s="13" t="s">
        <v>16124</v>
      </c>
      <c r="AA596" s="13" t="s">
        <v>5510</v>
      </c>
      <c r="AB596" s="13" t="s">
        <v>16125</v>
      </c>
      <c r="AC596" s="13" t="s">
        <v>16126</v>
      </c>
      <c r="AD596" s="13" t="s">
        <v>16126</v>
      </c>
      <c r="AE596" s="13" t="s">
        <v>16127</v>
      </c>
      <c r="AF596" s="13" t="s">
        <v>5510</v>
      </c>
      <c r="AG596" s="13">
        <v>52.0</v>
      </c>
      <c r="AH596" s="13">
        <v>3.0</v>
      </c>
      <c r="AI596" s="13">
        <v>3.0</v>
      </c>
      <c r="AJ596" s="13">
        <v>0.0</v>
      </c>
      <c r="AK596" s="13">
        <v>17.0</v>
      </c>
      <c r="AL596" s="13" t="s">
        <v>7450</v>
      </c>
      <c r="AM596" s="13" t="s">
        <v>6046</v>
      </c>
      <c r="AN596" s="13" t="s">
        <v>7451</v>
      </c>
      <c r="AO596" s="13" t="s">
        <v>15259</v>
      </c>
      <c r="AP596" s="13" t="s">
        <v>15260</v>
      </c>
      <c r="AQ596" s="13" t="s">
        <v>5510</v>
      </c>
      <c r="AR596" s="13" t="s">
        <v>15261</v>
      </c>
      <c r="AS596" s="13" t="s">
        <v>15262</v>
      </c>
      <c r="AT596" s="13" t="s">
        <v>6828</v>
      </c>
      <c r="AU596" s="13">
        <v>2019.0</v>
      </c>
      <c r="AV596" s="13">
        <v>163.0</v>
      </c>
      <c r="AW596" s="13" t="s">
        <v>5510</v>
      </c>
      <c r="AX596" s="13" t="s">
        <v>5510</v>
      </c>
      <c r="AY596" s="13" t="s">
        <v>5510</v>
      </c>
      <c r="AZ596" s="13" t="s">
        <v>5510</v>
      </c>
      <c r="BA596" s="13" t="s">
        <v>5510</v>
      </c>
      <c r="BB596" s="13">
        <v>1.0</v>
      </c>
      <c r="BC596" s="13">
        <v>8.0</v>
      </c>
      <c r="BD596" s="13" t="s">
        <v>5510</v>
      </c>
      <c r="BE596" s="13" t="s">
        <v>16128</v>
      </c>
      <c r="BF596" s="52" t="str">
        <f>HYPERLINK("http://dx.doi.org/10.1016/j.jaridenv.2019.01.006","http://dx.doi.org/10.1016/j.jaridenv.2019.01.006")</f>
        <v>http://dx.doi.org/10.1016/j.jaridenv.2019.01.006</v>
      </c>
      <c r="BG596" s="13" t="s">
        <v>5510</v>
      </c>
      <c r="BH596" s="13" t="s">
        <v>5510</v>
      </c>
      <c r="BI596" s="13">
        <v>8.0</v>
      </c>
      <c r="BJ596" s="13" t="s">
        <v>6026</v>
      </c>
      <c r="BK596" s="13" t="s">
        <v>5561</v>
      </c>
      <c r="BL596" s="13" t="s">
        <v>5535</v>
      </c>
      <c r="BM596" s="13" t="s">
        <v>16129</v>
      </c>
      <c r="BN596" s="13" t="s">
        <v>5510</v>
      </c>
      <c r="BO596" s="13" t="s">
        <v>5510</v>
      </c>
      <c r="BP596" s="13" t="s">
        <v>5510</v>
      </c>
      <c r="BQ596" s="13" t="s">
        <v>5510</v>
      </c>
      <c r="BR596" s="13" t="s">
        <v>5538</v>
      </c>
      <c r="BS596" s="13" t="s">
        <v>16130</v>
      </c>
      <c r="BT596" s="13">
        <v>25585.0</v>
      </c>
      <c r="BU596" s="13" t="s">
        <v>5540</v>
      </c>
      <c r="BV596" s="13" t="s">
        <v>4856</v>
      </c>
      <c r="BW596" s="13" t="str">
        <f>VLOOKUP($BT596,Enriched!$A$2:$E$1070,5,false)</f>
        <v>["Agriculture &amp; Aquaculture"]</v>
      </c>
      <c r="BX596" s="13" t="str">
        <f>VLOOKUP($BT596,Enriched!$A$2:$E$1070,4,false)</f>
        <v>["Livestock farming &amp; ranching"]</v>
      </c>
      <c r="BY596" s="13" t="b">
        <f>VLOOKUP(BT596,Enriched!$A$1:$AA$1070,27,falsE)</f>
        <v>0</v>
      </c>
      <c r="BZ596" s="2" t="str">
        <f>VLOOKUP(BT596,Enriched!$A$1:$AA$1070,14,falsE)</f>
        <v>level2</v>
      </c>
      <c r="CA596" s="13" t="str">
        <f>HYPERLINK("https%3A%2F%2Fwww.webofscience.com%2Fwos%2Fwoscc%2Ffull-record%2FWOS:000459236300001","View Full Record in Web of Science")</f>
        <v>View Full Record in Web of Science</v>
      </c>
    </row>
    <row r="597" ht="12.75" customHeight="1">
      <c r="A597" s="13" t="s">
        <v>5508</v>
      </c>
      <c r="B597" s="13" t="s">
        <v>16131</v>
      </c>
      <c r="C597" s="13" t="s">
        <v>5510</v>
      </c>
      <c r="D597" s="13" t="s">
        <v>5510</v>
      </c>
      <c r="E597" s="13" t="s">
        <v>5510</v>
      </c>
      <c r="F597" s="13" t="s">
        <v>16132</v>
      </c>
      <c r="G597" s="13" t="s">
        <v>5510</v>
      </c>
      <c r="H597" s="13" t="s">
        <v>5510</v>
      </c>
      <c r="I597" s="13" t="s">
        <v>1202</v>
      </c>
      <c r="J597" s="13" t="s">
        <v>5746</v>
      </c>
      <c r="K597" s="13" t="s">
        <v>5510</v>
      </c>
      <c r="L597" s="13" t="s">
        <v>5510</v>
      </c>
      <c r="M597" s="13" t="s">
        <v>5513</v>
      </c>
      <c r="N597" s="13" t="s">
        <v>5514</v>
      </c>
      <c r="O597" s="13" t="s">
        <v>5510</v>
      </c>
      <c r="P597" s="13" t="s">
        <v>5510</v>
      </c>
      <c r="Q597" s="13" t="s">
        <v>5510</v>
      </c>
      <c r="R597" s="13" t="s">
        <v>5510</v>
      </c>
      <c r="S597" s="13" t="s">
        <v>5510</v>
      </c>
      <c r="T597" s="13" t="s">
        <v>16133</v>
      </c>
      <c r="U597" s="13" t="s">
        <v>16134</v>
      </c>
      <c r="V597" s="13" t="s">
        <v>16135</v>
      </c>
      <c r="W597" s="13" t="s">
        <v>16136</v>
      </c>
      <c r="X597" s="13" t="s">
        <v>16137</v>
      </c>
      <c r="Y597" s="13" t="s">
        <v>16138</v>
      </c>
      <c r="Z597" s="13" t="s">
        <v>16139</v>
      </c>
      <c r="AA597" s="13" t="s">
        <v>16140</v>
      </c>
      <c r="AB597" s="13" t="s">
        <v>16141</v>
      </c>
      <c r="AC597" s="13" t="s">
        <v>5510</v>
      </c>
      <c r="AD597" s="13" t="s">
        <v>5510</v>
      </c>
      <c r="AE597" s="13" t="s">
        <v>5510</v>
      </c>
      <c r="AF597" s="13" t="s">
        <v>5510</v>
      </c>
      <c r="AG597" s="13">
        <v>85.0</v>
      </c>
      <c r="AH597" s="13">
        <v>37.0</v>
      </c>
      <c r="AI597" s="13">
        <v>42.0</v>
      </c>
      <c r="AJ597" s="13">
        <v>2.0</v>
      </c>
      <c r="AK597" s="13">
        <v>74.0</v>
      </c>
      <c r="AL597" s="13" t="s">
        <v>5759</v>
      </c>
      <c r="AM597" s="13" t="s">
        <v>5760</v>
      </c>
      <c r="AN597" s="13" t="s">
        <v>5761</v>
      </c>
      <c r="AO597" s="13" t="s">
        <v>5762</v>
      </c>
      <c r="AP597" s="13" t="s">
        <v>5763</v>
      </c>
      <c r="AQ597" s="13" t="s">
        <v>5510</v>
      </c>
      <c r="AR597" s="13" t="s">
        <v>5764</v>
      </c>
      <c r="AS597" s="13" t="s">
        <v>5765</v>
      </c>
      <c r="AT597" s="13" t="s">
        <v>14211</v>
      </c>
      <c r="AU597" s="13">
        <v>2017.0</v>
      </c>
      <c r="AV597" s="13">
        <v>601.0</v>
      </c>
      <c r="AW597" s="13" t="s">
        <v>5510</v>
      </c>
      <c r="AX597" s="13" t="s">
        <v>5510</v>
      </c>
      <c r="AY597" s="13" t="s">
        <v>5510</v>
      </c>
      <c r="AZ597" s="13" t="s">
        <v>5510</v>
      </c>
      <c r="BA597" s="13" t="s">
        <v>5510</v>
      </c>
      <c r="BB597" s="13">
        <v>461.0</v>
      </c>
      <c r="BC597" s="13">
        <v>468.0</v>
      </c>
      <c r="BD597" s="13" t="s">
        <v>5510</v>
      </c>
      <c r="BE597" s="13" t="s">
        <v>16142</v>
      </c>
      <c r="BF597" s="52" t="str">
        <f>HYPERLINK("http://dx.doi.org/10.1016/j.scitotenv.2017.05.220","http://dx.doi.org/10.1016/j.scitotenv.2017.05.220")</f>
        <v>http://dx.doi.org/10.1016/j.scitotenv.2017.05.220</v>
      </c>
      <c r="BG597" s="13" t="s">
        <v>5510</v>
      </c>
      <c r="BH597" s="13" t="s">
        <v>5510</v>
      </c>
      <c r="BI597" s="13">
        <v>8.0</v>
      </c>
      <c r="BJ597" s="13" t="s">
        <v>5768</v>
      </c>
      <c r="BK597" s="13" t="s">
        <v>5561</v>
      </c>
      <c r="BL597" s="13" t="s">
        <v>5535</v>
      </c>
      <c r="BM597" s="13" t="s">
        <v>16143</v>
      </c>
      <c r="BN597" s="13">
        <v>2.8575824E7</v>
      </c>
      <c r="BO597" s="13" t="s">
        <v>5510</v>
      </c>
      <c r="BP597" s="13" t="s">
        <v>5510</v>
      </c>
      <c r="BQ597" s="13" t="s">
        <v>5510</v>
      </c>
      <c r="BR597" s="13" t="s">
        <v>5538</v>
      </c>
      <c r="BS597" s="13" t="s">
        <v>16144</v>
      </c>
      <c r="BT597" s="13">
        <v>23739.0</v>
      </c>
      <c r="BU597" s="13" t="s">
        <v>5540</v>
      </c>
      <c r="BV597" s="13" t="s">
        <v>4856</v>
      </c>
      <c r="BW597" s="13" t="str">
        <f>VLOOKUP($BT597,Enriched!$A$2:$E$1070,5,false)</f>
        <v>["Invasive &amp; other problematic species, genes &amp; diseases"]</v>
      </c>
      <c r="BX597" s="13" t="str">
        <f>VLOOKUP($BT597,Enriched!$A$2:$E$1070,4,false)</f>
        <v>["Invasive non-native/alien species/diseases"]</v>
      </c>
      <c r="BY597" s="13" t="b">
        <f>VLOOKUP(BT597,Enriched!$A$1:$AA$1070,27,falsE)</f>
        <v>0</v>
      </c>
      <c r="BZ597" s="2" t="str">
        <f>VLOOKUP(BT597,Enriched!$A$1:$AA$1070,14,falsE)</f>
        <v>level2</v>
      </c>
      <c r="CA597" s="13" t="str">
        <f>HYPERLINK("https%3A%2F%2Fwww.webofscience.com%2Fwos%2Fwoscc%2Ffull-record%2FWOS:000406294900047","View Full Record in Web of Science")</f>
        <v>View Full Record in Web of Science</v>
      </c>
    </row>
    <row r="598" ht="12.75" customHeight="1">
      <c r="A598" s="13" t="s">
        <v>5508</v>
      </c>
      <c r="B598" s="13" t="s">
        <v>16145</v>
      </c>
      <c r="C598" s="13" t="s">
        <v>5510</v>
      </c>
      <c r="D598" s="13" t="s">
        <v>5510</v>
      </c>
      <c r="E598" s="13" t="s">
        <v>5510</v>
      </c>
      <c r="F598" s="13" t="s">
        <v>16146</v>
      </c>
      <c r="G598" s="13" t="s">
        <v>5510</v>
      </c>
      <c r="H598" s="13" t="s">
        <v>5510</v>
      </c>
      <c r="I598" s="13" t="s">
        <v>1199</v>
      </c>
      <c r="J598" s="13" t="s">
        <v>9414</v>
      </c>
      <c r="K598" s="13" t="s">
        <v>5510</v>
      </c>
      <c r="L598" s="13" t="s">
        <v>5510</v>
      </c>
      <c r="M598" s="13" t="s">
        <v>5513</v>
      </c>
      <c r="N598" s="13" t="s">
        <v>5514</v>
      </c>
      <c r="O598" s="13" t="s">
        <v>5510</v>
      </c>
      <c r="P598" s="13" t="s">
        <v>5510</v>
      </c>
      <c r="Q598" s="13" t="s">
        <v>5510</v>
      </c>
      <c r="R598" s="13" t="s">
        <v>5510</v>
      </c>
      <c r="S598" s="13" t="s">
        <v>5510</v>
      </c>
      <c r="T598" s="13" t="s">
        <v>16147</v>
      </c>
      <c r="U598" s="13" t="s">
        <v>16148</v>
      </c>
      <c r="V598" s="13" t="s">
        <v>16149</v>
      </c>
      <c r="W598" s="13" t="s">
        <v>16150</v>
      </c>
      <c r="X598" s="13" t="s">
        <v>16151</v>
      </c>
      <c r="Y598" s="13" t="s">
        <v>16152</v>
      </c>
      <c r="Z598" s="13" t="s">
        <v>16153</v>
      </c>
      <c r="AA598" s="13" t="s">
        <v>16154</v>
      </c>
      <c r="AB598" s="13" t="s">
        <v>5510</v>
      </c>
      <c r="AC598" s="13" t="s">
        <v>16155</v>
      </c>
      <c r="AD598" s="13" t="s">
        <v>16156</v>
      </c>
      <c r="AE598" s="13" t="s">
        <v>16157</v>
      </c>
      <c r="AF598" s="13" t="s">
        <v>5510</v>
      </c>
      <c r="AG598" s="13">
        <v>72.0</v>
      </c>
      <c r="AH598" s="13">
        <v>16.0</v>
      </c>
      <c r="AI598" s="13">
        <v>20.0</v>
      </c>
      <c r="AJ598" s="13">
        <v>1.0</v>
      </c>
      <c r="AK598" s="13">
        <v>17.0</v>
      </c>
      <c r="AL598" s="13" t="s">
        <v>5931</v>
      </c>
      <c r="AM598" s="13" t="s">
        <v>5932</v>
      </c>
      <c r="AN598" s="13" t="s">
        <v>5933</v>
      </c>
      <c r="AO598" s="13" t="s">
        <v>9427</v>
      </c>
      <c r="AP598" s="13" t="s">
        <v>9428</v>
      </c>
      <c r="AQ598" s="13" t="s">
        <v>5510</v>
      </c>
      <c r="AR598" s="13" t="s">
        <v>9429</v>
      </c>
      <c r="AS598" s="13" t="s">
        <v>9430</v>
      </c>
      <c r="AT598" s="13" t="s">
        <v>2738</v>
      </c>
      <c r="AU598" s="13">
        <v>2019.0</v>
      </c>
      <c r="AV598" s="13">
        <v>100.0</v>
      </c>
      <c r="AW598" s="13" t="s">
        <v>5510</v>
      </c>
      <c r="AX598" s="13" t="s">
        <v>5510</v>
      </c>
      <c r="AY598" s="13" t="s">
        <v>5510</v>
      </c>
      <c r="AZ598" s="13" t="s">
        <v>5510</v>
      </c>
      <c r="BA598" s="13" t="s">
        <v>5510</v>
      </c>
      <c r="BB598" s="13">
        <v>107.0</v>
      </c>
      <c r="BC598" s="13">
        <v>115.0</v>
      </c>
      <c r="BD598" s="13" t="s">
        <v>5510</v>
      </c>
      <c r="BE598" s="13" t="s">
        <v>16158</v>
      </c>
      <c r="BF598" s="52" t="str">
        <f>HYPERLINK("http://dx.doi.org/10.1016/j.marpol.2018.11.028","http://dx.doi.org/10.1016/j.marpol.2018.11.028")</f>
        <v>http://dx.doi.org/10.1016/j.marpol.2018.11.028</v>
      </c>
      <c r="BG598" s="13" t="s">
        <v>5510</v>
      </c>
      <c r="BH598" s="13" t="s">
        <v>5510</v>
      </c>
      <c r="BI598" s="13">
        <v>9.0</v>
      </c>
      <c r="BJ598" s="13" t="s">
        <v>9432</v>
      </c>
      <c r="BK598" s="13" t="s">
        <v>8375</v>
      </c>
      <c r="BL598" s="13" t="s">
        <v>9433</v>
      </c>
      <c r="BM598" s="13" t="s">
        <v>16159</v>
      </c>
      <c r="BN598" s="13" t="s">
        <v>5510</v>
      </c>
      <c r="BO598" s="13" t="s">
        <v>5510</v>
      </c>
      <c r="BP598" s="13" t="s">
        <v>5510</v>
      </c>
      <c r="BQ598" s="13" t="s">
        <v>5510</v>
      </c>
      <c r="BR598" s="13" t="s">
        <v>5538</v>
      </c>
      <c r="BS598" s="13" t="s">
        <v>16160</v>
      </c>
      <c r="BT598" s="13">
        <v>24813.0</v>
      </c>
      <c r="BU598" s="13" t="s">
        <v>5540</v>
      </c>
      <c r="BV598" s="13" t="s">
        <v>4864</v>
      </c>
      <c r="BW598" s="13" t="str">
        <f>VLOOKUP($BT598,Enriched!$A$2:$E$1070,5,false)</f>
        <v>["Biological resource use"]</v>
      </c>
      <c r="BX598" s="13" t="str">
        <f>VLOOKUP($BT598,Enriched!$A$2:$E$1070,4,false)</f>
        <v>["Fishing &amp; harvesting aquatic resources"]</v>
      </c>
      <c r="BY598" s="13" t="b">
        <f>VLOOKUP(BT598,Enriched!$A$1:$AA$1070,27,falsE)</f>
        <v>0</v>
      </c>
      <c r="BZ598" s="2" t="str">
        <f>VLOOKUP(BT598,Enriched!$A$1:$AA$1070,14,falsE)</f>
        <v>level2</v>
      </c>
      <c r="CA598" s="13" t="str">
        <f>HYPERLINK("https%3A%2F%2Fwww.webofscience.com%2Fwos%2Fwoscc%2Ffull-record%2FWOS:000458708000012","View Full Record in Web of Science")</f>
        <v>View Full Record in Web of Science</v>
      </c>
    </row>
    <row r="599" ht="12.75" customHeight="1">
      <c r="A599" s="13" t="s">
        <v>5508</v>
      </c>
      <c r="B599" s="13" t="s">
        <v>16161</v>
      </c>
      <c r="C599" s="13" t="s">
        <v>5510</v>
      </c>
      <c r="D599" s="13" t="s">
        <v>5510</v>
      </c>
      <c r="E599" s="13" t="s">
        <v>5510</v>
      </c>
      <c r="F599" s="13" t="s">
        <v>16162</v>
      </c>
      <c r="G599" s="13" t="s">
        <v>5510</v>
      </c>
      <c r="H599" s="13" t="s">
        <v>5510</v>
      </c>
      <c r="I599" s="2" t="s">
        <v>1195</v>
      </c>
      <c r="J599" s="13" t="s">
        <v>46</v>
      </c>
      <c r="K599" s="13" t="s">
        <v>5510</v>
      </c>
      <c r="L599" s="13" t="s">
        <v>5510</v>
      </c>
      <c r="M599" s="13" t="s">
        <v>5513</v>
      </c>
      <c r="N599" s="13" t="s">
        <v>5514</v>
      </c>
      <c r="O599" s="13" t="s">
        <v>5510</v>
      </c>
      <c r="P599" s="13" t="s">
        <v>5510</v>
      </c>
      <c r="Q599" s="13" t="s">
        <v>5510</v>
      </c>
      <c r="R599" s="13" t="s">
        <v>5510</v>
      </c>
      <c r="S599" s="13" t="s">
        <v>5510</v>
      </c>
      <c r="T599" s="13" t="s">
        <v>16163</v>
      </c>
      <c r="U599" s="13" t="s">
        <v>16164</v>
      </c>
      <c r="V599" s="13" t="s">
        <v>16165</v>
      </c>
      <c r="W599" s="13" t="s">
        <v>16166</v>
      </c>
      <c r="X599" s="13" t="s">
        <v>16167</v>
      </c>
      <c r="Y599" s="13" t="s">
        <v>16168</v>
      </c>
      <c r="Z599" s="13" t="s">
        <v>16169</v>
      </c>
      <c r="AA599" s="13" t="s">
        <v>16170</v>
      </c>
      <c r="AB599" s="13" t="s">
        <v>16171</v>
      </c>
      <c r="AC599" s="13" t="s">
        <v>16172</v>
      </c>
      <c r="AD599" s="13" t="s">
        <v>16172</v>
      </c>
      <c r="AE599" s="13" t="s">
        <v>16173</v>
      </c>
      <c r="AF599" s="13" t="s">
        <v>5510</v>
      </c>
      <c r="AG599" s="13">
        <v>44.0</v>
      </c>
      <c r="AH599" s="13">
        <v>32.0</v>
      </c>
      <c r="AI599" s="13">
        <v>37.0</v>
      </c>
      <c r="AJ599" s="13">
        <v>0.0</v>
      </c>
      <c r="AK599" s="13">
        <v>56.0</v>
      </c>
      <c r="AL599" s="13" t="s">
        <v>7065</v>
      </c>
      <c r="AM599" s="13" t="s">
        <v>6503</v>
      </c>
      <c r="AN599" s="13" t="s">
        <v>7066</v>
      </c>
      <c r="AO599" s="13" t="s">
        <v>7734</v>
      </c>
      <c r="AP599" s="13" t="s">
        <v>7735</v>
      </c>
      <c r="AQ599" s="13" t="s">
        <v>5510</v>
      </c>
      <c r="AR599" s="13" t="s">
        <v>46</v>
      </c>
      <c r="AS599" s="13" t="s">
        <v>1196</v>
      </c>
      <c r="AT599" s="13" t="s">
        <v>5667</v>
      </c>
      <c r="AU599" s="13">
        <v>2008.0</v>
      </c>
      <c r="AV599" s="13">
        <v>42.0</v>
      </c>
      <c r="AW599" s="13">
        <v>3.0</v>
      </c>
      <c r="AX599" s="13" t="s">
        <v>5510</v>
      </c>
      <c r="AY599" s="13" t="s">
        <v>5510</v>
      </c>
      <c r="AZ599" s="13" t="s">
        <v>5510</v>
      </c>
      <c r="BA599" s="13" t="s">
        <v>5510</v>
      </c>
      <c r="BB599" s="13">
        <v>437.0</v>
      </c>
      <c r="BC599" s="13">
        <v>447.0</v>
      </c>
      <c r="BD599" s="13" t="s">
        <v>5510</v>
      </c>
      <c r="BE599" s="13" t="s">
        <v>16174</v>
      </c>
      <c r="BF599" s="52" t="str">
        <f>HYPERLINK("http://dx.doi.org/10.1017/S0030605308006996","http://dx.doi.org/10.1017/S0030605308006996")</f>
        <v>http://dx.doi.org/10.1017/S0030605308006996</v>
      </c>
      <c r="BG599" s="13" t="s">
        <v>5510</v>
      </c>
      <c r="BH599" s="13" t="s">
        <v>5510</v>
      </c>
      <c r="BI599" s="13">
        <v>11.0</v>
      </c>
      <c r="BJ599" s="13" t="s">
        <v>5958</v>
      </c>
      <c r="BK599" s="13" t="s">
        <v>5561</v>
      </c>
      <c r="BL599" s="13" t="s">
        <v>5699</v>
      </c>
      <c r="BM599" s="13" t="s">
        <v>16175</v>
      </c>
      <c r="BN599" s="13" t="s">
        <v>5510</v>
      </c>
      <c r="BO599" s="13" t="s">
        <v>5809</v>
      </c>
      <c r="BP599" s="13" t="s">
        <v>5510</v>
      </c>
      <c r="BQ599" s="13" t="s">
        <v>5510</v>
      </c>
      <c r="BR599" s="13" t="s">
        <v>5538</v>
      </c>
      <c r="BS599" s="13" t="s">
        <v>16176</v>
      </c>
      <c r="BT599" s="13">
        <v>25461.0</v>
      </c>
      <c r="BU599" s="13" t="s">
        <v>5540</v>
      </c>
      <c r="BV599" s="13" t="s">
        <v>4856</v>
      </c>
      <c r="BW599" s="13" t="str">
        <f>VLOOKUP($BT599,Enriched!$A$2:$E$1070,5,false)</f>
        <v>["Biological resource use"]</v>
      </c>
      <c r="BX599" s="13" t="str">
        <f>VLOOKUP($BT599,Enriched!$A$2:$E$1070,4,false)</f>
        <v>["Hunting &amp; collecting terrestrial animals"]</v>
      </c>
      <c r="BY599" s="13" t="b">
        <f>VLOOKUP(BT599,Enriched!$A$1:$AA$1070,27,falsE)</f>
        <v>0</v>
      </c>
      <c r="BZ599" s="2" t="str">
        <f>VLOOKUP(BT599,Enriched!$A$1:$AA$1070,14,falsE)</f>
        <v>level2</v>
      </c>
      <c r="CA599" s="13" t="str">
        <f>HYPERLINK("https%3A%2F%2Fwww.webofscience.com%2Fwos%2Fwoscc%2Ffull-record%2FWOS:000258862300022","View Full Record in Web of Science")</f>
        <v>View Full Record in Web of Science</v>
      </c>
    </row>
    <row r="600" ht="12.75" customHeight="1">
      <c r="A600" s="13" t="s">
        <v>5508</v>
      </c>
      <c r="B600" s="13" t="s">
        <v>16177</v>
      </c>
      <c r="C600" s="13" t="s">
        <v>5510</v>
      </c>
      <c r="D600" s="13" t="s">
        <v>5510</v>
      </c>
      <c r="E600" s="13" t="s">
        <v>5510</v>
      </c>
      <c r="F600" s="13" t="s">
        <v>16178</v>
      </c>
      <c r="G600" s="13" t="s">
        <v>5510</v>
      </c>
      <c r="H600" s="13" t="s">
        <v>5510</v>
      </c>
      <c r="I600" s="13" t="s">
        <v>1193</v>
      </c>
      <c r="J600" s="13" t="s">
        <v>8795</v>
      </c>
      <c r="K600" s="13" t="s">
        <v>5510</v>
      </c>
      <c r="L600" s="13" t="s">
        <v>5510</v>
      </c>
      <c r="M600" s="13" t="s">
        <v>5513</v>
      </c>
      <c r="N600" s="13" t="s">
        <v>5514</v>
      </c>
      <c r="O600" s="13" t="s">
        <v>5510</v>
      </c>
      <c r="P600" s="13" t="s">
        <v>5510</v>
      </c>
      <c r="Q600" s="13" t="s">
        <v>5510</v>
      </c>
      <c r="R600" s="13" t="s">
        <v>5510</v>
      </c>
      <c r="S600" s="13" t="s">
        <v>5510</v>
      </c>
      <c r="T600" s="13" t="s">
        <v>5510</v>
      </c>
      <c r="U600" s="13" t="s">
        <v>16179</v>
      </c>
      <c r="V600" s="13" t="s">
        <v>16180</v>
      </c>
      <c r="W600" s="13" t="s">
        <v>16181</v>
      </c>
      <c r="X600" s="13" t="s">
        <v>16182</v>
      </c>
      <c r="Y600" s="13" t="s">
        <v>11109</v>
      </c>
      <c r="Z600" s="13" t="s">
        <v>11110</v>
      </c>
      <c r="AA600" s="13" t="s">
        <v>16183</v>
      </c>
      <c r="AB600" s="13" t="s">
        <v>16184</v>
      </c>
      <c r="AC600" s="13" t="s">
        <v>5510</v>
      </c>
      <c r="AD600" s="13" t="s">
        <v>5510</v>
      </c>
      <c r="AE600" s="13" t="s">
        <v>5510</v>
      </c>
      <c r="AF600" s="13" t="s">
        <v>5510</v>
      </c>
      <c r="AG600" s="13">
        <v>93.0</v>
      </c>
      <c r="AH600" s="13">
        <v>50.0</v>
      </c>
      <c r="AI600" s="13">
        <v>55.0</v>
      </c>
      <c r="AJ600" s="13">
        <v>1.0</v>
      </c>
      <c r="AK600" s="13">
        <v>19.0</v>
      </c>
      <c r="AL600" s="13" t="s">
        <v>8807</v>
      </c>
      <c r="AM600" s="13" t="s">
        <v>8808</v>
      </c>
      <c r="AN600" s="13" t="s">
        <v>8809</v>
      </c>
      <c r="AO600" s="13" t="s">
        <v>8810</v>
      </c>
      <c r="AP600" s="13" t="s">
        <v>5510</v>
      </c>
      <c r="AQ600" s="13" t="s">
        <v>5510</v>
      </c>
      <c r="AR600" s="13" t="s">
        <v>8811</v>
      </c>
      <c r="AS600" s="13" t="s">
        <v>8812</v>
      </c>
      <c r="AT600" s="13" t="s">
        <v>16185</v>
      </c>
      <c r="AU600" s="13">
        <v>2019.0</v>
      </c>
      <c r="AV600" s="13">
        <v>9.0</v>
      </c>
      <c r="AW600" s="13" t="s">
        <v>5510</v>
      </c>
      <c r="AX600" s="13" t="s">
        <v>5510</v>
      </c>
      <c r="AY600" s="13" t="s">
        <v>5510</v>
      </c>
      <c r="AZ600" s="13" t="s">
        <v>5510</v>
      </c>
      <c r="BA600" s="13" t="s">
        <v>5510</v>
      </c>
      <c r="BB600" s="13" t="s">
        <v>5510</v>
      </c>
      <c r="BC600" s="13" t="s">
        <v>5510</v>
      </c>
      <c r="BD600" s="13">
        <v>6332.0</v>
      </c>
      <c r="BE600" s="13" t="s">
        <v>16186</v>
      </c>
      <c r="BF600" s="52" t="str">
        <f>HYPERLINK("http://dx.doi.org/10.1038/s41598-019-42792-9","http://dx.doi.org/10.1038/s41598-019-42792-9")</f>
        <v>http://dx.doi.org/10.1038/s41598-019-42792-9</v>
      </c>
      <c r="BG600" s="13" t="s">
        <v>5510</v>
      </c>
      <c r="BH600" s="13" t="s">
        <v>5510</v>
      </c>
      <c r="BI600" s="13">
        <v>12.0</v>
      </c>
      <c r="BJ600" s="13" t="s">
        <v>5560</v>
      </c>
      <c r="BK600" s="13" t="s">
        <v>5561</v>
      </c>
      <c r="BL600" s="13" t="s">
        <v>5562</v>
      </c>
      <c r="BM600" s="13" t="s">
        <v>16187</v>
      </c>
      <c r="BN600" s="13">
        <v>3.1004118E7</v>
      </c>
      <c r="BO600" s="13" t="s">
        <v>5564</v>
      </c>
      <c r="BP600" s="13" t="s">
        <v>5510</v>
      </c>
      <c r="BQ600" s="13" t="s">
        <v>5510</v>
      </c>
      <c r="BR600" s="13" t="s">
        <v>5538</v>
      </c>
      <c r="BS600" s="13" t="s">
        <v>16188</v>
      </c>
      <c r="BT600" s="13">
        <v>23047.0</v>
      </c>
      <c r="BU600" s="13" t="s">
        <v>5540</v>
      </c>
      <c r="BV600" s="13" t="s">
        <v>4856</v>
      </c>
      <c r="BW600" s="13" t="str">
        <f>VLOOKUP($BT600,Enriched!$A$2:$E$1070,5,false)</f>
        <v>["Climate change &amp; severe weather"]</v>
      </c>
      <c r="BX600" s="13" t="str">
        <f>VLOOKUP($BT600,Enriched!$A$2:$E$1070,4,false)</f>
        <v>["Habitat shifting &amp; alteration"]</v>
      </c>
      <c r="BY600" s="13" t="b">
        <f>VLOOKUP(BT600,Enriched!$A$1:$AA$1070,27,falsE)</f>
        <v>0</v>
      </c>
      <c r="BZ600" s="2" t="str">
        <f>VLOOKUP(BT600,Enriched!$A$1:$AA$1070,14,falsE)</f>
        <v>level2</v>
      </c>
      <c r="CA600" s="13" t="str">
        <f>HYPERLINK("https%3A%2F%2Fwww.webofscience.com%2Fwos%2Fwoscc%2Ffull-record%2FWOS:000465004600022","View Full Record in Web of Science")</f>
        <v>View Full Record in Web of Science</v>
      </c>
    </row>
    <row r="601" ht="12.75" customHeight="1">
      <c r="A601" s="13" t="s">
        <v>5508</v>
      </c>
      <c r="B601" s="13" t="s">
        <v>16189</v>
      </c>
      <c r="C601" s="13" t="s">
        <v>5510</v>
      </c>
      <c r="D601" s="13" t="s">
        <v>5510</v>
      </c>
      <c r="E601" s="13" t="s">
        <v>5510</v>
      </c>
      <c r="F601" s="13" t="s">
        <v>16190</v>
      </c>
      <c r="G601" s="13" t="s">
        <v>5510</v>
      </c>
      <c r="H601" s="13" t="s">
        <v>5510</v>
      </c>
      <c r="I601" s="13" t="s">
        <v>1190</v>
      </c>
      <c r="J601" s="13" t="s">
        <v>16191</v>
      </c>
      <c r="K601" s="13" t="s">
        <v>5510</v>
      </c>
      <c r="L601" s="13" t="s">
        <v>5510</v>
      </c>
      <c r="M601" s="13" t="s">
        <v>5513</v>
      </c>
      <c r="N601" s="13" t="s">
        <v>5514</v>
      </c>
      <c r="O601" s="13" t="s">
        <v>5510</v>
      </c>
      <c r="P601" s="13" t="s">
        <v>5510</v>
      </c>
      <c r="Q601" s="13" t="s">
        <v>5510</v>
      </c>
      <c r="R601" s="13" t="s">
        <v>5510</v>
      </c>
      <c r="S601" s="13" t="s">
        <v>5510</v>
      </c>
      <c r="T601" s="13" t="s">
        <v>5510</v>
      </c>
      <c r="U601" s="13" t="s">
        <v>16192</v>
      </c>
      <c r="V601" s="13" t="s">
        <v>16193</v>
      </c>
      <c r="W601" s="13" t="s">
        <v>16194</v>
      </c>
      <c r="X601" s="13" t="s">
        <v>16195</v>
      </c>
      <c r="Y601" s="13" t="s">
        <v>16196</v>
      </c>
      <c r="Z601" s="13" t="s">
        <v>16197</v>
      </c>
      <c r="AA601" s="13" t="s">
        <v>16198</v>
      </c>
      <c r="AB601" s="13" t="s">
        <v>16199</v>
      </c>
      <c r="AC601" s="13" t="s">
        <v>16200</v>
      </c>
      <c r="AD601" s="13" t="s">
        <v>16201</v>
      </c>
      <c r="AE601" s="13" t="s">
        <v>16202</v>
      </c>
      <c r="AF601" s="13" t="s">
        <v>5510</v>
      </c>
      <c r="AG601" s="13">
        <v>132.0</v>
      </c>
      <c r="AH601" s="13">
        <v>1624.0</v>
      </c>
      <c r="AI601" s="13">
        <v>1821.0</v>
      </c>
      <c r="AJ601" s="13">
        <v>6.0</v>
      </c>
      <c r="AK601" s="13">
        <v>763.0</v>
      </c>
      <c r="AL601" s="13" t="s">
        <v>16203</v>
      </c>
      <c r="AM601" s="13" t="s">
        <v>13281</v>
      </c>
      <c r="AN601" s="13" t="s">
        <v>16204</v>
      </c>
      <c r="AO601" s="13" t="s">
        <v>16205</v>
      </c>
      <c r="AP601" s="13" t="s">
        <v>5510</v>
      </c>
      <c r="AQ601" s="13" t="s">
        <v>5510</v>
      </c>
      <c r="AR601" s="13" t="s">
        <v>16191</v>
      </c>
      <c r="AS601" s="13" t="s">
        <v>1191</v>
      </c>
      <c r="AT601" s="13" t="s">
        <v>16206</v>
      </c>
      <c r="AU601" s="13">
        <v>2014.0</v>
      </c>
      <c r="AV601" s="13">
        <v>3.0</v>
      </c>
      <c r="AW601" s="13" t="s">
        <v>5510</v>
      </c>
      <c r="AX601" s="13" t="s">
        <v>5510</v>
      </c>
      <c r="AY601" s="13" t="s">
        <v>5510</v>
      </c>
      <c r="AZ601" s="13" t="s">
        <v>5510</v>
      </c>
      <c r="BA601" s="13" t="s">
        <v>5510</v>
      </c>
      <c r="BB601" s="13" t="s">
        <v>5510</v>
      </c>
      <c r="BC601" s="13" t="s">
        <v>5510</v>
      </c>
      <c r="BD601" s="13" t="s">
        <v>16207</v>
      </c>
      <c r="BE601" s="13" t="s">
        <v>16208</v>
      </c>
      <c r="BF601" s="52" t="str">
        <f>HYPERLINK("http://dx.doi.org/10.7554/eLife.00590","http://dx.doi.org/10.7554/eLife.00590")</f>
        <v>http://dx.doi.org/10.7554/eLife.00590</v>
      </c>
      <c r="BG601" s="13" t="s">
        <v>5510</v>
      </c>
      <c r="BH601" s="13" t="s">
        <v>5510</v>
      </c>
      <c r="BI601" s="13">
        <v>34.0</v>
      </c>
      <c r="BJ601" s="13" t="s">
        <v>7022</v>
      </c>
      <c r="BK601" s="13" t="s">
        <v>5561</v>
      </c>
      <c r="BL601" s="13" t="s">
        <v>7023</v>
      </c>
      <c r="BM601" s="13" t="s">
        <v>16209</v>
      </c>
      <c r="BN601" s="13">
        <v>2.4448405E7</v>
      </c>
      <c r="BO601" s="13" t="s">
        <v>5564</v>
      </c>
      <c r="BP601" s="13" t="s">
        <v>5510</v>
      </c>
      <c r="BQ601" s="13" t="s">
        <v>5510</v>
      </c>
      <c r="BR601" s="13" t="s">
        <v>5538</v>
      </c>
      <c r="BS601" s="13" t="s">
        <v>16210</v>
      </c>
      <c r="BT601" s="13">
        <v>23779.0</v>
      </c>
      <c r="BU601" s="13" t="s">
        <v>5540</v>
      </c>
      <c r="BV601" s="13" t="s">
        <v>4864</v>
      </c>
      <c r="BW601" s="13" t="str">
        <f>VLOOKUP($BT601,Enriched!$A$2:$E$1070,5,false)</f>
        <v>["Biological resource use"]</v>
      </c>
      <c r="BX601" s="13" t="str">
        <f>VLOOKUP($BT601,Enriched!$A$2:$E$1070,4,false)</f>
        <v>["Fishing &amp; harvesting aquatic resources"]</v>
      </c>
      <c r="BY601" s="13" t="b">
        <f>VLOOKUP(BT601,Enriched!$A$1:$AA$1070,27,falsE)</f>
        <v>0</v>
      </c>
      <c r="BZ601" s="2" t="str">
        <f>VLOOKUP(BT601,Enriched!$A$1:$AA$1070,14,falsE)</f>
        <v>level2</v>
      </c>
      <c r="CA601" s="13" t="str">
        <f>HYPERLINK("https%3A%2F%2Fwww.webofscience.com%2Fwos%2Fwoscc%2Ffull-record%2FWOS:000330172600001","View Full Record in Web of Science")</f>
        <v>View Full Record in Web of Science</v>
      </c>
    </row>
    <row r="602" ht="12.75" customHeight="1">
      <c r="A602" s="13" t="s">
        <v>5508</v>
      </c>
      <c r="B602" s="13" t="s">
        <v>16211</v>
      </c>
      <c r="C602" s="13" t="s">
        <v>5510</v>
      </c>
      <c r="D602" s="13" t="s">
        <v>5510</v>
      </c>
      <c r="E602" s="13" t="s">
        <v>5510</v>
      </c>
      <c r="F602" s="13" t="s">
        <v>16212</v>
      </c>
      <c r="G602" s="13" t="s">
        <v>5510</v>
      </c>
      <c r="H602" s="13" t="s">
        <v>5510</v>
      </c>
      <c r="I602" s="13" t="s">
        <v>1186</v>
      </c>
      <c r="J602" s="13" t="s">
        <v>16213</v>
      </c>
      <c r="K602" s="13" t="s">
        <v>5510</v>
      </c>
      <c r="L602" s="13" t="s">
        <v>5510</v>
      </c>
      <c r="M602" s="13" t="s">
        <v>5513</v>
      </c>
      <c r="N602" s="13" t="s">
        <v>5514</v>
      </c>
      <c r="O602" s="13" t="s">
        <v>5510</v>
      </c>
      <c r="P602" s="13" t="s">
        <v>5510</v>
      </c>
      <c r="Q602" s="13" t="s">
        <v>5510</v>
      </c>
      <c r="R602" s="13" t="s">
        <v>5510</v>
      </c>
      <c r="S602" s="13" t="s">
        <v>5510</v>
      </c>
      <c r="T602" s="13" t="s">
        <v>16214</v>
      </c>
      <c r="U602" s="13" t="s">
        <v>16215</v>
      </c>
      <c r="V602" s="13" t="s">
        <v>16216</v>
      </c>
      <c r="W602" s="13" t="s">
        <v>16217</v>
      </c>
      <c r="X602" s="13" t="s">
        <v>16218</v>
      </c>
      <c r="Y602" s="13" t="s">
        <v>16219</v>
      </c>
      <c r="Z602" s="13" t="s">
        <v>16220</v>
      </c>
      <c r="AA602" s="13" t="s">
        <v>16221</v>
      </c>
      <c r="AB602" s="13" t="s">
        <v>16222</v>
      </c>
      <c r="AC602" s="13" t="s">
        <v>5510</v>
      </c>
      <c r="AD602" s="13" t="s">
        <v>5510</v>
      </c>
      <c r="AE602" s="13" t="s">
        <v>5510</v>
      </c>
      <c r="AF602" s="13" t="s">
        <v>5510</v>
      </c>
      <c r="AG602" s="13">
        <v>68.0</v>
      </c>
      <c r="AH602" s="13">
        <v>33.0</v>
      </c>
      <c r="AI602" s="13">
        <v>37.0</v>
      </c>
      <c r="AJ602" s="13">
        <v>1.0</v>
      </c>
      <c r="AK602" s="13">
        <v>49.0</v>
      </c>
      <c r="AL602" s="13" t="s">
        <v>5931</v>
      </c>
      <c r="AM602" s="13" t="s">
        <v>5932</v>
      </c>
      <c r="AN602" s="13" t="s">
        <v>5933</v>
      </c>
      <c r="AO602" s="13" t="s">
        <v>16223</v>
      </c>
      <c r="AP602" s="13" t="s">
        <v>16224</v>
      </c>
      <c r="AQ602" s="13" t="s">
        <v>5510</v>
      </c>
      <c r="AR602" s="13" t="s">
        <v>16225</v>
      </c>
      <c r="AS602" s="13" t="s">
        <v>16226</v>
      </c>
      <c r="AT602" s="13" t="s">
        <v>2738</v>
      </c>
      <c r="AU602" s="13">
        <v>2008.0</v>
      </c>
      <c r="AV602" s="13">
        <v>11.0</v>
      </c>
      <c r="AW602" s="13">
        <v>1.0</v>
      </c>
      <c r="AX602" s="13" t="s">
        <v>5510</v>
      </c>
      <c r="AY602" s="13" t="s">
        <v>5510</v>
      </c>
      <c r="AZ602" s="13" t="s">
        <v>5510</v>
      </c>
      <c r="BA602" s="13" t="s">
        <v>5510</v>
      </c>
      <c r="BB602" s="13">
        <v>38.0</v>
      </c>
      <c r="BC602" s="13">
        <v>45.0</v>
      </c>
      <c r="BD602" s="13" t="s">
        <v>5510</v>
      </c>
      <c r="BE602" s="13" t="s">
        <v>16227</v>
      </c>
      <c r="BF602" s="52" t="str">
        <f>HYPERLINK("http://dx.doi.org/10.1016/j.envsci.2007.07.002","http://dx.doi.org/10.1016/j.envsci.2007.07.002")</f>
        <v>http://dx.doi.org/10.1016/j.envsci.2007.07.002</v>
      </c>
      <c r="BG602" s="13" t="s">
        <v>5510</v>
      </c>
      <c r="BH602" s="13" t="s">
        <v>5510</v>
      </c>
      <c r="BI602" s="13">
        <v>8.0</v>
      </c>
      <c r="BJ602" s="13" t="s">
        <v>5768</v>
      </c>
      <c r="BK602" s="13" t="s">
        <v>5561</v>
      </c>
      <c r="BL602" s="13" t="s">
        <v>5535</v>
      </c>
      <c r="BM602" s="13" t="s">
        <v>16228</v>
      </c>
      <c r="BN602" s="13" t="s">
        <v>5510</v>
      </c>
      <c r="BO602" s="13" t="s">
        <v>5510</v>
      </c>
      <c r="BP602" s="13" t="s">
        <v>5510</v>
      </c>
      <c r="BQ602" s="13" t="s">
        <v>5510</v>
      </c>
      <c r="BR602" s="13" t="s">
        <v>5538</v>
      </c>
      <c r="BS602" s="13" t="s">
        <v>16229</v>
      </c>
      <c r="BT602" s="13">
        <v>23125.0</v>
      </c>
      <c r="BU602" s="13" t="s">
        <v>5540</v>
      </c>
      <c r="BV602" s="13" t="s">
        <v>4856</v>
      </c>
      <c r="BW602" s="13" t="str">
        <f>VLOOKUP($BT602,Enriched!$A$2:$E$1070,5,false)</f>
        <v>["Residential &amp; Commercial Development", "Agriculture &amp; Aquaculture"]</v>
      </c>
      <c r="BX602" s="13" t="str">
        <f>VLOOKUP($BT602,Enriched!$A$2:$E$1070,4,false)</f>
        <v>["Housing &amp; urban area", "Commercial &amp; industrial areas", "Annual &amp; perennial non-timber crops", "Livestock farming &amp; ranching"]</v>
      </c>
      <c r="BY602" s="13" t="b">
        <f>VLOOKUP(BT602,Enriched!$A$1:$AA$1070,27,falsE)</f>
        <v>0</v>
      </c>
      <c r="BZ602" s="2" t="str">
        <f>VLOOKUP(BT602,Enriched!$A$1:$AA$1070,14,falsE)</f>
        <v>level2</v>
      </c>
      <c r="CA602" s="13" t="str">
        <f>HYPERLINK("https%3A%2F%2Fwww.webofscience.com%2Fwos%2Fwoscc%2Ffull-record%2FWOS:000253618600004","View Full Record in Web of Science")</f>
        <v>View Full Record in Web of Science</v>
      </c>
    </row>
    <row r="603" ht="12.75" customHeight="1">
      <c r="A603" s="13" t="s">
        <v>5508</v>
      </c>
      <c r="B603" s="13" t="s">
        <v>16230</v>
      </c>
      <c r="C603" s="13" t="s">
        <v>5510</v>
      </c>
      <c r="D603" s="13" t="s">
        <v>5510</v>
      </c>
      <c r="E603" s="13" t="s">
        <v>5510</v>
      </c>
      <c r="F603" s="13" t="s">
        <v>16231</v>
      </c>
      <c r="G603" s="13" t="s">
        <v>5510</v>
      </c>
      <c r="H603" s="13" t="s">
        <v>5510</v>
      </c>
      <c r="I603" s="13" t="s">
        <v>1184</v>
      </c>
      <c r="J603" s="13" t="s">
        <v>5746</v>
      </c>
      <c r="K603" s="13" t="s">
        <v>5510</v>
      </c>
      <c r="L603" s="13" t="s">
        <v>5510</v>
      </c>
      <c r="M603" s="13" t="s">
        <v>5513</v>
      </c>
      <c r="N603" s="13" t="s">
        <v>5514</v>
      </c>
      <c r="O603" s="13" t="s">
        <v>5510</v>
      </c>
      <c r="P603" s="13" t="s">
        <v>5510</v>
      </c>
      <c r="Q603" s="13" t="s">
        <v>5510</v>
      </c>
      <c r="R603" s="13" t="s">
        <v>5510</v>
      </c>
      <c r="S603" s="13" t="s">
        <v>5510</v>
      </c>
      <c r="T603" s="13" t="s">
        <v>16232</v>
      </c>
      <c r="U603" s="13" t="s">
        <v>16233</v>
      </c>
      <c r="V603" s="13" t="s">
        <v>16234</v>
      </c>
      <c r="W603" s="13" t="s">
        <v>16235</v>
      </c>
      <c r="X603" s="13" t="s">
        <v>16236</v>
      </c>
      <c r="Y603" s="13" t="s">
        <v>16237</v>
      </c>
      <c r="Z603" s="13" t="s">
        <v>16238</v>
      </c>
      <c r="AA603" s="13" t="s">
        <v>16239</v>
      </c>
      <c r="AB603" s="13" t="s">
        <v>16240</v>
      </c>
      <c r="AC603" s="13" t="s">
        <v>16241</v>
      </c>
      <c r="AD603" s="13" t="s">
        <v>16242</v>
      </c>
      <c r="AE603" s="13" t="s">
        <v>16243</v>
      </c>
      <c r="AF603" s="13" t="s">
        <v>5510</v>
      </c>
      <c r="AG603" s="13">
        <v>146.0</v>
      </c>
      <c r="AH603" s="13">
        <v>24.0</v>
      </c>
      <c r="AI603" s="13">
        <v>26.0</v>
      </c>
      <c r="AJ603" s="13">
        <v>2.0</v>
      </c>
      <c r="AK603" s="13">
        <v>81.0</v>
      </c>
      <c r="AL603" s="13" t="s">
        <v>5759</v>
      </c>
      <c r="AM603" s="13" t="s">
        <v>5760</v>
      </c>
      <c r="AN603" s="13" t="s">
        <v>5761</v>
      </c>
      <c r="AO603" s="13" t="s">
        <v>5762</v>
      </c>
      <c r="AP603" s="13" t="s">
        <v>5763</v>
      </c>
      <c r="AQ603" s="13" t="s">
        <v>5510</v>
      </c>
      <c r="AR603" s="13" t="s">
        <v>5764</v>
      </c>
      <c r="AS603" s="13" t="s">
        <v>5765</v>
      </c>
      <c r="AT603" s="13" t="s">
        <v>9956</v>
      </c>
      <c r="AU603" s="13">
        <v>2020.0</v>
      </c>
      <c r="AV603" s="13">
        <v>704.0</v>
      </c>
      <c r="AW603" s="13" t="s">
        <v>5510</v>
      </c>
      <c r="AX603" s="13" t="s">
        <v>5510</v>
      </c>
      <c r="AY603" s="13" t="s">
        <v>5510</v>
      </c>
      <c r="AZ603" s="13" t="s">
        <v>5510</v>
      </c>
      <c r="BA603" s="13" t="s">
        <v>5510</v>
      </c>
      <c r="BB603" s="13" t="s">
        <v>5510</v>
      </c>
      <c r="BC603" s="13" t="s">
        <v>5510</v>
      </c>
      <c r="BD603" s="13">
        <v>135431.0</v>
      </c>
      <c r="BE603" s="13" t="s">
        <v>16244</v>
      </c>
      <c r="BF603" s="52" t="str">
        <f>HYPERLINK("http://dx.doi.org/10.1016/j.scitotenv.2019.135431","http://dx.doi.org/10.1016/j.scitotenv.2019.135431")</f>
        <v>http://dx.doi.org/10.1016/j.scitotenv.2019.135431</v>
      </c>
      <c r="BG603" s="13" t="s">
        <v>5510</v>
      </c>
      <c r="BH603" s="13" t="s">
        <v>5510</v>
      </c>
      <c r="BI603" s="13">
        <v>12.0</v>
      </c>
      <c r="BJ603" s="13" t="s">
        <v>5768</v>
      </c>
      <c r="BK603" s="13" t="s">
        <v>5561</v>
      </c>
      <c r="BL603" s="13" t="s">
        <v>5535</v>
      </c>
      <c r="BM603" s="13" t="s">
        <v>9958</v>
      </c>
      <c r="BN603" s="13">
        <v>3.1896231E7</v>
      </c>
      <c r="BO603" s="13" t="s">
        <v>5510</v>
      </c>
      <c r="BP603" s="13" t="s">
        <v>5510</v>
      </c>
      <c r="BQ603" s="13" t="s">
        <v>5510</v>
      </c>
      <c r="BR603" s="13" t="s">
        <v>5538</v>
      </c>
      <c r="BS603" s="13" t="s">
        <v>16245</v>
      </c>
      <c r="BT603" s="13">
        <v>23362.0</v>
      </c>
      <c r="BU603" s="13" t="s">
        <v>5540</v>
      </c>
      <c r="BV603" s="13" t="s">
        <v>4852</v>
      </c>
      <c r="BW603" s="13" t="str">
        <f>VLOOKUP($BT603,Enriched!$A$2:$E$1070,5,false)</f>
        <v>["Pollution"]</v>
      </c>
      <c r="BX603" s="13" t="str">
        <f>VLOOKUP($BT603,Enriched!$A$2:$E$1070,4,false)</f>
        <v>["Domestic &amp; urban waste water", "Agricultural &amp; forestry effluents"]</v>
      </c>
      <c r="BY603" s="13" t="b">
        <f>VLOOKUP(BT603,Enriched!$A$1:$AA$1070,27,falsE)</f>
        <v>0</v>
      </c>
      <c r="BZ603" s="2" t="str">
        <f>VLOOKUP(BT603,Enriched!$A$1:$AA$1070,14,falsE)</f>
        <v>level1</v>
      </c>
      <c r="CA603" s="13" t="str">
        <f>HYPERLINK("https%3A%2F%2Fwww.webofscience.com%2Fwos%2Fwoscc%2Ffull-record%2FWOS:000504672800060","View Full Record in Web of Science")</f>
        <v>View Full Record in Web of Science</v>
      </c>
    </row>
    <row r="604" ht="12.75" customHeight="1">
      <c r="A604" s="13" t="s">
        <v>5508</v>
      </c>
      <c r="B604" s="13" t="s">
        <v>16246</v>
      </c>
      <c r="C604" s="13" t="s">
        <v>5510</v>
      </c>
      <c r="D604" s="13" t="s">
        <v>5510</v>
      </c>
      <c r="E604" s="13" t="s">
        <v>5510</v>
      </c>
      <c r="F604" s="13" t="s">
        <v>16247</v>
      </c>
      <c r="G604" s="13" t="s">
        <v>5510</v>
      </c>
      <c r="H604" s="13" t="s">
        <v>5510</v>
      </c>
      <c r="I604" s="13" t="s">
        <v>16248</v>
      </c>
      <c r="J604" s="13" t="s">
        <v>7569</v>
      </c>
      <c r="K604" s="13" t="s">
        <v>5510</v>
      </c>
      <c r="L604" s="13" t="s">
        <v>5510</v>
      </c>
      <c r="M604" s="13" t="s">
        <v>5513</v>
      </c>
      <c r="N604" s="13" t="s">
        <v>5514</v>
      </c>
      <c r="O604" s="13" t="s">
        <v>5510</v>
      </c>
      <c r="P604" s="13" t="s">
        <v>5510</v>
      </c>
      <c r="Q604" s="13" t="s">
        <v>5510</v>
      </c>
      <c r="R604" s="13" t="s">
        <v>5510</v>
      </c>
      <c r="S604" s="13" t="s">
        <v>5510</v>
      </c>
      <c r="T604" s="13" t="s">
        <v>16249</v>
      </c>
      <c r="U604" s="13" t="s">
        <v>16250</v>
      </c>
      <c r="V604" s="13" t="s">
        <v>16251</v>
      </c>
      <c r="W604" s="13" t="s">
        <v>16252</v>
      </c>
      <c r="X604" s="13" t="s">
        <v>16253</v>
      </c>
      <c r="Y604" s="13" t="s">
        <v>16254</v>
      </c>
      <c r="Z604" s="13" t="s">
        <v>16255</v>
      </c>
      <c r="AA604" s="13" t="s">
        <v>16256</v>
      </c>
      <c r="AB604" s="13" t="s">
        <v>16257</v>
      </c>
      <c r="AC604" s="13" t="s">
        <v>16258</v>
      </c>
      <c r="AD604" s="13" t="s">
        <v>16259</v>
      </c>
      <c r="AE604" s="13" t="s">
        <v>16260</v>
      </c>
      <c r="AF604" s="13" t="s">
        <v>5510</v>
      </c>
      <c r="AG604" s="13">
        <v>89.0</v>
      </c>
      <c r="AH604" s="13">
        <v>45.0</v>
      </c>
      <c r="AI604" s="13">
        <v>48.0</v>
      </c>
      <c r="AJ604" s="13">
        <v>2.0</v>
      </c>
      <c r="AK604" s="13">
        <v>91.0</v>
      </c>
      <c r="AL604" s="13" t="s">
        <v>6849</v>
      </c>
      <c r="AM604" s="13" t="s">
        <v>6850</v>
      </c>
      <c r="AN604" s="13" t="s">
        <v>6851</v>
      </c>
      <c r="AO604" s="13" t="s">
        <v>5510</v>
      </c>
      <c r="AP604" s="13" t="s">
        <v>7582</v>
      </c>
      <c r="AQ604" s="13" t="s">
        <v>5510</v>
      </c>
      <c r="AR604" s="13" t="s">
        <v>7583</v>
      </c>
      <c r="AS604" s="13" t="s">
        <v>7584</v>
      </c>
      <c r="AT604" s="13" t="s">
        <v>5582</v>
      </c>
      <c r="AU604" s="13">
        <v>2020.0</v>
      </c>
      <c r="AV604" s="13">
        <v>17.0</v>
      </c>
      <c r="AW604" s="13">
        <v>1.0</v>
      </c>
      <c r="AX604" s="13" t="s">
        <v>5510</v>
      </c>
      <c r="AY604" s="13" t="s">
        <v>5510</v>
      </c>
      <c r="AZ604" s="13" t="s">
        <v>5510</v>
      </c>
      <c r="BA604" s="13" t="s">
        <v>5510</v>
      </c>
      <c r="BB604" s="13" t="s">
        <v>5510</v>
      </c>
      <c r="BC604" s="13" t="s">
        <v>5510</v>
      </c>
      <c r="BD604" s="13">
        <v>79.0</v>
      </c>
      <c r="BE604" s="13" t="s">
        <v>16261</v>
      </c>
      <c r="BF604" s="52" t="str">
        <f>HYPERLINK("http://dx.doi.org/10.3390/ijerph17010079","http://dx.doi.org/10.3390/ijerph17010079")</f>
        <v>http://dx.doi.org/10.3390/ijerph17010079</v>
      </c>
      <c r="BG604" s="13" t="s">
        <v>5510</v>
      </c>
      <c r="BH604" s="13" t="s">
        <v>5510</v>
      </c>
      <c r="BI604" s="13">
        <v>21.0</v>
      </c>
      <c r="BJ604" s="13" t="s">
        <v>7587</v>
      </c>
      <c r="BK604" s="13" t="s">
        <v>5534</v>
      </c>
      <c r="BL604" s="13" t="s">
        <v>7588</v>
      </c>
      <c r="BM604" s="13" t="s">
        <v>16262</v>
      </c>
      <c r="BN604" s="13">
        <v>3.1861894E7</v>
      </c>
      <c r="BO604" s="13" t="s">
        <v>5564</v>
      </c>
      <c r="BP604" s="13" t="s">
        <v>5510</v>
      </c>
      <c r="BQ604" s="13" t="s">
        <v>5510</v>
      </c>
      <c r="BR604" s="13" t="s">
        <v>5538</v>
      </c>
      <c r="BS604" s="13" t="s">
        <v>16263</v>
      </c>
      <c r="BT604" s="13">
        <v>26098.0</v>
      </c>
      <c r="BU604" s="13" t="s">
        <v>5540</v>
      </c>
      <c r="BV604" s="13" t="s">
        <v>4886</v>
      </c>
      <c r="BW604" s="13" t="str">
        <f>VLOOKUP($BT604,Enriched!$A$2:$E$1070,5,false)</f>
        <v>["Residential &amp; commercial development", "Agriculture &amp; aquaculture"]</v>
      </c>
      <c r="BX604" s="13" t="str">
        <f>VLOOKUP($BT604,Enriched!$A$2:$E$1070,4,false)</f>
        <v/>
      </c>
      <c r="BY604" s="13" t="b">
        <f>VLOOKUP(BT604,Enriched!$A$1:$AA$1070,27,falsE)</f>
        <v>1</v>
      </c>
      <c r="BZ604" s="2" t="str">
        <f>VLOOKUP(BT604,Enriched!$A$1:$AA$1070,14,falsE)</f>
        <v>level1</v>
      </c>
      <c r="CA604" s="13" t="str">
        <f>HYPERLINK("https%3A%2F%2Fwww.webofscience.com%2Fwos%2Fwoscc%2Ffull-record%2FWOS:000509391500079","View Full Record in Web of Science")</f>
        <v>View Full Record in Web of Science</v>
      </c>
    </row>
    <row r="605" ht="12.75" customHeight="1">
      <c r="A605" s="13" t="s">
        <v>5508</v>
      </c>
      <c r="B605" s="13" t="s">
        <v>16264</v>
      </c>
      <c r="C605" s="13" t="s">
        <v>5510</v>
      </c>
      <c r="D605" s="13" t="s">
        <v>5510</v>
      </c>
      <c r="E605" s="13" t="s">
        <v>5510</v>
      </c>
      <c r="F605" s="13" t="s">
        <v>16265</v>
      </c>
      <c r="G605" s="13" t="s">
        <v>5510</v>
      </c>
      <c r="H605" s="13" t="s">
        <v>5510</v>
      </c>
      <c r="I605" s="13" t="s">
        <v>1178</v>
      </c>
      <c r="J605" s="13" t="s">
        <v>46</v>
      </c>
      <c r="K605" s="13" t="s">
        <v>5510</v>
      </c>
      <c r="L605" s="13" t="s">
        <v>5510</v>
      </c>
      <c r="M605" s="13" t="s">
        <v>5513</v>
      </c>
      <c r="N605" s="13" t="s">
        <v>5514</v>
      </c>
      <c r="O605" s="13" t="s">
        <v>5510</v>
      </c>
      <c r="P605" s="13" t="s">
        <v>5510</v>
      </c>
      <c r="Q605" s="13" t="s">
        <v>5510</v>
      </c>
      <c r="R605" s="13" t="s">
        <v>5510</v>
      </c>
      <c r="S605" s="13" t="s">
        <v>5510</v>
      </c>
      <c r="T605" s="13" t="s">
        <v>16266</v>
      </c>
      <c r="U605" s="13" t="s">
        <v>16267</v>
      </c>
      <c r="V605" s="13" t="s">
        <v>16268</v>
      </c>
      <c r="W605" s="13" t="s">
        <v>16269</v>
      </c>
      <c r="X605" s="13" t="s">
        <v>16270</v>
      </c>
      <c r="Y605" s="13" t="s">
        <v>16271</v>
      </c>
      <c r="Z605" s="13" t="s">
        <v>16272</v>
      </c>
      <c r="AA605" s="13" t="s">
        <v>16273</v>
      </c>
      <c r="AB605" s="13" t="s">
        <v>5510</v>
      </c>
      <c r="AC605" s="13" t="s">
        <v>16274</v>
      </c>
      <c r="AD605" s="13" t="s">
        <v>16275</v>
      </c>
      <c r="AE605" s="13" t="s">
        <v>16276</v>
      </c>
      <c r="AF605" s="13" t="s">
        <v>5510</v>
      </c>
      <c r="AG605" s="13">
        <v>28.0</v>
      </c>
      <c r="AH605" s="13">
        <v>14.0</v>
      </c>
      <c r="AI605" s="13">
        <v>16.0</v>
      </c>
      <c r="AJ605" s="13">
        <v>0.0</v>
      </c>
      <c r="AK605" s="13">
        <v>15.0</v>
      </c>
      <c r="AL605" s="13" t="s">
        <v>7065</v>
      </c>
      <c r="AM605" s="13" t="s">
        <v>6503</v>
      </c>
      <c r="AN605" s="13" t="s">
        <v>7066</v>
      </c>
      <c r="AO605" s="13" t="s">
        <v>7734</v>
      </c>
      <c r="AP605" s="13" t="s">
        <v>7735</v>
      </c>
      <c r="AQ605" s="13" t="s">
        <v>5510</v>
      </c>
      <c r="AR605" s="13" t="s">
        <v>46</v>
      </c>
      <c r="AS605" s="13" t="s">
        <v>1196</v>
      </c>
      <c r="AT605" s="13" t="s">
        <v>5667</v>
      </c>
      <c r="AU605" s="13">
        <v>2018.0</v>
      </c>
      <c r="AV605" s="13">
        <v>52.0</v>
      </c>
      <c r="AW605" s="13">
        <v>3.0</v>
      </c>
      <c r="AX605" s="13" t="s">
        <v>5510</v>
      </c>
      <c r="AY605" s="13" t="s">
        <v>5510</v>
      </c>
      <c r="AZ605" s="13" t="s">
        <v>5510</v>
      </c>
      <c r="BA605" s="13" t="s">
        <v>5510</v>
      </c>
      <c r="BB605" s="13">
        <v>544.0</v>
      </c>
      <c r="BC605" s="13">
        <v>551.0</v>
      </c>
      <c r="BD605" s="13" t="s">
        <v>5510</v>
      </c>
      <c r="BE605" s="13" t="s">
        <v>16277</v>
      </c>
      <c r="BF605" s="52" t="str">
        <f>HYPERLINK("http://dx.doi.org/10.1017/S0030605316001125","http://dx.doi.org/10.1017/S0030605316001125")</f>
        <v>http://dx.doi.org/10.1017/S0030605316001125</v>
      </c>
      <c r="BG605" s="13" t="s">
        <v>5510</v>
      </c>
      <c r="BH605" s="13" t="s">
        <v>5510</v>
      </c>
      <c r="BI605" s="13">
        <v>8.0</v>
      </c>
      <c r="BJ605" s="13" t="s">
        <v>5958</v>
      </c>
      <c r="BK605" s="13" t="s">
        <v>5561</v>
      </c>
      <c r="BL605" s="13" t="s">
        <v>5699</v>
      </c>
      <c r="BM605" s="13" t="s">
        <v>16278</v>
      </c>
      <c r="BN605" s="13" t="s">
        <v>5510</v>
      </c>
      <c r="BO605" s="13" t="s">
        <v>5587</v>
      </c>
      <c r="BP605" s="13" t="s">
        <v>5510</v>
      </c>
      <c r="BQ605" s="13" t="s">
        <v>5510</v>
      </c>
      <c r="BR605" s="13" t="s">
        <v>5538</v>
      </c>
      <c r="BS605" s="13" t="s">
        <v>16279</v>
      </c>
      <c r="BT605" s="13">
        <v>25138.0</v>
      </c>
      <c r="BU605" s="13" t="s">
        <v>5540</v>
      </c>
      <c r="BV605" s="13" t="s">
        <v>4856</v>
      </c>
      <c r="BW605" s="13" t="str">
        <f>VLOOKUP($BT605,Enriched!$A$2:$E$1070,5,false)</f>
        <v>["Agriculture &amp; Aquaculture", "Natural System Modifications"]</v>
      </c>
      <c r="BX605" s="13" t="str">
        <f>VLOOKUP($BT605,Enriched!$A$2:$E$1070,4,false)</f>
        <v>["Livestock farming &amp; ranching", "Fire &amp; fire suppression"]</v>
      </c>
      <c r="BY605" s="13" t="b">
        <f>VLOOKUP(BT605,Enriched!$A$1:$AA$1070,27,falsE)</f>
        <v>0</v>
      </c>
      <c r="BZ605" s="2" t="str">
        <f>VLOOKUP(BT605,Enriched!$A$1:$AA$1070,14,falsE)</f>
        <v>level2</v>
      </c>
      <c r="CA605" s="13" t="str">
        <f>HYPERLINK("https%3A%2F%2Fwww.webofscience.com%2Fwos%2Fwoscc%2Ffull-record%2FWOS:000450342900026","View Full Record in Web of Science")</f>
        <v>View Full Record in Web of Science</v>
      </c>
    </row>
    <row r="606" ht="12.75" customHeight="1">
      <c r="A606" s="13" t="s">
        <v>5508</v>
      </c>
      <c r="B606" s="13" t="s">
        <v>16280</v>
      </c>
      <c r="C606" s="13" t="s">
        <v>5510</v>
      </c>
      <c r="D606" s="13" t="s">
        <v>5510</v>
      </c>
      <c r="E606" s="13" t="s">
        <v>5510</v>
      </c>
      <c r="F606" s="13" t="s">
        <v>16281</v>
      </c>
      <c r="G606" s="13" t="s">
        <v>5510</v>
      </c>
      <c r="H606" s="13" t="s">
        <v>5510</v>
      </c>
      <c r="I606" s="13" t="s">
        <v>1176</v>
      </c>
      <c r="J606" s="13" t="s">
        <v>5677</v>
      </c>
      <c r="K606" s="13" t="s">
        <v>5510</v>
      </c>
      <c r="L606" s="13" t="s">
        <v>5510</v>
      </c>
      <c r="M606" s="13" t="s">
        <v>5513</v>
      </c>
      <c r="N606" s="13" t="s">
        <v>5514</v>
      </c>
      <c r="O606" s="13" t="s">
        <v>5510</v>
      </c>
      <c r="P606" s="13" t="s">
        <v>5510</v>
      </c>
      <c r="Q606" s="13" t="s">
        <v>5510</v>
      </c>
      <c r="R606" s="13" t="s">
        <v>5510</v>
      </c>
      <c r="S606" s="13" t="s">
        <v>5510</v>
      </c>
      <c r="T606" s="13" t="s">
        <v>16282</v>
      </c>
      <c r="U606" s="13" t="s">
        <v>16283</v>
      </c>
      <c r="V606" s="13" t="s">
        <v>16284</v>
      </c>
      <c r="W606" s="13" t="s">
        <v>16285</v>
      </c>
      <c r="X606" s="13" t="s">
        <v>16286</v>
      </c>
      <c r="Y606" s="13" t="s">
        <v>16287</v>
      </c>
      <c r="Z606" s="13" t="s">
        <v>16288</v>
      </c>
      <c r="AA606" s="13" t="s">
        <v>5510</v>
      </c>
      <c r="AB606" s="13" t="s">
        <v>16289</v>
      </c>
      <c r="AC606" s="13" t="s">
        <v>5510</v>
      </c>
      <c r="AD606" s="13" t="s">
        <v>5510</v>
      </c>
      <c r="AE606" s="13" t="s">
        <v>5510</v>
      </c>
      <c r="AF606" s="13" t="s">
        <v>5510</v>
      </c>
      <c r="AG606" s="13">
        <v>53.0</v>
      </c>
      <c r="AH606" s="13">
        <v>33.0</v>
      </c>
      <c r="AI606" s="13">
        <v>40.0</v>
      </c>
      <c r="AJ606" s="13">
        <v>3.0</v>
      </c>
      <c r="AK606" s="13">
        <v>42.0</v>
      </c>
      <c r="AL606" s="13" t="s">
        <v>5690</v>
      </c>
      <c r="AM606" s="13" t="s">
        <v>5691</v>
      </c>
      <c r="AN606" s="13" t="s">
        <v>5692</v>
      </c>
      <c r="AO606" s="13" t="s">
        <v>5693</v>
      </c>
      <c r="AP606" s="13" t="s">
        <v>5694</v>
      </c>
      <c r="AQ606" s="13" t="s">
        <v>5510</v>
      </c>
      <c r="AR606" s="13" t="s">
        <v>5695</v>
      </c>
      <c r="AS606" s="13" t="s">
        <v>5696</v>
      </c>
      <c r="AT606" s="13" t="s">
        <v>5582</v>
      </c>
      <c r="AU606" s="13">
        <v>2019.0</v>
      </c>
      <c r="AV606" s="13">
        <v>28.0</v>
      </c>
      <c r="AW606" s="13">
        <v>1.0</v>
      </c>
      <c r="AX606" s="13" t="s">
        <v>5510</v>
      </c>
      <c r="AY606" s="13" t="s">
        <v>5510</v>
      </c>
      <c r="AZ606" s="13" t="s">
        <v>5510</v>
      </c>
      <c r="BA606" s="13" t="s">
        <v>5510</v>
      </c>
      <c r="BB606" s="13">
        <v>1.0</v>
      </c>
      <c r="BC606" s="13">
        <v>19.0</v>
      </c>
      <c r="BD606" s="13" t="s">
        <v>5510</v>
      </c>
      <c r="BE606" s="13" t="s">
        <v>16290</v>
      </c>
      <c r="BF606" s="52" t="str">
        <f>HYPERLINK("http://dx.doi.org/10.1007/s10531-018-1632-9","http://dx.doi.org/10.1007/s10531-018-1632-9")</f>
        <v>http://dx.doi.org/10.1007/s10531-018-1632-9</v>
      </c>
      <c r="BG606" s="13" t="s">
        <v>5510</v>
      </c>
      <c r="BH606" s="13" t="s">
        <v>5510</v>
      </c>
      <c r="BI606" s="13">
        <v>19.0</v>
      </c>
      <c r="BJ606" s="13" t="s">
        <v>5698</v>
      </c>
      <c r="BK606" s="13" t="s">
        <v>5561</v>
      </c>
      <c r="BL606" s="13" t="s">
        <v>5699</v>
      </c>
      <c r="BM606" s="13" t="s">
        <v>16291</v>
      </c>
      <c r="BN606" s="13" t="s">
        <v>5510</v>
      </c>
      <c r="BO606" s="13" t="s">
        <v>5510</v>
      </c>
      <c r="BP606" s="13" t="s">
        <v>5510</v>
      </c>
      <c r="BQ606" s="13" t="s">
        <v>5510</v>
      </c>
      <c r="BR606" s="13" t="s">
        <v>5538</v>
      </c>
      <c r="BS606" s="13" t="s">
        <v>16292</v>
      </c>
      <c r="BT606" s="13">
        <v>24310.0</v>
      </c>
      <c r="BU606" s="13" t="s">
        <v>5540</v>
      </c>
      <c r="BV606" s="13" t="s">
        <v>4856</v>
      </c>
      <c r="BW606" s="13" t="str">
        <f>VLOOKUP($BT606,Enriched!$A$2:$E$1070,5,false)</f>
        <v>["Biological resource use"]</v>
      </c>
      <c r="BX606" s="13" t="str">
        <f>VLOOKUP($BT606,Enriched!$A$2:$E$1070,4,false)</f>
        <v>["Hunting &amp; collecting terrestrial animals"]</v>
      </c>
      <c r="BY606" s="13" t="b">
        <f>VLOOKUP(BT606,Enriched!$A$1:$AA$1070,27,falsE)</f>
        <v>0</v>
      </c>
      <c r="BZ606" s="2" t="str">
        <f>VLOOKUP(BT606,Enriched!$A$1:$AA$1070,14,falsE)</f>
        <v>level2</v>
      </c>
      <c r="CA606" s="13" t="str">
        <f>HYPERLINK("https%3A%2F%2Fwww.webofscience.com%2Fwos%2Fwoscc%2Ffull-record%2FWOS:000454776800001","View Full Record in Web of Science")</f>
        <v>View Full Record in Web of Science</v>
      </c>
    </row>
    <row r="607" ht="12.75" customHeight="1">
      <c r="A607" s="13" t="s">
        <v>5508</v>
      </c>
      <c r="B607" s="13" t="s">
        <v>16293</v>
      </c>
      <c r="C607" s="13" t="s">
        <v>5510</v>
      </c>
      <c r="D607" s="13" t="s">
        <v>5510</v>
      </c>
      <c r="E607" s="13" t="s">
        <v>5510</v>
      </c>
      <c r="F607" s="13" t="s">
        <v>16294</v>
      </c>
      <c r="G607" s="13" t="s">
        <v>5510</v>
      </c>
      <c r="H607" s="13" t="s">
        <v>5510</v>
      </c>
      <c r="I607" s="13" t="s">
        <v>16295</v>
      </c>
      <c r="J607" s="13" t="s">
        <v>5543</v>
      </c>
      <c r="K607" s="13" t="s">
        <v>5510</v>
      </c>
      <c r="L607" s="13" t="s">
        <v>5510</v>
      </c>
      <c r="M607" s="13" t="s">
        <v>5513</v>
      </c>
      <c r="N607" s="13" t="s">
        <v>5514</v>
      </c>
      <c r="O607" s="13" t="s">
        <v>5510</v>
      </c>
      <c r="P607" s="13" t="s">
        <v>5510</v>
      </c>
      <c r="Q607" s="13" t="s">
        <v>5510</v>
      </c>
      <c r="R607" s="13" t="s">
        <v>5510</v>
      </c>
      <c r="S607" s="13" t="s">
        <v>5510</v>
      </c>
      <c r="T607" s="13" t="s">
        <v>5510</v>
      </c>
      <c r="U607" s="13" t="s">
        <v>16296</v>
      </c>
      <c r="V607" s="13" t="s">
        <v>16297</v>
      </c>
      <c r="W607" s="13" t="s">
        <v>16298</v>
      </c>
      <c r="X607" s="13" t="s">
        <v>16299</v>
      </c>
      <c r="Y607" s="13" t="s">
        <v>16300</v>
      </c>
      <c r="Z607" s="13" t="s">
        <v>16301</v>
      </c>
      <c r="AA607" s="13" t="s">
        <v>16302</v>
      </c>
      <c r="AB607" s="13" t="s">
        <v>16303</v>
      </c>
      <c r="AC607" s="13" t="s">
        <v>16304</v>
      </c>
      <c r="AD607" s="13" t="s">
        <v>16304</v>
      </c>
      <c r="AE607" s="13" t="s">
        <v>16305</v>
      </c>
      <c r="AF607" s="13" t="s">
        <v>5510</v>
      </c>
      <c r="AG607" s="13">
        <v>61.0</v>
      </c>
      <c r="AH607" s="13">
        <v>26.0</v>
      </c>
      <c r="AI607" s="13">
        <v>30.0</v>
      </c>
      <c r="AJ607" s="13">
        <v>1.0</v>
      </c>
      <c r="AK607" s="13">
        <v>42.0</v>
      </c>
      <c r="AL607" s="13" t="s">
        <v>5552</v>
      </c>
      <c r="AM607" s="13" t="s">
        <v>5553</v>
      </c>
      <c r="AN607" s="13" t="s">
        <v>5554</v>
      </c>
      <c r="AO607" s="13" t="s">
        <v>5555</v>
      </c>
      <c r="AP607" s="13" t="s">
        <v>5510</v>
      </c>
      <c r="AQ607" s="13" t="s">
        <v>5510</v>
      </c>
      <c r="AR607" s="13" t="s">
        <v>5543</v>
      </c>
      <c r="AS607" s="13" t="s">
        <v>5556</v>
      </c>
      <c r="AT607" s="13" t="s">
        <v>5766</v>
      </c>
      <c r="AU607" s="13">
        <v>2015.0</v>
      </c>
      <c r="AV607" s="13">
        <v>10.0</v>
      </c>
      <c r="AW607" s="13">
        <v>5.0</v>
      </c>
      <c r="AX607" s="13" t="s">
        <v>5510</v>
      </c>
      <c r="AY607" s="13" t="s">
        <v>5510</v>
      </c>
      <c r="AZ607" s="13" t="s">
        <v>5510</v>
      </c>
      <c r="BA607" s="13" t="s">
        <v>5510</v>
      </c>
      <c r="BB607" s="13" t="s">
        <v>5510</v>
      </c>
      <c r="BC607" s="13" t="s">
        <v>5510</v>
      </c>
      <c r="BD607" s="13" t="s">
        <v>16306</v>
      </c>
      <c r="BE607" s="13" t="s">
        <v>16307</v>
      </c>
      <c r="BF607" s="52" t="str">
        <f>HYPERLINK("http://dx.doi.org/10.1371/journal.pone.0122995","http://dx.doi.org/10.1371/journal.pone.0122995")</f>
        <v>http://dx.doi.org/10.1371/journal.pone.0122995</v>
      </c>
      <c r="BG607" s="13" t="s">
        <v>5510</v>
      </c>
      <c r="BH607" s="13" t="s">
        <v>5510</v>
      </c>
      <c r="BI607" s="13">
        <v>20.0</v>
      </c>
      <c r="BJ607" s="13" t="s">
        <v>5560</v>
      </c>
      <c r="BK607" s="13" t="s">
        <v>5561</v>
      </c>
      <c r="BL607" s="13" t="s">
        <v>5562</v>
      </c>
      <c r="BM607" s="13" t="s">
        <v>16308</v>
      </c>
      <c r="BN607" s="13">
        <v>2.59928E7</v>
      </c>
      <c r="BO607" s="13" t="s">
        <v>5564</v>
      </c>
      <c r="BP607" s="13" t="s">
        <v>5510</v>
      </c>
      <c r="BQ607" s="13" t="s">
        <v>5510</v>
      </c>
      <c r="BR607" s="13" t="s">
        <v>5538</v>
      </c>
      <c r="BS607" s="13" t="s">
        <v>16309</v>
      </c>
      <c r="BT607" s="13">
        <v>24297.0</v>
      </c>
      <c r="BU607" s="13" t="s">
        <v>5540</v>
      </c>
      <c r="BV607" s="13" t="s">
        <v>4864</v>
      </c>
      <c r="BW607" s="13" t="str">
        <f>VLOOKUP($BT607,Enriched!$A$2:$E$1070,5,false)</f>
        <v>["Biological resource use"]</v>
      </c>
      <c r="BX607" s="13" t="str">
        <f>VLOOKUP($BT607,Enriched!$A$2:$E$1070,4,false)</f>
        <v>["Fishing &amp; harvesting aquatic resources"]</v>
      </c>
      <c r="BY607" s="13" t="b">
        <f>VLOOKUP(BT607,Enriched!$A$1:$AA$1070,27,falsE)</f>
        <v>0</v>
      </c>
      <c r="BZ607" s="2" t="str">
        <f>VLOOKUP(BT607,Enriched!$A$1:$AA$1070,14,falsE)</f>
        <v>level2</v>
      </c>
      <c r="CA607" s="13" t="str">
        <f>HYPERLINK("https%3A%2F%2Fwww.webofscience.com%2Fwos%2Fwoscc%2Ffull-record%2FWOS:000354921400008","View Full Record in Web of Science")</f>
        <v>View Full Record in Web of Science</v>
      </c>
    </row>
    <row r="608" ht="12.75" customHeight="1">
      <c r="A608" s="13" t="s">
        <v>5508</v>
      </c>
      <c r="B608" s="13" t="s">
        <v>16310</v>
      </c>
      <c r="C608" s="13" t="s">
        <v>5510</v>
      </c>
      <c r="D608" s="13" t="s">
        <v>5510</v>
      </c>
      <c r="E608" s="13" t="s">
        <v>5510</v>
      </c>
      <c r="F608" s="13" t="s">
        <v>16311</v>
      </c>
      <c r="G608" s="13" t="s">
        <v>5510</v>
      </c>
      <c r="H608" s="13" t="s">
        <v>5510</v>
      </c>
      <c r="I608" s="13" t="s">
        <v>1172</v>
      </c>
      <c r="J608" s="13" t="s">
        <v>9546</v>
      </c>
      <c r="K608" s="13" t="s">
        <v>5510</v>
      </c>
      <c r="L608" s="13" t="s">
        <v>5510</v>
      </c>
      <c r="M608" s="13" t="s">
        <v>5513</v>
      </c>
      <c r="N608" s="13" t="s">
        <v>5514</v>
      </c>
      <c r="O608" s="13" t="s">
        <v>5510</v>
      </c>
      <c r="P608" s="13" t="s">
        <v>5510</v>
      </c>
      <c r="Q608" s="13" t="s">
        <v>5510</v>
      </c>
      <c r="R608" s="13" t="s">
        <v>5510</v>
      </c>
      <c r="S608" s="13" t="s">
        <v>5510</v>
      </c>
      <c r="T608" s="13" t="s">
        <v>16312</v>
      </c>
      <c r="U608" s="13" t="s">
        <v>16313</v>
      </c>
      <c r="V608" s="13" t="s">
        <v>16314</v>
      </c>
      <c r="W608" s="13" t="s">
        <v>16315</v>
      </c>
      <c r="X608" s="13" t="s">
        <v>16316</v>
      </c>
      <c r="Y608" s="13" t="s">
        <v>16317</v>
      </c>
      <c r="Z608" s="13" t="s">
        <v>16318</v>
      </c>
      <c r="AA608" s="13" t="s">
        <v>16319</v>
      </c>
      <c r="AB608" s="13" t="s">
        <v>16320</v>
      </c>
      <c r="AC608" s="13" t="s">
        <v>16321</v>
      </c>
      <c r="AD608" s="13" t="s">
        <v>16322</v>
      </c>
      <c r="AE608" s="13" t="s">
        <v>16323</v>
      </c>
      <c r="AF608" s="13" t="s">
        <v>5510</v>
      </c>
      <c r="AG608" s="13">
        <v>35.0</v>
      </c>
      <c r="AH608" s="13">
        <v>17.0</v>
      </c>
      <c r="AI608" s="13">
        <v>24.0</v>
      </c>
      <c r="AJ608" s="13">
        <v>2.0</v>
      </c>
      <c r="AK608" s="13">
        <v>47.0</v>
      </c>
      <c r="AL608" s="13" t="s">
        <v>7450</v>
      </c>
      <c r="AM608" s="13" t="s">
        <v>6046</v>
      </c>
      <c r="AN608" s="13" t="s">
        <v>7451</v>
      </c>
      <c r="AO608" s="13" t="s">
        <v>9559</v>
      </c>
      <c r="AP608" s="13" t="s">
        <v>9560</v>
      </c>
      <c r="AQ608" s="13" t="s">
        <v>5510</v>
      </c>
      <c r="AR608" s="13" t="s">
        <v>9561</v>
      </c>
      <c r="AS608" s="13" t="s">
        <v>9562</v>
      </c>
      <c r="AT608" s="13" t="s">
        <v>6089</v>
      </c>
      <c r="AU608" s="13">
        <v>2012.0</v>
      </c>
      <c r="AV608" s="13">
        <v>95.0</v>
      </c>
      <c r="AW608" s="13">
        <v>1.0</v>
      </c>
      <c r="AX608" s="13" t="s">
        <v>5510</v>
      </c>
      <c r="AY608" s="13" t="s">
        <v>5510</v>
      </c>
      <c r="AZ608" s="13" t="s">
        <v>5510</v>
      </c>
      <c r="BA608" s="13" t="s">
        <v>5510</v>
      </c>
      <c r="BB608" s="13">
        <v>9.0</v>
      </c>
      <c r="BC608" s="13">
        <v>16.0</v>
      </c>
      <c r="BD608" s="13" t="s">
        <v>5510</v>
      </c>
      <c r="BE608" s="13" t="s">
        <v>16324</v>
      </c>
      <c r="BF608" s="52" t="str">
        <f>HYPERLINK("http://dx.doi.org/10.1016/j.jenvman.2011.09.018","http://dx.doi.org/10.1016/j.jenvman.2011.09.018")</f>
        <v>http://dx.doi.org/10.1016/j.jenvman.2011.09.018</v>
      </c>
      <c r="BG608" s="13" t="s">
        <v>5510</v>
      </c>
      <c r="BH608" s="13" t="s">
        <v>5510</v>
      </c>
      <c r="BI608" s="13">
        <v>8.0</v>
      </c>
      <c r="BJ608" s="13" t="s">
        <v>5768</v>
      </c>
      <c r="BK608" s="13" t="s">
        <v>5561</v>
      </c>
      <c r="BL608" s="13" t="s">
        <v>5535</v>
      </c>
      <c r="BM608" s="13" t="s">
        <v>16325</v>
      </c>
      <c r="BN608" s="13">
        <v>2.2115506E7</v>
      </c>
      <c r="BO608" s="13" t="s">
        <v>5510</v>
      </c>
      <c r="BP608" s="13" t="s">
        <v>5510</v>
      </c>
      <c r="BQ608" s="13" t="s">
        <v>5510</v>
      </c>
      <c r="BR608" s="13" t="s">
        <v>5538</v>
      </c>
      <c r="BS608" s="13" t="s">
        <v>16326</v>
      </c>
      <c r="BT608" s="13">
        <v>25925.0</v>
      </c>
      <c r="BU608" s="13" t="s">
        <v>5540</v>
      </c>
      <c r="BV608" s="13" t="s">
        <v>4856</v>
      </c>
      <c r="BW608" s="13" t="str">
        <f>VLOOKUP($BT608,Enriched!$A$2:$E$1070,5,false)</f>
        <v>["Transportation &amp; Service Corridors", "Agriculture &amp; aquaculture"]</v>
      </c>
      <c r="BX608" s="13" t="str">
        <f>VLOOKUP($BT608,Enriched!$A$2:$E$1070,4,false)</f>
        <v>[ "Housing &amp; urban area", "Roads &amp; railroads"]</v>
      </c>
      <c r="BY608" s="13" t="b">
        <f>VLOOKUP(BT608,Enriched!$A$1:$AA$1070,27,falsE)</f>
        <v>1</v>
      </c>
      <c r="BZ608" s="2" t="str">
        <f>VLOOKUP(BT608,Enriched!$A$1:$AA$1070,14,falsE)</f>
        <v>level2</v>
      </c>
      <c r="CA608" s="13" t="str">
        <f>HYPERLINK("https%3A%2F%2Fwww.webofscience.com%2Fwos%2Fwoscc%2Ffull-record%2FWOS:000298452200002","View Full Record in Web of Science")</f>
        <v>View Full Record in Web of Science</v>
      </c>
    </row>
    <row r="609" ht="12.75" customHeight="1">
      <c r="A609" s="13" t="s">
        <v>5508</v>
      </c>
      <c r="B609" s="13" t="s">
        <v>16327</v>
      </c>
      <c r="C609" s="13" t="s">
        <v>5510</v>
      </c>
      <c r="D609" s="13" t="s">
        <v>5510</v>
      </c>
      <c r="E609" s="13" t="s">
        <v>5510</v>
      </c>
      <c r="F609" s="13" t="s">
        <v>16328</v>
      </c>
      <c r="G609" s="13" t="s">
        <v>5510</v>
      </c>
      <c r="H609" s="13" t="s">
        <v>5510</v>
      </c>
      <c r="I609" s="13" t="s">
        <v>1169</v>
      </c>
      <c r="J609" s="13" t="s">
        <v>46</v>
      </c>
      <c r="K609" s="13" t="s">
        <v>5510</v>
      </c>
      <c r="L609" s="13" t="s">
        <v>5510</v>
      </c>
      <c r="M609" s="13" t="s">
        <v>5513</v>
      </c>
      <c r="N609" s="13" t="s">
        <v>5514</v>
      </c>
      <c r="O609" s="13" t="s">
        <v>5510</v>
      </c>
      <c r="P609" s="13" t="s">
        <v>5510</v>
      </c>
      <c r="Q609" s="13" t="s">
        <v>5510</v>
      </c>
      <c r="R609" s="13" t="s">
        <v>5510</v>
      </c>
      <c r="S609" s="13" t="s">
        <v>5510</v>
      </c>
      <c r="T609" s="13" t="s">
        <v>16329</v>
      </c>
      <c r="U609" s="13" t="s">
        <v>16330</v>
      </c>
      <c r="V609" s="13" t="s">
        <v>16331</v>
      </c>
      <c r="W609" s="13" t="s">
        <v>16332</v>
      </c>
      <c r="X609" s="13" t="s">
        <v>16333</v>
      </c>
      <c r="Y609" s="13" t="s">
        <v>16334</v>
      </c>
      <c r="Z609" s="13" t="s">
        <v>16335</v>
      </c>
      <c r="AA609" s="13" t="s">
        <v>16336</v>
      </c>
      <c r="AB609" s="13" t="s">
        <v>16337</v>
      </c>
      <c r="AC609" s="13" t="s">
        <v>16338</v>
      </c>
      <c r="AD609" s="13" t="s">
        <v>16338</v>
      </c>
      <c r="AE609" s="13" t="s">
        <v>16339</v>
      </c>
      <c r="AF609" s="13" t="s">
        <v>5510</v>
      </c>
      <c r="AG609" s="13">
        <v>43.0</v>
      </c>
      <c r="AH609" s="13">
        <v>10.0</v>
      </c>
      <c r="AI609" s="13">
        <v>10.0</v>
      </c>
      <c r="AJ609" s="13">
        <v>0.0</v>
      </c>
      <c r="AK609" s="13">
        <v>35.0</v>
      </c>
      <c r="AL609" s="13" t="s">
        <v>7065</v>
      </c>
      <c r="AM609" s="13" t="s">
        <v>6503</v>
      </c>
      <c r="AN609" s="13" t="s">
        <v>7066</v>
      </c>
      <c r="AO609" s="13" t="s">
        <v>7734</v>
      </c>
      <c r="AP609" s="13" t="s">
        <v>7735</v>
      </c>
      <c r="AQ609" s="13" t="s">
        <v>5510</v>
      </c>
      <c r="AR609" s="13" t="s">
        <v>46</v>
      </c>
      <c r="AS609" s="13" t="s">
        <v>1196</v>
      </c>
      <c r="AT609" s="13" t="s">
        <v>6828</v>
      </c>
      <c r="AU609" s="13">
        <v>2017.0</v>
      </c>
      <c r="AV609" s="13">
        <v>51.0</v>
      </c>
      <c r="AW609" s="13">
        <v>2.0</v>
      </c>
      <c r="AX609" s="13" t="s">
        <v>5510</v>
      </c>
      <c r="AY609" s="13" t="s">
        <v>5510</v>
      </c>
      <c r="AZ609" s="13" t="s">
        <v>5510</v>
      </c>
      <c r="BA609" s="13" t="s">
        <v>5510</v>
      </c>
      <c r="BB609" s="13">
        <v>298.0</v>
      </c>
      <c r="BC609" s="13">
        <v>304.0</v>
      </c>
      <c r="BD609" s="13" t="s">
        <v>5510</v>
      </c>
      <c r="BE609" s="13" t="s">
        <v>16340</v>
      </c>
      <c r="BF609" s="52" t="str">
        <f>HYPERLINK("http://dx.doi.org/10.1017/S0030605315001167","http://dx.doi.org/10.1017/S0030605315001167")</f>
        <v>http://dx.doi.org/10.1017/S0030605315001167</v>
      </c>
      <c r="BG609" s="13" t="s">
        <v>5510</v>
      </c>
      <c r="BH609" s="13" t="s">
        <v>5510</v>
      </c>
      <c r="BI609" s="13">
        <v>7.0</v>
      </c>
      <c r="BJ609" s="13" t="s">
        <v>5958</v>
      </c>
      <c r="BK609" s="13" t="s">
        <v>5561</v>
      </c>
      <c r="BL609" s="13" t="s">
        <v>5699</v>
      </c>
      <c r="BM609" s="13" t="s">
        <v>16341</v>
      </c>
      <c r="BN609" s="13" t="s">
        <v>5510</v>
      </c>
      <c r="BO609" s="13" t="s">
        <v>5809</v>
      </c>
      <c r="BP609" s="13" t="s">
        <v>5510</v>
      </c>
      <c r="BQ609" s="13" t="s">
        <v>5510</v>
      </c>
      <c r="BR609" s="13" t="s">
        <v>5538</v>
      </c>
      <c r="BS609" s="13" t="s">
        <v>16342</v>
      </c>
      <c r="BT609" s="13">
        <v>25709.0</v>
      </c>
      <c r="BU609" s="13" t="s">
        <v>5540</v>
      </c>
      <c r="BV609" s="13" t="s">
        <v>4852</v>
      </c>
      <c r="BW609" s="13" t="str">
        <f>VLOOKUP($BT609,Enriched!$A$2:$E$1070,5,false)</f>
        <v>["Biological resource use"]</v>
      </c>
      <c r="BX609" s="13" t="str">
        <f>VLOOKUP($BT609,Enriched!$A$2:$E$1070,4,false)</f>
        <v>["Hunting &amp; collecting terrestrial animals"]</v>
      </c>
      <c r="BY609" s="13" t="b">
        <f>VLOOKUP(BT609,Enriched!$A$1:$AA$1070,27,falsE)</f>
        <v>0</v>
      </c>
      <c r="BZ609" s="2" t="str">
        <f>VLOOKUP(BT609,Enriched!$A$1:$AA$1070,14,falsE)</f>
        <v>level2</v>
      </c>
      <c r="CA609" s="13" t="str">
        <f>HYPERLINK("https%3A%2F%2Fwww.webofscience.com%2Fwos%2Fwoscc%2Ffull-record%2FWOS:000398521100024","View Full Record in Web of Science")</f>
        <v>View Full Record in Web of Science</v>
      </c>
    </row>
    <row r="610" ht="12.75" customHeight="1">
      <c r="A610" s="13" t="s">
        <v>5508</v>
      </c>
      <c r="B610" s="13" t="s">
        <v>16343</v>
      </c>
      <c r="C610" s="13" t="s">
        <v>5510</v>
      </c>
      <c r="D610" s="13" t="s">
        <v>5510</v>
      </c>
      <c r="E610" s="13" t="s">
        <v>5510</v>
      </c>
      <c r="F610" s="13" t="s">
        <v>16344</v>
      </c>
      <c r="G610" s="13" t="s">
        <v>5510</v>
      </c>
      <c r="H610" s="13" t="s">
        <v>5510</v>
      </c>
      <c r="I610" s="2" t="s">
        <v>1167</v>
      </c>
      <c r="J610" s="13" t="s">
        <v>8795</v>
      </c>
      <c r="K610" s="13" t="s">
        <v>5510</v>
      </c>
      <c r="L610" s="13" t="s">
        <v>5510</v>
      </c>
      <c r="M610" s="13" t="s">
        <v>5513</v>
      </c>
      <c r="N610" s="13" t="s">
        <v>5514</v>
      </c>
      <c r="O610" s="13" t="s">
        <v>5510</v>
      </c>
      <c r="P610" s="13" t="s">
        <v>5510</v>
      </c>
      <c r="Q610" s="13" t="s">
        <v>5510</v>
      </c>
      <c r="R610" s="13" t="s">
        <v>5510</v>
      </c>
      <c r="S610" s="13" t="s">
        <v>5510</v>
      </c>
      <c r="T610" s="13" t="s">
        <v>5510</v>
      </c>
      <c r="U610" s="13" t="s">
        <v>16345</v>
      </c>
      <c r="V610" s="13" t="s">
        <v>16346</v>
      </c>
      <c r="W610" s="13" t="s">
        <v>16347</v>
      </c>
      <c r="X610" s="13" t="s">
        <v>16348</v>
      </c>
      <c r="Y610" s="13" t="s">
        <v>16349</v>
      </c>
      <c r="Z610" s="13" t="s">
        <v>16350</v>
      </c>
      <c r="AA610" s="13" t="s">
        <v>16351</v>
      </c>
      <c r="AB610" s="13" t="s">
        <v>16352</v>
      </c>
      <c r="AC610" s="13" t="s">
        <v>16353</v>
      </c>
      <c r="AD610" s="13" t="s">
        <v>16354</v>
      </c>
      <c r="AE610" s="13" t="s">
        <v>16355</v>
      </c>
      <c r="AF610" s="13" t="s">
        <v>5510</v>
      </c>
      <c r="AG610" s="13">
        <v>59.0</v>
      </c>
      <c r="AH610" s="13">
        <v>10.0</v>
      </c>
      <c r="AI610" s="13">
        <v>12.0</v>
      </c>
      <c r="AJ610" s="13">
        <v>0.0</v>
      </c>
      <c r="AK610" s="13">
        <v>24.0</v>
      </c>
      <c r="AL610" s="13" t="s">
        <v>8807</v>
      </c>
      <c r="AM610" s="13" t="s">
        <v>8808</v>
      </c>
      <c r="AN610" s="13" t="s">
        <v>8809</v>
      </c>
      <c r="AO610" s="13" t="s">
        <v>8810</v>
      </c>
      <c r="AP610" s="13" t="s">
        <v>5510</v>
      </c>
      <c r="AQ610" s="13" t="s">
        <v>5510</v>
      </c>
      <c r="AR610" s="13" t="s">
        <v>8811</v>
      </c>
      <c r="AS610" s="13" t="s">
        <v>8812</v>
      </c>
      <c r="AT610" s="13" t="s">
        <v>8771</v>
      </c>
      <c r="AU610" s="13">
        <v>2020.0</v>
      </c>
      <c r="AV610" s="13">
        <v>10.0</v>
      </c>
      <c r="AW610" s="13">
        <v>1.0</v>
      </c>
      <c r="AX610" s="13" t="s">
        <v>5510</v>
      </c>
      <c r="AY610" s="13" t="s">
        <v>5510</v>
      </c>
      <c r="AZ610" s="13" t="s">
        <v>5510</v>
      </c>
      <c r="BA610" s="13" t="s">
        <v>5510</v>
      </c>
      <c r="BB610" s="13" t="s">
        <v>5510</v>
      </c>
      <c r="BC610" s="13" t="s">
        <v>5510</v>
      </c>
      <c r="BD610" s="13">
        <v>7038.0</v>
      </c>
      <c r="BE610" s="13" t="s">
        <v>16356</v>
      </c>
      <c r="BF610" s="52" t="str">
        <f>HYPERLINK("http://dx.doi.org/10.1038/s41598-020-63830-x","http://dx.doi.org/10.1038/s41598-020-63830-x")</f>
        <v>http://dx.doi.org/10.1038/s41598-020-63830-x</v>
      </c>
      <c r="BG610" s="13" t="s">
        <v>5510</v>
      </c>
      <c r="BH610" s="13" t="s">
        <v>5510</v>
      </c>
      <c r="BI610" s="13">
        <v>12.0</v>
      </c>
      <c r="BJ610" s="13" t="s">
        <v>5560</v>
      </c>
      <c r="BK610" s="13" t="s">
        <v>5534</v>
      </c>
      <c r="BL610" s="13" t="s">
        <v>5562</v>
      </c>
      <c r="BM610" s="13" t="s">
        <v>16357</v>
      </c>
      <c r="BN610" s="13">
        <v>3.2341394E7</v>
      </c>
      <c r="BO610" s="13" t="s">
        <v>5564</v>
      </c>
      <c r="BP610" s="13" t="s">
        <v>5510</v>
      </c>
      <c r="BQ610" s="13" t="s">
        <v>5510</v>
      </c>
      <c r="BR610" s="13" t="s">
        <v>5538</v>
      </c>
      <c r="BS610" s="13" t="s">
        <v>16358</v>
      </c>
      <c r="BT610" s="13">
        <v>23301.0</v>
      </c>
      <c r="BU610" s="13" t="s">
        <v>5540</v>
      </c>
      <c r="BV610" s="13" t="s">
        <v>4856</v>
      </c>
      <c r="BW610" s="13" t="str">
        <f>VLOOKUP($BT610,Enriched!$A$2:$E$1070,5,false)</f>
        <v>["Invasive &amp; other problematic species, genes &amp; diseases"]</v>
      </c>
      <c r="BX610" s="13" t="str">
        <f>VLOOKUP($BT610,Enriched!$A$2:$E$1070,4,false)</f>
        <v>["Invasive non-native/alien species/diseases"]</v>
      </c>
      <c r="BY610" s="13" t="b">
        <f>VLOOKUP(BT610,Enriched!$A$1:$AA$1070,27,falsE)</f>
        <v>0</v>
      </c>
      <c r="BZ610" s="2" t="str">
        <f>VLOOKUP(BT610,Enriched!$A$1:$AA$1070,14,falsE)</f>
        <v>level2</v>
      </c>
      <c r="CA610" s="13" t="str">
        <f>HYPERLINK("https%3A%2F%2Fwww.webofscience.com%2Fwos%2Fwoscc%2Ffull-record%2FWOS:000530731300012","View Full Record in Web of Science")</f>
        <v>View Full Record in Web of Science</v>
      </c>
    </row>
    <row r="611" ht="12.75" customHeight="1">
      <c r="A611" s="13" t="s">
        <v>5508</v>
      </c>
      <c r="B611" s="13" t="s">
        <v>16359</v>
      </c>
      <c r="C611" s="13" t="s">
        <v>5510</v>
      </c>
      <c r="D611" s="13" t="s">
        <v>5510</v>
      </c>
      <c r="E611" s="13" t="s">
        <v>5510</v>
      </c>
      <c r="F611" s="13" t="s">
        <v>16360</v>
      </c>
      <c r="G611" s="13" t="s">
        <v>5510</v>
      </c>
      <c r="H611" s="13" t="s">
        <v>5510</v>
      </c>
      <c r="I611" s="13" t="s">
        <v>1165</v>
      </c>
      <c r="J611" s="13" t="s">
        <v>5543</v>
      </c>
      <c r="K611" s="13" t="s">
        <v>5510</v>
      </c>
      <c r="L611" s="13" t="s">
        <v>5510</v>
      </c>
      <c r="M611" s="13" t="s">
        <v>5513</v>
      </c>
      <c r="N611" s="13" t="s">
        <v>5514</v>
      </c>
      <c r="O611" s="13" t="s">
        <v>5510</v>
      </c>
      <c r="P611" s="13" t="s">
        <v>5510</v>
      </c>
      <c r="Q611" s="13" t="s">
        <v>5510</v>
      </c>
      <c r="R611" s="13" t="s">
        <v>5510</v>
      </c>
      <c r="S611" s="13" t="s">
        <v>5510</v>
      </c>
      <c r="T611" s="13" t="s">
        <v>5510</v>
      </c>
      <c r="U611" s="13" t="s">
        <v>16361</v>
      </c>
      <c r="V611" s="13" t="s">
        <v>16362</v>
      </c>
      <c r="W611" s="13" t="s">
        <v>16363</v>
      </c>
      <c r="X611" s="13" t="s">
        <v>16364</v>
      </c>
      <c r="Y611" s="13" t="s">
        <v>16365</v>
      </c>
      <c r="Z611" s="13" t="s">
        <v>16366</v>
      </c>
      <c r="AA611" s="13" t="s">
        <v>16367</v>
      </c>
      <c r="AB611" s="13" t="s">
        <v>5510</v>
      </c>
      <c r="AC611" s="13" t="s">
        <v>5510</v>
      </c>
      <c r="AD611" s="13" t="s">
        <v>5510</v>
      </c>
      <c r="AE611" s="13" t="s">
        <v>5510</v>
      </c>
      <c r="AF611" s="13" t="s">
        <v>5510</v>
      </c>
      <c r="AG611" s="13">
        <v>117.0</v>
      </c>
      <c r="AH611" s="13">
        <v>21.0</v>
      </c>
      <c r="AI611" s="13">
        <v>23.0</v>
      </c>
      <c r="AJ611" s="13">
        <v>0.0</v>
      </c>
      <c r="AK611" s="13">
        <v>17.0</v>
      </c>
      <c r="AL611" s="13" t="s">
        <v>5552</v>
      </c>
      <c r="AM611" s="13" t="s">
        <v>5553</v>
      </c>
      <c r="AN611" s="13" t="s">
        <v>5554</v>
      </c>
      <c r="AO611" s="13" t="s">
        <v>5555</v>
      </c>
      <c r="AP611" s="13" t="s">
        <v>5510</v>
      </c>
      <c r="AQ611" s="13" t="s">
        <v>5510</v>
      </c>
      <c r="AR611" s="13" t="s">
        <v>5543</v>
      </c>
      <c r="AS611" s="13" t="s">
        <v>5556</v>
      </c>
      <c r="AT611" s="13" t="s">
        <v>11242</v>
      </c>
      <c r="AU611" s="13">
        <v>2019.0</v>
      </c>
      <c r="AV611" s="13">
        <v>14.0</v>
      </c>
      <c r="AW611" s="13">
        <v>9.0</v>
      </c>
      <c r="AX611" s="13" t="s">
        <v>5510</v>
      </c>
      <c r="AY611" s="13" t="s">
        <v>5510</v>
      </c>
      <c r="AZ611" s="13" t="s">
        <v>5510</v>
      </c>
      <c r="BA611" s="13" t="s">
        <v>5510</v>
      </c>
      <c r="BB611" s="13" t="s">
        <v>5510</v>
      </c>
      <c r="BC611" s="13" t="s">
        <v>5510</v>
      </c>
      <c r="BD611" s="13" t="s">
        <v>16368</v>
      </c>
      <c r="BE611" s="13" t="s">
        <v>16369</v>
      </c>
      <c r="BF611" s="52" t="str">
        <f>HYPERLINK("http://dx.doi.org/10.1371/journal.pone.0221901","http://dx.doi.org/10.1371/journal.pone.0221901")</f>
        <v>http://dx.doi.org/10.1371/journal.pone.0221901</v>
      </c>
      <c r="BG611" s="13" t="s">
        <v>5510</v>
      </c>
      <c r="BH611" s="13" t="s">
        <v>5510</v>
      </c>
      <c r="BI611" s="13">
        <v>23.0</v>
      </c>
      <c r="BJ611" s="13" t="s">
        <v>5560</v>
      </c>
      <c r="BK611" s="13" t="s">
        <v>5561</v>
      </c>
      <c r="BL611" s="13" t="s">
        <v>5562</v>
      </c>
      <c r="BM611" s="13" t="s">
        <v>16370</v>
      </c>
      <c r="BN611" s="13">
        <v>3.1504037E7</v>
      </c>
      <c r="BO611" s="13" t="s">
        <v>5564</v>
      </c>
      <c r="BP611" s="13" t="s">
        <v>5510</v>
      </c>
      <c r="BQ611" s="13" t="s">
        <v>5510</v>
      </c>
      <c r="BR611" s="13" t="s">
        <v>5538</v>
      </c>
      <c r="BS611" s="13" t="s">
        <v>16371</v>
      </c>
      <c r="BT611" s="13">
        <v>23105.0</v>
      </c>
      <c r="BU611" s="13" t="s">
        <v>5540</v>
      </c>
      <c r="BV611" s="13" t="s">
        <v>4856</v>
      </c>
      <c r="BW611" s="13" t="str">
        <f>VLOOKUP($BT611,Enriched!$A$2:$E$1070,5,false)</f>
        <v>["Agriculture &amp; Aquaculture"]</v>
      </c>
      <c r="BX611" s="13" t="str">
        <f>VLOOKUP($BT611,Enriched!$A$2:$E$1070,4,false)</f>
        <v>["Annual &amp; perennial non-timber crops", "Wood &amp; pulp plantations"]</v>
      </c>
      <c r="BY611" s="13" t="b">
        <f>VLOOKUP(BT611,Enriched!$A$1:$AA$1070,27,falsE)</f>
        <v>0</v>
      </c>
      <c r="BZ611" s="2" t="str">
        <f>VLOOKUP(BT611,Enriched!$A$1:$AA$1070,14,falsE)</f>
        <v>cumulative</v>
      </c>
      <c r="CA611" s="13" t="str">
        <f>HYPERLINK("https%3A%2F%2Fwww.webofscience.com%2Fwos%2Fwoscc%2Ffull-record%2FWOS:000515073900001","View Full Record in Web of Science")</f>
        <v>View Full Record in Web of Science</v>
      </c>
    </row>
    <row r="612" ht="12.75" customHeight="1">
      <c r="A612" s="13" t="s">
        <v>5508</v>
      </c>
      <c r="B612" s="13" t="s">
        <v>16372</v>
      </c>
      <c r="C612" s="13" t="s">
        <v>5510</v>
      </c>
      <c r="D612" s="13" t="s">
        <v>5510</v>
      </c>
      <c r="E612" s="13" t="s">
        <v>5510</v>
      </c>
      <c r="F612" s="13" t="s">
        <v>16373</v>
      </c>
      <c r="G612" s="13" t="s">
        <v>5510</v>
      </c>
      <c r="H612" s="13" t="s">
        <v>5510</v>
      </c>
      <c r="I612" s="13" t="s">
        <v>16374</v>
      </c>
      <c r="J612" s="13" t="s">
        <v>16375</v>
      </c>
      <c r="K612" s="13" t="s">
        <v>5510</v>
      </c>
      <c r="L612" s="13" t="s">
        <v>5510</v>
      </c>
      <c r="M612" s="13" t="s">
        <v>5513</v>
      </c>
      <c r="N612" s="13" t="s">
        <v>5514</v>
      </c>
      <c r="O612" s="13" t="s">
        <v>5510</v>
      </c>
      <c r="P612" s="13" t="s">
        <v>5510</v>
      </c>
      <c r="Q612" s="13" t="s">
        <v>5510</v>
      </c>
      <c r="R612" s="13" t="s">
        <v>5510</v>
      </c>
      <c r="S612" s="13" t="s">
        <v>5510</v>
      </c>
      <c r="T612" s="13" t="s">
        <v>5510</v>
      </c>
      <c r="U612" s="13" t="s">
        <v>16376</v>
      </c>
      <c r="V612" s="13" t="s">
        <v>16377</v>
      </c>
      <c r="W612" s="13" t="s">
        <v>16378</v>
      </c>
      <c r="X612" s="13" t="s">
        <v>16379</v>
      </c>
      <c r="Y612" s="13" t="s">
        <v>16380</v>
      </c>
      <c r="Z612" s="13" t="s">
        <v>16381</v>
      </c>
      <c r="AA612" s="13" t="s">
        <v>16382</v>
      </c>
      <c r="AB612" s="13" t="s">
        <v>16383</v>
      </c>
      <c r="AC612" s="13" t="s">
        <v>16384</v>
      </c>
      <c r="AD612" s="13" t="s">
        <v>16385</v>
      </c>
      <c r="AE612" s="13" t="s">
        <v>16386</v>
      </c>
      <c r="AF612" s="13" t="s">
        <v>5510</v>
      </c>
      <c r="AG612" s="13">
        <v>11.0</v>
      </c>
      <c r="AH612" s="13">
        <v>134.0</v>
      </c>
      <c r="AI612" s="13">
        <v>153.0</v>
      </c>
      <c r="AJ612" s="13">
        <v>0.0</v>
      </c>
      <c r="AK612" s="13">
        <v>110.0</v>
      </c>
      <c r="AL612" s="13" t="s">
        <v>16387</v>
      </c>
      <c r="AM612" s="13" t="s">
        <v>16388</v>
      </c>
      <c r="AN612" s="13" t="s">
        <v>16389</v>
      </c>
      <c r="AO612" s="13" t="s">
        <v>16390</v>
      </c>
      <c r="AP612" s="13" t="s">
        <v>16391</v>
      </c>
      <c r="AQ612" s="13" t="s">
        <v>5510</v>
      </c>
      <c r="AR612" s="13" t="s">
        <v>16392</v>
      </c>
      <c r="AS612" s="13" t="s">
        <v>16393</v>
      </c>
      <c r="AT612" s="13" t="s">
        <v>5667</v>
      </c>
      <c r="AU612" s="13">
        <v>2016.0</v>
      </c>
      <c r="AV612" s="13">
        <v>22.0</v>
      </c>
      <c r="AW612" s="13">
        <v>7.0</v>
      </c>
      <c r="AX612" s="13" t="s">
        <v>5510</v>
      </c>
      <c r="AY612" s="13" t="s">
        <v>5510</v>
      </c>
      <c r="AZ612" s="13" t="s">
        <v>5510</v>
      </c>
      <c r="BA612" s="13" t="s">
        <v>5510</v>
      </c>
      <c r="BB612" s="13">
        <v>1286.0</v>
      </c>
      <c r="BC612" s="13">
        <v>1288.0</v>
      </c>
      <c r="BD612" s="13" t="s">
        <v>5510</v>
      </c>
      <c r="BE612" s="13" t="s">
        <v>16394</v>
      </c>
      <c r="BF612" s="52" t="str">
        <f>HYPERLINK("http://dx.doi.org/10.3201/eid2207.160109","http://dx.doi.org/10.3201/eid2207.160109")</f>
        <v>http://dx.doi.org/10.3201/eid2207.160109</v>
      </c>
      <c r="BG612" s="13" t="s">
        <v>5510</v>
      </c>
      <c r="BH612" s="13" t="s">
        <v>5510</v>
      </c>
      <c r="BI612" s="13">
        <v>3.0</v>
      </c>
      <c r="BJ612" s="13" t="s">
        <v>16395</v>
      </c>
      <c r="BK612" s="13" t="s">
        <v>5561</v>
      </c>
      <c r="BL612" s="13" t="s">
        <v>16395</v>
      </c>
      <c r="BM612" s="13" t="s">
        <v>16396</v>
      </c>
      <c r="BN612" s="13">
        <v>2.7070102E7</v>
      </c>
      <c r="BO612" s="13" t="s">
        <v>8477</v>
      </c>
      <c r="BP612" s="13" t="s">
        <v>5510</v>
      </c>
      <c r="BQ612" s="13" t="s">
        <v>5510</v>
      </c>
      <c r="BR612" s="13" t="s">
        <v>5538</v>
      </c>
      <c r="BS612" s="13" t="s">
        <v>16397</v>
      </c>
      <c r="BT612" s="13">
        <v>25656.0</v>
      </c>
      <c r="BU612" s="13" t="s">
        <v>5540</v>
      </c>
      <c r="BV612" s="13" t="s">
        <v>4856</v>
      </c>
      <c r="BW612" s="13" t="str">
        <f>VLOOKUP($BT612,Enriched!$A$2:$E$1070,5,false)</f>
        <v>["Invasive &amp; other problematic species, genes &amp; diseases"]</v>
      </c>
      <c r="BX612" s="13" t="str">
        <f>VLOOKUP($BT612,Enriched!$A$2:$E$1070,4,false)</f>
        <v>["Invasive non-native/alien species/diseases"]</v>
      </c>
      <c r="BY612" s="13" t="b">
        <f>VLOOKUP(BT612,Enriched!$A$1:$AA$1070,27,falsE)</f>
        <v>0</v>
      </c>
      <c r="BZ612" s="2" t="str">
        <f>VLOOKUP(BT612,Enriched!$A$1:$AA$1070,14,falsE)</f>
        <v>level2</v>
      </c>
      <c r="CA612" s="13" t="str">
        <f>HYPERLINK("https%3A%2F%2Fwww.webofscience.com%2Fwos%2Fwoscc%2Ffull-record%2FWOS:000378563900027","View Full Record in Web of Science")</f>
        <v>View Full Record in Web of Science</v>
      </c>
    </row>
    <row r="613" ht="12.75" customHeight="1">
      <c r="A613" s="13" t="s">
        <v>5508</v>
      </c>
      <c r="B613" s="13" t="s">
        <v>16398</v>
      </c>
      <c r="C613" s="13" t="s">
        <v>5510</v>
      </c>
      <c r="D613" s="13" t="s">
        <v>5510</v>
      </c>
      <c r="E613" s="13" t="s">
        <v>5510</v>
      </c>
      <c r="F613" s="13" t="s">
        <v>16399</v>
      </c>
      <c r="G613" s="13" t="s">
        <v>5510</v>
      </c>
      <c r="H613" s="13" t="s">
        <v>5510</v>
      </c>
      <c r="I613" s="13" t="s">
        <v>1158</v>
      </c>
      <c r="J613" s="13" t="s">
        <v>9414</v>
      </c>
      <c r="K613" s="13" t="s">
        <v>5510</v>
      </c>
      <c r="L613" s="13" t="s">
        <v>5510</v>
      </c>
      <c r="M613" s="13" t="s">
        <v>5513</v>
      </c>
      <c r="N613" s="13" t="s">
        <v>5514</v>
      </c>
      <c r="O613" s="13" t="s">
        <v>5510</v>
      </c>
      <c r="P613" s="13" t="s">
        <v>5510</v>
      </c>
      <c r="Q613" s="13" t="s">
        <v>5510</v>
      </c>
      <c r="R613" s="13" t="s">
        <v>5510</v>
      </c>
      <c r="S613" s="13" t="s">
        <v>5510</v>
      </c>
      <c r="T613" s="13" t="s">
        <v>16400</v>
      </c>
      <c r="U613" s="13" t="s">
        <v>16401</v>
      </c>
      <c r="V613" s="13" t="s">
        <v>16402</v>
      </c>
      <c r="W613" s="13" t="s">
        <v>16403</v>
      </c>
      <c r="X613" s="13" t="s">
        <v>10250</v>
      </c>
      <c r="Y613" s="13" t="s">
        <v>16404</v>
      </c>
      <c r="Z613" s="13" t="s">
        <v>16405</v>
      </c>
      <c r="AA613" s="13" t="s">
        <v>16406</v>
      </c>
      <c r="AB613" s="13" t="s">
        <v>16407</v>
      </c>
      <c r="AC613" s="13" t="s">
        <v>16408</v>
      </c>
      <c r="AD613" s="13" t="s">
        <v>16408</v>
      </c>
      <c r="AE613" s="13" t="s">
        <v>16409</v>
      </c>
      <c r="AF613" s="13" t="s">
        <v>5510</v>
      </c>
      <c r="AG613" s="13">
        <v>51.0</v>
      </c>
      <c r="AH613" s="13">
        <v>71.0</v>
      </c>
      <c r="AI613" s="13">
        <v>72.0</v>
      </c>
      <c r="AJ613" s="13">
        <v>4.0</v>
      </c>
      <c r="AK613" s="13">
        <v>123.0</v>
      </c>
      <c r="AL613" s="13" t="s">
        <v>5931</v>
      </c>
      <c r="AM613" s="13" t="s">
        <v>5932</v>
      </c>
      <c r="AN613" s="13" t="s">
        <v>5933</v>
      </c>
      <c r="AO613" s="13" t="s">
        <v>9427</v>
      </c>
      <c r="AP613" s="13" t="s">
        <v>9428</v>
      </c>
      <c r="AQ613" s="13" t="s">
        <v>5510</v>
      </c>
      <c r="AR613" s="13" t="s">
        <v>9429</v>
      </c>
      <c r="AS613" s="13" t="s">
        <v>9430</v>
      </c>
      <c r="AT613" s="13" t="s">
        <v>5667</v>
      </c>
      <c r="AU613" s="13">
        <v>2015.0</v>
      </c>
      <c r="AV613" s="13">
        <v>57.0</v>
      </c>
      <c r="AW613" s="13" t="s">
        <v>5510</v>
      </c>
      <c r="AX613" s="13" t="s">
        <v>5510</v>
      </c>
      <c r="AY613" s="13" t="s">
        <v>5510</v>
      </c>
      <c r="AZ613" s="13" t="s">
        <v>5510</v>
      </c>
      <c r="BA613" s="13" t="s">
        <v>5510</v>
      </c>
      <c r="BB613" s="13">
        <v>78.0</v>
      </c>
      <c r="BC613" s="13">
        <v>84.0</v>
      </c>
      <c r="BD613" s="13" t="s">
        <v>5510</v>
      </c>
      <c r="BE613" s="13" t="s">
        <v>16410</v>
      </c>
      <c r="BF613" s="52" t="str">
        <f>HYPERLINK("http://dx.doi.org/10.1016/j.marpol.2015.03.030","http://dx.doi.org/10.1016/j.marpol.2015.03.030")</f>
        <v>http://dx.doi.org/10.1016/j.marpol.2015.03.030</v>
      </c>
      <c r="BG613" s="13" t="s">
        <v>5510</v>
      </c>
      <c r="BH613" s="13" t="s">
        <v>5510</v>
      </c>
      <c r="BI613" s="13">
        <v>7.0</v>
      </c>
      <c r="BJ613" s="13" t="s">
        <v>9432</v>
      </c>
      <c r="BK613" s="13" t="s">
        <v>8375</v>
      </c>
      <c r="BL613" s="13" t="s">
        <v>9433</v>
      </c>
      <c r="BM613" s="13" t="s">
        <v>16411</v>
      </c>
      <c r="BN613" s="13" t="s">
        <v>5510</v>
      </c>
      <c r="BO613" s="13" t="s">
        <v>5510</v>
      </c>
      <c r="BP613" s="13" t="s">
        <v>5510</v>
      </c>
      <c r="BQ613" s="13" t="s">
        <v>5510</v>
      </c>
      <c r="BR613" s="13" t="s">
        <v>5538</v>
      </c>
      <c r="BS613" s="13" t="s">
        <v>16412</v>
      </c>
      <c r="BT613" s="13">
        <v>25959.0</v>
      </c>
      <c r="BU613" s="13" t="s">
        <v>5540</v>
      </c>
      <c r="BV613" s="13" t="s">
        <v>4864</v>
      </c>
      <c r="BW613" s="13" t="str">
        <f>VLOOKUP($BT613,Enriched!$A$2:$E$1070,5,false)</f>
        <v>["Residential &amp; Commercial Development"]</v>
      </c>
      <c r="BX613" s="13" t="str">
        <f>VLOOKUP($BT613,Enriched!$A$2:$E$1070,4,false)</f>
        <v>["Commercial &amp; industrial areas"]</v>
      </c>
      <c r="BY613" s="13" t="b">
        <f>VLOOKUP(BT613,Enriched!$A$1:$AA$1070,27,falsE)</f>
        <v>0</v>
      </c>
      <c r="BZ613" s="2" t="str">
        <f>VLOOKUP(BT613,Enriched!$A$1:$AA$1070,14,falsE)</f>
        <v>level2</v>
      </c>
      <c r="CA613" s="13" t="str">
        <f>HYPERLINK("https%3A%2F%2Fwww.webofscience.com%2Fwos%2Fwoscc%2Ffull-record%2FWOS:000356740100011","View Full Record in Web of Science")</f>
        <v>View Full Record in Web of Science</v>
      </c>
    </row>
    <row r="614" ht="12.75" customHeight="1">
      <c r="A614" s="13" t="s">
        <v>5508</v>
      </c>
      <c r="B614" s="13" t="s">
        <v>16413</v>
      </c>
      <c r="C614" s="13" t="s">
        <v>5510</v>
      </c>
      <c r="D614" s="13" t="s">
        <v>5510</v>
      </c>
      <c r="E614" s="13" t="s">
        <v>5510</v>
      </c>
      <c r="F614" s="13" t="s">
        <v>16414</v>
      </c>
      <c r="G614" s="13" t="s">
        <v>5510</v>
      </c>
      <c r="H614" s="13" t="s">
        <v>5510</v>
      </c>
      <c r="I614" s="13" t="s">
        <v>1156</v>
      </c>
      <c r="J614" s="13" t="s">
        <v>6114</v>
      </c>
      <c r="K614" s="13" t="s">
        <v>5510</v>
      </c>
      <c r="L614" s="13" t="s">
        <v>5510</v>
      </c>
      <c r="M614" s="13" t="s">
        <v>5513</v>
      </c>
      <c r="N614" s="13" t="s">
        <v>5514</v>
      </c>
      <c r="O614" s="13" t="s">
        <v>5510</v>
      </c>
      <c r="P614" s="13" t="s">
        <v>5510</v>
      </c>
      <c r="Q614" s="13" t="s">
        <v>5510</v>
      </c>
      <c r="R614" s="13" t="s">
        <v>5510</v>
      </c>
      <c r="S614" s="13" t="s">
        <v>5510</v>
      </c>
      <c r="T614" s="13" t="s">
        <v>16415</v>
      </c>
      <c r="U614" s="13" t="s">
        <v>16416</v>
      </c>
      <c r="V614" s="13" t="s">
        <v>16417</v>
      </c>
      <c r="W614" s="13" t="s">
        <v>16418</v>
      </c>
      <c r="X614" s="13" t="s">
        <v>16419</v>
      </c>
      <c r="Y614" s="13" t="s">
        <v>16420</v>
      </c>
      <c r="Z614" s="13" t="s">
        <v>16421</v>
      </c>
      <c r="AA614" s="13" t="s">
        <v>16422</v>
      </c>
      <c r="AB614" s="13" t="s">
        <v>16423</v>
      </c>
      <c r="AC614" s="13" t="s">
        <v>16424</v>
      </c>
      <c r="AD614" s="13" t="s">
        <v>16425</v>
      </c>
      <c r="AE614" s="13" t="s">
        <v>16426</v>
      </c>
      <c r="AF614" s="13" t="s">
        <v>5510</v>
      </c>
      <c r="AG614" s="13">
        <v>58.0</v>
      </c>
      <c r="AH614" s="13">
        <v>33.0</v>
      </c>
      <c r="AI614" s="13">
        <v>35.0</v>
      </c>
      <c r="AJ614" s="13">
        <v>1.0</v>
      </c>
      <c r="AK614" s="13">
        <v>43.0</v>
      </c>
      <c r="AL614" s="13" t="s">
        <v>5931</v>
      </c>
      <c r="AM614" s="13" t="s">
        <v>5932</v>
      </c>
      <c r="AN614" s="13" t="s">
        <v>5933</v>
      </c>
      <c r="AO614" s="13" t="s">
        <v>6127</v>
      </c>
      <c r="AP614" s="13" t="s">
        <v>6128</v>
      </c>
      <c r="AQ614" s="13" t="s">
        <v>5510</v>
      </c>
      <c r="AR614" s="13" t="s">
        <v>6129</v>
      </c>
      <c r="AS614" s="13" t="s">
        <v>6130</v>
      </c>
      <c r="AT614" s="13" t="s">
        <v>8449</v>
      </c>
      <c r="AU614" s="13">
        <v>2019.0</v>
      </c>
      <c r="AV614" s="13">
        <v>170.0</v>
      </c>
      <c r="AW614" s="13" t="s">
        <v>5510</v>
      </c>
      <c r="AX614" s="13" t="s">
        <v>5510</v>
      </c>
      <c r="AY614" s="13" t="s">
        <v>5510</v>
      </c>
      <c r="AZ614" s="13" t="s">
        <v>5510</v>
      </c>
      <c r="BA614" s="13" t="s">
        <v>5510</v>
      </c>
      <c r="BB614" s="13">
        <v>1.0</v>
      </c>
      <c r="BC614" s="13">
        <v>16.0</v>
      </c>
      <c r="BD614" s="13" t="s">
        <v>5510</v>
      </c>
      <c r="BE614" s="13" t="s">
        <v>16427</v>
      </c>
      <c r="BF614" s="52" t="str">
        <f>HYPERLINK("http://dx.doi.org/10.1016/j.ocecoaman.2018.12.033","http://dx.doi.org/10.1016/j.ocecoaman.2018.12.033")</f>
        <v>http://dx.doi.org/10.1016/j.ocecoaman.2018.12.033</v>
      </c>
      <c r="BG614" s="13" t="s">
        <v>5510</v>
      </c>
      <c r="BH614" s="13" t="s">
        <v>5510</v>
      </c>
      <c r="BI614" s="13">
        <v>16.0</v>
      </c>
      <c r="BJ614" s="13" t="s">
        <v>6133</v>
      </c>
      <c r="BK614" s="13" t="s">
        <v>5534</v>
      </c>
      <c r="BL614" s="13" t="s">
        <v>6133</v>
      </c>
      <c r="BM614" s="13" t="s">
        <v>16428</v>
      </c>
      <c r="BN614" s="13" t="s">
        <v>5510</v>
      </c>
      <c r="BO614" s="13" t="s">
        <v>5510</v>
      </c>
      <c r="BP614" s="13" t="s">
        <v>5510</v>
      </c>
      <c r="BQ614" s="13" t="s">
        <v>5510</v>
      </c>
      <c r="BR614" s="13" t="s">
        <v>5538</v>
      </c>
      <c r="BS614" s="13" t="s">
        <v>16429</v>
      </c>
      <c r="BT614" s="13">
        <v>25431.0</v>
      </c>
      <c r="BU614" s="13" t="s">
        <v>5540</v>
      </c>
      <c r="BV614" s="13" t="s">
        <v>4864</v>
      </c>
      <c r="BW614" s="13" t="str">
        <f>VLOOKUP($BT614,Enriched!$A$2:$E$1070,5,false)</f>
        <v>["Biological resource use"]</v>
      </c>
      <c r="BX614" s="13" t="str">
        <f>VLOOKUP($BT614,Enriched!$A$2:$E$1070,4,false)</f>
        <v>["Fishing &amp; harvesting aquatic resources"]</v>
      </c>
      <c r="BY614" s="13" t="b">
        <f>VLOOKUP(BT614,Enriched!$A$1:$AA$1070,27,falsE)</f>
        <v>0</v>
      </c>
      <c r="BZ614" s="2" t="str">
        <f>VLOOKUP(BT614,Enriched!$A$1:$AA$1070,14,falsE)</f>
        <v>level2</v>
      </c>
      <c r="CA614" s="13" t="str">
        <f>HYPERLINK("https%3A%2F%2Fwww.webofscience.com%2Fwos%2Fwoscc%2Ffull-record%2FWOS:000459236000001","View Full Record in Web of Science")</f>
        <v>View Full Record in Web of Science</v>
      </c>
    </row>
    <row r="615" ht="12.75" customHeight="1">
      <c r="A615" s="13" t="s">
        <v>5508</v>
      </c>
      <c r="B615" s="13" t="s">
        <v>16430</v>
      </c>
      <c r="C615" s="13" t="s">
        <v>5510</v>
      </c>
      <c r="D615" s="13" t="s">
        <v>5510</v>
      </c>
      <c r="E615" s="13" t="s">
        <v>5510</v>
      </c>
      <c r="F615" s="13" t="s">
        <v>16431</v>
      </c>
      <c r="G615" s="13" t="s">
        <v>5510</v>
      </c>
      <c r="H615" s="13" t="s">
        <v>5510</v>
      </c>
      <c r="I615" s="2" t="s">
        <v>1153</v>
      </c>
      <c r="J615" s="13" t="s">
        <v>8356</v>
      </c>
      <c r="K615" s="13" t="s">
        <v>5510</v>
      </c>
      <c r="L615" s="13" t="s">
        <v>5510</v>
      </c>
      <c r="M615" s="13" t="s">
        <v>5513</v>
      </c>
      <c r="N615" s="13" t="s">
        <v>6168</v>
      </c>
      <c r="O615" s="13" t="s">
        <v>5510</v>
      </c>
      <c r="P615" s="13" t="s">
        <v>5510</v>
      </c>
      <c r="Q615" s="13" t="s">
        <v>5510</v>
      </c>
      <c r="R615" s="13" t="s">
        <v>5510</v>
      </c>
      <c r="S615" s="13" t="s">
        <v>5510</v>
      </c>
      <c r="T615" s="13" t="s">
        <v>5510</v>
      </c>
      <c r="U615" s="13" t="s">
        <v>5510</v>
      </c>
      <c r="V615" s="13" t="s">
        <v>5510</v>
      </c>
      <c r="W615" s="13" t="s">
        <v>16432</v>
      </c>
      <c r="X615" s="13" t="s">
        <v>16433</v>
      </c>
      <c r="Y615" s="13" t="s">
        <v>16434</v>
      </c>
      <c r="Z615" s="13" t="s">
        <v>16435</v>
      </c>
      <c r="AA615" s="13" t="s">
        <v>16436</v>
      </c>
      <c r="AB615" s="13" t="s">
        <v>16437</v>
      </c>
      <c r="AC615" s="13" t="s">
        <v>5510</v>
      </c>
      <c r="AD615" s="13" t="s">
        <v>5510</v>
      </c>
      <c r="AE615" s="13" t="s">
        <v>5510</v>
      </c>
      <c r="AF615" s="13" t="s">
        <v>5510</v>
      </c>
      <c r="AG615" s="13">
        <v>3.0</v>
      </c>
      <c r="AH615" s="13">
        <v>0.0</v>
      </c>
      <c r="AI615" s="13">
        <v>0.0</v>
      </c>
      <c r="AJ615" s="13">
        <v>0.0</v>
      </c>
      <c r="AK615" s="13">
        <v>36.0</v>
      </c>
      <c r="AL615" s="13" t="s">
        <v>5931</v>
      </c>
      <c r="AM615" s="13" t="s">
        <v>5932</v>
      </c>
      <c r="AN615" s="13" t="s">
        <v>5933</v>
      </c>
      <c r="AO615" s="13" t="s">
        <v>8369</v>
      </c>
      <c r="AP615" s="13" t="s">
        <v>5510</v>
      </c>
      <c r="AQ615" s="13" t="s">
        <v>5510</v>
      </c>
      <c r="AR615" s="13" t="s">
        <v>8371</v>
      </c>
      <c r="AS615" s="13" t="s">
        <v>8372</v>
      </c>
      <c r="AT615" s="13" t="s">
        <v>1925</v>
      </c>
      <c r="AU615" s="13">
        <v>2013.0</v>
      </c>
      <c r="AV615" s="13">
        <v>43.0</v>
      </c>
      <c r="AW615" s="13" t="s">
        <v>5510</v>
      </c>
      <c r="AX615" s="13" t="s">
        <v>5510</v>
      </c>
      <c r="AY615" s="13" t="s">
        <v>5510</v>
      </c>
      <c r="AZ615" s="13" t="s">
        <v>5510</v>
      </c>
      <c r="BA615" s="13" t="s">
        <v>5510</v>
      </c>
      <c r="BB615" s="13">
        <v>169.0</v>
      </c>
      <c r="BC615" s="13">
        <v>170.0</v>
      </c>
      <c r="BD615" s="13" t="s">
        <v>5510</v>
      </c>
      <c r="BE615" s="13" t="s">
        <v>16438</v>
      </c>
      <c r="BF615" s="52" t="str">
        <f>HYPERLINK("http://dx.doi.org/10.1016/j.apgeog.2013.07.001","http://dx.doi.org/10.1016/j.apgeog.2013.07.001")</f>
        <v>http://dx.doi.org/10.1016/j.apgeog.2013.07.001</v>
      </c>
      <c r="BG615" s="13" t="s">
        <v>5510</v>
      </c>
      <c r="BH615" s="13" t="s">
        <v>5510</v>
      </c>
      <c r="BI615" s="13">
        <v>2.0</v>
      </c>
      <c r="BJ615" s="13" t="s">
        <v>8374</v>
      </c>
      <c r="BK615" s="13" t="s">
        <v>8375</v>
      </c>
      <c r="BL615" s="13" t="s">
        <v>8374</v>
      </c>
      <c r="BM615" s="13" t="s">
        <v>16439</v>
      </c>
      <c r="BN615" s="13" t="s">
        <v>5510</v>
      </c>
      <c r="BO615" s="13" t="s">
        <v>5510</v>
      </c>
      <c r="BP615" s="13" t="s">
        <v>5510</v>
      </c>
      <c r="BQ615" s="13" t="s">
        <v>5510</v>
      </c>
      <c r="BR615" s="13" t="s">
        <v>5538</v>
      </c>
      <c r="BS615" s="13" t="s">
        <v>16440</v>
      </c>
      <c r="BT615" s="13">
        <v>23841.0</v>
      </c>
      <c r="BU615" s="13" t="s">
        <v>5540</v>
      </c>
      <c r="BV615" s="13" t="s">
        <v>4856</v>
      </c>
      <c r="BW615" s="13" t="str">
        <f>VLOOKUP($BT615,Enriched!$A$2:$E$1070,5,false)</f>
        <v>["Residential &amp; Commercial Development", "Transportation &amp; Service Corridors", "Agriculture &amp; Aquaculture"]</v>
      </c>
      <c r="BX615" s="13" t="str">
        <f>VLOOKUP($BT615,Enriched!$A$2:$E$1070,4,false)</f>
        <v>["Housing &amp; urban area", "Tourism &amp; recreation areas", "Roads &amp; railroads", "Annual &amp; perennial non-timber crops"]</v>
      </c>
      <c r="BY615" s="13" t="b">
        <f>VLOOKUP(BT615,Enriched!$A$1:$AA$1070,27,falsE)</f>
        <v>0</v>
      </c>
      <c r="BZ615" s="2" t="str">
        <f>VLOOKUP(BT615,Enriched!$A$1:$AA$1070,14,falsE)</f>
        <v>level2</v>
      </c>
      <c r="CA615" s="13" t="str">
        <f>HYPERLINK("https%3A%2F%2Fwww.webofscience.com%2Fwos%2Fwoscc%2Ffull-record%2FWOS:000324156400016","View Full Record in Web of Science")</f>
        <v>View Full Record in Web of Science</v>
      </c>
    </row>
    <row r="616" ht="12.75" customHeight="1">
      <c r="A616" s="13" t="s">
        <v>5508</v>
      </c>
      <c r="B616" s="13" t="s">
        <v>16430</v>
      </c>
      <c r="C616" s="13" t="s">
        <v>5510</v>
      </c>
      <c r="D616" s="13" t="s">
        <v>5510</v>
      </c>
      <c r="E616" s="13" t="s">
        <v>5510</v>
      </c>
      <c r="F616" s="13" t="s">
        <v>16431</v>
      </c>
      <c r="G616" s="13" t="s">
        <v>5510</v>
      </c>
      <c r="H616" s="13" t="s">
        <v>5510</v>
      </c>
      <c r="I616" s="13" t="s">
        <v>1153</v>
      </c>
      <c r="J616" s="13" t="s">
        <v>8356</v>
      </c>
      <c r="K616" s="13" t="s">
        <v>5510</v>
      </c>
      <c r="L616" s="13" t="s">
        <v>5510</v>
      </c>
      <c r="M616" s="13" t="s">
        <v>5513</v>
      </c>
      <c r="N616" s="13" t="s">
        <v>5514</v>
      </c>
      <c r="O616" s="13" t="s">
        <v>5510</v>
      </c>
      <c r="P616" s="13" t="s">
        <v>5510</v>
      </c>
      <c r="Q616" s="13" t="s">
        <v>5510</v>
      </c>
      <c r="R616" s="13" t="s">
        <v>5510</v>
      </c>
      <c r="S616" s="13" t="s">
        <v>5510</v>
      </c>
      <c r="T616" s="13" t="s">
        <v>16441</v>
      </c>
      <c r="U616" s="13" t="s">
        <v>16442</v>
      </c>
      <c r="V616" s="13" t="s">
        <v>16443</v>
      </c>
      <c r="W616" s="13" t="s">
        <v>16444</v>
      </c>
      <c r="X616" s="13" t="s">
        <v>16445</v>
      </c>
      <c r="Y616" s="13" t="s">
        <v>16434</v>
      </c>
      <c r="Z616" s="13" t="s">
        <v>16435</v>
      </c>
      <c r="AA616" s="13" t="s">
        <v>16446</v>
      </c>
      <c r="AB616" s="13" t="s">
        <v>16447</v>
      </c>
      <c r="AC616" s="13" t="s">
        <v>5510</v>
      </c>
      <c r="AD616" s="13" t="s">
        <v>5510</v>
      </c>
      <c r="AE616" s="13" t="s">
        <v>5510</v>
      </c>
      <c r="AF616" s="13" t="s">
        <v>5510</v>
      </c>
      <c r="AG616" s="13">
        <v>56.0</v>
      </c>
      <c r="AH616" s="13">
        <v>144.0</v>
      </c>
      <c r="AI616" s="13">
        <v>174.0</v>
      </c>
      <c r="AJ616" s="13">
        <v>2.0</v>
      </c>
      <c r="AK616" s="13">
        <v>126.0</v>
      </c>
      <c r="AL616" s="13" t="s">
        <v>5931</v>
      </c>
      <c r="AM616" s="13" t="s">
        <v>5932</v>
      </c>
      <c r="AN616" s="13" t="s">
        <v>5933</v>
      </c>
      <c r="AO616" s="13" t="s">
        <v>8369</v>
      </c>
      <c r="AP616" s="13" t="s">
        <v>8370</v>
      </c>
      <c r="AQ616" s="13" t="s">
        <v>5510</v>
      </c>
      <c r="AR616" s="13" t="s">
        <v>8371</v>
      </c>
      <c r="AS616" s="13" t="s">
        <v>8372</v>
      </c>
      <c r="AT616" s="13" t="s">
        <v>1453</v>
      </c>
      <c r="AU616" s="13">
        <v>2012.0</v>
      </c>
      <c r="AV616" s="13">
        <v>35.0</v>
      </c>
      <c r="AW616" s="13" t="s">
        <v>12302</v>
      </c>
      <c r="AX616" s="13" t="s">
        <v>5510</v>
      </c>
      <c r="AY616" s="13" t="s">
        <v>5510</v>
      </c>
      <c r="AZ616" s="13" t="s">
        <v>5510</v>
      </c>
      <c r="BA616" s="13" t="s">
        <v>5510</v>
      </c>
      <c r="BB616" s="13">
        <v>316.0</v>
      </c>
      <c r="BC616" s="13">
        <v>326.0</v>
      </c>
      <c r="BD616" s="13" t="s">
        <v>5510</v>
      </c>
      <c r="BE616" s="13" t="s">
        <v>16448</v>
      </c>
      <c r="BF616" s="52" t="str">
        <f>HYPERLINK("http://dx.doi.org/10.1016/j.apgeog.2012.08.006","http://dx.doi.org/10.1016/j.apgeog.2012.08.006")</f>
        <v>http://dx.doi.org/10.1016/j.apgeog.2012.08.006</v>
      </c>
      <c r="BG616" s="13" t="s">
        <v>5510</v>
      </c>
      <c r="BH616" s="13" t="s">
        <v>5510</v>
      </c>
      <c r="BI616" s="13">
        <v>11.0</v>
      </c>
      <c r="BJ616" s="13" t="s">
        <v>8374</v>
      </c>
      <c r="BK616" s="13" t="s">
        <v>8375</v>
      </c>
      <c r="BL616" s="13" t="s">
        <v>8374</v>
      </c>
      <c r="BM616" s="13" t="s">
        <v>16449</v>
      </c>
      <c r="BN616" s="13" t="s">
        <v>5510</v>
      </c>
      <c r="BO616" s="13" t="s">
        <v>5510</v>
      </c>
      <c r="BP616" s="13" t="s">
        <v>5510</v>
      </c>
      <c r="BQ616" s="13" t="s">
        <v>5510</v>
      </c>
      <c r="BR616" s="13" t="s">
        <v>5538</v>
      </c>
      <c r="BS616" s="13" t="s">
        <v>16450</v>
      </c>
      <c r="BT616" s="13">
        <v>23841.0</v>
      </c>
      <c r="BU616" s="13" t="s">
        <v>5540</v>
      </c>
      <c r="BV616" s="13" t="s">
        <v>4856</v>
      </c>
      <c r="BW616" s="13" t="str">
        <f>VLOOKUP($BT616,Enriched!$A$2:$E$1070,5,false)</f>
        <v>["Residential &amp; Commercial Development", "Transportation &amp; Service Corridors", "Agriculture &amp; Aquaculture"]</v>
      </c>
      <c r="BX616" s="13" t="str">
        <f>VLOOKUP($BT616,Enriched!$A$2:$E$1070,4,false)</f>
        <v>["Housing &amp; urban area", "Tourism &amp; recreation areas", "Roads &amp; railroads", "Annual &amp; perennial non-timber crops"]</v>
      </c>
      <c r="BY616" s="13" t="b">
        <f>VLOOKUP(BT616,Enriched!$A$1:$AA$1070,27,falsE)</f>
        <v>0</v>
      </c>
      <c r="BZ616" s="2" t="str">
        <f>VLOOKUP(BT616,Enriched!$A$1:$AA$1070,14,falsE)</f>
        <v>level2</v>
      </c>
      <c r="CA616" s="13" t="str">
        <f>HYPERLINK("https%3A%2F%2Fwww.webofscience.com%2Fwos%2Fwoscc%2Ffull-record%2FWOS:000313380200032","View Full Record in Web of Science")</f>
        <v>View Full Record in Web of Science</v>
      </c>
    </row>
    <row r="617" ht="12.75" customHeight="1">
      <c r="A617" s="13" t="s">
        <v>5508</v>
      </c>
      <c r="B617" s="13" t="s">
        <v>16451</v>
      </c>
      <c r="C617" s="13" t="s">
        <v>5510</v>
      </c>
      <c r="D617" s="13" t="s">
        <v>5510</v>
      </c>
      <c r="E617" s="13" t="s">
        <v>5510</v>
      </c>
      <c r="F617" s="13" t="s">
        <v>16452</v>
      </c>
      <c r="G617" s="13" t="s">
        <v>5510</v>
      </c>
      <c r="H617" s="13" t="s">
        <v>5510</v>
      </c>
      <c r="I617" s="2" t="s">
        <v>1150</v>
      </c>
      <c r="J617" s="13" t="s">
        <v>5677</v>
      </c>
      <c r="K617" s="13" t="s">
        <v>5510</v>
      </c>
      <c r="L617" s="13" t="s">
        <v>5510</v>
      </c>
      <c r="M617" s="13" t="s">
        <v>5513</v>
      </c>
      <c r="N617" s="13" t="s">
        <v>5514</v>
      </c>
      <c r="O617" s="13" t="s">
        <v>5510</v>
      </c>
      <c r="P617" s="13" t="s">
        <v>5510</v>
      </c>
      <c r="Q617" s="13" t="s">
        <v>5510</v>
      </c>
      <c r="R617" s="13" t="s">
        <v>5510</v>
      </c>
      <c r="S617" s="13" t="s">
        <v>5510</v>
      </c>
      <c r="T617" s="13" t="s">
        <v>16453</v>
      </c>
      <c r="U617" s="13" t="s">
        <v>16454</v>
      </c>
      <c r="V617" s="13" t="s">
        <v>16455</v>
      </c>
      <c r="W617" s="13" t="s">
        <v>16456</v>
      </c>
      <c r="X617" s="13" t="s">
        <v>16457</v>
      </c>
      <c r="Y617" s="13" t="s">
        <v>16458</v>
      </c>
      <c r="Z617" s="13" t="s">
        <v>16459</v>
      </c>
      <c r="AA617" s="13" t="s">
        <v>5510</v>
      </c>
      <c r="AB617" s="13" t="s">
        <v>16460</v>
      </c>
      <c r="AC617" s="13" t="s">
        <v>16461</v>
      </c>
      <c r="AD617" s="13" t="s">
        <v>16461</v>
      </c>
      <c r="AE617" s="13" t="s">
        <v>16462</v>
      </c>
      <c r="AF617" s="13" t="s">
        <v>5510</v>
      </c>
      <c r="AG617" s="13">
        <v>72.0</v>
      </c>
      <c r="AH617" s="13">
        <v>9.0</v>
      </c>
      <c r="AI617" s="13">
        <v>9.0</v>
      </c>
      <c r="AJ617" s="13">
        <v>1.0</v>
      </c>
      <c r="AK617" s="13">
        <v>27.0</v>
      </c>
      <c r="AL617" s="13" t="s">
        <v>5690</v>
      </c>
      <c r="AM617" s="13" t="s">
        <v>5691</v>
      </c>
      <c r="AN617" s="13" t="s">
        <v>5692</v>
      </c>
      <c r="AO617" s="13" t="s">
        <v>5693</v>
      </c>
      <c r="AP617" s="13" t="s">
        <v>5694</v>
      </c>
      <c r="AQ617" s="13" t="s">
        <v>5510</v>
      </c>
      <c r="AR617" s="13" t="s">
        <v>5695</v>
      </c>
      <c r="AS617" s="13" t="s">
        <v>5696</v>
      </c>
      <c r="AT617" s="13" t="s">
        <v>2738</v>
      </c>
      <c r="AU617" s="13">
        <v>2019.0</v>
      </c>
      <c r="AV617" s="13">
        <v>28.0</v>
      </c>
      <c r="AW617" s="13">
        <v>2.0</v>
      </c>
      <c r="AX617" s="13" t="s">
        <v>5510</v>
      </c>
      <c r="AY617" s="13" t="s">
        <v>5510</v>
      </c>
      <c r="AZ617" s="13" t="s">
        <v>5510</v>
      </c>
      <c r="BA617" s="13" t="s">
        <v>5510</v>
      </c>
      <c r="BB617" s="13">
        <v>363.0</v>
      </c>
      <c r="BC617" s="13">
        <v>383.0</v>
      </c>
      <c r="BD617" s="13" t="s">
        <v>5510</v>
      </c>
      <c r="BE617" s="13" t="s">
        <v>16463</v>
      </c>
      <c r="BF617" s="52" t="str">
        <f>HYPERLINK("http://dx.doi.org/10.1007/s10531-018-1660-5","http://dx.doi.org/10.1007/s10531-018-1660-5")</f>
        <v>http://dx.doi.org/10.1007/s10531-018-1660-5</v>
      </c>
      <c r="BG617" s="13" t="s">
        <v>5510</v>
      </c>
      <c r="BH617" s="13" t="s">
        <v>5510</v>
      </c>
      <c r="BI617" s="13">
        <v>21.0</v>
      </c>
      <c r="BJ617" s="13" t="s">
        <v>5698</v>
      </c>
      <c r="BK617" s="13" t="s">
        <v>5534</v>
      </c>
      <c r="BL617" s="13" t="s">
        <v>5699</v>
      </c>
      <c r="BM617" s="13" t="s">
        <v>16464</v>
      </c>
      <c r="BN617" s="13" t="s">
        <v>5510</v>
      </c>
      <c r="BO617" s="13" t="s">
        <v>6028</v>
      </c>
      <c r="BP617" s="13" t="s">
        <v>5510</v>
      </c>
      <c r="BQ617" s="13" t="s">
        <v>5510</v>
      </c>
      <c r="BR617" s="13" t="s">
        <v>5538</v>
      </c>
      <c r="BS617" s="13" t="s">
        <v>16465</v>
      </c>
      <c r="BT617" s="13">
        <v>25005.0</v>
      </c>
      <c r="BU617" s="13" t="s">
        <v>9118</v>
      </c>
      <c r="BV617" s="13" t="s">
        <v>4864</v>
      </c>
      <c r="BW617" s="13" t="str">
        <f>VLOOKUP($BT617,Enriched!$A$2:$E$1070,5,false)</f>
        <v>["Climate Change &amp; Severe Weather", "Transportation &amp; Service Corridors", "Biological Resource Use", "Invasive &amp; Other Problematic Species, Genes &amp; Diseases", "Pollution"]</v>
      </c>
      <c r="BX617" s="13" t="str">
        <f>VLOOKUP($BT617,Enriched!$A$2:$E$1070,4,false)</f>
        <v>["Habitat shifting &amp; alteration", "Temperature extremes", "Shipping lanes", "Fishing &amp; harvesting aquatic resources", "Invasive non-native/alien species/diseases", "Domestic &amp; urban waste water", "Industrial &amp; military effluents", "Agricultural &amp; forestry effluents", "Excess energy"]</v>
      </c>
      <c r="BY617" s="13" t="b">
        <f>VLOOKUP(BT617,Enriched!$A$1:$AA$1070,27,falsE)</f>
        <v>0</v>
      </c>
      <c r="BZ617" s="2" t="str">
        <f>VLOOKUP(BT617,Enriched!$A$1:$AA$1070,14,falsE)</f>
        <v>cumulative</v>
      </c>
      <c r="CA617" s="13" t="str">
        <f>HYPERLINK("https%3A%2F%2Fwww.webofscience.com%2Fwos%2Fwoscc%2Ffull-record%2FWOS:000454777600007","View Full Record in Web of Science")</f>
        <v>View Full Record in Web of Science</v>
      </c>
    </row>
    <row r="618" ht="12.75" customHeight="1">
      <c r="A618" s="13" t="s">
        <v>5508</v>
      </c>
      <c r="B618" s="13" t="s">
        <v>16466</v>
      </c>
      <c r="C618" s="13" t="s">
        <v>5510</v>
      </c>
      <c r="D618" s="13" t="s">
        <v>5510</v>
      </c>
      <c r="E618" s="13" t="s">
        <v>5510</v>
      </c>
      <c r="F618" s="13" t="s">
        <v>16467</v>
      </c>
      <c r="G618" s="13" t="s">
        <v>5510</v>
      </c>
      <c r="H618" s="13" t="s">
        <v>5510</v>
      </c>
      <c r="I618" s="13" t="s">
        <v>16468</v>
      </c>
      <c r="J618" s="13" t="s">
        <v>5543</v>
      </c>
      <c r="K618" s="13" t="s">
        <v>5510</v>
      </c>
      <c r="L618" s="13" t="s">
        <v>5510</v>
      </c>
      <c r="M618" s="13" t="s">
        <v>5513</v>
      </c>
      <c r="N618" s="13" t="s">
        <v>5514</v>
      </c>
      <c r="O618" s="13" t="s">
        <v>5510</v>
      </c>
      <c r="P618" s="13" t="s">
        <v>5510</v>
      </c>
      <c r="Q618" s="13" t="s">
        <v>5510</v>
      </c>
      <c r="R618" s="13" t="s">
        <v>5510</v>
      </c>
      <c r="S618" s="13" t="s">
        <v>5510</v>
      </c>
      <c r="T618" s="13" t="s">
        <v>5510</v>
      </c>
      <c r="U618" s="13" t="s">
        <v>16469</v>
      </c>
      <c r="V618" s="13" t="s">
        <v>16470</v>
      </c>
      <c r="W618" s="13" t="s">
        <v>16471</v>
      </c>
      <c r="X618" s="13" t="s">
        <v>5510</v>
      </c>
      <c r="Y618" s="13" t="s">
        <v>16472</v>
      </c>
      <c r="Z618" s="13" t="s">
        <v>16473</v>
      </c>
      <c r="AA618" s="13" t="s">
        <v>5510</v>
      </c>
      <c r="AB618" s="13" t="s">
        <v>5510</v>
      </c>
      <c r="AC618" s="13" t="s">
        <v>16474</v>
      </c>
      <c r="AD618" s="13" t="s">
        <v>16474</v>
      </c>
      <c r="AE618" s="13" t="s">
        <v>16475</v>
      </c>
      <c r="AF618" s="13" t="s">
        <v>5510</v>
      </c>
      <c r="AG618" s="13">
        <v>44.0</v>
      </c>
      <c r="AH618" s="13">
        <v>36.0</v>
      </c>
      <c r="AI618" s="13">
        <v>40.0</v>
      </c>
      <c r="AJ618" s="13">
        <v>0.0</v>
      </c>
      <c r="AK618" s="13">
        <v>35.0</v>
      </c>
      <c r="AL618" s="13" t="s">
        <v>5552</v>
      </c>
      <c r="AM618" s="13" t="s">
        <v>5553</v>
      </c>
      <c r="AN618" s="13" t="s">
        <v>5554</v>
      </c>
      <c r="AO618" s="13" t="s">
        <v>5555</v>
      </c>
      <c r="AP618" s="13" t="s">
        <v>5510</v>
      </c>
      <c r="AQ618" s="13" t="s">
        <v>5510</v>
      </c>
      <c r="AR618" s="13" t="s">
        <v>5543</v>
      </c>
      <c r="AS618" s="13" t="s">
        <v>5556</v>
      </c>
      <c r="AT618" s="13" t="s">
        <v>16476</v>
      </c>
      <c r="AU618" s="13">
        <v>2013.0</v>
      </c>
      <c r="AV618" s="13">
        <v>8.0</v>
      </c>
      <c r="AW618" s="13">
        <v>12.0</v>
      </c>
      <c r="AX618" s="13" t="s">
        <v>5510</v>
      </c>
      <c r="AY618" s="13" t="s">
        <v>5510</v>
      </c>
      <c r="AZ618" s="13" t="s">
        <v>5510</v>
      </c>
      <c r="BA618" s="13" t="s">
        <v>5510</v>
      </c>
      <c r="BB618" s="13" t="s">
        <v>5510</v>
      </c>
      <c r="BC618" s="13" t="s">
        <v>5510</v>
      </c>
      <c r="BD618" s="13" t="s">
        <v>16477</v>
      </c>
      <c r="BE618" s="13" t="s">
        <v>16478</v>
      </c>
      <c r="BF618" s="52" t="str">
        <f>HYPERLINK("http://dx.doi.org/10.1371/journal.pone.0082273","http://dx.doi.org/10.1371/journal.pone.0082273")</f>
        <v>http://dx.doi.org/10.1371/journal.pone.0082273</v>
      </c>
      <c r="BG618" s="13" t="s">
        <v>5510</v>
      </c>
      <c r="BH618" s="13" t="s">
        <v>5510</v>
      </c>
      <c r="BI618" s="13">
        <v>18.0</v>
      </c>
      <c r="BJ618" s="13" t="s">
        <v>5560</v>
      </c>
      <c r="BK618" s="13" t="s">
        <v>5561</v>
      </c>
      <c r="BL618" s="13" t="s">
        <v>5562</v>
      </c>
      <c r="BM618" s="13" t="s">
        <v>16479</v>
      </c>
      <c r="BN618" s="13">
        <v>2.4358162E7</v>
      </c>
      <c r="BO618" s="13" t="s">
        <v>5564</v>
      </c>
      <c r="BP618" s="13" t="s">
        <v>5510</v>
      </c>
      <c r="BQ618" s="13" t="s">
        <v>5510</v>
      </c>
      <c r="BR618" s="13" t="s">
        <v>5538</v>
      </c>
      <c r="BS618" s="13" t="s">
        <v>16480</v>
      </c>
      <c r="BT618" s="13">
        <v>25112.0</v>
      </c>
      <c r="BU618" s="13" t="s">
        <v>5540</v>
      </c>
      <c r="BV618" s="13" t="s">
        <v>4864</v>
      </c>
      <c r="BW618" s="13" t="str">
        <f>VLOOKUP($BT618,Enriched!$A$2:$E$1070,5,false)</f>
        <v>["Biological resource use"]</v>
      </c>
      <c r="BX618" s="13" t="str">
        <f>VLOOKUP($BT618,Enriched!$A$2:$E$1070,4,false)</f>
        <v>["Fishing &amp; harvesting aquatic resources"]</v>
      </c>
      <c r="BY618" s="13" t="b">
        <f>VLOOKUP(BT618,Enriched!$A$1:$AA$1070,27,falsE)</f>
        <v>0</v>
      </c>
      <c r="BZ618" s="2" t="str">
        <f>VLOOKUP(BT618,Enriched!$A$1:$AA$1070,14,falsE)</f>
        <v>level2</v>
      </c>
      <c r="CA618" s="13" t="str">
        <f>HYPERLINK("https%3A%2F%2Fwww.webofscience.com%2Fwos%2Fwoscc%2Ffull-record%2FWOS:000328735700052","View Full Record in Web of Science")</f>
        <v>View Full Record in Web of Science</v>
      </c>
    </row>
    <row r="619" ht="12.75" customHeight="1">
      <c r="A619" s="13" t="s">
        <v>5508</v>
      </c>
      <c r="B619" s="13" t="s">
        <v>16481</v>
      </c>
      <c r="C619" s="13" t="s">
        <v>5510</v>
      </c>
      <c r="D619" s="13" t="s">
        <v>5510</v>
      </c>
      <c r="E619" s="13" t="s">
        <v>5510</v>
      </c>
      <c r="F619" s="13" t="s">
        <v>16482</v>
      </c>
      <c r="G619" s="13" t="s">
        <v>5510</v>
      </c>
      <c r="H619" s="13" t="s">
        <v>5510</v>
      </c>
      <c r="I619" s="13" t="s">
        <v>1144</v>
      </c>
      <c r="J619" s="13" t="s">
        <v>16483</v>
      </c>
      <c r="K619" s="13" t="s">
        <v>5510</v>
      </c>
      <c r="L619" s="13" t="s">
        <v>5510</v>
      </c>
      <c r="M619" s="13" t="s">
        <v>5513</v>
      </c>
      <c r="N619" s="13" t="s">
        <v>5514</v>
      </c>
      <c r="O619" s="13" t="s">
        <v>5510</v>
      </c>
      <c r="P619" s="13" t="s">
        <v>5510</v>
      </c>
      <c r="Q619" s="13" t="s">
        <v>5510</v>
      </c>
      <c r="R619" s="13" t="s">
        <v>5510</v>
      </c>
      <c r="S619" s="13" t="s">
        <v>5510</v>
      </c>
      <c r="T619" s="13" t="s">
        <v>16484</v>
      </c>
      <c r="U619" s="13" t="s">
        <v>16485</v>
      </c>
      <c r="V619" s="13" t="s">
        <v>16486</v>
      </c>
      <c r="W619" s="13" t="s">
        <v>16487</v>
      </c>
      <c r="X619" s="13" t="s">
        <v>16488</v>
      </c>
      <c r="Y619" s="13" t="s">
        <v>16489</v>
      </c>
      <c r="Z619" s="13" t="s">
        <v>16490</v>
      </c>
      <c r="AA619" s="13" t="s">
        <v>16491</v>
      </c>
      <c r="AB619" s="13" t="s">
        <v>16492</v>
      </c>
      <c r="AC619" s="13" t="s">
        <v>5510</v>
      </c>
      <c r="AD619" s="13" t="s">
        <v>5510</v>
      </c>
      <c r="AE619" s="13" t="s">
        <v>5510</v>
      </c>
      <c r="AF619" s="13" t="s">
        <v>5510</v>
      </c>
      <c r="AG619" s="13">
        <v>24.0</v>
      </c>
      <c r="AH619" s="13">
        <v>5.0</v>
      </c>
      <c r="AI619" s="13">
        <v>5.0</v>
      </c>
      <c r="AJ619" s="13">
        <v>1.0</v>
      </c>
      <c r="AK619" s="13">
        <v>69.0</v>
      </c>
      <c r="AL619" s="13" t="s">
        <v>16493</v>
      </c>
      <c r="AM619" s="13" t="s">
        <v>16494</v>
      </c>
      <c r="AN619" s="13" t="s">
        <v>16495</v>
      </c>
      <c r="AO619" s="13" t="s">
        <v>16496</v>
      </c>
      <c r="AP619" s="13" t="s">
        <v>16497</v>
      </c>
      <c r="AQ619" s="13" t="s">
        <v>5510</v>
      </c>
      <c r="AR619" s="13" t="s">
        <v>16498</v>
      </c>
      <c r="AS619" s="13" t="s">
        <v>16499</v>
      </c>
      <c r="AT619" s="13" t="s">
        <v>1453</v>
      </c>
      <c r="AU619" s="13">
        <v>2007.0</v>
      </c>
      <c r="AV619" s="13">
        <v>57.0</v>
      </c>
      <c r="AW619" s="13">
        <v>4.0</v>
      </c>
      <c r="AX619" s="13" t="s">
        <v>5510</v>
      </c>
      <c r="AY619" s="13" t="s">
        <v>5510</v>
      </c>
      <c r="AZ619" s="13" t="s">
        <v>5510</v>
      </c>
      <c r="BA619" s="13" t="s">
        <v>5510</v>
      </c>
      <c r="BB619" s="13">
        <v>485.0</v>
      </c>
      <c r="BC619" s="13">
        <v>500.0</v>
      </c>
      <c r="BD619" s="13" t="s">
        <v>5510</v>
      </c>
      <c r="BE619" s="13" t="str">
        <f t="shared" ref="BE619:BE620" si="1">#REF!</f>
        <v>#REF!</v>
      </c>
      <c r="BF619" s="13" t="s">
        <v>5510</v>
      </c>
      <c r="BG619" s="13" t="s">
        <v>5510</v>
      </c>
      <c r="BH619" s="13" t="s">
        <v>5510</v>
      </c>
      <c r="BI619" s="13">
        <v>16.0</v>
      </c>
      <c r="BJ619" s="13" t="s">
        <v>6899</v>
      </c>
      <c r="BK619" s="13" t="s">
        <v>5561</v>
      </c>
      <c r="BL619" s="13" t="s">
        <v>6899</v>
      </c>
      <c r="BM619" s="13" t="s">
        <v>16500</v>
      </c>
      <c r="BN619" s="13" t="s">
        <v>5510</v>
      </c>
      <c r="BO619" s="13" t="s">
        <v>5510</v>
      </c>
      <c r="BP619" s="13" t="s">
        <v>5510</v>
      </c>
      <c r="BQ619" s="13" t="s">
        <v>5510</v>
      </c>
      <c r="BR619" s="13" t="s">
        <v>5538</v>
      </c>
      <c r="BS619" s="13" t="s">
        <v>16501</v>
      </c>
      <c r="BT619" s="13">
        <v>26120.0</v>
      </c>
      <c r="BU619" s="13" t="s">
        <v>5540</v>
      </c>
      <c r="BV619" s="13" t="s">
        <v>4856</v>
      </c>
      <c r="BW619" s="13" t="str">
        <f>VLOOKUP($BT619,Enriched!$A$2:$E$1070,5,false)</f>
        <v>["Transportation &amp; Service Corridors"]</v>
      </c>
      <c r="BX619" s="13" t="str">
        <f>VLOOKUP($BT619,Enriched!$A$2:$E$1070,4,false)</f>
        <v>["Roads &amp; railroads"]</v>
      </c>
      <c r="BY619" s="13" t="b">
        <f>VLOOKUP(BT619,Enriched!$A$1:$AA$1070,27,falsE)</f>
        <v>0</v>
      </c>
      <c r="BZ619" s="2" t="str">
        <f>VLOOKUP(BT619,Enriched!$A$1:$AA$1070,14,falsE)</f>
        <v>cumulative</v>
      </c>
      <c r="CA619" s="13" t="str">
        <f>HYPERLINK("https%3A%2F%2Fwww.webofscience.com%2Fwos%2Fwoscc%2Ffull-record%2FWOS:000251450200009","View Full Record in Web of Science")</f>
        <v>View Full Record in Web of Science</v>
      </c>
    </row>
    <row r="620" ht="12.75" customHeight="1">
      <c r="A620" s="13" t="s">
        <v>5508</v>
      </c>
      <c r="B620" s="13" t="s">
        <v>16502</v>
      </c>
      <c r="C620" s="13" t="s">
        <v>5510</v>
      </c>
      <c r="D620" s="13" t="s">
        <v>5510</v>
      </c>
      <c r="E620" s="13" t="s">
        <v>5510</v>
      </c>
      <c r="F620" s="13" t="s">
        <v>16503</v>
      </c>
      <c r="G620" s="13" t="s">
        <v>5510</v>
      </c>
      <c r="H620" s="13" t="s">
        <v>5510</v>
      </c>
      <c r="I620" s="13" t="s">
        <v>16504</v>
      </c>
      <c r="J620" s="13" t="s">
        <v>16505</v>
      </c>
      <c r="K620" s="13" t="s">
        <v>5510</v>
      </c>
      <c r="L620" s="13" t="s">
        <v>5510</v>
      </c>
      <c r="M620" s="13" t="s">
        <v>5513</v>
      </c>
      <c r="N620" s="13" t="s">
        <v>5514</v>
      </c>
      <c r="O620" s="13" t="s">
        <v>5510</v>
      </c>
      <c r="P620" s="13" t="s">
        <v>5510</v>
      </c>
      <c r="Q620" s="13" t="s">
        <v>5510</v>
      </c>
      <c r="R620" s="13" t="s">
        <v>5510</v>
      </c>
      <c r="S620" s="13" t="s">
        <v>5510</v>
      </c>
      <c r="T620" s="13" t="s">
        <v>16506</v>
      </c>
      <c r="U620" s="13" t="s">
        <v>16507</v>
      </c>
      <c r="V620" s="13" t="s">
        <v>16508</v>
      </c>
      <c r="W620" s="13" t="s">
        <v>16509</v>
      </c>
      <c r="X620" s="13" t="s">
        <v>16510</v>
      </c>
      <c r="Y620" s="13" t="s">
        <v>9637</v>
      </c>
      <c r="Z620" s="13" t="s">
        <v>9638</v>
      </c>
      <c r="AA620" s="13" t="s">
        <v>5510</v>
      </c>
      <c r="AB620" s="13" t="s">
        <v>5510</v>
      </c>
      <c r="AC620" s="13" t="s">
        <v>5510</v>
      </c>
      <c r="AD620" s="13" t="s">
        <v>5510</v>
      </c>
      <c r="AE620" s="13" t="s">
        <v>5510</v>
      </c>
      <c r="AF620" s="13" t="s">
        <v>5510</v>
      </c>
      <c r="AG620" s="13">
        <v>25.0</v>
      </c>
      <c r="AH620" s="13">
        <v>29.0</v>
      </c>
      <c r="AI620" s="13">
        <v>33.0</v>
      </c>
      <c r="AJ620" s="13">
        <v>0.0</v>
      </c>
      <c r="AK620" s="13">
        <v>60.0</v>
      </c>
      <c r="AL620" s="13" t="s">
        <v>16511</v>
      </c>
      <c r="AM620" s="13" t="s">
        <v>16512</v>
      </c>
      <c r="AN620" s="13" t="s">
        <v>16513</v>
      </c>
      <c r="AO620" s="13" t="s">
        <v>16514</v>
      </c>
      <c r="AP620" s="13" t="s">
        <v>16515</v>
      </c>
      <c r="AQ620" s="13" t="s">
        <v>5510</v>
      </c>
      <c r="AR620" s="13" t="s">
        <v>16516</v>
      </c>
      <c r="AS620" s="13" t="s">
        <v>16517</v>
      </c>
      <c r="AT620" s="13" t="s">
        <v>6385</v>
      </c>
      <c r="AU620" s="13">
        <v>2016.0</v>
      </c>
      <c r="AV620" s="13">
        <v>10.0</v>
      </c>
      <c r="AW620" s="13">
        <v>1.0</v>
      </c>
      <c r="AX620" s="13" t="s">
        <v>5510</v>
      </c>
      <c r="AY620" s="13" t="s">
        <v>5510</v>
      </c>
      <c r="AZ620" s="13" t="s">
        <v>5510</v>
      </c>
      <c r="BA620" s="13" t="s">
        <v>5510</v>
      </c>
      <c r="BB620" s="13">
        <v>103.0</v>
      </c>
      <c r="BC620" s="13">
        <v>109.0</v>
      </c>
      <c r="BD620" s="13" t="s">
        <v>5510</v>
      </c>
      <c r="BE620" s="13" t="str">
        <f t="shared" si="1"/>
        <v>#REF!</v>
      </c>
      <c r="BF620" s="13" t="s">
        <v>5510</v>
      </c>
      <c r="BG620" s="13" t="s">
        <v>5510</v>
      </c>
      <c r="BH620" s="13" t="s">
        <v>5510</v>
      </c>
      <c r="BI620" s="13">
        <v>7.0</v>
      </c>
      <c r="BJ620" s="13" t="s">
        <v>5958</v>
      </c>
      <c r="BK620" s="13" t="s">
        <v>5561</v>
      </c>
      <c r="BL620" s="13" t="s">
        <v>5699</v>
      </c>
      <c r="BM620" s="13" t="s">
        <v>16518</v>
      </c>
      <c r="BN620" s="13" t="s">
        <v>5510</v>
      </c>
      <c r="BO620" s="13" t="s">
        <v>5510</v>
      </c>
      <c r="BP620" s="13" t="s">
        <v>5510</v>
      </c>
      <c r="BQ620" s="13" t="s">
        <v>5510</v>
      </c>
      <c r="BR620" s="13" t="s">
        <v>5538</v>
      </c>
      <c r="BS620" s="13" t="s">
        <v>16519</v>
      </c>
      <c r="BT620" s="13">
        <v>24825.0</v>
      </c>
      <c r="BU620" s="13" t="s">
        <v>5540</v>
      </c>
      <c r="BV620" s="13" t="s">
        <v>4856</v>
      </c>
      <c r="BW620" s="13" t="str">
        <f>VLOOKUP($BT620,Enriched!$A$2:$E$1070,5,false)</f>
        <v>["Transportation &amp; Service Corridors"]</v>
      </c>
      <c r="BX620" s="13" t="str">
        <f>VLOOKUP($BT620,Enriched!$A$2:$E$1070,4,false)</f>
        <v>["Roads &amp; railroads"]</v>
      </c>
      <c r="BY620" s="13" t="b">
        <f>VLOOKUP(BT620,Enriched!$A$1:$AA$1070,27,falsE)</f>
        <v>0</v>
      </c>
      <c r="BZ620" s="2" t="str">
        <f>VLOOKUP(BT620,Enriched!$A$1:$AA$1070,14,falsE)</f>
        <v>level2</v>
      </c>
      <c r="CA620" s="13" t="str">
        <f>HYPERLINK("https%3A%2F%2Fwww.webofscience.com%2Fwos%2Fwoscc%2Ffull-record%2FWOS:000376092600013","View Full Record in Web of Science")</f>
        <v>View Full Record in Web of Science</v>
      </c>
    </row>
    <row r="621" ht="12.75" customHeight="1">
      <c r="A621" s="13" t="s">
        <v>5508</v>
      </c>
      <c r="B621" s="13" t="s">
        <v>16520</v>
      </c>
      <c r="C621" s="13" t="s">
        <v>5510</v>
      </c>
      <c r="D621" s="13" t="s">
        <v>5510</v>
      </c>
      <c r="E621" s="13" t="s">
        <v>5510</v>
      </c>
      <c r="F621" s="13" t="s">
        <v>16521</v>
      </c>
      <c r="G621" s="13" t="s">
        <v>5510</v>
      </c>
      <c r="H621" s="13" t="s">
        <v>5510</v>
      </c>
      <c r="I621" s="13" t="s">
        <v>1138</v>
      </c>
      <c r="J621" s="13" t="s">
        <v>9981</v>
      </c>
      <c r="K621" s="13" t="s">
        <v>5510</v>
      </c>
      <c r="L621" s="13" t="s">
        <v>5510</v>
      </c>
      <c r="M621" s="13" t="s">
        <v>5513</v>
      </c>
      <c r="N621" s="13" t="s">
        <v>5514</v>
      </c>
      <c r="O621" s="13" t="s">
        <v>5510</v>
      </c>
      <c r="P621" s="13" t="s">
        <v>5510</v>
      </c>
      <c r="Q621" s="13" t="s">
        <v>5510</v>
      </c>
      <c r="R621" s="13" t="s">
        <v>5510</v>
      </c>
      <c r="S621" s="13" t="s">
        <v>5510</v>
      </c>
      <c r="T621" s="13" t="s">
        <v>16522</v>
      </c>
      <c r="U621" s="13" t="s">
        <v>16523</v>
      </c>
      <c r="V621" s="13" t="s">
        <v>16524</v>
      </c>
      <c r="W621" s="13" t="s">
        <v>16525</v>
      </c>
      <c r="X621" s="13" t="s">
        <v>16526</v>
      </c>
      <c r="Y621" s="13" t="s">
        <v>16527</v>
      </c>
      <c r="Z621" s="13" t="s">
        <v>16528</v>
      </c>
      <c r="AA621" s="13" t="s">
        <v>16529</v>
      </c>
      <c r="AB621" s="13" t="s">
        <v>16530</v>
      </c>
      <c r="AC621" s="13" t="s">
        <v>16531</v>
      </c>
      <c r="AD621" s="13" t="s">
        <v>16531</v>
      </c>
      <c r="AE621" s="13" t="s">
        <v>16532</v>
      </c>
      <c r="AF621" s="13" t="s">
        <v>5510</v>
      </c>
      <c r="AG621" s="13">
        <v>73.0</v>
      </c>
      <c r="AH621" s="13">
        <v>21.0</v>
      </c>
      <c r="AI621" s="13">
        <v>24.0</v>
      </c>
      <c r="AJ621" s="13">
        <v>2.0</v>
      </c>
      <c r="AK621" s="13">
        <v>61.0</v>
      </c>
      <c r="AL621" s="13" t="s">
        <v>9992</v>
      </c>
      <c r="AM621" s="13" t="s">
        <v>9993</v>
      </c>
      <c r="AN621" s="13" t="s">
        <v>9994</v>
      </c>
      <c r="AO621" s="13" t="s">
        <v>9995</v>
      </c>
      <c r="AP621" s="13" t="s">
        <v>5510</v>
      </c>
      <c r="AQ621" s="13" t="s">
        <v>5510</v>
      </c>
      <c r="AR621" s="13" t="s">
        <v>9996</v>
      </c>
      <c r="AS621" s="13" t="s">
        <v>9997</v>
      </c>
      <c r="AT621" s="13" t="s">
        <v>16533</v>
      </c>
      <c r="AU621" s="13">
        <v>2018.0</v>
      </c>
      <c r="AV621" s="13">
        <v>11.0</v>
      </c>
      <c r="AW621" s="13" t="s">
        <v>5510</v>
      </c>
      <c r="AX621" s="13" t="s">
        <v>5510</v>
      </c>
      <c r="AY621" s="13" t="s">
        <v>5510</v>
      </c>
      <c r="AZ621" s="13" t="s">
        <v>5510</v>
      </c>
      <c r="BA621" s="13" t="s">
        <v>5510</v>
      </c>
      <c r="BB621" s="13" t="s">
        <v>5510</v>
      </c>
      <c r="BC621" s="13" t="s">
        <v>5510</v>
      </c>
      <c r="BD621" s="13">
        <v>1.94008291879432E15</v>
      </c>
      <c r="BE621" s="13" t="s">
        <v>16534</v>
      </c>
      <c r="BF621" s="52" t="str">
        <f>HYPERLINK("http://dx.doi.org/10.1177/1940082918794320","http://dx.doi.org/10.1177/1940082918794320")</f>
        <v>http://dx.doi.org/10.1177/1940082918794320</v>
      </c>
      <c r="BG621" s="13" t="s">
        <v>5510</v>
      </c>
      <c r="BH621" s="13" t="s">
        <v>5510</v>
      </c>
      <c r="BI621" s="13">
        <v>12.0</v>
      </c>
      <c r="BJ621" s="13" t="s">
        <v>5648</v>
      </c>
      <c r="BK621" s="13" t="s">
        <v>5561</v>
      </c>
      <c r="BL621" s="13" t="s">
        <v>5650</v>
      </c>
      <c r="BM621" s="13" t="s">
        <v>16535</v>
      </c>
      <c r="BN621" s="13" t="s">
        <v>5510</v>
      </c>
      <c r="BO621" s="13" t="s">
        <v>6028</v>
      </c>
      <c r="BP621" s="13" t="s">
        <v>5510</v>
      </c>
      <c r="BQ621" s="13" t="s">
        <v>5510</v>
      </c>
      <c r="BR621" s="13" t="s">
        <v>5538</v>
      </c>
      <c r="BS621" s="13" t="s">
        <v>16536</v>
      </c>
      <c r="BT621" s="13">
        <v>24695.0</v>
      </c>
      <c r="BU621" s="13" t="s">
        <v>5540</v>
      </c>
      <c r="BV621" s="13" t="s">
        <v>4852</v>
      </c>
      <c r="BW621" s="13" t="str">
        <f>VLOOKUP($BT621,Enriched!$A$2:$E$1070,5,false)</f>
        <v>["Pollution"]</v>
      </c>
      <c r="BX621" s="13" t="str">
        <f>VLOOKUP($BT621,Enriched!$A$2:$E$1070,4,false)</f>
        <v>["Industrial &amp; military effluents"]</v>
      </c>
      <c r="BY621" s="13" t="b">
        <f>VLOOKUP(BT621,Enriched!$A$1:$AA$1070,27,falsE)</f>
        <v>0</v>
      </c>
      <c r="BZ621" s="2" t="str">
        <f>VLOOKUP(BT621,Enriched!$A$1:$AA$1070,14,falsE)</f>
        <v>level2</v>
      </c>
      <c r="CA621" s="13" t="str">
        <f>HYPERLINK("https%3A%2F%2Fwww.webofscience.com%2Fwos%2Fwoscc%2Ffull-record%2FWOS:000445163000001","View Full Record in Web of Science")</f>
        <v>View Full Record in Web of Science</v>
      </c>
    </row>
    <row r="622" ht="12.75" customHeight="1">
      <c r="A622" s="13" t="s">
        <v>5508</v>
      </c>
      <c r="B622" s="13" t="s">
        <v>16537</v>
      </c>
      <c r="C622" s="13" t="s">
        <v>5510</v>
      </c>
      <c r="D622" s="13" t="s">
        <v>5510</v>
      </c>
      <c r="E622" s="13" t="s">
        <v>5510</v>
      </c>
      <c r="F622" s="13" t="s">
        <v>16538</v>
      </c>
      <c r="G622" s="13" t="s">
        <v>5510</v>
      </c>
      <c r="H622" s="13" t="s">
        <v>5510</v>
      </c>
      <c r="I622" s="13" t="s">
        <v>1136</v>
      </c>
      <c r="J622" s="13" t="s">
        <v>5919</v>
      </c>
      <c r="K622" s="13" t="s">
        <v>5510</v>
      </c>
      <c r="L622" s="13" t="s">
        <v>5510</v>
      </c>
      <c r="M622" s="13" t="s">
        <v>5513</v>
      </c>
      <c r="N622" s="13" t="s">
        <v>5514</v>
      </c>
      <c r="O622" s="13" t="s">
        <v>5510</v>
      </c>
      <c r="P622" s="13" t="s">
        <v>5510</v>
      </c>
      <c r="Q622" s="13" t="s">
        <v>5510</v>
      </c>
      <c r="R622" s="13" t="s">
        <v>5510</v>
      </c>
      <c r="S622" s="13" t="s">
        <v>5510</v>
      </c>
      <c r="T622" s="13" t="s">
        <v>16539</v>
      </c>
      <c r="U622" s="13" t="s">
        <v>16540</v>
      </c>
      <c r="V622" s="13" t="s">
        <v>16541</v>
      </c>
      <c r="W622" s="13" t="s">
        <v>16542</v>
      </c>
      <c r="X622" s="13" t="s">
        <v>7746</v>
      </c>
      <c r="Y622" s="13" t="s">
        <v>16543</v>
      </c>
      <c r="Z622" s="13" t="s">
        <v>7241</v>
      </c>
      <c r="AA622" s="13" t="s">
        <v>16544</v>
      </c>
      <c r="AB622" s="13" t="s">
        <v>16545</v>
      </c>
      <c r="AC622" s="13" t="s">
        <v>16546</v>
      </c>
      <c r="AD622" s="13" t="s">
        <v>16546</v>
      </c>
      <c r="AE622" s="13" t="s">
        <v>16547</v>
      </c>
      <c r="AF622" s="13" t="s">
        <v>5510</v>
      </c>
      <c r="AG622" s="13">
        <v>70.0</v>
      </c>
      <c r="AH622" s="13">
        <v>51.0</v>
      </c>
      <c r="AI622" s="13">
        <v>54.0</v>
      </c>
      <c r="AJ622" s="13">
        <v>2.0</v>
      </c>
      <c r="AK622" s="13">
        <v>65.0</v>
      </c>
      <c r="AL622" s="13" t="s">
        <v>5931</v>
      </c>
      <c r="AM622" s="13" t="s">
        <v>5932</v>
      </c>
      <c r="AN622" s="13" t="s">
        <v>5933</v>
      </c>
      <c r="AO622" s="13" t="s">
        <v>5934</v>
      </c>
      <c r="AP622" s="13" t="s">
        <v>5935</v>
      </c>
      <c r="AQ622" s="13" t="s">
        <v>5510</v>
      </c>
      <c r="AR622" s="13" t="s">
        <v>5936</v>
      </c>
      <c r="AS622" s="13" t="s">
        <v>5937</v>
      </c>
      <c r="AT622" s="13" t="s">
        <v>6828</v>
      </c>
      <c r="AU622" s="13">
        <v>2020.0</v>
      </c>
      <c r="AV622" s="13">
        <v>244.0</v>
      </c>
      <c r="AW622" s="13" t="s">
        <v>5510</v>
      </c>
      <c r="AX622" s="13" t="s">
        <v>5510</v>
      </c>
      <c r="AY622" s="13" t="s">
        <v>5510</v>
      </c>
      <c r="AZ622" s="13" t="s">
        <v>5510</v>
      </c>
      <c r="BA622" s="13" t="s">
        <v>5510</v>
      </c>
      <c r="BB622" s="13" t="s">
        <v>5510</v>
      </c>
      <c r="BC622" s="13" t="s">
        <v>5510</v>
      </c>
      <c r="BD622" s="13">
        <v>108504.0</v>
      </c>
      <c r="BE622" s="13" t="s">
        <v>16548</v>
      </c>
      <c r="BF622" s="52" t="str">
        <f>HYPERLINK("http://dx.doi.org/10.1016/j.biocon.2020.108504","http://dx.doi.org/10.1016/j.biocon.2020.108504")</f>
        <v>http://dx.doi.org/10.1016/j.biocon.2020.108504</v>
      </c>
      <c r="BG622" s="13" t="s">
        <v>5510</v>
      </c>
      <c r="BH622" s="13" t="s">
        <v>5510</v>
      </c>
      <c r="BI622" s="13">
        <v>8.0</v>
      </c>
      <c r="BJ622" s="13" t="s">
        <v>5698</v>
      </c>
      <c r="BK622" s="13" t="s">
        <v>5561</v>
      </c>
      <c r="BL622" s="13" t="s">
        <v>5699</v>
      </c>
      <c r="BM622" s="13" t="s">
        <v>16549</v>
      </c>
      <c r="BN622" s="13" t="s">
        <v>5510</v>
      </c>
      <c r="BO622" s="13" t="s">
        <v>6623</v>
      </c>
      <c r="BP622" s="13" t="s">
        <v>5510</v>
      </c>
      <c r="BQ622" s="13" t="s">
        <v>5510</v>
      </c>
      <c r="BR622" s="13" t="s">
        <v>5538</v>
      </c>
      <c r="BS622" s="13" t="s">
        <v>16550</v>
      </c>
      <c r="BT622" s="13">
        <v>24620.0</v>
      </c>
      <c r="BU622" s="13" t="s">
        <v>5540</v>
      </c>
      <c r="BV622" s="13" t="s">
        <v>4856</v>
      </c>
      <c r="BW622" s="13" t="str">
        <f>VLOOKUP($BT622,Enriched!$A$2:$E$1070,5,false)</f>
        <v>["Biological resource use"]</v>
      </c>
      <c r="BX622" s="13" t="str">
        <f>VLOOKUP($BT622,Enriched!$A$2:$E$1070,4,false)</f>
        <v>["Hunting &amp; collecting terrestrial animals"]</v>
      </c>
      <c r="BY622" s="13" t="b">
        <f>VLOOKUP(BT622,Enriched!$A$1:$AA$1070,27,falsE)</f>
        <v>0</v>
      </c>
      <c r="BZ622" s="2" t="str">
        <f>VLOOKUP(BT622,Enriched!$A$1:$AA$1070,14,falsE)</f>
        <v>level2</v>
      </c>
      <c r="CA622" s="13" t="str">
        <f>HYPERLINK("https%3A%2F%2Fwww.webofscience.com%2Fwos%2Fwoscc%2Ffull-record%2FWOS:000526787400012","View Full Record in Web of Science")</f>
        <v>View Full Record in Web of Science</v>
      </c>
    </row>
    <row r="623" ht="12.75" customHeight="1">
      <c r="A623" s="13" t="s">
        <v>5508</v>
      </c>
      <c r="B623" s="13" t="s">
        <v>16551</v>
      </c>
      <c r="C623" s="13" t="s">
        <v>5510</v>
      </c>
      <c r="D623" s="13" t="s">
        <v>5510</v>
      </c>
      <c r="E623" s="13" t="s">
        <v>5510</v>
      </c>
      <c r="F623" s="13" t="s">
        <v>16552</v>
      </c>
      <c r="G623" s="13" t="s">
        <v>5510</v>
      </c>
      <c r="H623" s="13" t="s">
        <v>5510</v>
      </c>
      <c r="I623" s="13" t="s">
        <v>16553</v>
      </c>
      <c r="J623" s="13" t="s">
        <v>5677</v>
      </c>
      <c r="K623" s="13" t="s">
        <v>5510</v>
      </c>
      <c r="L623" s="13" t="s">
        <v>5510</v>
      </c>
      <c r="M623" s="13" t="s">
        <v>5513</v>
      </c>
      <c r="N623" s="13" t="s">
        <v>5514</v>
      </c>
      <c r="O623" s="13" t="s">
        <v>5510</v>
      </c>
      <c r="P623" s="13" t="s">
        <v>5510</v>
      </c>
      <c r="Q623" s="13" t="s">
        <v>5510</v>
      </c>
      <c r="R623" s="13" t="s">
        <v>5510</v>
      </c>
      <c r="S623" s="13" t="s">
        <v>5510</v>
      </c>
      <c r="T623" s="13" t="s">
        <v>16554</v>
      </c>
      <c r="U623" s="13" t="s">
        <v>16555</v>
      </c>
      <c r="V623" s="13" t="s">
        <v>16556</v>
      </c>
      <c r="W623" s="13" t="s">
        <v>16557</v>
      </c>
      <c r="X623" s="13" t="s">
        <v>16558</v>
      </c>
      <c r="Y623" s="13" t="s">
        <v>16559</v>
      </c>
      <c r="Z623" s="13" t="s">
        <v>16560</v>
      </c>
      <c r="AA623" s="13" t="s">
        <v>16561</v>
      </c>
      <c r="AB623" s="13" t="s">
        <v>5510</v>
      </c>
      <c r="AC623" s="13" t="s">
        <v>16562</v>
      </c>
      <c r="AD623" s="13" t="s">
        <v>16563</v>
      </c>
      <c r="AE623" s="13" t="s">
        <v>16564</v>
      </c>
      <c r="AF623" s="13" t="s">
        <v>5510</v>
      </c>
      <c r="AG623" s="13">
        <v>39.0</v>
      </c>
      <c r="AH623" s="13">
        <v>52.0</v>
      </c>
      <c r="AI623" s="13">
        <v>60.0</v>
      </c>
      <c r="AJ623" s="13">
        <v>2.0</v>
      </c>
      <c r="AK623" s="13">
        <v>109.0</v>
      </c>
      <c r="AL623" s="13" t="s">
        <v>5690</v>
      </c>
      <c r="AM623" s="13" t="s">
        <v>5691</v>
      </c>
      <c r="AN623" s="13" t="s">
        <v>5692</v>
      </c>
      <c r="AO623" s="13" t="s">
        <v>5693</v>
      </c>
      <c r="AP623" s="13" t="s">
        <v>5694</v>
      </c>
      <c r="AQ623" s="13" t="s">
        <v>5510</v>
      </c>
      <c r="AR623" s="13" t="s">
        <v>5695</v>
      </c>
      <c r="AS623" s="13" t="s">
        <v>5696</v>
      </c>
      <c r="AT623" s="13" t="s">
        <v>1453</v>
      </c>
      <c r="AU623" s="13">
        <v>2010.0</v>
      </c>
      <c r="AV623" s="13">
        <v>19.0</v>
      </c>
      <c r="AW623" s="13">
        <v>12.0</v>
      </c>
      <c r="AX623" s="13" t="s">
        <v>5510</v>
      </c>
      <c r="AY623" s="13" t="s">
        <v>5510</v>
      </c>
      <c r="AZ623" s="13" t="s">
        <v>5510</v>
      </c>
      <c r="BA623" s="13" t="s">
        <v>5510</v>
      </c>
      <c r="BB623" s="13">
        <v>3431.0</v>
      </c>
      <c r="BC623" s="13">
        <v>3444.0</v>
      </c>
      <c r="BD623" s="13" t="s">
        <v>5510</v>
      </c>
      <c r="BE623" s="13" t="s">
        <v>16565</v>
      </c>
      <c r="BF623" s="52" t="str">
        <f>HYPERLINK("http://dx.doi.org/10.1007/s10531-010-9904-z","http://dx.doi.org/10.1007/s10531-010-9904-z")</f>
        <v>http://dx.doi.org/10.1007/s10531-010-9904-z</v>
      </c>
      <c r="BG623" s="13" t="s">
        <v>5510</v>
      </c>
      <c r="BH623" s="13" t="s">
        <v>5510</v>
      </c>
      <c r="BI623" s="13">
        <v>14.0</v>
      </c>
      <c r="BJ623" s="13" t="s">
        <v>5698</v>
      </c>
      <c r="BK623" s="13" t="s">
        <v>5561</v>
      </c>
      <c r="BL623" s="13" t="s">
        <v>5699</v>
      </c>
      <c r="BM623" s="13" t="s">
        <v>16566</v>
      </c>
      <c r="BN623" s="13" t="s">
        <v>5510</v>
      </c>
      <c r="BO623" s="13" t="s">
        <v>6586</v>
      </c>
      <c r="BP623" s="13" t="s">
        <v>5510</v>
      </c>
      <c r="BQ623" s="13" t="s">
        <v>5510</v>
      </c>
      <c r="BR623" s="13" t="s">
        <v>5538</v>
      </c>
      <c r="BS623" s="13" t="s">
        <v>16567</v>
      </c>
      <c r="BT623" s="13">
        <v>24785.0</v>
      </c>
      <c r="BU623" s="13" t="s">
        <v>5540</v>
      </c>
      <c r="BV623" s="13" t="s">
        <v>4856</v>
      </c>
      <c r="BW623" s="13" t="str">
        <f>VLOOKUP($BT623,Enriched!$A$2:$E$1070,5,false)</f>
        <v>["Biological resource use"]</v>
      </c>
      <c r="BX623" s="13" t="str">
        <f>VLOOKUP($BT623,Enriched!$A$2:$E$1070,4,false)</f>
        <v>["Hunting &amp; collecting terrestrial animals"]</v>
      </c>
      <c r="BY623" s="13" t="b">
        <f>VLOOKUP(BT623,Enriched!$A$1:$AA$1070,27,falsE)</f>
        <v>0</v>
      </c>
      <c r="BZ623" s="2" t="str">
        <f>VLOOKUP(BT623,Enriched!$A$1:$AA$1070,14,falsE)</f>
        <v>level2</v>
      </c>
      <c r="CA623" s="13" t="str">
        <f>HYPERLINK("https%3A%2F%2Fwww.webofscience.com%2Fwos%2Fwoscc%2Ffull-record%2FWOS:000282824300008","View Full Record in Web of Science")</f>
        <v>View Full Record in Web of Science</v>
      </c>
    </row>
    <row r="624" ht="12.75" customHeight="1">
      <c r="A624" s="13" t="s">
        <v>5508</v>
      </c>
      <c r="B624" s="13" t="s">
        <v>16568</v>
      </c>
      <c r="C624" s="13" t="s">
        <v>5510</v>
      </c>
      <c r="D624" s="13" t="s">
        <v>5510</v>
      </c>
      <c r="E624" s="13" t="s">
        <v>5510</v>
      </c>
      <c r="F624" s="13" t="s">
        <v>16569</v>
      </c>
      <c r="G624" s="13" t="s">
        <v>5510</v>
      </c>
      <c r="H624" s="13" t="s">
        <v>5510</v>
      </c>
      <c r="I624" s="13" t="s">
        <v>1130</v>
      </c>
      <c r="J624" s="13" t="s">
        <v>6922</v>
      </c>
      <c r="K624" s="13" t="s">
        <v>5510</v>
      </c>
      <c r="L624" s="13" t="s">
        <v>5510</v>
      </c>
      <c r="M624" s="13" t="s">
        <v>5513</v>
      </c>
      <c r="N624" s="13" t="s">
        <v>5514</v>
      </c>
      <c r="O624" s="13" t="s">
        <v>5510</v>
      </c>
      <c r="P624" s="13" t="s">
        <v>5510</v>
      </c>
      <c r="Q624" s="13" t="s">
        <v>5510</v>
      </c>
      <c r="R624" s="13" t="s">
        <v>5510</v>
      </c>
      <c r="S624" s="13" t="s">
        <v>5510</v>
      </c>
      <c r="T624" s="13" t="s">
        <v>16570</v>
      </c>
      <c r="U624" s="13" t="s">
        <v>16571</v>
      </c>
      <c r="V624" s="13" t="s">
        <v>16572</v>
      </c>
      <c r="W624" s="13" t="s">
        <v>16573</v>
      </c>
      <c r="X624" s="13" t="s">
        <v>16574</v>
      </c>
      <c r="Y624" s="13" t="s">
        <v>16575</v>
      </c>
      <c r="Z624" s="13" t="s">
        <v>16576</v>
      </c>
      <c r="AA624" s="13" t="s">
        <v>16577</v>
      </c>
      <c r="AB624" s="13" t="s">
        <v>5510</v>
      </c>
      <c r="AC624" s="13" t="s">
        <v>16578</v>
      </c>
      <c r="AD624" s="13" t="s">
        <v>16579</v>
      </c>
      <c r="AE624" s="13" t="s">
        <v>16580</v>
      </c>
      <c r="AF624" s="13" t="s">
        <v>5510</v>
      </c>
      <c r="AG624" s="13">
        <v>29.0</v>
      </c>
      <c r="AH624" s="13">
        <v>124.0</v>
      </c>
      <c r="AI624" s="13">
        <v>165.0</v>
      </c>
      <c r="AJ624" s="13">
        <v>4.0</v>
      </c>
      <c r="AK624" s="13">
        <v>127.0</v>
      </c>
      <c r="AL624" s="13" t="s">
        <v>5759</v>
      </c>
      <c r="AM624" s="13" t="s">
        <v>5760</v>
      </c>
      <c r="AN624" s="13" t="s">
        <v>5761</v>
      </c>
      <c r="AO624" s="13" t="s">
        <v>6934</v>
      </c>
      <c r="AP624" s="13" t="s">
        <v>6935</v>
      </c>
      <c r="AQ624" s="13" t="s">
        <v>5510</v>
      </c>
      <c r="AR624" s="13" t="s">
        <v>6936</v>
      </c>
      <c r="AS624" s="13" t="s">
        <v>6937</v>
      </c>
      <c r="AT624" s="13" t="s">
        <v>16581</v>
      </c>
      <c r="AU624" s="13">
        <v>2008.0</v>
      </c>
      <c r="AV624" s="13">
        <v>34.0</v>
      </c>
      <c r="AW624" s="13">
        <v>2.0</v>
      </c>
      <c r="AX624" s="13" t="s">
        <v>5510</v>
      </c>
      <c r="AY624" s="13" t="s">
        <v>5510</v>
      </c>
      <c r="AZ624" s="13" t="s">
        <v>5510</v>
      </c>
      <c r="BA624" s="13" t="s">
        <v>5510</v>
      </c>
      <c r="BB624" s="13">
        <v>91.0</v>
      </c>
      <c r="BC624" s="13">
        <v>99.0</v>
      </c>
      <c r="BD624" s="13" t="s">
        <v>5510</v>
      </c>
      <c r="BE624" s="13" t="s">
        <v>16582</v>
      </c>
      <c r="BF624" s="52" t="str">
        <f>HYPERLINK("http://dx.doi.org/10.1016/j.ecoleng.2008.07.006","http://dx.doi.org/10.1016/j.ecoleng.2008.07.006")</f>
        <v>http://dx.doi.org/10.1016/j.ecoleng.2008.07.006</v>
      </c>
      <c r="BG624" s="13" t="s">
        <v>5510</v>
      </c>
      <c r="BH624" s="13" t="s">
        <v>5510</v>
      </c>
      <c r="BI624" s="13">
        <v>9.0</v>
      </c>
      <c r="BJ624" s="13" t="s">
        <v>6939</v>
      </c>
      <c r="BK624" s="13" t="s">
        <v>5561</v>
      </c>
      <c r="BL624" s="13" t="s">
        <v>6940</v>
      </c>
      <c r="BM624" s="13" t="s">
        <v>16583</v>
      </c>
      <c r="BN624" s="13" t="s">
        <v>5510</v>
      </c>
      <c r="BO624" s="13" t="s">
        <v>5510</v>
      </c>
      <c r="BP624" s="13" t="s">
        <v>5510</v>
      </c>
      <c r="BQ624" s="13" t="s">
        <v>5510</v>
      </c>
      <c r="BR624" s="13" t="s">
        <v>5538</v>
      </c>
      <c r="BS624" s="13" t="s">
        <v>16584</v>
      </c>
      <c r="BT624" s="13">
        <v>24582.0</v>
      </c>
      <c r="BU624" s="13" t="s">
        <v>5540</v>
      </c>
      <c r="BV624" s="13" t="s">
        <v>4856</v>
      </c>
      <c r="BW624" s="13" t="str">
        <f>VLOOKUP($BT624,Enriched!$A$2:$E$1070,5,false)</f>
        <v>["Transportation &amp; Service Corridors"]</v>
      </c>
      <c r="BX624" s="13" t="str">
        <f>VLOOKUP($BT624,Enriched!$A$2:$E$1070,4,false)</f>
        <v>["Roads &amp; railroads"]</v>
      </c>
      <c r="BY624" s="13" t="b">
        <f>VLOOKUP(BT624,Enriched!$A$1:$AA$1070,27,falsE)</f>
        <v>0</v>
      </c>
      <c r="BZ624" s="2" t="str">
        <f>VLOOKUP(BT624,Enriched!$A$1:$AA$1070,14,falsE)</f>
        <v>level2</v>
      </c>
      <c r="CA624" s="13" t="str">
        <f>HYPERLINK("https%3A%2F%2Fwww.webofscience.com%2Fwos%2Fwoscc%2Ffull-record%2FWOS:000260276400002","View Full Record in Web of Science")</f>
        <v>View Full Record in Web of Science</v>
      </c>
    </row>
    <row r="625" ht="12.75" customHeight="1">
      <c r="A625" s="13" t="s">
        <v>5508</v>
      </c>
      <c r="B625" s="13" t="s">
        <v>16585</v>
      </c>
      <c r="C625" s="13" t="s">
        <v>5510</v>
      </c>
      <c r="D625" s="13" t="s">
        <v>5510</v>
      </c>
      <c r="E625" s="13" t="s">
        <v>5510</v>
      </c>
      <c r="F625" s="13" t="s">
        <v>16586</v>
      </c>
      <c r="G625" s="13" t="s">
        <v>5510</v>
      </c>
      <c r="H625" s="13" t="s">
        <v>5510</v>
      </c>
      <c r="I625" s="13" t="s">
        <v>1128</v>
      </c>
      <c r="J625" s="13" t="s">
        <v>5919</v>
      </c>
      <c r="K625" s="13" t="s">
        <v>5510</v>
      </c>
      <c r="L625" s="13" t="s">
        <v>5510</v>
      </c>
      <c r="M625" s="13" t="s">
        <v>5513</v>
      </c>
      <c r="N625" s="13" t="s">
        <v>5514</v>
      </c>
      <c r="O625" s="13" t="s">
        <v>5510</v>
      </c>
      <c r="P625" s="13" t="s">
        <v>5510</v>
      </c>
      <c r="Q625" s="13" t="s">
        <v>5510</v>
      </c>
      <c r="R625" s="13" t="s">
        <v>5510</v>
      </c>
      <c r="S625" s="13" t="s">
        <v>5510</v>
      </c>
      <c r="T625" s="13" t="s">
        <v>16587</v>
      </c>
      <c r="U625" s="13" t="s">
        <v>16588</v>
      </c>
      <c r="V625" s="13" t="s">
        <v>16589</v>
      </c>
      <c r="W625" s="13" t="s">
        <v>16590</v>
      </c>
      <c r="X625" s="13" t="s">
        <v>16591</v>
      </c>
      <c r="Y625" s="13" t="s">
        <v>16592</v>
      </c>
      <c r="Z625" s="13" t="s">
        <v>14188</v>
      </c>
      <c r="AA625" s="13" t="s">
        <v>16593</v>
      </c>
      <c r="AB625" s="13" t="s">
        <v>16594</v>
      </c>
      <c r="AC625" s="13" t="s">
        <v>16595</v>
      </c>
      <c r="AD625" s="13" t="s">
        <v>16596</v>
      </c>
      <c r="AE625" s="13" t="s">
        <v>16597</v>
      </c>
      <c r="AF625" s="13" t="s">
        <v>5510</v>
      </c>
      <c r="AG625" s="13">
        <v>64.0</v>
      </c>
      <c r="AH625" s="13">
        <v>118.0</v>
      </c>
      <c r="AI625" s="13">
        <v>143.0</v>
      </c>
      <c r="AJ625" s="13">
        <v>3.0</v>
      </c>
      <c r="AK625" s="13">
        <v>168.0</v>
      </c>
      <c r="AL625" s="13" t="s">
        <v>5931</v>
      </c>
      <c r="AM625" s="13" t="s">
        <v>5932</v>
      </c>
      <c r="AN625" s="13" t="s">
        <v>5933</v>
      </c>
      <c r="AO625" s="13" t="s">
        <v>5934</v>
      </c>
      <c r="AP625" s="13" t="s">
        <v>5510</v>
      </c>
      <c r="AQ625" s="13" t="s">
        <v>5510</v>
      </c>
      <c r="AR625" s="13" t="s">
        <v>5936</v>
      </c>
      <c r="AS625" s="13" t="s">
        <v>5937</v>
      </c>
      <c r="AT625" s="13" t="s">
        <v>5978</v>
      </c>
      <c r="AU625" s="13">
        <v>2011.0</v>
      </c>
      <c r="AV625" s="13">
        <v>144.0</v>
      </c>
      <c r="AW625" s="13">
        <v>12.0</v>
      </c>
      <c r="AX625" s="13" t="s">
        <v>5510</v>
      </c>
      <c r="AY625" s="13" t="s">
        <v>5510</v>
      </c>
      <c r="AZ625" s="13" t="s">
        <v>5510</v>
      </c>
      <c r="BA625" s="13" t="s">
        <v>5510</v>
      </c>
      <c r="BB625" s="13">
        <v>3028.0</v>
      </c>
      <c r="BC625" s="13">
        <v>3037.0</v>
      </c>
      <c r="BD625" s="13" t="s">
        <v>5510</v>
      </c>
      <c r="BE625" s="13" t="s">
        <v>16598</v>
      </c>
      <c r="BF625" s="52" t="str">
        <f>HYPERLINK("http://dx.doi.org/10.1016/j.biocon.2011.09.007","http://dx.doi.org/10.1016/j.biocon.2011.09.007")</f>
        <v>http://dx.doi.org/10.1016/j.biocon.2011.09.007</v>
      </c>
      <c r="BG625" s="13" t="s">
        <v>5510</v>
      </c>
      <c r="BH625" s="13" t="s">
        <v>5510</v>
      </c>
      <c r="BI625" s="13">
        <v>10.0</v>
      </c>
      <c r="BJ625" s="13" t="s">
        <v>5698</v>
      </c>
      <c r="BK625" s="13" t="s">
        <v>5534</v>
      </c>
      <c r="BL625" s="13" t="s">
        <v>5699</v>
      </c>
      <c r="BM625" s="13" t="s">
        <v>16599</v>
      </c>
      <c r="BN625" s="13" t="s">
        <v>5510</v>
      </c>
      <c r="BO625" s="13" t="s">
        <v>5510</v>
      </c>
      <c r="BP625" s="13" t="s">
        <v>5510</v>
      </c>
      <c r="BQ625" s="13" t="s">
        <v>5510</v>
      </c>
      <c r="BR625" s="13" t="s">
        <v>5538</v>
      </c>
      <c r="BS625" s="13" t="s">
        <v>16600</v>
      </c>
      <c r="BT625" s="13">
        <v>24257.0</v>
      </c>
      <c r="BU625" s="13" t="s">
        <v>5540</v>
      </c>
      <c r="BV625" s="13" t="s">
        <v>4856</v>
      </c>
      <c r="BW625" s="13" t="str">
        <f>VLOOKUP($BT625,Enriched!$A$2:$E$1070,5,false)</f>
        <v>["Transportation &amp; Service Corridors", "Residential &amp; Commercial Development"]</v>
      </c>
      <c r="BX625" s="13" t="str">
        <f>VLOOKUP($BT625,Enriched!$A$2:$E$1070,4,false)</f>
        <v>["Housing &amp; urban area", "Roads &amp; railroads", "Tourism &amp; recreation areas"]</v>
      </c>
      <c r="BY625" s="13" t="b">
        <f>VLOOKUP(BT625,Enriched!$A$1:$AA$1070,27,falsE)</f>
        <v>0</v>
      </c>
      <c r="BZ625" s="2" t="str">
        <f>VLOOKUP(BT625,Enriched!$A$1:$AA$1070,14,falsE)</f>
        <v>level2</v>
      </c>
      <c r="CA625" s="13" t="str">
        <f>HYPERLINK("https%3A%2F%2Fwww.webofscience.com%2Fwos%2Fwoscc%2Ffull-record%2FWOS:000298521500034","View Full Record in Web of Science")</f>
        <v>View Full Record in Web of Science</v>
      </c>
    </row>
    <row r="626" ht="12.75" customHeight="1">
      <c r="A626" s="13" t="s">
        <v>5508</v>
      </c>
      <c r="B626" s="13" t="s">
        <v>16601</v>
      </c>
      <c r="C626" s="13" t="s">
        <v>5510</v>
      </c>
      <c r="D626" s="13" t="s">
        <v>5510</v>
      </c>
      <c r="E626" s="13" t="s">
        <v>5510</v>
      </c>
      <c r="F626" s="13" t="s">
        <v>16602</v>
      </c>
      <c r="G626" s="13" t="s">
        <v>5510</v>
      </c>
      <c r="H626" s="13" t="s">
        <v>5510</v>
      </c>
      <c r="I626" s="13" t="s">
        <v>1125</v>
      </c>
      <c r="J626" s="13" t="s">
        <v>6627</v>
      </c>
      <c r="K626" s="13" t="s">
        <v>5510</v>
      </c>
      <c r="L626" s="13" t="s">
        <v>5510</v>
      </c>
      <c r="M626" s="13" t="s">
        <v>5513</v>
      </c>
      <c r="N626" s="13" t="s">
        <v>5514</v>
      </c>
      <c r="O626" s="13" t="s">
        <v>5510</v>
      </c>
      <c r="P626" s="13" t="s">
        <v>5510</v>
      </c>
      <c r="Q626" s="13" t="s">
        <v>5510</v>
      </c>
      <c r="R626" s="13" t="s">
        <v>5510</v>
      </c>
      <c r="S626" s="13" t="s">
        <v>5510</v>
      </c>
      <c r="T626" s="13" t="s">
        <v>16603</v>
      </c>
      <c r="U626" s="13" t="s">
        <v>16604</v>
      </c>
      <c r="V626" s="13" t="s">
        <v>16605</v>
      </c>
      <c r="W626" s="13" t="s">
        <v>16606</v>
      </c>
      <c r="X626" s="13" t="s">
        <v>16607</v>
      </c>
      <c r="Y626" s="13" t="s">
        <v>16608</v>
      </c>
      <c r="Z626" s="13" t="s">
        <v>16609</v>
      </c>
      <c r="AA626" s="13" t="s">
        <v>16610</v>
      </c>
      <c r="AB626" s="13" t="s">
        <v>16611</v>
      </c>
      <c r="AC626" s="13" t="s">
        <v>16612</v>
      </c>
      <c r="AD626" s="13" t="s">
        <v>16613</v>
      </c>
      <c r="AE626" s="13" t="s">
        <v>16614</v>
      </c>
      <c r="AF626" s="13" t="s">
        <v>5510</v>
      </c>
      <c r="AG626" s="13">
        <v>73.0</v>
      </c>
      <c r="AH626" s="13">
        <v>40.0</v>
      </c>
      <c r="AI626" s="13">
        <v>43.0</v>
      </c>
      <c r="AJ626" s="13">
        <v>3.0</v>
      </c>
      <c r="AK626" s="13">
        <v>39.0</v>
      </c>
      <c r="AL626" s="13" t="s">
        <v>5527</v>
      </c>
      <c r="AM626" s="13" t="s">
        <v>5528</v>
      </c>
      <c r="AN626" s="13" t="s">
        <v>5529</v>
      </c>
      <c r="AO626" s="13" t="s">
        <v>6640</v>
      </c>
      <c r="AP626" s="13" t="s">
        <v>6641</v>
      </c>
      <c r="AQ626" s="13" t="s">
        <v>5510</v>
      </c>
      <c r="AR626" s="13" t="s">
        <v>6642</v>
      </c>
      <c r="AS626" s="13" t="s">
        <v>6643</v>
      </c>
      <c r="AT626" s="13" t="s">
        <v>5720</v>
      </c>
      <c r="AU626" s="13">
        <v>2020.0</v>
      </c>
      <c r="AV626" s="13">
        <v>26.0</v>
      </c>
      <c r="AW626" s="13">
        <v>6.0</v>
      </c>
      <c r="AX626" s="13" t="s">
        <v>5510</v>
      </c>
      <c r="AY626" s="13" t="s">
        <v>5510</v>
      </c>
      <c r="AZ626" s="13" t="s">
        <v>5510</v>
      </c>
      <c r="BA626" s="13" t="s">
        <v>5510</v>
      </c>
      <c r="BB626" s="13">
        <v>715.0</v>
      </c>
      <c r="BC626" s="13">
        <v>729.0</v>
      </c>
      <c r="BD626" s="13" t="s">
        <v>5510</v>
      </c>
      <c r="BE626" s="13" t="s">
        <v>16615</v>
      </c>
      <c r="BF626" s="52" t="str">
        <f>HYPERLINK("http://dx.doi.org/10.1111/ddi.13041","http://dx.doi.org/10.1111/ddi.13041")</f>
        <v>http://dx.doi.org/10.1111/ddi.13041</v>
      </c>
      <c r="BG626" s="13" t="s">
        <v>5510</v>
      </c>
      <c r="BH626" s="13" t="s">
        <v>8232</v>
      </c>
      <c r="BI626" s="13">
        <v>15.0</v>
      </c>
      <c r="BJ626" s="13" t="s">
        <v>5958</v>
      </c>
      <c r="BK626" s="13" t="s">
        <v>5534</v>
      </c>
      <c r="BL626" s="13" t="s">
        <v>5699</v>
      </c>
      <c r="BM626" s="13" t="s">
        <v>16616</v>
      </c>
      <c r="BN626" s="13" t="s">
        <v>5510</v>
      </c>
      <c r="BO626" s="13" t="s">
        <v>5564</v>
      </c>
      <c r="BP626" s="13" t="s">
        <v>5510</v>
      </c>
      <c r="BQ626" s="13" t="s">
        <v>5510</v>
      </c>
      <c r="BR626" s="13" t="s">
        <v>5538</v>
      </c>
      <c r="BS626" s="13" t="s">
        <v>16617</v>
      </c>
      <c r="BT626" s="13">
        <v>24140.0</v>
      </c>
      <c r="BU626" s="13" t="s">
        <v>5540</v>
      </c>
      <c r="BV626" s="13" t="s">
        <v>4864</v>
      </c>
      <c r="BW626" s="13" t="str">
        <f>VLOOKUP($BT626,Enriched!$A$2:$E$1070,5,false)</f>
        <v>["Biological resource use"]</v>
      </c>
      <c r="BX626" s="13" t="str">
        <f>VLOOKUP($BT626,Enriched!$A$2:$E$1070,4,false)</f>
        <v>["Fishing &amp; harvesting aquatic resources"]</v>
      </c>
      <c r="BY626" s="13" t="b">
        <f>VLOOKUP(BT626,Enriched!$A$1:$AA$1070,27,falsE)</f>
        <v>0</v>
      </c>
      <c r="BZ626" s="2" t="str">
        <f>VLOOKUP(BT626,Enriched!$A$1:$AA$1070,14,falsE)</f>
        <v>level2</v>
      </c>
      <c r="CA626" s="13" t="str">
        <f>HYPERLINK("https%3A%2F%2Fwww.webofscience.com%2Fwos%2Fwoscc%2Ffull-record%2FWOS:000525941200001","View Full Record in Web of Science")</f>
        <v>View Full Record in Web of Science</v>
      </c>
    </row>
    <row r="627" ht="12.75" customHeight="1">
      <c r="A627" s="13" t="s">
        <v>5508</v>
      </c>
      <c r="B627" s="13" t="s">
        <v>16618</v>
      </c>
      <c r="C627" s="13" t="s">
        <v>5510</v>
      </c>
      <c r="D627" s="13" t="s">
        <v>5510</v>
      </c>
      <c r="E627" s="13" t="s">
        <v>5510</v>
      </c>
      <c r="F627" s="13" t="s">
        <v>16619</v>
      </c>
      <c r="G627" s="13" t="s">
        <v>5510</v>
      </c>
      <c r="H627" s="13" t="s">
        <v>5510</v>
      </c>
      <c r="I627" s="13" t="s">
        <v>1122</v>
      </c>
      <c r="J627" s="13" t="s">
        <v>5919</v>
      </c>
      <c r="K627" s="13" t="s">
        <v>5510</v>
      </c>
      <c r="L627" s="13" t="s">
        <v>5510</v>
      </c>
      <c r="M627" s="13" t="s">
        <v>5513</v>
      </c>
      <c r="N627" s="13" t="s">
        <v>5514</v>
      </c>
      <c r="O627" s="13" t="s">
        <v>5510</v>
      </c>
      <c r="P627" s="13" t="s">
        <v>5510</v>
      </c>
      <c r="Q627" s="13" t="s">
        <v>5510</v>
      </c>
      <c r="R627" s="13" t="s">
        <v>5510</v>
      </c>
      <c r="S627" s="13" t="s">
        <v>5510</v>
      </c>
      <c r="T627" s="13" t="s">
        <v>16620</v>
      </c>
      <c r="U627" s="13" t="s">
        <v>16621</v>
      </c>
      <c r="V627" s="13" t="s">
        <v>16622</v>
      </c>
      <c r="W627" s="13" t="s">
        <v>16623</v>
      </c>
      <c r="X627" s="13" t="s">
        <v>16624</v>
      </c>
      <c r="Y627" s="13" t="s">
        <v>16625</v>
      </c>
      <c r="Z627" s="13" t="s">
        <v>16626</v>
      </c>
      <c r="AA627" s="13" t="s">
        <v>16627</v>
      </c>
      <c r="AB627" s="13" t="s">
        <v>16628</v>
      </c>
      <c r="AC627" s="13" t="s">
        <v>16629</v>
      </c>
      <c r="AD627" s="13" t="s">
        <v>16630</v>
      </c>
      <c r="AE627" s="13" t="s">
        <v>16631</v>
      </c>
      <c r="AF627" s="13" t="s">
        <v>5510</v>
      </c>
      <c r="AG627" s="13">
        <v>75.0</v>
      </c>
      <c r="AH627" s="13">
        <v>104.0</v>
      </c>
      <c r="AI627" s="13">
        <v>119.0</v>
      </c>
      <c r="AJ627" s="13">
        <v>1.0</v>
      </c>
      <c r="AK627" s="13">
        <v>187.0</v>
      </c>
      <c r="AL627" s="13" t="s">
        <v>5931</v>
      </c>
      <c r="AM627" s="13" t="s">
        <v>7486</v>
      </c>
      <c r="AN627" s="13" t="s">
        <v>7487</v>
      </c>
      <c r="AO627" s="13" t="s">
        <v>5934</v>
      </c>
      <c r="AP627" s="13" t="s">
        <v>5935</v>
      </c>
      <c r="AQ627" s="13" t="s">
        <v>5510</v>
      </c>
      <c r="AR627" s="13" t="s">
        <v>5936</v>
      </c>
      <c r="AS627" s="13" t="s">
        <v>5937</v>
      </c>
      <c r="AT627" s="13" t="s">
        <v>6828</v>
      </c>
      <c r="AU627" s="13">
        <v>2013.0</v>
      </c>
      <c r="AV627" s="13">
        <v>160.0</v>
      </c>
      <c r="AW627" s="13" t="s">
        <v>5510</v>
      </c>
      <c r="AX627" s="13" t="s">
        <v>5510</v>
      </c>
      <c r="AY627" s="13" t="s">
        <v>5510</v>
      </c>
      <c r="AZ627" s="13" t="s">
        <v>5510</v>
      </c>
      <c r="BA627" s="13" t="s">
        <v>5510</v>
      </c>
      <c r="BB627" s="13">
        <v>225.0</v>
      </c>
      <c r="BC627" s="13">
        <v>233.0</v>
      </c>
      <c r="BD627" s="13" t="s">
        <v>5510</v>
      </c>
      <c r="BE627" s="13" t="s">
        <v>16632</v>
      </c>
      <c r="BF627" s="52" t="str">
        <f>HYPERLINK("http://dx.doi.org/10.1016/j.biocon.2013.02.001","http://dx.doi.org/10.1016/j.biocon.2013.02.001")</f>
        <v>http://dx.doi.org/10.1016/j.biocon.2013.02.001</v>
      </c>
      <c r="BG627" s="13" t="s">
        <v>5510</v>
      </c>
      <c r="BH627" s="13" t="s">
        <v>5510</v>
      </c>
      <c r="BI627" s="13">
        <v>9.0</v>
      </c>
      <c r="BJ627" s="13" t="s">
        <v>5698</v>
      </c>
      <c r="BK627" s="13" t="s">
        <v>5561</v>
      </c>
      <c r="BL627" s="13" t="s">
        <v>5699</v>
      </c>
      <c r="BM627" s="13" t="s">
        <v>16633</v>
      </c>
      <c r="BN627" s="13" t="s">
        <v>5510</v>
      </c>
      <c r="BO627" s="13" t="s">
        <v>5510</v>
      </c>
      <c r="BP627" s="13" t="s">
        <v>5510</v>
      </c>
      <c r="BQ627" s="13" t="s">
        <v>5510</v>
      </c>
      <c r="BR627" s="13" t="s">
        <v>5538</v>
      </c>
      <c r="BS627" s="13" t="s">
        <v>16634</v>
      </c>
      <c r="BT627" s="13">
        <v>23979.0</v>
      </c>
      <c r="BU627" s="13" t="s">
        <v>5540</v>
      </c>
      <c r="BV627" s="13" t="s">
        <v>4852</v>
      </c>
      <c r="BW627" s="13" t="str">
        <f>VLOOKUP($BT627,Enriched!$A$2:$E$1070,5,false)</f>
        <v>["Invasive &amp; other problematic species, genes &amp; diseases"]</v>
      </c>
      <c r="BX627" s="13" t="str">
        <f>VLOOKUP($BT627,Enriched!$A$2:$E$1070,4,false)</f>
        <v>["Invasive non-native/alien species/diseases"]</v>
      </c>
      <c r="BY627" s="13" t="b">
        <f>VLOOKUP(BT627,Enriched!$A$1:$AA$1070,27,falsE)</f>
        <v>0</v>
      </c>
      <c r="BZ627" s="2" t="str">
        <f>VLOOKUP(BT627,Enriched!$A$1:$AA$1070,14,falsE)</f>
        <v>level2</v>
      </c>
      <c r="CA627" s="13" t="str">
        <f>HYPERLINK("https%3A%2F%2Fwww.webofscience.com%2Fwos%2Fwoscc%2Ffull-record%2FWOS:000320684700025","View Full Record in Web of Science")</f>
        <v>View Full Record in Web of Science</v>
      </c>
    </row>
    <row r="628" ht="12.75" customHeight="1">
      <c r="A628" s="13" t="s">
        <v>5508</v>
      </c>
      <c r="B628" s="13" t="s">
        <v>16635</v>
      </c>
      <c r="C628" s="13" t="s">
        <v>5510</v>
      </c>
      <c r="D628" s="13" t="s">
        <v>5510</v>
      </c>
      <c r="E628" s="13" t="s">
        <v>5510</v>
      </c>
      <c r="F628" s="13" t="s">
        <v>16636</v>
      </c>
      <c r="G628" s="13" t="s">
        <v>5510</v>
      </c>
      <c r="H628" s="13" t="s">
        <v>5510</v>
      </c>
      <c r="I628" s="13" t="s">
        <v>1119</v>
      </c>
      <c r="J628" s="13" t="s">
        <v>5919</v>
      </c>
      <c r="K628" s="13" t="s">
        <v>5510</v>
      </c>
      <c r="L628" s="13" t="s">
        <v>5510</v>
      </c>
      <c r="M628" s="13" t="s">
        <v>5513</v>
      </c>
      <c r="N628" s="13" t="s">
        <v>5514</v>
      </c>
      <c r="O628" s="13" t="s">
        <v>5510</v>
      </c>
      <c r="P628" s="13" t="s">
        <v>5510</v>
      </c>
      <c r="Q628" s="13" t="s">
        <v>5510</v>
      </c>
      <c r="R628" s="13" t="s">
        <v>5510</v>
      </c>
      <c r="S628" s="13" t="s">
        <v>5510</v>
      </c>
      <c r="T628" s="13" t="s">
        <v>16637</v>
      </c>
      <c r="U628" s="13" t="s">
        <v>16638</v>
      </c>
      <c r="V628" s="13" t="s">
        <v>16639</v>
      </c>
      <c r="W628" s="13" t="s">
        <v>16640</v>
      </c>
      <c r="X628" s="13" t="s">
        <v>5510</v>
      </c>
      <c r="Y628" s="13" t="s">
        <v>16641</v>
      </c>
      <c r="Z628" s="13" t="s">
        <v>16642</v>
      </c>
      <c r="AA628" s="13" t="s">
        <v>16643</v>
      </c>
      <c r="AB628" s="13" t="s">
        <v>16644</v>
      </c>
      <c r="AC628" s="13" t="s">
        <v>16645</v>
      </c>
      <c r="AD628" s="13" t="s">
        <v>16646</v>
      </c>
      <c r="AE628" s="13" t="s">
        <v>16647</v>
      </c>
      <c r="AF628" s="13" t="s">
        <v>5510</v>
      </c>
      <c r="AG628" s="13">
        <v>61.0</v>
      </c>
      <c r="AH628" s="13">
        <v>13.0</v>
      </c>
      <c r="AI628" s="13">
        <v>14.0</v>
      </c>
      <c r="AJ628" s="13">
        <v>1.0</v>
      </c>
      <c r="AK628" s="13">
        <v>33.0</v>
      </c>
      <c r="AL628" s="13" t="s">
        <v>5931</v>
      </c>
      <c r="AM628" s="13" t="s">
        <v>5932</v>
      </c>
      <c r="AN628" s="13" t="s">
        <v>5933</v>
      </c>
      <c r="AO628" s="13" t="s">
        <v>5934</v>
      </c>
      <c r="AP628" s="13" t="s">
        <v>5935</v>
      </c>
      <c r="AQ628" s="13" t="s">
        <v>5510</v>
      </c>
      <c r="AR628" s="13" t="s">
        <v>5936</v>
      </c>
      <c r="AS628" s="13" t="s">
        <v>5937</v>
      </c>
      <c r="AT628" s="13" t="s">
        <v>1925</v>
      </c>
      <c r="AU628" s="13">
        <v>2017.0</v>
      </c>
      <c r="AV628" s="13">
        <v>213.0</v>
      </c>
      <c r="AW628" s="13" t="s">
        <v>5510</v>
      </c>
      <c r="AX628" s="13" t="s">
        <v>6176</v>
      </c>
      <c r="AY628" s="13" t="s">
        <v>5510</v>
      </c>
      <c r="AZ628" s="13" t="s">
        <v>5510</v>
      </c>
      <c r="BA628" s="13" t="s">
        <v>5510</v>
      </c>
      <c r="BB628" s="13">
        <v>70.0</v>
      </c>
      <c r="BC628" s="13">
        <v>83.0</v>
      </c>
      <c r="BD628" s="13" t="s">
        <v>5510</v>
      </c>
      <c r="BE628" s="13" t="s">
        <v>16648</v>
      </c>
      <c r="BF628" s="52" t="str">
        <f>HYPERLINK("http://dx.doi.org/10.1016/j.biocon.2017.06.030","http://dx.doi.org/10.1016/j.biocon.2017.06.030")</f>
        <v>http://dx.doi.org/10.1016/j.biocon.2017.06.030</v>
      </c>
      <c r="BG628" s="13" t="s">
        <v>5510</v>
      </c>
      <c r="BH628" s="13" t="s">
        <v>5510</v>
      </c>
      <c r="BI628" s="13">
        <v>14.0</v>
      </c>
      <c r="BJ628" s="13" t="s">
        <v>5698</v>
      </c>
      <c r="BK628" s="13" t="s">
        <v>5561</v>
      </c>
      <c r="BL628" s="13" t="s">
        <v>5699</v>
      </c>
      <c r="BM628" s="13" t="s">
        <v>16649</v>
      </c>
      <c r="BN628" s="13" t="s">
        <v>5510</v>
      </c>
      <c r="BO628" s="13" t="s">
        <v>5510</v>
      </c>
      <c r="BP628" s="13" t="s">
        <v>5510</v>
      </c>
      <c r="BQ628" s="13" t="s">
        <v>5510</v>
      </c>
      <c r="BR628" s="13" t="s">
        <v>5538</v>
      </c>
      <c r="BS628" s="13" t="s">
        <v>16650</v>
      </c>
      <c r="BT628" s="13">
        <v>25870.0</v>
      </c>
      <c r="BU628" s="13" t="s">
        <v>11683</v>
      </c>
      <c r="BV628" s="13" t="s">
        <v>4856</v>
      </c>
      <c r="BW628" s="13" t="str">
        <f>VLOOKUP($BT628,Enriched!$A$2:$E$1070,5,false)</f>
        <v>["Transportation &amp; service corridors"]</v>
      </c>
      <c r="BX628" s="13" t="str">
        <f>VLOOKUP($BT628,Enriched!$A$2:$E$1070,4,false)</f>
        <v/>
      </c>
      <c r="BY628" s="13" t="b">
        <f>VLOOKUP(BT628,Enriched!$A$1:$AA$1070,27,falsE)</f>
        <v>1</v>
      </c>
      <c r="BZ628" s="2" t="str">
        <f>VLOOKUP(BT628,Enriched!$A$1:$AA$1070,14,falsE)</f>
        <v>level2</v>
      </c>
      <c r="CA628" s="13" t="str">
        <f>HYPERLINK("https%3A%2F%2Fwww.webofscience.com%2Fwos%2Fwoscc%2Ffull-record%2FWOS:000410014100010","View Full Record in Web of Science")</f>
        <v>View Full Record in Web of Science</v>
      </c>
    </row>
    <row r="629" ht="12.75" customHeight="1">
      <c r="A629" s="13" t="s">
        <v>5508</v>
      </c>
      <c r="B629" s="13" t="s">
        <v>16651</v>
      </c>
      <c r="C629" s="13" t="s">
        <v>5510</v>
      </c>
      <c r="D629" s="13" t="s">
        <v>5510</v>
      </c>
      <c r="E629" s="13" t="s">
        <v>5510</v>
      </c>
      <c r="F629" s="13" t="s">
        <v>16652</v>
      </c>
      <c r="G629" s="13" t="s">
        <v>5510</v>
      </c>
      <c r="H629" s="13" t="s">
        <v>5510</v>
      </c>
      <c r="I629" s="13" t="s">
        <v>1117</v>
      </c>
      <c r="J629" s="13" t="s">
        <v>6627</v>
      </c>
      <c r="K629" s="13" t="s">
        <v>5510</v>
      </c>
      <c r="L629" s="13" t="s">
        <v>5510</v>
      </c>
      <c r="M629" s="13" t="s">
        <v>5513</v>
      </c>
      <c r="N629" s="13" t="s">
        <v>5514</v>
      </c>
      <c r="O629" s="13" t="s">
        <v>5510</v>
      </c>
      <c r="P629" s="13" t="s">
        <v>5510</v>
      </c>
      <c r="Q629" s="13" t="s">
        <v>5510</v>
      </c>
      <c r="R629" s="13" t="s">
        <v>5510</v>
      </c>
      <c r="S629" s="13" t="s">
        <v>5510</v>
      </c>
      <c r="T629" s="13" t="s">
        <v>16653</v>
      </c>
      <c r="U629" s="13" t="s">
        <v>16654</v>
      </c>
      <c r="V629" s="13" t="s">
        <v>16655</v>
      </c>
      <c r="W629" s="13" t="s">
        <v>16656</v>
      </c>
      <c r="X629" s="13" t="s">
        <v>16657</v>
      </c>
      <c r="Y629" s="13" t="s">
        <v>16658</v>
      </c>
      <c r="Z629" s="13" t="s">
        <v>16659</v>
      </c>
      <c r="AA629" s="13" t="s">
        <v>16660</v>
      </c>
      <c r="AB629" s="13" t="s">
        <v>16661</v>
      </c>
      <c r="AC629" s="13" t="s">
        <v>16662</v>
      </c>
      <c r="AD629" s="13" t="s">
        <v>16663</v>
      </c>
      <c r="AE629" s="13" t="s">
        <v>16664</v>
      </c>
      <c r="AF629" s="13" t="s">
        <v>5510</v>
      </c>
      <c r="AG629" s="13">
        <v>50.0</v>
      </c>
      <c r="AH629" s="13">
        <v>242.0</v>
      </c>
      <c r="AI629" s="13">
        <v>266.0</v>
      </c>
      <c r="AJ629" s="13">
        <v>2.0</v>
      </c>
      <c r="AK629" s="13">
        <v>127.0</v>
      </c>
      <c r="AL629" s="13" t="s">
        <v>5527</v>
      </c>
      <c r="AM629" s="13" t="s">
        <v>5528</v>
      </c>
      <c r="AN629" s="13" t="s">
        <v>5529</v>
      </c>
      <c r="AO629" s="13" t="s">
        <v>6640</v>
      </c>
      <c r="AP629" s="13" t="s">
        <v>6641</v>
      </c>
      <c r="AQ629" s="13" t="s">
        <v>5510</v>
      </c>
      <c r="AR629" s="13" t="s">
        <v>6642</v>
      </c>
      <c r="AS629" s="13" t="s">
        <v>6643</v>
      </c>
      <c r="AT629" s="13" t="s">
        <v>5582</v>
      </c>
      <c r="AU629" s="13">
        <v>2009.0</v>
      </c>
      <c r="AV629" s="13">
        <v>15.0</v>
      </c>
      <c r="AW629" s="13">
        <v>1.0</v>
      </c>
      <c r="AX629" s="13" t="s">
        <v>5510</v>
      </c>
      <c r="AY629" s="13" t="s">
        <v>5510</v>
      </c>
      <c r="AZ629" s="13" t="s">
        <v>5510</v>
      </c>
      <c r="BA629" s="13" t="s">
        <v>5510</v>
      </c>
      <c r="BB629" s="13">
        <v>98.0</v>
      </c>
      <c r="BC629" s="13">
        <v>107.0</v>
      </c>
      <c r="BD629" s="13" t="s">
        <v>5510</v>
      </c>
      <c r="BE629" s="13" t="s">
        <v>16665</v>
      </c>
      <c r="BF629" s="52" t="str">
        <f>HYPERLINK("http://dx.doi.org/10.1111/j.1472-4642.2008.00515.x","http://dx.doi.org/10.1111/j.1472-4642.2008.00515.x")</f>
        <v>http://dx.doi.org/10.1111/j.1472-4642.2008.00515.x</v>
      </c>
      <c r="BG629" s="13" t="s">
        <v>5510</v>
      </c>
      <c r="BH629" s="13" t="s">
        <v>5510</v>
      </c>
      <c r="BI629" s="13">
        <v>10.0</v>
      </c>
      <c r="BJ629" s="13" t="s">
        <v>5958</v>
      </c>
      <c r="BK629" s="13" t="s">
        <v>5561</v>
      </c>
      <c r="BL629" s="13" t="s">
        <v>5699</v>
      </c>
      <c r="BM629" s="13" t="s">
        <v>16666</v>
      </c>
      <c r="BN629" s="13" t="s">
        <v>5510</v>
      </c>
      <c r="BO629" s="13" t="s">
        <v>6623</v>
      </c>
      <c r="BP629" s="13" t="s">
        <v>5510</v>
      </c>
      <c r="BQ629" s="13" t="s">
        <v>5510</v>
      </c>
      <c r="BR629" s="13" t="s">
        <v>5538</v>
      </c>
      <c r="BS629" s="13" t="s">
        <v>16667</v>
      </c>
      <c r="BT629" s="13">
        <v>23552.0</v>
      </c>
      <c r="BU629" s="13" t="s">
        <v>5540</v>
      </c>
      <c r="BV629" s="13" t="s">
        <v>4856</v>
      </c>
      <c r="BW629" s="13" t="str">
        <f>VLOOKUP($BT629,Enriched!$A$2:$E$1070,5,false)</f>
        <v>["Invasive &amp; other problematic species, genes &amp; diseases"]</v>
      </c>
      <c r="BX629" s="13" t="str">
        <f>VLOOKUP($BT629,Enriched!$A$2:$E$1070,4,false)</f>
        <v>["Invasive non-native/alien species/diseases"]</v>
      </c>
      <c r="BY629" s="13" t="b">
        <f>VLOOKUP(BT629,Enriched!$A$1:$AA$1070,27,falsE)</f>
        <v>0</v>
      </c>
      <c r="BZ629" s="2" t="str">
        <f>VLOOKUP(BT629,Enriched!$A$1:$AA$1070,14,falsE)</f>
        <v>level2</v>
      </c>
      <c r="CA629" s="13" t="str">
        <f>HYPERLINK("https%3A%2F%2Fwww.webofscience.com%2Fwos%2Fwoscc%2Ffull-record%2FWOS:000261521400010","View Full Record in Web of Science")</f>
        <v>View Full Record in Web of Science</v>
      </c>
    </row>
    <row r="630" ht="12.75" customHeight="1">
      <c r="A630" s="13" t="s">
        <v>5508</v>
      </c>
      <c r="B630" s="13" t="s">
        <v>16668</v>
      </c>
      <c r="C630" s="13" t="s">
        <v>5510</v>
      </c>
      <c r="D630" s="13" t="s">
        <v>5510</v>
      </c>
      <c r="E630" s="13" t="s">
        <v>5510</v>
      </c>
      <c r="F630" s="13" t="s">
        <v>16669</v>
      </c>
      <c r="G630" s="13" t="s">
        <v>5510</v>
      </c>
      <c r="H630" s="13" t="s">
        <v>5510</v>
      </c>
      <c r="I630" s="13" t="s">
        <v>1114</v>
      </c>
      <c r="J630" s="13" t="s">
        <v>6333</v>
      </c>
      <c r="K630" s="13" t="s">
        <v>5510</v>
      </c>
      <c r="L630" s="13" t="s">
        <v>5510</v>
      </c>
      <c r="M630" s="13" t="s">
        <v>5513</v>
      </c>
      <c r="N630" s="13" t="s">
        <v>5514</v>
      </c>
      <c r="O630" s="13" t="s">
        <v>5510</v>
      </c>
      <c r="P630" s="13" t="s">
        <v>5510</v>
      </c>
      <c r="Q630" s="13" t="s">
        <v>5510</v>
      </c>
      <c r="R630" s="13" t="s">
        <v>5510</v>
      </c>
      <c r="S630" s="13" t="s">
        <v>5510</v>
      </c>
      <c r="T630" s="13" t="s">
        <v>16670</v>
      </c>
      <c r="U630" s="13" t="s">
        <v>16671</v>
      </c>
      <c r="V630" s="13" t="s">
        <v>16672</v>
      </c>
      <c r="W630" s="13" t="s">
        <v>16673</v>
      </c>
      <c r="X630" s="13" t="s">
        <v>16674</v>
      </c>
      <c r="Y630" s="13" t="s">
        <v>16675</v>
      </c>
      <c r="Z630" s="13" t="s">
        <v>16676</v>
      </c>
      <c r="AA630" s="13" t="s">
        <v>16677</v>
      </c>
      <c r="AB630" s="13" t="s">
        <v>16678</v>
      </c>
      <c r="AC630" s="13" t="s">
        <v>16679</v>
      </c>
      <c r="AD630" s="13" t="s">
        <v>16680</v>
      </c>
      <c r="AE630" s="13" t="s">
        <v>16681</v>
      </c>
      <c r="AF630" s="13" t="s">
        <v>5510</v>
      </c>
      <c r="AG630" s="13">
        <v>36.0</v>
      </c>
      <c r="AH630" s="13">
        <v>13.0</v>
      </c>
      <c r="AI630" s="13">
        <v>14.0</v>
      </c>
      <c r="AJ630" s="13">
        <v>0.0</v>
      </c>
      <c r="AK630" s="13">
        <v>31.0</v>
      </c>
      <c r="AL630" s="13" t="s">
        <v>5527</v>
      </c>
      <c r="AM630" s="13" t="s">
        <v>5528</v>
      </c>
      <c r="AN630" s="13" t="s">
        <v>5529</v>
      </c>
      <c r="AO630" s="13" t="s">
        <v>6342</v>
      </c>
      <c r="AP630" s="13" t="s">
        <v>6343</v>
      </c>
      <c r="AQ630" s="13" t="s">
        <v>5510</v>
      </c>
      <c r="AR630" s="13" t="s">
        <v>6344</v>
      </c>
      <c r="AS630" s="13" t="s">
        <v>6345</v>
      </c>
      <c r="AT630" s="13" t="s">
        <v>6175</v>
      </c>
      <c r="AU630" s="13">
        <v>2018.0</v>
      </c>
      <c r="AV630" s="13">
        <v>32.0</v>
      </c>
      <c r="AW630" s="13">
        <v>4.0</v>
      </c>
      <c r="AX630" s="13" t="s">
        <v>5510</v>
      </c>
      <c r="AY630" s="13" t="s">
        <v>5510</v>
      </c>
      <c r="AZ630" s="13" t="s">
        <v>5510</v>
      </c>
      <c r="BA630" s="13" t="s">
        <v>5510</v>
      </c>
      <c r="BB630" s="13">
        <v>949.0</v>
      </c>
      <c r="BC630" s="13">
        <v>958.0</v>
      </c>
      <c r="BD630" s="13" t="s">
        <v>5510</v>
      </c>
      <c r="BE630" s="13" t="s">
        <v>16682</v>
      </c>
      <c r="BF630" s="52" t="str">
        <f>HYPERLINK("http://dx.doi.org/10.1111/cobi.13079","http://dx.doi.org/10.1111/cobi.13079")</f>
        <v>http://dx.doi.org/10.1111/cobi.13079</v>
      </c>
      <c r="BG630" s="13" t="s">
        <v>5510</v>
      </c>
      <c r="BH630" s="13" t="s">
        <v>5510</v>
      </c>
      <c r="BI630" s="13">
        <v>10.0</v>
      </c>
      <c r="BJ630" s="13" t="s">
        <v>5698</v>
      </c>
      <c r="BK630" s="13" t="s">
        <v>5561</v>
      </c>
      <c r="BL630" s="13" t="s">
        <v>5699</v>
      </c>
      <c r="BM630" s="13" t="s">
        <v>16683</v>
      </c>
      <c r="BN630" s="13">
        <v>2.9333706E7</v>
      </c>
      <c r="BO630" s="13" t="s">
        <v>5510</v>
      </c>
      <c r="BP630" s="13" t="s">
        <v>5510</v>
      </c>
      <c r="BQ630" s="13" t="s">
        <v>5510</v>
      </c>
      <c r="BR630" s="13" t="s">
        <v>5538</v>
      </c>
      <c r="BS630" s="13" t="s">
        <v>16684</v>
      </c>
      <c r="BT630" s="13">
        <v>23384.0</v>
      </c>
      <c r="BU630" s="13" t="s">
        <v>5540</v>
      </c>
      <c r="BV630" s="13" t="s">
        <v>4864</v>
      </c>
      <c r="BW630" s="13" t="str">
        <f>VLOOKUP($BT630,Enriched!$A$2:$E$1070,5,false)</f>
        <v>["Biological Resource Use"]</v>
      </c>
      <c r="BX630" s="13" t="str">
        <f>VLOOKUP($BT630,Enriched!$A$2:$E$1070,4,false)</f>
        <v>["Logging &amp; wood harvesting"]</v>
      </c>
      <c r="BY630" s="13" t="b">
        <f>VLOOKUP(BT630,Enriched!$A$1:$AA$1070,27,falsE)</f>
        <v>0</v>
      </c>
      <c r="BZ630" s="2" t="str">
        <f>VLOOKUP(BT630,Enriched!$A$1:$AA$1070,14,falsE)</f>
        <v>level2</v>
      </c>
      <c r="CA630" s="13" t="str">
        <f>HYPERLINK("https%3A%2F%2Fwww.webofscience.com%2Fwos%2Fwoscc%2Ffull-record%2FWOS:000438200100020","View Full Record in Web of Science")</f>
        <v>View Full Record in Web of Science</v>
      </c>
    </row>
    <row r="631" ht="12.75" customHeight="1">
      <c r="A631" s="13" t="s">
        <v>5508</v>
      </c>
      <c r="B631" s="13" t="s">
        <v>16685</v>
      </c>
      <c r="C631" s="13" t="s">
        <v>5510</v>
      </c>
      <c r="D631" s="13" t="s">
        <v>5510</v>
      </c>
      <c r="E631" s="13" t="s">
        <v>5510</v>
      </c>
      <c r="F631" s="13" t="s">
        <v>16686</v>
      </c>
      <c r="G631" s="13" t="s">
        <v>5510</v>
      </c>
      <c r="H631" s="13" t="s">
        <v>5510</v>
      </c>
      <c r="I631" s="13" t="s">
        <v>16687</v>
      </c>
      <c r="J631" s="13" t="s">
        <v>8582</v>
      </c>
      <c r="K631" s="13" t="s">
        <v>5510</v>
      </c>
      <c r="L631" s="13" t="s">
        <v>5510</v>
      </c>
      <c r="M631" s="13" t="s">
        <v>5513</v>
      </c>
      <c r="N631" s="13" t="s">
        <v>5514</v>
      </c>
      <c r="O631" s="13" t="s">
        <v>5510</v>
      </c>
      <c r="P631" s="13" t="s">
        <v>5510</v>
      </c>
      <c r="Q631" s="13" t="s">
        <v>5510</v>
      </c>
      <c r="R631" s="13" t="s">
        <v>5510</v>
      </c>
      <c r="S631" s="13" t="s">
        <v>5510</v>
      </c>
      <c r="T631" s="13" t="s">
        <v>16688</v>
      </c>
      <c r="U631" s="13" t="s">
        <v>16689</v>
      </c>
      <c r="V631" s="13" t="s">
        <v>16690</v>
      </c>
      <c r="W631" s="13" t="s">
        <v>16691</v>
      </c>
      <c r="X631" s="13" t="s">
        <v>16692</v>
      </c>
      <c r="Y631" s="13" t="s">
        <v>16693</v>
      </c>
      <c r="Z631" s="13" t="s">
        <v>16694</v>
      </c>
      <c r="AA631" s="13" t="s">
        <v>5510</v>
      </c>
      <c r="AB631" s="13" t="s">
        <v>5510</v>
      </c>
      <c r="AC631" s="13" t="s">
        <v>5510</v>
      </c>
      <c r="AD631" s="13" t="s">
        <v>5510</v>
      </c>
      <c r="AE631" s="13" t="s">
        <v>5510</v>
      </c>
      <c r="AF631" s="13" t="s">
        <v>5510</v>
      </c>
      <c r="AG631" s="13">
        <v>40.0</v>
      </c>
      <c r="AH631" s="13">
        <v>16.0</v>
      </c>
      <c r="AI631" s="13">
        <v>19.0</v>
      </c>
      <c r="AJ631" s="13">
        <v>0.0</v>
      </c>
      <c r="AK631" s="13">
        <v>121.0</v>
      </c>
      <c r="AL631" s="13" t="s">
        <v>5690</v>
      </c>
      <c r="AM631" s="13" t="s">
        <v>6503</v>
      </c>
      <c r="AN631" s="13" t="s">
        <v>7040</v>
      </c>
      <c r="AO631" s="13" t="s">
        <v>8592</v>
      </c>
      <c r="AP631" s="13" t="s">
        <v>5510</v>
      </c>
      <c r="AQ631" s="13" t="s">
        <v>5510</v>
      </c>
      <c r="AR631" s="13" t="s">
        <v>8594</v>
      </c>
      <c r="AS631" s="13" t="s">
        <v>8595</v>
      </c>
      <c r="AT631" s="13" t="s">
        <v>2738</v>
      </c>
      <c r="AU631" s="13">
        <v>2012.0</v>
      </c>
      <c r="AV631" s="13">
        <v>49.0</v>
      </c>
      <c r="AW631" s="13">
        <v>2.0</v>
      </c>
      <c r="AX631" s="13" t="s">
        <v>5510</v>
      </c>
      <c r="AY631" s="13" t="s">
        <v>5510</v>
      </c>
      <c r="AZ631" s="13" t="s">
        <v>5510</v>
      </c>
      <c r="BA631" s="13" t="s">
        <v>5510</v>
      </c>
      <c r="BB631" s="13">
        <v>502.0</v>
      </c>
      <c r="BC631" s="13">
        <v>515.0</v>
      </c>
      <c r="BD631" s="13" t="s">
        <v>5510</v>
      </c>
      <c r="BE631" s="13" t="s">
        <v>16695</v>
      </c>
      <c r="BF631" s="52" t="str">
        <f>HYPERLINK("http://dx.doi.org/10.1007/s00267-011-9771-8","http://dx.doi.org/10.1007/s00267-011-9771-8")</f>
        <v>http://dx.doi.org/10.1007/s00267-011-9771-8</v>
      </c>
      <c r="BG631" s="13" t="s">
        <v>5510</v>
      </c>
      <c r="BH631" s="13" t="s">
        <v>5510</v>
      </c>
      <c r="BI631" s="13">
        <v>14.0</v>
      </c>
      <c r="BJ631" s="13" t="s">
        <v>5768</v>
      </c>
      <c r="BK631" s="13" t="s">
        <v>5534</v>
      </c>
      <c r="BL631" s="13" t="s">
        <v>5535</v>
      </c>
      <c r="BM631" s="13" t="s">
        <v>16696</v>
      </c>
      <c r="BN631" s="13">
        <v>2.2037616E7</v>
      </c>
      <c r="BO631" s="13" t="s">
        <v>5510</v>
      </c>
      <c r="BP631" s="13" t="s">
        <v>5510</v>
      </c>
      <c r="BQ631" s="13" t="s">
        <v>5510</v>
      </c>
      <c r="BR631" s="13" t="s">
        <v>5538</v>
      </c>
      <c r="BS631" s="13" t="s">
        <v>16697</v>
      </c>
      <c r="BT631" s="13">
        <v>24222.0</v>
      </c>
      <c r="BU631" s="13" t="s">
        <v>5540</v>
      </c>
      <c r="BV631" s="13" t="s">
        <v>4886</v>
      </c>
      <c r="BW631" s="13" t="str">
        <f>VLOOKUP($BT631,Enriched!$A$2:$E$1070,5,false)</f>
        <v>["Residential &amp; Commercial Development", "Agriculture &amp; Aquaculture", "Transportation &amp; Service Corridors", "Energy Production &amp; Mining"]</v>
      </c>
      <c r="BX631" s="13" t="str">
        <f>VLOOKUP($BT631,Enriched!$A$2:$E$1070,4,false)</f>
        <v>["Housing &amp; urban area", "Commercial &amp; industrial areas", "Roads &amp; railroads", "Mining &amp; quarrying", "Utility &amp; service lines"]</v>
      </c>
      <c r="BY631" s="13" t="b">
        <f>VLOOKUP(BT631,Enriched!$A$1:$AA$1070,27,falsE)</f>
        <v>1</v>
      </c>
      <c r="BZ631" s="2" t="str">
        <f>VLOOKUP(BT631,Enriched!$A$1:$AA$1070,14,falsE)</f>
        <v>level2</v>
      </c>
      <c r="CA631" s="13" t="str">
        <f>HYPERLINK("https%3A%2F%2Fwww.webofscience.com%2Fwos%2Fwoscc%2Ffull-record%2FWOS:000301300200018","View Full Record in Web of Science")</f>
        <v>View Full Record in Web of Science</v>
      </c>
    </row>
    <row r="632" ht="12.75" customHeight="1">
      <c r="A632" s="13" t="s">
        <v>5508</v>
      </c>
      <c r="B632" s="13" t="s">
        <v>16698</v>
      </c>
      <c r="C632" s="13" t="s">
        <v>5510</v>
      </c>
      <c r="D632" s="13" t="s">
        <v>5510</v>
      </c>
      <c r="E632" s="13" t="s">
        <v>5510</v>
      </c>
      <c r="F632" s="13" t="s">
        <v>16699</v>
      </c>
      <c r="G632" s="13" t="s">
        <v>5510</v>
      </c>
      <c r="H632" s="13" t="s">
        <v>5510</v>
      </c>
      <c r="I632" s="13" t="s">
        <v>1108</v>
      </c>
      <c r="J632" s="13" t="s">
        <v>7648</v>
      </c>
      <c r="K632" s="13" t="s">
        <v>5510</v>
      </c>
      <c r="L632" s="13" t="s">
        <v>5510</v>
      </c>
      <c r="M632" s="13" t="s">
        <v>5513</v>
      </c>
      <c r="N632" s="13" t="s">
        <v>5514</v>
      </c>
      <c r="O632" s="13" t="s">
        <v>5510</v>
      </c>
      <c r="P632" s="13" t="s">
        <v>5510</v>
      </c>
      <c r="Q632" s="13" t="s">
        <v>5510</v>
      </c>
      <c r="R632" s="13" t="s">
        <v>5510</v>
      </c>
      <c r="S632" s="13" t="s">
        <v>5510</v>
      </c>
      <c r="T632" s="13" t="s">
        <v>16700</v>
      </c>
      <c r="U632" s="13" t="s">
        <v>16701</v>
      </c>
      <c r="V632" s="13" t="s">
        <v>16702</v>
      </c>
      <c r="W632" s="13" t="s">
        <v>16703</v>
      </c>
      <c r="X632" s="13" t="s">
        <v>16704</v>
      </c>
      <c r="Y632" s="13" t="s">
        <v>16705</v>
      </c>
      <c r="Z632" s="13" t="s">
        <v>16706</v>
      </c>
      <c r="AA632" s="13" t="s">
        <v>16707</v>
      </c>
      <c r="AB632" s="13" t="s">
        <v>16708</v>
      </c>
      <c r="AC632" s="13" t="s">
        <v>16709</v>
      </c>
      <c r="AD632" s="13" t="s">
        <v>16710</v>
      </c>
      <c r="AE632" s="13" t="s">
        <v>16711</v>
      </c>
      <c r="AF632" s="13" t="s">
        <v>5510</v>
      </c>
      <c r="AG632" s="13">
        <v>59.0</v>
      </c>
      <c r="AH632" s="13">
        <v>13.0</v>
      </c>
      <c r="AI632" s="13">
        <v>14.0</v>
      </c>
      <c r="AJ632" s="13">
        <v>0.0</v>
      </c>
      <c r="AK632" s="13">
        <v>27.0</v>
      </c>
      <c r="AL632" s="13" t="s">
        <v>5690</v>
      </c>
      <c r="AM632" s="13" t="s">
        <v>5691</v>
      </c>
      <c r="AN632" s="13" t="s">
        <v>5692</v>
      </c>
      <c r="AO632" s="13" t="s">
        <v>7661</v>
      </c>
      <c r="AP632" s="13" t="s">
        <v>7662</v>
      </c>
      <c r="AQ632" s="13" t="s">
        <v>5510</v>
      </c>
      <c r="AR632" s="13" t="s">
        <v>7648</v>
      </c>
      <c r="AS632" s="13" t="s">
        <v>422</v>
      </c>
      <c r="AT632" s="13" t="s">
        <v>2738</v>
      </c>
      <c r="AU632" s="13">
        <v>2016.0</v>
      </c>
      <c r="AV632" s="13">
        <v>45.0</v>
      </c>
      <c r="AW632" s="13">
        <v>1.0</v>
      </c>
      <c r="AX632" s="13" t="s">
        <v>5510</v>
      </c>
      <c r="AY632" s="13" t="s">
        <v>5510</v>
      </c>
      <c r="AZ632" s="13" t="s">
        <v>5510</v>
      </c>
      <c r="BA632" s="13" t="s">
        <v>5510</v>
      </c>
      <c r="BB632" s="13">
        <v>110.0</v>
      </c>
      <c r="BC632" s="13">
        <v>119.0</v>
      </c>
      <c r="BD632" s="13" t="s">
        <v>5510</v>
      </c>
      <c r="BE632" s="13" t="s">
        <v>16712</v>
      </c>
      <c r="BF632" s="52" t="str">
        <f>HYPERLINK("http://dx.doi.org/10.1007/s13280-015-0683-3","http://dx.doi.org/10.1007/s13280-015-0683-3")</f>
        <v>http://dx.doi.org/10.1007/s13280-015-0683-3</v>
      </c>
      <c r="BG632" s="13" t="s">
        <v>5510</v>
      </c>
      <c r="BH632" s="13" t="s">
        <v>5510</v>
      </c>
      <c r="BI632" s="13">
        <v>10.0</v>
      </c>
      <c r="BJ632" s="13" t="s">
        <v>7664</v>
      </c>
      <c r="BK632" s="13" t="s">
        <v>5561</v>
      </c>
      <c r="BL632" s="13" t="s">
        <v>7665</v>
      </c>
      <c r="BM632" s="13" t="s">
        <v>16713</v>
      </c>
      <c r="BN632" s="13">
        <v>2.6169084E7</v>
      </c>
      <c r="BO632" s="13" t="s">
        <v>5809</v>
      </c>
      <c r="BP632" s="13" t="s">
        <v>5510</v>
      </c>
      <c r="BQ632" s="13" t="s">
        <v>5510</v>
      </c>
      <c r="BR632" s="13" t="s">
        <v>5538</v>
      </c>
      <c r="BS632" s="13" t="s">
        <v>16714</v>
      </c>
      <c r="BT632" s="13">
        <v>24400.0</v>
      </c>
      <c r="BU632" s="13" t="s">
        <v>5540</v>
      </c>
      <c r="BV632" s="13" t="s">
        <v>4852</v>
      </c>
      <c r="BW632" s="13" t="str">
        <f>VLOOKUP($BT632,Enriched!$A$2:$E$1070,5,false)</f>
        <v>["Natural system modifications"]</v>
      </c>
      <c r="BX632" s="13" t="str">
        <f>VLOOKUP($BT632,Enriched!$A$2:$E$1070,4,false)</f>
        <v>["Dams &amp; water management/use"]</v>
      </c>
      <c r="BY632" s="13" t="b">
        <f>VLOOKUP(BT632,Enriched!$A$1:$AA$1070,27,falsE)</f>
        <v>0</v>
      </c>
      <c r="BZ632" s="2" t="str">
        <f>VLOOKUP(BT632,Enriched!$A$1:$AA$1070,14,falsE)</f>
        <v>level2</v>
      </c>
      <c r="CA632" s="13" t="str">
        <f>HYPERLINK("https%3A%2F%2Fwww.webofscience.com%2Fwos%2Fwoscc%2Ffull-record%2FWOS:000368038800010","View Full Record in Web of Science")</f>
        <v>View Full Record in Web of Science</v>
      </c>
    </row>
    <row r="633" ht="12.75" customHeight="1">
      <c r="A633" s="13" t="s">
        <v>5508</v>
      </c>
      <c r="B633" s="13" t="s">
        <v>16715</v>
      </c>
      <c r="C633" s="13" t="s">
        <v>5510</v>
      </c>
      <c r="D633" s="13" t="s">
        <v>5510</v>
      </c>
      <c r="E633" s="13" t="s">
        <v>5510</v>
      </c>
      <c r="F633" s="13" t="s">
        <v>16716</v>
      </c>
      <c r="G633" s="13" t="s">
        <v>5510</v>
      </c>
      <c r="H633" s="13" t="s">
        <v>5510</v>
      </c>
      <c r="I633" s="13" t="s">
        <v>1105</v>
      </c>
      <c r="J633" s="13" t="s">
        <v>7193</v>
      </c>
      <c r="K633" s="13" t="s">
        <v>5510</v>
      </c>
      <c r="L633" s="13" t="s">
        <v>5510</v>
      </c>
      <c r="M633" s="13" t="s">
        <v>5513</v>
      </c>
      <c r="N633" s="13" t="s">
        <v>5514</v>
      </c>
      <c r="O633" s="13" t="s">
        <v>5510</v>
      </c>
      <c r="P633" s="13" t="s">
        <v>5510</v>
      </c>
      <c r="Q633" s="13" t="s">
        <v>5510</v>
      </c>
      <c r="R633" s="13" t="s">
        <v>5510</v>
      </c>
      <c r="S633" s="13" t="s">
        <v>5510</v>
      </c>
      <c r="T633" s="13" t="s">
        <v>16717</v>
      </c>
      <c r="U633" s="13" t="s">
        <v>16718</v>
      </c>
      <c r="V633" s="13" t="s">
        <v>16719</v>
      </c>
      <c r="W633" s="13" t="s">
        <v>16720</v>
      </c>
      <c r="X633" s="13" t="s">
        <v>16721</v>
      </c>
      <c r="Y633" s="13" t="s">
        <v>16722</v>
      </c>
      <c r="Z633" s="13" t="s">
        <v>16723</v>
      </c>
      <c r="AA633" s="13" t="s">
        <v>5510</v>
      </c>
      <c r="AB633" s="13" t="s">
        <v>16724</v>
      </c>
      <c r="AC633" s="13" t="s">
        <v>16725</v>
      </c>
      <c r="AD633" s="13" t="s">
        <v>16726</v>
      </c>
      <c r="AE633" s="13" t="s">
        <v>16727</v>
      </c>
      <c r="AF633" s="13" t="s">
        <v>5510</v>
      </c>
      <c r="AG633" s="13">
        <v>30.0</v>
      </c>
      <c r="AH633" s="13">
        <v>29.0</v>
      </c>
      <c r="AI633" s="13">
        <v>38.0</v>
      </c>
      <c r="AJ633" s="13">
        <v>0.0</v>
      </c>
      <c r="AK633" s="13">
        <v>25.0</v>
      </c>
      <c r="AL633" s="13" t="s">
        <v>5690</v>
      </c>
      <c r="AM633" s="13" t="s">
        <v>5691</v>
      </c>
      <c r="AN633" s="13" t="s">
        <v>5692</v>
      </c>
      <c r="AO633" s="13" t="s">
        <v>7203</v>
      </c>
      <c r="AP633" s="13" t="s">
        <v>7204</v>
      </c>
      <c r="AQ633" s="13" t="s">
        <v>5510</v>
      </c>
      <c r="AR633" s="13" t="s">
        <v>7205</v>
      </c>
      <c r="AS633" s="13" t="s">
        <v>7206</v>
      </c>
      <c r="AT633" s="13" t="s">
        <v>5720</v>
      </c>
      <c r="AU633" s="13">
        <v>2017.0</v>
      </c>
      <c r="AV633" s="13">
        <v>19.0</v>
      </c>
      <c r="AW633" s="13">
        <v>6.0</v>
      </c>
      <c r="AX633" s="13" t="s">
        <v>5510</v>
      </c>
      <c r="AY633" s="13" t="s">
        <v>5510</v>
      </c>
      <c r="AZ633" s="13" t="s">
        <v>5510</v>
      </c>
      <c r="BA633" s="13" t="s">
        <v>5510</v>
      </c>
      <c r="BB633" s="13">
        <v>1723.0</v>
      </c>
      <c r="BC633" s="13">
        <v>1731.0</v>
      </c>
      <c r="BD633" s="13" t="s">
        <v>5510</v>
      </c>
      <c r="BE633" s="13" t="s">
        <v>16728</v>
      </c>
      <c r="BF633" s="52" t="str">
        <f>HYPERLINK("http://dx.doi.org/10.1007/s10530-017-1389-1","http://dx.doi.org/10.1007/s10530-017-1389-1")</f>
        <v>http://dx.doi.org/10.1007/s10530-017-1389-1</v>
      </c>
      <c r="BG633" s="13" t="s">
        <v>5510</v>
      </c>
      <c r="BH633" s="13" t="s">
        <v>5510</v>
      </c>
      <c r="BI633" s="13">
        <v>9.0</v>
      </c>
      <c r="BJ633" s="13" t="s">
        <v>5958</v>
      </c>
      <c r="BK633" s="13" t="s">
        <v>5561</v>
      </c>
      <c r="BL633" s="13" t="s">
        <v>5699</v>
      </c>
      <c r="BM633" s="13" t="s">
        <v>16729</v>
      </c>
      <c r="BN633" s="13" t="s">
        <v>5510</v>
      </c>
      <c r="BO633" s="13" t="s">
        <v>5510</v>
      </c>
      <c r="BP633" s="13" t="s">
        <v>5510</v>
      </c>
      <c r="BQ633" s="13" t="s">
        <v>5510</v>
      </c>
      <c r="BR633" s="13" t="s">
        <v>5538</v>
      </c>
      <c r="BS633" s="13" t="s">
        <v>16730</v>
      </c>
      <c r="BT633" s="13">
        <v>25695.0</v>
      </c>
      <c r="BU633" s="13" t="s">
        <v>5540</v>
      </c>
      <c r="BV633" s="13" t="s">
        <v>4856</v>
      </c>
      <c r="BW633" s="13" t="str">
        <f>VLOOKUP($BT633,Enriched!$A$2:$E$1070,5,false)</f>
        <v>["Invasive &amp; other problematic species, genes &amp; diseases"]</v>
      </c>
      <c r="BX633" s="13" t="str">
        <f>VLOOKUP($BT633,Enriched!$A$2:$E$1070,4,false)</f>
        <v>["Invasive non-native/alien species/diseases"]</v>
      </c>
      <c r="BY633" s="13" t="b">
        <f>VLOOKUP(BT633,Enriched!$A$1:$AA$1070,27,falsE)</f>
        <v>0</v>
      </c>
      <c r="BZ633" s="2" t="str">
        <f>VLOOKUP(BT633,Enriched!$A$1:$AA$1070,14,falsE)</f>
        <v>level2</v>
      </c>
      <c r="CA633" s="13" t="str">
        <f>HYPERLINK("https%3A%2F%2Fwww.webofscience.com%2Fwos%2Fwoscc%2Ffull-record%2FWOS:000402143200004","View Full Record in Web of Science")</f>
        <v>View Full Record in Web of Science</v>
      </c>
    </row>
    <row r="634" ht="12.75" customHeight="1">
      <c r="A634" s="13" t="s">
        <v>5508</v>
      </c>
      <c r="B634" s="13" t="s">
        <v>16731</v>
      </c>
      <c r="C634" s="13" t="s">
        <v>5510</v>
      </c>
      <c r="D634" s="13" t="s">
        <v>5510</v>
      </c>
      <c r="E634" s="13" t="s">
        <v>5510</v>
      </c>
      <c r="F634" s="13" t="s">
        <v>16732</v>
      </c>
      <c r="G634" s="13" t="s">
        <v>5510</v>
      </c>
      <c r="H634" s="13" t="s">
        <v>5510</v>
      </c>
      <c r="I634" s="13" t="s">
        <v>16733</v>
      </c>
      <c r="J634" s="13" t="s">
        <v>5512</v>
      </c>
      <c r="K634" s="13" t="s">
        <v>5510</v>
      </c>
      <c r="L634" s="13" t="s">
        <v>5510</v>
      </c>
      <c r="M634" s="13" t="s">
        <v>5513</v>
      </c>
      <c r="N634" s="13" t="s">
        <v>5514</v>
      </c>
      <c r="O634" s="13" t="s">
        <v>5510</v>
      </c>
      <c r="P634" s="13" t="s">
        <v>5510</v>
      </c>
      <c r="Q634" s="13" t="s">
        <v>5510</v>
      </c>
      <c r="R634" s="13" t="s">
        <v>5510</v>
      </c>
      <c r="S634" s="13" t="s">
        <v>5510</v>
      </c>
      <c r="T634" s="13" t="s">
        <v>16734</v>
      </c>
      <c r="U634" s="13" t="s">
        <v>16735</v>
      </c>
      <c r="V634" s="13" t="s">
        <v>16736</v>
      </c>
      <c r="W634" s="13" t="s">
        <v>16737</v>
      </c>
      <c r="X634" s="13" t="s">
        <v>16738</v>
      </c>
      <c r="Y634" s="13" t="s">
        <v>16739</v>
      </c>
      <c r="Z634" s="13" t="s">
        <v>16740</v>
      </c>
      <c r="AA634" s="13" t="s">
        <v>16741</v>
      </c>
      <c r="AB634" s="13" t="s">
        <v>16742</v>
      </c>
      <c r="AC634" s="13" t="s">
        <v>16743</v>
      </c>
      <c r="AD634" s="13" t="s">
        <v>16744</v>
      </c>
      <c r="AE634" s="13" t="s">
        <v>16745</v>
      </c>
      <c r="AF634" s="13" t="s">
        <v>5510</v>
      </c>
      <c r="AG634" s="13">
        <v>78.0</v>
      </c>
      <c r="AH634" s="13">
        <v>147.0</v>
      </c>
      <c r="AI634" s="13">
        <v>174.0</v>
      </c>
      <c r="AJ634" s="13">
        <v>1.0</v>
      </c>
      <c r="AK634" s="13">
        <v>69.0</v>
      </c>
      <c r="AL634" s="13" t="s">
        <v>5527</v>
      </c>
      <c r="AM634" s="13" t="s">
        <v>5528</v>
      </c>
      <c r="AN634" s="13" t="s">
        <v>5529</v>
      </c>
      <c r="AO634" s="13" t="s">
        <v>5530</v>
      </c>
      <c r="AP634" s="13" t="s">
        <v>5510</v>
      </c>
      <c r="AQ634" s="13" t="s">
        <v>5510</v>
      </c>
      <c r="AR634" s="13" t="s">
        <v>5512</v>
      </c>
      <c r="AS634" s="13" t="s">
        <v>53</v>
      </c>
      <c r="AT634" s="13" t="s">
        <v>2738</v>
      </c>
      <c r="AU634" s="13">
        <v>2011.0</v>
      </c>
      <c r="AV634" s="13">
        <v>2.0</v>
      </c>
      <c r="AW634" s="13">
        <v>2.0</v>
      </c>
      <c r="AX634" s="13" t="s">
        <v>5510</v>
      </c>
      <c r="AY634" s="13" t="s">
        <v>5510</v>
      </c>
      <c r="AZ634" s="13" t="s">
        <v>5510</v>
      </c>
      <c r="BA634" s="13" t="s">
        <v>5510</v>
      </c>
      <c r="BB634" s="13" t="s">
        <v>5510</v>
      </c>
      <c r="BC634" s="13" t="s">
        <v>5510</v>
      </c>
      <c r="BD634" s="13">
        <v>17.0</v>
      </c>
      <c r="BE634" s="13" t="s">
        <v>16746</v>
      </c>
      <c r="BF634" s="52" t="str">
        <f>HYPERLINK("http://dx.doi.org/10.1890/ES10-00192.1","http://dx.doi.org/10.1890/ES10-00192.1")</f>
        <v>http://dx.doi.org/10.1890/ES10-00192.1</v>
      </c>
      <c r="BG634" s="13" t="s">
        <v>5510</v>
      </c>
      <c r="BH634" s="13" t="s">
        <v>5510</v>
      </c>
      <c r="BI634" s="13">
        <v>24.0</v>
      </c>
      <c r="BJ634" s="13" t="s">
        <v>5533</v>
      </c>
      <c r="BK634" s="13" t="s">
        <v>5561</v>
      </c>
      <c r="BL634" s="13" t="s">
        <v>5535</v>
      </c>
      <c r="BM634" s="13" t="s">
        <v>16747</v>
      </c>
      <c r="BN634" s="13" t="s">
        <v>5510</v>
      </c>
      <c r="BO634" s="13" t="s">
        <v>5564</v>
      </c>
      <c r="BP634" s="13" t="s">
        <v>5510</v>
      </c>
      <c r="BQ634" s="13" t="s">
        <v>5510</v>
      </c>
      <c r="BR634" s="13" t="s">
        <v>5538</v>
      </c>
      <c r="BS634" s="13" t="s">
        <v>16748</v>
      </c>
      <c r="BT634" s="13">
        <v>24765.0</v>
      </c>
      <c r="BU634" s="13" t="s">
        <v>5540</v>
      </c>
      <c r="BV634" s="13" t="s">
        <v>4856</v>
      </c>
      <c r="BW634" s="13" t="str">
        <f>VLOOKUP($BT634,Enriched!$A$2:$E$1070,5,false)</f>
        <v>["Invasive &amp; Other Problematic Species, Genes &amp; Diseases"]</v>
      </c>
      <c r="BX634" s="13" t="str">
        <f>VLOOKUP($BT634,Enriched!$A$2:$E$1070,4,false)</f>
        <v>["Problematic species/diseases of unknown origin"]</v>
      </c>
      <c r="BY634" s="13" t="b">
        <f>VLOOKUP(BT634,Enriched!$A$1:$AA$1070,27,falsE)</f>
        <v>0</v>
      </c>
      <c r="BZ634" s="2" t="str">
        <f>VLOOKUP(BT634,Enriched!$A$1:$AA$1070,14,falsE)</f>
        <v>level2</v>
      </c>
      <c r="CA634" s="13" t="str">
        <f>HYPERLINK("https%3A%2F%2Fwww.webofscience.com%2Fwos%2Fwoscc%2Ffull-record%2FWOS:000208810300005","View Full Record in Web of Science")</f>
        <v>View Full Record in Web of Science</v>
      </c>
    </row>
    <row r="635" ht="12.75" customHeight="1">
      <c r="A635" s="13" t="s">
        <v>5508</v>
      </c>
      <c r="B635" s="13" t="s">
        <v>16749</v>
      </c>
      <c r="C635" s="13" t="s">
        <v>5510</v>
      </c>
      <c r="D635" s="13" t="s">
        <v>5510</v>
      </c>
      <c r="E635" s="13" t="s">
        <v>5510</v>
      </c>
      <c r="F635" s="13" t="s">
        <v>16750</v>
      </c>
      <c r="G635" s="13" t="s">
        <v>5510</v>
      </c>
      <c r="H635" s="13" t="s">
        <v>5510</v>
      </c>
      <c r="I635" s="13" t="s">
        <v>1101</v>
      </c>
      <c r="J635" s="13" t="s">
        <v>8795</v>
      </c>
      <c r="K635" s="13" t="s">
        <v>5510</v>
      </c>
      <c r="L635" s="13" t="s">
        <v>5510</v>
      </c>
      <c r="M635" s="13" t="s">
        <v>5513</v>
      </c>
      <c r="N635" s="13" t="s">
        <v>5514</v>
      </c>
      <c r="O635" s="13" t="s">
        <v>5510</v>
      </c>
      <c r="P635" s="13" t="s">
        <v>5510</v>
      </c>
      <c r="Q635" s="13" t="s">
        <v>5510</v>
      </c>
      <c r="R635" s="13" t="s">
        <v>5510</v>
      </c>
      <c r="S635" s="13" t="s">
        <v>5510</v>
      </c>
      <c r="T635" s="13" t="s">
        <v>5510</v>
      </c>
      <c r="U635" s="13" t="s">
        <v>16751</v>
      </c>
      <c r="V635" s="13" t="s">
        <v>16752</v>
      </c>
      <c r="W635" s="13" t="s">
        <v>16753</v>
      </c>
      <c r="X635" s="13" t="s">
        <v>16754</v>
      </c>
      <c r="Y635" s="13" t="s">
        <v>16755</v>
      </c>
      <c r="Z635" s="13" t="s">
        <v>16756</v>
      </c>
      <c r="AA635" s="13" t="s">
        <v>16757</v>
      </c>
      <c r="AB635" s="13" t="s">
        <v>16758</v>
      </c>
      <c r="AC635" s="13" t="s">
        <v>16759</v>
      </c>
      <c r="AD635" s="13" t="s">
        <v>16760</v>
      </c>
      <c r="AE635" s="13" t="s">
        <v>16761</v>
      </c>
      <c r="AF635" s="13" t="s">
        <v>5510</v>
      </c>
      <c r="AG635" s="13">
        <v>72.0</v>
      </c>
      <c r="AH635" s="13">
        <v>19.0</v>
      </c>
      <c r="AI635" s="13">
        <v>25.0</v>
      </c>
      <c r="AJ635" s="13">
        <v>1.0</v>
      </c>
      <c r="AK635" s="13">
        <v>19.0</v>
      </c>
      <c r="AL635" s="13" t="s">
        <v>8807</v>
      </c>
      <c r="AM635" s="13" t="s">
        <v>8808</v>
      </c>
      <c r="AN635" s="13" t="s">
        <v>8809</v>
      </c>
      <c r="AO635" s="13" t="s">
        <v>8810</v>
      </c>
      <c r="AP635" s="13" t="s">
        <v>5510</v>
      </c>
      <c r="AQ635" s="13" t="s">
        <v>5510</v>
      </c>
      <c r="AR635" s="13" t="s">
        <v>8811</v>
      </c>
      <c r="AS635" s="13" t="s">
        <v>8812</v>
      </c>
      <c r="AT635" s="13" t="s">
        <v>16762</v>
      </c>
      <c r="AU635" s="13">
        <v>2018.0</v>
      </c>
      <c r="AV635" s="13">
        <v>8.0</v>
      </c>
      <c r="AW635" s="13" t="s">
        <v>5510</v>
      </c>
      <c r="AX635" s="13" t="s">
        <v>5510</v>
      </c>
      <c r="AY635" s="13" t="s">
        <v>5510</v>
      </c>
      <c r="AZ635" s="13" t="s">
        <v>5510</v>
      </c>
      <c r="BA635" s="13" t="s">
        <v>5510</v>
      </c>
      <c r="BB635" s="13" t="s">
        <v>5510</v>
      </c>
      <c r="BC635" s="13" t="s">
        <v>5510</v>
      </c>
      <c r="BD635" s="13">
        <v>10125.0</v>
      </c>
      <c r="BE635" s="13" t="s">
        <v>16763</v>
      </c>
      <c r="BF635" s="52" t="str">
        <f>HYPERLINK("http://dx.doi.org/10.1038/s41598-018-28304-1","http://dx.doi.org/10.1038/s41598-018-28304-1")</f>
        <v>http://dx.doi.org/10.1038/s41598-018-28304-1</v>
      </c>
      <c r="BG635" s="13" t="s">
        <v>5510</v>
      </c>
      <c r="BH635" s="13" t="s">
        <v>5510</v>
      </c>
      <c r="BI635" s="13">
        <v>11.0</v>
      </c>
      <c r="BJ635" s="13" t="s">
        <v>5560</v>
      </c>
      <c r="BK635" s="13" t="s">
        <v>5561</v>
      </c>
      <c r="BL635" s="13" t="s">
        <v>5562</v>
      </c>
      <c r="BM635" s="13" t="s">
        <v>16764</v>
      </c>
      <c r="BN635" s="13">
        <v>2.9973607E7</v>
      </c>
      <c r="BO635" s="13" t="s">
        <v>5564</v>
      </c>
      <c r="BP635" s="13" t="s">
        <v>5510</v>
      </c>
      <c r="BQ635" s="13" t="s">
        <v>5510</v>
      </c>
      <c r="BR635" s="13" t="s">
        <v>5538</v>
      </c>
      <c r="BS635" s="13" t="s">
        <v>16765</v>
      </c>
      <c r="BT635" s="13">
        <v>24912.0</v>
      </c>
      <c r="BU635" s="13" t="s">
        <v>5540</v>
      </c>
      <c r="BV635" s="13" t="s">
        <v>4886</v>
      </c>
      <c r="BW635" s="13" t="str">
        <f>VLOOKUP($BT635,Enriched!$A$2:$E$1070,5,false)</f>
        <v>["Invasive &amp; other problematic species, genes &amp; diseases"]</v>
      </c>
      <c r="BX635" s="13" t="str">
        <f>VLOOKUP($BT635,Enriched!$A$2:$E$1070,4,false)</f>
        <v>["Invasive non-native/alien species/diseases"]</v>
      </c>
      <c r="BY635" s="13" t="b">
        <f>VLOOKUP(BT635,Enriched!$A$1:$AA$1070,27,falsE)</f>
        <v>0</v>
      </c>
      <c r="BZ635" s="2" t="str">
        <f>VLOOKUP(BT635,Enriched!$A$1:$AA$1070,14,falsE)</f>
        <v>level2</v>
      </c>
      <c r="CA635" s="13" t="str">
        <f>HYPERLINK("https%3A%2F%2Fwww.webofscience.com%2Fwos%2Fwoscc%2Ffull-record%2FWOS:000437249200052","View Full Record in Web of Science")</f>
        <v>View Full Record in Web of Science</v>
      </c>
    </row>
    <row r="636" ht="12.75" customHeight="1">
      <c r="A636" s="13" t="s">
        <v>5508</v>
      </c>
      <c r="B636" s="13" t="s">
        <v>16766</v>
      </c>
      <c r="C636" s="13" t="s">
        <v>5510</v>
      </c>
      <c r="D636" s="13" t="s">
        <v>5510</v>
      </c>
      <c r="E636" s="13" t="s">
        <v>5510</v>
      </c>
      <c r="F636" s="13" t="s">
        <v>16767</v>
      </c>
      <c r="G636" s="13" t="s">
        <v>5510</v>
      </c>
      <c r="H636" s="13" t="s">
        <v>5510</v>
      </c>
      <c r="I636" s="13" t="s">
        <v>1099</v>
      </c>
      <c r="J636" s="13" t="s">
        <v>5512</v>
      </c>
      <c r="K636" s="13" t="s">
        <v>5510</v>
      </c>
      <c r="L636" s="13" t="s">
        <v>5510</v>
      </c>
      <c r="M636" s="13" t="s">
        <v>5513</v>
      </c>
      <c r="N636" s="13" t="s">
        <v>5514</v>
      </c>
      <c r="O636" s="13" t="s">
        <v>5510</v>
      </c>
      <c r="P636" s="13" t="s">
        <v>5510</v>
      </c>
      <c r="Q636" s="13" t="s">
        <v>5510</v>
      </c>
      <c r="R636" s="13" t="s">
        <v>5510</v>
      </c>
      <c r="S636" s="13" t="s">
        <v>5510</v>
      </c>
      <c r="T636" s="13" t="s">
        <v>16768</v>
      </c>
      <c r="U636" s="13" t="s">
        <v>16769</v>
      </c>
      <c r="V636" s="13" t="s">
        <v>16770</v>
      </c>
      <c r="W636" s="13" t="s">
        <v>16771</v>
      </c>
      <c r="X636" s="13" t="s">
        <v>16772</v>
      </c>
      <c r="Y636" s="13" t="s">
        <v>16773</v>
      </c>
      <c r="Z636" s="13" t="s">
        <v>16774</v>
      </c>
      <c r="AA636" s="13" t="s">
        <v>16775</v>
      </c>
      <c r="AB636" s="13" t="s">
        <v>5510</v>
      </c>
      <c r="AC636" s="13" t="s">
        <v>16776</v>
      </c>
      <c r="AD636" s="13" t="s">
        <v>16777</v>
      </c>
      <c r="AE636" s="13" t="s">
        <v>16778</v>
      </c>
      <c r="AF636" s="13" t="s">
        <v>5510</v>
      </c>
      <c r="AG636" s="13">
        <v>56.0</v>
      </c>
      <c r="AH636" s="13">
        <v>10.0</v>
      </c>
      <c r="AI636" s="13">
        <v>12.0</v>
      </c>
      <c r="AJ636" s="13">
        <v>0.0</v>
      </c>
      <c r="AK636" s="13">
        <v>38.0</v>
      </c>
      <c r="AL636" s="13" t="s">
        <v>5527</v>
      </c>
      <c r="AM636" s="13" t="s">
        <v>5528</v>
      </c>
      <c r="AN636" s="13" t="s">
        <v>5529</v>
      </c>
      <c r="AO636" s="13" t="s">
        <v>5530</v>
      </c>
      <c r="AP636" s="13" t="s">
        <v>5510</v>
      </c>
      <c r="AQ636" s="13" t="s">
        <v>5510</v>
      </c>
      <c r="AR636" s="13" t="s">
        <v>5512</v>
      </c>
      <c r="AS636" s="13" t="s">
        <v>53</v>
      </c>
      <c r="AT636" s="13" t="s">
        <v>5866</v>
      </c>
      <c r="AU636" s="13">
        <v>2017.0</v>
      </c>
      <c r="AV636" s="13">
        <v>8.0</v>
      </c>
      <c r="AW636" s="13">
        <v>5.0</v>
      </c>
      <c r="AX636" s="13" t="s">
        <v>5510</v>
      </c>
      <c r="AY636" s="13" t="s">
        <v>5510</v>
      </c>
      <c r="AZ636" s="13" t="s">
        <v>5510</v>
      </c>
      <c r="BA636" s="13" t="s">
        <v>5510</v>
      </c>
      <c r="BB636" s="13" t="s">
        <v>5510</v>
      </c>
      <c r="BC636" s="13" t="s">
        <v>5510</v>
      </c>
      <c r="BD636" s="13" t="s">
        <v>16779</v>
      </c>
      <c r="BE636" s="13" t="s">
        <v>16780</v>
      </c>
      <c r="BF636" s="52" t="str">
        <f>HYPERLINK("http://dx.doi.org/10.1002/ecs2.1812","http://dx.doi.org/10.1002/ecs2.1812")</f>
        <v>http://dx.doi.org/10.1002/ecs2.1812</v>
      </c>
      <c r="BG636" s="13" t="s">
        <v>5510</v>
      </c>
      <c r="BH636" s="13" t="s">
        <v>5510</v>
      </c>
      <c r="BI636" s="13">
        <v>18.0</v>
      </c>
      <c r="BJ636" s="13" t="s">
        <v>5533</v>
      </c>
      <c r="BK636" s="13" t="s">
        <v>5561</v>
      </c>
      <c r="BL636" s="13" t="s">
        <v>5535</v>
      </c>
      <c r="BM636" s="13" t="s">
        <v>16781</v>
      </c>
      <c r="BN636" s="13" t="s">
        <v>5510</v>
      </c>
      <c r="BO636" s="13" t="s">
        <v>5537</v>
      </c>
      <c r="BP636" s="13" t="s">
        <v>5510</v>
      </c>
      <c r="BQ636" s="13" t="s">
        <v>5510</v>
      </c>
      <c r="BR636" s="13" t="s">
        <v>5538</v>
      </c>
      <c r="BS636" s="13" t="s">
        <v>16782</v>
      </c>
      <c r="BT636" s="13">
        <v>24740.0</v>
      </c>
      <c r="BU636" s="13" t="s">
        <v>5540</v>
      </c>
      <c r="BV636" s="13" t="s">
        <v>4864</v>
      </c>
      <c r="BW636" s="13" t="str">
        <f>VLOOKUP($BT636,Enriched!$A$2:$E$1070,5,false)</f>
        <v>["Biological resource use"]</v>
      </c>
      <c r="BX636" s="13" t="str">
        <f>VLOOKUP($BT636,Enriched!$A$2:$E$1070,4,false)</f>
        <v>["Fishing &amp; harvesting aquatic resources"]</v>
      </c>
      <c r="BY636" s="13" t="b">
        <f>VLOOKUP(BT636,Enriched!$A$1:$AA$1070,27,falsE)</f>
        <v>0</v>
      </c>
      <c r="BZ636" s="2" t="str">
        <f>VLOOKUP(BT636,Enriched!$A$1:$AA$1070,14,falsE)</f>
        <v>level2</v>
      </c>
      <c r="CA636" s="13" t="str">
        <f>HYPERLINK("https%3A%2F%2Fwww.webofscience.com%2Fwos%2Fwoscc%2Ffull-record%2FWOS:000402472300024","View Full Record in Web of Science")</f>
        <v>View Full Record in Web of Science</v>
      </c>
    </row>
    <row r="637" ht="12.75" customHeight="1">
      <c r="A637" s="13" t="s">
        <v>5508</v>
      </c>
      <c r="B637" s="13" t="s">
        <v>16783</v>
      </c>
      <c r="C637" s="13" t="s">
        <v>5510</v>
      </c>
      <c r="D637" s="13" t="s">
        <v>5510</v>
      </c>
      <c r="E637" s="13" t="s">
        <v>5510</v>
      </c>
      <c r="F637" s="13" t="s">
        <v>16784</v>
      </c>
      <c r="G637" s="13" t="s">
        <v>5510</v>
      </c>
      <c r="H637" s="13" t="s">
        <v>5510</v>
      </c>
      <c r="I637" s="13" t="s">
        <v>1096</v>
      </c>
      <c r="J637" s="13" t="s">
        <v>5919</v>
      </c>
      <c r="K637" s="13" t="s">
        <v>5510</v>
      </c>
      <c r="L637" s="13" t="s">
        <v>5510</v>
      </c>
      <c r="M637" s="13" t="s">
        <v>5513</v>
      </c>
      <c r="N637" s="13" t="s">
        <v>5514</v>
      </c>
      <c r="O637" s="13" t="s">
        <v>5510</v>
      </c>
      <c r="P637" s="13" t="s">
        <v>5510</v>
      </c>
      <c r="Q637" s="13" t="s">
        <v>5510</v>
      </c>
      <c r="R637" s="13" t="s">
        <v>5510</v>
      </c>
      <c r="S637" s="13" t="s">
        <v>5510</v>
      </c>
      <c r="T637" s="13" t="s">
        <v>16785</v>
      </c>
      <c r="U637" s="13" t="s">
        <v>16786</v>
      </c>
      <c r="V637" s="13" t="s">
        <v>16787</v>
      </c>
      <c r="W637" s="13" t="s">
        <v>16788</v>
      </c>
      <c r="X637" s="13" t="s">
        <v>16789</v>
      </c>
      <c r="Y637" s="13" t="s">
        <v>16790</v>
      </c>
      <c r="Z637" s="13" t="s">
        <v>16791</v>
      </c>
      <c r="AA637" s="13" t="s">
        <v>16792</v>
      </c>
      <c r="AB637" s="13" t="s">
        <v>16793</v>
      </c>
      <c r="AC637" s="13" t="s">
        <v>16794</v>
      </c>
      <c r="AD637" s="13" t="s">
        <v>16795</v>
      </c>
      <c r="AE637" s="13" t="s">
        <v>16796</v>
      </c>
      <c r="AF637" s="13" t="s">
        <v>5510</v>
      </c>
      <c r="AG637" s="13">
        <v>60.0</v>
      </c>
      <c r="AH637" s="13">
        <v>81.0</v>
      </c>
      <c r="AI637" s="13">
        <v>90.0</v>
      </c>
      <c r="AJ637" s="13">
        <v>2.0</v>
      </c>
      <c r="AK637" s="13">
        <v>73.0</v>
      </c>
      <c r="AL637" s="13" t="s">
        <v>5931</v>
      </c>
      <c r="AM637" s="13" t="s">
        <v>5932</v>
      </c>
      <c r="AN637" s="13" t="s">
        <v>5933</v>
      </c>
      <c r="AO637" s="13" t="s">
        <v>5934</v>
      </c>
      <c r="AP637" s="13" t="s">
        <v>5935</v>
      </c>
      <c r="AQ637" s="13" t="s">
        <v>5510</v>
      </c>
      <c r="AR637" s="13" t="s">
        <v>5936</v>
      </c>
      <c r="AS637" s="13" t="s">
        <v>5937</v>
      </c>
      <c r="AT637" s="13" t="s">
        <v>2738</v>
      </c>
      <c r="AU637" s="13">
        <v>2014.0</v>
      </c>
      <c r="AV637" s="13">
        <v>170.0</v>
      </c>
      <c r="AW637" s="13" t="s">
        <v>5510</v>
      </c>
      <c r="AX637" s="13" t="s">
        <v>5510</v>
      </c>
      <c r="AY637" s="13" t="s">
        <v>5510</v>
      </c>
      <c r="AZ637" s="13" t="s">
        <v>5510</v>
      </c>
      <c r="BA637" s="13" t="s">
        <v>5510</v>
      </c>
      <c r="BB637" s="13">
        <v>264.0</v>
      </c>
      <c r="BC637" s="13">
        <v>273.0</v>
      </c>
      <c r="BD637" s="13" t="s">
        <v>5510</v>
      </c>
      <c r="BE637" s="13" t="s">
        <v>16797</v>
      </c>
      <c r="BF637" s="52" t="str">
        <f>HYPERLINK("http://dx.doi.org/10.1016/j.biocon.2013.11.028","http://dx.doi.org/10.1016/j.biocon.2013.11.028")</f>
        <v>http://dx.doi.org/10.1016/j.biocon.2013.11.028</v>
      </c>
      <c r="BG637" s="13" t="s">
        <v>5510</v>
      </c>
      <c r="BH637" s="13" t="s">
        <v>5510</v>
      </c>
      <c r="BI637" s="13">
        <v>10.0</v>
      </c>
      <c r="BJ637" s="13" t="s">
        <v>5698</v>
      </c>
      <c r="BK637" s="13" t="s">
        <v>5561</v>
      </c>
      <c r="BL637" s="13" t="s">
        <v>5699</v>
      </c>
      <c r="BM637" s="13" t="s">
        <v>16798</v>
      </c>
      <c r="BN637" s="13" t="s">
        <v>5510</v>
      </c>
      <c r="BO637" s="13" t="s">
        <v>5510</v>
      </c>
      <c r="BP637" s="13" t="s">
        <v>5510</v>
      </c>
      <c r="BQ637" s="13" t="s">
        <v>5510</v>
      </c>
      <c r="BR637" s="13" t="s">
        <v>5538</v>
      </c>
      <c r="BS637" s="13" t="s">
        <v>16799</v>
      </c>
      <c r="BT637" s="13">
        <v>26142.0</v>
      </c>
      <c r="BU637" s="13" t="s">
        <v>5540</v>
      </c>
      <c r="BV637" s="13" t="s">
        <v>4856</v>
      </c>
      <c r="BW637" s="13" t="str">
        <f>VLOOKUP($BT637,Enriched!$A$2:$E$1070,5,false)</f>
        <v>["Climate change &amp; severe weather"]</v>
      </c>
      <c r="BX637" s="13" t="str">
        <f>VLOOKUP($BT637,Enriched!$A$2:$E$1070,4,false)</f>
        <v>["Habitat shifting &amp; alteration"]</v>
      </c>
      <c r="BY637" s="13" t="b">
        <f>VLOOKUP(BT637,Enriched!$A$1:$AA$1070,27,falsE)</f>
        <v>0</v>
      </c>
      <c r="BZ637" s="2" t="str">
        <f>VLOOKUP(BT637,Enriched!$A$1:$AA$1070,14,falsE)</f>
        <v>level2</v>
      </c>
      <c r="CA637" s="13" t="str">
        <f>HYPERLINK("https%3A%2F%2Fwww.webofscience.com%2Fwos%2Fwoscc%2Ffull-record%2FWOS:000333774500030","View Full Record in Web of Science")</f>
        <v>View Full Record in Web of Science</v>
      </c>
    </row>
    <row r="638" ht="12.75" customHeight="1">
      <c r="A638" s="13" t="s">
        <v>5508</v>
      </c>
      <c r="B638" s="13" t="s">
        <v>16800</v>
      </c>
      <c r="C638" s="13" t="s">
        <v>5510</v>
      </c>
      <c r="D638" s="13" t="s">
        <v>5510</v>
      </c>
      <c r="E638" s="13" t="s">
        <v>5510</v>
      </c>
      <c r="F638" s="13" t="s">
        <v>16801</v>
      </c>
      <c r="G638" s="13" t="s">
        <v>5510</v>
      </c>
      <c r="H638" s="13" t="s">
        <v>5510</v>
      </c>
      <c r="I638" s="13" t="s">
        <v>16802</v>
      </c>
      <c r="J638" s="13" t="s">
        <v>5543</v>
      </c>
      <c r="K638" s="13" t="s">
        <v>5510</v>
      </c>
      <c r="L638" s="13" t="s">
        <v>5510</v>
      </c>
      <c r="M638" s="13" t="s">
        <v>5513</v>
      </c>
      <c r="N638" s="13" t="s">
        <v>5514</v>
      </c>
      <c r="O638" s="13" t="s">
        <v>5510</v>
      </c>
      <c r="P638" s="13" t="s">
        <v>5510</v>
      </c>
      <c r="Q638" s="13" t="s">
        <v>5510</v>
      </c>
      <c r="R638" s="13" t="s">
        <v>5510</v>
      </c>
      <c r="S638" s="13" t="s">
        <v>5510</v>
      </c>
      <c r="T638" s="13" t="s">
        <v>5510</v>
      </c>
      <c r="U638" s="13" t="s">
        <v>16803</v>
      </c>
      <c r="V638" s="13" t="s">
        <v>16804</v>
      </c>
      <c r="W638" s="13" t="s">
        <v>16805</v>
      </c>
      <c r="X638" s="13" t="s">
        <v>16806</v>
      </c>
      <c r="Y638" s="13" t="s">
        <v>16807</v>
      </c>
      <c r="Z638" s="13" t="s">
        <v>16808</v>
      </c>
      <c r="AA638" s="13" t="s">
        <v>16809</v>
      </c>
      <c r="AB638" s="13" t="s">
        <v>16810</v>
      </c>
      <c r="AC638" s="13" t="s">
        <v>16811</v>
      </c>
      <c r="AD638" s="13" t="s">
        <v>16812</v>
      </c>
      <c r="AE638" s="13" t="s">
        <v>16813</v>
      </c>
      <c r="AF638" s="13" t="s">
        <v>5510</v>
      </c>
      <c r="AG638" s="13">
        <v>130.0</v>
      </c>
      <c r="AH638" s="13">
        <v>15.0</v>
      </c>
      <c r="AI638" s="13">
        <v>19.0</v>
      </c>
      <c r="AJ638" s="13">
        <v>1.0</v>
      </c>
      <c r="AK638" s="13">
        <v>28.0</v>
      </c>
      <c r="AL638" s="13" t="s">
        <v>5552</v>
      </c>
      <c r="AM638" s="13" t="s">
        <v>5553</v>
      </c>
      <c r="AN638" s="13" t="s">
        <v>5554</v>
      </c>
      <c r="AO638" s="13" t="s">
        <v>5555</v>
      </c>
      <c r="AP638" s="13" t="s">
        <v>5510</v>
      </c>
      <c r="AQ638" s="13" t="s">
        <v>5510</v>
      </c>
      <c r="AR638" s="13" t="s">
        <v>5543</v>
      </c>
      <c r="AS638" s="13" t="s">
        <v>5556</v>
      </c>
      <c r="AT638" s="13" t="s">
        <v>16814</v>
      </c>
      <c r="AU638" s="13">
        <v>2015.0</v>
      </c>
      <c r="AV638" s="13">
        <v>10.0</v>
      </c>
      <c r="AW638" s="13">
        <v>4.0</v>
      </c>
      <c r="AX638" s="13" t="s">
        <v>5510</v>
      </c>
      <c r="AY638" s="13" t="s">
        <v>5510</v>
      </c>
      <c r="AZ638" s="13" t="s">
        <v>5510</v>
      </c>
      <c r="BA638" s="13" t="s">
        <v>5510</v>
      </c>
      <c r="BB638" s="13" t="s">
        <v>5510</v>
      </c>
      <c r="BC638" s="13" t="s">
        <v>5510</v>
      </c>
      <c r="BD638" s="13" t="s">
        <v>16815</v>
      </c>
      <c r="BE638" s="13" t="s">
        <v>16816</v>
      </c>
      <c r="BF638" s="52" t="str">
        <f>HYPERLINK("http://dx.doi.org/10.1371/journal.pone.0121444","http://dx.doi.org/10.1371/journal.pone.0121444")</f>
        <v>http://dx.doi.org/10.1371/journal.pone.0121444</v>
      </c>
      <c r="BG638" s="13" t="s">
        <v>5510</v>
      </c>
      <c r="BH638" s="13" t="s">
        <v>5510</v>
      </c>
      <c r="BI638" s="13">
        <v>26.0</v>
      </c>
      <c r="BJ638" s="13" t="s">
        <v>5560</v>
      </c>
      <c r="BK638" s="13" t="s">
        <v>5534</v>
      </c>
      <c r="BL638" s="13" t="s">
        <v>5562</v>
      </c>
      <c r="BM638" s="13" t="s">
        <v>16817</v>
      </c>
      <c r="BN638" s="13">
        <v>2.5855968E7</v>
      </c>
      <c r="BO638" s="13" t="s">
        <v>5564</v>
      </c>
      <c r="BP638" s="13" t="s">
        <v>5510</v>
      </c>
      <c r="BQ638" s="13" t="s">
        <v>5510</v>
      </c>
      <c r="BR638" s="13" t="s">
        <v>5538</v>
      </c>
      <c r="BS638" s="13" t="s">
        <v>16818</v>
      </c>
      <c r="BT638" s="13">
        <v>25862.0</v>
      </c>
      <c r="BU638" s="13" t="s">
        <v>5540</v>
      </c>
      <c r="BV638" s="13" t="s">
        <v>4856</v>
      </c>
      <c r="BW638" s="13" t="str">
        <f>VLOOKUP($BT638,Enriched!$A$2:$E$1070,5,false)</f>
        <v>["Agriculture &amp; Aquaculture", "Transportation &amp; Service Corridors"]</v>
      </c>
      <c r="BX638" s="13" t="str">
        <f>VLOOKUP($BT638,Enriched!$A$2:$E$1070,4,false)</f>
        <v>["Housing &amp; urban area", "Annual &amp; perennial non-timber crops", "Roads &amp; railroads"]</v>
      </c>
      <c r="BY638" s="13" t="b">
        <f>VLOOKUP(BT638,Enriched!$A$1:$AA$1070,27,falsE)</f>
        <v>0</v>
      </c>
      <c r="BZ638" s="2" t="str">
        <f>VLOOKUP(BT638,Enriched!$A$1:$AA$1070,14,falsE)</f>
        <v>cumulative</v>
      </c>
      <c r="CA638" s="13" t="str">
        <f>HYPERLINK("https%3A%2F%2Fwww.webofscience.com%2Fwos%2Fwoscc%2Ffull-record%2FWOS:000352588500020","View Full Record in Web of Science")</f>
        <v>View Full Record in Web of Science</v>
      </c>
    </row>
    <row r="639" ht="12.75" customHeight="1">
      <c r="A639" s="13" t="s">
        <v>5508</v>
      </c>
      <c r="B639" s="13" t="s">
        <v>16819</v>
      </c>
      <c r="C639" s="13" t="s">
        <v>5510</v>
      </c>
      <c r="D639" s="13" t="s">
        <v>5510</v>
      </c>
      <c r="E639" s="13" t="s">
        <v>5510</v>
      </c>
      <c r="F639" s="13" t="s">
        <v>16820</v>
      </c>
      <c r="G639" s="13" t="s">
        <v>5510</v>
      </c>
      <c r="H639" s="13" t="s">
        <v>5510</v>
      </c>
      <c r="I639" s="13" t="s">
        <v>1085</v>
      </c>
      <c r="J639" s="13" t="s">
        <v>16821</v>
      </c>
      <c r="K639" s="13" t="s">
        <v>5510</v>
      </c>
      <c r="L639" s="13" t="s">
        <v>5510</v>
      </c>
      <c r="M639" s="13" t="s">
        <v>5513</v>
      </c>
      <c r="N639" s="13" t="s">
        <v>5514</v>
      </c>
      <c r="O639" s="13" t="s">
        <v>5510</v>
      </c>
      <c r="P639" s="13" t="s">
        <v>5510</v>
      </c>
      <c r="Q639" s="13" t="s">
        <v>5510</v>
      </c>
      <c r="R639" s="13" t="s">
        <v>5510</v>
      </c>
      <c r="S639" s="13" t="s">
        <v>5510</v>
      </c>
      <c r="T639" s="13" t="s">
        <v>16822</v>
      </c>
      <c r="U639" s="13" t="s">
        <v>16823</v>
      </c>
      <c r="V639" s="13" t="s">
        <v>16824</v>
      </c>
      <c r="W639" s="13" t="s">
        <v>16825</v>
      </c>
      <c r="X639" s="13" t="s">
        <v>16826</v>
      </c>
      <c r="Y639" s="13" t="s">
        <v>16827</v>
      </c>
      <c r="Z639" s="13" t="s">
        <v>16828</v>
      </c>
      <c r="AA639" s="13" t="s">
        <v>5510</v>
      </c>
      <c r="AB639" s="13" t="s">
        <v>16829</v>
      </c>
      <c r="AC639" s="13" t="s">
        <v>16830</v>
      </c>
      <c r="AD639" s="13" t="s">
        <v>16831</v>
      </c>
      <c r="AE639" s="13" t="s">
        <v>16832</v>
      </c>
      <c r="AF639" s="13" t="s">
        <v>5510</v>
      </c>
      <c r="AG639" s="13">
        <v>100.0</v>
      </c>
      <c r="AH639" s="13">
        <v>90.0</v>
      </c>
      <c r="AI639" s="13">
        <v>140.0</v>
      </c>
      <c r="AJ639" s="13">
        <v>11.0</v>
      </c>
      <c r="AK639" s="13">
        <v>218.0</v>
      </c>
      <c r="AL639" s="13" t="s">
        <v>5527</v>
      </c>
      <c r="AM639" s="13" t="s">
        <v>5528</v>
      </c>
      <c r="AN639" s="13" t="s">
        <v>5529</v>
      </c>
      <c r="AO639" s="13" t="s">
        <v>16833</v>
      </c>
      <c r="AP639" s="13" t="s">
        <v>16834</v>
      </c>
      <c r="AQ639" s="13" t="s">
        <v>5510</v>
      </c>
      <c r="AR639" s="13" t="s">
        <v>16835</v>
      </c>
      <c r="AS639" s="13" t="s">
        <v>16836</v>
      </c>
      <c r="AT639" s="13" t="s">
        <v>5582</v>
      </c>
      <c r="AU639" s="13">
        <v>2018.0</v>
      </c>
      <c r="AV639" s="13">
        <v>27.0</v>
      </c>
      <c r="AW639" s="13">
        <v>1.0</v>
      </c>
      <c r="AX639" s="13" t="s">
        <v>5510</v>
      </c>
      <c r="AY639" s="13" t="s">
        <v>5510</v>
      </c>
      <c r="AZ639" s="13" t="s">
        <v>5510</v>
      </c>
      <c r="BA639" s="13" t="s">
        <v>5510</v>
      </c>
      <c r="BB639" s="13">
        <v>112.0</v>
      </c>
      <c r="BC639" s="13">
        <v>127.0</v>
      </c>
      <c r="BD639" s="13" t="s">
        <v>5510</v>
      </c>
      <c r="BE639" s="13" t="s">
        <v>16837</v>
      </c>
      <c r="BF639" s="52" t="str">
        <f>HYPERLINK("http://dx.doi.org/10.1111/mec.14395","http://dx.doi.org/10.1111/mec.14395")</f>
        <v>http://dx.doi.org/10.1111/mec.14395</v>
      </c>
      <c r="BG639" s="13" t="s">
        <v>5510</v>
      </c>
      <c r="BH639" s="13" t="s">
        <v>5510</v>
      </c>
      <c r="BI639" s="13">
        <v>16.0</v>
      </c>
      <c r="BJ639" s="13" t="s">
        <v>16838</v>
      </c>
      <c r="BK639" s="13" t="s">
        <v>5561</v>
      </c>
      <c r="BL639" s="13" t="s">
        <v>16839</v>
      </c>
      <c r="BM639" s="13" t="s">
        <v>16840</v>
      </c>
      <c r="BN639" s="13">
        <v>2.9087006E7</v>
      </c>
      <c r="BO639" s="13" t="s">
        <v>5510</v>
      </c>
      <c r="BP639" s="13" t="s">
        <v>5510</v>
      </c>
      <c r="BQ639" s="13" t="s">
        <v>5510</v>
      </c>
      <c r="BR639" s="13" t="s">
        <v>5538</v>
      </c>
      <c r="BS639" s="13" t="s">
        <v>16841</v>
      </c>
      <c r="BT639" s="13">
        <v>23196.0</v>
      </c>
      <c r="BU639" s="13" t="s">
        <v>5540</v>
      </c>
      <c r="BV639" s="13" t="s">
        <v>4852</v>
      </c>
      <c r="BW639" s="13" t="str">
        <f>VLOOKUP($BT639,Enriched!$A$2:$E$1070,5,false)</f>
        <v>["Invasive &amp; other problematic species, genes &amp; diseases"]</v>
      </c>
      <c r="BX639" s="13" t="str">
        <f>VLOOKUP($BT639,Enriched!$A$2:$E$1070,4,false)</f>
        <v>["Invasive non-native/alien species/diseases"]</v>
      </c>
      <c r="BY639" s="13" t="b">
        <f>VLOOKUP(BT639,Enriched!$A$1:$AA$1070,27,falsE)</f>
        <v>0</v>
      </c>
      <c r="BZ639" s="2" t="str">
        <f>VLOOKUP(BT639,Enriched!$A$1:$AA$1070,14,falsE)</f>
        <v>level2</v>
      </c>
      <c r="CA639" s="13" t="str">
        <f>HYPERLINK("https%3A%2F%2Fwww.webofscience.com%2Fwos%2Fwoscc%2Ffull-record%2FWOS:000424111400009","View Full Record in Web of Science")</f>
        <v>View Full Record in Web of Science</v>
      </c>
    </row>
    <row r="640" ht="12.75" customHeight="1">
      <c r="A640" s="13" t="s">
        <v>5508</v>
      </c>
      <c r="B640" s="13" t="s">
        <v>16842</v>
      </c>
      <c r="C640" s="13" t="s">
        <v>5510</v>
      </c>
      <c r="D640" s="13" t="s">
        <v>5510</v>
      </c>
      <c r="E640" s="13" t="s">
        <v>5510</v>
      </c>
      <c r="F640" s="13" t="s">
        <v>16843</v>
      </c>
      <c r="G640" s="13" t="s">
        <v>5510</v>
      </c>
      <c r="H640" s="13" t="s">
        <v>5510</v>
      </c>
      <c r="I640" s="13" t="s">
        <v>1082</v>
      </c>
      <c r="J640" s="13" t="s">
        <v>5943</v>
      </c>
      <c r="K640" s="13" t="s">
        <v>5510</v>
      </c>
      <c r="L640" s="13" t="s">
        <v>5510</v>
      </c>
      <c r="M640" s="13" t="s">
        <v>5513</v>
      </c>
      <c r="N640" s="13" t="s">
        <v>5514</v>
      </c>
      <c r="O640" s="13" t="s">
        <v>5510</v>
      </c>
      <c r="P640" s="13" t="s">
        <v>5510</v>
      </c>
      <c r="Q640" s="13" t="s">
        <v>5510</v>
      </c>
      <c r="R640" s="13" t="s">
        <v>5510</v>
      </c>
      <c r="S640" s="13" t="s">
        <v>5510</v>
      </c>
      <c r="T640" s="13" t="s">
        <v>16844</v>
      </c>
      <c r="U640" s="13" t="s">
        <v>16845</v>
      </c>
      <c r="V640" s="13" t="s">
        <v>16846</v>
      </c>
      <c r="W640" s="13" t="s">
        <v>16847</v>
      </c>
      <c r="X640" s="13" t="s">
        <v>16848</v>
      </c>
      <c r="Y640" s="13" t="s">
        <v>16849</v>
      </c>
      <c r="Z640" s="13" t="s">
        <v>16850</v>
      </c>
      <c r="AA640" s="13" t="s">
        <v>16851</v>
      </c>
      <c r="AB640" s="13" t="s">
        <v>9274</v>
      </c>
      <c r="AC640" s="13" t="s">
        <v>5510</v>
      </c>
      <c r="AD640" s="13" t="s">
        <v>5510</v>
      </c>
      <c r="AE640" s="13" t="s">
        <v>5510</v>
      </c>
      <c r="AF640" s="13" t="s">
        <v>5510</v>
      </c>
      <c r="AG640" s="13">
        <v>50.0</v>
      </c>
      <c r="AH640" s="13">
        <v>75.0</v>
      </c>
      <c r="AI640" s="13">
        <v>103.0</v>
      </c>
      <c r="AJ640" s="13">
        <v>0.0</v>
      </c>
      <c r="AK640" s="13">
        <v>158.0</v>
      </c>
      <c r="AL640" s="13" t="s">
        <v>5527</v>
      </c>
      <c r="AM640" s="13" t="s">
        <v>5528</v>
      </c>
      <c r="AN640" s="13" t="s">
        <v>5529</v>
      </c>
      <c r="AO640" s="13" t="s">
        <v>5953</v>
      </c>
      <c r="AP640" s="13" t="s">
        <v>5954</v>
      </c>
      <c r="AQ640" s="13" t="s">
        <v>5510</v>
      </c>
      <c r="AR640" s="13" t="s">
        <v>5955</v>
      </c>
      <c r="AS640" s="13" t="s">
        <v>5956</v>
      </c>
      <c r="AT640" s="13" t="s">
        <v>5720</v>
      </c>
      <c r="AU640" s="13">
        <v>2012.0</v>
      </c>
      <c r="AV640" s="13">
        <v>49.0</v>
      </c>
      <c r="AW640" s="13">
        <v>3.0</v>
      </c>
      <c r="AX640" s="13" t="s">
        <v>5510</v>
      </c>
      <c r="AY640" s="13" t="s">
        <v>5510</v>
      </c>
      <c r="AZ640" s="13" t="s">
        <v>5510</v>
      </c>
      <c r="BA640" s="13" t="s">
        <v>5510</v>
      </c>
      <c r="BB640" s="13">
        <v>680.0</v>
      </c>
      <c r="BC640" s="13">
        <v>689.0</v>
      </c>
      <c r="BD640" s="13" t="s">
        <v>5510</v>
      </c>
      <c r="BE640" s="13" t="s">
        <v>16852</v>
      </c>
      <c r="BF640" s="52" t="str">
        <f>HYPERLINK("http://dx.doi.org/10.1111/j.1365-2664.2012.02129.x","http://dx.doi.org/10.1111/j.1365-2664.2012.02129.x")</f>
        <v>http://dx.doi.org/10.1111/j.1365-2664.2012.02129.x</v>
      </c>
      <c r="BG640" s="13" t="s">
        <v>5510</v>
      </c>
      <c r="BH640" s="13" t="s">
        <v>5510</v>
      </c>
      <c r="BI640" s="13">
        <v>10.0</v>
      </c>
      <c r="BJ640" s="13" t="s">
        <v>5958</v>
      </c>
      <c r="BK640" s="13" t="s">
        <v>5561</v>
      </c>
      <c r="BL640" s="13" t="s">
        <v>5699</v>
      </c>
      <c r="BM640" s="13" t="s">
        <v>16853</v>
      </c>
      <c r="BN640" s="13" t="s">
        <v>5510</v>
      </c>
      <c r="BO640" s="13" t="s">
        <v>5809</v>
      </c>
      <c r="BP640" s="13" t="s">
        <v>5510</v>
      </c>
      <c r="BQ640" s="13" t="s">
        <v>5510</v>
      </c>
      <c r="BR640" s="13" t="s">
        <v>5538</v>
      </c>
      <c r="BS640" s="13" t="s">
        <v>16854</v>
      </c>
      <c r="BT640" s="13">
        <v>23912.0</v>
      </c>
      <c r="BU640" s="13" t="s">
        <v>5540</v>
      </c>
      <c r="BV640" s="13" t="s">
        <v>4856</v>
      </c>
      <c r="BW640" s="13" t="str">
        <f>VLOOKUP($BT640,Enriched!$A$2:$E$1070,5,false)</f>
        <v>["Invasive &amp; other problematic species, genes &amp; diseases"]</v>
      </c>
      <c r="BX640" s="13" t="str">
        <f>VLOOKUP($BT640,Enriched!$A$2:$E$1070,4,false)</f>
        <v>["Invasive non-native/alien species/diseases"]</v>
      </c>
      <c r="BY640" s="13" t="b">
        <f>VLOOKUP(BT640,Enriched!$A$1:$AA$1070,27,falsE)</f>
        <v>0</v>
      </c>
      <c r="BZ640" s="2" t="str">
        <f>VLOOKUP(BT640,Enriched!$A$1:$AA$1070,14,falsE)</f>
        <v>level2</v>
      </c>
      <c r="CA640" s="13" t="str">
        <f>HYPERLINK("https%3A%2F%2Fwww.webofscience.com%2Fwos%2Fwoscc%2Ffull-record%2FWOS:000304660500018","View Full Record in Web of Science")</f>
        <v>View Full Record in Web of Science</v>
      </c>
    </row>
    <row r="641" ht="12.75" customHeight="1">
      <c r="A641" s="13" t="s">
        <v>5508</v>
      </c>
      <c r="B641" s="13" t="s">
        <v>16855</v>
      </c>
      <c r="C641" s="13" t="s">
        <v>5510</v>
      </c>
      <c r="D641" s="13" t="s">
        <v>5510</v>
      </c>
      <c r="E641" s="13" t="s">
        <v>5510</v>
      </c>
      <c r="F641" s="13" t="s">
        <v>16856</v>
      </c>
      <c r="G641" s="13" t="s">
        <v>5510</v>
      </c>
      <c r="H641" s="13" t="s">
        <v>5510</v>
      </c>
      <c r="I641" s="13" t="s">
        <v>1079</v>
      </c>
      <c r="J641" s="13" t="s">
        <v>7052</v>
      </c>
      <c r="K641" s="13" t="s">
        <v>5510</v>
      </c>
      <c r="L641" s="13" t="s">
        <v>5510</v>
      </c>
      <c r="M641" s="13" t="s">
        <v>5513</v>
      </c>
      <c r="N641" s="13" t="s">
        <v>5514</v>
      </c>
      <c r="O641" s="13" t="s">
        <v>5510</v>
      </c>
      <c r="P641" s="13" t="s">
        <v>5510</v>
      </c>
      <c r="Q641" s="13" t="s">
        <v>5510</v>
      </c>
      <c r="R641" s="13" t="s">
        <v>5510</v>
      </c>
      <c r="S641" s="13" t="s">
        <v>5510</v>
      </c>
      <c r="T641" s="13" t="s">
        <v>16857</v>
      </c>
      <c r="U641" s="13" t="s">
        <v>16858</v>
      </c>
      <c r="V641" s="13" t="s">
        <v>16859</v>
      </c>
      <c r="W641" s="13" t="s">
        <v>16860</v>
      </c>
      <c r="X641" s="13" t="s">
        <v>16861</v>
      </c>
      <c r="Y641" s="13" t="s">
        <v>16862</v>
      </c>
      <c r="Z641" s="13" t="s">
        <v>16863</v>
      </c>
      <c r="AA641" s="13" t="s">
        <v>16864</v>
      </c>
      <c r="AB641" s="13" t="s">
        <v>16865</v>
      </c>
      <c r="AC641" s="13" t="s">
        <v>16866</v>
      </c>
      <c r="AD641" s="13" t="s">
        <v>16867</v>
      </c>
      <c r="AE641" s="13" t="s">
        <v>16868</v>
      </c>
      <c r="AF641" s="13" t="s">
        <v>5510</v>
      </c>
      <c r="AG641" s="13">
        <v>46.0</v>
      </c>
      <c r="AH641" s="13">
        <v>18.0</v>
      </c>
      <c r="AI641" s="13">
        <v>23.0</v>
      </c>
      <c r="AJ641" s="13">
        <v>0.0</v>
      </c>
      <c r="AK641" s="13">
        <v>22.0</v>
      </c>
      <c r="AL641" s="13" t="s">
        <v>7065</v>
      </c>
      <c r="AM641" s="13" t="s">
        <v>6503</v>
      </c>
      <c r="AN641" s="13" t="s">
        <v>7066</v>
      </c>
      <c r="AO641" s="13" t="s">
        <v>7067</v>
      </c>
      <c r="AP641" s="13" t="s">
        <v>7068</v>
      </c>
      <c r="AQ641" s="13" t="s">
        <v>5510</v>
      </c>
      <c r="AR641" s="13" t="s">
        <v>7069</v>
      </c>
      <c r="AS641" s="13" t="s">
        <v>7070</v>
      </c>
      <c r="AT641" s="13" t="s">
        <v>1925</v>
      </c>
      <c r="AU641" s="13">
        <v>2018.0</v>
      </c>
      <c r="AV641" s="13">
        <v>45.0</v>
      </c>
      <c r="AW641" s="13">
        <v>3.0</v>
      </c>
      <c r="AX641" s="13" t="s">
        <v>5510</v>
      </c>
      <c r="AY641" s="13" t="s">
        <v>5510</v>
      </c>
      <c r="AZ641" s="13" t="s">
        <v>5510</v>
      </c>
      <c r="BA641" s="13" t="s">
        <v>5510</v>
      </c>
      <c r="BB641" s="13">
        <v>252.0</v>
      </c>
      <c r="BC641" s="13">
        <v>260.0</v>
      </c>
      <c r="BD641" s="13" t="s">
        <v>5510</v>
      </c>
      <c r="BE641" s="13" t="s">
        <v>16869</v>
      </c>
      <c r="BF641" s="52" t="str">
        <f>HYPERLINK("http://dx.doi.org/10.1017/S0376892917000455","http://dx.doi.org/10.1017/S0376892917000455")</f>
        <v>http://dx.doi.org/10.1017/S0376892917000455</v>
      </c>
      <c r="BG641" s="13" t="s">
        <v>5510</v>
      </c>
      <c r="BH641" s="13" t="s">
        <v>5510</v>
      </c>
      <c r="BI641" s="13">
        <v>9.0</v>
      </c>
      <c r="BJ641" s="13" t="s">
        <v>6422</v>
      </c>
      <c r="BK641" s="13" t="s">
        <v>5561</v>
      </c>
      <c r="BL641" s="13" t="s">
        <v>5699</v>
      </c>
      <c r="BM641" s="13" t="s">
        <v>16870</v>
      </c>
      <c r="BN641" s="13" t="s">
        <v>5510</v>
      </c>
      <c r="BO641" s="13" t="s">
        <v>5809</v>
      </c>
      <c r="BP641" s="13" t="s">
        <v>5510</v>
      </c>
      <c r="BQ641" s="13" t="s">
        <v>5510</v>
      </c>
      <c r="BR641" s="13" t="s">
        <v>5538</v>
      </c>
      <c r="BS641" s="13" t="s">
        <v>16871</v>
      </c>
      <c r="BT641" s="13">
        <v>24713.0</v>
      </c>
      <c r="BU641" s="13" t="s">
        <v>5540</v>
      </c>
      <c r="BV641" s="13" t="s">
        <v>4856</v>
      </c>
      <c r="BW641" s="13" t="str">
        <f>VLOOKUP($BT641,Enriched!$A$2:$E$1070,5,false)</f>
        <v>["Agriculture &amp; Aquaculture", "Energy Production &amp; Mining", "Transportation &amp; Service Corridors"]</v>
      </c>
      <c r="BX641" s="13" t="str">
        <f>VLOOKUP($BT641,Enriched!$A$2:$E$1070,4,false)</f>
        <v>["Housing &amp; urban area", "Mining &amp; quarrying", "Roads &amp; railroads"]</v>
      </c>
      <c r="BY641" s="13" t="b">
        <f>VLOOKUP(BT641,Enriched!$A$1:$AA$1070,27,falsE)</f>
        <v>1</v>
      </c>
      <c r="BZ641" s="2" t="str">
        <f>VLOOKUP(BT641,Enriched!$A$1:$AA$1070,14,falsE)</f>
        <v>cumulative</v>
      </c>
      <c r="CA641" s="13" t="str">
        <f>HYPERLINK("https%3A%2F%2Fwww.webofscience.com%2Fwos%2Fwoscc%2Ffull-record%2FWOS:000440936800005","View Full Record in Web of Science")</f>
        <v>View Full Record in Web of Science</v>
      </c>
    </row>
    <row r="642" ht="12.75" customHeight="1">
      <c r="A642" s="13" t="s">
        <v>5508</v>
      </c>
      <c r="B642" s="13" t="s">
        <v>16872</v>
      </c>
      <c r="C642" s="13" t="s">
        <v>5510</v>
      </c>
      <c r="D642" s="13" t="s">
        <v>5510</v>
      </c>
      <c r="E642" s="13" t="s">
        <v>5510</v>
      </c>
      <c r="F642" s="13" t="s">
        <v>16873</v>
      </c>
      <c r="G642" s="13" t="s">
        <v>5510</v>
      </c>
      <c r="H642" s="13" t="s">
        <v>5510</v>
      </c>
      <c r="I642" s="2" t="s">
        <v>1076</v>
      </c>
      <c r="J642" s="13" t="s">
        <v>8582</v>
      </c>
      <c r="K642" s="13" t="s">
        <v>5510</v>
      </c>
      <c r="L642" s="13" t="s">
        <v>5510</v>
      </c>
      <c r="M642" s="13" t="s">
        <v>5513</v>
      </c>
      <c r="N642" s="13" t="s">
        <v>5514</v>
      </c>
      <c r="O642" s="13" t="s">
        <v>5510</v>
      </c>
      <c r="P642" s="13" t="s">
        <v>5510</v>
      </c>
      <c r="Q642" s="13" t="s">
        <v>5510</v>
      </c>
      <c r="R642" s="13" t="s">
        <v>5510</v>
      </c>
      <c r="S642" s="13" t="s">
        <v>5510</v>
      </c>
      <c r="T642" s="13" t="s">
        <v>16874</v>
      </c>
      <c r="U642" s="13" t="s">
        <v>16875</v>
      </c>
      <c r="V642" s="13" t="s">
        <v>16876</v>
      </c>
      <c r="W642" s="13" t="s">
        <v>16877</v>
      </c>
      <c r="X642" s="13" t="s">
        <v>16878</v>
      </c>
      <c r="Y642" s="13" t="s">
        <v>16879</v>
      </c>
      <c r="Z642" s="13" t="s">
        <v>16880</v>
      </c>
      <c r="AA642" s="13" t="s">
        <v>16881</v>
      </c>
      <c r="AB642" s="13" t="s">
        <v>16882</v>
      </c>
      <c r="AC642" s="13" t="s">
        <v>16883</v>
      </c>
      <c r="AD642" s="13" t="s">
        <v>16884</v>
      </c>
      <c r="AE642" s="13" t="s">
        <v>16885</v>
      </c>
      <c r="AF642" s="13" t="s">
        <v>5510</v>
      </c>
      <c r="AG642" s="13">
        <v>104.0</v>
      </c>
      <c r="AH642" s="13">
        <v>15.0</v>
      </c>
      <c r="AI642" s="13">
        <v>18.0</v>
      </c>
      <c r="AJ642" s="13">
        <v>0.0</v>
      </c>
      <c r="AK642" s="13">
        <v>43.0</v>
      </c>
      <c r="AL642" s="13" t="s">
        <v>5690</v>
      </c>
      <c r="AM642" s="13" t="s">
        <v>6503</v>
      </c>
      <c r="AN642" s="13" t="s">
        <v>6504</v>
      </c>
      <c r="AO642" s="13" t="s">
        <v>8592</v>
      </c>
      <c r="AP642" s="13" t="s">
        <v>8593</v>
      </c>
      <c r="AQ642" s="13" t="s">
        <v>5510</v>
      </c>
      <c r="AR642" s="13" t="s">
        <v>8594</v>
      </c>
      <c r="AS642" s="13" t="s">
        <v>8595</v>
      </c>
      <c r="AT642" s="13" t="s">
        <v>5720</v>
      </c>
      <c r="AU642" s="13">
        <v>2017.0</v>
      </c>
      <c r="AV642" s="13">
        <v>59.0</v>
      </c>
      <c r="AW642" s="13">
        <v>6.0</v>
      </c>
      <c r="AX642" s="13" t="s">
        <v>5510</v>
      </c>
      <c r="AY642" s="13" t="s">
        <v>5510</v>
      </c>
      <c r="AZ642" s="13" t="s">
        <v>5510</v>
      </c>
      <c r="BA642" s="13" t="s">
        <v>5510</v>
      </c>
      <c r="BB642" s="13">
        <v>995.0</v>
      </c>
      <c r="BC642" s="13">
        <v>1016.0</v>
      </c>
      <c r="BD642" s="13" t="s">
        <v>5510</v>
      </c>
      <c r="BE642" s="13" t="s">
        <v>16886</v>
      </c>
      <c r="BF642" s="52" t="str">
        <f>HYPERLINK("http://dx.doi.org/10.1007/s00267-017-0846-z","http://dx.doi.org/10.1007/s00267-017-0846-z")</f>
        <v>http://dx.doi.org/10.1007/s00267-017-0846-z</v>
      </c>
      <c r="BG642" s="13" t="s">
        <v>5510</v>
      </c>
      <c r="BH642" s="13" t="s">
        <v>5510</v>
      </c>
      <c r="BI642" s="13">
        <v>22.0</v>
      </c>
      <c r="BJ642" s="13" t="s">
        <v>5768</v>
      </c>
      <c r="BK642" s="13" t="s">
        <v>5534</v>
      </c>
      <c r="BL642" s="13" t="s">
        <v>5535</v>
      </c>
      <c r="BM642" s="13" t="s">
        <v>16887</v>
      </c>
      <c r="BN642" s="13">
        <v>2.8374225E7</v>
      </c>
      <c r="BO642" s="13" t="s">
        <v>5510</v>
      </c>
      <c r="BP642" s="13" t="s">
        <v>5510</v>
      </c>
      <c r="BQ642" s="13" t="s">
        <v>5510</v>
      </c>
      <c r="BR642" s="13" t="s">
        <v>5538</v>
      </c>
      <c r="BS642" s="13" t="s">
        <v>16888</v>
      </c>
      <c r="BT642" s="13">
        <v>23252.0</v>
      </c>
      <c r="BU642" s="13" t="s">
        <v>5540</v>
      </c>
      <c r="BV642" s="13" t="s">
        <v>4856</v>
      </c>
      <c r="BW642" s="13" t="str">
        <f>VLOOKUP($BT642,Enriched!$A$2:$E$1070,5,false)</f>
        <v>["Energy Production &amp; Mining"]</v>
      </c>
      <c r="BX642" s="13" t="str">
        <f>VLOOKUP($BT642,Enriched!$A$2:$E$1070,4,false)</f>
        <v>["Oil &amp; gas drilling", "Renewable energy"]</v>
      </c>
      <c r="BY642" s="13" t="b">
        <f>VLOOKUP(BT642,Enriched!$A$1:$AA$1070,27,falsE)</f>
        <v>0</v>
      </c>
      <c r="BZ642" s="2" t="str">
        <f>VLOOKUP(BT642,Enriched!$A$1:$AA$1070,14,falsE)</f>
        <v>level2</v>
      </c>
      <c r="CA642" s="13" t="str">
        <f>HYPERLINK("https%3A%2F%2Fwww.webofscience.com%2Fwos%2Fwoscc%2Ffull-record%2FWOS:000400444100010","View Full Record in Web of Science")</f>
        <v>View Full Record in Web of Science</v>
      </c>
    </row>
    <row r="643" ht="12.75" customHeight="1">
      <c r="A643" s="13" t="s">
        <v>5508</v>
      </c>
      <c r="B643" s="13" t="s">
        <v>16889</v>
      </c>
      <c r="C643" s="13" t="s">
        <v>5510</v>
      </c>
      <c r="D643" s="13" t="s">
        <v>5510</v>
      </c>
      <c r="E643" s="13" t="s">
        <v>5510</v>
      </c>
      <c r="F643" s="13" t="s">
        <v>16890</v>
      </c>
      <c r="G643" s="13" t="s">
        <v>5510</v>
      </c>
      <c r="H643" s="13" t="s">
        <v>5510</v>
      </c>
      <c r="I643" s="13" t="s">
        <v>1073</v>
      </c>
      <c r="J643" s="13" t="s">
        <v>7990</v>
      </c>
      <c r="K643" s="13" t="s">
        <v>5510</v>
      </c>
      <c r="L643" s="13" t="s">
        <v>5510</v>
      </c>
      <c r="M643" s="13" t="s">
        <v>5513</v>
      </c>
      <c r="N643" s="13" t="s">
        <v>5514</v>
      </c>
      <c r="O643" s="13" t="s">
        <v>5510</v>
      </c>
      <c r="P643" s="13" t="s">
        <v>5510</v>
      </c>
      <c r="Q643" s="13" t="s">
        <v>5510</v>
      </c>
      <c r="R643" s="13" t="s">
        <v>5510</v>
      </c>
      <c r="S643" s="13" t="s">
        <v>5510</v>
      </c>
      <c r="T643" s="13" t="s">
        <v>16891</v>
      </c>
      <c r="U643" s="13" t="s">
        <v>16892</v>
      </c>
      <c r="V643" s="13" t="s">
        <v>16893</v>
      </c>
      <c r="W643" s="13" t="s">
        <v>16894</v>
      </c>
      <c r="X643" s="13" t="s">
        <v>16895</v>
      </c>
      <c r="Y643" s="13" t="s">
        <v>16896</v>
      </c>
      <c r="Z643" s="13" t="s">
        <v>16897</v>
      </c>
      <c r="AA643" s="13" t="s">
        <v>16898</v>
      </c>
      <c r="AB643" s="13" t="s">
        <v>16899</v>
      </c>
      <c r="AC643" s="13" t="s">
        <v>16900</v>
      </c>
      <c r="AD643" s="13" t="s">
        <v>16900</v>
      </c>
      <c r="AE643" s="13" t="s">
        <v>16901</v>
      </c>
      <c r="AF643" s="13" t="s">
        <v>5510</v>
      </c>
      <c r="AG643" s="13">
        <v>74.0</v>
      </c>
      <c r="AH643" s="13">
        <v>16.0</v>
      </c>
      <c r="AI643" s="13">
        <v>18.0</v>
      </c>
      <c r="AJ643" s="13">
        <v>0.0</v>
      </c>
      <c r="AK643" s="13">
        <v>41.0</v>
      </c>
      <c r="AL643" s="13" t="s">
        <v>8003</v>
      </c>
      <c r="AM643" s="13" t="s">
        <v>8004</v>
      </c>
      <c r="AN643" s="13" t="s">
        <v>8005</v>
      </c>
      <c r="AO643" s="13" t="s">
        <v>8006</v>
      </c>
      <c r="AP643" s="13" t="s">
        <v>8007</v>
      </c>
      <c r="AQ643" s="13" t="s">
        <v>5510</v>
      </c>
      <c r="AR643" s="13" t="s">
        <v>8008</v>
      </c>
      <c r="AS643" s="13" t="s">
        <v>8009</v>
      </c>
      <c r="AT643" s="13" t="s">
        <v>6828</v>
      </c>
      <c r="AU643" s="13">
        <v>2014.0</v>
      </c>
      <c r="AV643" s="13">
        <v>22.0</v>
      </c>
      <c r="AW643" s="13">
        <v>2.0</v>
      </c>
      <c r="AX643" s="13" t="s">
        <v>5510</v>
      </c>
      <c r="AY643" s="13" t="s">
        <v>5510</v>
      </c>
      <c r="AZ643" s="13" t="s">
        <v>5510</v>
      </c>
      <c r="BA643" s="13" t="s">
        <v>5510</v>
      </c>
      <c r="BB643" s="13">
        <v>113.0</v>
      </c>
      <c r="BC643" s="13">
        <v>131.0</v>
      </c>
      <c r="BD643" s="13" t="s">
        <v>5510</v>
      </c>
      <c r="BE643" s="13" t="s">
        <v>16902</v>
      </c>
      <c r="BF643" s="52" t="str">
        <f>HYPERLINK("http://dx.doi.org/10.1016/j.jnc.2013.09.007","http://dx.doi.org/10.1016/j.jnc.2013.09.007")</f>
        <v>http://dx.doi.org/10.1016/j.jnc.2013.09.007</v>
      </c>
      <c r="BG643" s="13" t="s">
        <v>5510</v>
      </c>
      <c r="BH643" s="13" t="s">
        <v>5510</v>
      </c>
      <c r="BI643" s="13">
        <v>19.0</v>
      </c>
      <c r="BJ643" s="13" t="s">
        <v>5958</v>
      </c>
      <c r="BK643" s="13" t="s">
        <v>5561</v>
      </c>
      <c r="BL643" s="13" t="s">
        <v>5699</v>
      </c>
      <c r="BM643" s="13" t="s">
        <v>16903</v>
      </c>
      <c r="BN643" s="13" t="s">
        <v>5510</v>
      </c>
      <c r="BO643" s="13" t="s">
        <v>6623</v>
      </c>
      <c r="BP643" s="13" t="s">
        <v>5510</v>
      </c>
      <c r="BQ643" s="13" t="s">
        <v>5510</v>
      </c>
      <c r="BR643" s="13" t="s">
        <v>5538</v>
      </c>
      <c r="BS643" s="13" t="s">
        <v>16904</v>
      </c>
      <c r="BT643" s="13">
        <v>23424.0</v>
      </c>
      <c r="BU643" s="13" t="s">
        <v>5540</v>
      </c>
      <c r="BV643" s="13" t="s">
        <v>4856</v>
      </c>
      <c r="BW643" s="13" t="str">
        <f>VLOOKUP($BT643,Enriched!$A$2:$E$1070,5,false)</f>
        <v>["Agriculture &amp; Aquaculture", "Residential &amp; Commercial Development", "Energy Production &amp; Mining"]</v>
      </c>
      <c r="BX643" s="13" t="str">
        <f>VLOOKUP($BT643,Enriched!$A$2:$E$1070,4,false)</f>
        <v>["Livestock farming &amp; ranching", "Annual &amp; perennial non-timber crops", "Commercial &amp; industrial areas", "Oil &amp; gas drilling"]</v>
      </c>
      <c r="BY643" s="13" t="b">
        <f>VLOOKUP(BT643,Enriched!$A$1:$AA$1070,27,falsE)</f>
        <v>0</v>
      </c>
      <c r="BZ643" s="2" t="str">
        <f>VLOOKUP(BT643,Enriched!$A$1:$AA$1070,14,falsE)</f>
        <v>cumulative</v>
      </c>
      <c r="CA643" s="13" t="str">
        <f>HYPERLINK("https%3A%2F%2Fwww.webofscience.com%2Fwos%2Fwoscc%2Ffull-record%2FWOS:000333402700003","View Full Record in Web of Science")</f>
        <v>View Full Record in Web of Science</v>
      </c>
    </row>
    <row r="644" ht="12.75" customHeight="1">
      <c r="A644" s="13" t="s">
        <v>5508</v>
      </c>
      <c r="B644" s="13" t="s">
        <v>16905</v>
      </c>
      <c r="C644" s="13" t="s">
        <v>5510</v>
      </c>
      <c r="D644" s="13" t="s">
        <v>5510</v>
      </c>
      <c r="E644" s="13" t="s">
        <v>5510</v>
      </c>
      <c r="F644" s="13" t="s">
        <v>16906</v>
      </c>
      <c r="G644" s="13" t="s">
        <v>5510</v>
      </c>
      <c r="H644" s="13" t="s">
        <v>5510</v>
      </c>
      <c r="I644" s="13" t="s">
        <v>1070</v>
      </c>
      <c r="J644" s="13" t="s">
        <v>16907</v>
      </c>
      <c r="K644" s="13" t="s">
        <v>5510</v>
      </c>
      <c r="L644" s="13" t="s">
        <v>5510</v>
      </c>
      <c r="M644" s="13" t="s">
        <v>5513</v>
      </c>
      <c r="N644" s="13" t="s">
        <v>5514</v>
      </c>
      <c r="O644" s="13" t="s">
        <v>5510</v>
      </c>
      <c r="P644" s="13" t="s">
        <v>5510</v>
      </c>
      <c r="Q644" s="13" t="s">
        <v>5510</v>
      </c>
      <c r="R644" s="13" t="s">
        <v>5510</v>
      </c>
      <c r="S644" s="13" t="s">
        <v>5510</v>
      </c>
      <c r="T644" s="13" t="s">
        <v>16908</v>
      </c>
      <c r="U644" s="13" t="s">
        <v>12513</v>
      </c>
      <c r="V644" s="13" t="s">
        <v>16909</v>
      </c>
      <c r="W644" s="13" t="s">
        <v>16910</v>
      </c>
      <c r="X644" s="13" t="s">
        <v>16911</v>
      </c>
      <c r="Y644" s="13" t="s">
        <v>16912</v>
      </c>
      <c r="Z644" s="13" t="s">
        <v>16913</v>
      </c>
      <c r="AA644" s="13" t="s">
        <v>16914</v>
      </c>
      <c r="AB644" s="13" t="s">
        <v>16915</v>
      </c>
      <c r="AC644" s="13" t="s">
        <v>16916</v>
      </c>
      <c r="AD644" s="13" t="s">
        <v>16917</v>
      </c>
      <c r="AE644" s="13" t="s">
        <v>16918</v>
      </c>
      <c r="AF644" s="13" t="s">
        <v>5510</v>
      </c>
      <c r="AG644" s="13">
        <v>41.0</v>
      </c>
      <c r="AH644" s="13">
        <v>9.0</v>
      </c>
      <c r="AI644" s="13">
        <v>10.0</v>
      </c>
      <c r="AJ644" s="13">
        <v>0.0</v>
      </c>
      <c r="AK644" s="13">
        <v>8.0</v>
      </c>
      <c r="AL644" s="13" t="s">
        <v>5931</v>
      </c>
      <c r="AM644" s="13" t="s">
        <v>7486</v>
      </c>
      <c r="AN644" s="13" t="s">
        <v>7487</v>
      </c>
      <c r="AO644" s="13" t="s">
        <v>16919</v>
      </c>
      <c r="AP644" s="13" t="s">
        <v>5510</v>
      </c>
      <c r="AQ644" s="13" t="s">
        <v>5510</v>
      </c>
      <c r="AR644" s="13" t="s">
        <v>16920</v>
      </c>
      <c r="AS644" s="13" t="s">
        <v>16921</v>
      </c>
      <c r="AT644" s="13" t="s">
        <v>2514</v>
      </c>
      <c r="AU644" s="13">
        <v>2020.0</v>
      </c>
      <c r="AV644" s="13">
        <v>46.0</v>
      </c>
      <c r="AW644" s="13">
        <v>5.0</v>
      </c>
      <c r="AX644" s="13" t="s">
        <v>5510</v>
      </c>
      <c r="AY644" s="13" t="s">
        <v>5510</v>
      </c>
      <c r="AZ644" s="13" t="s">
        <v>5510</v>
      </c>
      <c r="BA644" s="13" t="s">
        <v>5510</v>
      </c>
      <c r="BB644" s="13">
        <v>1221.0</v>
      </c>
      <c r="BC644" s="13">
        <v>1226.0</v>
      </c>
      <c r="BD644" s="13" t="s">
        <v>5510</v>
      </c>
      <c r="BE644" s="13" t="s">
        <v>16922</v>
      </c>
      <c r="BF644" s="52" t="str">
        <f>HYPERLINK("http://dx.doi.org/10.1016/j.jglr.2019.12.007","http://dx.doi.org/10.1016/j.jglr.2019.12.007")</f>
        <v>http://dx.doi.org/10.1016/j.jglr.2019.12.007</v>
      </c>
      <c r="BG644" s="13" t="s">
        <v>5510</v>
      </c>
      <c r="BH644" s="13" t="s">
        <v>5510</v>
      </c>
      <c r="BI644" s="13">
        <v>6.0</v>
      </c>
      <c r="BJ644" s="13" t="s">
        <v>16923</v>
      </c>
      <c r="BK644" s="13" t="s">
        <v>5561</v>
      </c>
      <c r="BL644" s="13" t="s">
        <v>6328</v>
      </c>
      <c r="BM644" s="13" t="s">
        <v>16924</v>
      </c>
      <c r="BN644" s="13" t="s">
        <v>5510</v>
      </c>
      <c r="BO644" s="13" t="s">
        <v>5510</v>
      </c>
      <c r="BP644" s="13" t="s">
        <v>5510</v>
      </c>
      <c r="BQ644" s="13" t="s">
        <v>5510</v>
      </c>
      <c r="BR644" s="13" t="s">
        <v>5538</v>
      </c>
      <c r="BS644" s="13" t="s">
        <v>16925</v>
      </c>
      <c r="BT644" s="13">
        <v>24475.0</v>
      </c>
      <c r="BU644" s="13" t="s">
        <v>5540</v>
      </c>
      <c r="BV644" s="13" t="s">
        <v>4864</v>
      </c>
      <c r="BW644" s="13" t="str">
        <f>VLOOKUP($BT644,Enriched!$A$2:$E$1070,5,false)</f>
        <v>["Biological Resource Use", "Pollution", "Invasive &amp; Other Problematic Species, Genes &amp; Diseases", "Energy Production &amp; Mining", "Natural System Modifications"]</v>
      </c>
      <c r="BX644" s="13" t="str">
        <f>VLOOKUP($BT644,Enriched!$A$2:$E$1070,4,false)</f>
        <v>["Fishing &amp; harvesting aquatic resources", "Industrial &amp; military effluents", "Invasive non-native/alien species/diseases", "Oil &amp; gas drilling", "Dams &amp; water management/use"]</v>
      </c>
      <c r="BY644" s="13" t="b">
        <f>VLOOKUP(BT644,Enriched!$A$1:$AA$1070,27,falsE)</f>
        <v>0</v>
      </c>
      <c r="BZ644" s="2" t="str">
        <f>VLOOKUP(BT644,Enriched!$A$1:$AA$1070,14,falsE)</f>
        <v>cumulative</v>
      </c>
      <c r="CA644" s="13" t="str">
        <f>HYPERLINK("https%3A%2F%2Fwww.webofscience.com%2Fwos%2Fwoscc%2Ffull-record%2FWOS:000579717900016","View Full Record in Web of Science")</f>
        <v>View Full Record in Web of Science</v>
      </c>
    </row>
    <row r="645" ht="12.75" customHeight="1">
      <c r="A645" s="13" t="s">
        <v>5508</v>
      </c>
      <c r="B645" s="13" t="s">
        <v>16926</v>
      </c>
      <c r="C645" s="13" t="s">
        <v>5510</v>
      </c>
      <c r="D645" s="13" t="s">
        <v>5510</v>
      </c>
      <c r="E645" s="13" t="s">
        <v>5510</v>
      </c>
      <c r="F645" s="13" t="s">
        <v>16927</v>
      </c>
      <c r="G645" s="13" t="s">
        <v>5510</v>
      </c>
      <c r="H645" s="13" t="s">
        <v>5510</v>
      </c>
      <c r="I645" s="13" t="s">
        <v>1067</v>
      </c>
      <c r="J645" s="13" t="s">
        <v>5943</v>
      </c>
      <c r="K645" s="13" t="s">
        <v>5510</v>
      </c>
      <c r="L645" s="13" t="s">
        <v>5510</v>
      </c>
      <c r="M645" s="13" t="s">
        <v>5513</v>
      </c>
      <c r="N645" s="13" t="s">
        <v>5514</v>
      </c>
      <c r="O645" s="13" t="s">
        <v>5510</v>
      </c>
      <c r="P645" s="13" t="s">
        <v>5510</v>
      </c>
      <c r="Q645" s="13" t="s">
        <v>5510</v>
      </c>
      <c r="R645" s="13" t="s">
        <v>5510</v>
      </c>
      <c r="S645" s="13" t="s">
        <v>5510</v>
      </c>
      <c r="T645" s="13" t="s">
        <v>16928</v>
      </c>
      <c r="U645" s="13" t="s">
        <v>16929</v>
      </c>
      <c r="V645" s="13" t="s">
        <v>16930</v>
      </c>
      <c r="W645" s="13" t="s">
        <v>16931</v>
      </c>
      <c r="X645" s="13" t="s">
        <v>16932</v>
      </c>
      <c r="Y645" s="13" t="s">
        <v>16933</v>
      </c>
      <c r="Z645" s="13" t="s">
        <v>16934</v>
      </c>
      <c r="AA645" s="13" t="s">
        <v>16935</v>
      </c>
      <c r="AB645" s="13" t="s">
        <v>16936</v>
      </c>
      <c r="AC645" s="13" t="s">
        <v>5510</v>
      </c>
      <c r="AD645" s="13" t="s">
        <v>5510</v>
      </c>
      <c r="AE645" s="13" t="s">
        <v>5510</v>
      </c>
      <c r="AF645" s="13" t="s">
        <v>5510</v>
      </c>
      <c r="AG645" s="13">
        <v>29.0</v>
      </c>
      <c r="AH645" s="13">
        <v>23.0</v>
      </c>
      <c r="AI645" s="13">
        <v>28.0</v>
      </c>
      <c r="AJ645" s="13">
        <v>3.0</v>
      </c>
      <c r="AK645" s="13">
        <v>167.0</v>
      </c>
      <c r="AL645" s="13" t="s">
        <v>5527</v>
      </c>
      <c r="AM645" s="13" t="s">
        <v>5528</v>
      </c>
      <c r="AN645" s="13" t="s">
        <v>5529</v>
      </c>
      <c r="AO645" s="13" t="s">
        <v>5953</v>
      </c>
      <c r="AP645" s="13" t="s">
        <v>5954</v>
      </c>
      <c r="AQ645" s="13" t="s">
        <v>5510</v>
      </c>
      <c r="AR645" s="13" t="s">
        <v>5955</v>
      </c>
      <c r="AS645" s="13" t="s">
        <v>5956</v>
      </c>
      <c r="AT645" s="13" t="s">
        <v>6175</v>
      </c>
      <c r="AU645" s="13">
        <v>2015.0</v>
      </c>
      <c r="AV645" s="13">
        <v>52.0</v>
      </c>
      <c r="AW645" s="13">
        <v>4.0</v>
      </c>
      <c r="AX645" s="13" t="s">
        <v>5510</v>
      </c>
      <c r="AY645" s="13" t="s">
        <v>5510</v>
      </c>
      <c r="AZ645" s="13" t="s">
        <v>5510</v>
      </c>
      <c r="BA645" s="13" t="s">
        <v>5510</v>
      </c>
      <c r="BB645" s="13">
        <v>893.0</v>
      </c>
      <c r="BC645" s="13">
        <v>901.0</v>
      </c>
      <c r="BD645" s="13" t="s">
        <v>5510</v>
      </c>
      <c r="BE645" s="13" t="s">
        <v>16937</v>
      </c>
      <c r="BF645" s="52" t="str">
        <f>HYPERLINK("http://dx.doi.org/10.1111/1365-2664.12438","http://dx.doi.org/10.1111/1365-2664.12438")</f>
        <v>http://dx.doi.org/10.1111/1365-2664.12438</v>
      </c>
      <c r="BG645" s="13" t="s">
        <v>5510</v>
      </c>
      <c r="BH645" s="13" t="s">
        <v>5510</v>
      </c>
      <c r="BI645" s="13">
        <v>9.0</v>
      </c>
      <c r="BJ645" s="13" t="s">
        <v>5958</v>
      </c>
      <c r="BK645" s="13" t="s">
        <v>5561</v>
      </c>
      <c r="BL645" s="13" t="s">
        <v>5699</v>
      </c>
      <c r="BM645" s="13" t="s">
        <v>16938</v>
      </c>
      <c r="BN645" s="13" t="s">
        <v>5510</v>
      </c>
      <c r="BO645" s="13" t="s">
        <v>5809</v>
      </c>
      <c r="BP645" s="13" t="s">
        <v>5510</v>
      </c>
      <c r="BQ645" s="13" t="s">
        <v>5510</v>
      </c>
      <c r="BR645" s="13" t="s">
        <v>5538</v>
      </c>
      <c r="BS645" s="13" t="s">
        <v>16939</v>
      </c>
      <c r="BT645" s="13">
        <v>24743.0</v>
      </c>
      <c r="BU645" s="13" t="s">
        <v>5540</v>
      </c>
      <c r="BV645" s="13" t="s">
        <v>4856</v>
      </c>
      <c r="BW645" s="13" t="str">
        <f>VLOOKUP($BT645,Enriched!$A$2:$E$1070,5,false)</f>
        <v>["Transportation &amp; Service Corridors"]</v>
      </c>
      <c r="BX645" s="13" t="str">
        <f>VLOOKUP($BT645,Enriched!$A$2:$E$1070,4,false)</f>
        <v>["Roads &amp; railroads"]</v>
      </c>
      <c r="BY645" s="13" t="b">
        <f>VLOOKUP(BT645,Enriched!$A$1:$AA$1070,27,falsE)</f>
        <v>0</v>
      </c>
      <c r="BZ645" s="2" t="str">
        <f>VLOOKUP(BT645,Enriched!$A$1:$AA$1070,14,falsE)</f>
        <v>level2</v>
      </c>
      <c r="CA645" s="13" t="str">
        <f>HYPERLINK("https%3A%2F%2Fwww.webofscience.com%2Fwos%2Fwoscc%2Ffull-record%2FWOS:000358004300013","View Full Record in Web of Science")</f>
        <v>View Full Record in Web of Science</v>
      </c>
    </row>
    <row r="646" ht="12.75" customHeight="1">
      <c r="A646" s="13" t="s">
        <v>5508</v>
      </c>
      <c r="B646" s="13" t="s">
        <v>16940</v>
      </c>
      <c r="C646" s="13" t="s">
        <v>5510</v>
      </c>
      <c r="D646" s="13" t="s">
        <v>5510</v>
      </c>
      <c r="E646" s="13" t="s">
        <v>5510</v>
      </c>
      <c r="F646" s="13" t="s">
        <v>16941</v>
      </c>
      <c r="G646" s="13" t="s">
        <v>5510</v>
      </c>
      <c r="H646" s="13" t="s">
        <v>5510</v>
      </c>
      <c r="I646" s="13" t="s">
        <v>1062</v>
      </c>
      <c r="J646" s="13" t="s">
        <v>7857</v>
      </c>
      <c r="K646" s="13" t="s">
        <v>5510</v>
      </c>
      <c r="L646" s="13" t="s">
        <v>5510</v>
      </c>
      <c r="M646" s="13" t="s">
        <v>5513</v>
      </c>
      <c r="N646" s="13" t="s">
        <v>5514</v>
      </c>
      <c r="O646" s="13" t="s">
        <v>5510</v>
      </c>
      <c r="P646" s="13" t="s">
        <v>5510</v>
      </c>
      <c r="Q646" s="13" t="s">
        <v>5510</v>
      </c>
      <c r="R646" s="13" t="s">
        <v>5510</v>
      </c>
      <c r="S646" s="13" t="s">
        <v>5510</v>
      </c>
      <c r="T646" s="13" t="s">
        <v>16942</v>
      </c>
      <c r="U646" s="13" t="s">
        <v>16943</v>
      </c>
      <c r="V646" s="13" t="s">
        <v>16944</v>
      </c>
      <c r="W646" s="13" t="s">
        <v>16945</v>
      </c>
      <c r="X646" s="13" t="s">
        <v>16946</v>
      </c>
      <c r="Y646" s="13" t="s">
        <v>16947</v>
      </c>
      <c r="Z646" s="13" t="s">
        <v>16948</v>
      </c>
      <c r="AA646" s="13" t="s">
        <v>16949</v>
      </c>
      <c r="AB646" s="13" t="s">
        <v>16950</v>
      </c>
      <c r="AC646" s="13" t="s">
        <v>5510</v>
      </c>
      <c r="AD646" s="13" t="s">
        <v>5510</v>
      </c>
      <c r="AE646" s="13" t="s">
        <v>5510</v>
      </c>
      <c r="AF646" s="13" t="s">
        <v>5510</v>
      </c>
      <c r="AG646" s="13">
        <v>59.0</v>
      </c>
      <c r="AH646" s="13">
        <v>59.0</v>
      </c>
      <c r="AI646" s="13">
        <v>71.0</v>
      </c>
      <c r="AJ646" s="13">
        <v>5.0</v>
      </c>
      <c r="AK646" s="13">
        <v>170.0</v>
      </c>
      <c r="AL646" s="13" t="s">
        <v>5527</v>
      </c>
      <c r="AM646" s="13" t="s">
        <v>5528</v>
      </c>
      <c r="AN646" s="13" t="s">
        <v>5529</v>
      </c>
      <c r="AO646" s="13" t="s">
        <v>7870</v>
      </c>
      <c r="AP646" s="13" t="s">
        <v>7871</v>
      </c>
      <c r="AQ646" s="13" t="s">
        <v>5510</v>
      </c>
      <c r="AR646" s="13" t="s">
        <v>7872</v>
      </c>
      <c r="AS646" s="13" t="s">
        <v>7873</v>
      </c>
      <c r="AT646" s="13" t="s">
        <v>5720</v>
      </c>
      <c r="AU646" s="13">
        <v>2018.0</v>
      </c>
      <c r="AV646" s="13">
        <v>24.0</v>
      </c>
      <c r="AW646" s="13">
        <v>6.0</v>
      </c>
      <c r="AX646" s="13" t="s">
        <v>5510</v>
      </c>
      <c r="AY646" s="13" t="s">
        <v>5510</v>
      </c>
      <c r="AZ646" s="13" t="s">
        <v>5510</v>
      </c>
      <c r="BA646" s="13" t="s">
        <v>5510</v>
      </c>
      <c r="BB646" s="13">
        <v>2315.0</v>
      </c>
      <c r="BC646" s="13">
        <v>2324.0</v>
      </c>
      <c r="BD646" s="13" t="s">
        <v>5510</v>
      </c>
      <c r="BE646" s="13" t="s">
        <v>16951</v>
      </c>
      <c r="BF646" s="52" t="str">
        <f>HYPERLINK("http://dx.doi.org/10.1111/gcb.14146","http://dx.doi.org/10.1111/gcb.14146")</f>
        <v>http://dx.doi.org/10.1111/gcb.14146</v>
      </c>
      <c r="BG646" s="13" t="s">
        <v>5510</v>
      </c>
      <c r="BH646" s="13" t="s">
        <v>5510</v>
      </c>
      <c r="BI646" s="13">
        <v>10.0</v>
      </c>
      <c r="BJ646" s="13" t="s">
        <v>5698</v>
      </c>
      <c r="BK646" s="13" t="s">
        <v>5561</v>
      </c>
      <c r="BL646" s="13" t="s">
        <v>5699</v>
      </c>
      <c r="BM646" s="13" t="s">
        <v>16952</v>
      </c>
      <c r="BN646" s="13">
        <v>2.9575356E7</v>
      </c>
      <c r="BO646" s="13" t="s">
        <v>5510</v>
      </c>
      <c r="BP646" s="13" t="s">
        <v>5510</v>
      </c>
      <c r="BQ646" s="13" t="s">
        <v>5510</v>
      </c>
      <c r="BR646" s="13" t="s">
        <v>5538</v>
      </c>
      <c r="BS646" s="13" t="s">
        <v>16953</v>
      </c>
      <c r="BT646" s="13">
        <v>24415.0</v>
      </c>
      <c r="BU646" s="13" t="s">
        <v>5540</v>
      </c>
      <c r="BV646" s="13" t="s">
        <v>4886</v>
      </c>
      <c r="BW646" s="13" t="str">
        <f>VLOOKUP($BT646,Enriched!$A$2:$E$1070,5,false)</f>
        <v>["Pollution"]</v>
      </c>
      <c r="BX646" s="13" t="str">
        <f>VLOOKUP($BT646,Enriched!$A$2:$E$1070,4,false)</f>
        <v>["Excess energy"]</v>
      </c>
      <c r="BY646" s="13" t="b">
        <f>VLOOKUP(BT646,Enriched!$A$1:$AA$1070,27,falsE)</f>
        <v>0</v>
      </c>
      <c r="BZ646" s="2" t="str">
        <f>VLOOKUP(BT646,Enriched!$A$1:$AA$1070,14,falsE)</f>
        <v>level2</v>
      </c>
      <c r="CA646" s="13" t="str">
        <f>HYPERLINK("https%3A%2F%2Fwww.webofscience.com%2Fwos%2Fwoscc%2Ffull-record%2FWOS:000433717700009","View Full Record in Web of Science")</f>
        <v>View Full Record in Web of Science</v>
      </c>
    </row>
    <row r="647" ht="12.75" customHeight="1">
      <c r="A647" s="13" t="s">
        <v>5508</v>
      </c>
      <c r="B647" s="13" t="s">
        <v>16954</v>
      </c>
      <c r="C647" s="13" t="s">
        <v>5510</v>
      </c>
      <c r="D647" s="13" t="s">
        <v>5510</v>
      </c>
      <c r="E647" s="13" t="s">
        <v>5510</v>
      </c>
      <c r="F647" s="13" t="s">
        <v>16955</v>
      </c>
      <c r="G647" s="13" t="s">
        <v>5510</v>
      </c>
      <c r="H647" s="13" t="s">
        <v>5510</v>
      </c>
      <c r="I647" s="13" t="s">
        <v>1060</v>
      </c>
      <c r="J647" s="13" t="s">
        <v>5919</v>
      </c>
      <c r="K647" s="13" t="s">
        <v>5510</v>
      </c>
      <c r="L647" s="13" t="s">
        <v>5510</v>
      </c>
      <c r="M647" s="13" t="s">
        <v>5513</v>
      </c>
      <c r="N647" s="13" t="s">
        <v>5514</v>
      </c>
      <c r="O647" s="13" t="s">
        <v>5510</v>
      </c>
      <c r="P647" s="13" t="s">
        <v>5510</v>
      </c>
      <c r="Q647" s="13" t="s">
        <v>5510</v>
      </c>
      <c r="R647" s="13" t="s">
        <v>5510</v>
      </c>
      <c r="S647" s="13" t="s">
        <v>5510</v>
      </c>
      <c r="T647" s="13" t="s">
        <v>16956</v>
      </c>
      <c r="U647" s="13" t="s">
        <v>16957</v>
      </c>
      <c r="V647" s="13" t="s">
        <v>16958</v>
      </c>
      <c r="W647" s="13" t="s">
        <v>16959</v>
      </c>
      <c r="X647" s="13" t="s">
        <v>16960</v>
      </c>
      <c r="Y647" s="13" t="s">
        <v>16961</v>
      </c>
      <c r="Z647" s="13" t="s">
        <v>16962</v>
      </c>
      <c r="AA647" s="13" t="s">
        <v>16963</v>
      </c>
      <c r="AB647" s="13" t="s">
        <v>16964</v>
      </c>
      <c r="AC647" s="13" t="s">
        <v>16965</v>
      </c>
      <c r="AD647" s="13" t="s">
        <v>16966</v>
      </c>
      <c r="AE647" s="13" t="s">
        <v>16967</v>
      </c>
      <c r="AF647" s="13" t="s">
        <v>5510</v>
      </c>
      <c r="AG647" s="13">
        <v>66.0</v>
      </c>
      <c r="AH647" s="13">
        <v>73.0</v>
      </c>
      <c r="AI647" s="13">
        <v>94.0</v>
      </c>
      <c r="AJ647" s="13">
        <v>1.0</v>
      </c>
      <c r="AK647" s="13">
        <v>46.0</v>
      </c>
      <c r="AL647" s="13" t="s">
        <v>5931</v>
      </c>
      <c r="AM647" s="13" t="s">
        <v>5932</v>
      </c>
      <c r="AN647" s="13" t="s">
        <v>5933</v>
      </c>
      <c r="AO647" s="13" t="s">
        <v>5934</v>
      </c>
      <c r="AP647" s="13" t="s">
        <v>5935</v>
      </c>
      <c r="AQ647" s="13" t="s">
        <v>5510</v>
      </c>
      <c r="AR647" s="13" t="s">
        <v>5936</v>
      </c>
      <c r="AS647" s="13" t="s">
        <v>5937</v>
      </c>
      <c r="AT647" s="13" t="s">
        <v>1453</v>
      </c>
      <c r="AU647" s="13">
        <v>2019.0</v>
      </c>
      <c r="AV647" s="13">
        <v>239.0</v>
      </c>
      <c r="AW647" s="13" t="s">
        <v>5510</v>
      </c>
      <c r="AX647" s="13" t="s">
        <v>5510</v>
      </c>
      <c r="AY647" s="13" t="s">
        <v>5510</v>
      </c>
      <c r="AZ647" s="13" t="s">
        <v>5510</v>
      </c>
      <c r="BA647" s="13" t="s">
        <v>5510</v>
      </c>
      <c r="BB647" s="13" t="s">
        <v>5510</v>
      </c>
      <c r="BC647" s="13" t="s">
        <v>5510</v>
      </c>
      <c r="BD647" s="13">
        <v>108176.0</v>
      </c>
      <c r="BE647" s="13" t="s">
        <v>16968</v>
      </c>
      <c r="BF647" s="52" t="str">
        <f>HYPERLINK("http://dx.doi.org/10.1016/j.biocon.2019.07.021","http://dx.doi.org/10.1016/j.biocon.2019.07.021")</f>
        <v>http://dx.doi.org/10.1016/j.biocon.2019.07.021</v>
      </c>
      <c r="BG647" s="13" t="s">
        <v>5510</v>
      </c>
      <c r="BH647" s="13" t="s">
        <v>5510</v>
      </c>
      <c r="BI647" s="13">
        <v>8.0</v>
      </c>
      <c r="BJ647" s="13" t="s">
        <v>5698</v>
      </c>
      <c r="BK647" s="13" t="s">
        <v>5534</v>
      </c>
      <c r="BL647" s="13" t="s">
        <v>5699</v>
      </c>
      <c r="BM647" s="13" t="s">
        <v>16969</v>
      </c>
      <c r="BN647" s="13" t="s">
        <v>5510</v>
      </c>
      <c r="BO647" s="13" t="s">
        <v>5510</v>
      </c>
      <c r="BP647" s="13" t="s">
        <v>5510</v>
      </c>
      <c r="BQ647" s="13" t="s">
        <v>5510</v>
      </c>
      <c r="BR647" s="13" t="s">
        <v>5538</v>
      </c>
      <c r="BS647" s="13" t="s">
        <v>16970</v>
      </c>
      <c r="BT647" s="13">
        <v>24937.0</v>
      </c>
      <c r="BU647" s="13" t="s">
        <v>5540</v>
      </c>
      <c r="BV647" s="13" t="s">
        <v>4856</v>
      </c>
      <c r="BW647" s="13" t="str">
        <f>VLOOKUP($BT647,Enriched!$A$2:$E$1070,5,false)</f>
        <v>["Transportation &amp; Service Corridors", "Agriculture &amp; Aquaculture", "Energy Production &amp; Mining", "Human Intrusions &amp; Disturbance"]</v>
      </c>
      <c r="BX647" s="13" t="str">
        <f>VLOOKUP($BT647,Enriched!$A$2:$E$1070,4,false)</f>
        <v>["Roads &amp; railroads", "Annual &amp; perennial non-timber crops", "Mining &amp; quarrying", "Oil &amp; gas drilling", "War, civil unrest &amp; military exercises"]</v>
      </c>
      <c r="BY647" s="13" t="b">
        <f>VLOOKUP(BT647,Enriched!$A$1:$AA$1070,27,falsE)</f>
        <v>0</v>
      </c>
      <c r="BZ647" s="2" t="str">
        <f>VLOOKUP(BT647,Enriched!$A$1:$AA$1070,14,falsE)</f>
        <v>cumulative</v>
      </c>
      <c r="CA647" s="13" t="str">
        <f>HYPERLINK("https%3A%2F%2Fwww.webofscience.com%2Fwos%2Fwoscc%2Ffull-record%2FWOS:000498750700011","View Full Record in Web of Science")</f>
        <v>View Full Record in Web of Science</v>
      </c>
    </row>
    <row r="648" ht="12.75" customHeight="1">
      <c r="A648" s="13" t="s">
        <v>5508</v>
      </c>
      <c r="B648" s="13" t="s">
        <v>16971</v>
      </c>
      <c r="C648" s="13" t="s">
        <v>5510</v>
      </c>
      <c r="D648" s="13" t="s">
        <v>5510</v>
      </c>
      <c r="E648" s="13" t="s">
        <v>5510</v>
      </c>
      <c r="F648" s="13" t="s">
        <v>16972</v>
      </c>
      <c r="G648" s="13" t="s">
        <v>5510</v>
      </c>
      <c r="H648" s="13" t="s">
        <v>5510</v>
      </c>
      <c r="I648" s="13" t="s">
        <v>1057</v>
      </c>
      <c r="J648" s="13" t="s">
        <v>13163</v>
      </c>
      <c r="K648" s="13" t="s">
        <v>5510</v>
      </c>
      <c r="L648" s="13" t="s">
        <v>5510</v>
      </c>
      <c r="M648" s="13" t="s">
        <v>5513</v>
      </c>
      <c r="N648" s="13" t="s">
        <v>5514</v>
      </c>
      <c r="O648" s="13" t="s">
        <v>5510</v>
      </c>
      <c r="P648" s="13" t="s">
        <v>5510</v>
      </c>
      <c r="Q648" s="13" t="s">
        <v>5510</v>
      </c>
      <c r="R648" s="13" t="s">
        <v>5510</v>
      </c>
      <c r="S648" s="13" t="s">
        <v>5510</v>
      </c>
      <c r="T648" s="13" t="s">
        <v>16973</v>
      </c>
      <c r="U648" s="13" t="s">
        <v>16974</v>
      </c>
      <c r="V648" s="13" t="s">
        <v>16975</v>
      </c>
      <c r="W648" s="13" t="s">
        <v>16976</v>
      </c>
      <c r="X648" s="13" t="s">
        <v>16977</v>
      </c>
      <c r="Y648" s="13" t="s">
        <v>16978</v>
      </c>
      <c r="Z648" s="13" t="s">
        <v>16979</v>
      </c>
      <c r="AA648" s="13" t="s">
        <v>16980</v>
      </c>
      <c r="AB648" s="13" t="s">
        <v>16981</v>
      </c>
      <c r="AC648" s="13" t="s">
        <v>16982</v>
      </c>
      <c r="AD648" s="13" t="s">
        <v>16983</v>
      </c>
      <c r="AE648" s="13" t="s">
        <v>16984</v>
      </c>
      <c r="AF648" s="13" t="s">
        <v>5510</v>
      </c>
      <c r="AG648" s="13">
        <v>89.0</v>
      </c>
      <c r="AH648" s="13">
        <v>6.0</v>
      </c>
      <c r="AI648" s="13">
        <v>6.0</v>
      </c>
      <c r="AJ648" s="13">
        <v>0.0</v>
      </c>
      <c r="AK648" s="13">
        <v>20.0</v>
      </c>
      <c r="AL648" s="13" t="s">
        <v>5527</v>
      </c>
      <c r="AM648" s="13" t="s">
        <v>5528</v>
      </c>
      <c r="AN648" s="13" t="s">
        <v>5529</v>
      </c>
      <c r="AO648" s="13" t="s">
        <v>13176</v>
      </c>
      <c r="AP648" s="13" t="s">
        <v>13177</v>
      </c>
      <c r="AQ648" s="13" t="s">
        <v>5510</v>
      </c>
      <c r="AR648" s="13" t="s">
        <v>13178</v>
      </c>
      <c r="AS648" s="13" t="s">
        <v>13179</v>
      </c>
      <c r="AT648" s="13" t="s">
        <v>5978</v>
      </c>
      <c r="AU648" s="13">
        <v>2020.0</v>
      </c>
      <c r="AV648" s="13">
        <v>23.0</v>
      </c>
      <c r="AW648" s="13">
        <v>6.0</v>
      </c>
      <c r="AX648" s="13" t="s">
        <v>5510</v>
      </c>
      <c r="AY648" s="13" t="s">
        <v>5510</v>
      </c>
      <c r="AZ648" s="13" t="s">
        <v>5510</v>
      </c>
      <c r="BA648" s="13" t="s">
        <v>5510</v>
      </c>
      <c r="BB648" s="13">
        <v>660.0</v>
      </c>
      <c r="BC648" s="13">
        <v>669.0</v>
      </c>
      <c r="BD648" s="13" t="s">
        <v>5510</v>
      </c>
      <c r="BE648" s="13" t="s">
        <v>16985</v>
      </c>
      <c r="BF648" s="52" t="str">
        <f>HYPERLINK("http://dx.doi.org/10.1111/acv.12579","http://dx.doi.org/10.1111/acv.12579")</f>
        <v>http://dx.doi.org/10.1111/acv.12579</v>
      </c>
      <c r="BG648" s="13" t="s">
        <v>5510</v>
      </c>
      <c r="BH648" s="13" t="s">
        <v>6462</v>
      </c>
      <c r="BI648" s="13">
        <v>10.0</v>
      </c>
      <c r="BJ648" s="13" t="s">
        <v>5958</v>
      </c>
      <c r="BK648" s="13" t="s">
        <v>5561</v>
      </c>
      <c r="BL648" s="13" t="s">
        <v>5699</v>
      </c>
      <c r="BM648" s="13" t="s">
        <v>16986</v>
      </c>
      <c r="BN648" s="13" t="s">
        <v>5510</v>
      </c>
      <c r="BO648" s="13" t="s">
        <v>6623</v>
      </c>
      <c r="BP648" s="13" t="s">
        <v>5510</v>
      </c>
      <c r="BQ648" s="13" t="s">
        <v>5510</v>
      </c>
      <c r="BR648" s="13" t="s">
        <v>5538</v>
      </c>
      <c r="BS648" s="13" t="s">
        <v>16987</v>
      </c>
      <c r="BT648" s="13">
        <v>25582.0</v>
      </c>
      <c r="BU648" s="13" t="s">
        <v>5540</v>
      </c>
      <c r="BV648" s="13" t="s">
        <v>4856</v>
      </c>
      <c r="BW648" s="13" t="str">
        <f>VLOOKUP($BT648,Enriched!$A$2:$E$1070,5,false)</f>
        <v>["Invasive &amp; other problematic species, genes &amp; diseases"]</v>
      </c>
      <c r="BX648" s="13" t="str">
        <f>VLOOKUP($BT648,Enriched!$A$2:$E$1070,4,false)</f>
        <v>["Invasive non-native/alien species/diseases"]</v>
      </c>
      <c r="BY648" s="13" t="b">
        <f>VLOOKUP(BT648,Enriched!$A$1:$AA$1070,27,falsE)</f>
        <v>0</v>
      </c>
      <c r="BZ648" s="2" t="str">
        <f>VLOOKUP(BT648,Enriched!$A$1:$AA$1070,14,falsE)</f>
        <v>level2</v>
      </c>
      <c r="CA648" s="13" t="str">
        <f>HYPERLINK("https%3A%2F%2Fwww.webofscience.com%2Fwos%2Fwoscc%2Ffull-record%2FWOS:000520251100001","View Full Record in Web of Science")</f>
        <v>View Full Record in Web of Science</v>
      </c>
    </row>
    <row r="649" ht="12.75" customHeight="1">
      <c r="A649" s="13" t="s">
        <v>5508</v>
      </c>
      <c r="B649" s="13" t="s">
        <v>16988</v>
      </c>
      <c r="C649" s="13" t="s">
        <v>5510</v>
      </c>
      <c r="D649" s="13" t="s">
        <v>5510</v>
      </c>
      <c r="E649" s="13" t="s">
        <v>5510</v>
      </c>
      <c r="F649" s="13" t="s">
        <v>16989</v>
      </c>
      <c r="G649" s="13" t="s">
        <v>5510</v>
      </c>
      <c r="H649" s="13" t="s">
        <v>5510</v>
      </c>
      <c r="I649" s="13" t="s">
        <v>1050</v>
      </c>
      <c r="J649" s="13" t="s">
        <v>16821</v>
      </c>
      <c r="K649" s="13" t="s">
        <v>5510</v>
      </c>
      <c r="L649" s="13" t="s">
        <v>5510</v>
      </c>
      <c r="M649" s="13" t="s">
        <v>5513</v>
      </c>
      <c r="N649" s="13" t="s">
        <v>5514</v>
      </c>
      <c r="O649" s="13" t="s">
        <v>5510</v>
      </c>
      <c r="P649" s="13" t="s">
        <v>5510</v>
      </c>
      <c r="Q649" s="13" t="s">
        <v>5510</v>
      </c>
      <c r="R649" s="13" t="s">
        <v>5510</v>
      </c>
      <c r="S649" s="13" t="s">
        <v>5510</v>
      </c>
      <c r="T649" s="13" t="s">
        <v>16990</v>
      </c>
      <c r="U649" s="13" t="s">
        <v>16991</v>
      </c>
      <c r="V649" s="13" t="s">
        <v>16992</v>
      </c>
      <c r="W649" s="13" t="s">
        <v>16993</v>
      </c>
      <c r="X649" s="13" t="s">
        <v>16994</v>
      </c>
      <c r="Y649" s="13" t="s">
        <v>16995</v>
      </c>
      <c r="Z649" s="13" t="s">
        <v>16996</v>
      </c>
      <c r="AA649" s="13" t="s">
        <v>16997</v>
      </c>
      <c r="AB649" s="13" t="s">
        <v>16998</v>
      </c>
      <c r="AC649" s="13" t="s">
        <v>16999</v>
      </c>
      <c r="AD649" s="13" t="s">
        <v>17000</v>
      </c>
      <c r="AE649" s="13" t="s">
        <v>17001</v>
      </c>
      <c r="AF649" s="13" t="s">
        <v>5510</v>
      </c>
      <c r="AG649" s="13">
        <v>74.0</v>
      </c>
      <c r="AH649" s="13">
        <v>10.0</v>
      </c>
      <c r="AI649" s="13">
        <v>10.0</v>
      </c>
      <c r="AJ649" s="13">
        <v>0.0</v>
      </c>
      <c r="AK649" s="13">
        <v>56.0</v>
      </c>
      <c r="AL649" s="13" t="s">
        <v>5527</v>
      </c>
      <c r="AM649" s="13" t="s">
        <v>5528</v>
      </c>
      <c r="AN649" s="13" t="s">
        <v>5529</v>
      </c>
      <c r="AO649" s="13" t="s">
        <v>16833</v>
      </c>
      <c r="AP649" s="13" t="s">
        <v>16834</v>
      </c>
      <c r="AQ649" s="13" t="s">
        <v>5510</v>
      </c>
      <c r="AR649" s="13" t="s">
        <v>16835</v>
      </c>
      <c r="AS649" s="13" t="s">
        <v>16836</v>
      </c>
      <c r="AT649" s="13" t="s">
        <v>1453</v>
      </c>
      <c r="AU649" s="13">
        <v>2015.0</v>
      </c>
      <c r="AV649" s="13">
        <v>24.0</v>
      </c>
      <c r="AW649" s="13">
        <v>21.0</v>
      </c>
      <c r="AX649" s="13" t="s">
        <v>5510</v>
      </c>
      <c r="AY649" s="13" t="s">
        <v>5510</v>
      </c>
      <c r="AZ649" s="13" t="s">
        <v>5510</v>
      </c>
      <c r="BA649" s="13" t="s">
        <v>5510</v>
      </c>
      <c r="BB649" s="13">
        <v>5348.0</v>
      </c>
      <c r="BC649" s="13">
        <v>5363.0</v>
      </c>
      <c r="BD649" s="13" t="s">
        <v>5510</v>
      </c>
      <c r="BE649" s="13" t="s">
        <v>17002</v>
      </c>
      <c r="BF649" s="52" t="str">
        <f>HYPERLINK("http://dx.doi.org/10.1111/mec.13401","http://dx.doi.org/10.1111/mec.13401")</f>
        <v>http://dx.doi.org/10.1111/mec.13401</v>
      </c>
      <c r="BG649" s="13" t="s">
        <v>5510</v>
      </c>
      <c r="BH649" s="13" t="s">
        <v>5510</v>
      </c>
      <c r="BI649" s="13">
        <v>16.0</v>
      </c>
      <c r="BJ649" s="13" t="s">
        <v>16838</v>
      </c>
      <c r="BK649" s="13" t="s">
        <v>5561</v>
      </c>
      <c r="BL649" s="13" t="s">
        <v>16839</v>
      </c>
      <c r="BM649" s="13" t="s">
        <v>17003</v>
      </c>
      <c r="BN649" s="13">
        <v>2.6416083E7</v>
      </c>
      <c r="BO649" s="13" t="s">
        <v>5510</v>
      </c>
      <c r="BP649" s="13" t="s">
        <v>5510</v>
      </c>
      <c r="BQ649" s="13" t="s">
        <v>5510</v>
      </c>
      <c r="BR649" s="13" t="s">
        <v>5538</v>
      </c>
      <c r="BS649" s="13" t="s">
        <v>17004</v>
      </c>
      <c r="BT649" s="13">
        <v>25337.0</v>
      </c>
      <c r="BU649" s="13" t="s">
        <v>5540</v>
      </c>
      <c r="BV649" s="13" t="s">
        <v>4852</v>
      </c>
      <c r="BW649" s="13" t="str">
        <f>VLOOKUP($BT649,Enriched!$A$2:$E$1070,5,false)</f>
        <v>["Invasive &amp; Other Problematic Species, Genes &amp; Diseases"]</v>
      </c>
      <c r="BX649" s="13" t="str">
        <f>VLOOKUP($BT649,Enriched!$A$2:$E$1070,4,false)</f>
        <v>["Problematic species/diseases of unknown origin"]</v>
      </c>
      <c r="BY649" s="13" t="b">
        <f>VLOOKUP(BT649,Enriched!$A$1:$AA$1070,27,falsE)</f>
        <v>0</v>
      </c>
      <c r="BZ649" s="2" t="str">
        <f>VLOOKUP(BT649,Enriched!$A$1:$AA$1070,14,falsE)</f>
        <v>level2</v>
      </c>
      <c r="CA649" s="13" t="str">
        <f>HYPERLINK("https%3A%2F%2Fwww.webofscience.com%2Fwos%2Fwoscc%2Ffull-record%2FWOS:000363564200005","View Full Record in Web of Science")</f>
        <v>View Full Record in Web of Science</v>
      </c>
    </row>
    <row r="650" ht="12.75" customHeight="1">
      <c r="A650" s="13" t="s">
        <v>5508</v>
      </c>
      <c r="B650" s="13" t="s">
        <v>17005</v>
      </c>
      <c r="C650" s="13" t="s">
        <v>5510</v>
      </c>
      <c r="D650" s="13" t="s">
        <v>5510</v>
      </c>
      <c r="E650" s="13" t="s">
        <v>5510</v>
      </c>
      <c r="F650" s="13" t="s">
        <v>17006</v>
      </c>
      <c r="G650" s="13" t="s">
        <v>5510</v>
      </c>
      <c r="H650" s="13" t="s">
        <v>5510</v>
      </c>
      <c r="I650" s="2" t="s">
        <v>1047</v>
      </c>
      <c r="J650" s="13" t="s">
        <v>17007</v>
      </c>
      <c r="K650" s="13" t="s">
        <v>5510</v>
      </c>
      <c r="L650" s="13" t="s">
        <v>5510</v>
      </c>
      <c r="M650" s="13" t="s">
        <v>5513</v>
      </c>
      <c r="N650" s="13" t="s">
        <v>5514</v>
      </c>
      <c r="O650" s="13" t="s">
        <v>5510</v>
      </c>
      <c r="P650" s="13" t="s">
        <v>5510</v>
      </c>
      <c r="Q650" s="13" t="s">
        <v>5510</v>
      </c>
      <c r="R650" s="13" t="s">
        <v>5510</v>
      </c>
      <c r="S650" s="13" t="s">
        <v>5510</v>
      </c>
      <c r="T650" s="13" t="s">
        <v>17008</v>
      </c>
      <c r="U650" s="13" t="s">
        <v>5510</v>
      </c>
      <c r="V650" s="13" t="s">
        <v>17009</v>
      </c>
      <c r="W650" s="13" t="s">
        <v>17010</v>
      </c>
      <c r="X650" s="13" t="s">
        <v>5510</v>
      </c>
      <c r="Y650" s="13" t="s">
        <v>17011</v>
      </c>
      <c r="Z650" s="13" t="s">
        <v>17012</v>
      </c>
      <c r="AA650" s="13" t="s">
        <v>5510</v>
      </c>
      <c r="AB650" s="13" t="s">
        <v>5510</v>
      </c>
      <c r="AC650" s="13" t="s">
        <v>5510</v>
      </c>
      <c r="AD650" s="13" t="s">
        <v>5510</v>
      </c>
      <c r="AE650" s="13" t="s">
        <v>5510</v>
      </c>
      <c r="AF650" s="13" t="s">
        <v>5510</v>
      </c>
      <c r="AG650" s="13">
        <v>26.0</v>
      </c>
      <c r="AH650" s="13">
        <v>22.0</v>
      </c>
      <c r="AI650" s="13">
        <v>27.0</v>
      </c>
      <c r="AJ650" s="13">
        <v>0.0</v>
      </c>
      <c r="AK650" s="13">
        <v>22.0</v>
      </c>
      <c r="AL650" s="13" t="s">
        <v>7385</v>
      </c>
      <c r="AM650" s="13" t="s">
        <v>7386</v>
      </c>
      <c r="AN650" s="13" t="s">
        <v>7387</v>
      </c>
      <c r="AO650" s="13" t="s">
        <v>17013</v>
      </c>
      <c r="AP650" s="13" t="s">
        <v>17014</v>
      </c>
      <c r="AQ650" s="13" t="s">
        <v>5510</v>
      </c>
      <c r="AR650" s="13" t="s">
        <v>17015</v>
      </c>
      <c r="AS650" s="13" t="s">
        <v>17016</v>
      </c>
      <c r="AT650" s="13" t="s">
        <v>5510</v>
      </c>
      <c r="AU650" s="13">
        <v>2015.0</v>
      </c>
      <c r="AV650" s="13">
        <v>20.0</v>
      </c>
      <c r="AW650" s="13">
        <v>1.0</v>
      </c>
      <c r="AX650" s="13" t="s">
        <v>5510</v>
      </c>
      <c r="AY650" s="13" t="s">
        <v>5510</v>
      </c>
      <c r="AZ650" s="13" t="s">
        <v>5510</v>
      </c>
      <c r="BA650" s="13" t="s">
        <v>5510</v>
      </c>
      <c r="BB650" s="13">
        <v>81.0</v>
      </c>
      <c r="BC650" s="13">
        <v>94.0</v>
      </c>
      <c r="BD650" s="13" t="s">
        <v>5510</v>
      </c>
      <c r="BE650" s="13" t="s">
        <v>17017</v>
      </c>
      <c r="BF650" s="52" t="str">
        <f>HYPERLINK("http://dx.doi.org/10.1080/10871209.2014.937017","http://dx.doi.org/10.1080/10871209.2014.937017")</f>
        <v>http://dx.doi.org/10.1080/10871209.2014.937017</v>
      </c>
      <c r="BG650" s="13" t="s">
        <v>5510</v>
      </c>
      <c r="BH650" s="13" t="s">
        <v>5510</v>
      </c>
      <c r="BI650" s="13">
        <v>14.0</v>
      </c>
      <c r="BJ650" s="13" t="s">
        <v>6422</v>
      </c>
      <c r="BK650" s="13" t="s">
        <v>5561</v>
      </c>
      <c r="BL650" s="13" t="s">
        <v>5699</v>
      </c>
      <c r="BM650" s="13" t="s">
        <v>17018</v>
      </c>
      <c r="BN650" s="13" t="s">
        <v>5510</v>
      </c>
      <c r="BO650" s="13" t="s">
        <v>5510</v>
      </c>
      <c r="BP650" s="13" t="s">
        <v>5510</v>
      </c>
      <c r="BQ650" s="13" t="s">
        <v>5510</v>
      </c>
      <c r="BR650" s="13" t="s">
        <v>5538</v>
      </c>
      <c r="BS650" s="13" t="s">
        <v>17019</v>
      </c>
      <c r="BT650" s="13">
        <v>23664.0</v>
      </c>
      <c r="BU650" s="13" t="s">
        <v>5540</v>
      </c>
      <c r="BV650" s="13" t="s">
        <v>4856</v>
      </c>
      <c r="BW650" s="13" t="str">
        <f>VLOOKUP($BT650,Enriched!$A$2:$E$1070,5,false)</f>
        <v>["Transportation &amp; Service Corridors"]</v>
      </c>
      <c r="BX650" s="13" t="str">
        <f>VLOOKUP($BT650,Enriched!$A$2:$E$1070,4,false)</f>
        <v>["Roads &amp; railroads"]</v>
      </c>
      <c r="BY650" s="13" t="b">
        <f>VLOOKUP(BT650,Enriched!$A$1:$AA$1070,27,falsE)</f>
        <v>0</v>
      </c>
      <c r="BZ650" s="2" t="str">
        <f>VLOOKUP(BT650,Enriched!$A$1:$AA$1070,14,falsE)</f>
        <v>level2</v>
      </c>
      <c r="CA650" s="13" t="str">
        <f>HYPERLINK("https%3A%2F%2Fwww.webofscience.com%2Fwos%2Fwoscc%2Ffull-record%2FWOS:000422684800006","View Full Record in Web of Science")</f>
        <v>View Full Record in Web of Science</v>
      </c>
    </row>
    <row r="651" ht="12.75" customHeight="1">
      <c r="A651" s="13" t="s">
        <v>5508</v>
      </c>
      <c r="B651" s="13" t="s">
        <v>17020</v>
      </c>
      <c r="C651" s="13" t="s">
        <v>5510</v>
      </c>
      <c r="D651" s="13" t="s">
        <v>5510</v>
      </c>
      <c r="E651" s="13" t="s">
        <v>5510</v>
      </c>
      <c r="F651" s="13" t="s">
        <v>17021</v>
      </c>
      <c r="G651" s="13" t="s">
        <v>5510</v>
      </c>
      <c r="H651" s="13" t="s">
        <v>5510</v>
      </c>
      <c r="I651" s="13" t="s">
        <v>1043</v>
      </c>
      <c r="J651" s="13" t="s">
        <v>8015</v>
      </c>
      <c r="K651" s="13" t="s">
        <v>5510</v>
      </c>
      <c r="L651" s="13" t="s">
        <v>5510</v>
      </c>
      <c r="M651" s="13" t="s">
        <v>5513</v>
      </c>
      <c r="N651" s="13" t="s">
        <v>5514</v>
      </c>
      <c r="O651" s="13" t="s">
        <v>5510</v>
      </c>
      <c r="P651" s="13" t="s">
        <v>5510</v>
      </c>
      <c r="Q651" s="13" t="s">
        <v>5510</v>
      </c>
      <c r="R651" s="13" t="s">
        <v>5510</v>
      </c>
      <c r="S651" s="13" t="s">
        <v>5510</v>
      </c>
      <c r="T651" s="13" t="s">
        <v>17022</v>
      </c>
      <c r="U651" s="13" t="s">
        <v>17023</v>
      </c>
      <c r="V651" s="13" t="s">
        <v>17024</v>
      </c>
      <c r="W651" s="13" t="s">
        <v>17025</v>
      </c>
      <c r="X651" s="13" t="s">
        <v>17026</v>
      </c>
      <c r="Y651" s="13" t="s">
        <v>17027</v>
      </c>
      <c r="Z651" s="13" t="s">
        <v>17028</v>
      </c>
      <c r="AA651" s="13" t="s">
        <v>17029</v>
      </c>
      <c r="AB651" s="13" t="s">
        <v>17030</v>
      </c>
      <c r="AC651" s="13" t="s">
        <v>17031</v>
      </c>
      <c r="AD651" s="13" t="s">
        <v>17032</v>
      </c>
      <c r="AE651" s="13" t="s">
        <v>17033</v>
      </c>
      <c r="AF651" s="13" t="s">
        <v>5510</v>
      </c>
      <c r="AG651" s="13">
        <v>55.0</v>
      </c>
      <c r="AH651" s="13">
        <v>12.0</v>
      </c>
      <c r="AI651" s="13">
        <v>15.0</v>
      </c>
      <c r="AJ651" s="13">
        <v>0.0</v>
      </c>
      <c r="AK651" s="13">
        <v>69.0</v>
      </c>
      <c r="AL651" s="13" t="s">
        <v>5759</v>
      </c>
      <c r="AM651" s="13" t="s">
        <v>5760</v>
      </c>
      <c r="AN651" s="13" t="s">
        <v>5761</v>
      </c>
      <c r="AO651" s="13" t="s">
        <v>8025</v>
      </c>
      <c r="AP651" s="13" t="s">
        <v>8026</v>
      </c>
      <c r="AQ651" s="13" t="s">
        <v>5510</v>
      </c>
      <c r="AR651" s="13" t="s">
        <v>8027</v>
      </c>
      <c r="AS651" s="13" t="s">
        <v>8028</v>
      </c>
      <c r="AT651" s="13" t="s">
        <v>17034</v>
      </c>
      <c r="AU651" s="13">
        <v>2016.0</v>
      </c>
      <c r="AV651" s="13">
        <v>338.0</v>
      </c>
      <c r="AW651" s="13" t="s">
        <v>5510</v>
      </c>
      <c r="AX651" s="13" t="s">
        <v>5510</v>
      </c>
      <c r="AY651" s="13" t="s">
        <v>5510</v>
      </c>
      <c r="AZ651" s="13" t="s">
        <v>5510</v>
      </c>
      <c r="BA651" s="13" t="s">
        <v>5510</v>
      </c>
      <c r="BB651" s="13">
        <v>60.0</v>
      </c>
      <c r="BC651" s="13">
        <v>68.0</v>
      </c>
      <c r="BD651" s="13" t="s">
        <v>5510</v>
      </c>
      <c r="BE651" s="13" t="s">
        <v>17035</v>
      </c>
      <c r="BF651" s="52" t="str">
        <f>HYPERLINK("http://dx.doi.org/10.1016/j.ecolmodel.2016.08.002","http://dx.doi.org/10.1016/j.ecolmodel.2016.08.002")</f>
        <v>http://dx.doi.org/10.1016/j.ecolmodel.2016.08.002</v>
      </c>
      <c r="BG651" s="13" t="s">
        <v>5510</v>
      </c>
      <c r="BH651" s="13" t="s">
        <v>5510</v>
      </c>
      <c r="BI651" s="13">
        <v>9.0</v>
      </c>
      <c r="BJ651" s="13" t="s">
        <v>5533</v>
      </c>
      <c r="BK651" s="13" t="s">
        <v>5534</v>
      </c>
      <c r="BL651" s="13" t="s">
        <v>5535</v>
      </c>
      <c r="BM651" s="13" t="s">
        <v>17036</v>
      </c>
      <c r="BN651" s="13" t="s">
        <v>5510</v>
      </c>
      <c r="BO651" s="13" t="s">
        <v>5587</v>
      </c>
      <c r="BP651" s="13" t="s">
        <v>5510</v>
      </c>
      <c r="BQ651" s="13" t="s">
        <v>5510</v>
      </c>
      <c r="BR651" s="13" t="s">
        <v>5538</v>
      </c>
      <c r="BS651" s="13" t="s">
        <v>17037</v>
      </c>
      <c r="BT651" s="13">
        <v>25298.0</v>
      </c>
      <c r="BU651" s="13" t="s">
        <v>5540</v>
      </c>
      <c r="BV651" s="13" t="s">
        <v>4856</v>
      </c>
      <c r="BW651" s="13" t="str">
        <f>VLOOKUP($BT651,Enriched!$A$2:$E$1070,5,false)</f>
        <v>["Biological resource use"]</v>
      </c>
      <c r="BX651" s="13" t="str">
        <f>VLOOKUP($BT651,Enriched!$A$2:$E$1070,4,false)</f>
        <v>["Hunting &amp; collecting terrestrial animals"]</v>
      </c>
      <c r="BY651" s="13" t="b">
        <f>VLOOKUP(BT651,Enriched!$A$1:$AA$1070,27,falsE)</f>
        <v>0</v>
      </c>
      <c r="BZ651" s="2" t="str">
        <f>VLOOKUP(BT651,Enriched!$A$1:$AA$1070,14,falsE)</f>
        <v>level2</v>
      </c>
      <c r="CA651" s="13" t="str">
        <f>HYPERLINK("https%3A%2F%2Fwww.webofscience.com%2Fwos%2Fwoscc%2Ffull-record%2FWOS:000383819200006","View Full Record in Web of Science")</f>
        <v>View Full Record in Web of Science</v>
      </c>
    </row>
    <row r="652" ht="12.75" customHeight="1">
      <c r="A652" s="13" t="s">
        <v>5508</v>
      </c>
      <c r="B652" s="13" t="s">
        <v>17038</v>
      </c>
      <c r="C652" s="13" t="s">
        <v>5510</v>
      </c>
      <c r="D652" s="13" t="s">
        <v>5510</v>
      </c>
      <c r="E652" s="13" t="s">
        <v>5510</v>
      </c>
      <c r="F652" s="13" t="s">
        <v>17039</v>
      </c>
      <c r="G652" s="13" t="s">
        <v>5510</v>
      </c>
      <c r="H652" s="13" t="s">
        <v>5510</v>
      </c>
      <c r="I652" s="13" t="s">
        <v>1039</v>
      </c>
      <c r="J652" s="13" t="s">
        <v>17040</v>
      </c>
      <c r="K652" s="13" t="s">
        <v>5510</v>
      </c>
      <c r="L652" s="13" t="s">
        <v>5510</v>
      </c>
      <c r="M652" s="13" t="s">
        <v>5513</v>
      </c>
      <c r="N652" s="13" t="s">
        <v>5514</v>
      </c>
      <c r="O652" s="13" t="s">
        <v>5510</v>
      </c>
      <c r="P652" s="13" t="s">
        <v>5510</v>
      </c>
      <c r="Q652" s="13" t="s">
        <v>5510</v>
      </c>
      <c r="R652" s="13" t="s">
        <v>5510</v>
      </c>
      <c r="S652" s="13" t="s">
        <v>5510</v>
      </c>
      <c r="T652" s="13" t="s">
        <v>17041</v>
      </c>
      <c r="U652" s="13" t="s">
        <v>17042</v>
      </c>
      <c r="V652" s="13" t="s">
        <v>17043</v>
      </c>
      <c r="W652" s="13" t="s">
        <v>17044</v>
      </c>
      <c r="X652" s="13" t="s">
        <v>17045</v>
      </c>
      <c r="Y652" s="13" t="s">
        <v>17046</v>
      </c>
      <c r="Z652" s="13" t="s">
        <v>17047</v>
      </c>
      <c r="AA652" s="13" t="s">
        <v>17048</v>
      </c>
      <c r="AB652" s="13" t="s">
        <v>17049</v>
      </c>
      <c r="AC652" s="13" t="s">
        <v>5510</v>
      </c>
      <c r="AD652" s="13" t="s">
        <v>5510</v>
      </c>
      <c r="AE652" s="13" t="s">
        <v>5510</v>
      </c>
      <c r="AF652" s="13" t="s">
        <v>5510</v>
      </c>
      <c r="AG652" s="13">
        <v>44.0</v>
      </c>
      <c r="AH652" s="13">
        <v>16.0</v>
      </c>
      <c r="AI652" s="13">
        <v>19.0</v>
      </c>
      <c r="AJ652" s="13">
        <v>0.0</v>
      </c>
      <c r="AK652" s="13">
        <v>15.0</v>
      </c>
      <c r="AL652" s="13" t="s">
        <v>17050</v>
      </c>
      <c r="AM652" s="13" t="s">
        <v>17051</v>
      </c>
      <c r="AN652" s="13" t="s">
        <v>17052</v>
      </c>
      <c r="AO652" s="13" t="s">
        <v>17053</v>
      </c>
      <c r="AP652" s="13" t="s">
        <v>17054</v>
      </c>
      <c r="AQ652" s="13" t="s">
        <v>5510</v>
      </c>
      <c r="AR652" s="13" t="s">
        <v>17040</v>
      </c>
      <c r="AS652" s="13" t="s">
        <v>1040</v>
      </c>
      <c r="AT652" s="13" t="s">
        <v>6089</v>
      </c>
      <c r="AU652" s="13">
        <v>2020.0</v>
      </c>
      <c r="AV652" s="13">
        <v>61.0</v>
      </c>
      <c r="AW652" s="13">
        <v>2.0</v>
      </c>
      <c r="AX652" s="13" t="s">
        <v>5510</v>
      </c>
      <c r="AY652" s="13" t="s">
        <v>5510</v>
      </c>
      <c r="AZ652" s="13" t="s">
        <v>5510</v>
      </c>
      <c r="BA652" s="13" t="s">
        <v>5510</v>
      </c>
      <c r="BB652" s="13">
        <v>321.0</v>
      </c>
      <c r="BC652" s="13">
        <v>329.0</v>
      </c>
      <c r="BD652" s="13" t="s">
        <v>5510</v>
      </c>
      <c r="BE652" s="13" t="s">
        <v>17055</v>
      </c>
      <c r="BF652" s="52" t="str">
        <f>HYPERLINK("http://dx.doi.org/10.1007/s10329-019-00760-x","http://dx.doi.org/10.1007/s10329-019-00760-x")</f>
        <v>http://dx.doi.org/10.1007/s10329-019-00760-x</v>
      </c>
      <c r="BG652" s="13" t="s">
        <v>5510</v>
      </c>
      <c r="BH652" s="13" t="s">
        <v>5510</v>
      </c>
      <c r="BI652" s="13">
        <v>9.0</v>
      </c>
      <c r="BJ652" s="13" t="s">
        <v>6899</v>
      </c>
      <c r="BK652" s="13" t="s">
        <v>5561</v>
      </c>
      <c r="BL652" s="13" t="s">
        <v>6899</v>
      </c>
      <c r="BM652" s="13" t="s">
        <v>17056</v>
      </c>
      <c r="BN652" s="13">
        <v>3.1564005E7</v>
      </c>
      <c r="BO652" s="13" t="s">
        <v>5510</v>
      </c>
      <c r="BP652" s="13" t="s">
        <v>5510</v>
      </c>
      <c r="BQ652" s="13" t="s">
        <v>5510</v>
      </c>
      <c r="BR652" s="13" t="s">
        <v>5538</v>
      </c>
      <c r="BS652" s="13" t="s">
        <v>17057</v>
      </c>
      <c r="BT652" s="13">
        <v>25120.0</v>
      </c>
      <c r="BU652" s="13" t="s">
        <v>5540</v>
      </c>
      <c r="BV652" s="13" t="s">
        <v>4856</v>
      </c>
      <c r="BW652" s="13" t="str">
        <f>VLOOKUP($BT652,Enriched!$A$2:$E$1070,5,false)</f>
        <v>["Transportation &amp; Service Corridors"]</v>
      </c>
      <c r="BX652" s="13" t="str">
        <f>VLOOKUP($BT652,Enriched!$A$2:$E$1070,4,false)</f>
        <v>["Utility &amp; service lines"]</v>
      </c>
      <c r="BY652" s="13" t="b">
        <f>VLOOKUP(BT652,Enriched!$A$1:$AA$1070,27,falsE)</f>
        <v>0</v>
      </c>
      <c r="BZ652" s="2" t="str">
        <f>VLOOKUP(BT652,Enriched!$A$1:$AA$1070,14,falsE)</f>
        <v>level2</v>
      </c>
      <c r="CA652" s="13" t="str">
        <f>HYPERLINK("https%3A%2F%2Fwww.webofscience.com%2Fwos%2Fwoscc%2Ffull-record%2FWOS:000520597000020","View Full Record in Web of Science")</f>
        <v>View Full Record in Web of Science</v>
      </c>
    </row>
    <row r="653" ht="12.75" customHeight="1">
      <c r="A653" s="13" t="s">
        <v>5508</v>
      </c>
      <c r="B653" s="13" t="s">
        <v>17058</v>
      </c>
      <c r="C653" s="13" t="s">
        <v>5510</v>
      </c>
      <c r="D653" s="13" t="s">
        <v>5510</v>
      </c>
      <c r="E653" s="13" t="s">
        <v>5510</v>
      </c>
      <c r="F653" s="13" t="s">
        <v>17059</v>
      </c>
      <c r="G653" s="13" t="s">
        <v>5510</v>
      </c>
      <c r="H653" s="13" t="s">
        <v>5510</v>
      </c>
      <c r="I653" s="13" t="s">
        <v>1036</v>
      </c>
      <c r="J653" s="13" t="s">
        <v>5943</v>
      </c>
      <c r="K653" s="13" t="s">
        <v>5510</v>
      </c>
      <c r="L653" s="13" t="s">
        <v>5510</v>
      </c>
      <c r="M653" s="13" t="s">
        <v>5513</v>
      </c>
      <c r="N653" s="13" t="s">
        <v>5514</v>
      </c>
      <c r="O653" s="13" t="s">
        <v>5510</v>
      </c>
      <c r="P653" s="13" t="s">
        <v>5510</v>
      </c>
      <c r="Q653" s="13" t="s">
        <v>5510</v>
      </c>
      <c r="R653" s="13" t="s">
        <v>5510</v>
      </c>
      <c r="S653" s="13" t="s">
        <v>5510</v>
      </c>
      <c r="T653" s="13" t="s">
        <v>17060</v>
      </c>
      <c r="U653" s="13" t="s">
        <v>17061</v>
      </c>
      <c r="V653" s="13" t="s">
        <v>17062</v>
      </c>
      <c r="W653" s="13" t="s">
        <v>17063</v>
      </c>
      <c r="X653" s="13" t="s">
        <v>17064</v>
      </c>
      <c r="Y653" s="13" t="s">
        <v>17065</v>
      </c>
      <c r="Z653" s="13" t="s">
        <v>17066</v>
      </c>
      <c r="AA653" s="13" t="s">
        <v>17067</v>
      </c>
      <c r="AB653" s="13" t="s">
        <v>17068</v>
      </c>
      <c r="AC653" s="13" t="s">
        <v>17069</v>
      </c>
      <c r="AD653" s="13" t="s">
        <v>17069</v>
      </c>
      <c r="AE653" s="13" t="s">
        <v>17070</v>
      </c>
      <c r="AF653" s="13" t="s">
        <v>5510</v>
      </c>
      <c r="AG653" s="13">
        <v>44.0</v>
      </c>
      <c r="AH653" s="13">
        <v>76.0</v>
      </c>
      <c r="AI653" s="13">
        <v>89.0</v>
      </c>
      <c r="AJ653" s="13">
        <v>1.0</v>
      </c>
      <c r="AK653" s="13">
        <v>53.0</v>
      </c>
      <c r="AL653" s="13" t="s">
        <v>5527</v>
      </c>
      <c r="AM653" s="13" t="s">
        <v>5528</v>
      </c>
      <c r="AN653" s="13" t="s">
        <v>5529</v>
      </c>
      <c r="AO653" s="13" t="s">
        <v>5953</v>
      </c>
      <c r="AP653" s="13" t="s">
        <v>5954</v>
      </c>
      <c r="AQ653" s="13" t="s">
        <v>5510</v>
      </c>
      <c r="AR653" s="13" t="s">
        <v>5955</v>
      </c>
      <c r="AS653" s="13" t="s">
        <v>5956</v>
      </c>
      <c r="AT653" s="13" t="s">
        <v>5720</v>
      </c>
      <c r="AU653" s="13">
        <v>2014.0</v>
      </c>
      <c r="AV653" s="13">
        <v>51.0</v>
      </c>
      <c r="AW653" s="13">
        <v>3.0</v>
      </c>
      <c r="AX653" s="13" t="s">
        <v>5510</v>
      </c>
      <c r="AY653" s="13" t="s">
        <v>5510</v>
      </c>
      <c r="AZ653" s="13" t="s">
        <v>5510</v>
      </c>
      <c r="BA653" s="13" t="s">
        <v>5510</v>
      </c>
      <c r="BB653" s="13">
        <v>714.0</v>
      </c>
      <c r="BC653" s="13">
        <v>725.0</v>
      </c>
      <c r="BD653" s="13" t="s">
        <v>5510</v>
      </c>
      <c r="BE653" s="13" t="s">
        <v>17071</v>
      </c>
      <c r="BF653" s="52" t="str">
        <f>HYPERLINK("http://dx.doi.org/10.1111/1365-2664.12227","http://dx.doi.org/10.1111/1365-2664.12227")</f>
        <v>http://dx.doi.org/10.1111/1365-2664.12227</v>
      </c>
      <c r="BG653" s="13" t="s">
        <v>5510</v>
      </c>
      <c r="BH653" s="13" t="s">
        <v>5510</v>
      </c>
      <c r="BI653" s="13">
        <v>12.0</v>
      </c>
      <c r="BJ653" s="13" t="s">
        <v>5958</v>
      </c>
      <c r="BK653" s="13" t="s">
        <v>5561</v>
      </c>
      <c r="BL653" s="13" t="s">
        <v>5699</v>
      </c>
      <c r="BM653" s="13" t="s">
        <v>8048</v>
      </c>
      <c r="BN653" s="13" t="s">
        <v>5510</v>
      </c>
      <c r="BO653" s="13" t="s">
        <v>5809</v>
      </c>
      <c r="BP653" s="13" t="s">
        <v>5510</v>
      </c>
      <c r="BQ653" s="13" t="s">
        <v>5510</v>
      </c>
      <c r="BR653" s="13" t="s">
        <v>5538</v>
      </c>
      <c r="BS653" s="13" t="s">
        <v>17072</v>
      </c>
      <c r="BT653" s="13">
        <v>25178.0</v>
      </c>
      <c r="BU653" s="13" t="s">
        <v>5540</v>
      </c>
      <c r="BV653" s="13" t="s">
        <v>4856</v>
      </c>
      <c r="BW653" s="13" t="str">
        <f>VLOOKUP($BT653,Enriched!$A$2:$E$1070,5,false)</f>
        <v>["Agriculture &amp; Aquaculture", "Energy Production &amp; Mining", "Biological Resource Use"]</v>
      </c>
      <c r="BX653" s="13" t="str">
        <f>VLOOKUP($BT653,Enriched!$A$2:$E$1070,4,false)</f>
        <v>["Annual &amp; perennial non-timber crops", "Wood &amp; pulp plantations", "Livestock farming &amp; ranching", "Mining &amp; quarrying", "Hunting &amp; collecting terrestrial animals", "Gathering terrestrial plants", "Logging &amp; wood harvesting"]</v>
      </c>
      <c r="BY653" s="13" t="b">
        <f>VLOOKUP(BT653,Enriched!$A$1:$AA$1070,27,falsE)</f>
        <v>0</v>
      </c>
      <c r="BZ653" s="2" t="str">
        <f>VLOOKUP(BT653,Enriched!$A$1:$AA$1070,14,falsE)</f>
        <v>cumulative</v>
      </c>
      <c r="CA653" s="13" t="str">
        <f>HYPERLINK("https%3A%2F%2Fwww.webofscience.com%2Fwos%2Fwoscc%2Ffull-record%2FWOS:000335962200018","View Full Record in Web of Science")</f>
        <v>View Full Record in Web of Science</v>
      </c>
    </row>
    <row r="654" ht="12.75" customHeight="1">
      <c r="A654" s="13" t="s">
        <v>5508</v>
      </c>
      <c r="B654" s="13" t="s">
        <v>17073</v>
      </c>
      <c r="C654" s="13" t="s">
        <v>5510</v>
      </c>
      <c r="D654" s="13" t="s">
        <v>5510</v>
      </c>
      <c r="E654" s="13" t="s">
        <v>5510</v>
      </c>
      <c r="F654" s="13" t="s">
        <v>17074</v>
      </c>
      <c r="G654" s="13" t="s">
        <v>5510</v>
      </c>
      <c r="H654" s="13" t="s">
        <v>5510</v>
      </c>
      <c r="I654" s="13" t="s">
        <v>1033</v>
      </c>
      <c r="J654" s="13" t="s">
        <v>8163</v>
      </c>
      <c r="K654" s="13" t="s">
        <v>5510</v>
      </c>
      <c r="L654" s="13" t="s">
        <v>5510</v>
      </c>
      <c r="M654" s="13" t="s">
        <v>5513</v>
      </c>
      <c r="N654" s="13" t="s">
        <v>5514</v>
      </c>
      <c r="O654" s="13" t="s">
        <v>5510</v>
      </c>
      <c r="P654" s="13" t="s">
        <v>5510</v>
      </c>
      <c r="Q654" s="13" t="s">
        <v>5510</v>
      </c>
      <c r="R654" s="13" t="s">
        <v>5510</v>
      </c>
      <c r="S654" s="13" t="s">
        <v>5510</v>
      </c>
      <c r="T654" s="13" t="s">
        <v>17075</v>
      </c>
      <c r="U654" s="13" t="s">
        <v>17076</v>
      </c>
      <c r="V654" s="13" t="s">
        <v>17077</v>
      </c>
      <c r="W654" s="13" t="s">
        <v>17078</v>
      </c>
      <c r="X654" s="13" t="s">
        <v>17079</v>
      </c>
      <c r="Y654" s="13" t="s">
        <v>17080</v>
      </c>
      <c r="Z654" s="13" t="s">
        <v>17081</v>
      </c>
      <c r="AA654" s="13" t="s">
        <v>17082</v>
      </c>
      <c r="AB654" s="13" t="s">
        <v>17083</v>
      </c>
      <c r="AC654" s="13" t="s">
        <v>17084</v>
      </c>
      <c r="AD654" s="13" t="s">
        <v>17085</v>
      </c>
      <c r="AE654" s="13" t="s">
        <v>17086</v>
      </c>
      <c r="AF654" s="13" t="s">
        <v>5510</v>
      </c>
      <c r="AG654" s="13">
        <v>49.0</v>
      </c>
      <c r="AH654" s="13">
        <v>7.0</v>
      </c>
      <c r="AI654" s="13">
        <v>7.0</v>
      </c>
      <c r="AJ654" s="13">
        <v>3.0</v>
      </c>
      <c r="AK654" s="13">
        <v>36.0</v>
      </c>
      <c r="AL654" s="13" t="s">
        <v>5690</v>
      </c>
      <c r="AM654" s="13" t="s">
        <v>5691</v>
      </c>
      <c r="AN654" s="13" t="s">
        <v>5692</v>
      </c>
      <c r="AO654" s="13" t="s">
        <v>8176</v>
      </c>
      <c r="AP654" s="13" t="s">
        <v>8177</v>
      </c>
      <c r="AQ654" s="13" t="s">
        <v>5510</v>
      </c>
      <c r="AR654" s="13" t="s">
        <v>8178</v>
      </c>
      <c r="AS654" s="13" t="s">
        <v>8179</v>
      </c>
      <c r="AT654" s="13" t="s">
        <v>1453</v>
      </c>
      <c r="AU654" s="13">
        <v>2019.0</v>
      </c>
      <c r="AV654" s="13">
        <v>34.0</v>
      </c>
      <c r="AW654" s="13">
        <v>11.0</v>
      </c>
      <c r="AX654" s="13" t="s">
        <v>5510</v>
      </c>
      <c r="AY654" s="13" t="s">
        <v>5510</v>
      </c>
      <c r="AZ654" s="13" t="s">
        <v>5510</v>
      </c>
      <c r="BA654" s="13" t="s">
        <v>5510</v>
      </c>
      <c r="BB654" s="13">
        <v>2719.0</v>
      </c>
      <c r="BC654" s="13">
        <v>2734.0</v>
      </c>
      <c r="BD654" s="13" t="s">
        <v>5510</v>
      </c>
      <c r="BE654" s="13" t="s">
        <v>17087</v>
      </c>
      <c r="BF654" s="52" t="str">
        <f>HYPERLINK("http://dx.doi.org/10.1007/s10980-019-00917-5","http://dx.doi.org/10.1007/s10980-019-00917-5")</f>
        <v>http://dx.doi.org/10.1007/s10980-019-00917-5</v>
      </c>
      <c r="BG654" s="13" t="s">
        <v>5510</v>
      </c>
      <c r="BH654" s="13" t="s">
        <v>17088</v>
      </c>
      <c r="BI654" s="13">
        <v>16.0</v>
      </c>
      <c r="BJ654" s="13" t="s">
        <v>8181</v>
      </c>
      <c r="BK654" s="13" t="s">
        <v>5534</v>
      </c>
      <c r="BL654" s="13" t="s">
        <v>6551</v>
      </c>
      <c r="BM654" s="13" t="s">
        <v>17089</v>
      </c>
      <c r="BN654" s="13" t="s">
        <v>5510</v>
      </c>
      <c r="BO654" s="13" t="s">
        <v>5510</v>
      </c>
      <c r="BP654" s="13" t="s">
        <v>5510</v>
      </c>
      <c r="BQ654" s="13" t="s">
        <v>5510</v>
      </c>
      <c r="BR654" s="13" t="s">
        <v>5538</v>
      </c>
      <c r="BS654" s="13" t="s">
        <v>17090</v>
      </c>
      <c r="BT654" s="13">
        <v>24437.0</v>
      </c>
      <c r="BU654" s="13" t="s">
        <v>5540</v>
      </c>
      <c r="BV654" s="13" t="s">
        <v>4856</v>
      </c>
      <c r="BW654" s="13" t="str">
        <f>VLOOKUP($BT654,Enriched!$A$2:$E$1070,5,false)</f>
        <v>["Residential &amp; Commercial Development", "Transportation &amp; Service Corridors"]</v>
      </c>
      <c r="BX654" s="13" t="str">
        <f>VLOOKUP($BT654,Enriched!$A$2:$E$1070,4,false)</f>
        <v>["Tourism &amp; recreation areas", "Roads &amp; railroads"]</v>
      </c>
      <c r="BY654" s="13" t="b">
        <f>VLOOKUP(BT654,Enriched!$A$1:$AA$1070,27,falsE)</f>
        <v>0</v>
      </c>
      <c r="BZ654" s="2" t="str">
        <f>VLOOKUP(BT654,Enriched!$A$1:$AA$1070,14,falsE)</f>
        <v>level2</v>
      </c>
      <c r="CA654" s="13" t="str">
        <f>HYPERLINK("https%3A%2F%2Fwww.webofscience.com%2Fwos%2Fwoscc%2Ffull-record%2FWOS:000490199500001","View Full Record in Web of Science")</f>
        <v>View Full Record in Web of Science</v>
      </c>
    </row>
    <row r="655" ht="12.75" customHeight="1">
      <c r="A655" s="13" t="s">
        <v>5508</v>
      </c>
      <c r="B655" s="13" t="s">
        <v>17091</v>
      </c>
      <c r="C655" s="13" t="s">
        <v>5510</v>
      </c>
      <c r="D655" s="13" t="s">
        <v>5510</v>
      </c>
      <c r="E655" s="13" t="s">
        <v>5510</v>
      </c>
      <c r="F655" s="13" t="s">
        <v>17092</v>
      </c>
      <c r="G655" s="13" t="s">
        <v>5510</v>
      </c>
      <c r="H655" s="13" t="s">
        <v>5510</v>
      </c>
      <c r="I655" s="13" t="s">
        <v>1030</v>
      </c>
      <c r="J655" s="13" t="s">
        <v>17093</v>
      </c>
      <c r="K655" s="13" t="s">
        <v>5510</v>
      </c>
      <c r="L655" s="13" t="s">
        <v>5510</v>
      </c>
      <c r="M655" s="13" t="s">
        <v>5513</v>
      </c>
      <c r="N655" s="13" t="s">
        <v>5514</v>
      </c>
      <c r="O655" s="13" t="s">
        <v>5510</v>
      </c>
      <c r="P655" s="13" t="s">
        <v>5510</v>
      </c>
      <c r="Q655" s="13" t="s">
        <v>5510</v>
      </c>
      <c r="R655" s="13" t="s">
        <v>5510</v>
      </c>
      <c r="S655" s="13" t="s">
        <v>5510</v>
      </c>
      <c r="T655" s="13" t="s">
        <v>17094</v>
      </c>
      <c r="U655" s="13" t="s">
        <v>17095</v>
      </c>
      <c r="V655" s="13" t="s">
        <v>17096</v>
      </c>
      <c r="W655" s="13" t="s">
        <v>17097</v>
      </c>
      <c r="X655" s="13" t="s">
        <v>17098</v>
      </c>
      <c r="Y655" s="13" t="s">
        <v>17099</v>
      </c>
      <c r="Z655" s="13" t="s">
        <v>17100</v>
      </c>
      <c r="AA655" s="13" t="s">
        <v>17101</v>
      </c>
      <c r="AB655" s="13" t="s">
        <v>17102</v>
      </c>
      <c r="AC655" s="13" t="s">
        <v>17103</v>
      </c>
      <c r="AD655" s="13" t="s">
        <v>17104</v>
      </c>
      <c r="AE655" s="13" t="s">
        <v>17105</v>
      </c>
      <c r="AF655" s="13" t="s">
        <v>5510</v>
      </c>
      <c r="AG655" s="13">
        <v>119.0</v>
      </c>
      <c r="AH655" s="13">
        <v>78.0</v>
      </c>
      <c r="AI655" s="13">
        <v>89.0</v>
      </c>
      <c r="AJ655" s="13">
        <v>3.0</v>
      </c>
      <c r="AK655" s="13">
        <v>58.0</v>
      </c>
      <c r="AL655" s="13" t="s">
        <v>13198</v>
      </c>
      <c r="AM655" s="13" t="s">
        <v>6503</v>
      </c>
      <c r="AN655" s="13" t="s">
        <v>13199</v>
      </c>
      <c r="AO655" s="13" t="s">
        <v>17106</v>
      </c>
      <c r="AP655" s="13" t="s">
        <v>17107</v>
      </c>
      <c r="AQ655" s="13" t="s">
        <v>5510</v>
      </c>
      <c r="AR655" s="13" t="s">
        <v>17108</v>
      </c>
      <c r="AS655" s="13" t="s">
        <v>17109</v>
      </c>
      <c r="AT655" s="13" t="s">
        <v>6089</v>
      </c>
      <c r="AU655" s="13">
        <v>2020.0</v>
      </c>
      <c r="AV655" s="13">
        <v>81.0</v>
      </c>
      <c r="AW655" s="13" t="s">
        <v>5510</v>
      </c>
      <c r="AX655" s="13" t="s">
        <v>5510</v>
      </c>
      <c r="AY655" s="13" t="s">
        <v>5510</v>
      </c>
      <c r="AZ655" s="13" t="s">
        <v>5510</v>
      </c>
      <c r="BA655" s="13" t="s">
        <v>5510</v>
      </c>
      <c r="BB655" s="13" t="s">
        <v>5510</v>
      </c>
      <c r="BC655" s="13" t="s">
        <v>5510</v>
      </c>
      <c r="BD655" s="13">
        <v>106337.0</v>
      </c>
      <c r="BE655" s="13" t="s">
        <v>17110</v>
      </c>
      <c r="BF655" s="52" t="str">
        <f>HYPERLINK("http://dx.doi.org/10.1016/j.eiar.2019.106337","http://dx.doi.org/10.1016/j.eiar.2019.106337")</f>
        <v>http://dx.doi.org/10.1016/j.eiar.2019.106337</v>
      </c>
      <c r="BG655" s="13" t="s">
        <v>5510</v>
      </c>
      <c r="BH655" s="13" t="s">
        <v>5510</v>
      </c>
      <c r="BI655" s="13">
        <v>8.0</v>
      </c>
      <c r="BJ655" s="13" t="s">
        <v>12528</v>
      </c>
      <c r="BK655" s="13" t="s">
        <v>8375</v>
      </c>
      <c r="BL655" s="13" t="s">
        <v>5535</v>
      </c>
      <c r="BM655" s="13" t="s">
        <v>17111</v>
      </c>
      <c r="BN655" s="13" t="s">
        <v>5510</v>
      </c>
      <c r="BO655" s="13" t="s">
        <v>5510</v>
      </c>
      <c r="BP655" s="13" t="s">
        <v>5510</v>
      </c>
      <c r="BQ655" s="13" t="s">
        <v>5510</v>
      </c>
      <c r="BR655" s="13" t="s">
        <v>5538</v>
      </c>
      <c r="BS655" s="13" t="s">
        <v>17112</v>
      </c>
      <c r="BT655" s="13">
        <v>25165.0</v>
      </c>
      <c r="BU655" s="13" t="s">
        <v>5540</v>
      </c>
      <c r="BV655" s="13" t="s">
        <v>4856</v>
      </c>
      <c r="BW655" s="13" t="str">
        <f>VLOOKUP($BT655,Enriched!$A$2:$E$1070,5,false)</f>
        <v>["Transportation &amp; Service Corridors"]</v>
      </c>
      <c r="BX655" s="13" t="str">
        <f>VLOOKUP($BT655,Enriched!$A$2:$E$1070,4,false)</f>
        <v>["Roads &amp; railroads"]</v>
      </c>
      <c r="BY655" s="13" t="b">
        <f>VLOOKUP(BT655,Enriched!$A$1:$AA$1070,27,falsE)</f>
        <v>0</v>
      </c>
      <c r="BZ655" s="2" t="str">
        <f>VLOOKUP(BT655,Enriched!$A$1:$AA$1070,14,falsE)</f>
        <v>level2</v>
      </c>
      <c r="CA655" s="13" t="str">
        <f>HYPERLINK("https%3A%2F%2Fwww.webofscience.com%2Fwos%2Fwoscc%2Ffull-record%2FWOS:000515213600002","View Full Record in Web of Science")</f>
        <v>View Full Record in Web of Science</v>
      </c>
    </row>
    <row r="656" ht="12.75" customHeight="1">
      <c r="A656" s="13" t="s">
        <v>5508</v>
      </c>
      <c r="B656" s="13" t="s">
        <v>17113</v>
      </c>
      <c r="C656" s="13" t="s">
        <v>5510</v>
      </c>
      <c r="D656" s="13" t="s">
        <v>5510</v>
      </c>
      <c r="E656" s="13" t="s">
        <v>5510</v>
      </c>
      <c r="F656" s="13" t="s">
        <v>17114</v>
      </c>
      <c r="G656" s="13" t="s">
        <v>5510</v>
      </c>
      <c r="H656" s="13" t="s">
        <v>5510</v>
      </c>
      <c r="I656" s="13" t="s">
        <v>1027</v>
      </c>
      <c r="J656" s="13" t="s">
        <v>17115</v>
      </c>
      <c r="K656" s="13" t="s">
        <v>5510</v>
      </c>
      <c r="L656" s="13" t="s">
        <v>5510</v>
      </c>
      <c r="M656" s="13" t="s">
        <v>5513</v>
      </c>
      <c r="N656" s="13" t="s">
        <v>5514</v>
      </c>
      <c r="O656" s="13" t="s">
        <v>5510</v>
      </c>
      <c r="P656" s="13" t="s">
        <v>5510</v>
      </c>
      <c r="Q656" s="13" t="s">
        <v>5510</v>
      </c>
      <c r="R656" s="13" t="s">
        <v>5510</v>
      </c>
      <c r="S656" s="13" t="s">
        <v>5510</v>
      </c>
      <c r="T656" s="13" t="s">
        <v>17116</v>
      </c>
      <c r="U656" s="13" t="s">
        <v>17117</v>
      </c>
      <c r="V656" s="13" t="s">
        <v>17118</v>
      </c>
      <c r="W656" s="13" t="s">
        <v>17119</v>
      </c>
      <c r="X656" s="13" t="s">
        <v>17120</v>
      </c>
      <c r="Y656" s="13" t="s">
        <v>17121</v>
      </c>
      <c r="Z656" s="13" t="s">
        <v>17122</v>
      </c>
      <c r="AA656" s="13" t="s">
        <v>17123</v>
      </c>
      <c r="AB656" s="13" t="s">
        <v>5510</v>
      </c>
      <c r="AC656" s="13" t="s">
        <v>17124</v>
      </c>
      <c r="AD656" s="13" t="s">
        <v>17124</v>
      </c>
      <c r="AE656" s="13" t="s">
        <v>17125</v>
      </c>
      <c r="AF656" s="13" t="s">
        <v>5510</v>
      </c>
      <c r="AG656" s="13">
        <v>151.0</v>
      </c>
      <c r="AH656" s="13">
        <v>31.0</v>
      </c>
      <c r="AI656" s="13">
        <v>37.0</v>
      </c>
      <c r="AJ656" s="13">
        <v>3.0</v>
      </c>
      <c r="AK656" s="13">
        <v>60.0</v>
      </c>
      <c r="AL656" s="13" t="s">
        <v>5527</v>
      </c>
      <c r="AM656" s="13" t="s">
        <v>5528</v>
      </c>
      <c r="AN656" s="13" t="s">
        <v>5529</v>
      </c>
      <c r="AO656" s="13" t="s">
        <v>17126</v>
      </c>
      <c r="AP656" s="13" t="s">
        <v>17127</v>
      </c>
      <c r="AQ656" s="13" t="s">
        <v>5510</v>
      </c>
      <c r="AR656" s="13" t="s">
        <v>17128</v>
      </c>
      <c r="AS656" s="13" t="s">
        <v>17129</v>
      </c>
      <c r="AT656" s="13" t="s">
        <v>1453</v>
      </c>
      <c r="AU656" s="13">
        <v>2018.0</v>
      </c>
      <c r="AV656" s="13">
        <v>200.0</v>
      </c>
      <c r="AW656" s="13">
        <v>1.0</v>
      </c>
      <c r="AX656" s="13" t="s">
        <v>5510</v>
      </c>
      <c r="AY656" s="13" t="s">
        <v>5510</v>
      </c>
      <c r="AZ656" s="13" t="s">
        <v>5510</v>
      </c>
      <c r="BA656" s="13" t="s">
        <v>5510</v>
      </c>
      <c r="BB656" s="13">
        <v>1.0</v>
      </c>
      <c r="BC656" s="13">
        <v>41.0</v>
      </c>
      <c r="BD656" s="13" t="s">
        <v>5510</v>
      </c>
      <c r="BE656" s="13" t="s">
        <v>17130</v>
      </c>
      <c r="BF656" s="52" t="str">
        <f>HYPERLINK("http://dx.doi.org/10.1002/wmon.1034","http://dx.doi.org/10.1002/wmon.1034")</f>
        <v>http://dx.doi.org/10.1002/wmon.1034</v>
      </c>
      <c r="BG656" s="13" t="s">
        <v>5510</v>
      </c>
      <c r="BH656" s="13" t="s">
        <v>5510</v>
      </c>
      <c r="BI656" s="13">
        <v>41.0</v>
      </c>
      <c r="BJ656" s="13" t="s">
        <v>5584</v>
      </c>
      <c r="BK656" s="13" t="s">
        <v>5534</v>
      </c>
      <c r="BL656" s="13" t="s">
        <v>5585</v>
      </c>
      <c r="BM656" s="13" t="s">
        <v>17131</v>
      </c>
      <c r="BN656" s="13" t="s">
        <v>5510</v>
      </c>
      <c r="BO656" s="13" t="s">
        <v>5510</v>
      </c>
      <c r="BP656" s="13" t="s">
        <v>5510</v>
      </c>
      <c r="BQ656" s="13" t="s">
        <v>5510</v>
      </c>
      <c r="BR656" s="13" t="s">
        <v>5538</v>
      </c>
      <c r="BS656" s="13" t="s">
        <v>17132</v>
      </c>
      <c r="BT656" s="13">
        <v>24029.0</v>
      </c>
      <c r="BU656" s="13" t="s">
        <v>5540</v>
      </c>
      <c r="BV656" s="13" t="s">
        <v>4856</v>
      </c>
      <c r="BW656" s="13" t="str">
        <f>VLOOKUP($BT656,Enriched!$A$2:$E$1070,5,false)</f>
        <v>["Transportation &amp; Service Corridors"]</v>
      </c>
      <c r="BX656" s="13" t="str">
        <f>VLOOKUP($BT656,Enriched!$A$2:$E$1070,4,false)</f>
        <v>["Utility &amp; service lines"]</v>
      </c>
      <c r="BY656" s="13" t="b">
        <f>VLOOKUP(BT656,Enriched!$A$1:$AA$1070,27,falsE)</f>
        <v>0</v>
      </c>
      <c r="BZ656" s="2" t="str">
        <f>VLOOKUP(BT656,Enriched!$A$1:$AA$1070,14,falsE)</f>
        <v>level2</v>
      </c>
      <c r="CA656" s="13" t="str">
        <f>HYPERLINK("https%3A%2F%2Fwww.webofscience.com%2Fwos%2Fwoscc%2Ffull-record%2FWOS:000448088900001","View Full Record in Web of Science")</f>
        <v>View Full Record in Web of Science</v>
      </c>
    </row>
    <row r="657" ht="12.75" customHeight="1">
      <c r="A657" s="13" t="s">
        <v>5508</v>
      </c>
      <c r="B657" s="13" t="s">
        <v>17133</v>
      </c>
      <c r="C657" s="13" t="s">
        <v>5510</v>
      </c>
      <c r="D657" s="13" t="s">
        <v>5510</v>
      </c>
      <c r="E657" s="13" t="s">
        <v>5510</v>
      </c>
      <c r="F657" s="13" t="s">
        <v>17134</v>
      </c>
      <c r="G657" s="13" t="s">
        <v>5510</v>
      </c>
      <c r="H657" s="13" t="s">
        <v>5510</v>
      </c>
      <c r="I657" s="13" t="s">
        <v>1023</v>
      </c>
      <c r="J657" s="13" t="s">
        <v>17135</v>
      </c>
      <c r="K657" s="13" t="s">
        <v>5510</v>
      </c>
      <c r="L657" s="13" t="s">
        <v>5510</v>
      </c>
      <c r="M657" s="13" t="s">
        <v>5513</v>
      </c>
      <c r="N657" s="13" t="s">
        <v>5514</v>
      </c>
      <c r="O657" s="13" t="s">
        <v>5510</v>
      </c>
      <c r="P657" s="13" t="s">
        <v>5510</v>
      </c>
      <c r="Q657" s="13" t="s">
        <v>5510</v>
      </c>
      <c r="R657" s="13" t="s">
        <v>5510</v>
      </c>
      <c r="S657" s="13" t="s">
        <v>5510</v>
      </c>
      <c r="T657" s="13" t="s">
        <v>17136</v>
      </c>
      <c r="U657" s="13" t="s">
        <v>17137</v>
      </c>
      <c r="V657" s="13" t="s">
        <v>17138</v>
      </c>
      <c r="W657" s="13" t="s">
        <v>17139</v>
      </c>
      <c r="X657" s="13" t="s">
        <v>17140</v>
      </c>
      <c r="Y657" s="13" t="s">
        <v>17141</v>
      </c>
      <c r="Z657" s="13" t="s">
        <v>17142</v>
      </c>
      <c r="AA657" s="13" t="s">
        <v>5510</v>
      </c>
      <c r="AB657" s="13" t="s">
        <v>17143</v>
      </c>
      <c r="AC657" s="13" t="s">
        <v>17144</v>
      </c>
      <c r="AD657" s="13" t="s">
        <v>17144</v>
      </c>
      <c r="AE657" s="13" t="s">
        <v>17145</v>
      </c>
      <c r="AF657" s="13" t="s">
        <v>5510</v>
      </c>
      <c r="AG657" s="13">
        <v>59.0</v>
      </c>
      <c r="AH657" s="13">
        <v>14.0</v>
      </c>
      <c r="AI657" s="13">
        <v>20.0</v>
      </c>
      <c r="AJ657" s="13">
        <v>1.0</v>
      </c>
      <c r="AK657" s="13">
        <v>75.0</v>
      </c>
      <c r="AL657" s="13" t="s">
        <v>5690</v>
      </c>
      <c r="AM657" s="13" t="s">
        <v>5691</v>
      </c>
      <c r="AN657" s="13" t="s">
        <v>5692</v>
      </c>
      <c r="AO657" s="13" t="s">
        <v>17146</v>
      </c>
      <c r="AP657" s="13" t="s">
        <v>17147</v>
      </c>
      <c r="AQ657" s="13" t="s">
        <v>5510</v>
      </c>
      <c r="AR657" s="13" t="s">
        <v>17148</v>
      </c>
      <c r="AS657" s="13" t="s">
        <v>17149</v>
      </c>
      <c r="AT657" s="13" t="s">
        <v>5720</v>
      </c>
      <c r="AU657" s="13">
        <v>2016.0</v>
      </c>
      <c r="AV657" s="13">
        <v>19.0</v>
      </c>
      <c r="AW657" s="13">
        <v>2.0</v>
      </c>
      <c r="AX657" s="13" t="s">
        <v>5510</v>
      </c>
      <c r="AY657" s="13" t="s">
        <v>5510</v>
      </c>
      <c r="AZ657" s="13" t="s">
        <v>5510</v>
      </c>
      <c r="BA657" s="13" t="s">
        <v>5510</v>
      </c>
      <c r="BB657" s="13">
        <v>915.0</v>
      </c>
      <c r="BC657" s="13">
        <v>938.0</v>
      </c>
      <c r="BD657" s="13" t="s">
        <v>5510</v>
      </c>
      <c r="BE657" s="13" t="s">
        <v>17150</v>
      </c>
      <c r="BF657" s="52" t="str">
        <f>HYPERLINK("http://dx.doi.org/10.1007/s11252-016-0531-7","http://dx.doi.org/10.1007/s11252-016-0531-7")</f>
        <v>http://dx.doi.org/10.1007/s11252-016-0531-7</v>
      </c>
      <c r="BG657" s="13" t="s">
        <v>5510</v>
      </c>
      <c r="BH657" s="13" t="s">
        <v>5510</v>
      </c>
      <c r="BI657" s="13">
        <v>24.0</v>
      </c>
      <c r="BJ657" s="13" t="s">
        <v>17151</v>
      </c>
      <c r="BK657" s="13" t="s">
        <v>5561</v>
      </c>
      <c r="BL657" s="13" t="s">
        <v>17152</v>
      </c>
      <c r="BM657" s="13" t="s">
        <v>17153</v>
      </c>
      <c r="BN657" s="13" t="s">
        <v>5510</v>
      </c>
      <c r="BO657" s="13" t="s">
        <v>5510</v>
      </c>
      <c r="BP657" s="13" t="s">
        <v>5510</v>
      </c>
      <c r="BQ657" s="13" t="s">
        <v>5510</v>
      </c>
      <c r="BR657" s="13" t="s">
        <v>5538</v>
      </c>
      <c r="BS657" s="13" t="s">
        <v>17154</v>
      </c>
      <c r="BT657" s="13">
        <v>24418.0</v>
      </c>
      <c r="BU657" s="13" t="s">
        <v>5540</v>
      </c>
      <c r="BV657" s="13" t="s">
        <v>4856</v>
      </c>
      <c r="BW657" s="13" t="str">
        <f>VLOOKUP($BT657,Enriched!$A$2:$E$1070,5,false)</f>
        <v>["Residential &amp; commercial development"]</v>
      </c>
      <c r="BX657" s="13" t="str">
        <f>VLOOKUP($BT657,Enriched!$A$2:$E$1070,4,false)</f>
        <v>["Housing &amp; urban area"]</v>
      </c>
      <c r="BY657" s="13" t="b">
        <f>VLOOKUP(BT657,Enriched!$A$1:$AA$1070,27,falsE)</f>
        <v>0</v>
      </c>
      <c r="BZ657" s="2" t="str">
        <f>VLOOKUP(BT657,Enriched!$A$1:$AA$1070,14,falsE)</f>
        <v>level2</v>
      </c>
      <c r="CA657" s="13" t="str">
        <f>HYPERLINK("https%3A%2F%2Fwww.webofscience.com%2Fwos%2Fwoscc%2Ffull-record%2FWOS:000382671000025","View Full Record in Web of Science")</f>
        <v>View Full Record in Web of Science</v>
      </c>
    </row>
    <row r="658" ht="12.75" customHeight="1">
      <c r="A658" s="13" t="s">
        <v>5508</v>
      </c>
      <c r="B658" s="13" t="s">
        <v>17155</v>
      </c>
      <c r="C658" s="13" t="s">
        <v>5510</v>
      </c>
      <c r="D658" s="13" t="s">
        <v>5510</v>
      </c>
      <c r="E658" s="13" t="s">
        <v>5510</v>
      </c>
      <c r="F658" s="13" t="s">
        <v>17156</v>
      </c>
      <c r="G658" s="13" t="s">
        <v>5510</v>
      </c>
      <c r="H658" s="13" t="s">
        <v>5510</v>
      </c>
      <c r="I658" s="13" t="s">
        <v>1019</v>
      </c>
      <c r="J658" s="13" t="s">
        <v>17157</v>
      </c>
      <c r="K658" s="13" t="s">
        <v>5510</v>
      </c>
      <c r="L658" s="13" t="s">
        <v>5510</v>
      </c>
      <c r="M658" s="13" t="s">
        <v>5513</v>
      </c>
      <c r="N658" s="13" t="s">
        <v>5514</v>
      </c>
      <c r="O658" s="13" t="s">
        <v>5510</v>
      </c>
      <c r="P658" s="13" t="s">
        <v>5510</v>
      </c>
      <c r="Q658" s="13" t="s">
        <v>5510</v>
      </c>
      <c r="R658" s="13" t="s">
        <v>5510</v>
      </c>
      <c r="S658" s="13" t="s">
        <v>5510</v>
      </c>
      <c r="T658" s="13" t="s">
        <v>17158</v>
      </c>
      <c r="U658" s="13" t="s">
        <v>17159</v>
      </c>
      <c r="V658" s="13" t="s">
        <v>17160</v>
      </c>
      <c r="W658" s="13" t="s">
        <v>17161</v>
      </c>
      <c r="X658" s="13" t="s">
        <v>17162</v>
      </c>
      <c r="Y658" s="13" t="s">
        <v>17163</v>
      </c>
      <c r="Z658" s="13" t="s">
        <v>17164</v>
      </c>
      <c r="AA658" s="13" t="s">
        <v>5510</v>
      </c>
      <c r="AB658" s="13" t="s">
        <v>5510</v>
      </c>
      <c r="AC658" s="13" t="s">
        <v>17165</v>
      </c>
      <c r="AD658" s="13" t="s">
        <v>17166</v>
      </c>
      <c r="AE658" s="13" t="s">
        <v>17167</v>
      </c>
      <c r="AF658" s="13" t="s">
        <v>5510</v>
      </c>
      <c r="AG658" s="13">
        <v>67.0</v>
      </c>
      <c r="AH658" s="13">
        <v>6.0</v>
      </c>
      <c r="AI658" s="13">
        <v>7.0</v>
      </c>
      <c r="AJ658" s="13">
        <v>1.0</v>
      </c>
      <c r="AK658" s="13">
        <v>20.0</v>
      </c>
      <c r="AL658" s="13" t="s">
        <v>5690</v>
      </c>
      <c r="AM658" s="13" t="s">
        <v>5691</v>
      </c>
      <c r="AN658" s="13" t="s">
        <v>5692</v>
      </c>
      <c r="AO658" s="13" t="s">
        <v>17168</v>
      </c>
      <c r="AP658" s="13" t="s">
        <v>17169</v>
      </c>
      <c r="AQ658" s="13" t="s">
        <v>5510</v>
      </c>
      <c r="AR658" s="13" t="s">
        <v>17157</v>
      </c>
      <c r="AS658" s="13" t="s">
        <v>1020</v>
      </c>
      <c r="AT658" s="13" t="s">
        <v>5978</v>
      </c>
      <c r="AU658" s="13">
        <v>2017.0</v>
      </c>
      <c r="AV658" s="13">
        <v>26.0</v>
      </c>
      <c r="AW658" s="13">
        <v>10.0</v>
      </c>
      <c r="AX658" s="13" t="s">
        <v>5510</v>
      </c>
      <c r="AY658" s="13" t="s">
        <v>5510</v>
      </c>
      <c r="AZ658" s="13" t="s">
        <v>5510</v>
      </c>
      <c r="BA658" s="13" t="s">
        <v>5510</v>
      </c>
      <c r="BB658" s="13">
        <v>1344.0</v>
      </c>
      <c r="BC658" s="13">
        <v>1357.0</v>
      </c>
      <c r="BD658" s="13" t="s">
        <v>5510</v>
      </c>
      <c r="BE658" s="13" t="s">
        <v>17170</v>
      </c>
      <c r="BF658" s="52" t="str">
        <f>HYPERLINK("http://dx.doi.org/10.1007/s10646-017-1859-3","http://dx.doi.org/10.1007/s10646-017-1859-3")</f>
        <v>http://dx.doi.org/10.1007/s10646-017-1859-3</v>
      </c>
      <c r="BG658" s="13" t="s">
        <v>5510</v>
      </c>
      <c r="BH658" s="13" t="s">
        <v>5510</v>
      </c>
      <c r="BI658" s="13">
        <v>14.0</v>
      </c>
      <c r="BJ658" s="13" t="s">
        <v>17171</v>
      </c>
      <c r="BK658" s="13" t="s">
        <v>5561</v>
      </c>
      <c r="BL658" s="13" t="s">
        <v>17172</v>
      </c>
      <c r="BM658" s="13" t="s">
        <v>17173</v>
      </c>
      <c r="BN658" s="13">
        <v>2.8975528E7</v>
      </c>
      <c r="BO658" s="13" t="s">
        <v>5510</v>
      </c>
      <c r="BP658" s="13" t="s">
        <v>5510</v>
      </c>
      <c r="BQ658" s="13" t="s">
        <v>5510</v>
      </c>
      <c r="BR658" s="13" t="s">
        <v>5538</v>
      </c>
      <c r="BS658" s="13" t="s">
        <v>17174</v>
      </c>
      <c r="BT658" s="13">
        <v>25755.0</v>
      </c>
      <c r="BU658" s="13" t="s">
        <v>5540</v>
      </c>
      <c r="BV658" s="13" t="s">
        <v>4856</v>
      </c>
      <c r="BW658" s="13" t="str">
        <f>VLOOKUP($BT658,Enriched!$A$2:$E$1070,5,false)</f>
        <v>["Pollution", "Human Intrusions &amp; Disturbance"]</v>
      </c>
      <c r="BX658" s="13" t="str">
        <f>VLOOKUP($BT658,Enriched!$A$2:$E$1070,4,false)</f>
        <v>["Industrial &amp; military effluents", "War, civil unrest &amp; military exercises"]</v>
      </c>
      <c r="BY658" s="13" t="b">
        <f>VLOOKUP(BT658,Enriched!$A$1:$AA$1070,27,falsE)</f>
        <v>0</v>
      </c>
      <c r="BZ658" s="2" t="str">
        <f>VLOOKUP(BT658,Enriched!$A$1:$AA$1070,14,falsE)</f>
        <v>level2</v>
      </c>
      <c r="CA658" s="13" t="str">
        <f>HYPERLINK("https%3A%2F%2Fwww.webofscience.com%2Fwos%2Fwoscc%2Ffull-record%2FWOS:000416329500006","View Full Record in Web of Science")</f>
        <v>View Full Record in Web of Science</v>
      </c>
    </row>
    <row r="659" ht="12.75" customHeight="1">
      <c r="A659" s="13" t="s">
        <v>5508</v>
      </c>
      <c r="B659" s="13" t="s">
        <v>17175</v>
      </c>
      <c r="C659" s="13" t="s">
        <v>5510</v>
      </c>
      <c r="D659" s="13" t="s">
        <v>5510</v>
      </c>
      <c r="E659" s="13" t="s">
        <v>5510</v>
      </c>
      <c r="F659" s="13" t="s">
        <v>17176</v>
      </c>
      <c r="G659" s="13" t="s">
        <v>5510</v>
      </c>
      <c r="H659" s="13" t="s">
        <v>5510</v>
      </c>
      <c r="I659" s="13" t="s">
        <v>1015</v>
      </c>
      <c r="J659" s="13" t="s">
        <v>13649</v>
      </c>
      <c r="K659" s="13" t="s">
        <v>5510</v>
      </c>
      <c r="L659" s="13" t="s">
        <v>5510</v>
      </c>
      <c r="M659" s="13" t="s">
        <v>5513</v>
      </c>
      <c r="N659" s="13" t="s">
        <v>5514</v>
      </c>
      <c r="O659" s="13" t="s">
        <v>5510</v>
      </c>
      <c r="P659" s="13" t="s">
        <v>5510</v>
      </c>
      <c r="Q659" s="13" t="s">
        <v>5510</v>
      </c>
      <c r="R659" s="13" t="s">
        <v>5510</v>
      </c>
      <c r="S659" s="13" t="s">
        <v>5510</v>
      </c>
      <c r="T659" s="13" t="s">
        <v>17177</v>
      </c>
      <c r="U659" s="13" t="s">
        <v>17178</v>
      </c>
      <c r="V659" s="13" t="s">
        <v>17179</v>
      </c>
      <c r="W659" s="13" t="s">
        <v>17180</v>
      </c>
      <c r="X659" s="13" t="s">
        <v>17181</v>
      </c>
      <c r="Y659" s="13" t="s">
        <v>17182</v>
      </c>
      <c r="Z659" s="13" t="s">
        <v>17183</v>
      </c>
      <c r="AA659" s="13" t="s">
        <v>17184</v>
      </c>
      <c r="AB659" s="13" t="s">
        <v>17185</v>
      </c>
      <c r="AC659" s="13" t="s">
        <v>17186</v>
      </c>
      <c r="AD659" s="13" t="s">
        <v>17187</v>
      </c>
      <c r="AE659" s="13" t="s">
        <v>17188</v>
      </c>
      <c r="AF659" s="13" t="s">
        <v>5510</v>
      </c>
      <c r="AG659" s="13">
        <v>30.0</v>
      </c>
      <c r="AH659" s="13">
        <v>25.0</v>
      </c>
      <c r="AI659" s="13">
        <v>29.0</v>
      </c>
      <c r="AJ659" s="13">
        <v>0.0</v>
      </c>
      <c r="AK659" s="13">
        <v>81.0</v>
      </c>
      <c r="AL659" s="13" t="s">
        <v>5690</v>
      </c>
      <c r="AM659" s="13" t="s">
        <v>5691</v>
      </c>
      <c r="AN659" s="13" t="s">
        <v>5692</v>
      </c>
      <c r="AO659" s="13" t="s">
        <v>13661</v>
      </c>
      <c r="AP659" s="13" t="s">
        <v>13662</v>
      </c>
      <c r="AQ659" s="13" t="s">
        <v>5510</v>
      </c>
      <c r="AR659" s="13" t="s">
        <v>13649</v>
      </c>
      <c r="AS659" s="13" t="s">
        <v>1016</v>
      </c>
      <c r="AT659" s="13" t="s">
        <v>5582</v>
      </c>
      <c r="AU659" s="13">
        <v>2019.0</v>
      </c>
      <c r="AV659" s="13">
        <v>827.0</v>
      </c>
      <c r="AW659" s="13">
        <v>1.0</v>
      </c>
      <c r="AX659" s="13" t="s">
        <v>5510</v>
      </c>
      <c r="AY659" s="13" t="s">
        <v>5510</v>
      </c>
      <c r="AZ659" s="13" t="s">
        <v>5510</v>
      </c>
      <c r="BA659" s="13" t="s">
        <v>5510</v>
      </c>
      <c r="BB659" s="13">
        <v>21.0</v>
      </c>
      <c r="BC659" s="13">
        <v>29.0</v>
      </c>
      <c r="BD659" s="13" t="s">
        <v>5510</v>
      </c>
      <c r="BE659" s="13" t="s">
        <v>17189</v>
      </c>
      <c r="BF659" s="52" t="str">
        <f>HYPERLINK("http://dx.doi.org/10.1007/s10750-017-3341-x","http://dx.doi.org/10.1007/s10750-017-3341-x")</f>
        <v>http://dx.doi.org/10.1007/s10750-017-3341-x</v>
      </c>
      <c r="BG659" s="13" t="s">
        <v>5510</v>
      </c>
      <c r="BH659" s="13" t="s">
        <v>5510</v>
      </c>
      <c r="BI659" s="13">
        <v>9.0</v>
      </c>
      <c r="BJ659" s="13" t="s">
        <v>6508</v>
      </c>
      <c r="BK659" s="13" t="s">
        <v>5561</v>
      </c>
      <c r="BL659" s="13" t="s">
        <v>6508</v>
      </c>
      <c r="BM659" s="13" t="s">
        <v>17190</v>
      </c>
      <c r="BN659" s="13" t="s">
        <v>5510</v>
      </c>
      <c r="BO659" s="13" t="s">
        <v>5510</v>
      </c>
      <c r="BP659" s="13" t="s">
        <v>5510</v>
      </c>
      <c r="BQ659" s="13" t="s">
        <v>5510</v>
      </c>
      <c r="BR659" s="13" t="s">
        <v>5538</v>
      </c>
      <c r="BS659" s="13" t="s">
        <v>17191</v>
      </c>
      <c r="BT659" s="13">
        <v>24548.0</v>
      </c>
      <c r="BU659" s="13" t="s">
        <v>5540</v>
      </c>
      <c r="BV659" s="13" t="s">
        <v>4856</v>
      </c>
      <c r="BW659" s="13" t="str">
        <f>VLOOKUP($BT659,Enriched!$A$2:$E$1070,5,false)</f>
        <v>["Agriculture &amp; Aquaculture", "Residential &amp; Commercial Development"]</v>
      </c>
      <c r="BX659" s="13" t="str">
        <f>VLOOKUP($BT659,Enriched!$A$2:$E$1070,4,false)</f>
        <v>["Marine &amp; freshwater aquaculture"]</v>
      </c>
      <c r="BY659" s="13" t="b">
        <f>VLOOKUP(BT659,Enriched!$A$1:$AA$1070,27,falsE)</f>
        <v>1</v>
      </c>
      <c r="BZ659" s="2" t="str">
        <f>VLOOKUP(BT659,Enriched!$A$1:$AA$1070,14,falsE)</f>
        <v>level1</v>
      </c>
      <c r="CA659" s="13" t="str">
        <f>HYPERLINK("https%3A%2F%2Fwww.webofscience.com%2Fwos%2Fwoscc%2Ffull-record%2FWOS:000451426200003","View Full Record in Web of Science")</f>
        <v>View Full Record in Web of Science</v>
      </c>
    </row>
    <row r="660" ht="12.75" customHeight="1">
      <c r="A660" s="13" t="s">
        <v>5508</v>
      </c>
      <c r="B660" s="13" t="s">
        <v>17192</v>
      </c>
      <c r="C660" s="13" t="s">
        <v>5510</v>
      </c>
      <c r="D660" s="13" t="s">
        <v>5510</v>
      </c>
      <c r="E660" s="13" t="s">
        <v>5510</v>
      </c>
      <c r="F660" s="13" t="s">
        <v>17193</v>
      </c>
      <c r="G660" s="13" t="s">
        <v>5510</v>
      </c>
      <c r="H660" s="13" t="s">
        <v>5510</v>
      </c>
      <c r="I660" s="13" t="s">
        <v>1012</v>
      </c>
      <c r="J660" s="13" t="s">
        <v>8964</v>
      </c>
      <c r="K660" s="13" t="s">
        <v>5510</v>
      </c>
      <c r="L660" s="13" t="s">
        <v>5510</v>
      </c>
      <c r="M660" s="13" t="s">
        <v>5513</v>
      </c>
      <c r="N660" s="13" t="s">
        <v>5514</v>
      </c>
      <c r="O660" s="13" t="s">
        <v>5510</v>
      </c>
      <c r="P660" s="13" t="s">
        <v>5510</v>
      </c>
      <c r="Q660" s="13" t="s">
        <v>5510</v>
      </c>
      <c r="R660" s="13" t="s">
        <v>5510</v>
      </c>
      <c r="S660" s="13" t="s">
        <v>5510</v>
      </c>
      <c r="T660" s="13" t="s">
        <v>17194</v>
      </c>
      <c r="U660" s="13" t="s">
        <v>17195</v>
      </c>
      <c r="V660" s="13" t="s">
        <v>17196</v>
      </c>
      <c r="W660" s="13" t="s">
        <v>17197</v>
      </c>
      <c r="X660" s="13" t="s">
        <v>17198</v>
      </c>
      <c r="Y660" s="13" t="s">
        <v>17199</v>
      </c>
      <c r="Z660" s="13" t="s">
        <v>17200</v>
      </c>
      <c r="AA660" s="13" t="s">
        <v>17201</v>
      </c>
      <c r="AB660" s="13" t="s">
        <v>17202</v>
      </c>
      <c r="AC660" s="13" t="s">
        <v>5510</v>
      </c>
      <c r="AD660" s="13" t="s">
        <v>5510</v>
      </c>
      <c r="AE660" s="13" t="s">
        <v>5510</v>
      </c>
      <c r="AF660" s="13" t="s">
        <v>5510</v>
      </c>
      <c r="AG660" s="13">
        <v>73.0</v>
      </c>
      <c r="AH660" s="13">
        <v>28.0</v>
      </c>
      <c r="AI660" s="13">
        <v>31.0</v>
      </c>
      <c r="AJ660" s="13">
        <v>2.0</v>
      </c>
      <c r="AK660" s="13">
        <v>61.0</v>
      </c>
      <c r="AL660" s="13" t="s">
        <v>7505</v>
      </c>
      <c r="AM660" s="13" t="s">
        <v>7506</v>
      </c>
      <c r="AN660" s="13" t="s">
        <v>7507</v>
      </c>
      <c r="AO660" s="13" t="s">
        <v>8973</v>
      </c>
      <c r="AP660" s="13" t="s">
        <v>8974</v>
      </c>
      <c r="AQ660" s="13" t="s">
        <v>5510</v>
      </c>
      <c r="AR660" s="13" t="s">
        <v>8975</v>
      </c>
      <c r="AS660" s="13" t="s">
        <v>8976</v>
      </c>
      <c r="AT660" s="13" t="s">
        <v>5510</v>
      </c>
      <c r="AU660" s="13">
        <v>2013.0</v>
      </c>
      <c r="AV660" s="13">
        <v>78.0</v>
      </c>
      <c r="AW660" s="13">
        <v>5.0</v>
      </c>
      <c r="AX660" s="13" t="s">
        <v>5510</v>
      </c>
      <c r="AY660" s="13" t="s">
        <v>5510</v>
      </c>
      <c r="AZ660" s="13" t="s">
        <v>5510</v>
      </c>
      <c r="BA660" s="13" t="s">
        <v>5510</v>
      </c>
      <c r="BB660" s="13">
        <v>344.0</v>
      </c>
      <c r="BC660" s="13">
        <v>350.0</v>
      </c>
      <c r="BD660" s="13" t="s">
        <v>5510</v>
      </c>
      <c r="BE660" s="13" t="s">
        <v>17203</v>
      </c>
      <c r="BF660" s="52" t="str">
        <f>HYPERLINK("http://dx.doi.org/10.1016/j.mambio.2013.04.005","http://dx.doi.org/10.1016/j.mambio.2013.04.005")</f>
        <v>http://dx.doi.org/10.1016/j.mambio.2013.04.005</v>
      </c>
      <c r="BG660" s="13" t="s">
        <v>5510</v>
      </c>
      <c r="BH660" s="13" t="s">
        <v>5510</v>
      </c>
      <c r="BI660" s="13">
        <v>7.0</v>
      </c>
      <c r="BJ660" s="13" t="s">
        <v>6899</v>
      </c>
      <c r="BK660" s="13" t="s">
        <v>5561</v>
      </c>
      <c r="BL660" s="13" t="s">
        <v>6899</v>
      </c>
      <c r="BM660" s="13" t="s">
        <v>17204</v>
      </c>
      <c r="BN660" s="13" t="s">
        <v>5510</v>
      </c>
      <c r="BO660" s="13" t="s">
        <v>5510</v>
      </c>
      <c r="BP660" s="13" t="s">
        <v>5510</v>
      </c>
      <c r="BQ660" s="13" t="s">
        <v>5510</v>
      </c>
      <c r="BR660" s="13" t="s">
        <v>5538</v>
      </c>
      <c r="BS660" s="13" t="s">
        <v>17205</v>
      </c>
      <c r="BT660" s="13">
        <v>23530.0</v>
      </c>
      <c r="BU660" s="13" t="s">
        <v>5540</v>
      </c>
      <c r="BV660" s="13" t="s">
        <v>4856</v>
      </c>
      <c r="BW660" s="13" t="str">
        <f>VLOOKUP($BT660,Enriched!$A$2:$E$1070,5,false)</f>
        <v>["Agriculture &amp; Aquaculture", "Invasive &amp; Other Problematic Species, Genes &amp; Diseases"]</v>
      </c>
      <c r="BX660" s="13" t="str">
        <f>VLOOKUP($BT660,Enriched!$A$2:$E$1070,4,false)</f>
        <v>["Livestock farming &amp; ranching", "Invasive non-native/alien species/diseases"]</v>
      </c>
      <c r="BY660" s="13" t="b">
        <f>VLOOKUP(BT660,Enriched!$A$1:$AA$1070,27,falsE)</f>
        <v>0</v>
      </c>
      <c r="BZ660" s="2" t="str">
        <f>VLOOKUP(BT660,Enriched!$A$1:$AA$1070,14,falsE)</f>
        <v>level2</v>
      </c>
      <c r="CA660" s="13" t="str">
        <f>HYPERLINK("https%3A%2F%2Fwww.webofscience.com%2Fwos%2Fwoscc%2Ffull-record%2FWOS:000323534000005","View Full Record in Web of Science")</f>
        <v>View Full Record in Web of Science</v>
      </c>
    </row>
    <row r="661" ht="12.75" customHeight="1">
      <c r="A661" s="13" t="s">
        <v>5508</v>
      </c>
      <c r="B661" s="13" t="s">
        <v>17206</v>
      </c>
      <c r="C661" s="13" t="s">
        <v>5510</v>
      </c>
      <c r="D661" s="13" t="s">
        <v>5510</v>
      </c>
      <c r="E661" s="13" t="s">
        <v>5510</v>
      </c>
      <c r="F661" s="13" t="s">
        <v>17207</v>
      </c>
      <c r="G661" s="13" t="s">
        <v>5510</v>
      </c>
      <c r="H661" s="13" t="s">
        <v>5510</v>
      </c>
      <c r="I661" s="13" t="s">
        <v>1009</v>
      </c>
      <c r="J661" s="13" t="s">
        <v>6333</v>
      </c>
      <c r="K661" s="13" t="s">
        <v>5510</v>
      </c>
      <c r="L661" s="13" t="s">
        <v>5510</v>
      </c>
      <c r="M661" s="13" t="s">
        <v>5513</v>
      </c>
      <c r="N661" s="13" t="s">
        <v>5514</v>
      </c>
      <c r="O661" s="13" t="s">
        <v>5510</v>
      </c>
      <c r="P661" s="13" t="s">
        <v>5510</v>
      </c>
      <c r="Q661" s="13" t="s">
        <v>5510</v>
      </c>
      <c r="R661" s="13" t="s">
        <v>5510</v>
      </c>
      <c r="S661" s="13" t="s">
        <v>5510</v>
      </c>
      <c r="T661" s="13" t="s">
        <v>17208</v>
      </c>
      <c r="U661" s="13" t="s">
        <v>17209</v>
      </c>
      <c r="V661" s="13" t="s">
        <v>17210</v>
      </c>
      <c r="W661" s="13" t="s">
        <v>17211</v>
      </c>
      <c r="X661" s="13" t="s">
        <v>17212</v>
      </c>
      <c r="Y661" s="13" t="s">
        <v>17213</v>
      </c>
      <c r="Z661" s="13" t="s">
        <v>17214</v>
      </c>
      <c r="AA661" s="13" t="s">
        <v>5510</v>
      </c>
      <c r="AB661" s="13" t="s">
        <v>17215</v>
      </c>
      <c r="AC661" s="13" t="s">
        <v>17216</v>
      </c>
      <c r="AD661" s="13" t="s">
        <v>17217</v>
      </c>
      <c r="AE661" s="13" t="s">
        <v>17218</v>
      </c>
      <c r="AF661" s="13" t="s">
        <v>5510</v>
      </c>
      <c r="AG661" s="13">
        <v>43.0</v>
      </c>
      <c r="AH661" s="13">
        <v>26.0</v>
      </c>
      <c r="AI661" s="13">
        <v>31.0</v>
      </c>
      <c r="AJ661" s="13">
        <v>0.0</v>
      </c>
      <c r="AK661" s="13">
        <v>36.0</v>
      </c>
      <c r="AL661" s="13" t="s">
        <v>5527</v>
      </c>
      <c r="AM661" s="13" t="s">
        <v>5528</v>
      </c>
      <c r="AN661" s="13" t="s">
        <v>5529</v>
      </c>
      <c r="AO661" s="13" t="s">
        <v>6342</v>
      </c>
      <c r="AP661" s="13" t="s">
        <v>6343</v>
      </c>
      <c r="AQ661" s="13" t="s">
        <v>5510</v>
      </c>
      <c r="AR661" s="13" t="s">
        <v>6344</v>
      </c>
      <c r="AS661" s="13" t="s">
        <v>6345</v>
      </c>
      <c r="AT661" s="13" t="s">
        <v>5720</v>
      </c>
      <c r="AU661" s="13">
        <v>2011.0</v>
      </c>
      <c r="AV661" s="13">
        <v>25.0</v>
      </c>
      <c r="AW661" s="13">
        <v>3.0</v>
      </c>
      <c r="AX661" s="13" t="s">
        <v>5510</v>
      </c>
      <c r="AY661" s="13" t="s">
        <v>5510</v>
      </c>
      <c r="AZ661" s="13" t="s">
        <v>5510</v>
      </c>
      <c r="BA661" s="13" t="s">
        <v>5510</v>
      </c>
      <c r="BB661" s="13">
        <v>514.0</v>
      </c>
      <c r="BC661" s="13">
        <v>525.0</v>
      </c>
      <c r="BD661" s="13" t="s">
        <v>5510</v>
      </c>
      <c r="BE661" s="13" t="s">
        <v>17219</v>
      </c>
      <c r="BF661" s="52" t="str">
        <f>HYPERLINK("http://dx.doi.org/10.1111/j.1523-1739.2011.01660.x","http://dx.doi.org/10.1111/j.1523-1739.2011.01660.x")</f>
        <v>http://dx.doi.org/10.1111/j.1523-1739.2011.01660.x</v>
      </c>
      <c r="BG661" s="13" t="s">
        <v>5510</v>
      </c>
      <c r="BH661" s="13" t="s">
        <v>5510</v>
      </c>
      <c r="BI661" s="13">
        <v>12.0</v>
      </c>
      <c r="BJ661" s="13" t="s">
        <v>5698</v>
      </c>
      <c r="BK661" s="13" t="s">
        <v>5561</v>
      </c>
      <c r="BL661" s="13" t="s">
        <v>5699</v>
      </c>
      <c r="BM661" s="13" t="s">
        <v>17220</v>
      </c>
      <c r="BN661" s="13">
        <v>2.1453363E7</v>
      </c>
      <c r="BO661" s="13" t="s">
        <v>5510</v>
      </c>
      <c r="BP661" s="13" t="s">
        <v>5510</v>
      </c>
      <c r="BQ661" s="13" t="s">
        <v>5510</v>
      </c>
      <c r="BR661" s="13" t="s">
        <v>5538</v>
      </c>
      <c r="BS661" s="13" t="s">
        <v>17221</v>
      </c>
      <c r="BT661" s="13">
        <v>24822.0</v>
      </c>
      <c r="BU661" s="13" t="s">
        <v>5540</v>
      </c>
      <c r="BV661" s="13" t="s">
        <v>4856</v>
      </c>
      <c r="BW661" s="13" t="str">
        <f>VLOOKUP($BT661,Enriched!$A$2:$E$1070,5,false)</f>
        <v>["Biological resource use"]</v>
      </c>
      <c r="BX661" s="13" t="str">
        <f>VLOOKUP($BT661,Enriched!$A$2:$E$1070,4,false)</f>
        <v>["Hunting &amp; collecting terrestrial animals"]</v>
      </c>
      <c r="BY661" s="13" t="b">
        <f>VLOOKUP(BT661,Enriched!$A$1:$AA$1070,27,falsE)</f>
        <v>0</v>
      </c>
      <c r="BZ661" s="2" t="str">
        <f>VLOOKUP(BT661,Enriched!$A$1:$AA$1070,14,falsE)</f>
        <v>level2</v>
      </c>
      <c r="CA661" s="13" t="str">
        <f>HYPERLINK("https%3A%2F%2Fwww.webofscience.com%2Fwos%2Fwoscc%2Ffull-record%2FWOS:000290491700014","View Full Record in Web of Science")</f>
        <v>View Full Record in Web of Science</v>
      </c>
    </row>
    <row r="662" ht="12.75" customHeight="1">
      <c r="A662" s="13" t="s">
        <v>5508</v>
      </c>
      <c r="B662" s="13" t="s">
        <v>17222</v>
      </c>
      <c r="C662" s="13" t="s">
        <v>5510</v>
      </c>
      <c r="D662" s="13" t="s">
        <v>5510</v>
      </c>
      <c r="E662" s="13" t="s">
        <v>5510</v>
      </c>
      <c r="F662" s="13" t="s">
        <v>17223</v>
      </c>
      <c r="G662" s="13" t="s">
        <v>5510</v>
      </c>
      <c r="H662" s="13" t="s">
        <v>5510</v>
      </c>
      <c r="I662" s="13" t="s">
        <v>1005</v>
      </c>
      <c r="J662" s="13" t="s">
        <v>17224</v>
      </c>
      <c r="K662" s="13" t="s">
        <v>5510</v>
      </c>
      <c r="L662" s="13" t="s">
        <v>5510</v>
      </c>
      <c r="M662" s="13" t="s">
        <v>5513</v>
      </c>
      <c r="N662" s="13" t="s">
        <v>5514</v>
      </c>
      <c r="O662" s="13" t="s">
        <v>5510</v>
      </c>
      <c r="P662" s="13" t="s">
        <v>5510</v>
      </c>
      <c r="Q662" s="13" t="s">
        <v>5510</v>
      </c>
      <c r="R662" s="13" t="s">
        <v>5510</v>
      </c>
      <c r="S662" s="13" t="s">
        <v>5510</v>
      </c>
      <c r="T662" s="13" t="s">
        <v>17225</v>
      </c>
      <c r="U662" s="13" t="s">
        <v>17226</v>
      </c>
      <c r="V662" s="13" t="s">
        <v>17227</v>
      </c>
      <c r="W662" s="13" t="s">
        <v>17228</v>
      </c>
      <c r="X662" s="13" t="s">
        <v>17229</v>
      </c>
      <c r="Y662" s="13" t="s">
        <v>17230</v>
      </c>
      <c r="Z662" s="13" t="s">
        <v>17231</v>
      </c>
      <c r="AA662" s="13" t="s">
        <v>5510</v>
      </c>
      <c r="AB662" s="13" t="s">
        <v>5510</v>
      </c>
      <c r="AC662" s="13" t="s">
        <v>5510</v>
      </c>
      <c r="AD662" s="13" t="s">
        <v>5510</v>
      </c>
      <c r="AE662" s="13" t="s">
        <v>5510</v>
      </c>
      <c r="AF662" s="13" t="s">
        <v>5510</v>
      </c>
      <c r="AG662" s="13">
        <v>49.0</v>
      </c>
      <c r="AH662" s="13">
        <v>15.0</v>
      </c>
      <c r="AI662" s="13">
        <v>27.0</v>
      </c>
      <c r="AJ662" s="13">
        <v>3.0</v>
      </c>
      <c r="AK662" s="13">
        <v>83.0</v>
      </c>
      <c r="AL662" s="13" t="s">
        <v>5690</v>
      </c>
      <c r="AM662" s="13" t="s">
        <v>6503</v>
      </c>
      <c r="AN662" s="13" t="s">
        <v>7040</v>
      </c>
      <c r="AO662" s="13" t="s">
        <v>17232</v>
      </c>
      <c r="AP662" s="13" t="s">
        <v>17233</v>
      </c>
      <c r="AQ662" s="13" t="s">
        <v>5510</v>
      </c>
      <c r="AR662" s="13" t="s">
        <v>17234</v>
      </c>
      <c r="AS662" s="13" t="s">
        <v>17235</v>
      </c>
      <c r="AT662" s="13" t="s">
        <v>2514</v>
      </c>
      <c r="AU662" s="13">
        <v>2018.0</v>
      </c>
      <c r="AV662" s="13">
        <v>28.0</v>
      </c>
      <c r="AW662" s="13">
        <v>5.0</v>
      </c>
      <c r="AX662" s="13" t="s">
        <v>5510</v>
      </c>
      <c r="AY662" s="13" t="s">
        <v>5510</v>
      </c>
      <c r="AZ662" s="13" t="s">
        <v>5510</v>
      </c>
      <c r="BA662" s="13" t="s">
        <v>5510</v>
      </c>
      <c r="BB662" s="13">
        <v>894.0</v>
      </c>
      <c r="BC662" s="13">
        <v>906.0</v>
      </c>
      <c r="BD662" s="13" t="s">
        <v>5510</v>
      </c>
      <c r="BE662" s="13" t="s">
        <v>17236</v>
      </c>
      <c r="BF662" s="52" t="str">
        <f>HYPERLINK("http://dx.doi.org/10.1007/s11769-018-0971-5","http://dx.doi.org/10.1007/s11769-018-0971-5")</f>
        <v>http://dx.doi.org/10.1007/s11769-018-0971-5</v>
      </c>
      <c r="BG662" s="13" t="s">
        <v>5510</v>
      </c>
      <c r="BH662" s="13" t="s">
        <v>5510</v>
      </c>
      <c r="BI662" s="13">
        <v>13.0</v>
      </c>
      <c r="BJ662" s="13" t="s">
        <v>5768</v>
      </c>
      <c r="BK662" s="13" t="s">
        <v>5561</v>
      </c>
      <c r="BL662" s="13" t="s">
        <v>5535</v>
      </c>
      <c r="BM662" s="13" t="s">
        <v>17237</v>
      </c>
      <c r="BN662" s="13" t="s">
        <v>5510</v>
      </c>
      <c r="BO662" s="13" t="s">
        <v>5510</v>
      </c>
      <c r="BP662" s="13" t="s">
        <v>5510</v>
      </c>
      <c r="BQ662" s="13" t="s">
        <v>5510</v>
      </c>
      <c r="BR662" s="13" t="s">
        <v>5538</v>
      </c>
      <c r="BS662" s="13" t="s">
        <v>17238</v>
      </c>
      <c r="BT662" s="13">
        <v>24590.0</v>
      </c>
      <c r="BU662" s="13" t="s">
        <v>5540</v>
      </c>
      <c r="BV662" s="13" t="s">
        <v>4856</v>
      </c>
      <c r="BW662" s="13" t="str">
        <f>VLOOKUP($BT662,Enriched!$A$2:$E$1070,5,false)</f>
        <v>["Agriculture &amp; Aquaculture", "Residential &amp; commercial development"]</v>
      </c>
      <c r="BX662" s="13" t="str">
        <f>VLOOKUP($BT662,Enriched!$A$2:$E$1070,4,false)</f>
        <v>["Annual &amp; perennial non-timber crops"]</v>
      </c>
      <c r="BY662" s="13" t="b">
        <f>VLOOKUP(BT662,Enriched!$A$1:$AA$1070,27,falsE)</f>
        <v>1</v>
      </c>
      <c r="BZ662" s="2" t="str">
        <f>VLOOKUP(BT662,Enriched!$A$1:$AA$1070,14,falsE)</f>
        <v>level1</v>
      </c>
      <c r="CA662" s="13" t="str">
        <f>HYPERLINK("https%3A%2F%2Fwww.webofscience.com%2Fwos%2Fwoscc%2Ffull-record%2FWOS:000443980500013","View Full Record in Web of Science")</f>
        <v>View Full Record in Web of Science</v>
      </c>
    </row>
    <row r="663" ht="12.75" customHeight="1">
      <c r="A663" s="13" t="s">
        <v>5508</v>
      </c>
      <c r="B663" s="13" t="s">
        <v>17239</v>
      </c>
      <c r="C663" s="13" t="s">
        <v>5510</v>
      </c>
      <c r="D663" s="13" t="s">
        <v>5510</v>
      </c>
      <c r="E663" s="13" t="s">
        <v>5510</v>
      </c>
      <c r="F663" s="13" t="s">
        <v>17240</v>
      </c>
      <c r="G663" s="13" t="s">
        <v>5510</v>
      </c>
      <c r="H663" s="13" t="s">
        <v>5510</v>
      </c>
      <c r="I663" s="13" t="s">
        <v>1001</v>
      </c>
      <c r="J663" s="13" t="s">
        <v>8185</v>
      </c>
      <c r="K663" s="13" t="s">
        <v>5510</v>
      </c>
      <c r="L663" s="13" t="s">
        <v>5510</v>
      </c>
      <c r="M663" s="13" t="s">
        <v>5513</v>
      </c>
      <c r="N663" s="13" t="s">
        <v>5514</v>
      </c>
      <c r="O663" s="13" t="s">
        <v>5510</v>
      </c>
      <c r="P663" s="13" t="s">
        <v>5510</v>
      </c>
      <c r="Q663" s="13" t="s">
        <v>5510</v>
      </c>
      <c r="R663" s="13" t="s">
        <v>5510</v>
      </c>
      <c r="S663" s="13" t="s">
        <v>5510</v>
      </c>
      <c r="T663" s="13" t="s">
        <v>17241</v>
      </c>
      <c r="U663" s="13" t="s">
        <v>17242</v>
      </c>
      <c r="V663" s="13" t="s">
        <v>17243</v>
      </c>
      <c r="W663" s="13" t="s">
        <v>17244</v>
      </c>
      <c r="X663" s="13" t="s">
        <v>17245</v>
      </c>
      <c r="Y663" s="13" t="s">
        <v>17246</v>
      </c>
      <c r="Z663" s="13" t="s">
        <v>17247</v>
      </c>
      <c r="AA663" s="13" t="s">
        <v>5510</v>
      </c>
      <c r="AB663" s="13" t="s">
        <v>17248</v>
      </c>
      <c r="AC663" s="13" t="s">
        <v>17249</v>
      </c>
      <c r="AD663" s="13" t="s">
        <v>17250</v>
      </c>
      <c r="AE663" s="13" t="s">
        <v>17251</v>
      </c>
      <c r="AF663" s="13" t="s">
        <v>5510</v>
      </c>
      <c r="AG663" s="13">
        <v>38.0</v>
      </c>
      <c r="AH663" s="13">
        <v>33.0</v>
      </c>
      <c r="AI663" s="13">
        <v>47.0</v>
      </c>
      <c r="AJ663" s="13">
        <v>1.0</v>
      </c>
      <c r="AK663" s="13">
        <v>119.0</v>
      </c>
      <c r="AL663" s="13" t="s">
        <v>5527</v>
      </c>
      <c r="AM663" s="13" t="s">
        <v>5528</v>
      </c>
      <c r="AN663" s="13" t="s">
        <v>5529</v>
      </c>
      <c r="AO663" s="13" t="s">
        <v>8194</v>
      </c>
      <c r="AP663" s="13" t="s">
        <v>8195</v>
      </c>
      <c r="AQ663" s="13" t="s">
        <v>5510</v>
      </c>
      <c r="AR663" s="13" t="s">
        <v>8196</v>
      </c>
      <c r="AS663" s="13" t="s">
        <v>8197</v>
      </c>
      <c r="AT663" s="13" t="s">
        <v>5667</v>
      </c>
      <c r="AU663" s="13">
        <v>2013.0</v>
      </c>
      <c r="AV663" s="13">
        <v>77.0</v>
      </c>
      <c r="AW663" s="13">
        <v>5.0</v>
      </c>
      <c r="AX663" s="13" t="s">
        <v>5510</v>
      </c>
      <c r="AY663" s="13" t="s">
        <v>5510</v>
      </c>
      <c r="AZ663" s="13" t="s">
        <v>5510</v>
      </c>
      <c r="BA663" s="13" t="s">
        <v>5510</v>
      </c>
      <c r="BB663" s="13">
        <v>877.0</v>
      </c>
      <c r="BC663" s="13">
        <v>885.0</v>
      </c>
      <c r="BD663" s="13" t="s">
        <v>5510</v>
      </c>
      <c r="BE663" s="13" t="s">
        <v>17252</v>
      </c>
      <c r="BF663" s="52" t="str">
        <f>HYPERLINK("http://dx.doi.org/10.1002/jwmg.538","http://dx.doi.org/10.1002/jwmg.538")</f>
        <v>http://dx.doi.org/10.1002/jwmg.538</v>
      </c>
      <c r="BG663" s="13" t="s">
        <v>5510</v>
      </c>
      <c r="BH663" s="13" t="s">
        <v>5510</v>
      </c>
      <c r="BI663" s="13">
        <v>9.0</v>
      </c>
      <c r="BJ663" s="13" t="s">
        <v>5584</v>
      </c>
      <c r="BK663" s="13" t="s">
        <v>5561</v>
      </c>
      <c r="BL663" s="13" t="s">
        <v>5585</v>
      </c>
      <c r="BM663" s="13" t="s">
        <v>17253</v>
      </c>
      <c r="BN663" s="13" t="s">
        <v>5510</v>
      </c>
      <c r="BO663" s="13" t="s">
        <v>5510</v>
      </c>
      <c r="BP663" s="13" t="s">
        <v>5510</v>
      </c>
      <c r="BQ663" s="13" t="s">
        <v>5510</v>
      </c>
      <c r="BR663" s="13" t="s">
        <v>5538</v>
      </c>
      <c r="BS663" s="13" t="s">
        <v>17254</v>
      </c>
      <c r="BT663" s="13">
        <v>25530.0</v>
      </c>
      <c r="BU663" s="13" t="s">
        <v>11683</v>
      </c>
      <c r="BV663" s="13" t="s">
        <v>4852</v>
      </c>
      <c r="BW663" s="13" t="str">
        <f>VLOOKUP($BT663,Enriched!$A$2:$E$1070,5,false)</f>
        <v>["Human Intrusions &amp; Disturbance"]</v>
      </c>
      <c r="BX663" s="13" t="str">
        <f>VLOOKUP($BT663,Enriched!$A$2:$E$1070,4,false)</f>
        <v>["Recreational activities"]</v>
      </c>
      <c r="BY663" s="13" t="b">
        <f>VLOOKUP(BT663,Enriched!$A$1:$AA$1070,27,falsE)</f>
        <v>0</v>
      </c>
      <c r="BZ663" s="2" t="str">
        <f>VLOOKUP(BT663,Enriched!$A$1:$AA$1070,14,falsE)</f>
        <v>level2</v>
      </c>
      <c r="CA663" s="13" t="str">
        <f>HYPERLINK("https%3A%2F%2Fwww.webofscience.com%2Fwos%2Fwoscc%2Ffull-record%2FWOS:000320937000003","View Full Record in Web of Science")</f>
        <v>View Full Record in Web of Science</v>
      </c>
    </row>
    <row r="664" ht="12.75" customHeight="1">
      <c r="A664" s="13" t="s">
        <v>5508</v>
      </c>
      <c r="B664" s="13" t="s">
        <v>17255</v>
      </c>
      <c r="C664" s="13" t="s">
        <v>5510</v>
      </c>
      <c r="D664" s="13" t="s">
        <v>5510</v>
      </c>
      <c r="E664" s="13" t="s">
        <v>5510</v>
      </c>
      <c r="F664" s="13" t="s">
        <v>17256</v>
      </c>
      <c r="G664" s="13" t="s">
        <v>5510</v>
      </c>
      <c r="H664" s="13" t="s">
        <v>5510</v>
      </c>
      <c r="I664" s="13" t="s">
        <v>17257</v>
      </c>
      <c r="J664" s="13" t="s">
        <v>5543</v>
      </c>
      <c r="K664" s="13" t="s">
        <v>5510</v>
      </c>
      <c r="L664" s="13" t="s">
        <v>5510</v>
      </c>
      <c r="M664" s="13" t="s">
        <v>5513</v>
      </c>
      <c r="N664" s="13" t="s">
        <v>5514</v>
      </c>
      <c r="O664" s="13" t="s">
        <v>5510</v>
      </c>
      <c r="P664" s="13" t="s">
        <v>5510</v>
      </c>
      <c r="Q664" s="13" t="s">
        <v>5510</v>
      </c>
      <c r="R664" s="13" t="s">
        <v>5510</v>
      </c>
      <c r="S664" s="13" t="s">
        <v>5510</v>
      </c>
      <c r="T664" s="13" t="s">
        <v>5510</v>
      </c>
      <c r="U664" s="13" t="s">
        <v>17258</v>
      </c>
      <c r="V664" s="13" t="s">
        <v>17259</v>
      </c>
      <c r="W664" s="13" t="s">
        <v>17260</v>
      </c>
      <c r="X664" s="13" t="s">
        <v>17261</v>
      </c>
      <c r="Y664" s="13" t="s">
        <v>17262</v>
      </c>
      <c r="Z664" s="13" t="s">
        <v>17263</v>
      </c>
      <c r="AA664" s="13" t="s">
        <v>17264</v>
      </c>
      <c r="AB664" s="13" t="s">
        <v>17265</v>
      </c>
      <c r="AC664" s="13" t="s">
        <v>17266</v>
      </c>
      <c r="AD664" s="13" t="s">
        <v>17266</v>
      </c>
      <c r="AE664" s="13" t="s">
        <v>17267</v>
      </c>
      <c r="AF664" s="13" t="s">
        <v>5510</v>
      </c>
      <c r="AG664" s="13">
        <v>66.0</v>
      </c>
      <c r="AH664" s="13">
        <v>34.0</v>
      </c>
      <c r="AI664" s="13">
        <v>39.0</v>
      </c>
      <c r="AJ664" s="13">
        <v>3.0</v>
      </c>
      <c r="AK664" s="13">
        <v>62.0</v>
      </c>
      <c r="AL664" s="13" t="s">
        <v>5552</v>
      </c>
      <c r="AM664" s="13" t="s">
        <v>5553</v>
      </c>
      <c r="AN664" s="13" t="s">
        <v>5554</v>
      </c>
      <c r="AO664" s="13" t="s">
        <v>5555</v>
      </c>
      <c r="AP664" s="13" t="s">
        <v>5510</v>
      </c>
      <c r="AQ664" s="13" t="s">
        <v>5510</v>
      </c>
      <c r="AR664" s="13" t="s">
        <v>5543</v>
      </c>
      <c r="AS664" s="13" t="s">
        <v>5556</v>
      </c>
      <c r="AT664" s="13" t="s">
        <v>9747</v>
      </c>
      <c r="AU664" s="13">
        <v>2014.0</v>
      </c>
      <c r="AV664" s="13">
        <v>9.0</v>
      </c>
      <c r="AW664" s="13">
        <v>8.0</v>
      </c>
      <c r="AX664" s="13" t="s">
        <v>5510</v>
      </c>
      <c r="AY664" s="13" t="s">
        <v>5510</v>
      </c>
      <c r="AZ664" s="13" t="s">
        <v>5510</v>
      </c>
      <c r="BA664" s="13" t="s">
        <v>5510</v>
      </c>
      <c r="BB664" s="13" t="s">
        <v>5510</v>
      </c>
      <c r="BC664" s="13" t="s">
        <v>5510</v>
      </c>
      <c r="BD664" s="13" t="s">
        <v>17268</v>
      </c>
      <c r="BE664" s="13" t="s">
        <v>17269</v>
      </c>
      <c r="BF664" s="52" t="str">
        <f>HYPERLINK("http://dx.doi.org/10.1371/journal.pone.0105472","http://dx.doi.org/10.1371/journal.pone.0105472")</f>
        <v>http://dx.doi.org/10.1371/journal.pone.0105472</v>
      </c>
      <c r="BG664" s="13" t="s">
        <v>5510</v>
      </c>
      <c r="BH664" s="13" t="s">
        <v>5510</v>
      </c>
      <c r="BI664" s="13">
        <v>9.0</v>
      </c>
      <c r="BJ664" s="13" t="s">
        <v>5560</v>
      </c>
      <c r="BK664" s="13" t="s">
        <v>5561</v>
      </c>
      <c r="BL664" s="13" t="s">
        <v>5562</v>
      </c>
      <c r="BM664" s="13" t="s">
        <v>17270</v>
      </c>
      <c r="BN664" s="13">
        <v>2.5126939E7</v>
      </c>
      <c r="BO664" s="13" t="s">
        <v>5564</v>
      </c>
      <c r="BP664" s="13" t="s">
        <v>5510</v>
      </c>
      <c r="BQ664" s="13" t="s">
        <v>5510</v>
      </c>
      <c r="BR664" s="13" t="s">
        <v>5538</v>
      </c>
      <c r="BS664" s="13" t="s">
        <v>17271</v>
      </c>
      <c r="BT664" s="13">
        <v>24612.0</v>
      </c>
      <c r="BU664" s="13" t="s">
        <v>5540</v>
      </c>
      <c r="BV664" s="13" t="s">
        <v>4856</v>
      </c>
      <c r="BW664" s="13" t="str">
        <f>VLOOKUP($BT664,Enriched!$A$2:$E$1070,5,false)</f>
        <v>["Agriculture &amp; Aquaculture"]</v>
      </c>
      <c r="BX664" s="13" t="str">
        <f>VLOOKUP($BT664,Enriched!$A$2:$E$1070,4,false)</f>
        <v>["Livestock farming &amp; ranching"]</v>
      </c>
      <c r="BY664" s="13" t="b">
        <f>VLOOKUP(BT664,Enriched!$A$1:$AA$1070,27,falsE)</f>
        <v>0</v>
      </c>
      <c r="BZ664" s="2" t="str">
        <f>VLOOKUP(BT664,Enriched!$A$1:$AA$1070,14,falsE)</f>
        <v>level1</v>
      </c>
      <c r="CA664" s="13" t="str">
        <f>HYPERLINK("https%3A%2F%2Fwww.webofscience.com%2Fwos%2Fwoscc%2Ffull-record%2FWOS:000340879300113","View Full Record in Web of Science")</f>
        <v>View Full Record in Web of Science</v>
      </c>
    </row>
    <row r="665" ht="12.75" customHeight="1">
      <c r="A665" s="13" t="s">
        <v>5508</v>
      </c>
      <c r="B665" s="13" t="s">
        <v>17272</v>
      </c>
      <c r="C665" s="13" t="s">
        <v>5510</v>
      </c>
      <c r="D665" s="13" t="s">
        <v>5510</v>
      </c>
      <c r="E665" s="13" t="s">
        <v>5510</v>
      </c>
      <c r="F665" s="13" t="s">
        <v>17273</v>
      </c>
      <c r="G665" s="13" t="s">
        <v>5510</v>
      </c>
      <c r="H665" s="13" t="s">
        <v>5510</v>
      </c>
      <c r="I665" s="13" t="s">
        <v>996</v>
      </c>
      <c r="J665" s="13" t="s">
        <v>6008</v>
      </c>
      <c r="K665" s="13" t="s">
        <v>5510</v>
      </c>
      <c r="L665" s="13" t="s">
        <v>5510</v>
      </c>
      <c r="M665" s="13" t="s">
        <v>5513</v>
      </c>
      <c r="N665" s="13" t="s">
        <v>5514</v>
      </c>
      <c r="O665" s="13" t="s">
        <v>5510</v>
      </c>
      <c r="P665" s="13" t="s">
        <v>5510</v>
      </c>
      <c r="Q665" s="13" t="s">
        <v>5510</v>
      </c>
      <c r="R665" s="13" t="s">
        <v>5510</v>
      </c>
      <c r="S665" s="13" t="s">
        <v>5510</v>
      </c>
      <c r="T665" s="13" t="s">
        <v>17274</v>
      </c>
      <c r="U665" s="13" t="s">
        <v>17275</v>
      </c>
      <c r="V665" s="13" t="s">
        <v>17276</v>
      </c>
      <c r="W665" s="13" t="s">
        <v>17277</v>
      </c>
      <c r="X665" s="13" t="s">
        <v>17278</v>
      </c>
      <c r="Y665" s="13" t="s">
        <v>17279</v>
      </c>
      <c r="Z665" s="13" t="s">
        <v>17280</v>
      </c>
      <c r="AA665" s="13" t="s">
        <v>17281</v>
      </c>
      <c r="AB665" s="13" t="s">
        <v>17282</v>
      </c>
      <c r="AC665" s="13" t="s">
        <v>17283</v>
      </c>
      <c r="AD665" s="13" t="s">
        <v>17284</v>
      </c>
      <c r="AE665" s="13" t="s">
        <v>17285</v>
      </c>
      <c r="AF665" s="13" t="s">
        <v>5510</v>
      </c>
      <c r="AG665" s="13">
        <v>77.0</v>
      </c>
      <c r="AH665" s="13">
        <v>41.0</v>
      </c>
      <c r="AI665" s="13">
        <v>52.0</v>
      </c>
      <c r="AJ665" s="13">
        <v>4.0</v>
      </c>
      <c r="AK665" s="13">
        <v>64.0</v>
      </c>
      <c r="AL665" s="13" t="s">
        <v>5527</v>
      </c>
      <c r="AM665" s="13" t="s">
        <v>5528</v>
      </c>
      <c r="AN665" s="13" t="s">
        <v>5529</v>
      </c>
      <c r="AO665" s="13" t="s">
        <v>6020</v>
      </c>
      <c r="AP665" s="13" t="s">
        <v>6021</v>
      </c>
      <c r="AQ665" s="13" t="s">
        <v>5510</v>
      </c>
      <c r="AR665" s="13" t="s">
        <v>6022</v>
      </c>
      <c r="AS665" s="13" t="s">
        <v>6023</v>
      </c>
      <c r="AT665" s="13" t="s">
        <v>1925</v>
      </c>
      <c r="AU665" s="13">
        <v>2018.0</v>
      </c>
      <c r="AV665" s="13">
        <v>28.0</v>
      </c>
      <c r="AW665" s="13">
        <v>6.0</v>
      </c>
      <c r="AX665" s="13" t="s">
        <v>5510</v>
      </c>
      <c r="AY665" s="13" t="s">
        <v>5510</v>
      </c>
      <c r="AZ665" s="13" t="s">
        <v>5510</v>
      </c>
      <c r="BA665" s="13" t="s">
        <v>5510</v>
      </c>
      <c r="BB665" s="13">
        <v>1554.0</v>
      </c>
      <c r="BC665" s="13">
        <v>1564.0</v>
      </c>
      <c r="BD665" s="13" t="s">
        <v>5510</v>
      </c>
      <c r="BE665" s="13" t="s">
        <v>17286</v>
      </c>
      <c r="BF665" s="52" t="str">
        <f>HYPERLINK("http://dx.doi.org/10.1002/eap.1741","http://dx.doi.org/10.1002/eap.1741")</f>
        <v>http://dx.doi.org/10.1002/eap.1741</v>
      </c>
      <c r="BG665" s="13" t="s">
        <v>5510</v>
      </c>
      <c r="BH665" s="13" t="s">
        <v>5510</v>
      </c>
      <c r="BI665" s="13">
        <v>11.0</v>
      </c>
      <c r="BJ665" s="13" t="s">
        <v>6026</v>
      </c>
      <c r="BK665" s="13" t="s">
        <v>5561</v>
      </c>
      <c r="BL665" s="13" t="s">
        <v>5535</v>
      </c>
      <c r="BM665" s="13" t="s">
        <v>17287</v>
      </c>
      <c r="BN665" s="13">
        <v>2.9729054E7</v>
      </c>
      <c r="BO665" s="13" t="s">
        <v>5510</v>
      </c>
      <c r="BP665" s="13" t="s">
        <v>5510</v>
      </c>
      <c r="BQ665" s="13" t="s">
        <v>5510</v>
      </c>
      <c r="BR665" s="13" t="s">
        <v>5538</v>
      </c>
      <c r="BS665" s="13" t="s">
        <v>17288</v>
      </c>
      <c r="BT665" s="13">
        <v>25349.0</v>
      </c>
      <c r="BU665" s="13" t="s">
        <v>5540</v>
      </c>
      <c r="BV665" s="13" t="s">
        <v>4852</v>
      </c>
      <c r="BW665" s="13" t="str">
        <f>VLOOKUP($BT665,Enriched!$A$2:$E$1070,5,false)</f>
        <v>["Agriculture &amp; Aquaculture", "Residential &amp; commercial development"]</v>
      </c>
      <c r="BX665" s="13" t="str">
        <f>VLOOKUP($BT665,Enriched!$A$2:$E$1070,4,false)</f>
        <v>[  "Wood &amp; pulp plantations"]</v>
      </c>
      <c r="BY665" s="13" t="b">
        <f>VLOOKUP(BT665,Enriched!$A$1:$AA$1070,27,falsE)</f>
        <v>1</v>
      </c>
      <c r="BZ665" s="2" t="str">
        <f>VLOOKUP(BT665,Enriched!$A$1:$AA$1070,14,falsE)</f>
        <v>level1</v>
      </c>
      <c r="CA665" s="13" t="str">
        <f>HYPERLINK("https%3A%2F%2Fwww.webofscience.com%2Fwos%2Fwoscc%2Ffull-record%2FWOS:000443555100015","View Full Record in Web of Science")</f>
        <v>View Full Record in Web of Science</v>
      </c>
    </row>
    <row r="666" ht="12.75" customHeight="1">
      <c r="A666" s="13" t="s">
        <v>5508</v>
      </c>
      <c r="B666" s="13" t="s">
        <v>17289</v>
      </c>
      <c r="C666" s="13" t="s">
        <v>5510</v>
      </c>
      <c r="D666" s="13" t="s">
        <v>5510</v>
      </c>
      <c r="E666" s="13" t="s">
        <v>5510</v>
      </c>
      <c r="F666" s="13" t="s">
        <v>17290</v>
      </c>
      <c r="G666" s="13" t="s">
        <v>5510</v>
      </c>
      <c r="H666" s="13" t="s">
        <v>5510</v>
      </c>
      <c r="I666" s="2" t="s">
        <v>994</v>
      </c>
      <c r="J666" s="13" t="s">
        <v>7990</v>
      </c>
      <c r="K666" s="13" t="s">
        <v>5510</v>
      </c>
      <c r="L666" s="13" t="s">
        <v>5510</v>
      </c>
      <c r="M666" s="13" t="s">
        <v>5513</v>
      </c>
      <c r="N666" s="13" t="s">
        <v>5514</v>
      </c>
      <c r="O666" s="13" t="s">
        <v>5510</v>
      </c>
      <c r="P666" s="13" t="s">
        <v>5510</v>
      </c>
      <c r="Q666" s="13" t="s">
        <v>5510</v>
      </c>
      <c r="R666" s="13" t="s">
        <v>5510</v>
      </c>
      <c r="S666" s="13" t="s">
        <v>5510</v>
      </c>
      <c r="T666" s="13" t="s">
        <v>17291</v>
      </c>
      <c r="U666" s="13" t="s">
        <v>17292</v>
      </c>
      <c r="V666" s="13" t="s">
        <v>17293</v>
      </c>
      <c r="W666" s="13" t="s">
        <v>17294</v>
      </c>
      <c r="X666" s="13" t="s">
        <v>17295</v>
      </c>
      <c r="Y666" s="13" t="s">
        <v>17296</v>
      </c>
      <c r="Z666" s="13" t="s">
        <v>17297</v>
      </c>
      <c r="AA666" s="13" t="s">
        <v>17298</v>
      </c>
      <c r="AB666" s="13" t="s">
        <v>17299</v>
      </c>
      <c r="AC666" s="13" t="s">
        <v>17300</v>
      </c>
      <c r="AD666" s="13" t="s">
        <v>17301</v>
      </c>
      <c r="AE666" s="13" t="s">
        <v>17302</v>
      </c>
      <c r="AF666" s="13" t="s">
        <v>5510</v>
      </c>
      <c r="AG666" s="13">
        <v>55.0</v>
      </c>
      <c r="AH666" s="13">
        <v>63.0</v>
      </c>
      <c r="AI666" s="13">
        <v>72.0</v>
      </c>
      <c r="AJ666" s="13">
        <v>3.0</v>
      </c>
      <c r="AK666" s="13">
        <v>88.0</v>
      </c>
      <c r="AL666" s="13" t="s">
        <v>8003</v>
      </c>
      <c r="AM666" s="13" t="s">
        <v>8004</v>
      </c>
      <c r="AN666" s="13" t="s">
        <v>8005</v>
      </c>
      <c r="AO666" s="13" t="s">
        <v>8006</v>
      </c>
      <c r="AP666" s="13" t="s">
        <v>8007</v>
      </c>
      <c r="AQ666" s="13" t="s">
        <v>5510</v>
      </c>
      <c r="AR666" s="13" t="s">
        <v>8008</v>
      </c>
      <c r="AS666" s="13" t="s">
        <v>8009</v>
      </c>
      <c r="AT666" s="13" t="s">
        <v>2738</v>
      </c>
      <c r="AU666" s="13">
        <v>2018.0</v>
      </c>
      <c r="AV666" s="13">
        <v>41.0</v>
      </c>
      <c r="AW666" s="13" t="s">
        <v>5510</v>
      </c>
      <c r="AX666" s="13" t="s">
        <v>5510</v>
      </c>
      <c r="AY666" s="13" t="s">
        <v>5510</v>
      </c>
      <c r="AZ666" s="13" t="s">
        <v>5510</v>
      </c>
      <c r="BA666" s="13" t="s">
        <v>5510</v>
      </c>
      <c r="BB666" s="13">
        <v>51.0</v>
      </c>
      <c r="BC666" s="13">
        <v>62.0</v>
      </c>
      <c r="BD666" s="13" t="s">
        <v>5510</v>
      </c>
      <c r="BE666" s="13" t="s">
        <v>17303</v>
      </c>
      <c r="BF666" s="52" t="str">
        <f>HYPERLINK("http://dx.doi.org/10.1016/j.jnc.2017.11.001","http://dx.doi.org/10.1016/j.jnc.2017.11.001")</f>
        <v>http://dx.doi.org/10.1016/j.jnc.2017.11.001</v>
      </c>
      <c r="BG666" s="13" t="s">
        <v>5510</v>
      </c>
      <c r="BH666" s="13" t="s">
        <v>5510</v>
      </c>
      <c r="BI666" s="13">
        <v>12.0</v>
      </c>
      <c r="BJ666" s="13" t="s">
        <v>5958</v>
      </c>
      <c r="BK666" s="13" t="s">
        <v>5561</v>
      </c>
      <c r="BL666" s="13" t="s">
        <v>5699</v>
      </c>
      <c r="BM666" s="13" t="s">
        <v>17304</v>
      </c>
      <c r="BN666" s="13" t="s">
        <v>5510</v>
      </c>
      <c r="BO666" s="13" t="s">
        <v>5587</v>
      </c>
      <c r="BP666" s="13" t="s">
        <v>5510</v>
      </c>
      <c r="BQ666" s="13" t="s">
        <v>5510</v>
      </c>
      <c r="BR666" s="13" t="s">
        <v>5538</v>
      </c>
      <c r="BS666" s="13" t="s">
        <v>17305</v>
      </c>
      <c r="BT666" s="13">
        <v>26068.0</v>
      </c>
      <c r="BU666" s="13" t="s">
        <v>5540</v>
      </c>
      <c r="BV666" s="13" t="s">
        <v>4856</v>
      </c>
      <c r="BW666" s="13" t="str">
        <f>VLOOKUP($BT666,Enriched!$A$2:$E$1070,5,false)</f>
        <v>["Biological Resource Use", "Residential &amp; Commercial Development"]</v>
      </c>
      <c r="BX666" s="13" t="str">
        <f>VLOOKUP($BT666,Enriched!$A$2:$E$1070,4,false)</f>
        <v>["Hunting &amp; collecting terrestrial animals", "Tourism &amp; recreation areas"]</v>
      </c>
      <c r="BY666" s="13" t="b">
        <f>VLOOKUP(BT666,Enriched!$A$1:$AA$1070,27,falsE)</f>
        <v>0</v>
      </c>
      <c r="BZ666" s="2" t="str">
        <f>VLOOKUP(BT666,Enriched!$A$1:$AA$1070,14,falsE)</f>
        <v>level2</v>
      </c>
      <c r="CA666" s="13" t="str">
        <f>HYPERLINK("https%3A%2F%2Fwww.webofscience.com%2Fwos%2Fwoscc%2Ffull-record%2FWOS:000425777300006","View Full Record in Web of Science")</f>
        <v>View Full Record in Web of Science</v>
      </c>
    </row>
    <row r="667" ht="12.75" customHeight="1">
      <c r="A667" s="13" t="s">
        <v>5508</v>
      </c>
      <c r="B667" s="13" t="s">
        <v>17306</v>
      </c>
      <c r="C667" s="13" t="s">
        <v>5510</v>
      </c>
      <c r="D667" s="13" t="s">
        <v>5510</v>
      </c>
      <c r="E667" s="13" t="s">
        <v>5510</v>
      </c>
      <c r="F667" s="13" t="s">
        <v>17307</v>
      </c>
      <c r="G667" s="13" t="s">
        <v>5510</v>
      </c>
      <c r="H667" s="13" t="s">
        <v>5510</v>
      </c>
      <c r="I667" s="13" t="s">
        <v>17308</v>
      </c>
      <c r="J667" s="13" t="s">
        <v>8582</v>
      </c>
      <c r="K667" s="13" t="s">
        <v>5510</v>
      </c>
      <c r="L667" s="13" t="s">
        <v>5510</v>
      </c>
      <c r="M667" s="13" t="s">
        <v>5513</v>
      </c>
      <c r="N667" s="13" t="s">
        <v>5514</v>
      </c>
      <c r="O667" s="13" t="s">
        <v>5510</v>
      </c>
      <c r="P667" s="13" t="s">
        <v>5510</v>
      </c>
      <c r="Q667" s="13" t="s">
        <v>5510</v>
      </c>
      <c r="R667" s="13" t="s">
        <v>5510</v>
      </c>
      <c r="S667" s="13" t="s">
        <v>5510</v>
      </c>
      <c r="T667" s="13" t="s">
        <v>17309</v>
      </c>
      <c r="U667" s="13" t="s">
        <v>17310</v>
      </c>
      <c r="V667" s="13" t="s">
        <v>17311</v>
      </c>
      <c r="W667" s="13" t="s">
        <v>17312</v>
      </c>
      <c r="X667" s="13" t="s">
        <v>17313</v>
      </c>
      <c r="Y667" s="13" t="s">
        <v>17314</v>
      </c>
      <c r="Z667" s="13" t="s">
        <v>17315</v>
      </c>
      <c r="AA667" s="13" t="s">
        <v>17316</v>
      </c>
      <c r="AB667" s="13" t="s">
        <v>17317</v>
      </c>
      <c r="AC667" s="13" t="s">
        <v>17318</v>
      </c>
      <c r="AD667" s="13" t="s">
        <v>17319</v>
      </c>
      <c r="AE667" s="13" t="s">
        <v>17320</v>
      </c>
      <c r="AF667" s="13" t="s">
        <v>5510</v>
      </c>
      <c r="AG667" s="13">
        <v>47.0</v>
      </c>
      <c r="AH667" s="13">
        <v>21.0</v>
      </c>
      <c r="AI667" s="13">
        <v>23.0</v>
      </c>
      <c r="AJ667" s="13">
        <v>0.0</v>
      </c>
      <c r="AK667" s="13">
        <v>53.0</v>
      </c>
      <c r="AL667" s="13" t="s">
        <v>5690</v>
      </c>
      <c r="AM667" s="13" t="s">
        <v>6503</v>
      </c>
      <c r="AN667" s="13" t="s">
        <v>7040</v>
      </c>
      <c r="AO667" s="13" t="s">
        <v>8592</v>
      </c>
      <c r="AP667" s="13" t="s">
        <v>5510</v>
      </c>
      <c r="AQ667" s="13" t="s">
        <v>5510</v>
      </c>
      <c r="AR667" s="13" t="s">
        <v>8594</v>
      </c>
      <c r="AS667" s="13" t="s">
        <v>8595</v>
      </c>
      <c r="AT667" s="13" t="s">
        <v>6828</v>
      </c>
      <c r="AU667" s="13">
        <v>2010.0</v>
      </c>
      <c r="AV667" s="13">
        <v>45.0</v>
      </c>
      <c r="AW667" s="13">
        <v>4.0</v>
      </c>
      <c r="AX667" s="13" t="s">
        <v>5510</v>
      </c>
      <c r="AY667" s="13" t="s">
        <v>5510</v>
      </c>
      <c r="AZ667" s="13" t="s">
        <v>5510</v>
      </c>
      <c r="BA667" s="13" t="s">
        <v>5510</v>
      </c>
      <c r="BB667" s="13">
        <v>739.0</v>
      </c>
      <c r="BC667" s="13">
        <v>750.0</v>
      </c>
      <c r="BD667" s="13" t="s">
        <v>5510</v>
      </c>
      <c r="BE667" s="13" t="s">
        <v>17321</v>
      </c>
      <c r="BF667" s="52" t="str">
        <f>HYPERLINK("http://dx.doi.org/10.1007/s00267-010-9451-0","http://dx.doi.org/10.1007/s00267-010-9451-0")</f>
        <v>http://dx.doi.org/10.1007/s00267-010-9451-0</v>
      </c>
      <c r="BG667" s="13" t="s">
        <v>5510</v>
      </c>
      <c r="BH667" s="13" t="s">
        <v>5510</v>
      </c>
      <c r="BI667" s="13">
        <v>12.0</v>
      </c>
      <c r="BJ667" s="13" t="s">
        <v>5768</v>
      </c>
      <c r="BK667" s="13" t="s">
        <v>5561</v>
      </c>
      <c r="BL667" s="13" t="s">
        <v>5535</v>
      </c>
      <c r="BM667" s="13" t="s">
        <v>17322</v>
      </c>
      <c r="BN667" s="13">
        <v>2.0204634E7</v>
      </c>
      <c r="BO667" s="13" t="s">
        <v>5510</v>
      </c>
      <c r="BP667" s="13" t="s">
        <v>5510</v>
      </c>
      <c r="BQ667" s="13" t="s">
        <v>5510</v>
      </c>
      <c r="BR667" s="13" t="s">
        <v>5538</v>
      </c>
      <c r="BS667" s="13" t="s">
        <v>17323</v>
      </c>
      <c r="BT667" s="13">
        <v>23836.0</v>
      </c>
      <c r="BU667" s="13" t="s">
        <v>5540</v>
      </c>
      <c r="BV667" s="13" t="s">
        <v>4864</v>
      </c>
      <c r="BW667" s="13" t="str">
        <f>VLOOKUP($BT667,Enriched!$A$2:$E$1070,5,false)</f>
        <v>["Biological resource use"]</v>
      </c>
      <c r="BX667" s="13" t="str">
        <f>VLOOKUP($BT667,Enriched!$A$2:$E$1070,4,false)</f>
        <v>["Fishing &amp; harvesting aquatic resources"]</v>
      </c>
      <c r="BY667" s="13" t="b">
        <f>VLOOKUP(BT667,Enriched!$A$1:$AA$1070,27,falsE)</f>
        <v>0</v>
      </c>
      <c r="BZ667" s="2" t="str">
        <f>VLOOKUP(BT667,Enriched!$A$1:$AA$1070,14,falsE)</f>
        <v>level2</v>
      </c>
      <c r="CA667" s="13" t="str">
        <f>HYPERLINK("https%3A%2F%2Fwww.webofscience.com%2Fwos%2Fwoscc%2Ffull-record%2FWOS:000276655100008","View Full Record in Web of Science")</f>
        <v>View Full Record in Web of Science</v>
      </c>
    </row>
    <row r="668" ht="12.75" customHeight="1">
      <c r="A668" s="13" t="s">
        <v>5508</v>
      </c>
      <c r="B668" s="13" t="s">
        <v>17324</v>
      </c>
      <c r="C668" s="13" t="s">
        <v>5510</v>
      </c>
      <c r="D668" s="13" t="s">
        <v>5510</v>
      </c>
      <c r="E668" s="13" t="s">
        <v>5510</v>
      </c>
      <c r="F668" s="13" t="s">
        <v>17325</v>
      </c>
      <c r="G668" s="13" t="s">
        <v>5510</v>
      </c>
      <c r="H668" s="13" t="s">
        <v>5510</v>
      </c>
      <c r="I668" s="13" t="s">
        <v>988</v>
      </c>
      <c r="J668" s="13" t="s">
        <v>17326</v>
      </c>
      <c r="K668" s="13" t="s">
        <v>5510</v>
      </c>
      <c r="L668" s="13" t="s">
        <v>5510</v>
      </c>
      <c r="M668" s="13" t="s">
        <v>5513</v>
      </c>
      <c r="N668" s="13" t="s">
        <v>5514</v>
      </c>
      <c r="O668" s="13" t="s">
        <v>5510</v>
      </c>
      <c r="P668" s="13" t="s">
        <v>5510</v>
      </c>
      <c r="Q668" s="13" t="s">
        <v>5510</v>
      </c>
      <c r="R668" s="13" t="s">
        <v>5510</v>
      </c>
      <c r="S668" s="13" t="s">
        <v>5510</v>
      </c>
      <c r="T668" s="13" t="s">
        <v>17327</v>
      </c>
      <c r="U668" s="13" t="s">
        <v>17328</v>
      </c>
      <c r="V668" s="13" t="s">
        <v>17329</v>
      </c>
      <c r="W668" s="13" t="s">
        <v>17330</v>
      </c>
      <c r="X668" s="13" t="s">
        <v>17331</v>
      </c>
      <c r="Y668" s="13" t="s">
        <v>17332</v>
      </c>
      <c r="Z668" s="13" t="s">
        <v>17333</v>
      </c>
      <c r="AA668" s="13" t="s">
        <v>17334</v>
      </c>
      <c r="AB668" s="13" t="s">
        <v>17335</v>
      </c>
      <c r="AC668" s="13" t="s">
        <v>17336</v>
      </c>
      <c r="AD668" s="13" t="s">
        <v>17337</v>
      </c>
      <c r="AE668" s="13" t="s">
        <v>17336</v>
      </c>
      <c r="AF668" s="13" t="s">
        <v>5510</v>
      </c>
      <c r="AG668" s="13">
        <v>87.0</v>
      </c>
      <c r="AH668" s="13">
        <v>31.0</v>
      </c>
      <c r="AI668" s="13">
        <v>31.0</v>
      </c>
      <c r="AJ668" s="13">
        <v>1.0</v>
      </c>
      <c r="AK668" s="13">
        <v>57.0</v>
      </c>
      <c r="AL668" s="13" t="s">
        <v>5527</v>
      </c>
      <c r="AM668" s="13" t="s">
        <v>5528</v>
      </c>
      <c r="AN668" s="13" t="s">
        <v>5529</v>
      </c>
      <c r="AO668" s="13" t="s">
        <v>17338</v>
      </c>
      <c r="AP668" s="13" t="s">
        <v>17339</v>
      </c>
      <c r="AQ668" s="13" t="s">
        <v>5510</v>
      </c>
      <c r="AR668" s="13" t="s">
        <v>17340</v>
      </c>
      <c r="AS668" s="13" t="s">
        <v>17341</v>
      </c>
      <c r="AT668" s="13" t="s">
        <v>5978</v>
      </c>
      <c r="AU668" s="13">
        <v>2018.0</v>
      </c>
      <c r="AV668" s="13">
        <v>63.0</v>
      </c>
      <c r="AW668" s="13">
        <v>12.0</v>
      </c>
      <c r="AX668" s="13" t="s">
        <v>5510</v>
      </c>
      <c r="AY668" s="13" t="s">
        <v>5510</v>
      </c>
      <c r="AZ668" s="13" t="s">
        <v>5510</v>
      </c>
      <c r="BA668" s="13" t="s">
        <v>5510</v>
      </c>
      <c r="BB668" s="13">
        <v>1498.0</v>
      </c>
      <c r="BC668" s="13">
        <v>1513.0</v>
      </c>
      <c r="BD668" s="13" t="s">
        <v>5510</v>
      </c>
      <c r="BE668" s="13" t="s">
        <v>17342</v>
      </c>
      <c r="BF668" s="52" t="str">
        <f>HYPERLINK("http://dx.doi.org/10.1111/fwb.13178","http://dx.doi.org/10.1111/fwb.13178")</f>
        <v>http://dx.doi.org/10.1111/fwb.13178</v>
      </c>
      <c r="BG668" s="13" t="s">
        <v>5510</v>
      </c>
      <c r="BH668" s="13" t="s">
        <v>5510</v>
      </c>
      <c r="BI668" s="13">
        <v>16.0</v>
      </c>
      <c r="BJ668" s="13" t="s">
        <v>17343</v>
      </c>
      <c r="BK668" s="13" t="s">
        <v>5561</v>
      </c>
      <c r="BL668" s="13" t="s">
        <v>6328</v>
      </c>
      <c r="BM668" s="13" t="s">
        <v>17344</v>
      </c>
      <c r="BN668" s="13" t="s">
        <v>5510</v>
      </c>
      <c r="BO668" s="13" t="s">
        <v>5510</v>
      </c>
      <c r="BP668" s="13" t="s">
        <v>5510</v>
      </c>
      <c r="BQ668" s="13" t="s">
        <v>5510</v>
      </c>
      <c r="BR668" s="13" t="s">
        <v>5538</v>
      </c>
      <c r="BS668" s="13" t="s">
        <v>17345</v>
      </c>
      <c r="BT668" s="13">
        <v>23955.0</v>
      </c>
      <c r="BU668" s="13" t="s">
        <v>5540</v>
      </c>
      <c r="BV668" s="13" t="s">
        <v>4852</v>
      </c>
      <c r="BW668" s="13" t="str">
        <f>VLOOKUP($BT668,Enriched!$A$2:$E$1070,5,false)</f>
        <v>["Agriculture &amp; aquaculture"]</v>
      </c>
      <c r="BX668" s="13" t="str">
        <f>VLOOKUP($BT668,Enriched!$A$2:$E$1070,4,false)</f>
        <v>["Annual &amp; perennial non-timber crops"]</v>
      </c>
      <c r="BY668" s="13" t="b">
        <f>VLOOKUP(BT668,Enriched!$A$1:$AA$1070,27,falsE)</f>
        <v>0</v>
      </c>
      <c r="BZ668" s="2" t="str">
        <f>VLOOKUP(BT668,Enriched!$A$1:$AA$1070,14,falsE)</f>
        <v>level2</v>
      </c>
      <c r="CA668" s="13" t="str">
        <f>HYPERLINK("https%3A%2F%2Fwww.webofscience.com%2Fwos%2Fwoscc%2Ffull-record%2FWOS:000450068500002","View Full Record in Web of Science")</f>
        <v>View Full Record in Web of Science</v>
      </c>
    </row>
    <row r="669" ht="12.75" customHeight="1">
      <c r="A669" s="13" t="s">
        <v>5508</v>
      </c>
      <c r="B669" s="13" t="s">
        <v>17346</v>
      </c>
      <c r="C669" s="13" t="s">
        <v>5510</v>
      </c>
      <c r="D669" s="13" t="s">
        <v>5510</v>
      </c>
      <c r="E669" s="13" t="s">
        <v>5510</v>
      </c>
      <c r="F669" s="13" t="s">
        <v>17347</v>
      </c>
      <c r="G669" s="13" t="s">
        <v>5510</v>
      </c>
      <c r="H669" s="13" t="s">
        <v>5510</v>
      </c>
      <c r="I669" s="13" t="s">
        <v>985</v>
      </c>
      <c r="J669" s="13" t="s">
        <v>5963</v>
      </c>
      <c r="K669" s="13" t="s">
        <v>5510</v>
      </c>
      <c r="L669" s="13" t="s">
        <v>5510</v>
      </c>
      <c r="M669" s="13" t="s">
        <v>5513</v>
      </c>
      <c r="N669" s="13" t="s">
        <v>5514</v>
      </c>
      <c r="O669" s="13" t="s">
        <v>5510</v>
      </c>
      <c r="P669" s="13" t="s">
        <v>5510</v>
      </c>
      <c r="Q669" s="13" t="s">
        <v>5510</v>
      </c>
      <c r="R669" s="13" t="s">
        <v>5510</v>
      </c>
      <c r="S669" s="13" t="s">
        <v>5510</v>
      </c>
      <c r="T669" s="13" t="s">
        <v>17348</v>
      </c>
      <c r="U669" s="13" t="s">
        <v>17349</v>
      </c>
      <c r="V669" s="13" t="s">
        <v>17350</v>
      </c>
      <c r="W669" s="13" t="s">
        <v>17351</v>
      </c>
      <c r="X669" s="13" t="s">
        <v>17352</v>
      </c>
      <c r="Y669" s="13" t="s">
        <v>17353</v>
      </c>
      <c r="Z669" s="13" t="s">
        <v>17354</v>
      </c>
      <c r="AA669" s="13" t="s">
        <v>17355</v>
      </c>
      <c r="AB669" s="13" t="s">
        <v>17356</v>
      </c>
      <c r="AC669" s="13" t="s">
        <v>17357</v>
      </c>
      <c r="AD669" s="13" t="s">
        <v>17357</v>
      </c>
      <c r="AE669" s="13" t="s">
        <v>17358</v>
      </c>
      <c r="AF669" s="13" t="s">
        <v>5510</v>
      </c>
      <c r="AG669" s="13">
        <v>64.0</v>
      </c>
      <c r="AH669" s="13">
        <v>34.0</v>
      </c>
      <c r="AI669" s="13">
        <v>44.0</v>
      </c>
      <c r="AJ669" s="13">
        <v>1.0</v>
      </c>
      <c r="AK669" s="13">
        <v>24.0</v>
      </c>
      <c r="AL669" s="13" t="s">
        <v>5690</v>
      </c>
      <c r="AM669" s="13" t="s">
        <v>5691</v>
      </c>
      <c r="AN669" s="13" t="s">
        <v>5692</v>
      </c>
      <c r="AO669" s="13" t="s">
        <v>5975</v>
      </c>
      <c r="AP669" s="13" t="s">
        <v>8269</v>
      </c>
      <c r="AQ669" s="13" t="s">
        <v>5510</v>
      </c>
      <c r="AR669" s="13" t="s">
        <v>5976</v>
      </c>
      <c r="AS669" s="13" t="s">
        <v>5977</v>
      </c>
      <c r="AT669" s="13" t="s">
        <v>1453</v>
      </c>
      <c r="AU669" s="13">
        <v>2014.0</v>
      </c>
      <c r="AV669" s="13">
        <v>186.0</v>
      </c>
      <c r="AW669" s="13">
        <v>11.0</v>
      </c>
      <c r="AX669" s="13" t="s">
        <v>5510</v>
      </c>
      <c r="AY669" s="13" t="s">
        <v>5510</v>
      </c>
      <c r="AZ669" s="13" t="s">
        <v>5510</v>
      </c>
      <c r="BA669" s="13" t="s">
        <v>5510</v>
      </c>
      <c r="BB669" s="13">
        <v>7909.0</v>
      </c>
      <c r="BC669" s="13">
        <v>7927.0</v>
      </c>
      <c r="BD669" s="13" t="s">
        <v>5510</v>
      </c>
      <c r="BE669" s="13" t="s">
        <v>17359</v>
      </c>
      <c r="BF669" s="52" t="str">
        <f>HYPERLINK("http://dx.doi.org/10.1007/s10661-014-3976-2","http://dx.doi.org/10.1007/s10661-014-3976-2")</f>
        <v>http://dx.doi.org/10.1007/s10661-014-3976-2</v>
      </c>
      <c r="BG669" s="13" t="s">
        <v>5510</v>
      </c>
      <c r="BH669" s="13" t="s">
        <v>5510</v>
      </c>
      <c r="BI669" s="13">
        <v>19.0</v>
      </c>
      <c r="BJ669" s="13" t="s">
        <v>5768</v>
      </c>
      <c r="BK669" s="13" t="s">
        <v>5561</v>
      </c>
      <c r="BL669" s="13" t="s">
        <v>5535</v>
      </c>
      <c r="BM669" s="13" t="s">
        <v>17360</v>
      </c>
      <c r="BN669" s="13">
        <v>2.5092138E7</v>
      </c>
      <c r="BO669" s="13" t="s">
        <v>5510</v>
      </c>
      <c r="BP669" s="13" t="s">
        <v>5510</v>
      </c>
      <c r="BQ669" s="13" t="s">
        <v>5510</v>
      </c>
      <c r="BR669" s="13" t="s">
        <v>5538</v>
      </c>
      <c r="BS669" s="13" t="s">
        <v>17361</v>
      </c>
      <c r="BT669" s="13">
        <v>24881.0</v>
      </c>
      <c r="BU669" s="13" t="s">
        <v>5540</v>
      </c>
      <c r="BV669" s="13" t="s">
        <v>4852</v>
      </c>
      <c r="BW669" s="13" t="str">
        <f>VLOOKUP($BT669,Enriched!$A$2:$E$1070,5,false)</f>
        <v>["Pollution", "Transportation &amp; Service Corridors"]</v>
      </c>
      <c r="BX669" s="13" t="str">
        <f>VLOOKUP($BT669,Enriched!$A$2:$E$1070,4,false)</f>
        <v>["Domestic &amp; urban waste water", "Roads &amp; railroads"]</v>
      </c>
      <c r="BY669" s="13" t="b">
        <f>VLOOKUP(BT669,Enriched!$A$1:$AA$1070,27,falsE)</f>
        <v>0</v>
      </c>
      <c r="BZ669" s="2" t="str">
        <f>VLOOKUP(BT669,Enriched!$A$1:$AA$1070,14,falsE)</f>
        <v>level2</v>
      </c>
      <c r="CA669" s="13" t="str">
        <f>HYPERLINK("https%3A%2F%2Fwww.webofscience.com%2Fwos%2Fwoscc%2Ffull-record%2FWOS:000343051400071","View Full Record in Web of Science")</f>
        <v>View Full Record in Web of Science</v>
      </c>
    </row>
    <row r="670" ht="12.75" customHeight="1">
      <c r="A670" s="13" t="s">
        <v>5508</v>
      </c>
      <c r="B670" s="13" t="s">
        <v>17362</v>
      </c>
      <c r="C670" s="13" t="s">
        <v>5510</v>
      </c>
      <c r="D670" s="13" t="s">
        <v>5510</v>
      </c>
      <c r="E670" s="13" t="s">
        <v>5510</v>
      </c>
      <c r="F670" s="13" t="s">
        <v>17363</v>
      </c>
      <c r="G670" s="13" t="s">
        <v>5510</v>
      </c>
      <c r="H670" s="13" t="s">
        <v>5510</v>
      </c>
      <c r="I670" s="13" t="s">
        <v>981</v>
      </c>
      <c r="J670" s="13" t="s">
        <v>17364</v>
      </c>
      <c r="K670" s="13" t="s">
        <v>5510</v>
      </c>
      <c r="L670" s="13" t="s">
        <v>5510</v>
      </c>
      <c r="M670" s="13" t="s">
        <v>5513</v>
      </c>
      <c r="N670" s="13" t="s">
        <v>5514</v>
      </c>
      <c r="O670" s="13" t="s">
        <v>5510</v>
      </c>
      <c r="P670" s="13" t="s">
        <v>5510</v>
      </c>
      <c r="Q670" s="13" t="s">
        <v>5510</v>
      </c>
      <c r="R670" s="13" t="s">
        <v>5510</v>
      </c>
      <c r="S670" s="13" t="s">
        <v>5510</v>
      </c>
      <c r="T670" s="13" t="s">
        <v>17365</v>
      </c>
      <c r="U670" s="13" t="s">
        <v>17366</v>
      </c>
      <c r="V670" s="13" t="s">
        <v>17367</v>
      </c>
      <c r="W670" s="13" t="s">
        <v>17368</v>
      </c>
      <c r="X670" s="13" t="s">
        <v>17369</v>
      </c>
      <c r="Y670" s="13" t="s">
        <v>17370</v>
      </c>
      <c r="Z670" s="13" t="s">
        <v>17371</v>
      </c>
      <c r="AA670" s="13" t="s">
        <v>5510</v>
      </c>
      <c r="AB670" s="13" t="s">
        <v>17372</v>
      </c>
      <c r="AC670" s="13" t="s">
        <v>17373</v>
      </c>
      <c r="AD670" s="13" t="s">
        <v>17374</v>
      </c>
      <c r="AE670" s="13" t="s">
        <v>17375</v>
      </c>
      <c r="AF670" s="13" t="s">
        <v>5510</v>
      </c>
      <c r="AG670" s="13">
        <v>48.0</v>
      </c>
      <c r="AH670" s="13">
        <v>20.0</v>
      </c>
      <c r="AI670" s="13">
        <v>23.0</v>
      </c>
      <c r="AJ670" s="13">
        <v>1.0</v>
      </c>
      <c r="AK670" s="13">
        <v>43.0</v>
      </c>
      <c r="AL670" s="13" t="s">
        <v>5527</v>
      </c>
      <c r="AM670" s="13" t="s">
        <v>5528</v>
      </c>
      <c r="AN670" s="13" t="s">
        <v>5529</v>
      </c>
      <c r="AO670" s="13" t="s">
        <v>17376</v>
      </c>
      <c r="AP670" s="13" t="s">
        <v>17377</v>
      </c>
      <c r="AQ670" s="13" t="s">
        <v>5510</v>
      </c>
      <c r="AR670" s="13" t="s">
        <v>17378</v>
      </c>
      <c r="AS670" s="13" t="s">
        <v>17379</v>
      </c>
      <c r="AT670" s="13" t="s">
        <v>2738</v>
      </c>
      <c r="AU670" s="13">
        <v>2019.0</v>
      </c>
      <c r="AV670" s="13">
        <v>26.0</v>
      </c>
      <c r="AW670" s="13">
        <v>1.0</v>
      </c>
      <c r="AX670" s="13" t="s">
        <v>5510</v>
      </c>
      <c r="AY670" s="13" t="s">
        <v>5510</v>
      </c>
      <c r="AZ670" s="13" t="s">
        <v>5646</v>
      </c>
      <c r="BA670" s="13" t="s">
        <v>5510</v>
      </c>
      <c r="BB670" s="13">
        <v>42.0</v>
      </c>
      <c r="BC670" s="13">
        <v>52.0</v>
      </c>
      <c r="BD670" s="13" t="s">
        <v>5510</v>
      </c>
      <c r="BE670" s="13" t="s">
        <v>17380</v>
      </c>
      <c r="BF670" s="52" t="str">
        <f>HYPERLINK("http://dx.doi.org/10.1111/fme.12300","http://dx.doi.org/10.1111/fme.12300")</f>
        <v>http://dx.doi.org/10.1111/fme.12300</v>
      </c>
      <c r="BG670" s="13" t="s">
        <v>5510</v>
      </c>
      <c r="BH670" s="13" t="s">
        <v>5510</v>
      </c>
      <c r="BI670" s="13">
        <v>11.0</v>
      </c>
      <c r="BJ670" s="13" t="s">
        <v>7608</v>
      </c>
      <c r="BK670" s="13" t="s">
        <v>5561</v>
      </c>
      <c r="BL670" s="13" t="s">
        <v>7608</v>
      </c>
      <c r="BM670" s="13" t="s">
        <v>17381</v>
      </c>
      <c r="BN670" s="13" t="s">
        <v>5510</v>
      </c>
      <c r="BO670" s="13" t="s">
        <v>5809</v>
      </c>
      <c r="BP670" s="13" t="s">
        <v>5510</v>
      </c>
      <c r="BQ670" s="13" t="s">
        <v>5510</v>
      </c>
      <c r="BR670" s="13" t="s">
        <v>5538</v>
      </c>
      <c r="BS670" s="13" t="s">
        <v>17382</v>
      </c>
      <c r="BT670" s="13">
        <v>24455.0</v>
      </c>
      <c r="BU670" s="13" t="s">
        <v>5540</v>
      </c>
      <c r="BV670" s="13" t="s">
        <v>4852</v>
      </c>
      <c r="BW670" s="13" t="str">
        <f>VLOOKUP($BT670,Enriched!$A$2:$E$1070,5,false)</f>
        <v>["Natural system modifications"]</v>
      </c>
      <c r="BX670" s="13" t="str">
        <f>VLOOKUP($BT670,Enriched!$A$2:$E$1070,4,false)</f>
        <v>["Dams &amp; water management/use"]</v>
      </c>
      <c r="BY670" s="13" t="b">
        <f>VLOOKUP(BT670,Enriched!$A$1:$AA$1070,27,falsE)</f>
        <v>0</v>
      </c>
      <c r="BZ670" s="2" t="str">
        <f>VLOOKUP(BT670,Enriched!$A$1:$AA$1070,14,falsE)</f>
        <v>level2</v>
      </c>
      <c r="CA670" s="13" t="str">
        <f>HYPERLINK("https%3A%2F%2Fwww.webofscience.com%2Fwos%2Fwoscc%2Ffull-record%2FWOS:000455236200005","View Full Record in Web of Science")</f>
        <v>View Full Record in Web of Science</v>
      </c>
    </row>
    <row r="671" ht="12.75" customHeight="1">
      <c r="A671" s="13" t="s">
        <v>5508</v>
      </c>
      <c r="B671" s="13" t="s">
        <v>17383</v>
      </c>
      <c r="C671" s="13" t="s">
        <v>5510</v>
      </c>
      <c r="D671" s="13" t="s">
        <v>5510</v>
      </c>
      <c r="E671" s="13" t="s">
        <v>5510</v>
      </c>
      <c r="F671" s="13" t="s">
        <v>17384</v>
      </c>
      <c r="G671" s="13" t="s">
        <v>5510</v>
      </c>
      <c r="H671" s="13" t="s">
        <v>5510</v>
      </c>
      <c r="I671" s="13" t="s">
        <v>17385</v>
      </c>
      <c r="J671" s="13" t="s">
        <v>5792</v>
      </c>
      <c r="K671" s="13" t="s">
        <v>5510</v>
      </c>
      <c r="L671" s="13" t="s">
        <v>5510</v>
      </c>
      <c r="M671" s="13" t="s">
        <v>5513</v>
      </c>
      <c r="N671" s="13" t="s">
        <v>5514</v>
      </c>
      <c r="O671" s="13" t="s">
        <v>5510</v>
      </c>
      <c r="P671" s="13" t="s">
        <v>5510</v>
      </c>
      <c r="Q671" s="13" t="s">
        <v>5510</v>
      </c>
      <c r="R671" s="13" t="s">
        <v>5510</v>
      </c>
      <c r="S671" s="13" t="s">
        <v>5510</v>
      </c>
      <c r="T671" s="13" t="s">
        <v>17386</v>
      </c>
      <c r="U671" s="13" t="s">
        <v>17387</v>
      </c>
      <c r="V671" s="13" t="s">
        <v>17388</v>
      </c>
      <c r="W671" s="13" t="s">
        <v>17389</v>
      </c>
      <c r="X671" s="13" t="s">
        <v>17390</v>
      </c>
      <c r="Y671" s="13" t="s">
        <v>17391</v>
      </c>
      <c r="Z671" s="13" t="s">
        <v>17392</v>
      </c>
      <c r="AA671" s="13" t="s">
        <v>17393</v>
      </c>
      <c r="AB671" s="13" t="s">
        <v>17394</v>
      </c>
      <c r="AC671" s="13" t="s">
        <v>17395</v>
      </c>
      <c r="AD671" s="13" t="s">
        <v>17396</v>
      </c>
      <c r="AE671" s="13" t="s">
        <v>17397</v>
      </c>
      <c r="AF671" s="13" t="s">
        <v>5510</v>
      </c>
      <c r="AG671" s="13">
        <v>108.0</v>
      </c>
      <c r="AH671" s="13">
        <v>18.0</v>
      </c>
      <c r="AI671" s="13">
        <v>19.0</v>
      </c>
      <c r="AJ671" s="13">
        <v>2.0</v>
      </c>
      <c r="AK671" s="13">
        <v>25.0</v>
      </c>
      <c r="AL671" s="13" t="s">
        <v>5800</v>
      </c>
      <c r="AM671" s="13" t="s">
        <v>5801</v>
      </c>
      <c r="AN671" s="13" t="s">
        <v>5802</v>
      </c>
      <c r="AO671" s="13" t="s">
        <v>5803</v>
      </c>
      <c r="AP671" s="13" t="s">
        <v>5804</v>
      </c>
      <c r="AQ671" s="13" t="s">
        <v>5510</v>
      </c>
      <c r="AR671" s="13" t="s">
        <v>5805</v>
      </c>
      <c r="AS671" s="13" t="s">
        <v>5806</v>
      </c>
      <c r="AT671" s="13" t="s">
        <v>5510</v>
      </c>
      <c r="AU671" s="13">
        <v>2019.0</v>
      </c>
      <c r="AV671" s="13">
        <v>40.0</v>
      </c>
      <c r="AW671" s="13" t="s">
        <v>5510</v>
      </c>
      <c r="AX671" s="13" t="s">
        <v>5510</v>
      </c>
      <c r="AY671" s="13" t="s">
        <v>5510</v>
      </c>
      <c r="AZ671" s="13" t="s">
        <v>5510</v>
      </c>
      <c r="BA671" s="13" t="s">
        <v>5510</v>
      </c>
      <c r="BB671" s="13">
        <v>337.0</v>
      </c>
      <c r="BC671" s="13">
        <v>356.0</v>
      </c>
      <c r="BD671" s="13" t="s">
        <v>5510</v>
      </c>
      <c r="BE671" s="13" t="s">
        <v>17398</v>
      </c>
      <c r="BF671" s="52" t="str">
        <f>HYPERLINK("http://dx.doi.org/10.3354/esr00984","http://dx.doi.org/10.3354/esr00984")</f>
        <v>http://dx.doi.org/10.3354/esr00984</v>
      </c>
      <c r="BG671" s="13" t="s">
        <v>5510</v>
      </c>
      <c r="BH671" s="13" t="s">
        <v>5510</v>
      </c>
      <c r="BI671" s="13">
        <v>20.0</v>
      </c>
      <c r="BJ671" s="13" t="s">
        <v>5648</v>
      </c>
      <c r="BK671" s="13" t="s">
        <v>5534</v>
      </c>
      <c r="BL671" s="13" t="s">
        <v>5650</v>
      </c>
      <c r="BM671" s="13" t="s">
        <v>17399</v>
      </c>
      <c r="BN671" s="13" t="s">
        <v>5510</v>
      </c>
      <c r="BO671" s="13" t="s">
        <v>5564</v>
      </c>
      <c r="BP671" s="13" t="s">
        <v>5510</v>
      </c>
      <c r="BQ671" s="13" t="s">
        <v>5510</v>
      </c>
      <c r="BR671" s="13" t="s">
        <v>5538</v>
      </c>
      <c r="BS671" s="13" t="s">
        <v>17400</v>
      </c>
      <c r="BT671" s="13">
        <v>23633.0</v>
      </c>
      <c r="BU671" s="13" t="s">
        <v>5540</v>
      </c>
      <c r="BV671" s="13" t="s">
        <v>4864</v>
      </c>
      <c r="BW671" s="13" t="str">
        <f>VLOOKUP($BT671,Enriched!$A$2:$E$1070,5,false)</f>
        <v>["Climate Change &amp; Severe Weather", "Energy Production &amp; Mining", "Transportation &amp; Service Corridors", "Biological Resource Use"]</v>
      </c>
      <c r="BX671" s="13" t="str">
        <f>VLOOKUP($BT671,Enriched!$A$2:$E$1070,4,false)</f>
        <v>["Temperature extremes", "Oil &amp; gas drilling", "Shipping lanes", "Fishing &amp; harvesting aquatic resources"]</v>
      </c>
      <c r="BY671" s="13" t="b">
        <f>VLOOKUP(BT671,Enriched!$A$1:$AA$1070,27,falsE)</f>
        <v>0</v>
      </c>
      <c r="BZ671" s="2" t="str">
        <f>VLOOKUP(BT671,Enriched!$A$1:$AA$1070,14,falsE)</f>
        <v>level2</v>
      </c>
      <c r="CA671" s="13" t="str">
        <f>HYPERLINK("https%3A%2F%2Fwww.webofscience.com%2Fwos%2Fwoscc%2Ffull-record%2FWOS:000521740900012","View Full Record in Web of Science")</f>
        <v>View Full Record in Web of Science</v>
      </c>
    </row>
    <row r="672" ht="12.75" customHeight="1">
      <c r="A672" s="13" t="s">
        <v>5508</v>
      </c>
      <c r="B672" s="13" t="s">
        <v>17401</v>
      </c>
      <c r="C672" s="13" t="s">
        <v>5510</v>
      </c>
      <c r="D672" s="13" t="s">
        <v>5510</v>
      </c>
      <c r="E672" s="13" t="s">
        <v>5510</v>
      </c>
      <c r="F672" s="13" t="s">
        <v>17402</v>
      </c>
      <c r="G672" s="13" t="s">
        <v>5510</v>
      </c>
      <c r="H672" s="13" t="s">
        <v>5510</v>
      </c>
      <c r="I672" s="13" t="s">
        <v>976</v>
      </c>
      <c r="J672" s="13" t="s">
        <v>7193</v>
      </c>
      <c r="K672" s="13" t="s">
        <v>5510</v>
      </c>
      <c r="L672" s="13" t="s">
        <v>5510</v>
      </c>
      <c r="M672" s="13" t="s">
        <v>5513</v>
      </c>
      <c r="N672" s="13" t="s">
        <v>5514</v>
      </c>
      <c r="O672" s="13" t="s">
        <v>5510</v>
      </c>
      <c r="P672" s="13" t="s">
        <v>5510</v>
      </c>
      <c r="Q672" s="13" t="s">
        <v>5510</v>
      </c>
      <c r="R672" s="13" t="s">
        <v>5510</v>
      </c>
      <c r="S672" s="13" t="s">
        <v>5510</v>
      </c>
      <c r="T672" s="13" t="s">
        <v>17403</v>
      </c>
      <c r="U672" s="13" t="s">
        <v>17404</v>
      </c>
      <c r="V672" s="13" t="s">
        <v>17405</v>
      </c>
      <c r="W672" s="13" t="s">
        <v>17406</v>
      </c>
      <c r="X672" s="13" t="s">
        <v>17407</v>
      </c>
      <c r="Y672" s="13" t="s">
        <v>17408</v>
      </c>
      <c r="Z672" s="13" t="s">
        <v>17409</v>
      </c>
      <c r="AA672" s="13" t="s">
        <v>17410</v>
      </c>
      <c r="AB672" s="13" t="s">
        <v>17411</v>
      </c>
      <c r="AC672" s="13" t="s">
        <v>17412</v>
      </c>
      <c r="AD672" s="13" t="s">
        <v>17413</v>
      </c>
      <c r="AE672" s="13" t="s">
        <v>17414</v>
      </c>
      <c r="AF672" s="13" t="s">
        <v>5510</v>
      </c>
      <c r="AG672" s="13">
        <v>89.0</v>
      </c>
      <c r="AH672" s="13">
        <v>30.0</v>
      </c>
      <c r="AI672" s="13">
        <v>35.0</v>
      </c>
      <c r="AJ672" s="13">
        <v>2.0</v>
      </c>
      <c r="AK672" s="13">
        <v>39.0</v>
      </c>
      <c r="AL672" s="13" t="s">
        <v>5690</v>
      </c>
      <c r="AM672" s="13" t="s">
        <v>5691</v>
      </c>
      <c r="AN672" s="13" t="s">
        <v>5692</v>
      </c>
      <c r="AO672" s="13" t="s">
        <v>7203</v>
      </c>
      <c r="AP672" s="13" t="s">
        <v>7204</v>
      </c>
      <c r="AQ672" s="13" t="s">
        <v>5510</v>
      </c>
      <c r="AR672" s="13" t="s">
        <v>7205</v>
      </c>
      <c r="AS672" s="13" t="s">
        <v>7206</v>
      </c>
      <c r="AT672" s="13" t="s">
        <v>6175</v>
      </c>
      <c r="AU672" s="13">
        <v>2020.0</v>
      </c>
      <c r="AV672" s="13">
        <v>22.0</v>
      </c>
      <c r="AW672" s="13">
        <v>8.0</v>
      </c>
      <c r="AX672" s="13" t="s">
        <v>5510</v>
      </c>
      <c r="AY672" s="13" t="s">
        <v>5510</v>
      </c>
      <c r="AZ672" s="13" t="s">
        <v>5510</v>
      </c>
      <c r="BA672" s="13" t="s">
        <v>5510</v>
      </c>
      <c r="BB672" s="13">
        <v>2497.0</v>
      </c>
      <c r="BC672" s="13">
        <v>2508.0</v>
      </c>
      <c r="BD672" s="13" t="s">
        <v>5510</v>
      </c>
      <c r="BE672" s="13" t="s">
        <v>17415</v>
      </c>
      <c r="BF672" s="52" t="str">
        <f>HYPERLINK("http://dx.doi.org/10.1007/s10530-020-02265-x","http://dx.doi.org/10.1007/s10530-020-02265-x")</f>
        <v>http://dx.doi.org/10.1007/s10530-020-02265-x</v>
      </c>
      <c r="BG672" s="13" t="s">
        <v>5510</v>
      </c>
      <c r="BH672" s="13" t="s">
        <v>8232</v>
      </c>
      <c r="BI672" s="13">
        <v>12.0</v>
      </c>
      <c r="BJ672" s="13" t="s">
        <v>5958</v>
      </c>
      <c r="BK672" s="13" t="s">
        <v>5561</v>
      </c>
      <c r="BL672" s="13" t="s">
        <v>5699</v>
      </c>
      <c r="BM672" s="13" t="s">
        <v>17416</v>
      </c>
      <c r="BN672" s="13" t="s">
        <v>5510</v>
      </c>
      <c r="BO672" s="13" t="s">
        <v>5510</v>
      </c>
      <c r="BP672" s="13" t="s">
        <v>5510</v>
      </c>
      <c r="BQ672" s="13" t="s">
        <v>5510</v>
      </c>
      <c r="BR672" s="13" t="s">
        <v>5538</v>
      </c>
      <c r="BS672" s="13" t="s">
        <v>17417</v>
      </c>
      <c r="BT672" s="13">
        <v>25075.0</v>
      </c>
      <c r="BU672" s="13" t="s">
        <v>5540</v>
      </c>
      <c r="BV672" s="13" t="s">
        <v>4856</v>
      </c>
      <c r="BW672" s="13" t="str">
        <f>VLOOKUP($BT672,Enriched!$A$2:$E$1070,5,false)</f>
        <v>["Invasive &amp; other problematic species, genes &amp; diseases"]</v>
      </c>
      <c r="BX672" s="13" t="str">
        <f>VLOOKUP($BT672,Enriched!$A$2:$E$1070,4,false)</f>
        <v>["Invasive non-native/alien species/diseases"]</v>
      </c>
      <c r="BY672" s="13" t="b">
        <f>VLOOKUP(BT672,Enriched!$A$1:$AA$1070,27,falsE)</f>
        <v>0</v>
      </c>
      <c r="BZ672" s="2" t="str">
        <f>VLOOKUP(BT672,Enriched!$A$1:$AA$1070,14,falsE)</f>
        <v>level2</v>
      </c>
      <c r="CA672" s="13" t="str">
        <f>HYPERLINK("https%3A%2F%2Fwww.webofscience.com%2Fwos%2Fwoscc%2Ffull-record%2FWOS:000527473200001","View Full Record in Web of Science")</f>
        <v>View Full Record in Web of Science</v>
      </c>
    </row>
    <row r="673" ht="12.75" customHeight="1">
      <c r="A673" s="13" t="s">
        <v>5508</v>
      </c>
      <c r="B673" s="13" t="s">
        <v>17418</v>
      </c>
      <c r="C673" s="13" t="s">
        <v>5510</v>
      </c>
      <c r="D673" s="13" t="s">
        <v>5510</v>
      </c>
      <c r="E673" s="13" t="s">
        <v>5510</v>
      </c>
      <c r="F673" s="13" t="s">
        <v>17419</v>
      </c>
      <c r="G673" s="13" t="s">
        <v>5510</v>
      </c>
      <c r="H673" s="13" t="s">
        <v>5510</v>
      </c>
      <c r="I673" s="13" t="s">
        <v>17420</v>
      </c>
      <c r="J673" s="13" t="s">
        <v>17421</v>
      </c>
      <c r="K673" s="13" t="s">
        <v>5510</v>
      </c>
      <c r="L673" s="13" t="s">
        <v>5510</v>
      </c>
      <c r="M673" s="13" t="s">
        <v>5513</v>
      </c>
      <c r="N673" s="13" t="s">
        <v>5514</v>
      </c>
      <c r="O673" s="13" t="s">
        <v>5510</v>
      </c>
      <c r="P673" s="13" t="s">
        <v>5510</v>
      </c>
      <c r="Q673" s="13" t="s">
        <v>5510</v>
      </c>
      <c r="R673" s="13" t="s">
        <v>5510</v>
      </c>
      <c r="S673" s="13" t="s">
        <v>5510</v>
      </c>
      <c r="T673" s="13" t="s">
        <v>17422</v>
      </c>
      <c r="U673" s="13" t="s">
        <v>17423</v>
      </c>
      <c r="V673" s="13" t="s">
        <v>17424</v>
      </c>
      <c r="W673" s="13" t="s">
        <v>17425</v>
      </c>
      <c r="X673" s="13" t="s">
        <v>17426</v>
      </c>
      <c r="Y673" s="13" t="s">
        <v>17427</v>
      </c>
      <c r="Z673" s="13" t="s">
        <v>17428</v>
      </c>
      <c r="AA673" s="13" t="s">
        <v>17429</v>
      </c>
      <c r="AB673" s="13" t="s">
        <v>17430</v>
      </c>
      <c r="AC673" s="13" t="s">
        <v>17431</v>
      </c>
      <c r="AD673" s="13" t="s">
        <v>17432</v>
      </c>
      <c r="AE673" s="13" t="s">
        <v>17433</v>
      </c>
      <c r="AF673" s="13" t="s">
        <v>5510</v>
      </c>
      <c r="AG673" s="13">
        <v>51.0</v>
      </c>
      <c r="AH673" s="13">
        <v>38.0</v>
      </c>
      <c r="AI673" s="13">
        <v>45.0</v>
      </c>
      <c r="AJ673" s="13">
        <v>0.0</v>
      </c>
      <c r="AK673" s="13">
        <v>31.0</v>
      </c>
      <c r="AL673" s="13" t="s">
        <v>17434</v>
      </c>
      <c r="AM673" s="13" t="s">
        <v>17435</v>
      </c>
      <c r="AN673" s="13" t="s">
        <v>17436</v>
      </c>
      <c r="AO673" s="13" t="s">
        <v>17437</v>
      </c>
      <c r="AP673" s="13" t="s">
        <v>5510</v>
      </c>
      <c r="AQ673" s="13" t="s">
        <v>5510</v>
      </c>
      <c r="AR673" s="13" t="s">
        <v>17438</v>
      </c>
      <c r="AS673" s="13" t="s">
        <v>17439</v>
      </c>
      <c r="AT673" s="13" t="s">
        <v>5978</v>
      </c>
      <c r="AU673" s="13">
        <v>2012.0</v>
      </c>
      <c r="AV673" s="13">
        <v>13.0</v>
      </c>
      <c r="AW673" s="13">
        <v>2.0</v>
      </c>
      <c r="AX673" s="13" t="s">
        <v>5510</v>
      </c>
      <c r="AY673" s="13" t="s">
        <v>5510</v>
      </c>
      <c r="AZ673" s="13" t="s">
        <v>5510</v>
      </c>
      <c r="BA673" s="13" t="s">
        <v>5510</v>
      </c>
      <c r="BB673" s="13">
        <v>297.0</v>
      </c>
      <c r="BC673" s="13">
        <v>311.0</v>
      </c>
      <c r="BD673" s="13" t="s">
        <v>5510</v>
      </c>
      <c r="BE673" s="13" t="s">
        <v>17440</v>
      </c>
      <c r="BF673" s="52" t="str">
        <f>HYPERLINK("http://dx.doi.org/10.12681/mms.312","http://dx.doi.org/10.12681/mms.312")</f>
        <v>http://dx.doi.org/10.12681/mms.312</v>
      </c>
      <c r="BG673" s="13" t="s">
        <v>5510</v>
      </c>
      <c r="BH673" s="13" t="s">
        <v>5510</v>
      </c>
      <c r="BI673" s="13">
        <v>15.0</v>
      </c>
      <c r="BJ673" s="13" t="s">
        <v>17441</v>
      </c>
      <c r="BK673" s="13" t="s">
        <v>5561</v>
      </c>
      <c r="BL673" s="13" t="s">
        <v>17442</v>
      </c>
      <c r="BM673" s="13" t="s">
        <v>17443</v>
      </c>
      <c r="BN673" s="13" t="s">
        <v>5510</v>
      </c>
      <c r="BO673" s="13" t="s">
        <v>5564</v>
      </c>
      <c r="BP673" s="13" t="s">
        <v>5510</v>
      </c>
      <c r="BQ673" s="13" t="s">
        <v>5510</v>
      </c>
      <c r="BR673" s="13" t="s">
        <v>5538</v>
      </c>
      <c r="BS673" s="13" t="s">
        <v>17444</v>
      </c>
      <c r="BT673" s="13">
        <v>24290.0</v>
      </c>
      <c r="BU673" s="13" t="s">
        <v>5540</v>
      </c>
      <c r="BV673" s="13" t="s">
        <v>4864</v>
      </c>
      <c r="BW673" s="13" t="str">
        <f>VLOOKUP($BT673,Enriched!$A$2:$E$1070,5,false)</f>
        <v>["Agriculture &amp; Aquaculture", "Biological Resource Use", "Human Intrusions &amp; Disturbance"]</v>
      </c>
      <c r="BX673" s="13" t="str">
        <f>VLOOKUP($BT673,Enriched!$A$2:$E$1070,4,false)</f>
        <v>["Marine &amp; freshwater aquaculture", "Fishing &amp; harvesting aquatic resources", "Recreational activities"]</v>
      </c>
      <c r="BY673" s="13" t="b">
        <f>VLOOKUP(BT673,Enriched!$A$1:$AA$1070,27,falsE)</f>
        <v>0</v>
      </c>
      <c r="BZ673" s="2" t="str">
        <f>VLOOKUP(BT673,Enriched!$A$1:$AA$1070,14,falsE)</f>
        <v>level2</v>
      </c>
      <c r="CA673" s="13" t="str">
        <f>HYPERLINK("https%3A%2F%2Fwww.webofscience.com%2Fwos%2Fwoscc%2Ffull-record%2FWOS:000315934300017","View Full Record in Web of Science")</f>
        <v>View Full Record in Web of Science</v>
      </c>
    </row>
    <row r="674" ht="12.75" customHeight="1">
      <c r="A674" s="13" t="s">
        <v>5508</v>
      </c>
      <c r="B674" s="13" t="s">
        <v>17445</v>
      </c>
      <c r="C674" s="13" t="s">
        <v>5510</v>
      </c>
      <c r="D674" s="13" t="s">
        <v>5510</v>
      </c>
      <c r="E674" s="13" t="s">
        <v>5510</v>
      </c>
      <c r="F674" s="13" t="s">
        <v>17446</v>
      </c>
      <c r="G674" s="13" t="s">
        <v>5510</v>
      </c>
      <c r="H674" s="13" t="s">
        <v>5510</v>
      </c>
      <c r="I674" s="13" t="s">
        <v>967</v>
      </c>
      <c r="J674" s="13" t="s">
        <v>6407</v>
      </c>
      <c r="K674" s="13" t="s">
        <v>5510</v>
      </c>
      <c r="L674" s="13" t="s">
        <v>5510</v>
      </c>
      <c r="M674" s="13" t="s">
        <v>5513</v>
      </c>
      <c r="N674" s="13" t="s">
        <v>5514</v>
      </c>
      <c r="O674" s="13" t="s">
        <v>5510</v>
      </c>
      <c r="P674" s="13" t="s">
        <v>5510</v>
      </c>
      <c r="Q674" s="13" t="s">
        <v>5510</v>
      </c>
      <c r="R674" s="13" t="s">
        <v>5510</v>
      </c>
      <c r="S674" s="13" t="s">
        <v>5510</v>
      </c>
      <c r="T674" s="13" t="s">
        <v>17447</v>
      </c>
      <c r="U674" s="13" t="s">
        <v>17448</v>
      </c>
      <c r="V674" s="13" t="s">
        <v>17449</v>
      </c>
      <c r="W674" s="13" t="s">
        <v>17450</v>
      </c>
      <c r="X674" s="13" t="s">
        <v>17451</v>
      </c>
      <c r="Y674" s="13" t="s">
        <v>17452</v>
      </c>
      <c r="Z674" s="13" t="s">
        <v>5510</v>
      </c>
      <c r="AA674" s="13" t="s">
        <v>17453</v>
      </c>
      <c r="AB674" s="13" t="s">
        <v>17454</v>
      </c>
      <c r="AC674" s="13" t="s">
        <v>17455</v>
      </c>
      <c r="AD674" s="13" t="s">
        <v>17456</v>
      </c>
      <c r="AE674" s="13" t="s">
        <v>17457</v>
      </c>
      <c r="AF674" s="13" t="s">
        <v>5510</v>
      </c>
      <c r="AG674" s="13">
        <v>46.0</v>
      </c>
      <c r="AH674" s="13">
        <v>73.0</v>
      </c>
      <c r="AI674" s="13">
        <v>88.0</v>
      </c>
      <c r="AJ674" s="13">
        <v>8.0</v>
      </c>
      <c r="AK674" s="13">
        <v>150.0</v>
      </c>
      <c r="AL674" s="13" t="s">
        <v>5759</v>
      </c>
      <c r="AM674" s="13" t="s">
        <v>5760</v>
      </c>
      <c r="AN674" s="13" t="s">
        <v>5761</v>
      </c>
      <c r="AO674" s="13" t="s">
        <v>6417</v>
      </c>
      <c r="AP674" s="13" t="s">
        <v>6418</v>
      </c>
      <c r="AQ674" s="13" t="s">
        <v>5510</v>
      </c>
      <c r="AR674" s="13" t="s">
        <v>6419</v>
      </c>
      <c r="AS674" s="13" t="s">
        <v>6420</v>
      </c>
      <c r="AT674" s="13" t="s">
        <v>2514</v>
      </c>
      <c r="AU674" s="13">
        <v>2020.0</v>
      </c>
      <c r="AV674" s="13">
        <v>117.0</v>
      </c>
      <c r="AW674" s="13" t="s">
        <v>5510</v>
      </c>
      <c r="AX674" s="13" t="s">
        <v>5510</v>
      </c>
      <c r="AY674" s="13" t="s">
        <v>5510</v>
      </c>
      <c r="AZ674" s="13" t="s">
        <v>5510</v>
      </c>
      <c r="BA674" s="13" t="s">
        <v>5510</v>
      </c>
      <c r="BB674" s="13" t="s">
        <v>5510</v>
      </c>
      <c r="BC674" s="13" t="s">
        <v>5510</v>
      </c>
      <c r="BD674" s="13">
        <v>106521.0</v>
      </c>
      <c r="BE674" s="13" t="s">
        <v>17458</v>
      </c>
      <c r="BF674" s="52" t="str">
        <f>HYPERLINK("http://dx.doi.org/10.1016/j.ecolind.2020.106521","http://dx.doi.org/10.1016/j.ecolind.2020.106521")</f>
        <v>http://dx.doi.org/10.1016/j.ecolind.2020.106521</v>
      </c>
      <c r="BG674" s="13" t="s">
        <v>5510</v>
      </c>
      <c r="BH674" s="13" t="s">
        <v>5510</v>
      </c>
      <c r="BI674" s="13">
        <v>14.0</v>
      </c>
      <c r="BJ674" s="13" t="s">
        <v>6422</v>
      </c>
      <c r="BK674" s="13" t="s">
        <v>5561</v>
      </c>
      <c r="BL674" s="13" t="s">
        <v>5699</v>
      </c>
      <c r="BM674" s="13" t="s">
        <v>17459</v>
      </c>
      <c r="BN674" s="13" t="s">
        <v>5510</v>
      </c>
      <c r="BO674" s="13" t="s">
        <v>6586</v>
      </c>
      <c r="BP674" s="13" t="s">
        <v>5510</v>
      </c>
      <c r="BQ674" s="13" t="s">
        <v>5510</v>
      </c>
      <c r="BR674" s="13" t="s">
        <v>5538</v>
      </c>
      <c r="BS674" s="13" t="s">
        <v>17460</v>
      </c>
      <c r="BT674" s="13">
        <v>26063.0</v>
      </c>
      <c r="BU674" s="13" t="s">
        <v>5540</v>
      </c>
      <c r="BV674" s="13" t="s">
        <v>4856</v>
      </c>
      <c r="BW674" s="13" t="str">
        <f>VLOOKUP($BT674,Enriched!$A$2:$E$1070,5,false)</f>
        <v>["Transportation &amp; Service Corridors", "Agriculture &amp; aquaculture"]</v>
      </c>
      <c r="BX674" s="13" t="str">
        <f>VLOOKUP($BT674,Enriched!$A$2:$E$1070,4,false)</f>
        <v>["Housing &amp; urban area", "Roads &amp; railroads"]</v>
      </c>
      <c r="BY674" s="13" t="b">
        <f>VLOOKUP(BT674,Enriched!$A$1:$AA$1070,27,falsE)</f>
        <v>1</v>
      </c>
      <c r="BZ674" s="2" t="str">
        <f>VLOOKUP(BT674,Enriched!$A$1:$AA$1070,14,falsE)</f>
        <v>level2</v>
      </c>
      <c r="CA674" s="13" t="str">
        <f>HYPERLINK("https%3A%2F%2Fwww.webofscience.com%2Fwos%2Fwoscc%2Ffull-record%2FWOS:000555558600004","View Full Record in Web of Science")</f>
        <v>View Full Record in Web of Science</v>
      </c>
    </row>
    <row r="675" ht="12.75" customHeight="1">
      <c r="A675" s="13" t="s">
        <v>5508</v>
      </c>
      <c r="B675" s="13" t="s">
        <v>17461</v>
      </c>
      <c r="C675" s="13" t="s">
        <v>5510</v>
      </c>
      <c r="D675" s="13" t="s">
        <v>5510</v>
      </c>
      <c r="E675" s="13" t="s">
        <v>5510</v>
      </c>
      <c r="F675" s="13" t="s">
        <v>17462</v>
      </c>
      <c r="G675" s="13" t="s">
        <v>5510</v>
      </c>
      <c r="H675" s="13" t="s">
        <v>5510</v>
      </c>
      <c r="I675" s="13" t="s">
        <v>964</v>
      </c>
      <c r="J675" s="13" t="s">
        <v>5543</v>
      </c>
      <c r="K675" s="13" t="s">
        <v>5510</v>
      </c>
      <c r="L675" s="13" t="s">
        <v>5510</v>
      </c>
      <c r="M675" s="13" t="s">
        <v>5513</v>
      </c>
      <c r="N675" s="13" t="s">
        <v>5514</v>
      </c>
      <c r="O675" s="13" t="s">
        <v>5510</v>
      </c>
      <c r="P675" s="13" t="s">
        <v>5510</v>
      </c>
      <c r="Q675" s="13" t="s">
        <v>5510</v>
      </c>
      <c r="R675" s="13" t="s">
        <v>5510</v>
      </c>
      <c r="S675" s="13" t="s">
        <v>5510</v>
      </c>
      <c r="T675" s="13" t="s">
        <v>5510</v>
      </c>
      <c r="U675" s="13" t="s">
        <v>17463</v>
      </c>
      <c r="V675" s="13" t="s">
        <v>17464</v>
      </c>
      <c r="W675" s="13" t="s">
        <v>17465</v>
      </c>
      <c r="X675" s="13" t="s">
        <v>17466</v>
      </c>
      <c r="Y675" s="13" t="s">
        <v>17467</v>
      </c>
      <c r="Z675" s="13" t="s">
        <v>17468</v>
      </c>
      <c r="AA675" s="13" t="s">
        <v>17469</v>
      </c>
      <c r="AB675" s="13" t="s">
        <v>17470</v>
      </c>
      <c r="AC675" s="13" t="s">
        <v>17471</v>
      </c>
      <c r="AD675" s="13" t="s">
        <v>17472</v>
      </c>
      <c r="AE675" s="13" t="s">
        <v>17473</v>
      </c>
      <c r="AF675" s="13" t="s">
        <v>5510</v>
      </c>
      <c r="AG675" s="13">
        <v>80.0</v>
      </c>
      <c r="AH675" s="13">
        <v>28.0</v>
      </c>
      <c r="AI675" s="13">
        <v>44.0</v>
      </c>
      <c r="AJ675" s="13">
        <v>0.0</v>
      </c>
      <c r="AK675" s="13">
        <v>24.0</v>
      </c>
      <c r="AL675" s="13" t="s">
        <v>5552</v>
      </c>
      <c r="AM675" s="13" t="s">
        <v>5553</v>
      </c>
      <c r="AN675" s="13" t="s">
        <v>5554</v>
      </c>
      <c r="AO675" s="13" t="s">
        <v>5555</v>
      </c>
      <c r="AP675" s="13" t="s">
        <v>5510</v>
      </c>
      <c r="AQ675" s="13" t="s">
        <v>5510</v>
      </c>
      <c r="AR675" s="13" t="s">
        <v>5543</v>
      </c>
      <c r="AS675" s="13" t="s">
        <v>5556</v>
      </c>
      <c r="AT675" s="13" t="s">
        <v>17474</v>
      </c>
      <c r="AU675" s="13">
        <v>2014.0</v>
      </c>
      <c r="AV675" s="13">
        <v>9.0</v>
      </c>
      <c r="AW675" s="13">
        <v>4.0</v>
      </c>
      <c r="AX675" s="13" t="s">
        <v>5510</v>
      </c>
      <c r="AY675" s="13" t="s">
        <v>5510</v>
      </c>
      <c r="AZ675" s="13" t="s">
        <v>5510</v>
      </c>
      <c r="BA675" s="13" t="s">
        <v>5510</v>
      </c>
      <c r="BB675" s="13" t="s">
        <v>5510</v>
      </c>
      <c r="BC675" s="13" t="s">
        <v>5510</v>
      </c>
      <c r="BD675" s="13" t="s">
        <v>17475</v>
      </c>
      <c r="BE675" s="13" t="s">
        <v>17476</v>
      </c>
      <c r="BF675" s="52" t="str">
        <f>HYPERLINK("http://dx.doi.org/10.1371/journal.pone.0088798","http://dx.doi.org/10.1371/journal.pone.0088798")</f>
        <v>http://dx.doi.org/10.1371/journal.pone.0088798</v>
      </c>
      <c r="BG675" s="13" t="s">
        <v>5510</v>
      </c>
      <c r="BH675" s="13" t="s">
        <v>5510</v>
      </c>
      <c r="BI675" s="13">
        <v>9.0</v>
      </c>
      <c r="BJ675" s="13" t="s">
        <v>5560</v>
      </c>
      <c r="BK675" s="13" t="s">
        <v>5561</v>
      </c>
      <c r="BL675" s="13" t="s">
        <v>5562</v>
      </c>
      <c r="BM675" s="13" t="s">
        <v>17477</v>
      </c>
      <c r="BN675" s="13">
        <v>2.4785293E7</v>
      </c>
      <c r="BO675" s="13" t="s">
        <v>5564</v>
      </c>
      <c r="BP675" s="13" t="s">
        <v>5510</v>
      </c>
      <c r="BQ675" s="13" t="s">
        <v>5510</v>
      </c>
      <c r="BR675" s="13" t="s">
        <v>5538</v>
      </c>
      <c r="BS675" s="13" t="s">
        <v>17478</v>
      </c>
      <c r="BT675" s="13">
        <v>23398.0</v>
      </c>
      <c r="BU675" s="13" t="s">
        <v>5540</v>
      </c>
      <c r="BV675" s="13" t="s">
        <v>4856</v>
      </c>
      <c r="BW675" s="13" t="str">
        <f>VLOOKUP($BT675,Enriched!$A$2:$E$1070,5,false)</f>
        <v>["Invasive &amp; other problematic species, genes &amp; diseases"]</v>
      </c>
      <c r="BX675" s="13" t="str">
        <f>VLOOKUP($BT675,Enriched!$A$2:$E$1070,4,false)</f>
        <v>["Invasive non-native/alien species/diseases"]</v>
      </c>
      <c r="BY675" s="13" t="b">
        <f>VLOOKUP(BT675,Enriched!$A$1:$AA$1070,27,falsE)</f>
        <v>0</v>
      </c>
      <c r="BZ675" s="2" t="str">
        <f>VLOOKUP(BT675,Enriched!$A$1:$AA$1070,14,falsE)</f>
        <v>level2</v>
      </c>
      <c r="CA675" s="13" t="str">
        <f>HYPERLINK("https%3A%2F%2Fwww.webofscience.com%2Fwos%2Fwoscc%2Ffull-record%2FWOS:000338917300001","View Full Record in Web of Science")</f>
        <v>View Full Record in Web of Science</v>
      </c>
    </row>
    <row r="676" ht="12.75" customHeight="1">
      <c r="A676" s="13" t="s">
        <v>5508</v>
      </c>
      <c r="B676" s="13" t="s">
        <v>17479</v>
      </c>
      <c r="C676" s="13" t="s">
        <v>5510</v>
      </c>
      <c r="D676" s="13" t="s">
        <v>5510</v>
      </c>
      <c r="E676" s="13" t="s">
        <v>5510</v>
      </c>
      <c r="F676" s="13" t="s">
        <v>17480</v>
      </c>
      <c r="G676" s="13" t="s">
        <v>5510</v>
      </c>
      <c r="H676" s="13" t="s">
        <v>5510</v>
      </c>
      <c r="I676" s="13" t="s">
        <v>961</v>
      </c>
      <c r="J676" s="13" t="s">
        <v>46</v>
      </c>
      <c r="K676" s="13" t="s">
        <v>5510</v>
      </c>
      <c r="L676" s="13" t="s">
        <v>5510</v>
      </c>
      <c r="M676" s="13" t="s">
        <v>5513</v>
      </c>
      <c r="N676" s="13" t="s">
        <v>5514</v>
      </c>
      <c r="O676" s="13" t="s">
        <v>5510</v>
      </c>
      <c r="P676" s="13" t="s">
        <v>5510</v>
      </c>
      <c r="Q676" s="13" t="s">
        <v>5510</v>
      </c>
      <c r="R676" s="13" t="s">
        <v>5510</v>
      </c>
      <c r="S676" s="13" t="s">
        <v>5510</v>
      </c>
      <c r="T676" s="13" t="s">
        <v>17481</v>
      </c>
      <c r="U676" s="13" t="s">
        <v>17482</v>
      </c>
      <c r="V676" s="13" t="s">
        <v>17483</v>
      </c>
      <c r="W676" s="13" t="s">
        <v>17484</v>
      </c>
      <c r="X676" s="13" t="s">
        <v>17485</v>
      </c>
      <c r="Y676" s="13" t="s">
        <v>17486</v>
      </c>
      <c r="Z676" s="13" t="s">
        <v>17487</v>
      </c>
      <c r="AA676" s="13" t="s">
        <v>17488</v>
      </c>
      <c r="AB676" s="13" t="s">
        <v>17489</v>
      </c>
      <c r="AC676" s="13" t="s">
        <v>17490</v>
      </c>
      <c r="AD676" s="13" t="s">
        <v>17490</v>
      </c>
      <c r="AE676" s="13" t="s">
        <v>17491</v>
      </c>
      <c r="AF676" s="13" t="s">
        <v>5510</v>
      </c>
      <c r="AG676" s="13">
        <v>42.0</v>
      </c>
      <c r="AH676" s="13">
        <v>86.0</v>
      </c>
      <c r="AI676" s="13">
        <v>95.0</v>
      </c>
      <c r="AJ676" s="13">
        <v>0.0</v>
      </c>
      <c r="AK676" s="13">
        <v>142.0</v>
      </c>
      <c r="AL676" s="13" t="s">
        <v>7065</v>
      </c>
      <c r="AM676" s="13" t="s">
        <v>13281</v>
      </c>
      <c r="AN676" s="13" t="s">
        <v>13282</v>
      </c>
      <c r="AO676" s="13" t="s">
        <v>7734</v>
      </c>
      <c r="AP676" s="13" t="s">
        <v>7735</v>
      </c>
      <c r="AQ676" s="13" t="s">
        <v>5510</v>
      </c>
      <c r="AR676" s="13" t="s">
        <v>46</v>
      </c>
      <c r="AS676" s="13" t="s">
        <v>1196</v>
      </c>
      <c r="AT676" s="13" t="s">
        <v>5582</v>
      </c>
      <c r="AU676" s="13">
        <v>2011.0</v>
      </c>
      <c r="AV676" s="13">
        <v>45.0</v>
      </c>
      <c r="AW676" s="13">
        <v>1.0</v>
      </c>
      <c r="AX676" s="13" t="s">
        <v>5510</v>
      </c>
      <c r="AY676" s="13" t="s">
        <v>5510</v>
      </c>
      <c r="AZ676" s="13" t="s">
        <v>5510</v>
      </c>
      <c r="BA676" s="13" t="s">
        <v>5510</v>
      </c>
      <c r="BB676" s="13">
        <v>96.0</v>
      </c>
      <c r="BC676" s="13">
        <v>111.0</v>
      </c>
      <c r="BD676" s="13" t="s">
        <v>5510</v>
      </c>
      <c r="BE676" s="13" t="s">
        <v>17492</v>
      </c>
      <c r="BF676" s="52" t="str">
        <f>HYPERLINK("http://dx.doi.org/10.1017/S0030605310000153","http://dx.doi.org/10.1017/S0030605310000153")</f>
        <v>http://dx.doi.org/10.1017/S0030605310000153</v>
      </c>
      <c r="BG676" s="13" t="s">
        <v>5510</v>
      </c>
      <c r="BH676" s="13" t="s">
        <v>5510</v>
      </c>
      <c r="BI676" s="13">
        <v>16.0</v>
      </c>
      <c r="BJ676" s="13" t="s">
        <v>5958</v>
      </c>
      <c r="BK676" s="13" t="s">
        <v>5561</v>
      </c>
      <c r="BL676" s="13" t="s">
        <v>5699</v>
      </c>
      <c r="BM676" s="13" t="s">
        <v>17493</v>
      </c>
      <c r="BN676" s="13" t="s">
        <v>5510</v>
      </c>
      <c r="BO676" s="13" t="s">
        <v>6586</v>
      </c>
      <c r="BP676" s="13" t="s">
        <v>5510</v>
      </c>
      <c r="BQ676" s="13" t="s">
        <v>5510</v>
      </c>
      <c r="BR676" s="13" t="s">
        <v>5538</v>
      </c>
      <c r="BS676" s="13" t="s">
        <v>17494</v>
      </c>
      <c r="BT676" s="13">
        <v>24573.0</v>
      </c>
      <c r="BU676" s="13" t="s">
        <v>5540</v>
      </c>
      <c r="BV676" s="13" t="s">
        <v>4856</v>
      </c>
      <c r="BW676" s="13" t="str">
        <f>VLOOKUP($BT676,Enriched!$A$2:$E$1070,5,false)</f>
        <v>["Biological resource use"]</v>
      </c>
      <c r="BX676" s="13" t="str">
        <f>VLOOKUP($BT676,Enriched!$A$2:$E$1070,4,false)</f>
        <v>["Hunting &amp; collecting terrestrial animals"]</v>
      </c>
      <c r="BY676" s="13" t="b">
        <f>VLOOKUP(BT676,Enriched!$A$1:$AA$1070,27,falsE)</f>
        <v>0</v>
      </c>
      <c r="BZ676" s="2" t="str">
        <f>VLOOKUP(BT676,Enriched!$A$1:$AA$1070,14,falsE)</f>
        <v>level2</v>
      </c>
      <c r="CA676" s="13" t="str">
        <f>HYPERLINK("https%3A%2F%2Fwww.webofscience.com%2Fwos%2Fwoscc%2Ffull-record%2FWOS:000287568200021","View Full Record in Web of Science")</f>
        <v>View Full Record in Web of Science</v>
      </c>
    </row>
    <row r="677" ht="12.75" customHeight="1">
      <c r="A677" s="13" t="s">
        <v>5508</v>
      </c>
      <c r="B677" s="13" t="s">
        <v>17495</v>
      </c>
      <c r="C677" s="13" t="s">
        <v>5510</v>
      </c>
      <c r="D677" s="13" t="s">
        <v>5510</v>
      </c>
      <c r="E677" s="13" t="s">
        <v>5510</v>
      </c>
      <c r="F677" s="13" t="s">
        <v>17496</v>
      </c>
      <c r="G677" s="13" t="s">
        <v>5510</v>
      </c>
      <c r="H677" s="13" t="s">
        <v>5510</v>
      </c>
      <c r="I677" s="13" t="s">
        <v>958</v>
      </c>
      <c r="J677" s="13" t="s">
        <v>17497</v>
      </c>
      <c r="K677" s="13" t="s">
        <v>5510</v>
      </c>
      <c r="L677" s="13" t="s">
        <v>5510</v>
      </c>
      <c r="M677" s="13" t="s">
        <v>5513</v>
      </c>
      <c r="N677" s="13" t="s">
        <v>5514</v>
      </c>
      <c r="O677" s="13" t="s">
        <v>5510</v>
      </c>
      <c r="P677" s="13" t="s">
        <v>5510</v>
      </c>
      <c r="Q677" s="13" t="s">
        <v>5510</v>
      </c>
      <c r="R677" s="13" t="s">
        <v>5510</v>
      </c>
      <c r="S677" s="13" t="s">
        <v>5510</v>
      </c>
      <c r="T677" s="13" t="s">
        <v>17498</v>
      </c>
      <c r="U677" s="13" t="s">
        <v>17499</v>
      </c>
      <c r="V677" s="13" t="s">
        <v>17500</v>
      </c>
      <c r="W677" s="13" t="s">
        <v>17501</v>
      </c>
      <c r="X677" s="13" t="s">
        <v>17502</v>
      </c>
      <c r="Y677" s="13" t="s">
        <v>17503</v>
      </c>
      <c r="Z677" s="13" t="s">
        <v>17504</v>
      </c>
      <c r="AA677" s="13" t="s">
        <v>17505</v>
      </c>
      <c r="AB677" s="13" t="s">
        <v>17506</v>
      </c>
      <c r="AC677" s="13" t="s">
        <v>17507</v>
      </c>
      <c r="AD677" s="13" t="s">
        <v>17508</v>
      </c>
      <c r="AE677" s="13" t="s">
        <v>17509</v>
      </c>
      <c r="AF677" s="13" t="s">
        <v>5510</v>
      </c>
      <c r="AG677" s="13">
        <v>34.0</v>
      </c>
      <c r="AH677" s="13">
        <v>23.0</v>
      </c>
      <c r="AI677" s="13">
        <v>23.0</v>
      </c>
      <c r="AJ677" s="13">
        <v>0.0</v>
      </c>
      <c r="AK677" s="13">
        <v>12.0</v>
      </c>
      <c r="AL677" s="13" t="s">
        <v>5931</v>
      </c>
      <c r="AM677" s="13" t="s">
        <v>5932</v>
      </c>
      <c r="AN677" s="13" t="s">
        <v>5933</v>
      </c>
      <c r="AO677" s="13" t="s">
        <v>17510</v>
      </c>
      <c r="AP677" s="13" t="s">
        <v>5510</v>
      </c>
      <c r="AQ677" s="13" t="s">
        <v>5510</v>
      </c>
      <c r="AR677" s="13" t="s">
        <v>17511</v>
      </c>
      <c r="AS677" s="13" t="s">
        <v>17512</v>
      </c>
      <c r="AT677" s="13" t="s">
        <v>2738</v>
      </c>
      <c r="AU677" s="13">
        <v>2010.0</v>
      </c>
      <c r="AV677" s="13">
        <v>25.0</v>
      </c>
      <c r="AW677" s="13">
        <v>2.0</v>
      </c>
      <c r="AX677" s="13" t="s">
        <v>5510</v>
      </c>
      <c r="AY677" s="13" t="s">
        <v>5510</v>
      </c>
      <c r="AZ677" s="13" t="s">
        <v>5510</v>
      </c>
      <c r="BA677" s="13" t="s">
        <v>5510</v>
      </c>
      <c r="BB677" s="13">
        <v>248.0</v>
      </c>
      <c r="BC677" s="13">
        <v>257.0</v>
      </c>
      <c r="BD677" s="13" t="s">
        <v>5510</v>
      </c>
      <c r="BE677" s="13" t="s">
        <v>17513</v>
      </c>
      <c r="BF677" s="52" t="str">
        <f>HYPERLINK("http://dx.doi.org/10.1016/j.envsoft.2009.07.017","http://dx.doi.org/10.1016/j.envsoft.2009.07.017")</f>
        <v>http://dx.doi.org/10.1016/j.envsoft.2009.07.017</v>
      </c>
      <c r="BG677" s="13" t="s">
        <v>5510</v>
      </c>
      <c r="BH677" s="13" t="s">
        <v>5510</v>
      </c>
      <c r="BI677" s="13">
        <v>10.0</v>
      </c>
      <c r="BJ677" s="13" t="s">
        <v>17514</v>
      </c>
      <c r="BK677" s="13" t="s">
        <v>5561</v>
      </c>
      <c r="BL677" s="13" t="s">
        <v>17515</v>
      </c>
      <c r="BM677" s="13" t="s">
        <v>17516</v>
      </c>
      <c r="BN677" s="13" t="s">
        <v>5510</v>
      </c>
      <c r="BO677" s="13" t="s">
        <v>5510</v>
      </c>
      <c r="BP677" s="13" t="s">
        <v>5510</v>
      </c>
      <c r="BQ677" s="13" t="s">
        <v>5510</v>
      </c>
      <c r="BR677" s="13" t="s">
        <v>5538</v>
      </c>
      <c r="BS677" s="13" t="s">
        <v>17517</v>
      </c>
      <c r="BT677" s="13">
        <v>24417.0</v>
      </c>
      <c r="BU677" s="13" t="s">
        <v>5540</v>
      </c>
      <c r="BV677" s="13" t="s">
        <v>4864</v>
      </c>
      <c r="BW677" s="13" t="str">
        <f>VLOOKUP($BT677,Enriched!$A$2:$E$1070,5,false)</f>
        <v>["Pollution"]</v>
      </c>
      <c r="BX677" s="13" t="str">
        <f>VLOOKUP($BT677,Enriched!$A$2:$E$1070,4,false)</f>
        <v>["Industrial &amp; military effluents"]</v>
      </c>
      <c r="BY677" s="13" t="b">
        <f>VLOOKUP(BT677,Enriched!$A$1:$AA$1070,27,falsE)</f>
        <v>0</v>
      </c>
      <c r="BZ677" s="2" t="str">
        <f>VLOOKUP(BT677,Enriched!$A$1:$AA$1070,14,falsE)</f>
        <v>level2</v>
      </c>
      <c r="CA677" s="13" t="str">
        <f>HYPERLINK("https%3A%2F%2Fwww.webofscience.com%2Fwos%2Fwoscc%2Ffull-record%2FWOS:000271700500007","View Full Record in Web of Science")</f>
        <v>View Full Record in Web of Science</v>
      </c>
    </row>
    <row r="678" ht="12.75" customHeight="1">
      <c r="A678" s="13" t="s">
        <v>5508</v>
      </c>
      <c r="B678" s="13" t="s">
        <v>17518</v>
      </c>
      <c r="C678" s="13" t="s">
        <v>5510</v>
      </c>
      <c r="D678" s="13" t="s">
        <v>5510</v>
      </c>
      <c r="E678" s="13" t="s">
        <v>5510</v>
      </c>
      <c r="F678" s="13" t="s">
        <v>17519</v>
      </c>
      <c r="G678" s="13" t="s">
        <v>5510</v>
      </c>
      <c r="H678" s="13" t="s">
        <v>5510</v>
      </c>
      <c r="I678" s="13" t="s">
        <v>955</v>
      </c>
      <c r="J678" s="13" t="s">
        <v>6627</v>
      </c>
      <c r="K678" s="13" t="s">
        <v>5510</v>
      </c>
      <c r="L678" s="13" t="s">
        <v>5510</v>
      </c>
      <c r="M678" s="13" t="s">
        <v>5513</v>
      </c>
      <c r="N678" s="13" t="s">
        <v>5514</v>
      </c>
      <c r="O678" s="13" t="s">
        <v>5510</v>
      </c>
      <c r="P678" s="13" t="s">
        <v>5510</v>
      </c>
      <c r="Q678" s="13" t="s">
        <v>5510</v>
      </c>
      <c r="R678" s="13" t="s">
        <v>5510</v>
      </c>
      <c r="S678" s="13" t="s">
        <v>5510</v>
      </c>
      <c r="T678" s="13" t="s">
        <v>17520</v>
      </c>
      <c r="U678" s="13" t="s">
        <v>17521</v>
      </c>
      <c r="V678" s="13" t="s">
        <v>17522</v>
      </c>
      <c r="W678" s="13" t="s">
        <v>17523</v>
      </c>
      <c r="X678" s="13" t="s">
        <v>17524</v>
      </c>
      <c r="Y678" s="13" t="s">
        <v>17525</v>
      </c>
      <c r="Z678" s="13" t="s">
        <v>17526</v>
      </c>
      <c r="AA678" s="13" t="s">
        <v>17527</v>
      </c>
      <c r="AB678" s="13" t="s">
        <v>17528</v>
      </c>
      <c r="AC678" s="13" t="s">
        <v>17529</v>
      </c>
      <c r="AD678" s="13" t="s">
        <v>17530</v>
      </c>
      <c r="AE678" s="13" t="s">
        <v>17531</v>
      </c>
      <c r="AF678" s="13" t="s">
        <v>5510</v>
      </c>
      <c r="AG678" s="13">
        <v>67.0</v>
      </c>
      <c r="AH678" s="13">
        <v>127.0</v>
      </c>
      <c r="AI678" s="13">
        <v>140.0</v>
      </c>
      <c r="AJ678" s="13">
        <v>4.0</v>
      </c>
      <c r="AK678" s="13">
        <v>51.0</v>
      </c>
      <c r="AL678" s="13" t="s">
        <v>5527</v>
      </c>
      <c r="AM678" s="13" t="s">
        <v>5528</v>
      </c>
      <c r="AN678" s="13" t="s">
        <v>5529</v>
      </c>
      <c r="AO678" s="13" t="s">
        <v>6640</v>
      </c>
      <c r="AP678" s="13" t="s">
        <v>6641</v>
      </c>
      <c r="AQ678" s="13" t="s">
        <v>5510</v>
      </c>
      <c r="AR678" s="13" t="s">
        <v>6642</v>
      </c>
      <c r="AS678" s="13" t="s">
        <v>6643</v>
      </c>
      <c r="AT678" s="13" t="s">
        <v>6175</v>
      </c>
      <c r="AU678" s="13">
        <v>2019.0</v>
      </c>
      <c r="AV678" s="13">
        <v>25.0</v>
      </c>
      <c r="AW678" s="13">
        <v>8.0</v>
      </c>
      <c r="AX678" s="13" t="s">
        <v>5510</v>
      </c>
      <c r="AY678" s="13" t="s">
        <v>5510</v>
      </c>
      <c r="AZ678" s="13" t="s">
        <v>5510</v>
      </c>
      <c r="BA678" s="13" t="s">
        <v>5510</v>
      </c>
      <c r="BB678" s="13">
        <v>1182.0</v>
      </c>
      <c r="BC678" s="13">
        <v>1193.0</v>
      </c>
      <c r="BD678" s="13" t="s">
        <v>5510</v>
      </c>
      <c r="BE678" s="13" t="s">
        <v>17532</v>
      </c>
      <c r="BF678" s="52" t="str">
        <f>HYPERLINK("http://dx.doi.org/10.1111/ddi.12940","http://dx.doi.org/10.1111/ddi.12940")</f>
        <v>http://dx.doi.org/10.1111/ddi.12940</v>
      </c>
      <c r="BG678" s="13" t="s">
        <v>5510</v>
      </c>
      <c r="BH678" s="13" t="s">
        <v>5510</v>
      </c>
      <c r="BI678" s="13">
        <v>12.0</v>
      </c>
      <c r="BJ678" s="13" t="s">
        <v>5958</v>
      </c>
      <c r="BK678" s="13" t="s">
        <v>5561</v>
      </c>
      <c r="BL678" s="13" t="s">
        <v>5699</v>
      </c>
      <c r="BM678" s="13" t="s">
        <v>17533</v>
      </c>
      <c r="BN678" s="13" t="s">
        <v>5510</v>
      </c>
      <c r="BO678" s="13" t="s">
        <v>5537</v>
      </c>
      <c r="BP678" s="13" t="s">
        <v>5510</v>
      </c>
      <c r="BQ678" s="13" t="s">
        <v>5510</v>
      </c>
      <c r="BR678" s="13" t="s">
        <v>5538</v>
      </c>
      <c r="BS678" s="13" t="s">
        <v>17534</v>
      </c>
      <c r="BT678" s="13">
        <v>23018.0</v>
      </c>
      <c r="BU678" s="13" t="s">
        <v>5540</v>
      </c>
      <c r="BV678" s="13" t="s">
        <v>4864</v>
      </c>
      <c r="BW678" s="13" t="str">
        <f>VLOOKUP($BT678,Enriched!$A$2:$E$1070,5,false)</f>
        <v>["Transportation &amp; Service Corridors"]</v>
      </c>
      <c r="BX678" s="13" t="str">
        <f>VLOOKUP($BT678,Enriched!$A$2:$E$1070,4,false)</f>
        <v>["Shipping lanes"]</v>
      </c>
      <c r="BY678" s="13" t="b">
        <f>VLOOKUP(BT678,Enriched!$A$1:$AA$1070,27,falsE)</f>
        <v>0</v>
      </c>
      <c r="BZ678" s="2" t="str">
        <f>VLOOKUP(BT678,Enriched!$A$1:$AA$1070,14,falsE)</f>
        <v>level2</v>
      </c>
      <c r="CA678" s="13" t="str">
        <f>HYPERLINK("https%3A%2F%2Fwww.webofscience.com%2Fwos%2Fwoscc%2Ffull-record%2FWOS:000476676000001","View Full Record in Web of Science")</f>
        <v>View Full Record in Web of Science</v>
      </c>
    </row>
    <row r="679" ht="12.75" customHeight="1">
      <c r="A679" s="13" t="s">
        <v>5508</v>
      </c>
      <c r="B679" s="13" t="s">
        <v>17535</v>
      </c>
      <c r="C679" s="13" t="s">
        <v>5510</v>
      </c>
      <c r="D679" s="13" t="s">
        <v>5510</v>
      </c>
      <c r="E679" s="13" t="s">
        <v>5510</v>
      </c>
      <c r="F679" s="13" t="s">
        <v>17536</v>
      </c>
      <c r="G679" s="13" t="s">
        <v>5510</v>
      </c>
      <c r="H679" s="13" t="s">
        <v>5510</v>
      </c>
      <c r="I679" s="13" t="s">
        <v>951</v>
      </c>
      <c r="J679" s="13" t="s">
        <v>17537</v>
      </c>
      <c r="K679" s="13" t="s">
        <v>5510</v>
      </c>
      <c r="L679" s="13" t="s">
        <v>5510</v>
      </c>
      <c r="M679" s="13" t="s">
        <v>5513</v>
      </c>
      <c r="N679" s="13" t="s">
        <v>5514</v>
      </c>
      <c r="O679" s="13" t="s">
        <v>5510</v>
      </c>
      <c r="P679" s="13" t="s">
        <v>5510</v>
      </c>
      <c r="Q679" s="13" t="s">
        <v>5510</v>
      </c>
      <c r="R679" s="13" t="s">
        <v>5510</v>
      </c>
      <c r="S679" s="13" t="s">
        <v>5510</v>
      </c>
      <c r="T679" s="13" t="s">
        <v>17538</v>
      </c>
      <c r="U679" s="13" t="s">
        <v>17539</v>
      </c>
      <c r="V679" s="13" t="s">
        <v>17540</v>
      </c>
      <c r="W679" s="13" t="s">
        <v>17541</v>
      </c>
      <c r="X679" s="13" t="s">
        <v>17542</v>
      </c>
      <c r="Y679" s="13" t="s">
        <v>17543</v>
      </c>
      <c r="Z679" s="13" t="s">
        <v>17544</v>
      </c>
      <c r="AA679" s="13" t="s">
        <v>17545</v>
      </c>
      <c r="AB679" s="13" t="s">
        <v>17546</v>
      </c>
      <c r="AC679" s="13" t="s">
        <v>17547</v>
      </c>
      <c r="AD679" s="13" t="s">
        <v>17548</v>
      </c>
      <c r="AE679" s="13" t="s">
        <v>17549</v>
      </c>
      <c r="AF679" s="13" t="s">
        <v>5510</v>
      </c>
      <c r="AG679" s="13">
        <v>105.0</v>
      </c>
      <c r="AH679" s="13">
        <v>87.0</v>
      </c>
      <c r="AI679" s="13">
        <v>95.0</v>
      </c>
      <c r="AJ679" s="13">
        <v>2.0</v>
      </c>
      <c r="AK679" s="13">
        <v>154.0</v>
      </c>
      <c r="AL679" s="13" t="s">
        <v>10962</v>
      </c>
      <c r="AM679" s="13" t="s">
        <v>10963</v>
      </c>
      <c r="AN679" s="13" t="s">
        <v>10964</v>
      </c>
      <c r="AO679" s="13" t="s">
        <v>17550</v>
      </c>
      <c r="AP679" s="13" t="s">
        <v>17551</v>
      </c>
      <c r="AQ679" s="13" t="s">
        <v>5510</v>
      </c>
      <c r="AR679" s="13" t="s">
        <v>17552</v>
      </c>
      <c r="AS679" s="13" t="s">
        <v>17553</v>
      </c>
      <c r="AT679" s="13" t="s">
        <v>5510</v>
      </c>
      <c r="AU679" s="13">
        <v>2011.0</v>
      </c>
      <c r="AV679" s="13">
        <v>38.0</v>
      </c>
      <c r="AW679" s="13">
        <v>6.0</v>
      </c>
      <c r="AX679" s="13" t="s">
        <v>5510</v>
      </c>
      <c r="AY679" s="13" t="s">
        <v>5510</v>
      </c>
      <c r="AZ679" s="13" t="s">
        <v>5510</v>
      </c>
      <c r="BA679" s="13" t="s">
        <v>5510</v>
      </c>
      <c r="BB679" s="13">
        <v>509.0</v>
      </c>
      <c r="BC679" s="13">
        <v>524.0</v>
      </c>
      <c r="BD679" s="13" t="s">
        <v>5510</v>
      </c>
      <c r="BE679" s="13" t="s">
        <v>17554</v>
      </c>
      <c r="BF679" s="52" t="str">
        <f>HYPERLINK("http://dx.doi.org/10.1071/WR11064","http://dx.doi.org/10.1071/WR11064")</f>
        <v>http://dx.doi.org/10.1071/WR11064</v>
      </c>
      <c r="BG679" s="13" t="s">
        <v>5510</v>
      </c>
      <c r="BH679" s="13" t="s">
        <v>5510</v>
      </c>
      <c r="BI679" s="13">
        <v>16.0</v>
      </c>
      <c r="BJ679" s="13" t="s">
        <v>5584</v>
      </c>
      <c r="BK679" s="13" t="s">
        <v>5561</v>
      </c>
      <c r="BL679" s="13" t="s">
        <v>5585</v>
      </c>
      <c r="BM679" s="13" t="s">
        <v>17555</v>
      </c>
      <c r="BN679" s="13" t="s">
        <v>5510</v>
      </c>
      <c r="BO679" s="13" t="s">
        <v>5809</v>
      </c>
      <c r="BP679" s="13" t="s">
        <v>5510</v>
      </c>
      <c r="BQ679" s="13" t="s">
        <v>5510</v>
      </c>
      <c r="BR679" s="13" t="s">
        <v>5538</v>
      </c>
      <c r="BS679" s="13" t="s">
        <v>17556</v>
      </c>
      <c r="BT679" s="13">
        <v>25518.0</v>
      </c>
      <c r="BU679" s="13" t="s">
        <v>5540</v>
      </c>
      <c r="BV679" s="13" t="s">
        <v>4856</v>
      </c>
      <c r="BW679" s="13" t="str">
        <f>VLOOKUP($BT679,Enriched!$A$2:$E$1070,5,false)</f>
        <v>["Climate change &amp; severe weather"]</v>
      </c>
      <c r="BX679" s="13" t="str">
        <f>VLOOKUP($BT679,Enriched!$A$2:$E$1070,4,false)</f>
        <v>["Droughts"]</v>
      </c>
      <c r="BY679" s="13" t="b">
        <f>VLOOKUP(BT679,Enriched!$A$1:$AA$1070,27,falsE)</f>
        <v>0</v>
      </c>
      <c r="BZ679" s="2" t="str">
        <f>VLOOKUP(BT679,Enriched!$A$1:$AA$1070,14,falsE)</f>
        <v>level2</v>
      </c>
      <c r="CA679" s="13" t="str">
        <f>HYPERLINK("https%3A%2F%2Fwww.webofscience.com%2Fwos%2Fwoscc%2Ffull-record%2FWOS:000296921700007","View Full Record in Web of Science")</f>
        <v>View Full Record in Web of Science</v>
      </c>
    </row>
    <row r="680" ht="12.75" customHeight="1">
      <c r="A680" s="13" t="s">
        <v>5508</v>
      </c>
      <c r="B680" s="13" t="s">
        <v>17557</v>
      </c>
      <c r="C680" s="13" t="s">
        <v>5510</v>
      </c>
      <c r="D680" s="13" t="s">
        <v>5510</v>
      </c>
      <c r="E680" s="13" t="s">
        <v>5510</v>
      </c>
      <c r="F680" s="13" t="s">
        <v>17558</v>
      </c>
      <c r="G680" s="13" t="s">
        <v>5510</v>
      </c>
      <c r="H680" s="13" t="s">
        <v>5510</v>
      </c>
      <c r="I680" s="13" t="s">
        <v>949</v>
      </c>
      <c r="J680" s="13" t="s">
        <v>5963</v>
      </c>
      <c r="K680" s="13" t="s">
        <v>5510</v>
      </c>
      <c r="L680" s="13" t="s">
        <v>5510</v>
      </c>
      <c r="M680" s="13" t="s">
        <v>5513</v>
      </c>
      <c r="N680" s="13" t="s">
        <v>5514</v>
      </c>
      <c r="O680" s="13" t="s">
        <v>5510</v>
      </c>
      <c r="P680" s="13" t="s">
        <v>5510</v>
      </c>
      <c r="Q680" s="13" t="s">
        <v>5510</v>
      </c>
      <c r="R680" s="13" t="s">
        <v>5510</v>
      </c>
      <c r="S680" s="13" t="s">
        <v>5510</v>
      </c>
      <c r="T680" s="13" t="s">
        <v>17559</v>
      </c>
      <c r="U680" s="13" t="s">
        <v>17560</v>
      </c>
      <c r="V680" s="13" t="s">
        <v>17561</v>
      </c>
      <c r="W680" s="13" t="s">
        <v>17562</v>
      </c>
      <c r="X680" s="13" t="s">
        <v>17563</v>
      </c>
      <c r="Y680" s="13" t="s">
        <v>17564</v>
      </c>
      <c r="Z680" s="13" t="s">
        <v>17565</v>
      </c>
      <c r="AA680" s="13" t="s">
        <v>17566</v>
      </c>
      <c r="AB680" s="13" t="s">
        <v>5510</v>
      </c>
      <c r="AC680" s="13" t="s">
        <v>17567</v>
      </c>
      <c r="AD680" s="13" t="s">
        <v>17568</v>
      </c>
      <c r="AE680" s="13" t="s">
        <v>17569</v>
      </c>
      <c r="AF680" s="13" t="s">
        <v>5510</v>
      </c>
      <c r="AG680" s="13">
        <v>31.0</v>
      </c>
      <c r="AH680" s="13">
        <v>13.0</v>
      </c>
      <c r="AI680" s="13">
        <v>14.0</v>
      </c>
      <c r="AJ680" s="13">
        <v>0.0</v>
      </c>
      <c r="AK680" s="13">
        <v>58.0</v>
      </c>
      <c r="AL680" s="13" t="s">
        <v>5690</v>
      </c>
      <c r="AM680" s="13" t="s">
        <v>5691</v>
      </c>
      <c r="AN680" s="13" t="s">
        <v>5692</v>
      </c>
      <c r="AO680" s="13" t="s">
        <v>5975</v>
      </c>
      <c r="AP680" s="13" t="s">
        <v>8269</v>
      </c>
      <c r="AQ680" s="13" t="s">
        <v>5510</v>
      </c>
      <c r="AR680" s="13" t="s">
        <v>5976</v>
      </c>
      <c r="AS680" s="13" t="s">
        <v>5977</v>
      </c>
      <c r="AT680" s="13" t="s">
        <v>6828</v>
      </c>
      <c r="AU680" s="13">
        <v>2019.0</v>
      </c>
      <c r="AV680" s="13">
        <v>191.0</v>
      </c>
      <c r="AW680" s="13">
        <v>4.0</v>
      </c>
      <c r="AX680" s="13" t="s">
        <v>5510</v>
      </c>
      <c r="AY680" s="13" t="s">
        <v>5510</v>
      </c>
      <c r="AZ680" s="13" t="s">
        <v>5510</v>
      </c>
      <c r="BA680" s="13" t="s">
        <v>5510</v>
      </c>
      <c r="BB680" s="13" t="s">
        <v>5510</v>
      </c>
      <c r="BC680" s="13" t="s">
        <v>5510</v>
      </c>
      <c r="BD680" s="13">
        <v>203.0</v>
      </c>
      <c r="BE680" s="13" t="s">
        <v>17570</v>
      </c>
      <c r="BF680" s="52" t="str">
        <f>HYPERLINK("http://dx.doi.org/10.1007/s10661-019-7347-x","http://dx.doi.org/10.1007/s10661-019-7347-x")</f>
        <v>http://dx.doi.org/10.1007/s10661-019-7347-x</v>
      </c>
      <c r="BG680" s="13" t="s">
        <v>5510</v>
      </c>
      <c r="BH680" s="13" t="s">
        <v>5510</v>
      </c>
      <c r="BI680" s="13">
        <v>14.0</v>
      </c>
      <c r="BJ680" s="13" t="s">
        <v>5768</v>
      </c>
      <c r="BK680" s="13" t="s">
        <v>5561</v>
      </c>
      <c r="BL680" s="13" t="s">
        <v>5535</v>
      </c>
      <c r="BM680" s="13" t="s">
        <v>17571</v>
      </c>
      <c r="BN680" s="13">
        <v>3.083447E7</v>
      </c>
      <c r="BO680" s="13" t="s">
        <v>5510</v>
      </c>
      <c r="BP680" s="13" t="s">
        <v>5510</v>
      </c>
      <c r="BQ680" s="13" t="s">
        <v>5510</v>
      </c>
      <c r="BR680" s="13" t="s">
        <v>5538</v>
      </c>
      <c r="BS680" s="13" t="s">
        <v>17572</v>
      </c>
      <c r="BT680" s="13">
        <v>24676.0</v>
      </c>
      <c r="BU680" s="13" t="s">
        <v>5540</v>
      </c>
      <c r="BV680" s="13" t="s">
        <v>4852</v>
      </c>
      <c r="BW680" s="13" t="str">
        <f>VLOOKUP($BT680,Enriched!$A$2:$E$1070,5,false)</f>
        <v>["Agriculture &amp; Aquaculture"]</v>
      </c>
      <c r="BX680" s="13" t="str">
        <f>VLOOKUP($BT680,Enriched!$A$2:$E$1070,4,false)</f>
        <v/>
      </c>
      <c r="BY680" s="13" t="b">
        <f>VLOOKUP(BT680,Enriched!$A$1:$AA$1070,27,falsE)</f>
        <v>1</v>
      </c>
      <c r="BZ680" s="2" t="str">
        <f>VLOOKUP(BT680,Enriched!$A$1:$AA$1070,14,falsE)</f>
        <v>level2</v>
      </c>
      <c r="CA680" s="13" t="str">
        <f>HYPERLINK("https%3A%2F%2Fwww.webofscience.com%2Fwos%2Fwoscc%2Ffull-record%2FWOS:000460563500001","View Full Record in Web of Science")</f>
        <v>View Full Record in Web of Science</v>
      </c>
    </row>
    <row r="681" ht="12.75" customHeight="1">
      <c r="A681" s="13" t="s">
        <v>5508</v>
      </c>
      <c r="B681" s="13" t="s">
        <v>17573</v>
      </c>
      <c r="C681" s="13" t="s">
        <v>5510</v>
      </c>
      <c r="D681" s="13" t="s">
        <v>5510</v>
      </c>
      <c r="E681" s="13" t="s">
        <v>5510</v>
      </c>
      <c r="F681" s="13" t="s">
        <v>17574</v>
      </c>
      <c r="G681" s="13" t="s">
        <v>5510</v>
      </c>
      <c r="H681" s="13" t="s">
        <v>5510</v>
      </c>
      <c r="I681" s="13" t="s">
        <v>946</v>
      </c>
      <c r="J681" s="13" t="s">
        <v>5919</v>
      </c>
      <c r="K681" s="13" t="s">
        <v>5510</v>
      </c>
      <c r="L681" s="13" t="s">
        <v>5510</v>
      </c>
      <c r="M681" s="13" t="s">
        <v>5513</v>
      </c>
      <c r="N681" s="13" t="s">
        <v>5514</v>
      </c>
      <c r="O681" s="13" t="s">
        <v>5510</v>
      </c>
      <c r="P681" s="13" t="s">
        <v>5510</v>
      </c>
      <c r="Q681" s="13" t="s">
        <v>5510</v>
      </c>
      <c r="R681" s="13" t="s">
        <v>5510</v>
      </c>
      <c r="S681" s="13" t="s">
        <v>5510</v>
      </c>
      <c r="T681" s="13" t="s">
        <v>17575</v>
      </c>
      <c r="U681" s="13" t="s">
        <v>17576</v>
      </c>
      <c r="V681" s="13" t="s">
        <v>17577</v>
      </c>
      <c r="W681" s="13" t="s">
        <v>17578</v>
      </c>
      <c r="X681" s="13" t="s">
        <v>17579</v>
      </c>
      <c r="Y681" s="13" t="s">
        <v>17580</v>
      </c>
      <c r="Z681" s="13" t="s">
        <v>17581</v>
      </c>
      <c r="AA681" s="13" t="s">
        <v>17582</v>
      </c>
      <c r="AB681" s="13" t="s">
        <v>17583</v>
      </c>
      <c r="AC681" s="13" t="s">
        <v>17584</v>
      </c>
      <c r="AD681" s="13" t="s">
        <v>17584</v>
      </c>
      <c r="AE681" s="13" t="s">
        <v>17585</v>
      </c>
      <c r="AF681" s="13" t="s">
        <v>5510</v>
      </c>
      <c r="AG681" s="13">
        <v>65.0</v>
      </c>
      <c r="AH681" s="13">
        <v>145.0</v>
      </c>
      <c r="AI681" s="13">
        <v>168.0</v>
      </c>
      <c r="AJ681" s="13">
        <v>5.0</v>
      </c>
      <c r="AK681" s="13">
        <v>139.0</v>
      </c>
      <c r="AL681" s="13" t="s">
        <v>5931</v>
      </c>
      <c r="AM681" s="13" t="s">
        <v>5932</v>
      </c>
      <c r="AN681" s="13" t="s">
        <v>5933</v>
      </c>
      <c r="AO681" s="13" t="s">
        <v>5934</v>
      </c>
      <c r="AP681" s="13" t="s">
        <v>5935</v>
      </c>
      <c r="AQ681" s="13" t="s">
        <v>5510</v>
      </c>
      <c r="AR681" s="13" t="s">
        <v>5936</v>
      </c>
      <c r="AS681" s="13" t="s">
        <v>5937</v>
      </c>
      <c r="AT681" s="13" t="s">
        <v>5720</v>
      </c>
      <c r="AU681" s="13">
        <v>2012.0</v>
      </c>
      <c r="AV681" s="13">
        <v>150.0</v>
      </c>
      <c r="AW681" s="13">
        <v>1.0</v>
      </c>
      <c r="AX681" s="13" t="s">
        <v>5510</v>
      </c>
      <c r="AY681" s="13" t="s">
        <v>5510</v>
      </c>
      <c r="AZ681" s="13" t="s">
        <v>5510</v>
      </c>
      <c r="BA681" s="13" t="s">
        <v>5510</v>
      </c>
      <c r="BB681" s="13">
        <v>103.0</v>
      </c>
      <c r="BC681" s="13">
        <v>110.0</v>
      </c>
      <c r="BD681" s="13" t="s">
        <v>5510</v>
      </c>
      <c r="BE681" s="13" t="s">
        <v>17586</v>
      </c>
      <c r="BF681" s="52" t="str">
        <f>HYPERLINK("http://dx.doi.org/10.1016/j.biocon.2012.03.008","http://dx.doi.org/10.1016/j.biocon.2012.03.008")</f>
        <v>http://dx.doi.org/10.1016/j.biocon.2012.03.008</v>
      </c>
      <c r="BG681" s="13" t="s">
        <v>5510</v>
      </c>
      <c r="BH681" s="13" t="s">
        <v>5510</v>
      </c>
      <c r="BI681" s="13">
        <v>8.0</v>
      </c>
      <c r="BJ681" s="13" t="s">
        <v>5698</v>
      </c>
      <c r="BK681" s="13" t="s">
        <v>5561</v>
      </c>
      <c r="BL681" s="13" t="s">
        <v>5699</v>
      </c>
      <c r="BM681" s="13" t="s">
        <v>17587</v>
      </c>
      <c r="BN681" s="13" t="s">
        <v>5510</v>
      </c>
      <c r="BO681" s="13" t="s">
        <v>5510</v>
      </c>
      <c r="BP681" s="13" t="s">
        <v>5510</v>
      </c>
      <c r="BQ681" s="13" t="s">
        <v>5510</v>
      </c>
      <c r="BR681" s="13" t="s">
        <v>5538</v>
      </c>
      <c r="BS681" s="13" t="s">
        <v>17588</v>
      </c>
      <c r="BT681" s="13">
        <v>25593.0</v>
      </c>
      <c r="BU681" s="13" t="s">
        <v>5540</v>
      </c>
      <c r="BV681" s="13" t="s">
        <v>4856</v>
      </c>
      <c r="BW681" s="13" t="str">
        <f>VLOOKUP($BT681,Enriched!$A$2:$E$1070,5,false)</f>
        <v>["Invasive &amp; other problematic species, genes &amp; diseases"]</v>
      </c>
      <c r="BX681" s="13" t="str">
        <f>VLOOKUP($BT681,Enriched!$A$2:$E$1070,4,false)</f>
        <v>["Invasive non-native/alien species/diseases"]</v>
      </c>
      <c r="BY681" s="13" t="b">
        <f>VLOOKUP(BT681,Enriched!$A$1:$AA$1070,27,falsE)</f>
        <v>0</v>
      </c>
      <c r="BZ681" s="2" t="str">
        <f>VLOOKUP(BT681,Enriched!$A$1:$AA$1070,14,falsE)</f>
        <v>level2</v>
      </c>
      <c r="CA681" s="13" t="str">
        <f>HYPERLINK("https%3A%2F%2Fwww.webofscience.com%2Fwos%2Fwoscc%2Ffull-record%2FWOS:000305724100013","View Full Record in Web of Science")</f>
        <v>View Full Record in Web of Science</v>
      </c>
    </row>
    <row r="682" ht="12.75" customHeight="1">
      <c r="A682" s="13" t="s">
        <v>5508</v>
      </c>
      <c r="B682" s="13" t="s">
        <v>17589</v>
      </c>
      <c r="C682" s="13" t="s">
        <v>5510</v>
      </c>
      <c r="D682" s="13" t="s">
        <v>5510</v>
      </c>
      <c r="E682" s="13" t="s">
        <v>5510</v>
      </c>
      <c r="F682" s="13" t="s">
        <v>17590</v>
      </c>
      <c r="G682" s="13" t="s">
        <v>5510</v>
      </c>
      <c r="H682" s="13" t="s">
        <v>5510</v>
      </c>
      <c r="I682" s="13" t="s">
        <v>937</v>
      </c>
      <c r="J682" s="13" t="s">
        <v>5543</v>
      </c>
      <c r="K682" s="13" t="s">
        <v>5510</v>
      </c>
      <c r="L682" s="13" t="s">
        <v>5510</v>
      </c>
      <c r="M682" s="13" t="s">
        <v>5513</v>
      </c>
      <c r="N682" s="13" t="s">
        <v>5514</v>
      </c>
      <c r="O682" s="13" t="s">
        <v>5510</v>
      </c>
      <c r="P682" s="13" t="s">
        <v>5510</v>
      </c>
      <c r="Q682" s="13" t="s">
        <v>5510</v>
      </c>
      <c r="R682" s="13" t="s">
        <v>5510</v>
      </c>
      <c r="S682" s="13" t="s">
        <v>5510</v>
      </c>
      <c r="T682" s="13" t="s">
        <v>5510</v>
      </c>
      <c r="U682" s="13" t="s">
        <v>17591</v>
      </c>
      <c r="V682" s="13" t="s">
        <v>17592</v>
      </c>
      <c r="W682" s="13" t="s">
        <v>17593</v>
      </c>
      <c r="X682" s="13" t="s">
        <v>17594</v>
      </c>
      <c r="Y682" s="13" t="s">
        <v>17595</v>
      </c>
      <c r="Z682" s="13" t="s">
        <v>17596</v>
      </c>
      <c r="AA682" s="13" t="s">
        <v>17597</v>
      </c>
      <c r="AB682" s="13" t="s">
        <v>17598</v>
      </c>
      <c r="AC682" s="13" t="s">
        <v>17599</v>
      </c>
      <c r="AD682" s="13" t="s">
        <v>17600</v>
      </c>
      <c r="AE682" s="13" t="s">
        <v>17601</v>
      </c>
      <c r="AF682" s="13" t="s">
        <v>5510</v>
      </c>
      <c r="AG682" s="13">
        <v>62.0</v>
      </c>
      <c r="AH682" s="13">
        <v>22.0</v>
      </c>
      <c r="AI682" s="13">
        <v>26.0</v>
      </c>
      <c r="AJ682" s="13">
        <v>1.0</v>
      </c>
      <c r="AK682" s="13">
        <v>26.0</v>
      </c>
      <c r="AL682" s="13" t="s">
        <v>5552</v>
      </c>
      <c r="AM682" s="13" t="s">
        <v>5553</v>
      </c>
      <c r="AN682" s="13" t="s">
        <v>5554</v>
      </c>
      <c r="AO682" s="13" t="s">
        <v>5555</v>
      </c>
      <c r="AP682" s="13" t="s">
        <v>5510</v>
      </c>
      <c r="AQ682" s="13" t="s">
        <v>5510</v>
      </c>
      <c r="AR682" s="13" t="s">
        <v>5543</v>
      </c>
      <c r="AS682" s="13" t="s">
        <v>5556</v>
      </c>
      <c r="AT682" s="13" t="s">
        <v>5888</v>
      </c>
      <c r="AU682" s="13">
        <v>2013.0</v>
      </c>
      <c r="AV682" s="13">
        <v>8.0</v>
      </c>
      <c r="AW682" s="13">
        <v>10.0</v>
      </c>
      <c r="AX682" s="13" t="s">
        <v>5510</v>
      </c>
      <c r="AY682" s="13" t="s">
        <v>5510</v>
      </c>
      <c r="AZ682" s="13" t="s">
        <v>5510</v>
      </c>
      <c r="BA682" s="13" t="s">
        <v>5510</v>
      </c>
      <c r="BB682" s="13" t="s">
        <v>5510</v>
      </c>
      <c r="BC682" s="13" t="s">
        <v>5510</v>
      </c>
      <c r="BD682" s="13" t="s">
        <v>17602</v>
      </c>
      <c r="BE682" s="13" t="s">
        <v>17603</v>
      </c>
      <c r="BF682" s="52" t="str">
        <f>HYPERLINK("http://dx.doi.org/10.1371/journal.pone.0076794","http://dx.doi.org/10.1371/journal.pone.0076794")</f>
        <v>http://dx.doi.org/10.1371/journal.pone.0076794</v>
      </c>
      <c r="BG682" s="13" t="s">
        <v>5510</v>
      </c>
      <c r="BH682" s="13" t="s">
        <v>5510</v>
      </c>
      <c r="BI682" s="13">
        <v>10.0</v>
      </c>
      <c r="BJ682" s="13" t="s">
        <v>5560</v>
      </c>
      <c r="BK682" s="13" t="s">
        <v>5561</v>
      </c>
      <c r="BL682" s="13" t="s">
        <v>5562</v>
      </c>
      <c r="BM682" s="13" t="s">
        <v>17604</v>
      </c>
      <c r="BN682" s="13">
        <v>2.4137496E7</v>
      </c>
      <c r="BO682" s="13" t="s">
        <v>5564</v>
      </c>
      <c r="BP682" s="13" t="s">
        <v>5510</v>
      </c>
      <c r="BQ682" s="13" t="s">
        <v>5510</v>
      </c>
      <c r="BR682" s="13" t="s">
        <v>5538</v>
      </c>
      <c r="BS682" s="13" t="s">
        <v>17605</v>
      </c>
      <c r="BT682" s="13">
        <v>25145.0</v>
      </c>
      <c r="BU682" s="13" t="s">
        <v>5540</v>
      </c>
      <c r="BV682" s="13" t="s">
        <v>4856</v>
      </c>
      <c r="BW682" s="13" t="str">
        <f>VLOOKUP($BT682,Enriched!$A$2:$E$1070,5,false)</f>
        <v>["Transportation &amp; Service Corridors"]</v>
      </c>
      <c r="BX682" s="13" t="str">
        <f>VLOOKUP($BT682,Enriched!$A$2:$E$1070,4,false)</f>
        <v>["Utility &amp; service lines"]</v>
      </c>
      <c r="BY682" s="13" t="b">
        <f>VLOOKUP(BT682,Enriched!$A$1:$AA$1070,27,falsE)</f>
        <v>0</v>
      </c>
      <c r="BZ682" s="2" t="str">
        <f>VLOOKUP(BT682,Enriched!$A$1:$AA$1070,14,falsE)</f>
        <v>level2</v>
      </c>
      <c r="CA682" s="13" t="str">
        <f>HYPERLINK("https%3A%2F%2Fwww.webofscience.com%2Fwos%2Fwoscc%2Ffull-record%2FWOS:000325810900084","View Full Record in Web of Science")</f>
        <v>View Full Record in Web of Science</v>
      </c>
    </row>
    <row r="683" ht="12.75" customHeight="1">
      <c r="A683" s="13" t="s">
        <v>5508</v>
      </c>
      <c r="B683" s="13" t="s">
        <v>17606</v>
      </c>
      <c r="C683" s="13" t="s">
        <v>5510</v>
      </c>
      <c r="D683" s="13" t="s">
        <v>5510</v>
      </c>
      <c r="E683" s="13" t="s">
        <v>5510</v>
      </c>
      <c r="F683" s="13" t="s">
        <v>17607</v>
      </c>
      <c r="G683" s="13" t="s">
        <v>5510</v>
      </c>
      <c r="H683" s="13" t="s">
        <v>5510</v>
      </c>
      <c r="I683" s="13" t="s">
        <v>932</v>
      </c>
      <c r="J683" s="13" t="s">
        <v>8795</v>
      </c>
      <c r="K683" s="13" t="s">
        <v>5510</v>
      </c>
      <c r="L683" s="13" t="s">
        <v>5510</v>
      </c>
      <c r="M683" s="13" t="s">
        <v>5513</v>
      </c>
      <c r="N683" s="13" t="s">
        <v>5514</v>
      </c>
      <c r="O683" s="13" t="s">
        <v>5510</v>
      </c>
      <c r="P683" s="13" t="s">
        <v>5510</v>
      </c>
      <c r="Q683" s="13" t="s">
        <v>5510</v>
      </c>
      <c r="R683" s="13" t="s">
        <v>5510</v>
      </c>
      <c r="S683" s="13" t="s">
        <v>5510</v>
      </c>
      <c r="T683" s="13" t="s">
        <v>5510</v>
      </c>
      <c r="U683" s="13" t="s">
        <v>17608</v>
      </c>
      <c r="V683" s="13" t="s">
        <v>17609</v>
      </c>
      <c r="W683" s="13" t="s">
        <v>17610</v>
      </c>
      <c r="X683" s="13" t="s">
        <v>17611</v>
      </c>
      <c r="Y683" s="13" t="s">
        <v>17612</v>
      </c>
      <c r="Z683" s="13" t="s">
        <v>17613</v>
      </c>
      <c r="AA683" s="13" t="s">
        <v>17614</v>
      </c>
      <c r="AB683" s="13" t="s">
        <v>17615</v>
      </c>
      <c r="AC683" s="13" t="s">
        <v>17616</v>
      </c>
      <c r="AD683" s="13" t="s">
        <v>17617</v>
      </c>
      <c r="AE683" s="13" t="s">
        <v>17618</v>
      </c>
      <c r="AF683" s="13" t="s">
        <v>5510</v>
      </c>
      <c r="AG683" s="13">
        <v>70.0</v>
      </c>
      <c r="AH683" s="13">
        <v>68.0</v>
      </c>
      <c r="AI683" s="13">
        <v>75.0</v>
      </c>
      <c r="AJ683" s="13">
        <v>0.0</v>
      </c>
      <c r="AK683" s="13">
        <v>64.0</v>
      </c>
      <c r="AL683" s="13" t="s">
        <v>8807</v>
      </c>
      <c r="AM683" s="13" t="s">
        <v>8808</v>
      </c>
      <c r="AN683" s="13" t="s">
        <v>8809</v>
      </c>
      <c r="AO683" s="13" t="s">
        <v>8810</v>
      </c>
      <c r="AP683" s="13" t="s">
        <v>5510</v>
      </c>
      <c r="AQ683" s="13" t="s">
        <v>5510</v>
      </c>
      <c r="AR683" s="13" t="s">
        <v>8811</v>
      </c>
      <c r="AS683" s="13" t="s">
        <v>8812</v>
      </c>
      <c r="AT683" s="13" t="s">
        <v>9956</v>
      </c>
      <c r="AU683" s="13">
        <v>2018.0</v>
      </c>
      <c r="AV683" s="13">
        <v>8.0</v>
      </c>
      <c r="AW683" s="13" t="s">
        <v>5510</v>
      </c>
      <c r="AX683" s="13" t="s">
        <v>5510</v>
      </c>
      <c r="AY683" s="13" t="s">
        <v>5510</v>
      </c>
      <c r="AZ683" s="13" t="s">
        <v>5510</v>
      </c>
      <c r="BA683" s="13" t="s">
        <v>5510</v>
      </c>
      <c r="BB683" s="13" t="s">
        <v>5510</v>
      </c>
      <c r="BC683" s="13" t="s">
        <v>5510</v>
      </c>
      <c r="BD683" s="13">
        <v>3347.0</v>
      </c>
      <c r="BE683" s="13" t="s">
        <v>17619</v>
      </c>
      <c r="BF683" s="52" t="str">
        <f>HYPERLINK("http://dx.doi.org/10.1038/s41598-018-21683-5","http://dx.doi.org/10.1038/s41598-018-21683-5")</f>
        <v>http://dx.doi.org/10.1038/s41598-018-21683-5</v>
      </c>
      <c r="BG683" s="13" t="s">
        <v>5510</v>
      </c>
      <c r="BH683" s="13" t="s">
        <v>5510</v>
      </c>
      <c r="BI683" s="13">
        <v>11.0</v>
      </c>
      <c r="BJ683" s="13" t="s">
        <v>5560</v>
      </c>
      <c r="BK683" s="13" t="s">
        <v>5534</v>
      </c>
      <c r="BL683" s="13" t="s">
        <v>5562</v>
      </c>
      <c r="BM683" s="13" t="s">
        <v>17620</v>
      </c>
      <c r="BN683" s="13">
        <v>2.9463851E7</v>
      </c>
      <c r="BO683" s="13" t="s">
        <v>5564</v>
      </c>
      <c r="BP683" s="13" t="s">
        <v>5510</v>
      </c>
      <c r="BQ683" s="13" t="s">
        <v>5510</v>
      </c>
      <c r="BR683" s="13" t="s">
        <v>5538</v>
      </c>
      <c r="BS683" s="13" t="s">
        <v>17621</v>
      </c>
      <c r="BT683" s="13">
        <v>23879.0</v>
      </c>
      <c r="BU683" s="13" t="s">
        <v>5540</v>
      </c>
      <c r="BV683" s="13" t="s">
        <v>4864</v>
      </c>
      <c r="BW683" s="13" t="str">
        <f>VLOOKUP($BT683,Enriched!$A$2:$E$1070,5,false)</f>
        <v>["Biological resource use"]</v>
      </c>
      <c r="BX683" s="13" t="str">
        <f>VLOOKUP($BT683,Enriched!$A$2:$E$1070,4,false)</f>
        <v>["Fishing &amp; harvesting aquatic resources"]</v>
      </c>
      <c r="BY683" s="13" t="b">
        <f>VLOOKUP(BT683,Enriched!$A$1:$AA$1070,27,falsE)</f>
        <v>0</v>
      </c>
      <c r="BZ683" s="2" t="str">
        <f>VLOOKUP(BT683,Enriched!$A$1:$AA$1070,14,falsE)</f>
        <v>level2</v>
      </c>
      <c r="CA683" s="13" t="str">
        <f>HYPERLINK("https%3A%2F%2Fwww.webofscience.com%2Fwos%2Fwoscc%2Ffull-record%2FWOS:000425500300019","View Full Record in Web of Science")</f>
        <v>View Full Record in Web of Science</v>
      </c>
    </row>
    <row r="684" ht="12.75" customHeight="1">
      <c r="A684" s="13" t="s">
        <v>5508</v>
      </c>
      <c r="B684" s="13" t="s">
        <v>17622</v>
      </c>
      <c r="C684" s="13" t="s">
        <v>5510</v>
      </c>
      <c r="D684" s="13" t="s">
        <v>5510</v>
      </c>
      <c r="E684" s="13" t="s">
        <v>5510</v>
      </c>
      <c r="F684" s="13" t="s">
        <v>17623</v>
      </c>
      <c r="G684" s="13" t="s">
        <v>5510</v>
      </c>
      <c r="H684" s="13" t="s">
        <v>5510</v>
      </c>
      <c r="I684" s="13" t="s">
        <v>17624</v>
      </c>
      <c r="J684" s="13" t="s">
        <v>17625</v>
      </c>
      <c r="K684" s="13" t="s">
        <v>5510</v>
      </c>
      <c r="L684" s="13" t="s">
        <v>5510</v>
      </c>
      <c r="M684" s="13" t="s">
        <v>5513</v>
      </c>
      <c r="N684" s="13" t="s">
        <v>5514</v>
      </c>
      <c r="O684" s="13" t="s">
        <v>5510</v>
      </c>
      <c r="P684" s="13" t="s">
        <v>5510</v>
      </c>
      <c r="Q684" s="13" t="s">
        <v>5510</v>
      </c>
      <c r="R684" s="13" t="s">
        <v>5510</v>
      </c>
      <c r="S684" s="13" t="s">
        <v>5510</v>
      </c>
      <c r="T684" s="13" t="s">
        <v>17626</v>
      </c>
      <c r="U684" s="13" t="s">
        <v>17627</v>
      </c>
      <c r="V684" s="13" t="s">
        <v>17628</v>
      </c>
      <c r="W684" s="13" t="s">
        <v>17629</v>
      </c>
      <c r="X684" s="13" t="s">
        <v>17630</v>
      </c>
      <c r="Y684" s="13" t="s">
        <v>17631</v>
      </c>
      <c r="Z684" s="13" t="s">
        <v>17632</v>
      </c>
      <c r="AA684" s="13" t="s">
        <v>17633</v>
      </c>
      <c r="AB684" s="13" t="s">
        <v>17634</v>
      </c>
      <c r="AC684" s="13" t="s">
        <v>17635</v>
      </c>
      <c r="AD684" s="13" t="s">
        <v>17636</v>
      </c>
      <c r="AE684" s="13" t="s">
        <v>17637</v>
      </c>
      <c r="AF684" s="13" t="s">
        <v>5510</v>
      </c>
      <c r="AG684" s="13">
        <v>80.0</v>
      </c>
      <c r="AH684" s="13">
        <v>174.0</v>
      </c>
      <c r="AI684" s="13">
        <v>202.0</v>
      </c>
      <c r="AJ684" s="13">
        <v>2.0</v>
      </c>
      <c r="AK684" s="13">
        <v>54.0</v>
      </c>
      <c r="AL684" s="13" t="s">
        <v>7941</v>
      </c>
      <c r="AM684" s="13" t="s">
        <v>6046</v>
      </c>
      <c r="AN684" s="13" t="s">
        <v>7942</v>
      </c>
      <c r="AO684" s="13" t="s">
        <v>5510</v>
      </c>
      <c r="AP684" s="13" t="s">
        <v>17638</v>
      </c>
      <c r="AQ684" s="13" t="s">
        <v>5510</v>
      </c>
      <c r="AR684" s="13" t="s">
        <v>17639</v>
      </c>
      <c r="AS684" s="13" t="s">
        <v>17640</v>
      </c>
      <c r="AT684" s="13" t="s">
        <v>17641</v>
      </c>
      <c r="AU684" s="13">
        <v>2016.0</v>
      </c>
      <c r="AV684" s="13">
        <v>12.0</v>
      </c>
      <c r="AW684" s="13" t="s">
        <v>5510</v>
      </c>
      <c r="AX684" s="13" t="s">
        <v>5510</v>
      </c>
      <c r="AY684" s="13" t="s">
        <v>5510</v>
      </c>
      <c r="AZ684" s="13" t="s">
        <v>5510</v>
      </c>
      <c r="BA684" s="13" t="s">
        <v>5510</v>
      </c>
      <c r="BB684" s="13" t="s">
        <v>5510</v>
      </c>
      <c r="BC684" s="13" t="s">
        <v>5510</v>
      </c>
      <c r="BD684" s="13">
        <v>78.0</v>
      </c>
      <c r="BE684" s="13" t="s">
        <v>17642</v>
      </c>
      <c r="BF684" s="52" t="str">
        <f>HYPERLINK("http://dx.doi.org/10.1186/s12917-016-0702-z","http://dx.doi.org/10.1186/s12917-016-0702-z")</f>
        <v>http://dx.doi.org/10.1186/s12917-016-0702-z</v>
      </c>
      <c r="BG684" s="13" t="s">
        <v>5510</v>
      </c>
      <c r="BH684" s="13" t="s">
        <v>5510</v>
      </c>
      <c r="BI684" s="13">
        <v>11.0</v>
      </c>
      <c r="BJ684" s="13" t="s">
        <v>8740</v>
      </c>
      <c r="BK684" s="13" t="s">
        <v>5561</v>
      </c>
      <c r="BL684" s="13" t="s">
        <v>8740</v>
      </c>
      <c r="BM684" s="13" t="s">
        <v>17643</v>
      </c>
      <c r="BN684" s="13">
        <v>2.7170307E7</v>
      </c>
      <c r="BO684" s="13" t="s">
        <v>5564</v>
      </c>
      <c r="BP684" s="13" t="s">
        <v>5510</v>
      </c>
      <c r="BQ684" s="13" t="s">
        <v>5510</v>
      </c>
      <c r="BR684" s="13" t="s">
        <v>5538</v>
      </c>
      <c r="BS684" s="13" t="s">
        <v>17644</v>
      </c>
      <c r="BT684" s="13">
        <v>24706.0</v>
      </c>
      <c r="BU684" s="13" t="s">
        <v>9118</v>
      </c>
      <c r="BV684" s="13" t="s">
        <v>4856</v>
      </c>
      <c r="BW684" s="13" t="str">
        <f>VLOOKUP($BT684,Enriched!$A$2:$E$1070,5,false)</f>
        <v>["Invasive &amp; Other Problematic Species, Genes &amp; Diseases"]</v>
      </c>
      <c r="BX684" s="13" t="str">
        <f>VLOOKUP($BT684,Enriched!$A$2:$E$1070,4,false)</f>
        <v>["Problematic species/diseases of unknown origin"]</v>
      </c>
      <c r="BY684" s="13" t="b">
        <f>VLOOKUP(BT684,Enriched!$A$1:$AA$1070,27,falsE)</f>
        <v>0</v>
      </c>
      <c r="BZ684" s="2" t="str">
        <f>VLOOKUP(BT684,Enriched!$A$1:$AA$1070,14,falsE)</f>
        <v>level2</v>
      </c>
      <c r="CA684" s="13" t="str">
        <f>HYPERLINK("https%3A%2F%2Fwww.webofscience.com%2Fwos%2Fwoscc%2Ffull-record%2FWOS:000376147400001","View Full Record in Web of Science")</f>
        <v>View Full Record in Web of Science</v>
      </c>
    </row>
    <row r="685" ht="12.75" customHeight="1">
      <c r="A685" s="13" t="s">
        <v>5508</v>
      </c>
      <c r="B685" s="13" t="s">
        <v>17645</v>
      </c>
      <c r="C685" s="13" t="s">
        <v>5510</v>
      </c>
      <c r="D685" s="13" t="s">
        <v>5510</v>
      </c>
      <c r="E685" s="13" t="s">
        <v>5510</v>
      </c>
      <c r="F685" s="13" t="s">
        <v>17646</v>
      </c>
      <c r="G685" s="13" t="s">
        <v>5510</v>
      </c>
      <c r="H685" s="13" t="s">
        <v>5510</v>
      </c>
      <c r="I685" s="13" t="s">
        <v>919</v>
      </c>
      <c r="J685" s="13" t="s">
        <v>17647</v>
      </c>
      <c r="K685" s="13" t="s">
        <v>5510</v>
      </c>
      <c r="L685" s="13" t="s">
        <v>5510</v>
      </c>
      <c r="M685" s="13" t="s">
        <v>5513</v>
      </c>
      <c r="N685" s="13" t="s">
        <v>5514</v>
      </c>
      <c r="O685" s="13" t="s">
        <v>5510</v>
      </c>
      <c r="P685" s="13" t="s">
        <v>5510</v>
      </c>
      <c r="Q685" s="13" t="s">
        <v>5510</v>
      </c>
      <c r="R685" s="13" t="s">
        <v>5510</v>
      </c>
      <c r="S685" s="13" t="s">
        <v>5510</v>
      </c>
      <c r="T685" s="13" t="s">
        <v>17648</v>
      </c>
      <c r="U685" s="13" t="s">
        <v>17649</v>
      </c>
      <c r="V685" s="13" t="s">
        <v>17650</v>
      </c>
      <c r="W685" s="13" t="s">
        <v>17651</v>
      </c>
      <c r="X685" s="13" t="s">
        <v>17652</v>
      </c>
      <c r="Y685" s="13" t="s">
        <v>17653</v>
      </c>
      <c r="Z685" s="13" t="s">
        <v>17654</v>
      </c>
      <c r="AA685" s="13" t="s">
        <v>17655</v>
      </c>
      <c r="AB685" s="13" t="s">
        <v>17656</v>
      </c>
      <c r="AC685" s="13" t="s">
        <v>17657</v>
      </c>
      <c r="AD685" s="13" t="s">
        <v>17658</v>
      </c>
      <c r="AE685" s="13" t="s">
        <v>17659</v>
      </c>
      <c r="AF685" s="13" t="s">
        <v>5510</v>
      </c>
      <c r="AG685" s="13">
        <v>47.0</v>
      </c>
      <c r="AH685" s="13">
        <v>13.0</v>
      </c>
      <c r="AI685" s="13">
        <v>13.0</v>
      </c>
      <c r="AJ685" s="13">
        <v>0.0</v>
      </c>
      <c r="AK685" s="13">
        <v>25.0</v>
      </c>
      <c r="AL685" s="13" t="s">
        <v>17660</v>
      </c>
      <c r="AM685" s="13" t="s">
        <v>17661</v>
      </c>
      <c r="AN685" s="13" t="s">
        <v>17662</v>
      </c>
      <c r="AO685" s="13" t="s">
        <v>17663</v>
      </c>
      <c r="AP685" s="13" t="s">
        <v>5510</v>
      </c>
      <c r="AQ685" s="13" t="s">
        <v>5510</v>
      </c>
      <c r="AR685" s="13" t="s">
        <v>17647</v>
      </c>
      <c r="AS685" s="13" t="s">
        <v>920</v>
      </c>
      <c r="AT685" s="13" t="s">
        <v>8511</v>
      </c>
      <c r="AU685" s="13">
        <v>2017.0</v>
      </c>
      <c r="AV685" s="13">
        <v>53.0</v>
      </c>
      <c r="AW685" s="13">
        <v>1.0</v>
      </c>
      <c r="AX685" s="13" t="s">
        <v>5510</v>
      </c>
      <c r="AY685" s="13" t="s">
        <v>5510</v>
      </c>
      <c r="AZ685" s="13" t="s">
        <v>5510</v>
      </c>
      <c r="BA685" s="13" t="s">
        <v>5510</v>
      </c>
      <c r="BB685" s="13">
        <v>44.0</v>
      </c>
      <c r="BC685" s="13">
        <v>49.0</v>
      </c>
      <c r="BD685" s="13" t="s">
        <v>5510</v>
      </c>
      <c r="BE685" s="13" t="str">
        <f>#REF!</f>
        <v>#REF!</v>
      </c>
      <c r="BF685" s="13" t="s">
        <v>5510</v>
      </c>
      <c r="BG685" s="13" t="s">
        <v>5510</v>
      </c>
      <c r="BH685" s="13" t="s">
        <v>5510</v>
      </c>
      <c r="BI685" s="13">
        <v>6.0</v>
      </c>
      <c r="BJ685" s="13" t="s">
        <v>11923</v>
      </c>
      <c r="BK685" s="13" t="s">
        <v>5561</v>
      </c>
      <c r="BL685" s="13" t="s">
        <v>11923</v>
      </c>
      <c r="BM685" s="13" t="s">
        <v>17664</v>
      </c>
      <c r="BN685" s="13" t="s">
        <v>5510</v>
      </c>
      <c r="BO685" s="13" t="s">
        <v>5510</v>
      </c>
      <c r="BP685" s="13" t="s">
        <v>5510</v>
      </c>
      <c r="BQ685" s="13" t="s">
        <v>5510</v>
      </c>
      <c r="BR685" s="13" t="s">
        <v>5538</v>
      </c>
      <c r="BS685" s="13" t="s">
        <v>17665</v>
      </c>
      <c r="BT685" s="13">
        <v>25934.0</v>
      </c>
      <c r="BU685" s="13" t="s">
        <v>5540</v>
      </c>
      <c r="BV685" s="13" t="s">
        <v>4886</v>
      </c>
      <c r="BW685" s="13" t="str">
        <f>VLOOKUP($BT685,Enriched!$A$2:$E$1070,5,false)</f>
        <v>["Invasive &amp; other problematic species, genes &amp; diseases"]</v>
      </c>
      <c r="BX685" s="13" t="str">
        <f>VLOOKUP($BT685,Enriched!$A$2:$E$1070,4,false)</f>
        <v>["Invasive non-native/alien species/diseases"]</v>
      </c>
      <c r="BY685" s="13" t="b">
        <f>VLOOKUP(BT685,Enriched!$A$1:$AA$1070,27,falsE)</f>
        <v>0</v>
      </c>
      <c r="BZ685" s="2" t="str">
        <f>VLOOKUP(BT685,Enriched!$A$1:$AA$1070,14,falsE)</f>
        <v>level2</v>
      </c>
      <c r="CA685" s="13" t="str">
        <f>HYPERLINK("https%3A%2F%2Fwww.webofscience.com%2Fwos%2Fwoscc%2Ffull-record%2FWOS:000395866400006","View Full Record in Web of Science")</f>
        <v>View Full Record in Web of Science</v>
      </c>
    </row>
    <row r="686" ht="12.75" customHeight="1">
      <c r="A686" s="13" t="s">
        <v>5508</v>
      </c>
      <c r="B686" s="13" t="s">
        <v>17666</v>
      </c>
      <c r="C686" s="13" t="s">
        <v>5510</v>
      </c>
      <c r="D686" s="13" t="s">
        <v>5510</v>
      </c>
      <c r="E686" s="13" t="s">
        <v>5510</v>
      </c>
      <c r="F686" s="13" t="s">
        <v>17667</v>
      </c>
      <c r="G686" s="13" t="s">
        <v>5510</v>
      </c>
      <c r="H686" s="13" t="s">
        <v>5510</v>
      </c>
      <c r="I686" s="13" t="s">
        <v>916</v>
      </c>
      <c r="J686" s="13" t="s">
        <v>5677</v>
      </c>
      <c r="K686" s="13" t="s">
        <v>5510</v>
      </c>
      <c r="L686" s="13" t="s">
        <v>5510</v>
      </c>
      <c r="M686" s="13" t="s">
        <v>5513</v>
      </c>
      <c r="N686" s="13" t="s">
        <v>5514</v>
      </c>
      <c r="O686" s="13" t="s">
        <v>5510</v>
      </c>
      <c r="P686" s="13" t="s">
        <v>5510</v>
      </c>
      <c r="Q686" s="13" t="s">
        <v>5510</v>
      </c>
      <c r="R686" s="13" t="s">
        <v>5510</v>
      </c>
      <c r="S686" s="13" t="s">
        <v>5510</v>
      </c>
      <c r="T686" s="13" t="s">
        <v>17668</v>
      </c>
      <c r="U686" s="13" t="s">
        <v>17669</v>
      </c>
      <c r="V686" s="13" t="s">
        <v>17670</v>
      </c>
      <c r="W686" s="13" t="s">
        <v>17671</v>
      </c>
      <c r="X686" s="13" t="s">
        <v>17672</v>
      </c>
      <c r="Y686" s="13" t="s">
        <v>17673</v>
      </c>
      <c r="Z686" s="13" t="s">
        <v>17674</v>
      </c>
      <c r="AA686" s="13" t="s">
        <v>17675</v>
      </c>
      <c r="AB686" s="13" t="s">
        <v>17676</v>
      </c>
      <c r="AC686" s="13" t="s">
        <v>17677</v>
      </c>
      <c r="AD686" s="13" t="s">
        <v>17677</v>
      </c>
      <c r="AE686" s="13" t="s">
        <v>17678</v>
      </c>
      <c r="AF686" s="13" t="s">
        <v>5510</v>
      </c>
      <c r="AG686" s="13">
        <v>66.0</v>
      </c>
      <c r="AH686" s="13">
        <v>10.0</v>
      </c>
      <c r="AI686" s="13">
        <v>14.0</v>
      </c>
      <c r="AJ686" s="13">
        <v>1.0</v>
      </c>
      <c r="AK686" s="13">
        <v>86.0</v>
      </c>
      <c r="AL686" s="13" t="s">
        <v>5690</v>
      </c>
      <c r="AM686" s="13" t="s">
        <v>5691</v>
      </c>
      <c r="AN686" s="13" t="s">
        <v>5692</v>
      </c>
      <c r="AO686" s="13" t="s">
        <v>5693</v>
      </c>
      <c r="AP686" s="13" t="s">
        <v>5694</v>
      </c>
      <c r="AQ686" s="13" t="s">
        <v>5510</v>
      </c>
      <c r="AR686" s="13" t="s">
        <v>5695</v>
      </c>
      <c r="AS686" s="13" t="s">
        <v>5696</v>
      </c>
      <c r="AT686" s="13" t="s">
        <v>1453</v>
      </c>
      <c r="AU686" s="13">
        <v>2018.0</v>
      </c>
      <c r="AV686" s="13">
        <v>27.0</v>
      </c>
      <c r="AW686" s="13">
        <v>13.0</v>
      </c>
      <c r="AX686" s="13" t="s">
        <v>5510</v>
      </c>
      <c r="AY686" s="13" t="s">
        <v>5510</v>
      </c>
      <c r="AZ686" s="13" t="s">
        <v>5510</v>
      </c>
      <c r="BA686" s="13" t="s">
        <v>5510</v>
      </c>
      <c r="BB686" s="13">
        <v>3469.0</v>
      </c>
      <c r="BC686" s="13">
        <v>3511.0</v>
      </c>
      <c r="BD686" s="13" t="s">
        <v>5510</v>
      </c>
      <c r="BE686" s="13" t="s">
        <v>17679</v>
      </c>
      <c r="BF686" s="52" t="str">
        <f>HYPERLINK("http://dx.doi.org/10.1007/s10531-018-1611-1","http://dx.doi.org/10.1007/s10531-018-1611-1")</f>
        <v>http://dx.doi.org/10.1007/s10531-018-1611-1</v>
      </c>
      <c r="BG686" s="13" t="s">
        <v>5510</v>
      </c>
      <c r="BH686" s="13" t="s">
        <v>5510</v>
      </c>
      <c r="BI686" s="13">
        <v>43.0</v>
      </c>
      <c r="BJ686" s="13" t="s">
        <v>5698</v>
      </c>
      <c r="BK686" s="13" t="s">
        <v>5561</v>
      </c>
      <c r="BL686" s="13" t="s">
        <v>5699</v>
      </c>
      <c r="BM686" s="13" t="s">
        <v>17680</v>
      </c>
      <c r="BN686" s="13" t="s">
        <v>5510</v>
      </c>
      <c r="BO686" s="13" t="s">
        <v>5510</v>
      </c>
      <c r="BP686" s="13" t="s">
        <v>5510</v>
      </c>
      <c r="BQ686" s="13" t="s">
        <v>5510</v>
      </c>
      <c r="BR686" s="13" t="s">
        <v>5538</v>
      </c>
      <c r="BS686" s="13" t="s">
        <v>17681</v>
      </c>
      <c r="BT686" s="13">
        <v>23682.0</v>
      </c>
      <c r="BU686" s="13" t="s">
        <v>5540</v>
      </c>
      <c r="BV686" s="13" t="s">
        <v>4856</v>
      </c>
      <c r="BW686" s="13" t="str">
        <f>VLOOKUP($BT686,Enriched!$A$2:$E$1070,5,false)</f>
        <v>["Agriculture &amp; Aquaculture", "Transportation &amp; Service Corridors", "Energy Production &amp; Mining"]</v>
      </c>
      <c r="BX686" s="13" t="str">
        <f>VLOOKUP($BT686,Enriched!$A$2:$E$1070,4,false)</f>
        <v>["Annual &amp; perennial non-timber crops", "Roads &amp; railroads", "Oil &amp; gas drilling", "Utility &amp; service lines", "Mining &amp; quarrying"]</v>
      </c>
      <c r="BY686" s="13" t="b">
        <f>VLOOKUP(BT686,Enriched!$A$1:$AA$1070,27,falsE)</f>
        <v>0</v>
      </c>
      <c r="BZ686" s="2" t="str">
        <f>VLOOKUP(BT686,Enriched!$A$1:$AA$1070,14,falsE)</f>
        <v>level2</v>
      </c>
      <c r="CA686" s="13" t="str">
        <f>HYPERLINK("https%3A%2F%2Fwww.webofscience.com%2Fwos%2Fwoscc%2Ffull-record%2FWOS:000445737300008","View Full Record in Web of Science")</f>
        <v>View Full Record in Web of Science</v>
      </c>
    </row>
    <row r="687" ht="12.75" customHeight="1">
      <c r="A687" s="13" t="s">
        <v>5508</v>
      </c>
      <c r="B687" s="13" t="s">
        <v>17682</v>
      </c>
      <c r="C687" s="13" t="s">
        <v>5510</v>
      </c>
      <c r="D687" s="13" t="s">
        <v>5510</v>
      </c>
      <c r="E687" s="13" t="s">
        <v>5510</v>
      </c>
      <c r="F687" s="13" t="s">
        <v>17683</v>
      </c>
      <c r="G687" s="13" t="s">
        <v>5510</v>
      </c>
      <c r="H687" s="13" t="s">
        <v>5510</v>
      </c>
      <c r="I687" s="13" t="s">
        <v>912</v>
      </c>
      <c r="J687" s="13" t="s">
        <v>7052</v>
      </c>
      <c r="K687" s="13" t="s">
        <v>5510</v>
      </c>
      <c r="L687" s="13" t="s">
        <v>5510</v>
      </c>
      <c r="M687" s="13" t="s">
        <v>5513</v>
      </c>
      <c r="N687" s="13" t="s">
        <v>5514</v>
      </c>
      <c r="O687" s="13" t="s">
        <v>5510</v>
      </c>
      <c r="P687" s="13" t="s">
        <v>5510</v>
      </c>
      <c r="Q687" s="13" t="s">
        <v>5510</v>
      </c>
      <c r="R687" s="13" t="s">
        <v>5510</v>
      </c>
      <c r="S687" s="13" t="s">
        <v>5510</v>
      </c>
      <c r="T687" s="13" t="s">
        <v>17684</v>
      </c>
      <c r="U687" s="13" t="s">
        <v>17685</v>
      </c>
      <c r="V687" s="13" t="s">
        <v>17686</v>
      </c>
      <c r="W687" s="13" t="s">
        <v>17687</v>
      </c>
      <c r="X687" s="13" t="s">
        <v>17688</v>
      </c>
      <c r="Y687" s="13" t="s">
        <v>17689</v>
      </c>
      <c r="Z687" s="13" t="s">
        <v>17690</v>
      </c>
      <c r="AA687" s="13" t="s">
        <v>17691</v>
      </c>
      <c r="AB687" s="13" t="s">
        <v>17692</v>
      </c>
      <c r="AC687" s="13" t="s">
        <v>17693</v>
      </c>
      <c r="AD687" s="13" t="s">
        <v>17694</v>
      </c>
      <c r="AE687" s="13" t="s">
        <v>17695</v>
      </c>
      <c r="AF687" s="13" t="s">
        <v>5510</v>
      </c>
      <c r="AG687" s="13">
        <v>74.0</v>
      </c>
      <c r="AH687" s="13">
        <v>7.0</v>
      </c>
      <c r="AI687" s="13">
        <v>8.0</v>
      </c>
      <c r="AJ687" s="13">
        <v>1.0</v>
      </c>
      <c r="AK687" s="13">
        <v>28.0</v>
      </c>
      <c r="AL687" s="13" t="s">
        <v>7065</v>
      </c>
      <c r="AM687" s="13" t="s">
        <v>6503</v>
      </c>
      <c r="AN687" s="13" t="s">
        <v>7066</v>
      </c>
      <c r="AO687" s="13" t="s">
        <v>7067</v>
      </c>
      <c r="AP687" s="13" t="s">
        <v>7068</v>
      </c>
      <c r="AQ687" s="13" t="s">
        <v>5510</v>
      </c>
      <c r="AR687" s="13" t="s">
        <v>7069</v>
      </c>
      <c r="AS687" s="13" t="s">
        <v>7070</v>
      </c>
      <c r="AT687" s="13" t="s">
        <v>5720</v>
      </c>
      <c r="AU687" s="13">
        <v>2019.0</v>
      </c>
      <c r="AV687" s="13">
        <v>46.0</v>
      </c>
      <c r="AW687" s="13">
        <v>2.0</v>
      </c>
      <c r="AX687" s="13" t="s">
        <v>5510</v>
      </c>
      <c r="AY687" s="13" t="s">
        <v>5510</v>
      </c>
      <c r="AZ687" s="13" t="s">
        <v>5646</v>
      </c>
      <c r="BA687" s="13" t="s">
        <v>5510</v>
      </c>
      <c r="BB687" s="13">
        <v>163.0</v>
      </c>
      <c r="BC687" s="13">
        <v>170.0</v>
      </c>
      <c r="BD687" s="13" t="s">
        <v>17696</v>
      </c>
      <c r="BE687" s="13" t="s">
        <v>17697</v>
      </c>
      <c r="BF687" s="52" t="str">
        <f>HYPERLINK("http://dx.doi.org/10.1017/S0376892918000486","http://dx.doi.org/10.1017/S0376892918000486")</f>
        <v>http://dx.doi.org/10.1017/S0376892918000486</v>
      </c>
      <c r="BG687" s="13" t="s">
        <v>5510</v>
      </c>
      <c r="BH687" s="13" t="s">
        <v>5510</v>
      </c>
      <c r="BI687" s="13">
        <v>8.0</v>
      </c>
      <c r="BJ687" s="13" t="s">
        <v>6422</v>
      </c>
      <c r="BK687" s="13" t="s">
        <v>5561</v>
      </c>
      <c r="BL687" s="13" t="s">
        <v>5699</v>
      </c>
      <c r="BM687" s="13" t="s">
        <v>17698</v>
      </c>
      <c r="BN687" s="13" t="s">
        <v>5510</v>
      </c>
      <c r="BO687" s="13" t="s">
        <v>5809</v>
      </c>
      <c r="BP687" s="13" t="s">
        <v>5510</v>
      </c>
      <c r="BQ687" s="13" t="s">
        <v>5510</v>
      </c>
      <c r="BR687" s="13" t="s">
        <v>5538</v>
      </c>
      <c r="BS687" s="13" t="s">
        <v>17699</v>
      </c>
      <c r="BT687" s="13">
        <v>23318.0</v>
      </c>
      <c r="BU687" s="13" t="s">
        <v>5540</v>
      </c>
      <c r="BV687" s="13" t="s">
        <v>4856</v>
      </c>
      <c r="BW687" s="13" t="str">
        <f>VLOOKUP($BT687,Enriched!$A$2:$E$1070,5,false)</f>
        <v>["Biological resource use"]</v>
      </c>
      <c r="BX687" s="13" t="str">
        <f>VLOOKUP($BT687,Enriched!$A$2:$E$1070,4,false)</f>
        <v>["Hunting &amp; collecting terrestrial animals"]</v>
      </c>
      <c r="BY687" s="13" t="b">
        <f>VLOOKUP(BT687,Enriched!$A$1:$AA$1070,27,falsE)</f>
        <v>0</v>
      </c>
      <c r="BZ687" s="2" t="str">
        <f>VLOOKUP(BT687,Enriched!$A$1:$AA$1070,14,falsE)</f>
        <v>level2</v>
      </c>
      <c r="CA687" s="13" t="str">
        <f>HYPERLINK("https%3A%2F%2Fwww.webofscience.com%2Fwos%2Fwoscc%2Ffull-record%2FWOS:000466130300010","View Full Record in Web of Science")</f>
        <v>View Full Record in Web of Science</v>
      </c>
    </row>
    <row r="688" ht="12.75" customHeight="1">
      <c r="A688" s="13" t="s">
        <v>5508</v>
      </c>
      <c r="B688" s="13" t="s">
        <v>17700</v>
      </c>
      <c r="C688" s="13" t="s">
        <v>5510</v>
      </c>
      <c r="D688" s="13" t="s">
        <v>5510</v>
      </c>
      <c r="E688" s="13" t="s">
        <v>5510</v>
      </c>
      <c r="F688" s="13" t="s">
        <v>17701</v>
      </c>
      <c r="G688" s="13" t="s">
        <v>5510</v>
      </c>
      <c r="H688" s="13" t="s">
        <v>5510</v>
      </c>
      <c r="I688" s="13" t="s">
        <v>17702</v>
      </c>
      <c r="J688" s="13" t="s">
        <v>6032</v>
      </c>
      <c r="K688" s="13" t="s">
        <v>5510</v>
      </c>
      <c r="L688" s="13" t="s">
        <v>5510</v>
      </c>
      <c r="M688" s="13" t="s">
        <v>5513</v>
      </c>
      <c r="N688" s="13" t="s">
        <v>5514</v>
      </c>
      <c r="O688" s="13" t="s">
        <v>5510</v>
      </c>
      <c r="P688" s="13" t="s">
        <v>5510</v>
      </c>
      <c r="Q688" s="13" t="s">
        <v>5510</v>
      </c>
      <c r="R688" s="13" t="s">
        <v>5510</v>
      </c>
      <c r="S688" s="13" t="s">
        <v>5510</v>
      </c>
      <c r="T688" s="13" t="s">
        <v>17703</v>
      </c>
      <c r="U688" s="13" t="s">
        <v>17704</v>
      </c>
      <c r="V688" s="13" t="s">
        <v>17705</v>
      </c>
      <c r="W688" s="13" t="s">
        <v>17706</v>
      </c>
      <c r="X688" s="13" t="s">
        <v>17707</v>
      </c>
      <c r="Y688" s="13" t="s">
        <v>17708</v>
      </c>
      <c r="Z688" s="13" t="s">
        <v>17709</v>
      </c>
      <c r="AA688" s="13" t="s">
        <v>5510</v>
      </c>
      <c r="AB688" s="13" t="s">
        <v>5510</v>
      </c>
      <c r="AC688" s="13" t="s">
        <v>17710</v>
      </c>
      <c r="AD688" s="13" t="s">
        <v>17711</v>
      </c>
      <c r="AE688" s="13" t="s">
        <v>17712</v>
      </c>
      <c r="AF688" s="13" t="s">
        <v>5510</v>
      </c>
      <c r="AG688" s="13">
        <v>46.0</v>
      </c>
      <c r="AH688" s="13">
        <v>11.0</v>
      </c>
      <c r="AI688" s="13">
        <v>12.0</v>
      </c>
      <c r="AJ688" s="13">
        <v>0.0</v>
      </c>
      <c r="AK688" s="13">
        <v>16.0</v>
      </c>
      <c r="AL688" s="13" t="s">
        <v>6045</v>
      </c>
      <c r="AM688" s="13" t="s">
        <v>6046</v>
      </c>
      <c r="AN688" s="13" t="s">
        <v>6047</v>
      </c>
      <c r="AO688" s="13" t="s">
        <v>6048</v>
      </c>
      <c r="AP688" s="13" t="s">
        <v>5510</v>
      </c>
      <c r="AQ688" s="13" t="s">
        <v>5510</v>
      </c>
      <c r="AR688" s="13" t="s">
        <v>6032</v>
      </c>
      <c r="AS688" s="13" t="s">
        <v>174</v>
      </c>
      <c r="AT688" s="13" t="s">
        <v>8558</v>
      </c>
      <c r="AU688" s="13">
        <v>2018.0</v>
      </c>
      <c r="AV688" s="13">
        <v>6.0</v>
      </c>
      <c r="AW688" s="13" t="s">
        <v>5510</v>
      </c>
      <c r="AX688" s="13" t="s">
        <v>5510</v>
      </c>
      <c r="AY688" s="13" t="s">
        <v>5510</v>
      </c>
      <c r="AZ688" s="13" t="s">
        <v>5510</v>
      </c>
      <c r="BA688" s="13" t="s">
        <v>5510</v>
      </c>
      <c r="BB688" s="13" t="s">
        <v>5510</v>
      </c>
      <c r="BC688" s="13" t="s">
        <v>5510</v>
      </c>
      <c r="BD688" s="13" t="s">
        <v>17713</v>
      </c>
      <c r="BE688" s="13" t="s">
        <v>17714</v>
      </c>
      <c r="BF688" s="52" t="str">
        <f>HYPERLINK("http://dx.doi.org/10.7717/peerj.5697","http://dx.doi.org/10.7717/peerj.5697")</f>
        <v>http://dx.doi.org/10.7717/peerj.5697</v>
      </c>
      <c r="BG688" s="13" t="s">
        <v>5510</v>
      </c>
      <c r="BH688" s="13" t="s">
        <v>5510</v>
      </c>
      <c r="BI688" s="13">
        <v>38.0</v>
      </c>
      <c r="BJ688" s="13" t="s">
        <v>5560</v>
      </c>
      <c r="BK688" s="13" t="s">
        <v>5561</v>
      </c>
      <c r="BL688" s="13" t="s">
        <v>5562</v>
      </c>
      <c r="BM688" s="13" t="s">
        <v>17715</v>
      </c>
      <c r="BN688" s="13">
        <v>3.0324013E7</v>
      </c>
      <c r="BO688" s="13" t="s">
        <v>5564</v>
      </c>
      <c r="BP688" s="13" t="s">
        <v>5510</v>
      </c>
      <c r="BQ688" s="13" t="s">
        <v>5510</v>
      </c>
      <c r="BR688" s="13" t="s">
        <v>5538</v>
      </c>
      <c r="BS688" s="13" t="s">
        <v>17716</v>
      </c>
      <c r="BT688" s="13">
        <v>25449.0</v>
      </c>
      <c r="BU688" s="13" t="s">
        <v>5540</v>
      </c>
      <c r="BV688" s="13" t="s">
        <v>4864</v>
      </c>
      <c r="BW688" s="13" t="str">
        <f>VLOOKUP($BT688,Enriched!$A$2:$E$1070,5,false)</f>
        <v>["Biological resource use"]</v>
      </c>
      <c r="BX688" s="13" t="str">
        <f>VLOOKUP($BT688,Enriched!$A$2:$E$1070,4,false)</f>
        <v>["Fishing &amp; harvesting aquatic resources"]</v>
      </c>
      <c r="BY688" s="13" t="b">
        <f>VLOOKUP(BT688,Enriched!$A$1:$AA$1070,27,falsE)</f>
        <v>0</v>
      </c>
      <c r="BZ688" s="2" t="str">
        <f>VLOOKUP(BT688,Enriched!$A$1:$AA$1070,14,falsE)</f>
        <v>level2</v>
      </c>
      <c r="CA688" s="13" t="str">
        <f>HYPERLINK("https%3A%2F%2Fwww.webofscience.com%2Fwos%2Fwoscc%2Ffull-record%2FWOS:000447216100002","View Full Record in Web of Science")</f>
        <v>View Full Record in Web of Science</v>
      </c>
    </row>
    <row r="689" ht="12.75" customHeight="1">
      <c r="A689" s="13" t="s">
        <v>5508</v>
      </c>
      <c r="B689" s="13" t="s">
        <v>17717</v>
      </c>
      <c r="C689" s="13" t="s">
        <v>5510</v>
      </c>
      <c r="D689" s="13" t="s">
        <v>5510</v>
      </c>
      <c r="E689" s="13" t="s">
        <v>5510</v>
      </c>
      <c r="F689" s="13" t="s">
        <v>17718</v>
      </c>
      <c r="G689" s="13" t="s">
        <v>5510</v>
      </c>
      <c r="H689" s="13" t="s">
        <v>5510</v>
      </c>
      <c r="I689" s="13" t="s">
        <v>907</v>
      </c>
      <c r="J689" s="13" t="s">
        <v>46</v>
      </c>
      <c r="K689" s="13" t="s">
        <v>5510</v>
      </c>
      <c r="L689" s="13" t="s">
        <v>5510</v>
      </c>
      <c r="M689" s="13" t="s">
        <v>5513</v>
      </c>
      <c r="N689" s="13" t="s">
        <v>5514</v>
      </c>
      <c r="O689" s="13" t="s">
        <v>5510</v>
      </c>
      <c r="P689" s="13" t="s">
        <v>5510</v>
      </c>
      <c r="Q689" s="13" t="s">
        <v>5510</v>
      </c>
      <c r="R689" s="13" t="s">
        <v>5510</v>
      </c>
      <c r="S689" s="13" t="s">
        <v>5510</v>
      </c>
      <c r="T689" s="13" t="s">
        <v>17719</v>
      </c>
      <c r="U689" s="13" t="s">
        <v>17720</v>
      </c>
      <c r="V689" s="13" t="s">
        <v>17721</v>
      </c>
      <c r="W689" s="13" t="s">
        <v>17722</v>
      </c>
      <c r="X689" s="13" t="s">
        <v>17723</v>
      </c>
      <c r="Y689" s="13" t="s">
        <v>17724</v>
      </c>
      <c r="Z689" s="13" t="s">
        <v>17725</v>
      </c>
      <c r="AA689" s="13" t="s">
        <v>17726</v>
      </c>
      <c r="AB689" s="13" t="s">
        <v>17727</v>
      </c>
      <c r="AC689" s="13" t="s">
        <v>17728</v>
      </c>
      <c r="AD689" s="13" t="s">
        <v>17729</v>
      </c>
      <c r="AE689" s="13" t="s">
        <v>17730</v>
      </c>
      <c r="AF689" s="13" t="s">
        <v>5510</v>
      </c>
      <c r="AG689" s="13">
        <v>27.0</v>
      </c>
      <c r="AH689" s="13">
        <v>16.0</v>
      </c>
      <c r="AI689" s="13">
        <v>22.0</v>
      </c>
      <c r="AJ689" s="13">
        <v>0.0</v>
      </c>
      <c r="AK689" s="13">
        <v>36.0</v>
      </c>
      <c r="AL689" s="13" t="s">
        <v>7065</v>
      </c>
      <c r="AM689" s="13" t="s">
        <v>6503</v>
      </c>
      <c r="AN689" s="13" t="s">
        <v>7066</v>
      </c>
      <c r="AO689" s="13" t="s">
        <v>7734</v>
      </c>
      <c r="AP689" s="13" t="s">
        <v>7735</v>
      </c>
      <c r="AQ689" s="13" t="s">
        <v>5510</v>
      </c>
      <c r="AR689" s="13" t="s">
        <v>46</v>
      </c>
      <c r="AS689" s="13" t="s">
        <v>1196</v>
      </c>
      <c r="AT689" s="13" t="s">
        <v>5582</v>
      </c>
      <c r="AU689" s="13">
        <v>2019.0</v>
      </c>
      <c r="AV689" s="13">
        <v>53.0</v>
      </c>
      <c r="AW689" s="13">
        <v>1.0</v>
      </c>
      <c r="AX689" s="13" t="s">
        <v>5510</v>
      </c>
      <c r="AY689" s="13" t="s">
        <v>5510</v>
      </c>
      <c r="AZ689" s="13" t="s">
        <v>5510</v>
      </c>
      <c r="BA689" s="13" t="s">
        <v>5510</v>
      </c>
      <c r="BB689" s="13">
        <v>159.0</v>
      </c>
      <c r="BC689" s="13">
        <v>164.0</v>
      </c>
      <c r="BD689" s="13" t="s">
        <v>5510</v>
      </c>
      <c r="BE689" s="13" t="s">
        <v>17731</v>
      </c>
      <c r="BF689" s="52" t="str">
        <f>HYPERLINK("http://dx.doi.org/10.1017/S0030605317000023","http://dx.doi.org/10.1017/S0030605317000023")</f>
        <v>http://dx.doi.org/10.1017/S0030605317000023</v>
      </c>
      <c r="BG689" s="13" t="s">
        <v>5510</v>
      </c>
      <c r="BH689" s="13" t="s">
        <v>5510</v>
      </c>
      <c r="BI689" s="13">
        <v>6.0</v>
      </c>
      <c r="BJ689" s="13" t="s">
        <v>5958</v>
      </c>
      <c r="BK689" s="13" t="s">
        <v>5561</v>
      </c>
      <c r="BL689" s="13" t="s">
        <v>5699</v>
      </c>
      <c r="BM689" s="13" t="s">
        <v>17732</v>
      </c>
      <c r="BN689" s="13" t="s">
        <v>5510</v>
      </c>
      <c r="BO689" s="13" t="s">
        <v>5809</v>
      </c>
      <c r="BP689" s="13" t="s">
        <v>5510</v>
      </c>
      <c r="BQ689" s="13" t="s">
        <v>5510</v>
      </c>
      <c r="BR689" s="13" t="s">
        <v>5538</v>
      </c>
      <c r="BS689" s="13" t="s">
        <v>17733</v>
      </c>
      <c r="BT689" s="13">
        <v>24660.0</v>
      </c>
      <c r="BU689" s="13" t="s">
        <v>5540</v>
      </c>
      <c r="BV689" s="13" t="s">
        <v>4856</v>
      </c>
      <c r="BW689" s="13" t="str">
        <f>VLOOKUP($BT689,Enriched!$A$2:$E$1070,5,false)</f>
        <v>["Biological resource use"]</v>
      </c>
      <c r="BX689" s="13" t="str">
        <f>VLOOKUP($BT689,Enriched!$A$2:$E$1070,4,false)</f>
        <v>["Hunting &amp; collecting terrestrial animals"]</v>
      </c>
      <c r="BY689" s="13" t="b">
        <f>VLOOKUP(BT689,Enriched!$A$1:$AA$1070,27,falsE)</f>
        <v>0</v>
      </c>
      <c r="BZ689" s="2" t="str">
        <f>VLOOKUP(BT689,Enriched!$A$1:$AA$1070,14,falsE)</f>
        <v>level2</v>
      </c>
      <c r="CA689" s="13" t="str">
        <f>HYPERLINK("https%3A%2F%2Fwww.webofscience.com%2Fwos%2Fwoscc%2Ffull-record%2FWOS:000454304000023","View Full Record in Web of Science")</f>
        <v>View Full Record in Web of Science</v>
      </c>
    </row>
    <row r="690" ht="12.75" customHeight="1">
      <c r="A690" s="13" t="s">
        <v>5508</v>
      </c>
      <c r="B690" s="13" t="s">
        <v>17734</v>
      </c>
      <c r="C690" s="13" t="s">
        <v>5510</v>
      </c>
      <c r="D690" s="13" t="s">
        <v>5510</v>
      </c>
      <c r="E690" s="13" t="s">
        <v>5510</v>
      </c>
      <c r="F690" s="13" t="s">
        <v>17735</v>
      </c>
      <c r="G690" s="13" t="s">
        <v>5510</v>
      </c>
      <c r="H690" s="13" t="s">
        <v>5510</v>
      </c>
      <c r="I690" s="13" t="s">
        <v>900</v>
      </c>
      <c r="J690" s="13" t="s">
        <v>17736</v>
      </c>
      <c r="K690" s="13" t="s">
        <v>5510</v>
      </c>
      <c r="L690" s="13" t="s">
        <v>5510</v>
      </c>
      <c r="M690" s="13" t="s">
        <v>5513</v>
      </c>
      <c r="N690" s="13" t="s">
        <v>5514</v>
      </c>
      <c r="O690" s="13" t="s">
        <v>5510</v>
      </c>
      <c r="P690" s="13" t="s">
        <v>5510</v>
      </c>
      <c r="Q690" s="13" t="s">
        <v>5510</v>
      </c>
      <c r="R690" s="13" t="s">
        <v>5510</v>
      </c>
      <c r="S690" s="13" t="s">
        <v>5510</v>
      </c>
      <c r="T690" s="13" t="s">
        <v>17737</v>
      </c>
      <c r="U690" s="13" t="s">
        <v>17738</v>
      </c>
      <c r="V690" s="13" t="s">
        <v>17739</v>
      </c>
      <c r="W690" s="13" t="s">
        <v>17740</v>
      </c>
      <c r="X690" s="13" t="s">
        <v>7883</v>
      </c>
      <c r="Y690" s="13" t="s">
        <v>17741</v>
      </c>
      <c r="Z690" s="13" t="s">
        <v>7885</v>
      </c>
      <c r="AA690" s="13" t="s">
        <v>17742</v>
      </c>
      <c r="AB690" s="13" t="s">
        <v>17743</v>
      </c>
      <c r="AC690" s="13" t="s">
        <v>17744</v>
      </c>
      <c r="AD690" s="13" t="s">
        <v>17745</v>
      </c>
      <c r="AE690" s="13" t="s">
        <v>17746</v>
      </c>
      <c r="AF690" s="13" t="s">
        <v>5510</v>
      </c>
      <c r="AG690" s="13">
        <v>88.0</v>
      </c>
      <c r="AH690" s="13">
        <v>12.0</v>
      </c>
      <c r="AI690" s="13">
        <v>13.0</v>
      </c>
      <c r="AJ690" s="13">
        <v>3.0</v>
      </c>
      <c r="AK690" s="13">
        <v>121.0</v>
      </c>
      <c r="AL690" s="13" t="s">
        <v>17747</v>
      </c>
      <c r="AM690" s="13" t="s">
        <v>17748</v>
      </c>
      <c r="AN690" s="13" t="s">
        <v>17749</v>
      </c>
      <c r="AO690" s="13" t="s">
        <v>17750</v>
      </c>
      <c r="AP690" s="13" t="s">
        <v>17751</v>
      </c>
      <c r="AQ690" s="13" t="s">
        <v>5510</v>
      </c>
      <c r="AR690" s="13" t="s">
        <v>17752</v>
      </c>
      <c r="AS690" s="13" t="s">
        <v>17753</v>
      </c>
      <c r="AT690" s="13" t="s">
        <v>2514</v>
      </c>
      <c r="AU690" s="13">
        <v>2016.0</v>
      </c>
      <c r="AV690" s="13">
        <v>36.0</v>
      </c>
      <c r="AW690" s="13">
        <v>4.0</v>
      </c>
      <c r="AX690" s="13" t="s">
        <v>5510</v>
      </c>
      <c r="AY690" s="13" t="s">
        <v>5510</v>
      </c>
      <c r="AZ690" s="13" t="s">
        <v>5510</v>
      </c>
      <c r="BA690" s="13" t="s">
        <v>5510</v>
      </c>
      <c r="BB690" s="13">
        <v>440.0</v>
      </c>
      <c r="BC690" s="13">
        <v>452.0</v>
      </c>
      <c r="BD690" s="13" t="s">
        <v>5510</v>
      </c>
      <c r="BE690" s="13" t="s">
        <v>17754</v>
      </c>
      <c r="BF690" s="52" t="str">
        <f>HYPERLINK("http://dx.doi.org/10.3375/043.036.0410","http://dx.doi.org/10.3375/043.036.0410")</f>
        <v>http://dx.doi.org/10.3375/043.036.0410</v>
      </c>
      <c r="BG690" s="13" t="s">
        <v>5510</v>
      </c>
      <c r="BH690" s="13" t="s">
        <v>5510</v>
      </c>
      <c r="BI690" s="13">
        <v>13.0</v>
      </c>
      <c r="BJ690" s="13" t="s">
        <v>17755</v>
      </c>
      <c r="BK690" s="13" t="s">
        <v>5561</v>
      </c>
      <c r="BL690" s="13" t="s">
        <v>17756</v>
      </c>
      <c r="BM690" s="13" t="s">
        <v>17757</v>
      </c>
      <c r="BN690" s="13" t="s">
        <v>5510</v>
      </c>
      <c r="BO690" s="13" t="s">
        <v>5510</v>
      </c>
      <c r="BP690" s="13" t="s">
        <v>5510</v>
      </c>
      <c r="BQ690" s="13" t="s">
        <v>5510</v>
      </c>
      <c r="BR690" s="13" t="s">
        <v>5538</v>
      </c>
      <c r="BS690" s="13" t="s">
        <v>17758</v>
      </c>
      <c r="BT690" s="13">
        <v>23599.0</v>
      </c>
      <c r="BU690" s="13" t="s">
        <v>5540</v>
      </c>
      <c r="BV690" s="13" t="s">
        <v>4856</v>
      </c>
      <c r="BW690" s="13" t="str">
        <f>VLOOKUP($BT690,Enriched!$A$2:$E$1070,5,false)</f>
        <v>["Residential &amp; Commercial Development", "Climate Change &amp; Severe Weather", "Transportation &amp; Service Corridors"]</v>
      </c>
      <c r="BX690" s="13" t="str">
        <f>VLOOKUP($BT690,Enriched!$A$2:$E$1070,4,false)</f>
        <v>["Habitat shifting &amp; alteration"]</v>
      </c>
      <c r="BY690" s="13" t="b">
        <f>VLOOKUP(BT690,Enriched!$A$1:$AA$1070,27,falsE)</f>
        <v>1</v>
      </c>
      <c r="BZ690" s="2" t="str">
        <f>VLOOKUP(BT690,Enriched!$A$1:$AA$1070,14,falsE)</f>
        <v>cumulative</v>
      </c>
      <c r="CA690" s="13" t="str">
        <f>HYPERLINK("https%3A%2F%2Fwww.webofscience.com%2Fwos%2Fwoscc%2Ffull-record%2FWOS:000386054300010","View Full Record in Web of Science")</f>
        <v>View Full Record in Web of Science</v>
      </c>
    </row>
    <row r="691" ht="12.75" customHeight="1">
      <c r="A691" s="13" t="s">
        <v>5508</v>
      </c>
      <c r="B691" s="13" t="s">
        <v>17759</v>
      </c>
      <c r="C691" s="13" t="s">
        <v>5510</v>
      </c>
      <c r="D691" s="13" t="s">
        <v>5510</v>
      </c>
      <c r="E691" s="13" t="s">
        <v>5510</v>
      </c>
      <c r="F691" s="13" t="s">
        <v>17760</v>
      </c>
      <c r="G691" s="13" t="s">
        <v>5510</v>
      </c>
      <c r="H691" s="13" t="s">
        <v>5510</v>
      </c>
      <c r="I691" s="13" t="s">
        <v>898</v>
      </c>
      <c r="J691" s="13" t="s">
        <v>17761</v>
      </c>
      <c r="K691" s="13" t="s">
        <v>5510</v>
      </c>
      <c r="L691" s="13" t="s">
        <v>5510</v>
      </c>
      <c r="M691" s="13" t="s">
        <v>5513</v>
      </c>
      <c r="N691" s="13" t="s">
        <v>5514</v>
      </c>
      <c r="O691" s="13" t="s">
        <v>5510</v>
      </c>
      <c r="P691" s="13" t="s">
        <v>5510</v>
      </c>
      <c r="Q691" s="13" t="s">
        <v>5510</v>
      </c>
      <c r="R691" s="13" t="s">
        <v>5510</v>
      </c>
      <c r="S691" s="13" t="s">
        <v>5510</v>
      </c>
      <c r="T691" s="13" t="s">
        <v>17762</v>
      </c>
      <c r="U691" s="13" t="s">
        <v>17763</v>
      </c>
      <c r="V691" s="13" t="s">
        <v>17764</v>
      </c>
      <c r="W691" s="13" t="s">
        <v>17765</v>
      </c>
      <c r="X691" s="13" t="s">
        <v>17766</v>
      </c>
      <c r="Y691" s="13" t="s">
        <v>17767</v>
      </c>
      <c r="Z691" s="13" t="s">
        <v>17768</v>
      </c>
      <c r="AA691" s="13" t="s">
        <v>17769</v>
      </c>
      <c r="AB691" s="13" t="s">
        <v>17770</v>
      </c>
      <c r="AC691" s="13" t="s">
        <v>17771</v>
      </c>
      <c r="AD691" s="13" t="s">
        <v>17772</v>
      </c>
      <c r="AE691" s="13" t="s">
        <v>17773</v>
      </c>
      <c r="AF691" s="13" t="s">
        <v>5510</v>
      </c>
      <c r="AG691" s="13">
        <v>35.0</v>
      </c>
      <c r="AH691" s="13">
        <v>6.0</v>
      </c>
      <c r="AI691" s="13">
        <v>6.0</v>
      </c>
      <c r="AJ691" s="13">
        <v>0.0</v>
      </c>
      <c r="AK691" s="13">
        <v>4.0</v>
      </c>
      <c r="AL691" s="13" t="s">
        <v>5527</v>
      </c>
      <c r="AM691" s="13" t="s">
        <v>5528</v>
      </c>
      <c r="AN691" s="13" t="s">
        <v>5529</v>
      </c>
      <c r="AO691" s="13" t="s">
        <v>17774</v>
      </c>
      <c r="AP691" s="13" t="s">
        <v>17775</v>
      </c>
      <c r="AQ691" s="13" t="s">
        <v>5510</v>
      </c>
      <c r="AR691" s="13" t="s">
        <v>17776</v>
      </c>
      <c r="AS691" s="13" t="s">
        <v>17777</v>
      </c>
      <c r="AT691" s="13" t="s">
        <v>6828</v>
      </c>
      <c r="AU691" s="13">
        <v>2019.0</v>
      </c>
      <c r="AV691" s="13">
        <v>40.0</v>
      </c>
      <c r="AW691" s="13">
        <v>2.0</v>
      </c>
      <c r="AX691" s="13" t="s">
        <v>5510</v>
      </c>
      <c r="AY691" s="13" t="s">
        <v>5510</v>
      </c>
      <c r="AZ691" s="13" t="s">
        <v>5510</v>
      </c>
      <c r="BA691" s="13" t="s">
        <v>5510</v>
      </c>
      <c r="BB691" s="13" t="s">
        <v>5510</v>
      </c>
      <c r="BC691" s="13" t="s">
        <v>5510</v>
      </c>
      <c r="BD691" s="13" t="s">
        <v>5510</v>
      </c>
      <c r="BE691" s="13" t="s">
        <v>17778</v>
      </c>
      <c r="BF691" s="52" t="str">
        <f>HYPERLINK("http://dx.doi.org/10.1111/maec.12540","http://dx.doi.org/10.1111/maec.12540")</f>
        <v>http://dx.doi.org/10.1111/maec.12540</v>
      </c>
      <c r="BG691" s="13" t="s">
        <v>5510</v>
      </c>
      <c r="BH691" s="13" t="s">
        <v>5510</v>
      </c>
      <c r="BI691" s="13">
        <v>8.0</v>
      </c>
      <c r="BJ691" s="13" t="s">
        <v>6508</v>
      </c>
      <c r="BK691" s="13" t="s">
        <v>5561</v>
      </c>
      <c r="BL691" s="13" t="s">
        <v>6508</v>
      </c>
      <c r="BM691" s="13" t="s">
        <v>17779</v>
      </c>
      <c r="BN691" s="13" t="s">
        <v>5510</v>
      </c>
      <c r="BO691" s="13" t="s">
        <v>5587</v>
      </c>
      <c r="BP691" s="13" t="s">
        <v>5510</v>
      </c>
      <c r="BQ691" s="13" t="s">
        <v>5510</v>
      </c>
      <c r="BR691" s="13" t="s">
        <v>5538</v>
      </c>
      <c r="BS691" s="13" t="s">
        <v>17780</v>
      </c>
      <c r="BT691" s="13">
        <v>25651.0</v>
      </c>
      <c r="BU691" s="13" t="s">
        <v>5540</v>
      </c>
      <c r="BV691" s="13" t="s">
        <v>4864</v>
      </c>
      <c r="BW691" s="13" t="str">
        <f>VLOOKUP($BT691,Enriched!$A$2:$E$1070,5,false)</f>
        <v>["Biological resource use"]</v>
      </c>
      <c r="BX691" s="13" t="str">
        <f>VLOOKUP($BT691,Enriched!$A$2:$E$1070,4,false)</f>
        <v>["Fishing &amp; harvesting aquatic resources"]</v>
      </c>
      <c r="BY691" s="13" t="b">
        <f>VLOOKUP(BT691,Enriched!$A$1:$AA$1070,27,falsE)</f>
        <v>0</v>
      </c>
      <c r="BZ691" s="2" t="str">
        <f>VLOOKUP(BT691,Enriched!$A$1:$AA$1070,14,falsE)</f>
        <v>level2</v>
      </c>
      <c r="CA691" s="13" t="str">
        <f>HYPERLINK("https%3A%2F%2Fwww.webofscience.com%2Fwos%2Fwoscc%2Ffull-record%2FWOS:000476952200002","View Full Record in Web of Science")</f>
        <v>View Full Record in Web of Science</v>
      </c>
    </row>
    <row r="692" ht="12.75" customHeight="1">
      <c r="A692" s="13" t="s">
        <v>5508</v>
      </c>
      <c r="B692" s="13" t="s">
        <v>17781</v>
      </c>
      <c r="C692" s="13" t="s">
        <v>5510</v>
      </c>
      <c r="D692" s="13" t="s">
        <v>5510</v>
      </c>
      <c r="E692" s="13" t="s">
        <v>5510</v>
      </c>
      <c r="F692" s="13" t="s">
        <v>17782</v>
      </c>
      <c r="G692" s="13" t="s">
        <v>5510</v>
      </c>
      <c r="H692" s="13" t="s">
        <v>5510</v>
      </c>
      <c r="I692" s="13" t="s">
        <v>17783</v>
      </c>
      <c r="J692" s="13" t="s">
        <v>17784</v>
      </c>
      <c r="K692" s="13" t="s">
        <v>5510</v>
      </c>
      <c r="L692" s="13" t="s">
        <v>5510</v>
      </c>
      <c r="M692" s="13" t="s">
        <v>5513</v>
      </c>
      <c r="N692" s="13" t="s">
        <v>5514</v>
      </c>
      <c r="O692" s="13" t="s">
        <v>5510</v>
      </c>
      <c r="P692" s="13" t="s">
        <v>5510</v>
      </c>
      <c r="Q692" s="13" t="s">
        <v>5510</v>
      </c>
      <c r="R692" s="13" t="s">
        <v>5510</v>
      </c>
      <c r="S692" s="13" t="s">
        <v>5510</v>
      </c>
      <c r="T692" s="13" t="s">
        <v>5510</v>
      </c>
      <c r="U692" s="13" t="s">
        <v>17785</v>
      </c>
      <c r="V692" s="13" t="s">
        <v>17786</v>
      </c>
      <c r="W692" s="13" t="s">
        <v>17787</v>
      </c>
      <c r="X692" s="13" t="s">
        <v>17788</v>
      </c>
      <c r="Y692" s="13" t="s">
        <v>17789</v>
      </c>
      <c r="Z692" s="13" t="s">
        <v>17790</v>
      </c>
      <c r="AA692" s="13" t="s">
        <v>17791</v>
      </c>
      <c r="AB692" s="13" t="s">
        <v>17792</v>
      </c>
      <c r="AC692" s="13" t="s">
        <v>5510</v>
      </c>
      <c r="AD692" s="13" t="s">
        <v>5510</v>
      </c>
      <c r="AE692" s="13" t="s">
        <v>5510</v>
      </c>
      <c r="AF692" s="13" t="s">
        <v>5510</v>
      </c>
      <c r="AG692" s="13">
        <v>43.0</v>
      </c>
      <c r="AH692" s="13">
        <v>140.0</v>
      </c>
      <c r="AI692" s="13">
        <v>159.0</v>
      </c>
      <c r="AJ692" s="13">
        <v>1.0</v>
      </c>
      <c r="AK692" s="13">
        <v>116.0</v>
      </c>
      <c r="AL692" s="13" t="s">
        <v>7065</v>
      </c>
      <c r="AM692" s="13" t="s">
        <v>6503</v>
      </c>
      <c r="AN692" s="13" t="s">
        <v>7066</v>
      </c>
      <c r="AO692" s="13" t="s">
        <v>17793</v>
      </c>
      <c r="AP692" s="13" t="s">
        <v>17794</v>
      </c>
      <c r="AQ692" s="13" t="s">
        <v>5510</v>
      </c>
      <c r="AR692" s="13" t="s">
        <v>17795</v>
      </c>
      <c r="AS692" s="13" t="s">
        <v>17796</v>
      </c>
      <c r="AT692" s="13" t="s">
        <v>5720</v>
      </c>
      <c r="AU692" s="13">
        <v>2006.0</v>
      </c>
      <c r="AV692" s="13">
        <v>134.0</v>
      </c>
      <c r="AW692" s="13">
        <v>3.0</v>
      </c>
      <c r="AX692" s="13" t="s">
        <v>5510</v>
      </c>
      <c r="AY692" s="13" t="s">
        <v>5510</v>
      </c>
      <c r="AZ692" s="13" t="s">
        <v>5510</v>
      </c>
      <c r="BA692" s="13" t="s">
        <v>5510</v>
      </c>
      <c r="BB692" s="13">
        <v>521.0</v>
      </c>
      <c r="BC692" s="13">
        <v>533.0</v>
      </c>
      <c r="BD692" s="13" t="s">
        <v>5510</v>
      </c>
      <c r="BE692" s="13" t="s">
        <v>17797</v>
      </c>
      <c r="BF692" s="52" t="str">
        <f>HYPERLINK("http://dx.doi.org/10.1017/S0950268805005303","http://dx.doi.org/10.1017/S0950268805005303")</f>
        <v>http://dx.doi.org/10.1017/S0950268805005303</v>
      </c>
      <c r="BG692" s="13" t="s">
        <v>5510</v>
      </c>
      <c r="BH692" s="13" t="s">
        <v>5510</v>
      </c>
      <c r="BI692" s="13">
        <v>13.0</v>
      </c>
      <c r="BJ692" s="13" t="s">
        <v>17798</v>
      </c>
      <c r="BK692" s="13" t="s">
        <v>5561</v>
      </c>
      <c r="BL692" s="13" t="s">
        <v>17798</v>
      </c>
      <c r="BM692" s="13" t="s">
        <v>17799</v>
      </c>
      <c r="BN692" s="13">
        <v>1.6238822E7</v>
      </c>
      <c r="BO692" s="13" t="s">
        <v>5587</v>
      </c>
      <c r="BP692" s="13" t="s">
        <v>5510</v>
      </c>
      <c r="BQ692" s="13" t="s">
        <v>5510</v>
      </c>
      <c r="BR692" s="13" t="s">
        <v>5538</v>
      </c>
      <c r="BS692" s="13" t="s">
        <v>17800</v>
      </c>
      <c r="BT692" s="13">
        <v>25437.0</v>
      </c>
      <c r="BU692" s="13" t="s">
        <v>5540</v>
      </c>
      <c r="BV692" s="13" t="s">
        <v>4856</v>
      </c>
      <c r="BW692" s="13" t="str">
        <f>VLOOKUP($BT692,Enriched!$A$2:$E$1070,5,false)</f>
        <v>["Invasive &amp; other problematic species, genes &amp; diseases"]</v>
      </c>
      <c r="BX692" s="13" t="str">
        <f>VLOOKUP($BT692,Enriched!$A$2:$E$1070,4,false)</f>
        <v>["Invasive non-native/alien species/diseases"]</v>
      </c>
      <c r="BY692" s="13" t="b">
        <f>VLOOKUP(BT692,Enriched!$A$1:$AA$1070,27,falsE)</f>
        <v>0</v>
      </c>
      <c r="BZ692" s="2" t="str">
        <f>VLOOKUP(BT692,Enriched!$A$1:$AA$1070,14,falsE)</f>
        <v>level2</v>
      </c>
      <c r="CA692" s="13" t="str">
        <f>HYPERLINK("https%3A%2F%2Fwww.webofscience.com%2Fwos%2Fwoscc%2Ffull-record%2FWOS:000237786200012","View Full Record in Web of Science")</f>
        <v>View Full Record in Web of Science</v>
      </c>
    </row>
    <row r="693" ht="12.75" customHeight="1">
      <c r="A693" s="13" t="s">
        <v>5508</v>
      </c>
      <c r="B693" s="13" t="s">
        <v>17801</v>
      </c>
      <c r="C693" s="13" t="s">
        <v>5510</v>
      </c>
      <c r="D693" s="13" t="s">
        <v>5510</v>
      </c>
      <c r="E693" s="13" t="s">
        <v>5510</v>
      </c>
      <c r="F693" s="13" t="s">
        <v>17802</v>
      </c>
      <c r="G693" s="13" t="s">
        <v>5510</v>
      </c>
      <c r="H693" s="13" t="s">
        <v>5510</v>
      </c>
      <c r="I693" s="13" t="s">
        <v>891</v>
      </c>
      <c r="J693" s="13" t="s">
        <v>6627</v>
      </c>
      <c r="K693" s="13" t="s">
        <v>5510</v>
      </c>
      <c r="L693" s="13" t="s">
        <v>5510</v>
      </c>
      <c r="M693" s="13" t="s">
        <v>5513</v>
      </c>
      <c r="N693" s="13" t="s">
        <v>5514</v>
      </c>
      <c r="O693" s="13" t="s">
        <v>5510</v>
      </c>
      <c r="P693" s="13" t="s">
        <v>5510</v>
      </c>
      <c r="Q693" s="13" t="s">
        <v>5510</v>
      </c>
      <c r="R693" s="13" t="s">
        <v>5510</v>
      </c>
      <c r="S693" s="13" t="s">
        <v>5510</v>
      </c>
      <c r="T693" s="13" t="s">
        <v>17803</v>
      </c>
      <c r="U693" s="13" t="s">
        <v>17804</v>
      </c>
      <c r="V693" s="13" t="s">
        <v>17805</v>
      </c>
      <c r="W693" s="13" t="s">
        <v>17806</v>
      </c>
      <c r="X693" s="13" t="s">
        <v>17807</v>
      </c>
      <c r="Y693" s="13" t="s">
        <v>17808</v>
      </c>
      <c r="Z693" s="13" t="s">
        <v>17809</v>
      </c>
      <c r="AA693" s="13" t="s">
        <v>17810</v>
      </c>
      <c r="AB693" s="13" t="s">
        <v>17811</v>
      </c>
      <c r="AC693" s="13" t="s">
        <v>17812</v>
      </c>
      <c r="AD693" s="13" t="s">
        <v>17813</v>
      </c>
      <c r="AE693" s="13" t="s">
        <v>17814</v>
      </c>
      <c r="AF693" s="13" t="s">
        <v>5510</v>
      </c>
      <c r="AG693" s="13">
        <v>73.0</v>
      </c>
      <c r="AH693" s="13">
        <v>4.0</v>
      </c>
      <c r="AI693" s="13">
        <v>4.0</v>
      </c>
      <c r="AJ693" s="13">
        <v>0.0</v>
      </c>
      <c r="AK693" s="13">
        <v>18.0</v>
      </c>
      <c r="AL693" s="13" t="s">
        <v>5527</v>
      </c>
      <c r="AM693" s="13" t="s">
        <v>5528</v>
      </c>
      <c r="AN693" s="13" t="s">
        <v>5529</v>
      </c>
      <c r="AO693" s="13" t="s">
        <v>6640</v>
      </c>
      <c r="AP693" s="13" t="s">
        <v>6641</v>
      </c>
      <c r="AQ693" s="13" t="s">
        <v>5510</v>
      </c>
      <c r="AR693" s="13" t="s">
        <v>6642</v>
      </c>
      <c r="AS693" s="13" t="s">
        <v>6643</v>
      </c>
      <c r="AT693" s="13" t="s">
        <v>6089</v>
      </c>
      <c r="AU693" s="13">
        <v>2010.0</v>
      </c>
      <c r="AV693" s="13">
        <v>16.0</v>
      </c>
      <c r="AW693" s="13">
        <v>2.0</v>
      </c>
      <c r="AX693" s="13" t="s">
        <v>5510</v>
      </c>
      <c r="AY693" s="13" t="s">
        <v>5510</v>
      </c>
      <c r="AZ693" s="13" t="s">
        <v>5510</v>
      </c>
      <c r="BA693" s="13" t="s">
        <v>5510</v>
      </c>
      <c r="BB693" s="13">
        <v>300.0</v>
      </c>
      <c r="BC693" s="13">
        <v>309.0</v>
      </c>
      <c r="BD693" s="13" t="s">
        <v>5510</v>
      </c>
      <c r="BE693" s="13" t="s">
        <v>17815</v>
      </c>
      <c r="BF693" s="52" t="str">
        <f>HYPERLINK("http://dx.doi.org/10.1111/j.1472-4642.2010.00643.x","http://dx.doi.org/10.1111/j.1472-4642.2010.00643.x")</f>
        <v>http://dx.doi.org/10.1111/j.1472-4642.2010.00643.x</v>
      </c>
      <c r="BG693" s="13" t="s">
        <v>5510</v>
      </c>
      <c r="BH693" s="13" t="s">
        <v>5510</v>
      </c>
      <c r="BI693" s="13">
        <v>10.0</v>
      </c>
      <c r="BJ693" s="13" t="s">
        <v>5958</v>
      </c>
      <c r="BK693" s="13" t="s">
        <v>5561</v>
      </c>
      <c r="BL693" s="13" t="s">
        <v>5699</v>
      </c>
      <c r="BM693" s="13" t="s">
        <v>17816</v>
      </c>
      <c r="BN693" s="13" t="s">
        <v>5510</v>
      </c>
      <c r="BO693" s="13" t="s">
        <v>6586</v>
      </c>
      <c r="BP693" s="13" t="s">
        <v>5510</v>
      </c>
      <c r="BQ693" s="13" t="s">
        <v>5510</v>
      </c>
      <c r="BR693" s="13" t="s">
        <v>5538</v>
      </c>
      <c r="BS693" s="13" t="s">
        <v>17817</v>
      </c>
      <c r="BT693" s="13">
        <v>26104.0</v>
      </c>
      <c r="BU693" s="13" t="s">
        <v>5540</v>
      </c>
      <c r="BV693" s="13" t="s">
        <v>4856</v>
      </c>
      <c r="BW693" s="13" t="str">
        <f>VLOOKUP($BT693,Enriched!$A$2:$E$1070,5,false)</f>
        <v>["Agriculture &amp; Aquaculture", "Transportation &amp; Service Corridors", "Biological Resource Use"]</v>
      </c>
      <c r="BX693" s="13" t="str">
        <f>VLOOKUP($BT693,Enriched!$A$2:$E$1070,4,false)</f>
        <v>["Housing &amp; urban area", "Annual &amp; perennial non-timber crops", "Livestock farming &amp; ranching", "Roads &amp; railroads", "Hunting &amp; collecting terrestrial animals"]</v>
      </c>
      <c r="BY693" s="13" t="b">
        <f>VLOOKUP(BT693,Enriched!$A$1:$AA$1070,27,falsE)</f>
        <v>0</v>
      </c>
      <c r="BZ693" s="2" t="str">
        <f>VLOOKUP(BT693,Enriched!$A$1:$AA$1070,14,falsE)</f>
        <v>level2</v>
      </c>
      <c r="CA693" s="13" t="str">
        <f>HYPERLINK("https%3A%2F%2Fwww.webofscience.com%2Fwos%2Fwoscc%2Ffull-record%2FWOS:000274816300009","View Full Record in Web of Science")</f>
        <v>View Full Record in Web of Science</v>
      </c>
    </row>
    <row r="694" ht="12.75" customHeight="1">
      <c r="A694" s="13" t="s">
        <v>5508</v>
      </c>
      <c r="B694" s="13" t="s">
        <v>17818</v>
      </c>
      <c r="C694" s="13" t="s">
        <v>5510</v>
      </c>
      <c r="D694" s="13" t="s">
        <v>5510</v>
      </c>
      <c r="E694" s="13" t="s">
        <v>5510</v>
      </c>
      <c r="F694" s="13" t="s">
        <v>17819</v>
      </c>
      <c r="G694" s="13" t="s">
        <v>5510</v>
      </c>
      <c r="H694" s="13" t="s">
        <v>5510</v>
      </c>
      <c r="I694" s="13" t="s">
        <v>889</v>
      </c>
      <c r="J694" s="13" t="s">
        <v>5543</v>
      </c>
      <c r="K694" s="13" t="s">
        <v>5510</v>
      </c>
      <c r="L694" s="13" t="s">
        <v>5510</v>
      </c>
      <c r="M694" s="13" t="s">
        <v>5513</v>
      </c>
      <c r="N694" s="13" t="s">
        <v>5514</v>
      </c>
      <c r="O694" s="13" t="s">
        <v>5510</v>
      </c>
      <c r="P694" s="13" t="s">
        <v>5510</v>
      </c>
      <c r="Q694" s="13" t="s">
        <v>5510</v>
      </c>
      <c r="R694" s="13" t="s">
        <v>5510</v>
      </c>
      <c r="S694" s="13" t="s">
        <v>5510</v>
      </c>
      <c r="T694" s="13" t="s">
        <v>5510</v>
      </c>
      <c r="U694" s="13" t="s">
        <v>17820</v>
      </c>
      <c r="V694" s="13" t="s">
        <v>17821</v>
      </c>
      <c r="W694" s="13" t="s">
        <v>17822</v>
      </c>
      <c r="X694" s="13" t="s">
        <v>17823</v>
      </c>
      <c r="Y694" s="13" t="s">
        <v>17824</v>
      </c>
      <c r="Z694" s="13" t="s">
        <v>17825</v>
      </c>
      <c r="AA694" s="13" t="s">
        <v>17826</v>
      </c>
      <c r="AB694" s="13" t="s">
        <v>17827</v>
      </c>
      <c r="AC694" s="13" t="s">
        <v>17828</v>
      </c>
      <c r="AD694" s="13" t="s">
        <v>17829</v>
      </c>
      <c r="AE694" s="13" t="s">
        <v>17830</v>
      </c>
      <c r="AF694" s="13" t="s">
        <v>5510</v>
      </c>
      <c r="AG694" s="13">
        <v>36.0</v>
      </c>
      <c r="AH694" s="13">
        <v>46.0</v>
      </c>
      <c r="AI694" s="13">
        <v>50.0</v>
      </c>
      <c r="AJ694" s="13">
        <v>1.0</v>
      </c>
      <c r="AK694" s="13">
        <v>183.0</v>
      </c>
      <c r="AL694" s="13" t="s">
        <v>5552</v>
      </c>
      <c r="AM694" s="13" t="s">
        <v>5553</v>
      </c>
      <c r="AN694" s="13" t="s">
        <v>5554</v>
      </c>
      <c r="AO694" s="13" t="s">
        <v>5555</v>
      </c>
      <c r="AP694" s="13" t="s">
        <v>5510</v>
      </c>
      <c r="AQ694" s="13" t="s">
        <v>5510</v>
      </c>
      <c r="AR694" s="13" t="s">
        <v>5543</v>
      </c>
      <c r="AS694" s="13" t="s">
        <v>5556</v>
      </c>
      <c r="AT694" s="13" t="s">
        <v>17831</v>
      </c>
      <c r="AU694" s="13">
        <v>2012.0</v>
      </c>
      <c r="AV694" s="13">
        <v>7.0</v>
      </c>
      <c r="AW694" s="13">
        <v>12.0</v>
      </c>
      <c r="AX694" s="13" t="s">
        <v>5510</v>
      </c>
      <c r="AY694" s="13" t="s">
        <v>5510</v>
      </c>
      <c r="AZ694" s="13" t="s">
        <v>5510</v>
      </c>
      <c r="BA694" s="13" t="s">
        <v>5510</v>
      </c>
      <c r="BB694" s="13" t="s">
        <v>5510</v>
      </c>
      <c r="BC694" s="13" t="s">
        <v>5510</v>
      </c>
      <c r="BD694" s="13" t="s">
        <v>17832</v>
      </c>
      <c r="BE694" s="13" t="s">
        <v>17833</v>
      </c>
      <c r="BF694" s="52" t="str">
        <f>HYPERLINK("http://dx.doi.org/10.1371/journal.pone.0051156","http://dx.doi.org/10.1371/journal.pone.0051156")</f>
        <v>http://dx.doi.org/10.1371/journal.pone.0051156</v>
      </c>
      <c r="BG694" s="13" t="s">
        <v>5510</v>
      </c>
      <c r="BH694" s="13" t="s">
        <v>5510</v>
      </c>
      <c r="BI694" s="13">
        <v>12.0</v>
      </c>
      <c r="BJ694" s="13" t="s">
        <v>5560</v>
      </c>
      <c r="BK694" s="13" t="s">
        <v>5561</v>
      </c>
      <c r="BL694" s="13" t="s">
        <v>5562</v>
      </c>
      <c r="BM694" s="13" t="s">
        <v>17834</v>
      </c>
      <c r="BN694" s="13" t="s">
        <v>5510</v>
      </c>
      <c r="BO694" s="13" t="s">
        <v>5564</v>
      </c>
      <c r="BP694" s="13" t="s">
        <v>5510</v>
      </c>
      <c r="BQ694" s="13" t="s">
        <v>5510</v>
      </c>
      <c r="BR694" s="13" t="s">
        <v>5538</v>
      </c>
      <c r="BS694" s="13" t="s">
        <v>17835</v>
      </c>
      <c r="BT694" s="13">
        <v>25643.0</v>
      </c>
      <c r="BU694" s="13" t="s">
        <v>5540</v>
      </c>
      <c r="BV694" s="13" t="s">
        <v>4880</v>
      </c>
      <c r="BW694" s="13" t="str">
        <f>VLOOKUP($BT694,Enriched!$A$2:$E$1070,5,false)</f>
        <v>["Biological Resource Use"]</v>
      </c>
      <c r="BX694" s="13" t="str">
        <f>VLOOKUP($BT694,Enriched!$A$2:$E$1070,4,false)</f>
        <v>["Hunting &amp; collecting terrestrial animals", "Fishing &amp; harvesting aquatic resources"]</v>
      </c>
      <c r="BY694" s="13" t="b">
        <f>VLOOKUP(BT694,Enriched!$A$1:$AA$1070,27,falsE)</f>
        <v>0</v>
      </c>
      <c r="BZ694" s="2" t="str">
        <f>VLOOKUP(BT694,Enriched!$A$1:$AA$1070,14,falsE)</f>
        <v>level2</v>
      </c>
      <c r="CA694" s="13" t="str">
        <f>HYPERLINK("https%3A%2F%2Fwww.webofscience.com%2Fwos%2Fwoscc%2Ffull-record%2FWOS:000312064100072","View Full Record in Web of Science")</f>
        <v>View Full Record in Web of Science</v>
      </c>
    </row>
    <row r="695" ht="12.75" customHeight="1">
      <c r="A695" s="13" t="s">
        <v>5508</v>
      </c>
      <c r="B695" s="13" t="s">
        <v>17836</v>
      </c>
      <c r="C695" s="13" t="s">
        <v>5510</v>
      </c>
      <c r="D695" s="13" t="s">
        <v>5510</v>
      </c>
      <c r="E695" s="13" t="s">
        <v>5510</v>
      </c>
      <c r="F695" s="13" t="s">
        <v>17837</v>
      </c>
      <c r="G695" s="13" t="s">
        <v>5510</v>
      </c>
      <c r="H695" s="13" t="s">
        <v>5510</v>
      </c>
      <c r="I695" s="13" t="s">
        <v>886</v>
      </c>
      <c r="J695" s="13" t="s">
        <v>7857</v>
      </c>
      <c r="K695" s="13" t="s">
        <v>5510</v>
      </c>
      <c r="L695" s="13" t="s">
        <v>5510</v>
      </c>
      <c r="M695" s="13" t="s">
        <v>5513</v>
      </c>
      <c r="N695" s="13" t="s">
        <v>5514</v>
      </c>
      <c r="O695" s="13" t="s">
        <v>5510</v>
      </c>
      <c r="P695" s="13" t="s">
        <v>5510</v>
      </c>
      <c r="Q695" s="13" t="s">
        <v>5510</v>
      </c>
      <c r="R695" s="13" t="s">
        <v>5510</v>
      </c>
      <c r="S695" s="13" t="s">
        <v>5510</v>
      </c>
      <c r="T695" s="13" t="s">
        <v>17838</v>
      </c>
      <c r="U695" s="13" t="s">
        <v>17839</v>
      </c>
      <c r="V695" s="13" t="s">
        <v>17840</v>
      </c>
      <c r="W695" s="13" t="s">
        <v>17841</v>
      </c>
      <c r="X695" s="13" t="s">
        <v>17842</v>
      </c>
      <c r="Y695" s="13" t="s">
        <v>17843</v>
      </c>
      <c r="Z695" s="13" t="s">
        <v>17844</v>
      </c>
      <c r="AA695" s="13" t="s">
        <v>17845</v>
      </c>
      <c r="AB695" s="13" t="s">
        <v>17846</v>
      </c>
      <c r="AC695" s="13" t="s">
        <v>17847</v>
      </c>
      <c r="AD695" s="13" t="s">
        <v>17848</v>
      </c>
      <c r="AE695" s="13" t="s">
        <v>17849</v>
      </c>
      <c r="AF695" s="13" t="s">
        <v>5510</v>
      </c>
      <c r="AG695" s="13">
        <v>101.0</v>
      </c>
      <c r="AH695" s="13">
        <v>30.0</v>
      </c>
      <c r="AI695" s="13">
        <v>32.0</v>
      </c>
      <c r="AJ695" s="13">
        <v>0.0</v>
      </c>
      <c r="AK695" s="13">
        <v>39.0</v>
      </c>
      <c r="AL695" s="13" t="s">
        <v>5527</v>
      </c>
      <c r="AM695" s="13" t="s">
        <v>5528</v>
      </c>
      <c r="AN695" s="13" t="s">
        <v>5529</v>
      </c>
      <c r="AO695" s="13" t="s">
        <v>7870</v>
      </c>
      <c r="AP695" s="13" t="s">
        <v>7871</v>
      </c>
      <c r="AQ695" s="13" t="s">
        <v>5510</v>
      </c>
      <c r="AR695" s="13" t="s">
        <v>7872</v>
      </c>
      <c r="AS695" s="13" t="s">
        <v>7873</v>
      </c>
      <c r="AT695" s="13" t="s">
        <v>6089</v>
      </c>
      <c r="AU695" s="13">
        <v>2018.0</v>
      </c>
      <c r="AV695" s="13">
        <v>24.0</v>
      </c>
      <c r="AW695" s="13">
        <v>3.0</v>
      </c>
      <c r="AX695" s="13" t="s">
        <v>5510</v>
      </c>
      <c r="AY695" s="13" t="s">
        <v>5510</v>
      </c>
      <c r="AZ695" s="13" t="s">
        <v>5510</v>
      </c>
      <c r="BA695" s="13" t="s">
        <v>5510</v>
      </c>
      <c r="BB695" s="13">
        <v>1279.0</v>
      </c>
      <c r="BC695" s="13">
        <v>1290.0</v>
      </c>
      <c r="BD695" s="13" t="s">
        <v>5510</v>
      </c>
      <c r="BE695" s="13" t="s">
        <v>17850</v>
      </c>
      <c r="BF695" s="52" t="str">
        <f>HYPERLINK("http://dx.doi.org/10.1111/gcb.13997","http://dx.doi.org/10.1111/gcb.13997")</f>
        <v>http://dx.doi.org/10.1111/gcb.13997</v>
      </c>
      <c r="BG695" s="13" t="s">
        <v>5510</v>
      </c>
      <c r="BH695" s="13" t="s">
        <v>5510</v>
      </c>
      <c r="BI695" s="13">
        <v>12.0</v>
      </c>
      <c r="BJ695" s="13" t="s">
        <v>5698</v>
      </c>
      <c r="BK695" s="13" t="s">
        <v>5561</v>
      </c>
      <c r="BL695" s="13" t="s">
        <v>5699</v>
      </c>
      <c r="BM695" s="13" t="s">
        <v>11340</v>
      </c>
      <c r="BN695" s="13">
        <v>2.9178374E7</v>
      </c>
      <c r="BO695" s="13" t="s">
        <v>6623</v>
      </c>
      <c r="BP695" s="13" t="s">
        <v>5510</v>
      </c>
      <c r="BQ695" s="13" t="s">
        <v>5510</v>
      </c>
      <c r="BR695" s="13" t="s">
        <v>5538</v>
      </c>
      <c r="BS695" s="13" t="s">
        <v>17851</v>
      </c>
      <c r="BT695" s="13">
        <v>24013.0</v>
      </c>
      <c r="BU695" s="13" t="s">
        <v>5540</v>
      </c>
      <c r="BV695" s="13" t="s">
        <v>4864</v>
      </c>
      <c r="BW695" s="13" t="str">
        <f>VLOOKUP($BT695,Enriched!$A$2:$E$1070,5,false)</f>
        <v>["Biological resource use"]</v>
      </c>
      <c r="BX695" s="13" t="str">
        <f>VLOOKUP($BT695,Enriched!$A$2:$E$1070,4,false)</f>
        <v>["Fishing &amp; harvesting aquatic resources"]</v>
      </c>
      <c r="BY695" s="13" t="b">
        <f>VLOOKUP(BT695,Enriched!$A$1:$AA$1070,27,falsE)</f>
        <v>0</v>
      </c>
      <c r="BZ695" s="2" t="str">
        <f>VLOOKUP(BT695,Enriched!$A$1:$AA$1070,14,falsE)</f>
        <v>level2</v>
      </c>
      <c r="CA695" s="13" t="str">
        <f>HYPERLINK("https%3A%2F%2Fwww.webofscience.com%2Fwos%2Fwoscc%2Ffull-record%2FWOS:000425396700034","View Full Record in Web of Science")</f>
        <v>View Full Record in Web of Science</v>
      </c>
    </row>
    <row r="696" ht="12.75" customHeight="1">
      <c r="A696" s="13" t="s">
        <v>5508</v>
      </c>
      <c r="B696" s="13" t="s">
        <v>17852</v>
      </c>
      <c r="C696" s="13" t="s">
        <v>5510</v>
      </c>
      <c r="D696" s="13" t="s">
        <v>5510</v>
      </c>
      <c r="E696" s="13" t="s">
        <v>5510</v>
      </c>
      <c r="F696" s="13" t="s">
        <v>17853</v>
      </c>
      <c r="G696" s="13" t="s">
        <v>5510</v>
      </c>
      <c r="H696" s="13" t="s">
        <v>5510</v>
      </c>
      <c r="I696" s="13" t="s">
        <v>883</v>
      </c>
      <c r="J696" s="13" t="s">
        <v>7193</v>
      </c>
      <c r="K696" s="13" t="s">
        <v>5510</v>
      </c>
      <c r="L696" s="13" t="s">
        <v>5510</v>
      </c>
      <c r="M696" s="13" t="s">
        <v>5513</v>
      </c>
      <c r="N696" s="13" t="s">
        <v>5514</v>
      </c>
      <c r="O696" s="13" t="s">
        <v>5510</v>
      </c>
      <c r="P696" s="13" t="s">
        <v>5510</v>
      </c>
      <c r="Q696" s="13" t="s">
        <v>5510</v>
      </c>
      <c r="R696" s="13" t="s">
        <v>5510</v>
      </c>
      <c r="S696" s="13" t="s">
        <v>5510</v>
      </c>
      <c r="T696" s="13" t="s">
        <v>17854</v>
      </c>
      <c r="U696" s="13" t="s">
        <v>17855</v>
      </c>
      <c r="V696" s="13" t="s">
        <v>17856</v>
      </c>
      <c r="W696" s="13" t="s">
        <v>17857</v>
      </c>
      <c r="X696" s="13" t="s">
        <v>17858</v>
      </c>
      <c r="Y696" s="13" t="s">
        <v>17859</v>
      </c>
      <c r="Z696" s="13" t="s">
        <v>17860</v>
      </c>
      <c r="AA696" s="13" t="s">
        <v>17861</v>
      </c>
      <c r="AB696" s="13" t="s">
        <v>5510</v>
      </c>
      <c r="AC696" s="13" t="s">
        <v>17862</v>
      </c>
      <c r="AD696" s="13" t="s">
        <v>17862</v>
      </c>
      <c r="AE696" s="13" t="s">
        <v>17863</v>
      </c>
      <c r="AF696" s="13" t="s">
        <v>5510</v>
      </c>
      <c r="AG696" s="13">
        <v>31.0</v>
      </c>
      <c r="AH696" s="13">
        <v>24.0</v>
      </c>
      <c r="AI696" s="13">
        <v>25.0</v>
      </c>
      <c r="AJ696" s="13">
        <v>1.0</v>
      </c>
      <c r="AK696" s="13">
        <v>68.0</v>
      </c>
      <c r="AL696" s="13" t="s">
        <v>5690</v>
      </c>
      <c r="AM696" s="13" t="s">
        <v>5691</v>
      </c>
      <c r="AN696" s="13" t="s">
        <v>5692</v>
      </c>
      <c r="AO696" s="13" t="s">
        <v>7203</v>
      </c>
      <c r="AP696" s="13" t="s">
        <v>7204</v>
      </c>
      <c r="AQ696" s="13" t="s">
        <v>5510</v>
      </c>
      <c r="AR696" s="13" t="s">
        <v>7205</v>
      </c>
      <c r="AS696" s="13" t="s">
        <v>7206</v>
      </c>
      <c r="AT696" s="13" t="s">
        <v>6089</v>
      </c>
      <c r="AU696" s="13">
        <v>2012.0</v>
      </c>
      <c r="AV696" s="13">
        <v>14.0</v>
      </c>
      <c r="AW696" s="13">
        <v>3.0</v>
      </c>
      <c r="AX696" s="13" t="s">
        <v>5510</v>
      </c>
      <c r="AY696" s="13" t="s">
        <v>5510</v>
      </c>
      <c r="AZ696" s="13" t="s">
        <v>5510</v>
      </c>
      <c r="BA696" s="13" t="s">
        <v>5510</v>
      </c>
      <c r="BB696" s="13">
        <v>579.0</v>
      </c>
      <c r="BC696" s="13">
        <v>593.0</v>
      </c>
      <c r="BD696" s="13" t="s">
        <v>5510</v>
      </c>
      <c r="BE696" s="13" t="s">
        <v>17864</v>
      </c>
      <c r="BF696" s="52" t="str">
        <f>HYPERLINK("http://dx.doi.org/10.1007/s10530-011-0099-3","http://dx.doi.org/10.1007/s10530-011-0099-3")</f>
        <v>http://dx.doi.org/10.1007/s10530-011-0099-3</v>
      </c>
      <c r="BG696" s="13" t="s">
        <v>5510</v>
      </c>
      <c r="BH696" s="13" t="s">
        <v>5510</v>
      </c>
      <c r="BI696" s="13">
        <v>15.0</v>
      </c>
      <c r="BJ696" s="13" t="s">
        <v>5958</v>
      </c>
      <c r="BK696" s="13" t="s">
        <v>5561</v>
      </c>
      <c r="BL696" s="13" t="s">
        <v>5699</v>
      </c>
      <c r="BM696" s="13" t="s">
        <v>17865</v>
      </c>
      <c r="BN696" s="13" t="s">
        <v>5510</v>
      </c>
      <c r="BO696" s="13" t="s">
        <v>5510</v>
      </c>
      <c r="BP696" s="13" t="s">
        <v>5510</v>
      </c>
      <c r="BQ696" s="13" t="s">
        <v>5510</v>
      </c>
      <c r="BR696" s="13" t="s">
        <v>5538</v>
      </c>
      <c r="BS696" s="13" t="s">
        <v>17866</v>
      </c>
      <c r="BT696" s="13">
        <v>24436.0</v>
      </c>
      <c r="BU696" s="13" t="s">
        <v>5540</v>
      </c>
      <c r="BV696" s="13" t="s">
        <v>4856</v>
      </c>
      <c r="BW696" s="13" t="str">
        <f>VLOOKUP($BT696,Enriched!$A$2:$E$1070,5,false)</f>
        <v>["Invasive &amp; other problematic species, genes &amp; diseases"]</v>
      </c>
      <c r="BX696" s="13" t="str">
        <f>VLOOKUP($BT696,Enriched!$A$2:$E$1070,4,false)</f>
        <v>["Invasive non-native/alien species/diseases"]</v>
      </c>
      <c r="BY696" s="13" t="b">
        <f>VLOOKUP(BT696,Enriched!$A$1:$AA$1070,27,falsE)</f>
        <v>0</v>
      </c>
      <c r="BZ696" s="2" t="str">
        <f>VLOOKUP(BT696,Enriched!$A$1:$AA$1070,14,falsE)</f>
        <v>level2</v>
      </c>
      <c r="CA696" s="13" t="str">
        <f>HYPERLINK("https%3A%2F%2Fwww.webofscience.com%2Fwos%2Fwoscc%2Ffull-record%2FWOS:000301445100009","View Full Record in Web of Science")</f>
        <v>View Full Record in Web of Science</v>
      </c>
    </row>
    <row r="697" ht="12.75" customHeight="1">
      <c r="A697" s="13" t="s">
        <v>5508</v>
      </c>
      <c r="B697" s="13" t="s">
        <v>17867</v>
      </c>
      <c r="C697" s="13" t="s">
        <v>5510</v>
      </c>
      <c r="D697" s="13" t="s">
        <v>5510</v>
      </c>
      <c r="E697" s="13" t="s">
        <v>5510</v>
      </c>
      <c r="F697" s="13" t="s">
        <v>17868</v>
      </c>
      <c r="G697" s="13" t="s">
        <v>5510</v>
      </c>
      <c r="H697" s="13" t="s">
        <v>5510</v>
      </c>
      <c r="I697" s="2" t="s">
        <v>878</v>
      </c>
      <c r="J697" s="13" t="s">
        <v>6528</v>
      </c>
      <c r="K697" s="13" t="s">
        <v>5510</v>
      </c>
      <c r="L697" s="13" t="s">
        <v>5510</v>
      </c>
      <c r="M697" s="13" t="s">
        <v>5513</v>
      </c>
      <c r="N697" s="13" t="s">
        <v>5514</v>
      </c>
      <c r="O697" s="13" t="s">
        <v>5510</v>
      </c>
      <c r="P697" s="13" t="s">
        <v>5510</v>
      </c>
      <c r="Q697" s="13" t="s">
        <v>5510</v>
      </c>
      <c r="R697" s="13" t="s">
        <v>5510</v>
      </c>
      <c r="S697" s="13" t="s">
        <v>5510</v>
      </c>
      <c r="T697" s="13" t="s">
        <v>17869</v>
      </c>
      <c r="U697" s="13" t="s">
        <v>5510</v>
      </c>
      <c r="V697" s="13" t="s">
        <v>17870</v>
      </c>
      <c r="W697" s="13" t="s">
        <v>17871</v>
      </c>
      <c r="X697" s="13" t="s">
        <v>17872</v>
      </c>
      <c r="Y697" s="13" t="s">
        <v>17873</v>
      </c>
      <c r="Z697" s="13" t="s">
        <v>17874</v>
      </c>
      <c r="AA697" s="13" t="s">
        <v>17875</v>
      </c>
      <c r="AB697" s="13" t="s">
        <v>17876</v>
      </c>
      <c r="AC697" s="13" t="s">
        <v>5510</v>
      </c>
      <c r="AD697" s="13" t="s">
        <v>5510</v>
      </c>
      <c r="AE697" s="13" t="s">
        <v>5510</v>
      </c>
      <c r="AF697" s="13" t="s">
        <v>5510</v>
      </c>
      <c r="AG697" s="13">
        <v>30.0</v>
      </c>
      <c r="AH697" s="13">
        <v>9.0</v>
      </c>
      <c r="AI697" s="13">
        <v>10.0</v>
      </c>
      <c r="AJ697" s="13">
        <v>3.0</v>
      </c>
      <c r="AK697" s="13">
        <v>11.0</v>
      </c>
      <c r="AL697" s="13" t="s">
        <v>6542</v>
      </c>
      <c r="AM697" s="13" t="s">
        <v>17877</v>
      </c>
      <c r="AN697" s="13" t="s">
        <v>17878</v>
      </c>
      <c r="AO697" s="13" t="s">
        <v>6545</v>
      </c>
      <c r="AP697" s="13" t="s">
        <v>6546</v>
      </c>
      <c r="AQ697" s="13" t="s">
        <v>5510</v>
      </c>
      <c r="AR697" s="13" t="s">
        <v>6547</v>
      </c>
      <c r="AS697" s="13" t="s">
        <v>6548</v>
      </c>
      <c r="AT697" s="13" t="s">
        <v>5582</v>
      </c>
      <c r="AU697" s="13">
        <v>2008.0</v>
      </c>
      <c r="AV697" s="13">
        <v>24.0</v>
      </c>
      <c r="AW697" s="13" t="s">
        <v>17879</v>
      </c>
      <c r="AX697" s="13" t="s">
        <v>5510</v>
      </c>
      <c r="AY697" s="13" t="s">
        <v>8739</v>
      </c>
      <c r="AZ697" s="13" t="s">
        <v>5510</v>
      </c>
      <c r="BA697" s="13" t="s">
        <v>5510</v>
      </c>
      <c r="BB697" s="13">
        <v>87.0</v>
      </c>
      <c r="BC697" s="13">
        <v>98.0</v>
      </c>
      <c r="BD697" s="13" t="s">
        <v>5510</v>
      </c>
      <c r="BE697" s="13" t="s">
        <v>17880</v>
      </c>
      <c r="BF697" s="52" t="str">
        <f>HYPERLINK("http://dx.doi.org/10.2112/04-0418.1","http://dx.doi.org/10.2112/04-0418.1")</f>
        <v>http://dx.doi.org/10.2112/04-0418.1</v>
      </c>
      <c r="BG697" s="13" t="s">
        <v>5510</v>
      </c>
      <c r="BH697" s="13" t="s">
        <v>5510</v>
      </c>
      <c r="BI697" s="13">
        <v>12.0</v>
      </c>
      <c r="BJ697" s="13" t="s">
        <v>6550</v>
      </c>
      <c r="BK697" s="13" t="s">
        <v>5561</v>
      </c>
      <c r="BL697" s="13" t="s">
        <v>6551</v>
      </c>
      <c r="BM697" s="13" t="s">
        <v>17881</v>
      </c>
      <c r="BN697" s="13" t="s">
        <v>5510</v>
      </c>
      <c r="BO697" s="13" t="s">
        <v>5510</v>
      </c>
      <c r="BP697" s="13" t="s">
        <v>5510</v>
      </c>
      <c r="BQ697" s="13" t="s">
        <v>5510</v>
      </c>
      <c r="BR697" s="13" t="s">
        <v>5538</v>
      </c>
      <c r="BS697" s="13" t="s">
        <v>17882</v>
      </c>
      <c r="BT697" s="13">
        <v>25324.0</v>
      </c>
      <c r="BU697" s="13" t="s">
        <v>5540</v>
      </c>
      <c r="BV697" s="13" t="s">
        <v>4864</v>
      </c>
      <c r="BW697" s="13" t="str">
        <f>VLOOKUP($BT697,Enriched!$A$2:$E$1070,5,false)</f>
        <v>["Agriculture &amp; Aquaculture", "Residential &amp; Commercial Development"]</v>
      </c>
      <c r="BX697" s="13" t="str">
        <f>VLOOKUP($BT697,Enriched!$A$2:$E$1070,4,false)</f>
        <v>["Wood &amp; pulp plantations", "Annual &amp; perennial non-timber crops", "Tourism &amp; recreation areas"]</v>
      </c>
      <c r="BY697" s="13" t="b">
        <f>VLOOKUP(BT697,Enriched!$A$1:$AA$1070,27,falsE)</f>
        <v>0</v>
      </c>
      <c r="BZ697" s="2" t="str">
        <f>VLOOKUP(BT697,Enriched!$A$1:$AA$1070,14,falsE)</f>
        <v>level2</v>
      </c>
      <c r="CA697" s="13" t="str">
        <f>HYPERLINK("https%3A%2F%2Fwww.webofscience.com%2Fwos%2Fwoscc%2Ffull-record%2FWOS:000252701100010","View Full Record in Web of Science")</f>
        <v>View Full Record in Web of Science</v>
      </c>
    </row>
    <row r="698" ht="12.75" customHeight="1">
      <c r="A698" s="13" t="s">
        <v>5508</v>
      </c>
      <c r="B698" s="13" t="s">
        <v>17883</v>
      </c>
      <c r="C698" s="13" t="s">
        <v>5510</v>
      </c>
      <c r="D698" s="13" t="s">
        <v>5510</v>
      </c>
      <c r="E698" s="13" t="s">
        <v>5510</v>
      </c>
      <c r="F698" s="13" t="s">
        <v>17884</v>
      </c>
      <c r="G698" s="13" t="s">
        <v>5510</v>
      </c>
      <c r="H698" s="13" t="s">
        <v>5510</v>
      </c>
      <c r="I698" s="13" t="s">
        <v>874</v>
      </c>
      <c r="J698" s="13" t="s">
        <v>17885</v>
      </c>
      <c r="K698" s="13" t="s">
        <v>5510</v>
      </c>
      <c r="L698" s="13" t="s">
        <v>5510</v>
      </c>
      <c r="M698" s="13" t="s">
        <v>5513</v>
      </c>
      <c r="N698" s="13" t="s">
        <v>5514</v>
      </c>
      <c r="O698" s="13" t="s">
        <v>5510</v>
      </c>
      <c r="P698" s="13" t="s">
        <v>5510</v>
      </c>
      <c r="Q698" s="13" t="s">
        <v>5510</v>
      </c>
      <c r="R698" s="13" t="s">
        <v>5510</v>
      </c>
      <c r="S698" s="13" t="s">
        <v>5510</v>
      </c>
      <c r="T698" s="13" t="s">
        <v>5510</v>
      </c>
      <c r="U698" s="13" t="s">
        <v>17886</v>
      </c>
      <c r="V698" s="13" t="s">
        <v>17887</v>
      </c>
      <c r="W698" s="13" t="s">
        <v>17888</v>
      </c>
      <c r="X698" s="13" t="s">
        <v>17889</v>
      </c>
      <c r="Y698" s="13" t="s">
        <v>17890</v>
      </c>
      <c r="Z698" s="13" t="s">
        <v>17891</v>
      </c>
      <c r="AA698" s="13" t="s">
        <v>5510</v>
      </c>
      <c r="AB698" s="13" t="s">
        <v>5510</v>
      </c>
      <c r="AC698" s="13" t="s">
        <v>17892</v>
      </c>
      <c r="AD698" s="13" t="s">
        <v>17893</v>
      </c>
      <c r="AE698" s="13" t="s">
        <v>17894</v>
      </c>
      <c r="AF698" s="13" t="s">
        <v>5510</v>
      </c>
      <c r="AG698" s="13">
        <v>42.0</v>
      </c>
      <c r="AH698" s="13">
        <v>87.0</v>
      </c>
      <c r="AI698" s="13">
        <v>88.0</v>
      </c>
      <c r="AJ698" s="13">
        <v>0.0</v>
      </c>
      <c r="AK698" s="13">
        <v>42.0</v>
      </c>
      <c r="AL698" s="13" t="s">
        <v>17895</v>
      </c>
      <c r="AM698" s="13" t="s">
        <v>17896</v>
      </c>
      <c r="AN698" s="13" t="s">
        <v>17897</v>
      </c>
      <c r="AO698" s="13" t="s">
        <v>17898</v>
      </c>
      <c r="AP698" s="13" t="s">
        <v>5510</v>
      </c>
      <c r="AQ698" s="13" t="s">
        <v>5510</v>
      </c>
      <c r="AR698" s="13" t="s">
        <v>17899</v>
      </c>
      <c r="AS698" s="13" t="s">
        <v>17900</v>
      </c>
      <c r="AT698" s="13" t="s">
        <v>2738</v>
      </c>
      <c r="AU698" s="13">
        <v>2013.0</v>
      </c>
      <c r="AV698" s="13">
        <v>39.0</v>
      </c>
      <c r="AW698" s="13">
        <v>1.0</v>
      </c>
      <c r="AX698" s="13" t="s">
        <v>5510</v>
      </c>
      <c r="AY698" s="13" t="s">
        <v>5510</v>
      </c>
      <c r="AZ698" s="13" t="s">
        <v>5510</v>
      </c>
      <c r="BA698" s="13" t="s">
        <v>5510</v>
      </c>
      <c r="BB698" s="13">
        <v>42.0</v>
      </c>
      <c r="BC698" s="13">
        <v>58.0</v>
      </c>
      <c r="BD698" s="13" t="s">
        <v>5510</v>
      </c>
      <c r="BE698" s="13" t="s">
        <v>17901</v>
      </c>
      <c r="BF698" s="52" t="str">
        <f>HYPERLINK("http://dx.doi.org/10.5589/m13-007","http://dx.doi.org/10.5589/m13-007")</f>
        <v>http://dx.doi.org/10.5589/m13-007</v>
      </c>
      <c r="BG698" s="13" t="s">
        <v>5510</v>
      </c>
      <c r="BH698" s="13" t="s">
        <v>5510</v>
      </c>
      <c r="BI698" s="13">
        <v>17.0</v>
      </c>
      <c r="BJ698" s="13" t="s">
        <v>866</v>
      </c>
      <c r="BK698" s="13" t="s">
        <v>5561</v>
      </c>
      <c r="BL698" s="13" t="s">
        <v>866</v>
      </c>
      <c r="BM698" s="13" t="s">
        <v>17902</v>
      </c>
      <c r="BN698" s="13" t="s">
        <v>5510</v>
      </c>
      <c r="BO698" s="13" t="s">
        <v>5510</v>
      </c>
      <c r="BP698" s="13" t="s">
        <v>5510</v>
      </c>
      <c r="BQ698" s="13" t="s">
        <v>5510</v>
      </c>
      <c r="BR698" s="13" t="s">
        <v>5538</v>
      </c>
      <c r="BS698" s="13" t="s">
        <v>17903</v>
      </c>
      <c r="BT698" s="13">
        <v>25077.0</v>
      </c>
      <c r="BU698" s="13" t="s">
        <v>5540</v>
      </c>
      <c r="BV698" s="13" t="s">
        <v>4856</v>
      </c>
      <c r="BW698" s="13" t="str">
        <f>VLOOKUP($BT698,Enriched!$A$2:$E$1070,5,false)</f>
        <v>["Residential &amp; Commercial Development", "Agriculture &amp; Aquaculture", "Energy Production &amp; Mining", "Transportation &amp; Service Corridors", "Natural System Modifications"]</v>
      </c>
      <c r="BX698" s="13" t="str">
        <f>VLOOKUP($BT698,Enriched!$A$2:$E$1070,4,false)</f>
        <v>["Housing &amp; urban area", "Commercial &amp; industrial areas", "Annual &amp; perennial non-timber crops", "Livestock farming &amp; ranching", "Oil &amp; gas drilling", "Mining &amp; quarrying", "Roads &amp; railroads", "Utility &amp; service lines", "Dams &amp; water management/use"]</v>
      </c>
      <c r="BY698" s="13" t="b">
        <f>VLOOKUP(BT698,Enriched!$A$1:$AA$1070,27,falsE)</f>
        <v>0</v>
      </c>
      <c r="BZ698" s="2" t="str">
        <f>VLOOKUP(BT698,Enriched!$A$1:$AA$1070,14,falsE)</f>
        <v>level2</v>
      </c>
      <c r="CA698" s="13" t="str">
        <f>HYPERLINK("https%3A%2F%2Fwww.webofscience.com%2Fwos%2Fwoscc%2Ffull-record%2FWOS:000328371900005","View Full Record in Web of Science")</f>
        <v>View Full Record in Web of Science</v>
      </c>
    </row>
    <row r="699" ht="12.75" customHeight="1">
      <c r="A699" s="13" t="s">
        <v>5508</v>
      </c>
      <c r="B699" s="13" t="s">
        <v>17904</v>
      </c>
      <c r="C699" s="13" t="s">
        <v>5510</v>
      </c>
      <c r="D699" s="13" t="s">
        <v>5510</v>
      </c>
      <c r="E699" s="13" t="s">
        <v>5510</v>
      </c>
      <c r="F699" s="13" t="s">
        <v>17905</v>
      </c>
      <c r="G699" s="13" t="s">
        <v>5510</v>
      </c>
      <c r="H699" s="13" t="s">
        <v>5510</v>
      </c>
      <c r="I699" s="13" t="s">
        <v>872</v>
      </c>
      <c r="J699" s="13" t="s">
        <v>5543</v>
      </c>
      <c r="K699" s="13" t="s">
        <v>5510</v>
      </c>
      <c r="L699" s="13" t="s">
        <v>5510</v>
      </c>
      <c r="M699" s="13" t="s">
        <v>5513</v>
      </c>
      <c r="N699" s="13" t="s">
        <v>5514</v>
      </c>
      <c r="O699" s="13" t="s">
        <v>5510</v>
      </c>
      <c r="P699" s="13" t="s">
        <v>5510</v>
      </c>
      <c r="Q699" s="13" t="s">
        <v>5510</v>
      </c>
      <c r="R699" s="13" t="s">
        <v>5510</v>
      </c>
      <c r="S699" s="13" t="s">
        <v>5510</v>
      </c>
      <c r="T699" s="13" t="s">
        <v>5510</v>
      </c>
      <c r="U699" s="13" t="s">
        <v>17906</v>
      </c>
      <c r="V699" s="13" t="s">
        <v>17907</v>
      </c>
      <c r="W699" s="13" t="s">
        <v>17908</v>
      </c>
      <c r="X699" s="13" t="s">
        <v>17909</v>
      </c>
      <c r="Y699" s="13" t="s">
        <v>17910</v>
      </c>
      <c r="Z699" s="13" t="s">
        <v>17911</v>
      </c>
      <c r="AA699" s="13" t="s">
        <v>17912</v>
      </c>
      <c r="AB699" s="13" t="s">
        <v>17913</v>
      </c>
      <c r="AC699" s="13" t="s">
        <v>17914</v>
      </c>
      <c r="AD699" s="13" t="s">
        <v>17914</v>
      </c>
      <c r="AE699" s="13" t="s">
        <v>17915</v>
      </c>
      <c r="AF699" s="13" t="s">
        <v>5510</v>
      </c>
      <c r="AG699" s="13">
        <v>47.0</v>
      </c>
      <c r="AH699" s="13">
        <v>17.0</v>
      </c>
      <c r="AI699" s="13">
        <v>19.0</v>
      </c>
      <c r="AJ699" s="13">
        <v>3.0</v>
      </c>
      <c r="AK699" s="13">
        <v>37.0</v>
      </c>
      <c r="AL699" s="13" t="s">
        <v>5552</v>
      </c>
      <c r="AM699" s="13" t="s">
        <v>5553</v>
      </c>
      <c r="AN699" s="13" t="s">
        <v>5554</v>
      </c>
      <c r="AO699" s="13" t="s">
        <v>5555</v>
      </c>
      <c r="AP699" s="13" t="s">
        <v>5510</v>
      </c>
      <c r="AQ699" s="13" t="s">
        <v>5510</v>
      </c>
      <c r="AR699" s="13" t="s">
        <v>5543</v>
      </c>
      <c r="AS699" s="13" t="s">
        <v>5556</v>
      </c>
      <c r="AT699" s="13" t="s">
        <v>13245</v>
      </c>
      <c r="AU699" s="13">
        <v>2018.0</v>
      </c>
      <c r="AV699" s="13">
        <v>13.0</v>
      </c>
      <c r="AW699" s="13">
        <v>4.0</v>
      </c>
      <c r="AX699" s="13" t="s">
        <v>5510</v>
      </c>
      <c r="AY699" s="13" t="s">
        <v>5510</v>
      </c>
      <c r="AZ699" s="13" t="s">
        <v>5510</v>
      </c>
      <c r="BA699" s="13" t="s">
        <v>5510</v>
      </c>
      <c r="BB699" s="13" t="s">
        <v>5510</v>
      </c>
      <c r="BC699" s="13" t="s">
        <v>5510</v>
      </c>
      <c r="BD699" s="13" t="s">
        <v>17916</v>
      </c>
      <c r="BE699" s="13" t="s">
        <v>17917</v>
      </c>
      <c r="BF699" s="52" t="str">
        <f>HYPERLINK("http://dx.doi.org/10.1371/journal.pone.0195115","http://dx.doi.org/10.1371/journal.pone.0195115")</f>
        <v>http://dx.doi.org/10.1371/journal.pone.0195115</v>
      </c>
      <c r="BG699" s="13" t="s">
        <v>5510</v>
      </c>
      <c r="BH699" s="13" t="s">
        <v>5510</v>
      </c>
      <c r="BI699" s="13">
        <v>16.0</v>
      </c>
      <c r="BJ699" s="13" t="s">
        <v>5560</v>
      </c>
      <c r="BK699" s="13" t="s">
        <v>5561</v>
      </c>
      <c r="BL699" s="13" t="s">
        <v>5562</v>
      </c>
      <c r="BM699" s="13" t="s">
        <v>17918</v>
      </c>
      <c r="BN699" s="13">
        <v>2.9614093E7</v>
      </c>
      <c r="BO699" s="13" t="s">
        <v>5564</v>
      </c>
      <c r="BP699" s="13" t="s">
        <v>5510</v>
      </c>
      <c r="BQ699" s="13" t="s">
        <v>5510</v>
      </c>
      <c r="BR699" s="13" t="s">
        <v>5538</v>
      </c>
      <c r="BS699" s="13" t="s">
        <v>17919</v>
      </c>
      <c r="BT699" s="13">
        <v>25957.0</v>
      </c>
      <c r="BU699" s="13" t="s">
        <v>5540</v>
      </c>
      <c r="BV699" s="13" t="s">
        <v>4856</v>
      </c>
      <c r="BW699" s="13" t="str">
        <f>VLOOKUP($BT699,Enriched!$A$2:$E$1070,5,false)</f>
        <v>["Transportation &amp; Service Corridors", "Residential &amp; Commercial Development", "Energy Production &amp; Mining", "Agriculture &amp; Aquaculture", "Natural System Modifications", "Invasive &amp; Other Problematic Species, Genes &amp; Diseases"]</v>
      </c>
      <c r="BX699" s="13" t="str">
        <f>VLOOKUP($BT699,Enriched!$A$2:$E$1070,4,false)</f>
        <v>["Roads &amp; railroads", "Housing &amp; urban area", "Commercial &amp; industrial areas", "Utility &amp; service lines", "Mining &amp; quarrying", "Annual &amp; perennial non-timber crops", "Livestock farming &amp; ranching", "Wood &amp; pulp plantations", "Fire &amp; fire suppression", "Invasive non-native/alien species/diseases"]</v>
      </c>
      <c r="BY699" s="13" t="b">
        <f>VLOOKUP(BT699,Enriched!$A$1:$AA$1070,27,falsE)</f>
        <v>0</v>
      </c>
      <c r="BZ699" s="2" t="str">
        <f>VLOOKUP(BT699,Enriched!$A$1:$AA$1070,14,falsE)</f>
        <v>cumulative</v>
      </c>
      <c r="CA699" s="13" t="str">
        <f>HYPERLINK("https%3A%2F%2Fwww.webofscience.com%2Fwos%2Fwoscc%2Ffull-record%2FWOS:000429081600033","View Full Record in Web of Science")</f>
        <v>View Full Record in Web of Science</v>
      </c>
    </row>
    <row r="700" ht="12.75" customHeight="1">
      <c r="A700" s="13" t="s">
        <v>5508</v>
      </c>
      <c r="B700" s="13" t="s">
        <v>17920</v>
      </c>
      <c r="C700" s="13" t="s">
        <v>5510</v>
      </c>
      <c r="D700" s="13" t="s">
        <v>5510</v>
      </c>
      <c r="E700" s="13" t="s">
        <v>5510</v>
      </c>
      <c r="F700" s="13" t="s">
        <v>17921</v>
      </c>
      <c r="G700" s="13" t="s">
        <v>5510</v>
      </c>
      <c r="H700" s="13" t="s">
        <v>5510</v>
      </c>
      <c r="I700" s="13" t="s">
        <v>868</v>
      </c>
      <c r="J700" s="13" t="s">
        <v>6407</v>
      </c>
      <c r="K700" s="13" t="s">
        <v>5510</v>
      </c>
      <c r="L700" s="13" t="s">
        <v>5510</v>
      </c>
      <c r="M700" s="13" t="s">
        <v>5513</v>
      </c>
      <c r="N700" s="13" t="s">
        <v>5514</v>
      </c>
      <c r="O700" s="13" t="s">
        <v>5510</v>
      </c>
      <c r="P700" s="13" t="s">
        <v>5510</v>
      </c>
      <c r="Q700" s="13" t="s">
        <v>5510</v>
      </c>
      <c r="R700" s="13" t="s">
        <v>5510</v>
      </c>
      <c r="S700" s="13" t="s">
        <v>5510</v>
      </c>
      <c r="T700" s="13" t="s">
        <v>17922</v>
      </c>
      <c r="U700" s="13" t="s">
        <v>17923</v>
      </c>
      <c r="V700" s="13" t="s">
        <v>17924</v>
      </c>
      <c r="W700" s="13" t="s">
        <v>17925</v>
      </c>
      <c r="X700" s="13" t="s">
        <v>17926</v>
      </c>
      <c r="Y700" s="13" t="s">
        <v>17927</v>
      </c>
      <c r="Z700" s="13" t="s">
        <v>17928</v>
      </c>
      <c r="AA700" s="13" t="s">
        <v>17929</v>
      </c>
      <c r="AB700" s="13" t="s">
        <v>17930</v>
      </c>
      <c r="AC700" s="13" t="s">
        <v>5510</v>
      </c>
      <c r="AD700" s="13" t="s">
        <v>5510</v>
      </c>
      <c r="AE700" s="13" t="s">
        <v>5510</v>
      </c>
      <c r="AF700" s="13" t="s">
        <v>5510</v>
      </c>
      <c r="AG700" s="13">
        <v>57.0</v>
      </c>
      <c r="AH700" s="13">
        <v>58.0</v>
      </c>
      <c r="AI700" s="13">
        <v>65.0</v>
      </c>
      <c r="AJ700" s="13">
        <v>1.0</v>
      </c>
      <c r="AK700" s="13">
        <v>111.0</v>
      </c>
      <c r="AL700" s="13" t="s">
        <v>5759</v>
      </c>
      <c r="AM700" s="13" t="s">
        <v>5760</v>
      </c>
      <c r="AN700" s="13" t="s">
        <v>5761</v>
      </c>
      <c r="AO700" s="13" t="s">
        <v>6417</v>
      </c>
      <c r="AP700" s="13" t="s">
        <v>6418</v>
      </c>
      <c r="AQ700" s="13" t="s">
        <v>5510</v>
      </c>
      <c r="AR700" s="13" t="s">
        <v>6419</v>
      </c>
      <c r="AS700" s="13" t="s">
        <v>6420</v>
      </c>
      <c r="AT700" s="13" t="s">
        <v>2738</v>
      </c>
      <c r="AU700" s="13">
        <v>2014.0</v>
      </c>
      <c r="AV700" s="13">
        <v>37.0</v>
      </c>
      <c r="AW700" s="13" t="s">
        <v>5510</v>
      </c>
      <c r="AX700" s="13" t="s">
        <v>6176</v>
      </c>
      <c r="AY700" s="13" t="s">
        <v>5510</v>
      </c>
      <c r="AZ700" s="13" t="s">
        <v>5510</v>
      </c>
      <c r="BA700" s="13" t="s">
        <v>5510</v>
      </c>
      <c r="BB700" s="13">
        <v>186.0</v>
      </c>
      <c r="BC700" s="13">
        <v>198.0</v>
      </c>
      <c r="BD700" s="13" t="s">
        <v>5510</v>
      </c>
      <c r="BE700" s="13" t="s">
        <v>17931</v>
      </c>
      <c r="BF700" s="52" t="str">
        <f>HYPERLINK("http://dx.doi.org/10.1016/j.ecolind.2012.11.006","http://dx.doi.org/10.1016/j.ecolind.2012.11.006")</f>
        <v>http://dx.doi.org/10.1016/j.ecolind.2012.11.006</v>
      </c>
      <c r="BG700" s="13" t="s">
        <v>5510</v>
      </c>
      <c r="BH700" s="13" t="s">
        <v>5510</v>
      </c>
      <c r="BI700" s="13">
        <v>13.0</v>
      </c>
      <c r="BJ700" s="13" t="s">
        <v>6422</v>
      </c>
      <c r="BK700" s="13" t="s">
        <v>5561</v>
      </c>
      <c r="BL700" s="13" t="s">
        <v>5699</v>
      </c>
      <c r="BM700" s="13" t="s">
        <v>17932</v>
      </c>
      <c r="BN700" s="13" t="s">
        <v>5510</v>
      </c>
      <c r="BO700" s="13" t="s">
        <v>5510</v>
      </c>
      <c r="BP700" s="13" t="s">
        <v>5510</v>
      </c>
      <c r="BQ700" s="13" t="s">
        <v>5510</v>
      </c>
      <c r="BR700" s="13" t="s">
        <v>5538</v>
      </c>
      <c r="BS700" s="13" t="s">
        <v>17933</v>
      </c>
      <c r="BT700" s="13">
        <v>25042.0</v>
      </c>
      <c r="BU700" s="13" t="s">
        <v>5540</v>
      </c>
      <c r="BV700" s="13" t="s">
        <v>4886</v>
      </c>
      <c r="BW700" s="13" t="str">
        <f>VLOOKUP($BT700,Enriched!$A$2:$E$1070,5,false)</f>
        <v>["Agriculture &amp; Aquaculture"]</v>
      </c>
      <c r="BX700" s="13" t="str">
        <f>VLOOKUP($BT700,Enriched!$A$2:$E$1070,4,false)</f>
        <v/>
      </c>
      <c r="BY700" s="13" t="b">
        <f>VLOOKUP(BT700,Enriched!$A$1:$AA$1070,27,falsE)</f>
        <v>1</v>
      </c>
      <c r="BZ700" s="2" t="str">
        <f>VLOOKUP(BT700,Enriched!$A$1:$AA$1070,14,falsE)</f>
        <v>level1</v>
      </c>
      <c r="CA700" s="13" t="str">
        <f>HYPERLINK("https%3A%2F%2Fwww.webofscience.com%2Fwos%2Fwoscc%2Ffull-record%2FWOS:000329385300020","View Full Record in Web of Science")</f>
        <v>View Full Record in Web of Science</v>
      </c>
    </row>
    <row r="701" ht="12.75" customHeight="1">
      <c r="A701" s="13" t="s">
        <v>5508</v>
      </c>
      <c r="B701" s="13" t="s">
        <v>17934</v>
      </c>
      <c r="C701" s="13" t="s">
        <v>5510</v>
      </c>
      <c r="D701" s="13" t="s">
        <v>5510</v>
      </c>
      <c r="E701" s="13" t="s">
        <v>5510</v>
      </c>
      <c r="F701" s="13" t="s">
        <v>17935</v>
      </c>
      <c r="G701" s="13" t="s">
        <v>5510</v>
      </c>
      <c r="H701" s="13" t="s">
        <v>5510</v>
      </c>
      <c r="I701" s="13" t="s">
        <v>17936</v>
      </c>
      <c r="J701" s="13" t="s">
        <v>7300</v>
      </c>
      <c r="K701" s="13" t="s">
        <v>5510</v>
      </c>
      <c r="L701" s="13" t="s">
        <v>5510</v>
      </c>
      <c r="M701" s="13" t="s">
        <v>5513</v>
      </c>
      <c r="N701" s="13" t="s">
        <v>5514</v>
      </c>
      <c r="O701" s="13" t="s">
        <v>5510</v>
      </c>
      <c r="P701" s="13" t="s">
        <v>5510</v>
      </c>
      <c r="Q701" s="13" t="s">
        <v>5510</v>
      </c>
      <c r="R701" s="13" t="s">
        <v>5510</v>
      </c>
      <c r="S701" s="13" t="s">
        <v>5510</v>
      </c>
      <c r="T701" s="13" t="s">
        <v>17937</v>
      </c>
      <c r="U701" s="13" t="s">
        <v>17938</v>
      </c>
      <c r="V701" s="13" t="s">
        <v>17939</v>
      </c>
      <c r="W701" s="13" t="s">
        <v>17940</v>
      </c>
      <c r="X701" s="13" t="s">
        <v>17941</v>
      </c>
      <c r="Y701" s="13" t="s">
        <v>17942</v>
      </c>
      <c r="Z701" s="13" t="s">
        <v>17943</v>
      </c>
      <c r="AA701" s="13" t="s">
        <v>17944</v>
      </c>
      <c r="AB701" s="13" t="s">
        <v>17945</v>
      </c>
      <c r="AC701" s="13" t="s">
        <v>17946</v>
      </c>
      <c r="AD701" s="13" t="s">
        <v>17947</v>
      </c>
      <c r="AE701" s="13" t="s">
        <v>17948</v>
      </c>
      <c r="AF701" s="13" t="s">
        <v>5510</v>
      </c>
      <c r="AG701" s="13">
        <v>79.0</v>
      </c>
      <c r="AH701" s="13">
        <v>25.0</v>
      </c>
      <c r="AI701" s="13">
        <v>27.0</v>
      </c>
      <c r="AJ701" s="13">
        <v>0.0</v>
      </c>
      <c r="AK701" s="13">
        <v>68.0</v>
      </c>
      <c r="AL701" s="13" t="s">
        <v>6849</v>
      </c>
      <c r="AM701" s="13" t="s">
        <v>6850</v>
      </c>
      <c r="AN701" s="13" t="s">
        <v>6851</v>
      </c>
      <c r="AO701" s="13" t="s">
        <v>5510</v>
      </c>
      <c r="AP701" s="13" t="s">
        <v>7313</v>
      </c>
      <c r="AQ701" s="13" t="s">
        <v>5510</v>
      </c>
      <c r="AR701" s="13" t="s">
        <v>7314</v>
      </c>
      <c r="AS701" s="13" t="s">
        <v>7315</v>
      </c>
      <c r="AT701" s="13" t="s">
        <v>5667</v>
      </c>
      <c r="AU701" s="13">
        <v>2018.0</v>
      </c>
      <c r="AV701" s="13">
        <v>10.0</v>
      </c>
      <c r="AW701" s="13">
        <v>7.0</v>
      </c>
      <c r="AX701" s="13" t="s">
        <v>5510</v>
      </c>
      <c r="AY701" s="13" t="s">
        <v>5510</v>
      </c>
      <c r="AZ701" s="13" t="s">
        <v>5510</v>
      </c>
      <c r="BA701" s="13" t="s">
        <v>5510</v>
      </c>
      <c r="BB701" s="13" t="s">
        <v>5510</v>
      </c>
      <c r="BC701" s="13" t="s">
        <v>5510</v>
      </c>
      <c r="BD701" s="13">
        <v>1075.0</v>
      </c>
      <c r="BE701" s="13" t="s">
        <v>17949</v>
      </c>
      <c r="BF701" s="52" t="str">
        <f>HYPERLINK("http://dx.doi.org/10.3390/rs10071075","http://dx.doi.org/10.3390/rs10071075")</f>
        <v>http://dx.doi.org/10.3390/rs10071075</v>
      </c>
      <c r="BG701" s="13" t="s">
        <v>5510</v>
      </c>
      <c r="BH701" s="13" t="s">
        <v>5510</v>
      </c>
      <c r="BI701" s="13">
        <v>20.0</v>
      </c>
      <c r="BJ701" s="13" t="s">
        <v>7317</v>
      </c>
      <c r="BK701" s="13" t="s">
        <v>5561</v>
      </c>
      <c r="BL701" s="13" t="s">
        <v>7318</v>
      </c>
      <c r="BM701" s="13" t="s">
        <v>17950</v>
      </c>
      <c r="BN701" s="13" t="s">
        <v>5510</v>
      </c>
      <c r="BO701" s="13" t="s">
        <v>5564</v>
      </c>
      <c r="BP701" s="13" t="s">
        <v>5510</v>
      </c>
      <c r="BQ701" s="13" t="s">
        <v>5510</v>
      </c>
      <c r="BR701" s="13" t="s">
        <v>5538</v>
      </c>
      <c r="BS701" s="13" t="s">
        <v>17951</v>
      </c>
      <c r="BT701" s="13">
        <v>24875.0</v>
      </c>
      <c r="BU701" s="13" t="s">
        <v>11683</v>
      </c>
      <c r="BV701" s="13" t="s">
        <v>4856</v>
      </c>
      <c r="BW701" s="13" t="str">
        <f>VLOOKUP($BT701,Enriched!$A$2:$E$1070,5,false)</f>
        <v>["Invasive &amp; Other Problematic Species, Genes &amp; Diseases"]</v>
      </c>
      <c r="BX701" s="13" t="str">
        <f>VLOOKUP($BT701,Enriched!$A$2:$E$1070,4,false)</f>
        <v>["Problematic native species/diseases"]</v>
      </c>
      <c r="BY701" s="13" t="b">
        <f>VLOOKUP(BT701,Enriched!$A$1:$AA$1070,27,falsE)</f>
        <v>0</v>
      </c>
      <c r="BZ701" s="2" t="str">
        <f>VLOOKUP(BT701,Enriched!$A$1:$AA$1070,14,falsE)</f>
        <v>level2</v>
      </c>
      <c r="CA701" s="13" t="str">
        <f>HYPERLINK("https%3A%2F%2Fwww.webofscience.com%2Fwos%2Fwoscc%2Ffull-record%2FWOS:000440332500098","View Full Record in Web of Science")</f>
        <v>View Full Record in Web of Science</v>
      </c>
    </row>
    <row r="702" ht="12.75" customHeight="1">
      <c r="A702" s="13" t="s">
        <v>5508</v>
      </c>
      <c r="B702" s="13" t="s">
        <v>17952</v>
      </c>
      <c r="C702" s="13" t="s">
        <v>5510</v>
      </c>
      <c r="D702" s="13" t="s">
        <v>5510</v>
      </c>
      <c r="E702" s="13" t="s">
        <v>5510</v>
      </c>
      <c r="F702" s="13" t="s">
        <v>17953</v>
      </c>
      <c r="G702" s="13" t="s">
        <v>5510</v>
      </c>
      <c r="H702" s="13" t="s">
        <v>5510</v>
      </c>
      <c r="I702" s="13" t="s">
        <v>17954</v>
      </c>
      <c r="J702" s="13" t="s">
        <v>8582</v>
      </c>
      <c r="K702" s="13" t="s">
        <v>5510</v>
      </c>
      <c r="L702" s="13" t="s">
        <v>5510</v>
      </c>
      <c r="M702" s="13" t="s">
        <v>5513</v>
      </c>
      <c r="N702" s="13" t="s">
        <v>5514</v>
      </c>
      <c r="O702" s="13" t="s">
        <v>5510</v>
      </c>
      <c r="P702" s="13" t="s">
        <v>5510</v>
      </c>
      <c r="Q702" s="13" t="s">
        <v>5510</v>
      </c>
      <c r="R702" s="13" t="s">
        <v>5510</v>
      </c>
      <c r="S702" s="13" t="s">
        <v>5510</v>
      </c>
      <c r="T702" s="13" t="s">
        <v>17955</v>
      </c>
      <c r="U702" s="13" t="s">
        <v>17956</v>
      </c>
      <c r="V702" s="13" t="s">
        <v>17957</v>
      </c>
      <c r="W702" s="13" t="s">
        <v>17958</v>
      </c>
      <c r="X702" s="13" t="s">
        <v>17959</v>
      </c>
      <c r="Y702" s="13" t="s">
        <v>17960</v>
      </c>
      <c r="Z702" s="13" t="s">
        <v>17961</v>
      </c>
      <c r="AA702" s="13" t="s">
        <v>5510</v>
      </c>
      <c r="AB702" s="13" t="s">
        <v>5510</v>
      </c>
      <c r="AC702" s="13" t="s">
        <v>17962</v>
      </c>
      <c r="AD702" s="13" t="s">
        <v>17963</v>
      </c>
      <c r="AE702" s="13" t="s">
        <v>17964</v>
      </c>
      <c r="AF702" s="13" t="s">
        <v>5510</v>
      </c>
      <c r="AG702" s="13">
        <v>56.0</v>
      </c>
      <c r="AH702" s="13">
        <v>14.0</v>
      </c>
      <c r="AI702" s="13">
        <v>16.0</v>
      </c>
      <c r="AJ702" s="13">
        <v>3.0</v>
      </c>
      <c r="AK702" s="13">
        <v>73.0</v>
      </c>
      <c r="AL702" s="13" t="s">
        <v>5690</v>
      </c>
      <c r="AM702" s="13" t="s">
        <v>6503</v>
      </c>
      <c r="AN702" s="13" t="s">
        <v>7040</v>
      </c>
      <c r="AO702" s="13" t="s">
        <v>8592</v>
      </c>
      <c r="AP702" s="13" t="s">
        <v>8593</v>
      </c>
      <c r="AQ702" s="13" t="s">
        <v>5510</v>
      </c>
      <c r="AR702" s="13" t="s">
        <v>8594</v>
      </c>
      <c r="AS702" s="13" t="s">
        <v>8595</v>
      </c>
      <c r="AT702" s="13" t="s">
        <v>5582</v>
      </c>
      <c r="AU702" s="13">
        <v>2016.0</v>
      </c>
      <c r="AV702" s="13">
        <v>57.0</v>
      </c>
      <c r="AW702" s="13">
        <v>1.0</v>
      </c>
      <c r="AX702" s="13" t="s">
        <v>5510</v>
      </c>
      <c r="AY702" s="13" t="s">
        <v>5510</v>
      </c>
      <c r="AZ702" s="13" t="s">
        <v>5510</v>
      </c>
      <c r="BA702" s="13" t="s">
        <v>5510</v>
      </c>
      <c r="BB702" s="13">
        <v>207.0</v>
      </c>
      <c r="BC702" s="13">
        <v>219.0</v>
      </c>
      <c r="BD702" s="13" t="s">
        <v>5510</v>
      </c>
      <c r="BE702" s="13" t="s">
        <v>17965</v>
      </c>
      <c r="BF702" s="52" t="str">
        <f>HYPERLINK("http://dx.doi.org/10.1007/s00267-015-0600-3","http://dx.doi.org/10.1007/s00267-015-0600-3")</f>
        <v>http://dx.doi.org/10.1007/s00267-015-0600-3</v>
      </c>
      <c r="BG702" s="13" t="s">
        <v>5510</v>
      </c>
      <c r="BH702" s="13" t="s">
        <v>5510</v>
      </c>
      <c r="BI702" s="13">
        <v>13.0</v>
      </c>
      <c r="BJ702" s="13" t="s">
        <v>5768</v>
      </c>
      <c r="BK702" s="13" t="s">
        <v>5561</v>
      </c>
      <c r="BL702" s="13" t="s">
        <v>5535</v>
      </c>
      <c r="BM702" s="13" t="s">
        <v>17966</v>
      </c>
      <c r="BN702" s="13">
        <v>2.6289351E7</v>
      </c>
      <c r="BO702" s="13" t="s">
        <v>5510</v>
      </c>
      <c r="BP702" s="13" t="s">
        <v>5510</v>
      </c>
      <c r="BQ702" s="13" t="s">
        <v>5510</v>
      </c>
      <c r="BR702" s="13" t="s">
        <v>5538</v>
      </c>
      <c r="BS702" s="13" t="s">
        <v>17967</v>
      </c>
      <c r="BT702" s="13">
        <v>26060.0</v>
      </c>
      <c r="BU702" s="13" t="s">
        <v>5540</v>
      </c>
      <c r="BV702" s="13" t="s">
        <v>4856</v>
      </c>
      <c r="BW702" s="13" t="str">
        <f>VLOOKUP($BT702,Enriched!$A$2:$E$1070,5,false)</f>
        <v>["Climate change &amp; severe weather"]</v>
      </c>
      <c r="BX702" s="13" t="str">
        <f>VLOOKUP($BT702,Enriched!$A$2:$E$1070,4,false)</f>
        <v>["Habitat shifting &amp; alteration"]</v>
      </c>
      <c r="BY702" s="13" t="b">
        <f>VLOOKUP(BT702,Enriched!$A$1:$AA$1070,27,falsE)</f>
        <v>0</v>
      </c>
      <c r="BZ702" s="2" t="str">
        <f>VLOOKUP(BT702,Enriched!$A$1:$AA$1070,14,falsE)</f>
        <v>level2</v>
      </c>
      <c r="CA702" s="13" t="str">
        <f>HYPERLINK("https%3A%2F%2Fwww.webofscience.com%2Fwos%2Fwoscc%2Ffull-record%2FWOS:000367917900015","View Full Record in Web of Science")</f>
        <v>View Full Record in Web of Science</v>
      </c>
    </row>
    <row r="703" ht="12.75" customHeight="1">
      <c r="A703" s="13" t="s">
        <v>5508</v>
      </c>
      <c r="B703" s="13" t="s">
        <v>17968</v>
      </c>
      <c r="C703" s="13" t="s">
        <v>5510</v>
      </c>
      <c r="D703" s="13" t="s">
        <v>5510</v>
      </c>
      <c r="E703" s="13" t="s">
        <v>5510</v>
      </c>
      <c r="F703" s="13" t="s">
        <v>17969</v>
      </c>
      <c r="G703" s="13" t="s">
        <v>5510</v>
      </c>
      <c r="H703" s="13" t="s">
        <v>5510</v>
      </c>
      <c r="I703" s="13" t="s">
        <v>849</v>
      </c>
      <c r="J703" s="13" t="s">
        <v>17970</v>
      </c>
      <c r="K703" s="13" t="s">
        <v>5510</v>
      </c>
      <c r="L703" s="13" t="s">
        <v>5510</v>
      </c>
      <c r="M703" s="13" t="s">
        <v>5513</v>
      </c>
      <c r="N703" s="13" t="s">
        <v>5514</v>
      </c>
      <c r="O703" s="13" t="s">
        <v>5510</v>
      </c>
      <c r="P703" s="13" t="s">
        <v>5510</v>
      </c>
      <c r="Q703" s="13" t="s">
        <v>5510</v>
      </c>
      <c r="R703" s="13" t="s">
        <v>5510</v>
      </c>
      <c r="S703" s="13" t="s">
        <v>5510</v>
      </c>
      <c r="T703" s="13" t="s">
        <v>17971</v>
      </c>
      <c r="U703" s="13" t="s">
        <v>17972</v>
      </c>
      <c r="V703" s="13" t="s">
        <v>17973</v>
      </c>
      <c r="W703" s="13" t="s">
        <v>17974</v>
      </c>
      <c r="X703" s="13" t="s">
        <v>17975</v>
      </c>
      <c r="Y703" s="13" t="s">
        <v>17976</v>
      </c>
      <c r="Z703" s="13" t="s">
        <v>17977</v>
      </c>
      <c r="AA703" s="13" t="s">
        <v>17978</v>
      </c>
      <c r="AB703" s="13" t="s">
        <v>5510</v>
      </c>
      <c r="AC703" s="13" t="s">
        <v>17979</v>
      </c>
      <c r="AD703" s="13" t="s">
        <v>17979</v>
      </c>
      <c r="AE703" s="13" t="s">
        <v>17980</v>
      </c>
      <c r="AF703" s="13" t="s">
        <v>5510</v>
      </c>
      <c r="AG703" s="13">
        <v>66.0</v>
      </c>
      <c r="AH703" s="13">
        <v>6.0</v>
      </c>
      <c r="AI703" s="13">
        <v>6.0</v>
      </c>
      <c r="AJ703" s="13">
        <v>0.0</v>
      </c>
      <c r="AK703" s="13">
        <v>18.0</v>
      </c>
      <c r="AL703" s="13" t="s">
        <v>17981</v>
      </c>
      <c r="AM703" s="13" t="s">
        <v>17982</v>
      </c>
      <c r="AN703" s="13" t="s">
        <v>17983</v>
      </c>
      <c r="AO703" s="13" t="s">
        <v>17984</v>
      </c>
      <c r="AP703" s="13" t="s">
        <v>17985</v>
      </c>
      <c r="AQ703" s="13" t="s">
        <v>5510</v>
      </c>
      <c r="AR703" s="13" t="s">
        <v>17970</v>
      </c>
      <c r="AS703" s="13" t="s">
        <v>850</v>
      </c>
      <c r="AT703" s="13" t="s">
        <v>5510</v>
      </c>
      <c r="AU703" s="13">
        <v>2019.0</v>
      </c>
      <c r="AV703" s="13">
        <v>28.0</v>
      </c>
      <c r="AW703" s="13">
        <v>2.0</v>
      </c>
      <c r="AX703" s="13" t="s">
        <v>5510</v>
      </c>
      <c r="AY703" s="13" t="s">
        <v>5510</v>
      </c>
      <c r="AZ703" s="13" t="s">
        <v>5510</v>
      </c>
      <c r="BA703" s="13" t="s">
        <v>5510</v>
      </c>
      <c r="BB703" s="13">
        <v>23.0</v>
      </c>
      <c r="BC703" s="13">
        <v>37.0</v>
      </c>
      <c r="BD703" s="13" t="s">
        <v>5510</v>
      </c>
      <c r="BE703" s="13" t="s">
        <v>17986</v>
      </c>
      <c r="BF703" s="52" t="str">
        <f>HYPERLINK("http://dx.doi.org/10.3759/tropics.MS18-16","http://dx.doi.org/10.3759/tropics.MS18-16")</f>
        <v>http://dx.doi.org/10.3759/tropics.MS18-16</v>
      </c>
      <c r="BG703" s="13" t="s">
        <v>5510</v>
      </c>
      <c r="BH703" s="13" t="s">
        <v>5510</v>
      </c>
      <c r="BI703" s="13">
        <v>15.0</v>
      </c>
      <c r="BJ703" s="13" t="s">
        <v>5533</v>
      </c>
      <c r="BK703" s="13" t="s">
        <v>7985</v>
      </c>
      <c r="BL703" s="13" t="s">
        <v>5535</v>
      </c>
      <c r="BM703" s="13" t="s">
        <v>17987</v>
      </c>
      <c r="BN703" s="13" t="s">
        <v>5510</v>
      </c>
      <c r="BO703" s="13" t="s">
        <v>5537</v>
      </c>
      <c r="BP703" s="13" t="s">
        <v>5510</v>
      </c>
      <c r="BQ703" s="13" t="s">
        <v>5510</v>
      </c>
      <c r="BR703" s="13" t="s">
        <v>5538</v>
      </c>
      <c r="BS703" s="13" t="s">
        <v>17988</v>
      </c>
      <c r="BT703" s="13">
        <v>23922.0</v>
      </c>
      <c r="BU703" s="13" t="s">
        <v>5540</v>
      </c>
      <c r="BV703" s="13" t="s">
        <v>4856</v>
      </c>
      <c r="BW703" s="13" t="str">
        <f>VLOOKUP($BT703,Enriched!$A$2:$E$1070,5,false)</f>
        <v>["Residential &amp; commercial development", "Agriculture &amp; aquaculture"]</v>
      </c>
      <c r="BX703" s="13" t="str">
        <f>VLOOKUP($BT703,Enriched!$A$2:$E$1070,4,false)</f>
        <v/>
      </c>
      <c r="BY703" s="13" t="b">
        <f>VLOOKUP(BT703,Enriched!$A$1:$AA$1070,27,falsE)</f>
        <v>1</v>
      </c>
      <c r="BZ703" s="2" t="str">
        <f>VLOOKUP(BT703,Enriched!$A$1:$AA$1070,14,falsE)</f>
        <v>level2</v>
      </c>
      <c r="CA703" s="13" t="str">
        <f>HYPERLINK("https%3A%2F%2Fwww.webofscience.com%2Fwos%2Fwoscc%2Ffull-record%2FWOS:000484293100001","View Full Record in Web of Science")</f>
        <v>View Full Record in Web of Science</v>
      </c>
    </row>
    <row r="704" ht="12.75" customHeight="1">
      <c r="A704" s="13" t="s">
        <v>5508</v>
      </c>
      <c r="B704" s="13" t="s">
        <v>17989</v>
      </c>
      <c r="C704" s="13" t="s">
        <v>5510</v>
      </c>
      <c r="D704" s="13" t="s">
        <v>5510</v>
      </c>
      <c r="E704" s="13" t="s">
        <v>5510</v>
      </c>
      <c r="F704" s="13" t="s">
        <v>17990</v>
      </c>
      <c r="G704" s="13" t="s">
        <v>5510</v>
      </c>
      <c r="H704" s="13" t="s">
        <v>5510</v>
      </c>
      <c r="I704" s="13" t="s">
        <v>844</v>
      </c>
      <c r="J704" s="13" t="s">
        <v>5512</v>
      </c>
      <c r="K704" s="13" t="s">
        <v>5510</v>
      </c>
      <c r="L704" s="13" t="s">
        <v>5510</v>
      </c>
      <c r="M704" s="13" t="s">
        <v>5513</v>
      </c>
      <c r="N704" s="13" t="s">
        <v>5514</v>
      </c>
      <c r="O704" s="13" t="s">
        <v>5510</v>
      </c>
      <c r="P704" s="13" t="s">
        <v>5510</v>
      </c>
      <c r="Q704" s="13" t="s">
        <v>5510</v>
      </c>
      <c r="R704" s="13" t="s">
        <v>5510</v>
      </c>
      <c r="S704" s="13" t="s">
        <v>5510</v>
      </c>
      <c r="T704" s="13" t="s">
        <v>17991</v>
      </c>
      <c r="U704" s="13" t="s">
        <v>17992</v>
      </c>
      <c r="V704" s="13" t="s">
        <v>17993</v>
      </c>
      <c r="W704" s="13" t="s">
        <v>17994</v>
      </c>
      <c r="X704" s="13" t="s">
        <v>17995</v>
      </c>
      <c r="Y704" s="13" t="s">
        <v>17996</v>
      </c>
      <c r="Z704" s="13" t="s">
        <v>17997</v>
      </c>
      <c r="AA704" s="13" t="s">
        <v>5510</v>
      </c>
      <c r="AB704" s="13" t="s">
        <v>17998</v>
      </c>
      <c r="AC704" s="13" t="s">
        <v>17999</v>
      </c>
      <c r="AD704" s="13" t="s">
        <v>18000</v>
      </c>
      <c r="AE704" s="13" t="s">
        <v>18001</v>
      </c>
      <c r="AF704" s="13" t="s">
        <v>5510</v>
      </c>
      <c r="AG704" s="13">
        <v>49.0</v>
      </c>
      <c r="AH704" s="13">
        <v>18.0</v>
      </c>
      <c r="AI704" s="13">
        <v>18.0</v>
      </c>
      <c r="AJ704" s="13">
        <v>1.0</v>
      </c>
      <c r="AK704" s="13">
        <v>32.0</v>
      </c>
      <c r="AL704" s="13" t="s">
        <v>5527</v>
      </c>
      <c r="AM704" s="13" t="s">
        <v>5528</v>
      </c>
      <c r="AN704" s="13" t="s">
        <v>5529</v>
      </c>
      <c r="AO704" s="13" t="s">
        <v>5530</v>
      </c>
      <c r="AP704" s="13" t="s">
        <v>5510</v>
      </c>
      <c r="AQ704" s="13" t="s">
        <v>5510</v>
      </c>
      <c r="AR704" s="13" t="s">
        <v>5512</v>
      </c>
      <c r="AS704" s="13" t="s">
        <v>53</v>
      </c>
      <c r="AT704" s="13" t="s">
        <v>2738</v>
      </c>
      <c r="AU704" s="13">
        <v>2020.0</v>
      </c>
      <c r="AV704" s="13">
        <v>11.0</v>
      </c>
      <c r="AW704" s="13">
        <v>2.0</v>
      </c>
      <c r="AX704" s="13" t="s">
        <v>5510</v>
      </c>
      <c r="AY704" s="13" t="s">
        <v>5510</v>
      </c>
      <c r="AZ704" s="13" t="s">
        <v>5510</v>
      </c>
      <c r="BA704" s="13" t="s">
        <v>5510</v>
      </c>
      <c r="BB704" s="13" t="s">
        <v>5510</v>
      </c>
      <c r="BC704" s="13" t="s">
        <v>5510</v>
      </c>
      <c r="BD704" s="13" t="s">
        <v>5510</v>
      </c>
      <c r="BE704" s="13" t="s">
        <v>18002</v>
      </c>
      <c r="BF704" s="52" t="str">
        <f>HYPERLINK("http://dx.doi.org/10.1002/ecs2.3032","http://dx.doi.org/10.1002/ecs2.3032")</f>
        <v>http://dx.doi.org/10.1002/ecs2.3032</v>
      </c>
      <c r="BG704" s="13" t="s">
        <v>5510</v>
      </c>
      <c r="BH704" s="13" t="s">
        <v>5510</v>
      </c>
      <c r="BI704" s="13">
        <v>12.0</v>
      </c>
      <c r="BJ704" s="13" t="s">
        <v>5533</v>
      </c>
      <c r="BK704" s="13" t="s">
        <v>5561</v>
      </c>
      <c r="BL704" s="13" t="s">
        <v>5535</v>
      </c>
      <c r="BM704" s="13" t="s">
        <v>18003</v>
      </c>
      <c r="BN704" s="13" t="s">
        <v>5510</v>
      </c>
      <c r="BO704" s="13" t="s">
        <v>5564</v>
      </c>
      <c r="BP704" s="13" t="s">
        <v>5510</v>
      </c>
      <c r="BQ704" s="13" t="s">
        <v>5510</v>
      </c>
      <c r="BR704" s="13" t="s">
        <v>5538</v>
      </c>
      <c r="BS704" s="13" t="s">
        <v>18004</v>
      </c>
      <c r="BT704" s="13">
        <v>25857.0</v>
      </c>
      <c r="BU704" s="13" t="s">
        <v>5540</v>
      </c>
      <c r="BV704" s="13" t="s">
        <v>4856</v>
      </c>
      <c r="BW704" s="13" t="str">
        <f>VLOOKUP($BT704,Enriched!$A$2:$E$1070,5,false)</f>
        <v>["Pollution"]</v>
      </c>
      <c r="BX704" s="13" t="str">
        <f>VLOOKUP($BT704,Enriched!$A$2:$E$1070,4,false)</f>
        <v>["Air-borne pollutants"]</v>
      </c>
      <c r="BY704" s="13" t="b">
        <f>VLOOKUP(BT704,Enriched!$A$1:$AA$1070,27,falsE)</f>
        <v>0</v>
      </c>
      <c r="BZ704" s="2" t="str">
        <f>VLOOKUP(BT704,Enriched!$A$1:$AA$1070,14,falsE)</f>
        <v>level2</v>
      </c>
      <c r="CA704" s="13" t="str">
        <f>HYPERLINK("https%3A%2F%2Fwww.webofscience.com%2Fwos%2Fwoscc%2Ffull-record%2FWOS:000533920800019","View Full Record in Web of Science")</f>
        <v>View Full Record in Web of Science</v>
      </c>
    </row>
    <row r="705" ht="12.75" customHeight="1">
      <c r="A705" s="13" t="s">
        <v>5508</v>
      </c>
      <c r="B705" s="13" t="s">
        <v>18005</v>
      </c>
      <c r="C705" s="13" t="s">
        <v>5510</v>
      </c>
      <c r="D705" s="13" t="s">
        <v>5510</v>
      </c>
      <c r="E705" s="13" t="s">
        <v>5510</v>
      </c>
      <c r="F705" s="13" t="s">
        <v>18006</v>
      </c>
      <c r="G705" s="13" t="s">
        <v>5510</v>
      </c>
      <c r="H705" s="13" t="s">
        <v>5510</v>
      </c>
      <c r="I705" s="2" t="s">
        <v>841</v>
      </c>
      <c r="J705" s="13" t="s">
        <v>12753</v>
      </c>
      <c r="K705" s="13" t="s">
        <v>5510</v>
      </c>
      <c r="L705" s="13" t="s">
        <v>5510</v>
      </c>
      <c r="M705" s="13" t="s">
        <v>5513</v>
      </c>
      <c r="N705" s="13" t="s">
        <v>5514</v>
      </c>
      <c r="O705" s="13" t="s">
        <v>5510</v>
      </c>
      <c r="P705" s="13" t="s">
        <v>5510</v>
      </c>
      <c r="Q705" s="13" t="s">
        <v>5510</v>
      </c>
      <c r="R705" s="13" t="s">
        <v>5510</v>
      </c>
      <c r="S705" s="13" t="s">
        <v>5510</v>
      </c>
      <c r="T705" s="13" t="s">
        <v>18007</v>
      </c>
      <c r="U705" s="13" t="s">
        <v>18008</v>
      </c>
      <c r="V705" s="13" t="s">
        <v>18009</v>
      </c>
      <c r="W705" s="13" t="s">
        <v>18010</v>
      </c>
      <c r="X705" s="13" t="s">
        <v>18011</v>
      </c>
      <c r="Y705" s="13" t="s">
        <v>18012</v>
      </c>
      <c r="Z705" s="13" t="s">
        <v>18013</v>
      </c>
      <c r="AA705" s="13" t="s">
        <v>18014</v>
      </c>
      <c r="AB705" s="13" t="s">
        <v>18015</v>
      </c>
      <c r="AC705" s="13" t="s">
        <v>18016</v>
      </c>
      <c r="AD705" s="13" t="s">
        <v>18017</v>
      </c>
      <c r="AE705" s="13" t="s">
        <v>18018</v>
      </c>
      <c r="AF705" s="13" t="s">
        <v>5510</v>
      </c>
      <c r="AG705" s="13">
        <v>38.0</v>
      </c>
      <c r="AH705" s="13">
        <v>57.0</v>
      </c>
      <c r="AI705" s="13">
        <v>62.0</v>
      </c>
      <c r="AJ705" s="13">
        <v>0.0</v>
      </c>
      <c r="AK705" s="13">
        <v>48.0</v>
      </c>
      <c r="AL705" s="13" t="s">
        <v>5527</v>
      </c>
      <c r="AM705" s="13" t="s">
        <v>5528</v>
      </c>
      <c r="AN705" s="13" t="s">
        <v>5529</v>
      </c>
      <c r="AO705" s="13" t="s">
        <v>12766</v>
      </c>
      <c r="AP705" s="13" t="s">
        <v>5510</v>
      </c>
      <c r="AQ705" s="13" t="s">
        <v>5510</v>
      </c>
      <c r="AR705" s="13" t="s">
        <v>12767</v>
      </c>
      <c r="AS705" s="13" t="s">
        <v>12768</v>
      </c>
      <c r="AT705" s="13" t="s">
        <v>6758</v>
      </c>
      <c r="AU705" s="13">
        <v>2017.0</v>
      </c>
      <c r="AV705" s="13">
        <v>10.0</v>
      </c>
      <c r="AW705" s="13">
        <v>6.0</v>
      </c>
      <c r="AX705" s="13" t="s">
        <v>5510</v>
      </c>
      <c r="AY705" s="13" t="s">
        <v>5510</v>
      </c>
      <c r="AZ705" s="13" t="s">
        <v>5510</v>
      </c>
      <c r="BA705" s="13" t="s">
        <v>5510</v>
      </c>
      <c r="BB705" s="13">
        <v>708.0</v>
      </c>
      <c r="BC705" s="13">
        <v>716.0</v>
      </c>
      <c r="BD705" s="13" t="s">
        <v>5510</v>
      </c>
      <c r="BE705" s="13" t="s">
        <v>18019</v>
      </c>
      <c r="BF705" s="52" t="str">
        <f>HYPERLINK("http://dx.doi.org/10.1111/conl.12336","http://dx.doi.org/10.1111/conl.12336")</f>
        <v>http://dx.doi.org/10.1111/conl.12336</v>
      </c>
      <c r="BG705" s="13" t="s">
        <v>5510</v>
      </c>
      <c r="BH705" s="13" t="s">
        <v>5510</v>
      </c>
      <c r="BI705" s="13">
        <v>9.0</v>
      </c>
      <c r="BJ705" s="13" t="s">
        <v>5648</v>
      </c>
      <c r="BK705" s="13" t="s">
        <v>5561</v>
      </c>
      <c r="BL705" s="13" t="s">
        <v>5650</v>
      </c>
      <c r="BM705" s="13" t="s">
        <v>18020</v>
      </c>
      <c r="BN705" s="13" t="s">
        <v>5510</v>
      </c>
      <c r="BO705" s="13" t="s">
        <v>5564</v>
      </c>
      <c r="BP705" s="13" t="s">
        <v>5510</v>
      </c>
      <c r="BQ705" s="13" t="s">
        <v>5510</v>
      </c>
      <c r="BR705" s="13" t="s">
        <v>5538</v>
      </c>
      <c r="BS705" s="13" t="s">
        <v>18021</v>
      </c>
      <c r="BT705" s="13">
        <v>23473.0</v>
      </c>
      <c r="BU705" s="13" t="s">
        <v>5540</v>
      </c>
      <c r="BV705" s="13" t="s">
        <v>4852</v>
      </c>
      <c r="BW705" s="13" t="str">
        <f>VLOOKUP($BT705,Enriched!$A$2:$E$1070,5,false)</f>
        <v>["Natural system modifications"]</v>
      </c>
      <c r="BX705" s="13" t="str">
        <f>VLOOKUP($BT705,Enriched!$A$2:$E$1070,4,false)</f>
        <v>["Dams &amp; water management/use"]</v>
      </c>
      <c r="BY705" s="13" t="b">
        <f>VLOOKUP(BT705,Enriched!$A$1:$AA$1070,27,falsE)</f>
        <v>0</v>
      </c>
      <c r="BZ705" s="2" t="str">
        <f>VLOOKUP(BT705,Enriched!$A$1:$AA$1070,14,falsE)</f>
        <v>level2</v>
      </c>
      <c r="CA705" s="13" t="str">
        <f>HYPERLINK("https%3A%2F%2Fwww.webofscience.com%2Fwos%2Fwoscc%2Ffull-record%2FWOS:000417917800007","View Full Record in Web of Science")</f>
        <v>View Full Record in Web of Science</v>
      </c>
    </row>
    <row r="706" ht="12.75" customHeight="1">
      <c r="A706" s="13" t="s">
        <v>5508</v>
      </c>
      <c r="B706" s="13" t="s">
        <v>18022</v>
      </c>
      <c r="C706" s="13" t="s">
        <v>5510</v>
      </c>
      <c r="D706" s="13" t="s">
        <v>5510</v>
      </c>
      <c r="E706" s="13" t="s">
        <v>5510</v>
      </c>
      <c r="F706" s="13" t="s">
        <v>18023</v>
      </c>
      <c r="G706" s="13" t="s">
        <v>5510</v>
      </c>
      <c r="H706" s="13" t="s">
        <v>5510</v>
      </c>
      <c r="I706" s="13" t="s">
        <v>835</v>
      </c>
      <c r="J706" s="13" t="s">
        <v>5919</v>
      </c>
      <c r="K706" s="13" t="s">
        <v>5510</v>
      </c>
      <c r="L706" s="13" t="s">
        <v>5510</v>
      </c>
      <c r="M706" s="13" t="s">
        <v>5513</v>
      </c>
      <c r="N706" s="13" t="s">
        <v>4904</v>
      </c>
      <c r="O706" s="13" t="s">
        <v>5510</v>
      </c>
      <c r="P706" s="13" t="s">
        <v>5510</v>
      </c>
      <c r="Q706" s="13" t="s">
        <v>5510</v>
      </c>
      <c r="R706" s="13" t="s">
        <v>5510</v>
      </c>
      <c r="S706" s="13" t="s">
        <v>5510</v>
      </c>
      <c r="T706" s="13" t="s">
        <v>18024</v>
      </c>
      <c r="U706" s="13" t="s">
        <v>18025</v>
      </c>
      <c r="V706" s="13" t="s">
        <v>18026</v>
      </c>
      <c r="W706" s="13" t="s">
        <v>18027</v>
      </c>
      <c r="X706" s="13" t="s">
        <v>18028</v>
      </c>
      <c r="Y706" s="13" t="s">
        <v>18029</v>
      </c>
      <c r="Z706" s="13" t="s">
        <v>18030</v>
      </c>
      <c r="AA706" s="13" t="s">
        <v>18031</v>
      </c>
      <c r="AB706" s="13" t="s">
        <v>18032</v>
      </c>
      <c r="AC706" s="13" t="s">
        <v>18033</v>
      </c>
      <c r="AD706" s="13" t="s">
        <v>18034</v>
      </c>
      <c r="AE706" s="13" t="s">
        <v>18035</v>
      </c>
      <c r="AF706" s="13" t="s">
        <v>5510</v>
      </c>
      <c r="AG706" s="13">
        <v>60.0</v>
      </c>
      <c r="AH706" s="13">
        <v>254.0</v>
      </c>
      <c r="AI706" s="13">
        <v>276.0</v>
      </c>
      <c r="AJ706" s="13">
        <v>6.0</v>
      </c>
      <c r="AK706" s="13">
        <v>159.0</v>
      </c>
      <c r="AL706" s="13" t="s">
        <v>5931</v>
      </c>
      <c r="AM706" s="13" t="s">
        <v>5932</v>
      </c>
      <c r="AN706" s="13" t="s">
        <v>5933</v>
      </c>
      <c r="AO706" s="13" t="s">
        <v>5934</v>
      </c>
      <c r="AP706" s="13" t="s">
        <v>5935</v>
      </c>
      <c r="AQ706" s="13" t="s">
        <v>5510</v>
      </c>
      <c r="AR706" s="13" t="s">
        <v>5936</v>
      </c>
      <c r="AS706" s="13" t="s">
        <v>5937</v>
      </c>
      <c r="AT706" s="13" t="s">
        <v>5866</v>
      </c>
      <c r="AU706" s="13">
        <v>2018.0</v>
      </c>
      <c r="AV706" s="13">
        <v>221.0</v>
      </c>
      <c r="AW706" s="13" t="s">
        <v>5510</v>
      </c>
      <c r="AX706" s="13" t="s">
        <v>5510</v>
      </c>
      <c r="AY706" s="13" t="s">
        <v>5510</v>
      </c>
      <c r="AZ706" s="13" t="s">
        <v>5510</v>
      </c>
      <c r="BA706" s="13" t="s">
        <v>5510</v>
      </c>
      <c r="BB706" s="13">
        <v>44.0</v>
      </c>
      <c r="BC706" s="13">
        <v>58.0</v>
      </c>
      <c r="BD706" s="13" t="s">
        <v>5510</v>
      </c>
      <c r="BE706" s="13" t="s">
        <v>18036</v>
      </c>
      <c r="BF706" s="52" t="str">
        <f>HYPERLINK("http://dx.doi.org/10.1016/j.biocon.2018.02.021","http://dx.doi.org/10.1016/j.biocon.2018.02.021")</f>
        <v>http://dx.doi.org/10.1016/j.biocon.2018.02.021</v>
      </c>
      <c r="BG706" s="13" t="s">
        <v>5510</v>
      </c>
      <c r="BH706" s="13" t="s">
        <v>5510</v>
      </c>
      <c r="BI706" s="13">
        <v>15.0</v>
      </c>
      <c r="BJ706" s="13" t="s">
        <v>5698</v>
      </c>
      <c r="BK706" s="13" t="s">
        <v>5561</v>
      </c>
      <c r="BL706" s="13" t="s">
        <v>5699</v>
      </c>
      <c r="BM706" s="13" t="s">
        <v>18037</v>
      </c>
      <c r="BN706" s="13" t="s">
        <v>5510</v>
      </c>
      <c r="BO706" s="13" t="s">
        <v>5510</v>
      </c>
      <c r="BP706" s="13" t="s">
        <v>5510</v>
      </c>
      <c r="BQ706" s="13" t="s">
        <v>5510</v>
      </c>
      <c r="BR706" s="13" t="s">
        <v>5538</v>
      </c>
      <c r="BS706" s="13" t="s">
        <v>18038</v>
      </c>
      <c r="BT706" s="13">
        <v>23169.0</v>
      </c>
      <c r="BU706" s="13" t="s">
        <v>9118</v>
      </c>
      <c r="BV706" s="13" t="s">
        <v>4864</v>
      </c>
      <c r="BW706" s="13" t="str">
        <f>VLOOKUP($BT706,Enriched!$A$2:$E$1070,5,false)</f>
        <v>["Agriculture &amp; Aquaculture", "Biological Resource Use", "Transportation &amp; Service Corridors", "Human Intrusions &amp; Disturbance", "Pollution", "Climate Change &amp; Severe Weather", "Invasive &amp; Other Problematic Species, Genes &amp; Diseases"]</v>
      </c>
      <c r="BX706" s="13" t="str">
        <f>VLOOKUP($BT706,Enriched!$A$2:$E$1070,4,false)</f>
        <v>["Marine &amp; freshwater aquaculture", "Fishing &amp; harvesting aquatic resources", "Shipping lanes", "Recreational activities", "Work &amp; other activities", "Domestic &amp; urban waste water", "Garbage &amp; solid waste", "Excess energy", "Temperature extremes", "Habitat shifting &amp; alteration", "Storms &amp; flooding", "Invasive non-native/alien species/diseases", "Flight paths"]</v>
      </c>
      <c r="BY706" s="13" t="b">
        <f>VLOOKUP(BT706,Enriched!$A$1:$AA$1070,27,falsE)</f>
        <v>0</v>
      </c>
      <c r="BZ706" s="2" t="str">
        <f>VLOOKUP(BT706,Enriched!$A$1:$AA$1070,14,falsE)</f>
        <v>cumulative</v>
      </c>
      <c r="CA706" s="13" t="str">
        <f>HYPERLINK("https%3A%2F%2Fwww.webofscience.com%2Fwos%2Fwoscc%2Ffull-record%2FWOS:000431837800006","View Full Record in Web of Science")</f>
        <v>View Full Record in Web of Science</v>
      </c>
    </row>
    <row r="707" ht="12.75" customHeight="1">
      <c r="A707" s="13" t="s">
        <v>5508</v>
      </c>
      <c r="B707" s="13" t="s">
        <v>18039</v>
      </c>
      <c r="C707" s="13" t="s">
        <v>5510</v>
      </c>
      <c r="D707" s="13" t="s">
        <v>5510</v>
      </c>
      <c r="E707" s="13" t="s">
        <v>5510</v>
      </c>
      <c r="F707" s="13" t="s">
        <v>18040</v>
      </c>
      <c r="G707" s="13" t="s">
        <v>5510</v>
      </c>
      <c r="H707" s="13" t="s">
        <v>5510</v>
      </c>
      <c r="I707" s="2" t="s">
        <v>832</v>
      </c>
      <c r="J707" s="13" t="s">
        <v>18041</v>
      </c>
      <c r="K707" s="13" t="s">
        <v>5510</v>
      </c>
      <c r="L707" s="13" t="s">
        <v>5510</v>
      </c>
      <c r="M707" s="13" t="s">
        <v>5513</v>
      </c>
      <c r="N707" s="13" t="s">
        <v>5514</v>
      </c>
      <c r="O707" s="13" t="s">
        <v>5510</v>
      </c>
      <c r="P707" s="13" t="s">
        <v>5510</v>
      </c>
      <c r="Q707" s="13" t="s">
        <v>5510</v>
      </c>
      <c r="R707" s="13" t="s">
        <v>5510</v>
      </c>
      <c r="S707" s="13" t="s">
        <v>5510</v>
      </c>
      <c r="T707" s="13" t="s">
        <v>18042</v>
      </c>
      <c r="U707" s="13" t="s">
        <v>18043</v>
      </c>
      <c r="V707" s="13" t="s">
        <v>18044</v>
      </c>
      <c r="W707" s="13" t="s">
        <v>18045</v>
      </c>
      <c r="X707" s="13" t="s">
        <v>18046</v>
      </c>
      <c r="Y707" s="13" t="s">
        <v>18047</v>
      </c>
      <c r="Z707" s="13" t="s">
        <v>18048</v>
      </c>
      <c r="AA707" s="13" t="s">
        <v>18049</v>
      </c>
      <c r="AB707" s="13" t="s">
        <v>18050</v>
      </c>
      <c r="AC707" s="13" t="s">
        <v>5510</v>
      </c>
      <c r="AD707" s="13" t="s">
        <v>5510</v>
      </c>
      <c r="AE707" s="13" t="s">
        <v>5510</v>
      </c>
      <c r="AF707" s="13" t="s">
        <v>5510</v>
      </c>
      <c r="AG707" s="13">
        <v>38.0</v>
      </c>
      <c r="AH707" s="13">
        <v>73.0</v>
      </c>
      <c r="AI707" s="13">
        <v>79.0</v>
      </c>
      <c r="AJ707" s="13">
        <v>0.0</v>
      </c>
      <c r="AK707" s="13">
        <v>53.0</v>
      </c>
      <c r="AL707" s="13" t="s">
        <v>5527</v>
      </c>
      <c r="AM707" s="13" t="s">
        <v>5528</v>
      </c>
      <c r="AN707" s="13" t="s">
        <v>5529</v>
      </c>
      <c r="AO707" s="13" t="s">
        <v>18051</v>
      </c>
      <c r="AP707" s="13" t="s">
        <v>18052</v>
      </c>
      <c r="AQ707" s="13" t="s">
        <v>5510</v>
      </c>
      <c r="AR707" s="13" t="s">
        <v>18053</v>
      </c>
      <c r="AS707" s="13" t="s">
        <v>18054</v>
      </c>
      <c r="AT707" s="13" t="s">
        <v>1925</v>
      </c>
      <c r="AU707" s="13">
        <v>2006.0</v>
      </c>
      <c r="AV707" s="13">
        <v>31.0</v>
      </c>
      <c r="AW707" s="13">
        <v>6.0</v>
      </c>
      <c r="AX707" s="13" t="s">
        <v>5510</v>
      </c>
      <c r="AY707" s="13" t="s">
        <v>5510</v>
      </c>
      <c r="AZ707" s="13" t="s">
        <v>5510</v>
      </c>
      <c r="BA707" s="13" t="s">
        <v>5510</v>
      </c>
      <c r="BB707" s="13">
        <v>747.0</v>
      </c>
      <c r="BC707" s="13">
        <v>758.0</v>
      </c>
      <c r="BD707" s="13" t="s">
        <v>5510</v>
      </c>
      <c r="BE707" s="13" t="s">
        <v>18055</v>
      </c>
      <c r="BF707" s="52" t="str">
        <f>HYPERLINK("http://dx.doi.org/10.1111/j.1442-9993.2006.01636.x","http://dx.doi.org/10.1111/j.1442-9993.2006.01636.x")</f>
        <v>http://dx.doi.org/10.1111/j.1442-9993.2006.01636.x</v>
      </c>
      <c r="BG707" s="13" t="s">
        <v>5510</v>
      </c>
      <c r="BH707" s="13" t="s">
        <v>5510</v>
      </c>
      <c r="BI707" s="13">
        <v>12.0</v>
      </c>
      <c r="BJ707" s="13" t="s">
        <v>5533</v>
      </c>
      <c r="BK707" s="13" t="s">
        <v>5561</v>
      </c>
      <c r="BL707" s="13" t="s">
        <v>5535</v>
      </c>
      <c r="BM707" s="13" t="s">
        <v>18056</v>
      </c>
      <c r="BN707" s="13" t="s">
        <v>5510</v>
      </c>
      <c r="BO707" s="13" t="s">
        <v>5809</v>
      </c>
      <c r="BP707" s="13" t="s">
        <v>5510</v>
      </c>
      <c r="BQ707" s="13" t="s">
        <v>5510</v>
      </c>
      <c r="BR707" s="13" t="s">
        <v>5538</v>
      </c>
      <c r="BS707" s="13" t="s">
        <v>18057</v>
      </c>
      <c r="BT707" s="13">
        <v>23222.0</v>
      </c>
      <c r="BU707" s="13" t="s">
        <v>5540</v>
      </c>
      <c r="BV707" s="13" t="s">
        <v>4856</v>
      </c>
      <c r="BW707" s="13" t="str">
        <f>VLOOKUP($BT707,Enriched!$A$2:$E$1070,5,false)</f>
        <v>["Invasive &amp; other problematic species, genes &amp; diseases"]</v>
      </c>
      <c r="BX707" s="13" t="str">
        <f>VLOOKUP($BT707,Enriched!$A$2:$E$1070,4,false)</f>
        <v>["Invasive non-native/alien species/diseases"]</v>
      </c>
      <c r="BY707" s="13" t="b">
        <f>VLOOKUP(BT707,Enriched!$A$1:$AA$1070,27,falsE)</f>
        <v>0</v>
      </c>
      <c r="BZ707" s="2" t="str">
        <f>VLOOKUP(BT707,Enriched!$A$1:$AA$1070,14,falsE)</f>
        <v>level2</v>
      </c>
      <c r="CA707" s="13" t="str">
        <f>HYPERLINK("https%3A%2F%2Fwww.webofscience.com%2Fwos%2Fwoscc%2Ffull-record%2FWOS:000240562700008","View Full Record in Web of Science")</f>
        <v>View Full Record in Web of Science</v>
      </c>
    </row>
    <row r="708" ht="12.75" customHeight="1">
      <c r="A708" s="13" t="s">
        <v>5508</v>
      </c>
      <c r="B708" s="13" t="s">
        <v>18058</v>
      </c>
      <c r="C708" s="13" t="s">
        <v>5510</v>
      </c>
      <c r="D708" s="13" t="s">
        <v>5510</v>
      </c>
      <c r="E708" s="13" t="s">
        <v>5510</v>
      </c>
      <c r="F708" s="13" t="s">
        <v>18059</v>
      </c>
      <c r="G708" s="13" t="s">
        <v>5510</v>
      </c>
      <c r="H708" s="13" t="s">
        <v>5510</v>
      </c>
      <c r="I708" s="13" t="s">
        <v>828</v>
      </c>
      <c r="J708" s="13" t="s">
        <v>10175</v>
      </c>
      <c r="K708" s="13" t="s">
        <v>5510</v>
      </c>
      <c r="L708" s="13" t="s">
        <v>5510</v>
      </c>
      <c r="M708" s="13" t="s">
        <v>5513</v>
      </c>
      <c r="N708" s="13" t="s">
        <v>5514</v>
      </c>
      <c r="O708" s="13" t="s">
        <v>5510</v>
      </c>
      <c r="P708" s="13" t="s">
        <v>5510</v>
      </c>
      <c r="Q708" s="13" t="s">
        <v>5510</v>
      </c>
      <c r="R708" s="13" t="s">
        <v>5510</v>
      </c>
      <c r="S708" s="13" t="s">
        <v>5510</v>
      </c>
      <c r="T708" s="13" t="s">
        <v>18060</v>
      </c>
      <c r="U708" s="13" t="s">
        <v>18061</v>
      </c>
      <c r="V708" s="13" t="s">
        <v>18062</v>
      </c>
      <c r="W708" s="13" t="s">
        <v>18063</v>
      </c>
      <c r="X708" s="13" t="s">
        <v>18064</v>
      </c>
      <c r="Y708" s="13" t="s">
        <v>18065</v>
      </c>
      <c r="Z708" s="13" t="s">
        <v>18066</v>
      </c>
      <c r="AA708" s="13" t="s">
        <v>18067</v>
      </c>
      <c r="AB708" s="13" t="s">
        <v>18068</v>
      </c>
      <c r="AC708" s="13" t="s">
        <v>18069</v>
      </c>
      <c r="AD708" s="13" t="s">
        <v>18070</v>
      </c>
      <c r="AE708" s="13" t="s">
        <v>18071</v>
      </c>
      <c r="AF708" s="13" t="s">
        <v>5510</v>
      </c>
      <c r="AG708" s="13">
        <v>90.0</v>
      </c>
      <c r="AH708" s="13">
        <v>29.0</v>
      </c>
      <c r="AI708" s="13">
        <v>33.0</v>
      </c>
      <c r="AJ708" s="13">
        <v>0.0</v>
      </c>
      <c r="AK708" s="13">
        <v>66.0</v>
      </c>
      <c r="AL708" s="13" t="s">
        <v>5527</v>
      </c>
      <c r="AM708" s="13" t="s">
        <v>5528</v>
      </c>
      <c r="AN708" s="13" t="s">
        <v>5529</v>
      </c>
      <c r="AO708" s="13" t="s">
        <v>10187</v>
      </c>
      <c r="AP708" s="13" t="s">
        <v>10188</v>
      </c>
      <c r="AQ708" s="13" t="s">
        <v>5510</v>
      </c>
      <c r="AR708" s="13" t="s">
        <v>10175</v>
      </c>
      <c r="AS708" s="13" t="s">
        <v>829</v>
      </c>
      <c r="AT708" s="13" t="s">
        <v>1925</v>
      </c>
      <c r="AU708" s="13">
        <v>2017.0</v>
      </c>
      <c r="AV708" s="13">
        <v>49.0</v>
      </c>
      <c r="AW708" s="13">
        <v>5.0</v>
      </c>
      <c r="AX708" s="13" t="s">
        <v>5510</v>
      </c>
      <c r="AY708" s="13" t="s">
        <v>5510</v>
      </c>
      <c r="AZ708" s="13" t="s">
        <v>5510</v>
      </c>
      <c r="BA708" s="13" t="s">
        <v>5510</v>
      </c>
      <c r="BB708" s="13">
        <v>685.0</v>
      </c>
      <c r="BC708" s="13">
        <v>694.0</v>
      </c>
      <c r="BD708" s="13" t="s">
        <v>5510</v>
      </c>
      <c r="BE708" s="13" t="s">
        <v>18072</v>
      </c>
      <c r="BF708" s="52" t="str">
        <f>HYPERLINK("http://dx.doi.org/10.1111/btp.12457","http://dx.doi.org/10.1111/btp.12457")</f>
        <v>http://dx.doi.org/10.1111/btp.12457</v>
      </c>
      <c r="BG708" s="13" t="s">
        <v>5510</v>
      </c>
      <c r="BH708" s="13" t="s">
        <v>5510</v>
      </c>
      <c r="BI708" s="13">
        <v>10.0</v>
      </c>
      <c r="BJ708" s="13" t="s">
        <v>5533</v>
      </c>
      <c r="BK708" s="13" t="s">
        <v>5561</v>
      </c>
      <c r="BL708" s="13" t="s">
        <v>5535</v>
      </c>
      <c r="BM708" s="13" t="s">
        <v>18073</v>
      </c>
      <c r="BN708" s="13" t="s">
        <v>5510</v>
      </c>
      <c r="BO708" s="13" t="s">
        <v>5510</v>
      </c>
      <c r="BP708" s="13" t="s">
        <v>5510</v>
      </c>
      <c r="BQ708" s="13" t="s">
        <v>5510</v>
      </c>
      <c r="BR708" s="13" t="s">
        <v>5538</v>
      </c>
      <c r="BS708" s="13" t="s">
        <v>18074</v>
      </c>
      <c r="BT708" s="13">
        <v>23909.0</v>
      </c>
      <c r="BU708" s="13" t="s">
        <v>5540</v>
      </c>
      <c r="BV708" s="13" t="s">
        <v>4856</v>
      </c>
      <c r="BW708" s="13" t="str">
        <f>VLOOKUP($BT708,Enriched!$A$2:$E$1070,5,false)</f>
        <v>["Invasive &amp; other problematic species, genes &amp; diseases"]</v>
      </c>
      <c r="BX708" s="13" t="str">
        <f>VLOOKUP($BT708,Enriched!$A$2:$E$1070,4,false)</f>
        <v>["Invasive non-native/alien species/diseases"]</v>
      </c>
      <c r="BY708" s="13" t="b">
        <f>VLOOKUP(BT708,Enriched!$A$1:$AA$1070,27,falsE)</f>
        <v>0</v>
      </c>
      <c r="BZ708" s="2" t="str">
        <f>VLOOKUP(BT708,Enriched!$A$1:$AA$1070,14,falsE)</f>
        <v>level2</v>
      </c>
      <c r="CA708" s="13" t="str">
        <f>HYPERLINK("https%3A%2F%2Fwww.webofscience.com%2Fwos%2Fwoscc%2Ffull-record%2FWOS:000409453300011","View Full Record in Web of Science")</f>
        <v>View Full Record in Web of Science</v>
      </c>
    </row>
    <row r="709" ht="12.75" customHeight="1">
      <c r="A709" s="13" t="s">
        <v>5508</v>
      </c>
      <c r="B709" s="13" t="s">
        <v>18075</v>
      </c>
      <c r="C709" s="13" t="s">
        <v>5510</v>
      </c>
      <c r="D709" s="13" t="s">
        <v>5510</v>
      </c>
      <c r="E709" s="13" t="s">
        <v>5510</v>
      </c>
      <c r="F709" s="13" t="s">
        <v>18076</v>
      </c>
      <c r="G709" s="13" t="s">
        <v>5510</v>
      </c>
      <c r="H709" s="13" t="s">
        <v>5510</v>
      </c>
      <c r="I709" s="13" t="s">
        <v>825</v>
      </c>
      <c r="J709" s="13" t="s">
        <v>5746</v>
      </c>
      <c r="K709" s="13" t="s">
        <v>5510</v>
      </c>
      <c r="L709" s="13" t="s">
        <v>5510</v>
      </c>
      <c r="M709" s="13" t="s">
        <v>5513</v>
      </c>
      <c r="N709" s="13" t="s">
        <v>5514</v>
      </c>
      <c r="O709" s="13" t="s">
        <v>5510</v>
      </c>
      <c r="P709" s="13" t="s">
        <v>5510</v>
      </c>
      <c r="Q709" s="13" t="s">
        <v>5510</v>
      </c>
      <c r="R709" s="13" t="s">
        <v>5510</v>
      </c>
      <c r="S709" s="13" t="s">
        <v>5510</v>
      </c>
      <c r="T709" s="13" t="s">
        <v>18077</v>
      </c>
      <c r="U709" s="13" t="s">
        <v>18078</v>
      </c>
      <c r="V709" s="13" t="s">
        <v>18079</v>
      </c>
      <c r="W709" s="13" t="s">
        <v>18080</v>
      </c>
      <c r="X709" s="13" t="s">
        <v>18081</v>
      </c>
      <c r="Y709" s="13" t="s">
        <v>18082</v>
      </c>
      <c r="Z709" s="13" t="s">
        <v>8443</v>
      </c>
      <c r="AA709" s="13" t="s">
        <v>18083</v>
      </c>
      <c r="AB709" s="13" t="s">
        <v>18084</v>
      </c>
      <c r="AC709" s="13" t="s">
        <v>18085</v>
      </c>
      <c r="AD709" s="13" t="s">
        <v>18086</v>
      </c>
      <c r="AE709" s="13" t="s">
        <v>18087</v>
      </c>
      <c r="AF709" s="13" t="s">
        <v>5510</v>
      </c>
      <c r="AG709" s="13">
        <v>113.0</v>
      </c>
      <c r="AH709" s="13">
        <v>41.0</v>
      </c>
      <c r="AI709" s="13">
        <v>44.0</v>
      </c>
      <c r="AJ709" s="13">
        <v>2.0</v>
      </c>
      <c r="AK709" s="13">
        <v>78.0</v>
      </c>
      <c r="AL709" s="13" t="s">
        <v>5759</v>
      </c>
      <c r="AM709" s="13" t="s">
        <v>5760</v>
      </c>
      <c r="AN709" s="13" t="s">
        <v>5761</v>
      </c>
      <c r="AO709" s="13" t="s">
        <v>5762</v>
      </c>
      <c r="AP709" s="13" t="s">
        <v>5763</v>
      </c>
      <c r="AQ709" s="13" t="s">
        <v>5510</v>
      </c>
      <c r="AR709" s="13" t="s">
        <v>5764</v>
      </c>
      <c r="AS709" s="13" t="s">
        <v>5765</v>
      </c>
      <c r="AT709" s="13" t="s">
        <v>18088</v>
      </c>
      <c r="AU709" s="13">
        <v>2019.0</v>
      </c>
      <c r="AV709" s="13">
        <v>670.0</v>
      </c>
      <c r="AW709" s="13" t="s">
        <v>5510</v>
      </c>
      <c r="AX709" s="13" t="s">
        <v>5510</v>
      </c>
      <c r="AY709" s="13" t="s">
        <v>5510</v>
      </c>
      <c r="AZ709" s="13" t="s">
        <v>5510</v>
      </c>
      <c r="BA709" s="13" t="s">
        <v>5510</v>
      </c>
      <c r="BB709" s="13">
        <v>379.0</v>
      </c>
      <c r="BC709" s="13">
        <v>397.0</v>
      </c>
      <c r="BD709" s="13" t="s">
        <v>5510</v>
      </c>
      <c r="BE709" s="13" t="s">
        <v>18089</v>
      </c>
      <c r="BF709" s="52" t="str">
        <f>HYPERLINK("http://dx.doi.org/10.1016/j.scitotenv.2019.03.021","http://dx.doi.org/10.1016/j.scitotenv.2019.03.021")</f>
        <v>http://dx.doi.org/10.1016/j.scitotenv.2019.03.021</v>
      </c>
      <c r="BG709" s="13" t="s">
        <v>5510</v>
      </c>
      <c r="BH709" s="13" t="s">
        <v>5510</v>
      </c>
      <c r="BI709" s="13">
        <v>19.0</v>
      </c>
      <c r="BJ709" s="13" t="s">
        <v>5768</v>
      </c>
      <c r="BK709" s="13" t="s">
        <v>5534</v>
      </c>
      <c r="BL709" s="13" t="s">
        <v>5535</v>
      </c>
      <c r="BM709" s="13" t="s">
        <v>18090</v>
      </c>
      <c r="BN709" s="13">
        <v>3.0904652E7</v>
      </c>
      <c r="BO709" s="13" t="s">
        <v>5587</v>
      </c>
      <c r="BP709" s="13" t="s">
        <v>5510</v>
      </c>
      <c r="BQ709" s="13" t="s">
        <v>5510</v>
      </c>
      <c r="BR709" s="13" t="s">
        <v>5538</v>
      </c>
      <c r="BS709" s="13" t="s">
        <v>18091</v>
      </c>
      <c r="BT709" s="13">
        <v>23958.0</v>
      </c>
      <c r="BU709" s="13" t="s">
        <v>5540</v>
      </c>
      <c r="BV709" s="13" t="s">
        <v>4864</v>
      </c>
      <c r="BW709" s="13" t="str">
        <f>VLOOKUP($BT709,Enriched!$A$2:$E$1070,5,false)</f>
        <v>["Residential &amp; Commercial Development", "Energy Production &amp; Mining", "Agriculture &amp; Aquaculture", "Transportation &amp; Service Corridors", "Pollution"]</v>
      </c>
      <c r="BX709" s="13" t="str">
        <f>VLOOKUP($BT709,Enriched!$A$2:$E$1070,4,false)</f>
        <v>["Commercial &amp; industrial areas", "Oil &amp; gas drilling", "Marine &amp; freshwater aquaculture", "Utility &amp; service lines", "Shipping lanes", "Industrial &amp; military effluents", "Excess energy", "Domestic &amp; urban waste water"]</v>
      </c>
      <c r="BY709" s="13" t="b">
        <f>VLOOKUP(BT709,Enriched!$A$1:$AA$1070,27,falsE)</f>
        <v>0</v>
      </c>
      <c r="BZ709" s="2" t="str">
        <f>VLOOKUP(BT709,Enriched!$A$1:$AA$1070,14,falsE)</f>
        <v>cumulative</v>
      </c>
      <c r="CA709" s="13" t="str">
        <f>HYPERLINK("https%3A%2F%2Fwww.webofscience.com%2Fwos%2Fwoscc%2Ffull-record%2FWOS:000464681800040","View Full Record in Web of Science")</f>
        <v>View Full Record in Web of Science</v>
      </c>
    </row>
    <row r="710" ht="12.75" customHeight="1">
      <c r="A710" s="13" t="s">
        <v>5508</v>
      </c>
      <c r="B710" s="13" t="s">
        <v>18092</v>
      </c>
      <c r="C710" s="13" t="s">
        <v>5510</v>
      </c>
      <c r="D710" s="13" t="s">
        <v>5510</v>
      </c>
      <c r="E710" s="13" t="s">
        <v>5510</v>
      </c>
      <c r="F710" s="13" t="s">
        <v>18093</v>
      </c>
      <c r="G710" s="13" t="s">
        <v>5510</v>
      </c>
      <c r="H710" s="13" t="s">
        <v>5510</v>
      </c>
      <c r="I710" s="13" t="s">
        <v>823</v>
      </c>
      <c r="J710" s="13" t="s">
        <v>17421</v>
      </c>
      <c r="K710" s="13" t="s">
        <v>5510</v>
      </c>
      <c r="L710" s="13" t="s">
        <v>5510</v>
      </c>
      <c r="M710" s="13" t="s">
        <v>5513</v>
      </c>
      <c r="N710" s="13" t="s">
        <v>5514</v>
      </c>
      <c r="O710" s="13" t="s">
        <v>5510</v>
      </c>
      <c r="P710" s="13" t="s">
        <v>5510</v>
      </c>
      <c r="Q710" s="13" t="s">
        <v>5510</v>
      </c>
      <c r="R710" s="13" t="s">
        <v>5510</v>
      </c>
      <c r="S710" s="13" t="s">
        <v>5510</v>
      </c>
      <c r="T710" s="13" t="s">
        <v>18094</v>
      </c>
      <c r="U710" s="13" t="s">
        <v>18095</v>
      </c>
      <c r="V710" s="13" t="s">
        <v>18096</v>
      </c>
      <c r="W710" s="13" t="s">
        <v>18097</v>
      </c>
      <c r="X710" s="13" t="s">
        <v>18098</v>
      </c>
      <c r="Y710" s="13" t="s">
        <v>18099</v>
      </c>
      <c r="Z710" s="13" t="s">
        <v>18100</v>
      </c>
      <c r="AA710" s="13" t="s">
        <v>18101</v>
      </c>
      <c r="AB710" s="13" t="s">
        <v>18102</v>
      </c>
      <c r="AC710" s="13" t="s">
        <v>18103</v>
      </c>
      <c r="AD710" s="13" t="s">
        <v>18103</v>
      </c>
      <c r="AE710" s="13" t="s">
        <v>18104</v>
      </c>
      <c r="AF710" s="13" t="s">
        <v>5510</v>
      </c>
      <c r="AG710" s="13">
        <v>65.0</v>
      </c>
      <c r="AH710" s="13">
        <v>4.0</v>
      </c>
      <c r="AI710" s="13">
        <v>4.0</v>
      </c>
      <c r="AJ710" s="13">
        <v>0.0</v>
      </c>
      <c r="AK710" s="13">
        <v>12.0</v>
      </c>
      <c r="AL710" s="13" t="s">
        <v>17434</v>
      </c>
      <c r="AM710" s="13" t="s">
        <v>17435</v>
      </c>
      <c r="AN710" s="13" t="s">
        <v>17436</v>
      </c>
      <c r="AO710" s="13" t="s">
        <v>17437</v>
      </c>
      <c r="AP710" s="13" t="s">
        <v>5510</v>
      </c>
      <c r="AQ710" s="13" t="s">
        <v>5510</v>
      </c>
      <c r="AR710" s="13" t="s">
        <v>17438</v>
      </c>
      <c r="AS710" s="13" t="s">
        <v>17439</v>
      </c>
      <c r="AT710" s="13" t="s">
        <v>5510</v>
      </c>
      <c r="AU710" s="13">
        <v>2016.0</v>
      </c>
      <c r="AV710" s="13">
        <v>17.0</v>
      </c>
      <c r="AW710" s="13">
        <v>1.0</v>
      </c>
      <c r="AX710" s="13" t="s">
        <v>5510</v>
      </c>
      <c r="AY710" s="13" t="s">
        <v>5510</v>
      </c>
      <c r="AZ710" s="13" t="s">
        <v>5510</v>
      </c>
      <c r="BA710" s="13" t="s">
        <v>5510</v>
      </c>
      <c r="BB710" s="13">
        <v>190.0</v>
      </c>
      <c r="BC710" s="13">
        <v>201.0</v>
      </c>
      <c r="BD710" s="13" t="s">
        <v>5510</v>
      </c>
      <c r="BE710" s="13" t="str">
        <f>#REF!</f>
        <v>#REF!</v>
      </c>
      <c r="BF710" s="13" t="s">
        <v>5510</v>
      </c>
      <c r="BG710" s="13" t="s">
        <v>5510</v>
      </c>
      <c r="BH710" s="13" t="s">
        <v>5510</v>
      </c>
      <c r="BI710" s="13">
        <v>12.0</v>
      </c>
      <c r="BJ710" s="13" t="s">
        <v>17441</v>
      </c>
      <c r="BK710" s="13" t="s">
        <v>5561</v>
      </c>
      <c r="BL710" s="13" t="s">
        <v>17442</v>
      </c>
      <c r="BM710" s="13" t="s">
        <v>18105</v>
      </c>
      <c r="BN710" s="13" t="s">
        <v>5510</v>
      </c>
      <c r="BO710" s="13" t="s">
        <v>5564</v>
      </c>
      <c r="BP710" s="13" t="s">
        <v>5510</v>
      </c>
      <c r="BQ710" s="13" t="s">
        <v>5510</v>
      </c>
      <c r="BR710" s="13" t="s">
        <v>5538</v>
      </c>
      <c r="BS710" s="13" t="s">
        <v>18106</v>
      </c>
      <c r="BT710" s="13">
        <v>24473.0</v>
      </c>
      <c r="BU710" s="13" t="s">
        <v>5540</v>
      </c>
      <c r="BV710" s="13" t="s">
        <v>4864</v>
      </c>
      <c r="BW710" s="13" t="str">
        <f>VLOOKUP($BT710,Enriched!$A$2:$E$1070,5,false)</f>
        <v>["Biological Resource Use", "Agriculture &amp; Aquaculture", "Pollution", "Transportation &amp; Service Corridors", "Invasive &amp; Other Problematic Species, Genes &amp; Diseases", "Climate Change &amp; Severe Weather"]</v>
      </c>
      <c r="BX710" s="13" t="str">
        <f>VLOOKUP($BT710,Enriched!$A$2:$E$1070,4,false)</f>
        <v>["Fishing &amp; harvesting aquatic resources", "Marine &amp; freshwater aquaculture", "Shipping lanes", "Invasive non-native/alien species/diseases", "Habitat shifting &amp; alteration"]</v>
      </c>
      <c r="BY710" s="13" t="b">
        <f>VLOOKUP(BT710,Enriched!$A$1:$AA$1070,27,falsE)</f>
        <v>1</v>
      </c>
      <c r="BZ710" s="2" t="str">
        <f>VLOOKUP(BT710,Enriched!$A$1:$AA$1070,14,falsE)</f>
        <v>level2</v>
      </c>
      <c r="CA710" s="13" t="str">
        <f>HYPERLINK("https%3A%2F%2Fwww.webofscience.com%2Fwos%2Fwoscc%2Ffull-record%2FWOS:000374469200017","View Full Record in Web of Science")</f>
        <v>View Full Record in Web of Science</v>
      </c>
    </row>
    <row r="711" ht="12.75" customHeight="1">
      <c r="A711" s="13" t="s">
        <v>5508</v>
      </c>
      <c r="B711" s="13" t="s">
        <v>18107</v>
      </c>
      <c r="C711" s="13" t="s">
        <v>5510</v>
      </c>
      <c r="D711" s="13" t="s">
        <v>5510</v>
      </c>
      <c r="E711" s="13" t="s">
        <v>5510</v>
      </c>
      <c r="F711" s="13" t="s">
        <v>18108</v>
      </c>
      <c r="G711" s="13" t="s">
        <v>5510</v>
      </c>
      <c r="H711" s="13" t="s">
        <v>5510</v>
      </c>
      <c r="I711" s="13" t="s">
        <v>18109</v>
      </c>
      <c r="J711" s="13" t="s">
        <v>5543</v>
      </c>
      <c r="K711" s="13" t="s">
        <v>5510</v>
      </c>
      <c r="L711" s="13" t="s">
        <v>5510</v>
      </c>
      <c r="M711" s="13" t="s">
        <v>5513</v>
      </c>
      <c r="N711" s="13" t="s">
        <v>5514</v>
      </c>
      <c r="O711" s="13" t="s">
        <v>5510</v>
      </c>
      <c r="P711" s="13" t="s">
        <v>5510</v>
      </c>
      <c r="Q711" s="13" t="s">
        <v>5510</v>
      </c>
      <c r="R711" s="13" t="s">
        <v>5510</v>
      </c>
      <c r="S711" s="13" t="s">
        <v>5510</v>
      </c>
      <c r="T711" s="13" t="s">
        <v>5510</v>
      </c>
      <c r="U711" s="13" t="s">
        <v>18110</v>
      </c>
      <c r="V711" s="13" t="s">
        <v>18111</v>
      </c>
      <c r="W711" s="13" t="s">
        <v>18112</v>
      </c>
      <c r="X711" s="13" t="s">
        <v>18113</v>
      </c>
      <c r="Y711" s="13" t="s">
        <v>18114</v>
      </c>
      <c r="Z711" s="13" t="s">
        <v>18115</v>
      </c>
      <c r="AA711" s="13" t="s">
        <v>18116</v>
      </c>
      <c r="AB711" s="13" t="s">
        <v>18117</v>
      </c>
      <c r="AC711" s="13" t="s">
        <v>18118</v>
      </c>
      <c r="AD711" s="13" t="s">
        <v>18119</v>
      </c>
      <c r="AE711" s="13" t="s">
        <v>18120</v>
      </c>
      <c r="AF711" s="13" t="s">
        <v>5510</v>
      </c>
      <c r="AG711" s="13">
        <v>31.0</v>
      </c>
      <c r="AH711" s="13">
        <v>301.0</v>
      </c>
      <c r="AI711" s="13">
        <v>324.0</v>
      </c>
      <c r="AJ711" s="13">
        <v>2.0</v>
      </c>
      <c r="AK711" s="13">
        <v>137.0</v>
      </c>
      <c r="AL711" s="13" t="s">
        <v>5552</v>
      </c>
      <c r="AM711" s="13" t="s">
        <v>5553</v>
      </c>
      <c r="AN711" s="13" t="s">
        <v>5554</v>
      </c>
      <c r="AO711" s="13" t="s">
        <v>5555</v>
      </c>
      <c r="AP711" s="13" t="s">
        <v>5510</v>
      </c>
      <c r="AQ711" s="13" t="s">
        <v>5510</v>
      </c>
      <c r="AR711" s="13" t="s">
        <v>5543</v>
      </c>
      <c r="AS711" s="13" t="s">
        <v>5556</v>
      </c>
      <c r="AT711" s="13" t="s">
        <v>14520</v>
      </c>
      <c r="AU711" s="13">
        <v>2013.0</v>
      </c>
      <c r="AV711" s="13">
        <v>8.0</v>
      </c>
      <c r="AW711" s="13">
        <v>12.0</v>
      </c>
      <c r="AX711" s="13" t="s">
        <v>5510</v>
      </c>
      <c r="AY711" s="13" t="s">
        <v>5510</v>
      </c>
      <c r="AZ711" s="13" t="s">
        <v>5510</v>
      </c>
      <c r="BA711" s="13" t="s">
        <v>5510</v>
      </c>
      <c r="BB711" s="13" t="s">
        <v>5510</v>
      </c>
      <c r="BC711" s="13" t="s">
        <v>5510</v>
      </c>
      <c r="BD711" s="13" t="s">
        <v>18121</v>
      </c>
      <c r="BE711" s="13" t="s">
        <v>18122</v>
      </c>
      <c r="BF711" s="52" t="str">
        <f>HYPERLINK("http://dx.doi.org/10.1371/journal.pone.0079889","http://dx.doi.org/10.1371/journal.pone.0079889")</f>
        <v>http://dx.doi.org/10.1371/journal.pone.0079889</v>
      </c>
      <c r="BG711" s="13" t="s">
        <v>5510</v>
      </c>
      <c r="BH711" s="13" t="s">
        <v>5510</v>
      </c>
      <c r="BI711" s="13">
        <v>10.0</v>
      </c>
      <c r="BJ711" s="13" t="s">
        <v>5560</v>
      </c>
      <c r="BK711" s="13" t="s">
        <v>5561</v>
      </c>
      <c r="BL711" s="13" t="s">
        <v>5562</v>
      </c>
      <c r="BM711" s="13" t="s">
        <v>14523</v>
      </c>
      <c r="BN711" s="13">
        <v>2.4324585E7</v>
      </c>
      <c r="BO711" s="13" t="s">
        <v>5564</v>
      </c>
      <c r="BP711" s="13" t="s">
        <v>5510</v>
      </c>
      <c r="BQ711" s="13" t="s">
        <v>5510</v>
      </c>
      <c r="BR711" s="13" t="s">
        <v>5538</v>
      </c>
      <c r="BS711" s="13" t="s">
        <v>18123</v>
      </c>
      <c r="BT711" s="13">
        <v>24790.0</v>
      </c>
      <c r="BU711" s="13" t="s">
        <v>5540</v>
      </c>
      <c r="BV711" s="13" t="s">
        <v>4864</v>
      </c>
      <c r="BW711" s="13" t="str">
        <f>VLOOKUP($BT711,Enriched!$A$2:$E$1070,5,false)</f>
        <v>["Residential &amp; Commercial Development", "Energy Production &amp; Mining", "Transportation &amp; Service Corridors", "Biological Resource Use", "Invasive &amp; Other Problematic Species, Genes &amp; Diseases", "Pollution", "Climate Change &amp; Severe Weather"]</v>
      </c>
      <c r="BX711" s="13" t="str">
        <f>VLOOKUP($BT711,Enriched!$A$2:$E$1070,4,false)</f>
        <v>["Housing &amp; urban area", "Commercial &amp; industrial areas", "Oil &amp; gas drilling", "Shipping lanes", "Fishing &amp; harvesting aquatic resources", "Invasive non-native/alien species/diseases", "Agricultural &amp; forestry effluents", "Industrial &amp; military effluents", "Air-borne pollutants", "Habitat shifting &amp; alteration", "Domestic &amp; urban waste water", "Excess energy"]</v>
      </c>
      <c r="BY711" s="13" t="b">
        <f>VLOOKUP(BT711,Enriched!$A$1:$AA$1070,27,falsE)</f>
        <v>0</v>
      </c>
      <c r="BZ711" s="2" t="str">
        <f>VLOOKUP(BT711,Enriched!$A$1:$AA$1070,14,falsE)</f>
        <v>cumulative</v>
      </c>
      <c r="CA711" s="13" t="str">
        <f>HYPERLINK("https%3A%2F%2Fwww.webofscience.com%2Fwos%2Fwoscc%2Ffull-record%2FWOS:000327949300012","View Full Record in Web of Science")</f>
        <v>View Full Record in Web of Science</v>
      </c>
    </row>
    <row r="712" ht="12.75" customHeight="1">
      <c r="A712" s="13" t="s">
        <v>5508</v>
      </c>
      <c r="B712" s="13" t="s">
        <v>18124</v>
      </c>
      <c r="C712" s="13" t="s">
        <v>5510</v>
      </c>
      <c r="D712" s="13" t="s">
        <v>5510</v>
      </c>
      <c r="E712" s="13" t="s">
        <v>5510</v>
      </c>
      <c r="F712" s="13" t="s">
        <v>18125</v>
      </c>
      <c r="G712" s="13" t="s">
        <v>5510</v>
      </c>
      <c r="H712" s="13" t="s">
        <v>5510</v>
      </c>
      <c r="I712" s="13" t="s">
        <v>814</v>
      </c>
      <c r="J712" s="13" t="s">
        <v>6212</v>
      </c>
      <c r="K712" s="13" t="s">
        <v>5510</v>
      </c>
      <c r="L712" s="13" t="s">
        <v>5510</v>
      </c>
      <c r="M712" s="13" t="s">
        <v>5513</v>
      </c>
      <c r="N712" s="13" t="s">
        <v>5514</v>
      </c>
      <c r="O712" s="13" t="s">
        <v>5510</v>
      </c>
      <c r="P712" s="13" t="s">
        <v>5510</v>
      </c>
      <c r="Q712" s="13" t="s">
        <v>5510</v>
      </c>
      <c r="R712" s="13" t="s">
        <v>5510</v>
      </c>
      <c r="S712" s="13" t="s">
        <v>5510</v>
      </c>
      <c r="T712" s="13" t="s">
        <v>18126</v>
      </c>
      <c r="U712" s="13" t="s">
        <v>18127</v>
      </c>
      <c r="V712" s="13" t="s">
        <v>18128</v>
      </c>
      <c r="W712" s="13" t="s">
        <v>18129</v>
      </c>
      <c r="X712" s="13" t="s">
        <v>18130</v>
      </c>
      <c r="Y712" s="13" t="s">
        <v>18131</v>
      </c>
      <c r="Z712" s="13" t="s">
        <v>18132</v>
      </c>
      <c r="AA712" s="13" t="s">
        <v>18133</v>
      </c>
      <c r="AB712" s="13" t="s">
        <v>18134</v>
      </c>
      <c r="AC712" s="13" t="s">
        <v>18135</v>
      </c>
      <c r="AD712" s="13" t="s">
        <v>18136</v>
      </c>
      <c r="AE712" s="13" t="s">
        <v>18137</v>
      </c>
      <c r="AF712" s="13" t="s">
        <v>5510</v>
      </c>
      <c r="AG712" s="13">
        <v>36.0</v>
      </c>
      <c r="AH712" s="13">
        <v>46.0</v>
      </c>
      <c r="AI712" s="13">
        <v>51.0</v>
      </c>
      <c r="AJ712" s="13">
        <v>0.0</v>
      </c>
      <c r="AK712" s="13">
        <v>47.0</v>
      </c>
      <c r="AL712" s="13" t="s">
        <v>5759</v>
      </c>
      <c r="AM712" s="13" t="s">
        <v>5760</v>
      </c>
      <c r="AN712" s="13" t="s">
        <v>5761</v>
      </c>
      <c r="AO712" s="13" t="s">
        <v>6225</v>
      </c>
      <c r="AP712" s="13" t="s">
        <v>5510</v>
      </c>
      <c r="AQ712" s="13" t="s">
        <v>5510</v>
      </c>
      <c r="AR712" s="13" t="s">
        <v>6226</v>
      </c>
      <c r="AS712" s="13" t="s">
        <v>6227</v>
      </c>
      <c r="AT712" s="13" t="s">
        <v>5667</v>
      </c>
      <c r="AU712" s="13">
        <v>2015.0</v>
      </c>
      <c r="AV712" s="13">
        <v>4.0</v>
      </c>
      <c r="AW712" s="13" t="s">
        <v>5510</v>
      </c>
      <c r="AX712" s="13" t="s">
        <v>5510</v>
      </c>
      <c r="AY712" s="13" t="s">
        <v>5510</v>
      </c>
      <c r="AZ712" s="13" t="s">
        <v>5510</v>
      </c>
      <c r="BA712" s="13" t="s">
        <v>5510</v>
      </c>
      <c r="BB712" s="13">
        <v>110.0</v>
      </c>
      <c r="BC712" s="13">
        <v>116.0</v>
      </c>
      <c r="BD712" s="13" t="s">
        <v>5510</v>
      </c>
      <c r="BE712" s="13" t="s">
        <v>18138</v>
      </c>
      <c r="BF712" s="52" t="str">
        <f>HYPERLINK("http://dx.doi.org/10.1016/j.gecco.2015.06.003","http://dx.doi.org/10.1016/j.gecco.2015.06.003")</f>
        <v>http://dx.doi.org/10.1016/j.gecco.2015.06.003</v>
      </c>
      <c r="BG712" s="13" t="s">
        <v>5510</v>
      </c>
      <c r="BH712" s="13" t="s">
        <v>5510</v>
      </c>
      <c r="BI712" s="13">
        <v>7.0</v>
      </c>
      <c r="BJ712" s="13" t="s">
        <v>5958</v>
      </c>
      <c r="BK712" s="13" t="s">
        <v>5561</v>
      </c>
      <c r="BL712" s="13" t="s">
        <v>5699</v>
      </c>
      <c r="BM712" s="13" t="s">
        <v>14623</v>
      </c>
      <c r="BN712" s="13" t="s">
        <v>5510</v>
      </c>
      <c r="BO712" s="13" t="s">
        <v>5564</v>
      </c>
      <c r="BP712" s="13" t="s">
        <v>5510</v>
      </c>
      <c r="BQ712" s="13" t="s">
        <v>5510</v>
      </c>
      <c r="BR712" s="13" t="s">
        <v>5538</v>
      </c>
      <c r="BS712" s="13" t="s">
        <v>18139</v>
      </c>
      <c r="BT712" s="13">
        <v>23565.0</v>
      </c>
      <c r="BU712" s="13" t="s">
        <v>5540</v>
      </c>
      <c r="BV712" s="13" t="s">
        <v>4864</v>
      </c>
      <c r="BW712" s="13" t="str">
        <f>VLOOKUP($BT712,Enriched!$A$2:$E$1070,5,false)</f>
        <v>["Residential &amp; Commercial Development", "Energy Production &amp; Mining", "Transportation &amp; Service Corridors", "Biological Resource Use", "Invasive &amp; Other Problematic Species, Genes &amp; Diseases", "Pollution", "Climate Change &amp; Severe Weather"]</v>
      </c>
      <c r="BX712" s="13" t="str">
        <f>VLOOKUP($BT712,Enriched!$A$2:$E$1070,4,false)</f>
        <v>["Commercial &amp; industrial areas", "Oil &amp; gas drilling", "Shipping lanes", "Fishing &amp; harvesting aquatic resources", "Invasive non-native/alien species/diseases", "Domestic &amp; urban waste water", "Agricultural &amp; forestry effluents", "Habitat shifting &amp; alteration", "Temperature extremes", "Other impacts"]</v>
      </c>
      <c r="BY712" s="13" t="b">
        <f>VLOOKUP(BT712,Enriched!$A$1:$AA$1070,27,falsE)</f>
        <v>1</v>
      </c>
      <c r="BZ712" s="2" t="str">
        <f>VLOOKUP(BT712,Enriched!$A$1:$AA$1070,14,falsE)</f>
        <v>cumulative</v>
      </c>
      <c r="CA712" s="13" t="str">
        <f>HYPERLINK("https%3A%2F%2Fwww.webofscience.com%2Fwos%2Fwoscc%2Ffull-record%2FWOS:000416220800011","View Full Record in Web of Science")</f>
        <v>View Full Record in Web of Science</v>
      </c>
    </row>
    <row r="713" ht="12.75" customHeight="1">
      <c r="A713" s="13" t="s">
        <v>5508</v>
      </c>
      <c r="B713" s="13" t="s">
        <v>18140</v>
      </c>
      <c r="C713" s="13" t="s">
        <v>5510</v>
      </c>
      <c r="D713" s="13" t="s">
        <v>5510</v>
      </c>
      <c r="E713" s="13" t="s">
        <v>5510</v>
      </c>
      <c r="F713" s="13" t="s">
        <v>18141</v>
      </c>
      <c r="G713" s="13" t="s">
        <v>5510</v>
      </c>
      <c r="H713" s="13" t="s">
        <v>5510</v>
      </c>
      <c r="I713" s="13" t="s">
        <v>812</v>
      </c>
      <c r="J713" s="13" t="s">
        <v>5746</v>
      </c>
      <c r="K713" s="13" t="s">
        <v>5510</v>
      </c>
      <c r="L713" s="13" t="s">
        <v>5510</v>
      </c>
      <c r="M713" s="13" t="s">
        <v>5513</v>
      </c>
      <c r="N713" s="13" t="s">
        <v>5514</v>
      </c>
      <c r="O713" s="13" t="s">
        <v>5510</v>
      </c>
      <c r="P713" s="13" t="s">
        <v>5510</v>
      </c>
      <c r="Q713" s="13" t="s">
        <v>5510</v>
      </c>
      <c r="R713" s="13" t="s">
        <v>5510</v>
      </c>
      <c r="S713" s="13" t="s">
        <v>5510</v>
      </c>
      <c r="T713" s="13" t="s">
        <v>18142</v>
      </c>
      <c r="U713" s="13" t="s">
        <v>18143</v>
      </c>
      <c r="V713" s="13" t="s">
        <v>18144</v>
      </c>
      <c r="W713" s="13" t="s">
        <v>18145</v>
      </c>
      <c r="X713" s="13" t="s">
        <v>18146</v>
      </c>
      <c r="Y713" s="13" t="s">
        <v>18147</v>
      </c>
      <c r="Z713" s="13" t="s">
        <v>18148</v>
      </c>
      <c r="AA713" s="13" t="s">
        <v>18149</v>
      </c>
      <c r="AB713" s="13" t="s">
        <v>18150</v>
      </c>
      <c r="AC713" s="13" t="s">
        <v>18151</v>
      </c>
      <c r="AD713" s="13" t="s">
        <v>18152</v>
      </c>
      <c r="AE713" s="13" t="s">
        <v>18153</v>
      </c>
      <c r="AF713" s="13" t="s">
        <v>5510</v>
      </c>
      <c r="AG713" s="13">
        <v>55.0</v>
      </c>
      <c r="AH713" s="13">
        <v>217.0</v>
      </c>
      <c r="AI713" s="13">
        <v>243.0</v>
      </c>
      <c r="AJ713" s="13">
        <v>5.0</v>
      </c>
      <c r="AK713" s="13">
        <v>257.0</v>
      </c>
      <c r="AL713" s="13" t="s">
        <v>7714</v>
      </c>
      <c r="AM713" s="13" t="s">
        <v>5760</v>
      </c>
      <c r="AN713" s="13" t="s">
        <v>7715</v>
      </c>
      <c r="AO713" s="13" t="s">
        <v>5762</v>
      </c>
      <c r="AP713" s="13" t="s">
        <v>5763</v>
      </c>
      <c r="AQ713" s="13" t="s">
        <v>5510</v>
      </c>
      <c r="AR713" s="13" t="s">
        <v>5764</v>
      </c>
      <c r="AS713" s="13" t="s">
        <v>5765</v>
      </c>
      <c r="AT713" s="13" t="s">
        <v>9296</v>
      </c>
      <c r="AU713" s="13">
        <v>2018.0</v>
      </c>
      <c r="AV713" s="13">
        <v>634.0</v>
      </c>
      <c r="AW713" s="13" t="s">
        <v>5510</v>
      </c>
      <c r="AX713" s="13" t="s">
        <v>5510</v>
      </c>
      <c r="AY713" s="13" t="s">
        <v>5510</v>
      </c>
      <c r="AZ713" s="13" t="s">
        <v>5510</v>
      </c>
      <c r="BA713" s="13" t="s">
        <v>5510</v>
      </c>
      <c r="BB713" s="13">
        <v>550.0</v>
      </c>
      <c r="BC713" s="13">
        <v>560.0</v>
      </c>
      <c r="BD713" s="13" t="s">
        <v>5510</v>
      </c>
      <c r="BE713" s="13" t="s">
        <v>18154</v>
      </c>
      <c r="BF713" s="52" t="str">
        <f>HYPERLINK("http://dx.doi.org/10.1016/j.scitotenv.2018.04.009","http://dx.doi.org/10.1016/j.scitotenv.2018.04.009")</f>
        <v>http://dx.doi.org/10.1016/j.scitotenv.2018.04.009</v>
      </c>
      <c r="BG713" s="13" t="s">
        <v>5510</v>
      </c>
      <c r="BH713" s="13" t="s">
        <v>5510</v>
      </c>
      <c r="BI713" s="13">
        <v>11.0</v>
      </c>
      <c r="BJ713" s="13" t="s">
        <v>5768</v>
      </c>
      <c r="BK713" s="13" t="s">
        <v>5561</v>
      </c>
      <c r="BL713" s="13" t="s">
        <v>5535</v>
      </c>
      <c r="BM713" s="13" t="s">
        <v>18155</v>
      </c>
      <c r="BN713" s="13">
        <v>2.9635197E7</v>
      </c>
      <c r="BO713" s="13" t="s">
        <v>5510</v>
      </c>
      <c r="BP713" s="13" t="s">
        <v>5510</v>
      </c>
      <c r="BQ713" s="13" t="s">
        <v>5510</v>
      </c>
      <c r="BR713" s="13" t="s">
        <v>5538</v>
      </c>
      <c r="BS713" s="13" t="s">
        <v>18156</v>
      </c>
      <c r="BT713" s="13">
        <v>24692.0</v>
      </c>
      <c r="BU713" s="13" t="s">
        <v>5540</v>
      </c>
      <c r="BV713" s="13" t="s">
        <v>4852</v>
      </c>
      <c r="BW713" s="13" t="str">
        <f>VLOOKUP($BT713,Enriched!$A$2:$E$1070,5,false)</f>
        <v>["Agriculture &amp; Aquaculture"]</v>
      </c>
      <c r="BX713" s="13" t="str">
        <f>VLOOKUP($BT713,Enriched!$A$2:$E$1070,4,false)</f>
        <v>["Annual &amp; perennial non-timber crops"]</v>
      </c>
      <c r="BY713" s="13" t="b">
        <f>VLOOKUP(BT713,Enriched!$A$1:$AA$1070,27,falsE)</f>
        <v>1</v>
      </c>
      <c r="BZ713" s="2" t="str">
        <f>VLOOKUP(BT713,Enriched!$A$1:$AA$1070,14,falsE)</f>
        <v>level2</v>
      </c>
      <c r="CA713" s="13" t="str">
        <f>HYPERLINK("https%3A%2F%2Fwww.webofscience.com%2Fwos%2Fwoscc%2Ffull-record%2FWOS:000433153600060","View Full Record in Web of Science")</f>
        <v>View Full Record in Web of Science</v>
      </c>
    </row>
    <row r="714" ht="12.75" customHeight="1">
      <c r="A714" s="13" t="s">
        <v>5508</v>
      </c>
      <c r="B714" s="13" t="s">
        <v>18157</v>
      </c>
      <c r="C714" s="13" t="s">
        <v>5510</v>
      </c>
      <c r="D714" s="13" t="s">
        <v>5510</v>
      </c>
      <c r="E714" s="13" t="s">
        <v>5510</v>
      </c>
      <c r="F714" s="13" t="s">
        <v>18158</v>
      </c>
      <c r="G714" s="13" t="s">
        <v>5510</v>
      </c>
      <c r="H714" s="13" t="s">
        <v>5510</v>
      </c>
      <c r="I714" s="13" t="s">
        <v>807</v>
      </c>
      <c r="J714" s="13" t="s">
        <v>13932</v>
      </c>
      <c r="K714" s="13" t="s">
        <v>5510</v>
      </c>
      <c r="L714" s="13" t="s">
        <v>5510</v>
      </c>
      <c r="M714" s="13" t="s">
        <v>5513</v>
      </c>
      <c r="N714" s="13" t="s">
        <v>5514</v>
      </c>
      <c r="O714" s="13" t="s">
        <v>5510</v>
      </c>
      <c r="P714" s="13" t="s">
        <v>5510</v>
      </c>
      <c r="Q714" s="13" t="s">
        <v>5510</v>
      </c>
      <c r="R714" s="13" t="s">
        <v>5510</v>
      </c>
      <c r="S714" s="13" t="s">
        <v>5510</v>
      </c>
      <c r="T714" s="13" t="s">
        <v>18159</v>
      </c>
      <c r="U714" s="13" t="s">
        <v>18160</v>
      </c>
      <c r="V714" s="13" t="s">
        <v>18161</v>
      </c>
      <c r="W714" s="13" t="s">
        <v>18162</v>
      </c>
      <c r="X714" s="13" t="s">
        <v>18163</v>
      </c>
      <c r="Y714" s="13" t="s">
        <v>18164</v>
      </c>
      <c r="Z714" s="13" t="s">
        <v>18165</v>
      </c>
      <c r="AA714" s="13" t="s">
        <v>18166</v>
      </c>
      <c r="AB714" s="13" t="s">
        <v>18167</v>
      </c>
      <c r="AC714" s="13" t="s">
        <v>18168</v>
      </c>
      <c r="AD714" s="13" t="s">
        <v>18169</v>
      </c>
      <c r="AE714" s="13" t="s">
        <v>18170</v>
      </c>
      <c r="AF714" s="13" t="s">
        <v>5510</v>
      </c>
      <c r="AG714" s="13">
        <v>53.0</v>
      </c>
      <c r="AH714" s="13">
        <v>23.0</v>
      </c>
      <c r="AI714" s="13">
        <v>29.0</v>
      </c>
      <c r="AJ714" s="13">
        <v>1.0</v>
      </c>
      <c r="AK714" s="13">
        <v>22.0</v>
      </c>
      <c r="AL714" s="13" t="s">
        <v>6849</v>
      </c>
      <c r="AM714" s="13" t="s">
        <v>6850</v>
      </c>
      <c r="AN714" s="13" t="s">
        <v>6851</v>
      </c>
      <c r="AO714" s="13" t="s">
        <v>5510</v>
      </c>
      <c r="AP714" s="13" t="s">
        <v>13945</v>
      </c>
      <c r="AQ714" s="13" t="s">
        <v>5510</v>
      </c>
      <c r="AR714" s="13" t="s">
        <v>13932</v>
      </c>
      <c r="AS714" s="13" t="s">
        <v>808</v>
      </c>
      <c r="AT714" s="13" t="s">
        <v>1453</v>
      </c>
      <c r="AU714" s="13">
        <v>2019.0</v>
      </c>
      <c r="AV714" s="13">
        <v>10.0</v>
      </c>
      <c r="AW714" s="13">
        <v>11.0</v>
      </c>
      <c r="AX714" s="13" t="s">
        <v>5510</v>
      </c>
      <c r="AY714" s="13" t="s">
        <v>5510</v>
      </c>
      <c r="AZ714" s="13" t="s">
        <v>5510</v>
      </c>
      <c r="BA714" s="13" t="s">
        <v>5510</v>
      </c>
      <c r="BB714" s="13" t="s">
        <v>5510</v>
      </c>
      <c r="BC714" s="13" t="s">
        <v>5510</v>
      </c>
      <c r="BD714" s="13">
        <v>952.0</v>
      </c>
      <c r="BE714" s="13" t="s">
        <v>18171</v>
      </c>
      <c r="BF714" s="52" t="str">
        <f>HYPERLINK("http://dx.doi.org/10.3390/f10110952","http://dx.doi.org/10.3390/f10110952")</f>
        <v>http://dx.doi.org/10.3390/f10110952</v>
      </c>
      <c r="BG714" s="13" t="s">
        <v>5510</v>
      </c>
      <c r="BH714" s="13" t="s">
        <v>5510</v>
      </c>
      <c r="BI714" s="13">
        <v>18.0</v>
      </c>
      <c r="BJ714" s="13" t="s">
        <v>8294</v>
      </c>
      <c r="BK714" s="13" t="s">
        <v>5561</v>
      </c>
      <c r="BL714" s="13" t="s">
        <v>8294</v>
      </c>
      <c r="BM714" s="13" t="s">
        <v>18172</v>
      </c>
      <c r="BN714" s="13" t="s">
        <v>5510</v>
      </c>
      <c r="BO714" s="13" t="s">
        <v>5564</v>
      </c>
      <c r="BP714" s="13" t="s">
        <v>5510</v>
      </c>
      <c r="BQ714" s="13" t="s">
        <v>5510</v>
      </c>
      <c r="BR714" s="13" t="s">
        <v>5538</v>
      </c>
      <c r="BS714" s="13" t="s">
        <v>18173</v>
      </c>
      <c r="BT714" s="13">
        <v>23870.0</v>
      </c>
      <c r="BU714" s="13" t="s">
        <v>5540</v>
      </c>
      <c r="BV714" s="13" t="s">
        <v>4855</v>
      </c>
      <c r="BW714" s="13" t="str">
        <f>VLOOKUP($BT714,Enriched!$A$2:$E$1070,5,false)</f>
        <v>["Agriculture &amp; Aquaculture", "Natural System Modifications", "Residential &amp; Commercial Development"]</v>
      </c>
      <c r="BX714" s="13" t="str">
        <f>VLOOKUP($BT714,Enriched!$A$2:$E$1070,4,false)</f>
        <v>["Annual &amp; perennial non-timber crops", "Dams &amp; water management/use"]</v>
      </c>
      <c r="BY714" s="13" t="b">
        <f>VLOOKUP(BT714,Enriched!$A$1:$AA$1070,27,falsE)</f>
        <v>1</v>
      </c>
      <c r="BZ714" s="2" t="str">
        <f>VLOOKUP(BT714,Enriched!$A$1:$AA$1070,14,falsE)</f>
        <v>level2</v>
      </c>
      <c r="CA714" s="13" t="str">
        <f>HYPERLINK("https%3A%2F%2Fwww.webofscience.com%2Fwos%2Fwoscc%2Ffull-record%2FWOS:000502262700018","View Full Record in Web of Science")</f>
        <v>View Full Record in Web of Science</v>
      </c>
    </row>
    <row r="715" ht="12.75" customHeight="1">
      <c r="A715" s="13" t="s">
        <v>5508</v>
      </c>
      <c r="B715" s="13" t="s">
        <v>18174</v>
      </c>
      <c r="C715" s="13" t="s">
        <v>5510</v>
      </c>
      <c r="D715" s="13" t="s">
        <v>5510</v>
      </c>
      <c r="E715" s="13" t="s">
        <v>5510</v>
      </c>
      <c r="F715" s="13" t="s">
        <v>18175</v>
      </c>
      <c r="G715" s="13" t="s">
        <v>5510</v>
      </c>
      <c r="H715" s="13" t="s">
        <v>5510</v>
      </c>
      <c r="I715" s="13" t="s">
        <v>804</v>
      </c>
      <c r="J715" s="13" t="s">
        <v>12511</v>
      </c>
      <c r="K715" s="13" t="s">
        <v>5510</v>
      </c>
      <c r="L715" s="13" t="s">
        <v>5510</v>
      </c>
      <c r="M715" s="13" t="s">
        <v>5513</v>
      </c>
      <c r="N715" s="13" t="s">
        <v>5514</v>
      </c>
      <c r="O715" s="13" t="s">
        <v>5510</v>
      </c>
      <c r="P715" s="13" t="s">
        <v>5510</v>
      </c>
      <c r="Q715" s="13" t="s">
        <v>5510</v>
      </c>
      <c r="R715" s="13" t="s">
        <v>5510</v>
      </c>
      <c r="S715" s="13" t="s">
        <v>5510</v>
      </c>
      <c r="T715" s="13" t="s">
        <v>18176</v>
      </c>
      <c r="U715" s="13" t="s">
        <v>18177</v>
      </c>
      <c r="V715" s="13" t="s">
        <v>18178</v>
      </c>
      <c r="W715" s="13" t="s">
        <v>18179</v>
      </c>
      <c r="X715" s="13" t="s">
        <v>18180</v>
      </c>
      <c r="Y715" s="13" t="s">
        <v>18181</v>
      </c>
      <c r="Z715" s="13" t="s">
        <v>18182</v>
      </c>
      <c r="AA715" s="13" t="s">
        <v>18183</v>
      </c>
      <c r="AB715" s="13" t="s">
        <v>18184</v>
      </c>
      <c r="AC715" s="13" t="s">
        <v>18185</v>
      </c>
      <c r="AD715" s="13" t="s">
        <v>18186</v>
      </c>
      <c r="AE715" s="13" t="s">
        <v>18187</v>
      </c>
      <c r="AF715" s="13" t="s">
        <v>5510</v>
      </c>
      <c r="AG715" s="13">
        <v>56.0</v>
      </c>
      <c r="AH715" s="13">
        <v>47.0</v>
      </c>
      <c r="AI715" s="13">
        <v>51.0</v>
      </c>
      <c r="AJ715" s="13">
        <v>3.0</v>
      </c>
      <c r="AK715" s="13">
        <v>19.0</v>
      </c>
      <c r="AL715" s="13" t="s">
        <v>6849</v>
      </c>
      <c r="AM715" s="13" t="s">
        <v>6850</v>
      </c>
      <c r="AN715" s="13" t="s">
        <v>6851</v>
      </c>
      <c r="AO715" s="13" t="s">
        <v>5510</v>
      </c>
      <c r="AP715" s="13" t="s">
        <v>12524</v>
      </c>
      <c r="AQ715" s="13" t="s">
        <v>5510</v>
      </c>
      <c r="AR715" s="13" t="s">
        <v>12525</v>
      </c>
      <c r="AS715" s="13" t="s">
        <v>805</v>
      </c>
      <c r="AT715" s="13" t="s">
        <v>5582</v>
      </c>
      <c r="AU715" s="13">
        <v>2020.0</v>
      </c>
      <c r="AV715" s="13">
        <v>9.0</v>
      </c>
      <c r="AW715" s="13">
        <v>1.0</v>
      </c>
      <c r="AX715" s="13" t="s">
        <v>5510</v>
      </c>
      <c r="AY715" s="13" t="s">
        <v>5510</v>
      </c>
      <c r="AZ715" s="13" t="s">
        <v>5510</v>
      </c>
      <c r="BA715" s="13" t="s">
        <v>5510</v>
      </c>
      <c r="BB715" s="13" t="s">
        <v>5510</v>
      </c>
      <c r="BC715" s="13" t="s">
        <v>5510</v>
      </c>
      <c r="BD715" s="13">
        <v>23.0</v>
      </c>
      <c r="BE715" s="13" t="s">
        <v>18188</v>
      </c>
      <c r="BF715" s="52" t="str">
        <f>HYPERLINK("http://dx.doi.org/10.3390/land9010023","http://dx.doi.org/10.3390/land9010023")</f>
        <v>http://dx.doi.org/10.3390/land9010023</v>
      </c>
      <c r="BG715" s="13" t="s">
        <v>5510</v>
      </c>
      <c r="BH715" s="13" t="s">
        <v>5510</v>
      </c>
      <c r="BI715" s="13">
        <v>22.0</v>
      </c>
      <c r="BJ715" s="13" t="s">
        <v>12528</v>
      </c>
      <c r="BK715" s="13" t="s">
        <v>8375</v>
      </c>
      <c r="BL715" s="13" t="s">
        <v>5535</v>
      </c>
      <c r="BM715" s="13" t="s">
        <v>18189</v>
      </c>
      <c r="BN715" s="13" t="s">
        <v>5510</v>
      </c>
      <c r="BO715" s="13" t="s">
        <v>5564</v>
      </c>
      <c r="BP715" s="13" t="s">
        <v>5510</v>
      </c>
      <c r="BQ715" s="13" t="s">
        <v>5510</v>
      </c>
      <c r="BR715" s="13" t="s">
        <v>5538</v>
      </c>
      <c r="BS715" s="13" t="s">
        <v>18190</v>
      </c>
      <c r="BT715" s="13">
        <v>24832.0</v>
      </c>
      <c r="BU715" s="13" t="s">
        <v>5540</v>
      </c>
      <c r="BV715" s="13" t="s">
        <v>4856</v>
      </c>
      <c r="BW715" s="13" t="str">
        <f>VLOOKUP($BT715,Enriched!$A$2:$E$1070,5,false)</f>
        <v>["Agriculture &amp; Aquaculture", "Energy Production &amp; Mining", "Biological Resource Use"]</v>
      </c>
      <c r="BX715" s="13" t="str">
        <f>VLOOKUP($BT715,Enriched!$A$2:$E$1070,4,false)</f>
        <v>["Housing &amp; urban area", "Mining &amp; quarrying", "Logging &amp; wood harvesting"]</v>
      </c>
      <c r="BY715" s="13" t="b">
        <f>VLOOKUP(BT715,Enriched!$A$1:$AA$1070,27,falsE)</f>
        <v>1</v>
      </c>
      <c r="BZ715" s="2" t="str">
        <f>VLOOKUP(BT715,Enriched!$A$1:$AA$1070,14,falsE)</f>
        <v>level2</v>
      </c>
      <c r="CA715" s="13" t="str">
        <f>HYPERLINK("https%3A%2F%2Fwww.webofscience.com%2Fwos%2Fwoscc%2Ffull-record%2FWOS:000513129300005","View Full Record in Web of Science")</f>
        <v>View Full Record in Web of Science</v>
      </c>
    </row>
    <row r="716" ht="12.75" customHeight="1">
      <c r="A716" s="13" t="s">
        <v>5508</v>
      </c>
      <c r="B716" s="13" t="s">
        <v>18191</v>
      </c>
      <c r="C716" s="13" t="s">
        <v>5510</v>
      </c>
      <c r="D716" s="13" t="s">
        <v>5510</v>
      </c>
      <c r="E716" s="13" t="s">
        <v>5510</v>
      </c>
      <c r="F716" s="13" t="s">
        <v>18191</v>
      </c>
      <c r="G716" s="13" t="s">
        <v>5510</v>
      </c>
      <c r="H716" s="13" t="s">
        <v>5510</v>
      </c>
      <c r="I716" s="13" t="s">
        <v>801</v>
      </c>
      <c r="J716" s="13" t="s">
        <v>5963</v>
      </c>
      <c r="K716" s="13" t="s">
        <v>5510</v>
      </c>
      <c r="L716" s="13" t="s">
        <v>5510</v>
      </c>
      <c r="M716" s="13" t="s">
        <v>5513</v>
      </c>
      <c r="N716" s="13" t="s">
        <v>5626</v>
      </c>
      <c r="O716" s="13" t="s">
        <v>18192</v>
      </c>
      <c r="P716" s="13" t="s">
        <v>18193</v>
      </c>
      <c r="Q716" s="13" t="s">
        <v>18194</v>
      </c>
      <c r="R716" s="13" t="s">
        <v>5510</v>
      </c>
      <c r="S716" s="13" t="s">
        <v>5510</v>
      </c>
      <c r="T716" s="13" t="s">
        <v>5510</v>
      </c>
      <c r="U716" s="13" t="s">
        <v>5510</v>
      </c>
      <c r="V716" s="13" t="s">
        <v>18195</v>
      </c>
      <c r="W716" s="13" t="s">
        <v>18196</v>
      </c>
      <c r="X716" s="13" t="s">
        <v>18197</v>
      </c>
      <c r="Y716" s="13" t="s">
        <v>18198</v>
      </c>
      <c r="Z716" s="13" t="s">
        <v>5510</v>
      </c>
      <c r="AA716" s="13" t="s">
        <v>18199</v>
      </c>
      <c r="AB716" s="13" t="s">
        <v>18200</v>
      </c>
      <c r="AC716" s="13" t="s">
        <v>5510</v>
      </c>
      <c r="AD716" s="13" t="s">
        <v>5510</v>
      </c>
      <c r="AE716" s="13" t="s">
        <v>5510</v>
      </c>
      <c r="AF716" s="13" t="s">
        <v>5510</v>
      </c>
      <c r="AG716" s="13">
        <v>7.0</v>
      </c>
      <c r="AH716" s="13">
        <v>10.0</v>
      </c>
      <c r="AI716" s="13">
        <v>12.0</v>
      </c>
      <c r="AJ716" s="13">
        <v>0.0</v>
      </c>
      <c r="AK716" s="13">
        <v>9.0</v>
      </c>
      <c r="AL716" s="13" t="s">
        <v>18201</v>
      </c>
      <c r="AM716" s="13" t="s">
        <v>5691</v>
      </c>
      <c r="AN716" s="13" t="s">
        <v>18202</v>
      </c>
      <c r="AO716" s="13" t="s">
        <v>5975</v>
      </c>
      <c r="AP716" s="13" t="s">
        <v>5510</v>
      </c>
      <c r="AQ716" s="13" t="s">
        <v>5510</v>
      </c>
      <c r="AR716" s="13" t="s">
        <v>5976</v>
      </c>
      <c r="AS716" s="13" t="s">
        <v>5977</v>
      </c>
      <c r="AT716" s="13" t="s">
        <v>5667</v>
      </c>
      <c r="AU716" s="13">
        <v>2000.0</v>
      </c>
      <c r="AV716" s="13">
        <v>63.0</v>
      </c>
      <c r="AW716" s="13">
        <v>1.0</v>
      </c>
      <c r="AX716" s="13" t="s">
        <v>5510</v>
      </c>
      <c r="AY716" s="13" t="s">
        <v>5510</v>
      </c>
      <c r="AZ716" s="13" t="s">
        <v>5510</v>
      </c>
      <c r="BA716" s="13" t="s">
        <v>5510</v>
      </c>
      <c r="BB716" s="13">
        <v>131.0</v>
      </c>
      <c r="BC716" s="13">
        <v>142.0</v>
      </c>
      <c r="BD716" s="13" t="s">
        <v>5510</v>
      </c>
      <c r="BE716" s="13" t="s">
        <v>18203</v>
      </c>
      <c r="BF716" s="52" t="str">
        <f>HYPERLINK("http://dx.doi.org/10.1023/A:1006458811235","http://dx.doi.org/10.1023/A:1006458811235")</f>
        <v>http://dx.doi.org/10.1023/A:1006458811235</v>
      </c>
      <c r="BG716" s="13" t="s">
        <v>5510</v>
      </c>
      <c r="BH716" s="13" t="s">
        <v>5510</v>
      </c>
      <c r="BI716" s="13">
        <v>12.0</v>
      </c>
      <c r="BJ716" s="13" t="s">
        <v>5768</v>
      </c>
      <c r="BK716" s="13" t="s">
        <v>18204</v>
      </c>
      <c r="BL716" s="13" t="s">
        <v>5535</v>
      </c>
      <c r="BM716" s="13" t="s">
        <v>18205</v>
      </c>
      <c r="BN716" s="13" t="s">
        <v>5510</v>
      </c>
      <c r="BO716" s="13" t="s">
        <v>5510</v>
      </c>
      <c r="BP716" s="13" t="s">
        <v>5510</v>
      </c>
      <c r="BQ716" s="13" t="s">
        <v>5510</v>
      </c>
      <c r="BR716" s="13" t="s">
        <v>5538</v>
      </c>
      <c r="BS716" s="13" t="s">
        <v>18206</v>
      </c>
      <c r="BT716" s="13">
        <v>25304.0</v>
      </c>
      <c r="BU716" s="13" t="s">
        <v>9118</v>
      </c>
      <c r="BV716" s="13" t="s">
        <v>4855</v>
      </c>
      <c r="BW716" s="13" t="str">
        <f>VLOOKUP($BT716,Enriched!$A$2:$E$1070,5,false)</f>
        <v>["Pollution"]</v>
      </c>
      <c r="BX716" s="13" t="str">
        <f>VLOOKUP($BT716,Enriched!$A$2:$E$1070,4,false)</f>
        <v/>
      </c>
      <c r="BY716" s="13" t="b">
        <f>VLOOKUP(BT716,Enriched!$A$1:$AA$1070,27,falsE)</f>
        <v>1</v>
      </c>
      <c r="BZ716" s="2" t="str">
        <f>VLOOKUP(BT716,Enriched!$A$1:$AA$1070,14,falsE)</f>
        <v>level2</v>
      </c>
      <c r="CA716" s="13" t="str">
        <f>HYPERLINK("https%3A%2F%2Fwww.webofscience.com%2Fwos%2Fwoscc%2Ffull-record%2FWOS:000087591900009","View Full Record in Web of Science")</f>
        <v>View Full Record in Web of Science</v>
      </c>
    </row>
    <row r="717" ht="12.75" customHeight="1">
      <c r="A717" s="13" t="s">
        <v>5508</v>
      </c>
      <c r="B717" s="13" t="s">
        <v>18207</v>
      </c>
      <c r="C717" s="13" t="s">
        <v>5510</v>
      </c>
      <c r="D717" s="13" t="s">
        <v>5510</v>
      </c>
      <c r="E717" s="13" t="s">
        <v>5510</v>
      </c>
      <c r="F717" s="13" t="s">
        <v>18208</v>
      </c>
      <c r="G717" s="13" t="s">
        <v>5510</v>
      </c>
      <c r="H717" s="13" t="s">
        <v>5510</v>
      </c>
      <c r="I717" s="13" t="s">
        <v>798</v>
      </c>
      <c r="J717" s="13" t="s">
        <v>12753</v>
      </c>
      <c r="K717" s="13" t="s">
        <v>5510</v>
      </c>
      <c r="L717" s="13" t="s">
        <v>5510</v>
      </c>
      <c r="M717" s="13" t="s">
        <v>5513</v>
      </c>
      <c r="N717" s="13" t="s">
        <v>5514</v>
      </c>
      <c r="O717" s="13" t="s">
        <v>5510</v>
      </c>
      <c r="P717" s="13" t="s">
        <v>5510</v>
      </c>
      <c r="Q717" s="13" t="s">
        <v>5510</v>
      </c>
      <c r="R717" s="13" t="s">
        <v>5510</v>
      </c>
      <c r="S717" s="13" t="s">
        <v>5510</v>
      </c>
      <c r="T717" s="13" t="s">
        <v>18209</v>
      </c>
      <c r="U717" s="13" t="s">
        <v>18210</v>
      </c>
      <c r="V717" s="13" t="s">
        <v>18211</v>
      </c>
      <c r="W717" s="13" t="s">
        <v>18212</v>
      </c>
      <c r="X717" s="13" t="s">
        <v>18213</v>
      </c>
      <c r="Y717" s="13" t="s">
        <v>16705</v>
      </c>
      <c r="Z717" s="13" t="s">
        <v>18214</v>
      </c>
      <c r="AA717" s="13" t="s">
        <v>18215</v>
      </c>
      <c r="AB717" s="13" t="s">
        <v>18216</v>
      </c>
      <c r="AC717" s="13" t="s">
        <v>18217</v>
      </c>
      <c r="AD717" s="13" t="s">
        <v>18218</v>
      </c>
      <c r="AE717" s="13" t="s">
        <v>18219</v>
      </c>
      <c r="AF717" s="13" t="s">
        <v>5510</v>
      </c>
      <c r="AG717" s="13">
        <v>45.0</v>
      </c>
      <c r="AH717" s="13">
        <v>36.0</v>
      </c>
      <c r="AI717" s="13">
        <v>38.0</v>
      </c>
      <c r="AJ717" s="13">
        <v>3.0</v>
      </c>
      <c r="AK717" s="13">
        <v>60.0</v>
      </c>
      <c r="AL717" s="13" t="s">
        <v>5527</v>
      </c>
      <c r="AM717" s="13" t="s">
        <v>5528</v>
      </c>
      <c r="AN717" s="13" t="s">
        <v>5529</v>
      </c>
      <c r="AO717" s="13" t="s">
        <v>12766</v>
      </c>
      <c r="AP717" s="13" t="s">
        <v>5510</v>
      </c>
      <c r="AQ717" s="13" t="s">
        <v>5510</v>
      </c>
      <c r="AR717" s="13" t="s">
        <v>12767</v>
      </c>
      <c r="AS717" s="13" t="s">
        <v>12768</v>
      </c>
      <c r="AT717" s="13" t="s">
        <v>8918</v>
      </c>
      <c r="AU717" s="13">
        <v>2017.0</v>
      </c>
      <c r="AV717" s="13">
        <v>10.0</v>
      </c>
      <c r="AW717" s="13">
        <v>5.0</v>
      </c>
      <c r="AX717" s="13" t="s">
        <v>5510</v>
      </c>
      <c r="AY717" s="13" t="s">
        <v>5510</v>
      </c>
      <c r="AZ717" s="13" t="s">
        <v>5510</v>
      </c>
      <c r="BA717" s="13" t="s">
        <v>5510</v>
      </c>
      <c r="BB717" s="13">
        <v>531.0</v>
      </c>
      <c r="BC717" s="13">
        <v>538.0</v>
      </c>
      <c r="BD717" s="13" t="s">
        <v>5510</v>
      </c>
      <c r="BE717" s="13" t="s">
        <v>18220</v>
      </c>
      <c r="BF717" s="52" t="str">
        <f>HYPERLINK("http://dx.doi.org/10.1111/con4.12321","http://dx.doi.org/10.1111/con4.12321")</f>
        <v>http://dx.doi.org/10.1111/con4.12321</v>
      </c>
      <c r="BG717" s="13" t="s">
        <v>5510</v>
      </c>
      <c r="BH717" s="13" t="s">
        <v>5510</v>
      </c>
      <c r="BI717" s="13">
        <v>8.0</v>
      </c>
      <c r="BJ717" s="13" t="s">
        <v>5648</v>
      </c>
      <c r="BK717" s="13" t="s">
        <v>5561</v>
      </c>
      <c r="BL717" s="13" t="s">
        <v>5650</v>
      </c>
      <c r="BM717" s="13" t="s">
        <v>18221</v>
      </c>
      <c r="BN717" s="13">
        <v>2.9104616E7</v>
      </c>
      <c r="BO717" s="13" t="s">
        <v>5564</v>
      </c>
      <c r="BP717" s="13" t="s">
        <v>5510</v>
      </c>
      <c r="BQ717" s="13" t="s">
        <v>5510</v>
      </c>
      <c r="BR717" s="13" t="s">
        <v>5538</v>
      </c>
      <c r="BS717" s="13" t="s">
        <v>18222</v>
      </c>
      <c r="BT717" s="13">
        <v>24401.0</v>
      </c>
      <c r="BU717" s="13" t="s">
        <v>5540</v>
      </c>
      <c r="BV717" s="13" t="s">
        <v>4856</v>
      </c>
      <c r="BW717" s="13" t="str">
        <f>VLOOKUP($BT717,Enriched!$A$2:$E$1070,5,false)</f>
        <v>["Agriculture &amp; Aquaculture", "Residential &amp; Commercial Development"]</v>
      </c>
      <c r="BX717" s="13" t="str">
        <f>VLOOKUP($BT717,Enriched!$A$2:$E$1070,4,false)</f>
        <v>["Annual &amp; perennial non-timber crops", "Livestock farming &amp; ranching", "Wood &amp; pulp plantations"]</v>
      </c>
      <c r="BY717" s="13" t="b">
        <f>VLOOKUP(BT717,Enriched!$A$1:$AA$1070,27,falsE)</f>
        <v>1</v>
      </c>
      <c r="BZ717" s="2" t="str">
        <f>VLOOKUP(BT717,Enriched!$A$1:$AA$1070,14,falsE)</f>
        <v>cumulative</v>
      </c>
      <c r="CA717" s="13" t="str">
        <f>HYPERLINK("https%3A%2F%2Fwww.webofscience.com%2Fwos%2Fwoscc%2Ffull-record%2FWOS:000412861500004","View Full Record in Web of Science")</f>
        <v>View Full Record in Web of Science</v>
      </c>
    </row>
    <row r="718" ht="12.75" customHeight="1">
      <c r="A718" s="13" t="s">
        <v>5508</v>
      </c>
      <c r="B718" s="13" t="s">
        <v>18223</v>
      </c>
      <c r="C718" s="13" t="s">
        <v>5510</v>
      </c>
      <c r="D718" s="13" t="s">
        <v>5510</v>
      </c>
      <c r="E718" s="13" t="s">
        <v>5510</v>
      </c>
      <c r="F718" s="13" t="s">
        <v>18224</v>
      </c>
      <c r="G718" s="13" t="s">
        <v>5510</v>
      </c>
      <c r="H718" s="13" t="s">
        <v>5510</v>
      </c>
      <c r="I718" s="13" t="s">
        <v>795</v>
      </c>
      <c r="J718" s="13" t="s">
        <v>11947</v>
      </c>
      <c r="K718" s="13" t="s">
        <v>5510</v>
      </c>
      <c r="L718" s="13" t="s">
        <v>5510</v>
      </c>
      <c r="M718" s="13" t="s">
        <v>5513</v>
      </c>
      <c r="N718" s="13" t="s">
        <v>5514</v>
      </c>
      <c r="O718" s="13" t="s">
        <v>5510</v>
      </c>
      <c r="P718" s="13" t="s">
        <v>5510</v>
      </c>
      <c r="Q718" s="13" t="s">
        <v>5510</v>
      </c>
      <c r="R718" s="13" t="s">
        <v>5510</v>
      </c>
      <c r="S718" s="13" t="s">
        <v>5510</v>
      </c>
      <c r="T718" s="13" t="s">
        <v>5510</v>
      </c>
      <c r="U718" s="13" t="s">
        <v>18225</v>
      </c>
      <c r="V718" s="13" t="s">
        <v>18226</v>
      </c>
      <c r="W718" s="13" t="s">
        <v>18227</v>
      </c>
      <c r="X718" s="13" t="s">
        <v>18228</v>
      </c>
      <c r="Y718" s="13" t="s">
        <v>18229</v>
      </c>
      <c r="Z718" s="13" t="s">
        <v>18230</v>
      </c>
      <c r="AA718" s="13" t="s">
        <v>18231</v>
      </c>
      <c r="AB718" s="13" t="s">
        <v>18232</v>
      </c>
      <c r="AC718" s="13" t="s">
        <v>18233</v>
      </c>
      <c r="AD718" s="13" t="s">
        <v>18234</v>
      </c>
      <c r="AE718" s="13" t="s">
        <v>18235</v>
      </c>
      <c r="AF718" s="13" t="s">
        <v>5510</v>
      </c>
      <c r="AG718" s="13">
        <v>23.0</v>
      </c>
      <c r="AH718" s="13">
        <v>232.0</v>
      </c>
      <c r="AI718" s="13">
        <v>265.0</v>
      </c>
      <c r="AJ718" s="13">
        <v>5.0</v>
      </c>
      <c r="AK718" s="13">
        <v>357.0</v>
      </c>
      <c r="AL718" s="13" t="s">
        <v>11959</v>
      </c>
      <c r="AM718" s="13" t="s">
        <v>5908</v>
      </c>
      <c r="AN718" s="13" t="s">
        <v>11960</v>
      </c>
      <c r="AO718" s="13" t="s">
        <v>11961</v>
      </c>
      <c r="AP718" s="13" t="s">
        <v>11962</v>
      </c>
      <c r="AQ718" s="13" t="s">
        <v>5510</v>
      </c>
      <c r="AR718" s="13" t="s">
        <v>11947</v>
      </c>
      <c r="AS718" s="13" t="s">
        <v>117</v>
      </c>
      <c r="AT718" s="13" t="s">
        <v>7716</v>
      </c>
      <c r="AU718" s="13">
        <v>2016.0</v>
      </c>
      <c r="AV718" s="13">
        <v>352.0</v>
      </c>
      <c r="AW718" s="13">
        <v>6281.0</v>
      </c>
      <c r="AX718" s="13" t="s">
        <v>5510</v>
      </c>
      <c r="AY718" s="13" t="s">
        <v>5510</v>
      </c>
      <c r="AZ718" s="13" t="s">
        <v>5510</v>
      </c>
      <c r="BA718" s="13" t="s">
        <v>5510</v>
      </c>
      <c r="BB718" s="13">
        <v>84.0</v>
      </c>
      <c r="BC718" s="13">
        <v>87.0</v>
      </c>
      <c r="BD718" s="13" t="s">
        <v>5510</v>
      </c>
      <c r="BE718" s="13" t="s">
        <v>18236</v>
      </c>
      <c r="BF718" s="52" t="str">
        <f>HYPERLINK("http://dx.doi.org/10.1126/science.aac4858","http://dx.doi.org/10.1126/science.aac4858")</f>
        <v>http://dx.doi.org/10.1126/science.aac4858</v>
      </c>
      <c r="BG718" s="13" t="s">
        <v>5510</v>
      </c>
      <c r="BH718" s="13" t="s">
        <v>5510</v>
      </c>
      <c r="BI718" s="13">
        <v>4.0</v>
      </c>
      <c r="BJ718" s="13" t="s">
        <v>5560</v>
      </c>
      <c r="BK718" s="13" t="s">
        <v>5561</v>
      </c>
      <c r="BL718" s="13" t="s">
        <v>5562</v>
      </c>
      <c r="BM718" s="13" t="s">
        <v>18237</v>
      </c>
      <c r="BN718" s="13">
        <v>2.7034371E7</v>
      </c>
      <c r="BO718" s="13" t="s">
        <v>5537</v>
      </c>
      <c r="BP718" s="13" t="s">
        <v>5510</v>
      </c>
      <c r="BQ718" s="13" t="s">
        <v>5510</v>
      </c>
      <c r="BR718" s="13" t="s">
        <v>5538</v>
      </c>
      <c r="BS718" s="13" t="s">
        <v>18238</v>
      </c>
      <c r="BT718" s="13">
        <v>25679.0</v>
      </c>
      <c r="BU718" s="13" t="s">
        <v>5540</v>
      </c>
      <c r="BV718" s="13" t="s">
        <v>4856</v>
      </c>
      <c r="BW718" s="13" t="str">
        <f>VLOOKUP($BT718,Enriched!$A$2:$E$1070,5,false)</f>
        <v>["Climate change &amp; severe weather"]</v>
      </c>
      <c r="BX718" s="13" t="str">
        <f>VLOOKUP($BT718,Enriched!$A$2:$E$1070,4,false)</f>
        <v>["Habitat shifting &amp; alteration"]</v>
      </c>
      <c r="BY718" s="13" t="b">
        <f>VLOOKUP(BT718,Enriched!$A$1:$AA$1070,27,falsE)</f>
        <v>0</v>
      </c>
      <c r="BZ718" s="2" t="str">
        <f>VLOOKUP(BT718,Enriched!$A$1:$AA$1070,14,falsE)</f>
        <v>level2</v>
      </c>
      <c r="CA718" s="13" t="str">
        <f>HYPERLINK("https%3A%2F%2Fwww.webofscience.com%2Fwos%2Fwoscc%2Ffull-record%2FWOS:000373039600040","View Full Record in Web of Science")</f>
        <v>View Full Record in Web of Science</v>
      </c>
    </row>
    <row r="719" ht="12.75" customHeight="1">
      <c r="A719" s="13" t="s">
        <v>5508</v>
      </c>
      <c r="B719" s="13" t="s">
        <v>18239</v>
      </c>
      <c r="C719" s="13" t="s">
        <v>5510</v>
      </c>
      <c r="D719" s="13" t="s">
        <v>5510</v>
      </c>
      <c r="E719" s="13" t="s">
        <v>5510</v>
      </c>
      <c r="F719" s="13" t="s">
        <v>18240</v>
      </c>
      <c r="G719" s="13" t="s">
        <v>5510</v>
      </c>
      <c r="H719" s="13" t="s">
        <v>5510</v>
      </c>
      <c r="I719" s="13" t="s">
        <v>792</v>
      </c>
      <c r="J719" s="13" t="s">
        <v>5919</v>
      </c>
      <c r="K719" s="13" t="s">
        <v>5510</v>
      </c>
      <c r="L719" s="13" t="s">
        <v>5510</v>
      </c>
      <c r="M719" s="13" t="s">
        <v>5513</v>
      </c>
      <c r="N719" s="13" t="s">
        <v>5514</v>
      </c>
      <c r="O719" s="13" t="s">
        <v>5510</v>
      </c>
      <c r="P719" s="13" t="s">
        <v>5510</v>
      </c>
      <c r="Q719" s="13" t="s">
        <v>5510</v>
      </c>
      <c r="R719" s="13" t="s">
        <v>5510</v>
      </c>
      <c r="S719" s="13" t="s">
        <v>5510</v>
      </c>
      <c r="T719" s="13" t="s">
        <v>18241</v>
      </c>
      <c r="U719" s="13" t="s">
        <v>18242</v>
      </c>
      <c r="V719" s="13" t="s">
        <v>18243</v>
      </c>
      <c r="W719" s="13" t="s">
        <v>18244</v>
      </c>
      <c r="X719" s="13" t="s">
        <v>5660</v>
      </c>
      <c r="Y719" s="13" t="s">
        <v>18245</v>
      </c>
      <c r="Z719" s="13" t="s">
        <v>18246</v>
      </c>
      <c r="AA719" s="13" t="s">
        <v>18247</v>
      </c>
      <c r="AB719" s="13" t="s">
        <v>18248</v>
      </c>
      <c r="AC719" s="13" t="s">
        <v>18249</v>
      </c>
      <c r="AD719" s="13" t="s">
        <v>18250</v>
      </c>
      <c r="AE719" s="13" t="s">
        <v>18251</v>
      </c>
      <c r="AF719" s="13" t="s">
        <v>5510</v>
      </c>
      <c r="AG719" s="13">
        <v>56.0</v>
      </c>
      <c r="AH719" s="13">
        <v>15.0</v>
      </c>
      <c r="AI719" s="13">
        <v>18.0</v>
      </c>
      <c r="AJ719" s="13">
        <v>0.0</v>
      </c>
      <c r="AK719" s="13">
        <v>81.0</v>
      </c>
      <c r="AL719" s="13" t="s">
        <v>5931</v>
      </c>
      <c r="AM719" s="13" t="s">
        <v>5932</v>
      </c>
      <c r="AN719" s="13" t="s">
        <v>5933</v>
      </c>
      <c r="AO719" s="13" t="s">
        <v>5934</v>
      </c>
      <c r="AP719" s="13" t="s">
        <v>5935</v>
      </c>
      <c r="AQ719" s="13" t="s">
        <v>5510</v>
      </c>
      <c r="AR719" s="13" t="s">
        <v>5936</v>
      </c>
      <c r="AS719" s="13" t="s">
        <v>5937</v>
      </c>
      <c r="AT719" s="13" t="s">
        <v>1925</v>
      </c>
      <c r="AU719" s="13">
        <v>2013.0</v>
      </c>
      <c r="AV719" s="13">
        <v>165.0</v>
      </c>
      <c r="AW719" s="13" t="s">
        <v>5510</v>
      </c>
      <c r="AX719" s="13" t="s">
        <v>5510</v>
      </c>
      <c r="AY719" s="13" t="s">
        <v>5510</v>
      </c>
      <c r="AZ719" s="13" t="s">
        <v>5510</v>
      </c>
      <c r="BA719" s="13" t="s">
        <v>5510</v>
      </c>
      <c r="BB719" s="13">
        <v>43.0</v>
      </c>
      <c r="BC719" s="13">
        <v>53.0</v>
      </c>
      <c r="BD719" s="13" t="s">
        <v>5510</v>
      </c>
      <c r="BE719" s="13" t="s">
        <v>18252</v>
      </c>
      <c r="BF719" s="52" t="str">
        <f>HYPERLINK("http://dx.doi.org/10.1016/j.biocon.2013.05.012","http://dx.doi.org/10.1016/j.biocon.2013.05.012")</f>
        <v>http://dx.doi.org/10.1016/j.biocon.2013.05.012</v>
      </c>
      <c r="BG719" s="13" t="s">
        <v>5510</v>
      </c>
      <c r="BH719" s="13" t="s">
        <v>5510</v>
      </c>
      <c r="BI719" s="13">
        <v>11.0</v>
      </c>
      <c r="BJ719" s="13" t="s">
        <v>5698</v>
      </c>
      <c r="BK719" s="13" t="s">
        <v>5561</v>
      </c>
      <c r="BL719" s="13" t="s">
        <v>5699</v>
      </c>
      <c r="BM719" s="13" t="s">
        <v>18253</v>
      </c>
      <c r="BN719" s="13" t="s">
        <v>5510</v>
      </c>
      <c r="BO719" s="13" t="s">
        <v>5510</v>
      </c>
      <c r="BP719" s="13" t="s">
        <v>5510</v>
      </c>
      <c r="BQ719" s="13" t="s">
        <v>5510</v>
      </c>
      <c r="BR719" s="13" t="s">
        <v>5538</v>
      </c>
      <c r="BS719" s="13" t="s">
        <v>18254</v>
      </c>
      <c r="BT719" s="13">
        <v>25960.0</v>
      </c>
      <c r="BU719" s="13" t="s">
        <v>5540</v>
      </c>
      <c r="BV719" s="13" t="s">
        <v>4856</v>
      </c>
      <c r="BW719" s="13" t="str">
        <f>VLOOKUP($BT719,Enriched!$A$2:$E$1070,5,false)</f>
        <v>["Agriculture &amp; Aquaculture", "Pollution"]</v>
      </c>
      <c r="BX719" s="13" t="str">
        <f>VLOOKUP($BT719,Enriched!$A$2:$E$1070,4,false)</f>
        <v>["Agricultural &amp; forestry effluents", "Air-borne pollutants"]</v>
      </c>
      <c r="BY719" s="13" t="b">
        <f>VLOOKUP(BT719,Enriched!$A$1:$AA$1070,27,falsE)</f>
        <v>1</v>
      </c>
      <c r="BZ719" s="2" t="str">
        <f>VLOOKUP(BT719,Enriched!$A$1:$AA$1070,14,falsE)</f>
        <v>level1</v>
      </c>
      <c r="CA719" s="13" t="str">
        <f>HYPERLINK("https%3A%2F%2Fwww.webofscience.com%2Fwos%2Fwoscc%2Ffull-record%2FWOS:000323871700006","View Full Record in Web of Science")</f>
        <v>View Full Record in Web of Science</v>
      </c>
    </row>
    <row r="720" ht="12.75" customHeight="1">
      <c r="A720" s="13" t="s">
        <v>5508</v>
      </c>
      <c r="B720" s="13" t="s">
        <v>18255</v>
      </c>
      <c r="C720" s="13" t="s">
        <v>5510</v>
      </c>
      <c r="D720" s="13" t="s">
        <v>5510</v>
      </c>
      <c r="E720" s="13" t="s">
        <v>5510</v>
      </c>
      <c r="F720" s="13" t="s">
        <v>18256</v>
      </c>
      <c r="G720" s="13" t="s">
        <v>5510</v>
      </c>
      <c r="H720" s="13" t="s">
        <v>5510</v>
      </c>
      <c r="I720" s="13" t="s">
        <v>789</v>
      </c>
      <c r="J720" s="13" t="s">
        <v>5919</v>
      </c>
      <c r="K720" s="13" t="s">
        <v>5510</v>
      </c>
      <c r="L720" s="13" t="s">
        <v>5510</v>
      </c>
      <c r="M720" s="13" t="s">
        <v>5513</v>
      </c>
      <c r="N720" s="13" t="s">
        <v>5514</v>
      </c>
      <c r="O720" s="13" t="s">
        <v>5510</v>
      </c>
      <c r="P720" s="13" t="s">
        <v>5510</v>
      </c>
      <c r="Q720" s="13" t="s">
        <v>5510</v>
      </c>
      <c r="R720" s="13" t="s">
        <v>5510</v>
      </c>
      <c r="S720" s="13" t="s">
        <v>5510</v>
      </c>
      <c r="T720" s="13" t="s">
        <v>18257</v>
      </c>
      <c r="U720" s="13" t="s">
        <v>18258</v>
      </c>
      <c r="V720" s="13" t="s">
        <v>18259</v>
      </c>
      <c r="W720" s="13" t="s">
        <v>18260</v>
      </c>
      <c r="X720" s="13" t="s">
        <v>18261</v>
      </c>
      <c r="Y720" s="13" t="s">
        <v>18262</v>
      </c>
      <c r="Z720" s="13" t="s">
        <v>18263</v>
      </c>
      <c r="AA720" s="13" t="s">
        <v>5510</v>
      </c>
      <c r="AB720" s="13" t="s">
        <v>5510</v>
      </c>
      <c r="AC720" s="13" t="s">
        <v>18264</v>
      </c>
      <c r="AD720" s="13" t="s">
        <v>18265</v>
      </c>
      <c r="AE720" s="13" t="s">
        <v>18266</v>
      </c>
      <c r="AF720" s="13" t="s">
        <v>5510</v>
      </c>
      <c r="AG720" s="13">
        <v>53.0</v>
      </c>
      <c r="AH720" s="13">
        <v>41.0</v>
      </c>
      <c r="AI720" s="13">
        <v>45.0</v>
      </c>
      <c r="AJ720" s="13">
        <v>0.0</v>
      </c>
      <c r="AK720" s="13">
        <v>75.0</v>
      </c>
      <c r="AL720" s="13" t="s">
        <v>5931</v>
      </c>
      <c r="AM720" s="13" t="s">
        <v>7486</v>
      </c>
      <c r="AN720" s="13" t="s">
        <v>7487</v>
      </c>
      <c r="AO720" s="13" t="s">
        <v>5934</v>
      </c>
      <c r="AP720" s="13" t="s">
        <v>5935</v>
      </c>
      <c r="AQ720" s="13" t="s">
        <v>5510</v>
      </c>
      <c r="AR720" s="13" t="s">
        <v>5936</v>
      </c>
      <c r="AS720" s="13" t="s">
        <v>5937</v>
      </c>
      <c r="AT720" s="13" t="s">
        <v>6828</v>
      </c>
      <c r="AU720" s="13">
        <v>2015.0</v>
      </c>
      <c r="AV720" s="13">
        <v>184.0</v>
      </c>
      <c r="AW720" s="13" t="s">
        <v>5510</v>
      </c>
      <c r="AX720" s="13" t="s">
        <v>5510</v>
      </c>
      <c r="AY720" s="13" t="s">
        <v>5510</v>
      </c>
      <c r="AZ720" s="13" t="s">
        <v>5510</v>
      </c>
      <c r="BA720" s="13" t="s">
        <v>5510</v>
      </c>
      <c r="BB720" s="13">
        <v>18.0</v>
      </c>
      <c r="BC720" s="13">
        <v>26.0</v>
      </c>
      <c r="BD720" s="13" t="s">
        <v>5510</v>
      </c>
      <c r="BE720" s="13" t="s">
        <v>18267</v>
      </c>
      <c r="BF720" s="52" t="str">
        <f>HYPERLINK("http://dx.doi.org/10.1016/j.biocon.2014.12.024","http://dx.doi.org/10.1016/j.biocon.2014.12.024")</f>
        <v>http://dx.doi.org/10.1016/j.biocon.2014.12.024</v>
      </c>
      <c r="BG720" s="13" t="s">
        <v>5510</v>
      </c>
      <c r="BH720" s="13" t="s">
        <v>5510</v>
      </c>
      <c r="BI720" s="13">
        <v>9.0</v>
      </c>
      <c r="BJ720" s="13" t="s">
        <v>5698</v>
      </c>
      <c r="BK720" s="13" t="s">
        <v>5561</v>
      </c>
      <c r="BL720" s="13" t="s">
        <v>5699</v>
      </c>
      <c r="BM720" s="13" t="s">
        <v>18268</v>
      </c>
      <c r="BN720" s="13" t="s">
        <v>5510</v>
      </c>
      <c r="BO720" s="13" t="s">
        <v>5510</v>
      </c>
      <c r="BP720" s="13" t="s">
        <v>5510</v>
      </c>
      <c r="BQ720" s="13" t="s">
        <v>5510</v>
      </c>
      <c r="BR720" s="13" t="s">
        <v>5538</v>
      </c>
      <c r="BS720" s="13" t="s">
        <v>18269</v>
      </c>
      <c r="BT720" s="13">
        <v>25308.0</v>
      </c>
      <c r="BU720" s="13" t="s">
        <v>5540</v>
      </c>
      <c r="BV720" s="13" t="s">
        <v>4856</v>
      </c>
      <c r="BW720" s="13" t="str">
        <f>VLOOKUP($BT720,Enriched!$A$2:$E$1070,5,false)</f>
        <v>["Biological resource use"]</v>
      </c>
      <c r="BX720" s="13" t="str">
        <f>VLOOKUP($BT720,Enriched!$A$2:$E$1070,4,false)</f>
        <v>["Hunting &amp; collecting terrestrial animals"]</v>
      </c>
      <c r="BY720" s="13" t="b">
        <f>VLOOKUP(BT720,Enriched!$A$1:$AA$1070,27,falsE)</f>
        <v>0</v>
      </c>
      <c r="BZ720" s="2" t="str">
        <f>VLOOKUP(BT720,Enriched!$A$1:$AA$1070,14,falsE)</f>
        <v>level2</v>
      </c>
      <c r="CA720" s="13" t="str">
        <f>HYPERLINK("https%3A%2F%2Fwww.webofscience.com%2Fwos%2Fwoscc%2Ffull-record%2FWOS:000353007200003","View Full Record in Web of Science")</f>
        <v>View Full Record in Web of Science</v>
      </c>
    </row>
    <row r="721" ht="12.75" customHeight="1">
      <c r="A721" s="13" t="s">
        <v>5508</v>
      </c>
      <c r="B721" s="13" t="s">
        <v>18270</v>
      </c>
      <c r="C721" s="13" t="s">
        <v>5510</v>
      </c>
      <c r="D721" s="13" t="s">
        <v>5510</v>
      </c>
      <c r="E721" s="13" t="s">
        <v>5510</v>
      </c>
      <c r="F721" s="13" t="s">
        <v>18271</v>
      </c>
      <c r="G721" s="13" t="s">
        <v>5510</v>
      </c>
      <c r="H721" s="13" t="s">
        <v>5510</v>
      </c>
      <c r="I721" s="13" t="s">
        <v>786</v>
      </c>
      <c r="J721" s="13" t="s">
        <v>6333</v>
      </c>
      <c r="K721" s="13" t="s">
        <v>5510</v>
      </c>
      <c r="L721" s="13" t="s">
        <v>5510</v>
      </c>
      <c r="M721" s="13" t="s">
        <v>5513</v>
      </c>
      <c r="N721" s="13" t="s">
        <v>5514</v>
      </c>
      <c r="O721" s="13" t="s">
        <v>5510</v>
      </c>
      <c r="P721" s="13" t="s">
        <v>5510</v>
      </c>
      <c r="Q721" s="13" t="s">
        <v>5510</v>
      </c>
      <c r="R721" s="13" t="s">
        <v>5510</v>
      </c>
      <c r="S721" s="13" t="s">
        <v>5510</v>
      </c>
      <c r="T721" s="13" t="s">
        <v>18272</v>
      </c>
      <c r="U721" s="13" t="s">
        <v>18273</v>
      </c>
      <c r="V721" s="13" t="s">
        <v>18274</v>
      </c>
      <c r="W721" s="13" t="s">
        <v>18275</v>
      </c>
      <c r="X721" s="13" t="s">
        <v>18276</v>
      </c>
      <c r="Y721" s="13" t="s">
        <v>18277</v>
      </c>
      <c r="Z721" s="13" t="s">
        <v>18278</v>
      </c>
      <c r="AA721" s="13" t="s">
        <v>18279</v>
      </c>
      <c r="AB721" s="13" t="s">
        <v>18280</v>
      </c>
      <c r="AC721" s="13" t="s">
        <v>18281</v>
      </c>
      <c r="AD721" s="13" t="s">
        <v>18282</v>
      </c>
      <c r="AE721" s="13" t="s">
        <v>18283</v>
      </c>
      <c r="AF721" s="13" t="s">
        <v>5510</v>
      </c>
      <c r="AG721" s="13">
        <v>57.0</v>
      </c>
      <c r="AH721" s="13">
        <v>175.0</v>
      </c>
      <c r="AI721" s="13">
        <v>200.0</v>
      </c>
      <c r="AJ721" s="13">
        <v>4.0</v>
      </c>
      <c r="AK721" s="13">
        <v>81.0</v>
      </c>
      <c r="AL721" s="13" t="s">
        <v>5527</v>
      </c>
      <c r="AM721" s="13" t="s">
        <v>5528</v>
      </c>
      <c r="AN721" s="13" t="s">
        <v>5529</v>
      </c>
      <c r="AO721" s="13" t="s">
        <v>6342</v>
      </c>
      <c r="AP721" s="13" t="s">
        <v>6343</v>
      </c>
      <c r="AQ721" s="13" t="s">
        <v>5510</v>
      </c>
      <c r="AR721" s="13" t="s">
        <v>6344</v>
      </c>
      <c r="AS721" s="13" t="s">
        <v>6345</v>
      </c>
      <c r="AT721" s="13" t="s">
        <v>5720</v>
      </c>
      <c r="AU721" s="13">
        <v>2009.0</v>
      </c>
      <c r="AV721" s="13">
        <v>23.0</v>
      </c>
      <c r="AW721" s="13">
        <v>3.0</v>
      </c>
      <c r="AX721" s="13" t="s">
        <v>5510</v>
      </c>
      <c r="AY721" s="13" t="s">
        <v>5510</v>
      </c>
      <c r="AZ721" s="13" t="s">
        <v>5510</v>
      </c>
      <c r="BA721" s="13" t="s">
        <v>5510</v>
      </c>
      <c r="BB721" s="13">
        <v>758.0</v>
      </c>
      <c r="BC721" s="13">
        <v>769.0</v>
      </c>
      <c r="BD721" s="13" t="s">
        <v>5510</v>
      </c>
      <c r="BE721" s="13" t="s">
        <v>18284</v>
      </c>
      <c r="BF721" s="52" t="str">
        <f>HYPERLINK("http://dx.doi.org/10.1111/j.1523-1739.2009.01223.x","http://dx.doi.org/10.1111/j.1523-1739.2009.01223.x")</f>
        <v>http://dx.doi.org/10.1111/j.1523-1739.2009.01223.x</v>
      </c>
      <c r="BG721" s="13" t="s">
        <v>5510</v>
      </c>
      <c r="BH721" s="13" t="s">
        <v>5510</v>
      </c>
      <c r="BI721" s="13">
        <v>12.0</v>
      </c>
      <c r="BJ721" s="13" t="s">
        <v>5698</v>
      </c>
      <c r="BK721" s="13" t="s">
        <v>5561</v>
      </c>
      <c r="BL721" s="13" t="s">
        <v>5699</v>
      </c>
      <c r="BM721" s="13" t="s">
        <v>18285</v>
      </c>
      <c r="BN721" s="13">
        <v>2.2748094E7</v>
      </c>
      <c r="BO721" s="13" t="s">
        <v>5809</v>
      </c>
      <c r="BP721" s="13" t="s">
        <v>5510</v>
      </c>
      <c r="BQ721" s="13" t="s">
        <v>5510</v>
      </c>
      <c r="BR721" s="13" t="s">
        <v>5538</v>
      </c>
      <c r="BS721" s="13" t="s">
        <v>18286</v>
      </c>
      <c r="BT721" s="13">
        <v>25714.0</v>
      </c>
      <c r="BU721" s="13" t="s">
        <v>5540</v>
      </c>
      <c r="BV721" s="13" t="s">
        <v>4856</v>
      </c>
      <c r="BW721" s="13" t="str">
        <f>VLOOKUP($BT721,Enriched!$A$2:$E$1070,5,false)</f>
        <v>["Natural System Modifications"]</v>
      </c>
      <c r="BX721" s="13" t="str">
        <f>VLOOKUP($BT721,Enriched!$A$2:$E$1070,4,false)</f>
        <v>["Fire &amp; fire suppression"]</v>
      </c>
      <c r="BY721" s="13" t="b">
        <f>VLOOKUP(BT721,Enriched!$A$1:$AA$1070,27,falsE)</f>
        <v>0</v>
      </c>
      <c r="BZ721" s="2" t="str">
        <f>VLOOKUP(BT721,Enriched!$A$1:$AA$1070,14,falsE)</f>
        <v>level2</v>
      </c>
      <c r="CA721" s="13" t="str">
        <f>HYPERLINK("https%3A%2F%2Fwww.webofscience.com%2Fwos%2Fwoscc%2Ffull-record%2FWOS:000266071200031","View Full Record in Web of Science")</f>
        <v>View Full Record in Web of Science</v>
      </c>
    </row>
    <row r="722" ht="12.75" customHeight="1">
      <c r="A722" s="13" t="s">
        <v>5508</v>
      </c>
      <c r="B722" s="13" t="s">
        <v>18287</v>
      </c>
      <c r="C722" s="13" t="s">
        <v>5510</v>
      </c>
      <c r="D722" s="13" t="s">
        <v>5510</v>
      </c>
      <c r="E722" s="13" t="s">
        <v>5510</v>
      </c>
      <c r="F722" s="13" t="s">
        <v>18288</v>
      </c>
      <c r="G722" s="13" t="s">
        <v>5510</v>
      </c>
      <c r="H722" s="13" t="s">
        <v>5510</v>
      </c>
      <c r="I722" s="13" t="s">
        <v>783</v>
      </c>
      <c r="J722" s="13" t="s">
        <v>5919</v>
      </c>
      <c r="K722" s="13" t="s">
        <v>5510</v>
      </c>
      <c r="L722" s="13" t="s">
        <v>5510</v>
      </c>
      <c r="M722" s="13" t="s">
        <v>5513</v>
      </c>
      <c r="N722" s="13" t="s">
        <v>5514</v>
      </c>
      <c r="O722" s="13" t="s">
        <v>5510</v>
      </c>
      <c r="P722" s="13" t="s">
        <v>5510</v>
      </c>
      <c r="Q722" s="13" t="s">
        <v>5510</v>
      </c>
      <c r="R722" s="13" t="s">
        <v>5510</v>
      </c>
      <c r="S722" s="13" t="s">
        <v>5510</v>
      </c>
      <c r="T722" s="13" t="s">
        <v>18289</v>
      </c>
      <c r="U722" s="13" t="s">
        <v>18290</v>
      </c>
      <c r="V722" s="13" t="s">
        <v>18291</v>
      </c>
      <c r="W722" s="13" t="s">
        <v>18292</v>
      </c>
      <c r="X722" s="13" t="s">
        <v>18293</v>
      </c>
      <c r="Y722" s="13" t="s">
        <v>18294</v>
      </c>
      <c r="Z722" s="13" t="s">
        <v>18295</v>
      </c>
      <c r="AA722" s="13" t="s">
        <v>18296</v>
      </c>
      <c r="AB722" s="13" t="s">
        <v>18297</v>
      </c>
      <c r="AC722" s="13" t="s">
        <v>18298</v>
      </c>
      <c r="AD722" s="13" t="s">
        <v>18299</v>
      </c>
      <c r="AE722" s="13" t="s">
        <v>18300</v>
      </c>
      <c r="AF722" s="13" t="s">
        <v>5510</v>
      </c>
      <c r="AG722" s="13">
        <v>40.0</v>
      </c>
      <c r="AH722" s="13">
        <v>24.0</v>
      </c>
      <c r="AI722" s="13">
        <v>24.0</v>
      </c>
      <c r="AJ722" s="13">
        <v>0.0</v>
      </c>
      <c r="AK722" s="13">
        <v>16.0</v>
      </c>
      <c r="AL722" s="13" t="s">
        <v>5931</v>
      </c>
      <c r="AM722" s="13" t="s">
        <v>7486</v>
      </c>
      <c r="AN722" s="13" t="s">
        <v>7487</v>
      </c>
      <c r="AO722" s="13" t="s">
        <v>5934</v>
      </c>
      <c r="AP722" s="13" t="s">
        <v>5935</v>
      </c>
      <c r="AQ722" s="13" t="s">
        <v>5510</v>
      </c>
      <c r="AR722" s="13" t="s">
        <v>5936</v>
      </c>
      <c r="AS722" s="13" t="s">
        <v>5937</v>
      </c>
      <c r="AT722" s="13" t="s">
        <v>6828</v>
      </c>
      <c r="AU722" s="13">
        <v>2018.0</v>
      </c>
      <c r="AV722" s="13">
        <v>220.0</v>
      </c>
      <c r="AW722" s="13" t="s">
        <v>5510</v>
      </c>
      <c r="AX722" s="13" t="s">
        <v>5510</v>
      </c>
      <c r="AY722" s="13" t="s">
        <v>5510</v>
      </c>
      <c r="AZ722" s="13" t="s">
        <v>5510</v>
      </c>
      <c r="BA722" s="13" t="s">
        <v>5510</v>
      </c>
      <c r="BB722" s="13">
        <v>60.0</v>
      </c>
      <c r="BC722" s="13">
        <v>66.0</v>
      </c>
      <c r="BD722" s="13" t="s">
        <v>5510</v>
      </c>
      <c r="BE722" s="13" t="s">
        <v>18301</v>
      </c>
      <c r="BF722" s="52" t="str">
        <f>HYPERLINK("http://dx.doi.org/10.1016/j.biocon.2018.02.005","http://dx.doi.org/10.1016/j.biocon.2018.02.005")</f>
        <v>http://dx.doi.org/10.1016/j.biocon.2018.02.005</v>
      </c>
      <c r="BG722" s="13" t="s">
        <v>5510</v>
      </c>
      <c r="BH722" s="13" t="s">
        <v>5510</v>
      </c>
      <c r="BI722" s="13">
        <v>7.0</v>
      </c>
      <c r="BJ722" s="13" t="s">
        <v>5698</v>
      </c>
      <c r="BK722" s="13" t="s">
        <v>5561</v>
      </c>
      <c r="BL722" s="13" t="s">
        <v>5699</v>
      </c>
      <c r="BM722" s="13" t="s">
        <v>18302</v>
      </c>
      <c r="BN722" s="13" t="s">
        <v>5510</v>
      </c>
      <c r="BO722" s="13" t="s">
        <v>6586</v>
      </c>
      <c r="BP722" s="13" t="s">
        <v>5510</v>
      </c>
      <c r="BQ722" s="13" t="s">
        <v>5510</v>
      </c>
      <c r="BR722" s="13" t="s">
        <v>5538</v>
      </c>
      <c r="BS722" s="13" t="s">
        <v>18303</v>
      </c>
      <c r="BT722" s="13">
        <v>24079.0</v>
      </c>
      <c r="BU722" s="13" t="s">
        <v>5540</v>
      </c>
      <c r="BV722" s="13" t="s">
        <v>4856</v>
      </c>
      <c r="BW722" s="13" t="str">
        <f>VLOOKUP($BT722,Enriched!$A$2:$E$1070,5,false)</f>
        <v>["Biological resource use"]</v>
      </c>
      <c r="BX722" s="13" t="str">
        <f>VLOOKUP($BT722,Enriched!$A$2:$E$1070,4,false)</f>
        <v>["Hunting &amp; collecting terrestrial animals"]</v>
      </c>
      <c r="BY722" s="13" t="b">
        <f>VLOOKUP(BT722,Enriched!$A$1:$AA$1070,27,falsE)</f>
        <v>0</v>
      </c>
      <c r="BZ722" s="2" t="str">
        <f>VLOOKUP(BT722,Enriched!$A$1:$AA$1070,14,falsE)</f>
        <v>cumulative</v>
      </c>
      <c r="CA722" s="13" t="str">
        <f>HYPERLINK("https%3A%2F%2Fwww.webofscience.com%2Fwos%2Fwoscc%2Ffull-record%2FWOS:000429765000007","View Full Record in Web of Science")</f>
        <v>View Full Record in Web of Science</v>
      </c>
    </row>
    <row r="723" ht="12.75" customHeight="1">
      <c r="A723" s="13" t="s">
        <v>5508</v>
      </c>
      <c r="B723" s="13" t="s">
        <v>18304</v>
      </c>
      <c r="C723" s="13" t="s">
        <v>5510</v>
      </c>
      <c r="D723" s="13" t="s">
        <v>5510</v>
      </c>
      <c r="E723" s="13" t="s">
        <v>5510</v>
      </c>
      <c r="F723" s="13" t="s">
        <v>18305</v>
      </c>
      <c r="G723" s="13" t="s">
        <v>5510</v>
      </c>
      <c r="H723" s="13" t="s">
        <v>5510</v>
      </c>
      <c r="I723" s="13" t="s">
        <v>779</v>
      </c>
      <c r="J723" s="13" t="s">
        <v>18306</v>
      </c>
      <c r="K723" s="13" t="s">
        <v>5510</v>
      </c>
      <c r="L723" s="13" t="s">
        <v>5510</v>
      </c>
      <c r="M723" s="13" t="s">
        <v>5513</v>
      </c>
      <c r="N723" s="13" t="s">
        <v>5514</v>
      </c>
      <c r="O723" s="13" t="s">
        <v>5510</v>
      </c>
      <c r="P723" s="13" t="s">
        <v>5510</v>
      </c>
      <c r="Q723" s="13" t="s">
        <v>5510</v>
      </c>
      <c r="R723" s="13" t="s">
        <v>5510</v>
      </c>
      <c r="S723" s="13" t="s">
        <v>5510</v>
      </c>
      <c r="T723" s="13" t="s">
        <v>18307</v>
      </c>
      <c r="U723" s="13" t="s">
        <v>18308</v>
      </c>
      <c r="V723" s="13" t="s">
        <v>18309</v>
      </c>
      <c r="W723" s="13" t="s">
        <v>18310</v>
      </c>
      <c r="X723" s="13" t="s">
        <v>18311</v>
      </c>
      <c r="Y723" s="13" t="s">
        <v>18312</v>
      </c>
      <c r="Z723" s="13" t="s">
        <v>18313</v>
      </c>
      <c r="AA723" s="13" t="s">
        <v>18314</v>
      </c>
      <c r="AB723" s="13" t="s">
        <v>18315</v>
      </c>
      <c r="AC723" s="13" t="s">
        <v>18316</v>
      </c>
      <c r="AD723" s="13" t="s">
        <v>18317</v>
      </c>
      <c r="AE723" s="13" t="s">
        <v>18318</v>
      </c>
      <c r="AF723" s="13" t="s">
        <v>5510</v>
      </c>
      <c r="AG723" s="13">
        <v>46.0</v>
      </c>
      <c r="AH723" s="13">
        <v>27.0</v>
      </c>
      <c r="AI723" s="13">
        <v>30.0</v>
      </c>
      <c r="AJ723" s="13">
        <v>2.0</v>
      </c>
      <c r="AK723" s="13">
        <v>46.0</v>
      </c>
      <c r="AL723" s="13" t="s">
        <v>18319</v>
      </c>
      <c r="AM723" s="13" t="s">
        <v>18320</v>
      </c>
      <c r="AN723" s="13" t="s">
        <v>18321</v>
      </c>
      <c r="AO723" s="13" t="s">
        <v>18322</v>
      </c>
      <c r="AP723" s="13" t="s">
        <v>18323</v>
      </c>
      <c r="AQ723" s="13" t="s">
        <v>5510</v>
      </c>
      <c r="AR723" s="13" t="s">
        <v>18306</v>
      </c>
      <c r="AS723" s="13" t="s">
        <v>18324</v>
      </c>
      <c r="AT723" s="13" t="s">
        <v>5582</v>
      </c>
      <c r="AU723" s="13">
        <v>2018.0</v>
      </c>
      <c r="AV723" s="13">
        <v>238.0</v>
      </c>
      <c r="AW723" s="13" t="s">
        <v>5510</v>
      </c>
      <c r="AX723" s="13" t="s">
        <v>5510</v>
      </c>
      <c r="AY723" s="13" t="s">
        <v>5510</v>
      </c>
      <c r="AZ723" s="13" t="s">
        <v>5646</v>
      </c>
      <c r="BA723" s="13" t="s">
        <v>5510</v>
      </c>
      <c r="BB723" s="13">
        <v>234.0</v>
      </c>
      <c r="BC723" s="13">
        <v>243.0</v>
      </c>
      <c r="BD723" s="13" t="s">
        <v>5510</v>
      </c>
      <c r="BE723" s="13" t="s">
        <v>18325</v>
      </c>
      <c r="BF723" s="52" t="str">
        <f>HYPERLINK("http://dx.doi.org/10.1016/j.flora.2017.03.007","http://dx.doi.org/10.1016/j.flora.2017.03.007")</f>
        <v>http://dx.doi.org/10.1016/j.flora.2017.03.007</v>
      </c>
      <c r="BG723" s="13" t="s">
        <v>5510</v>
      </c>
      <c r="BH723" s="13" t="s">
        <v>5510</v>
      </c>
      <c r="BI723" s="13">
        <v>10.0</v>
      </c>
      <c r="BJ723" s="13" t="s">
        <v>16112</v>
      </c>
      <c r="BK723" s="13" t="s">
        <v>5561</v>
      </c>
      <c r="BL723" s="13" t="s">
        <v>16113</v>
      </c>
      <c r="BM723" s="13" t="s">
        <v>18326</v>
      </c>
      <c r="BN723" s="13" t="s">
        <v>5510</v>
      </c>
      <c r="BO723" s="13" t="s">
        <v>5510</v>
      </c>
      <c r="BP723" s="13" t="s">
        <v>5510</v>
      </c>
      <c r="BQ723" s="13" t="s">
        <v>5510</v>
      </c>
      <c r="BR723" s="13" t="s">
        <v>5538</v>
      </c>
      <c r="BS723" s="13" t="s">
        <v>18327</v>
      </c>
      <c r="BT723" s="13">
        <v>24847.0</v>
      </c>
      <c r="BU723" s="13" t="s">
        <v>5540</v>
      </c>
      <c r="BV723" s="13" t="s">
        <v>4856</v>
      </c>
      <c r="BW723" s="13" t="str">
        <f>VLOOKUP($BT723,Enriched!$A$2:$E$1070,5,false)</f>
        <v>["Agriculture &amp; Aquaculture", "Energy Production &amp; Mining"]</v>
      </c>
      <c r="BX723" s="13" t="str">
        <f>VLOOKUP($BT723,Enriched!$A$2:$E$1070,4,false)</f>
        <v>["Annual &amp; perennial non-timber crops", "Livestock farming &amp; ranching", "Mining &amp; quarrying"]</v>
      </c>
      <c r="BY723" s="13" t="b">
        <f>VLOOKUP(BT723,Enriched!$A$1:$AA$1070,27,falsE)</f>
        <v>0</v>
      </c>
      <c r="BZ723" s="2" t="str">
        <f>VLOOKUP(BT723,Enriched!$A$1:$AA$1070,14,falsE)</f>
        <v>level2</v>
      </c>
      <c r="CA723" s="13" t="str">
        <f>HYPERLINK("https%3A%2F%2Fwww.webofscience.com%2Fwos%2Fwoscc%2Ffull-record%2FWOS:000426451700027","View Full Record in Web of Science")</f>
        <v>View Full Record in Web of Science</v>
      </c>
    </row>
    <row r="724" ht="12.75" customHeight="1">
      <c r="A724" s="13" t="s">
        <v>5508</v>
      </c>
      <c r="B724" s="13" t="s">
        <v>18328</v>
      </c>
      <c r="C724" s="13" t="s">
        <v>5510</v>
      </c>
      <c r="D724" s="13" t="s">
        <v>5510</v>
      </c>
      <c r="E724" s="13" t="s">
        <v>5510</v>
      </c>
      <c r="F724" s="13" t="s">
        <v>18329</v>
      </c>
      <c r="G724" s="13" t="s">
        <v>5510</v>
      </c>
      <c r="H724" s="13" t="s">
        <v>5510</v>
      </c>
      <c r="I724" s="13" t="s">
        <v>776</v>
      </c>
      <c r="J724" s="13" t="s">
        <v>7648</v>
      </c>
      <c r="K724" s="13" t="s">
        <v>5510</v>
      </c>
      <c r="L724" s="13" t="s">
        <v>5510</v>
      </c>
      <c r="M724" s="13" t="s">
        <v>5513</v>
      </c>
      <c r="N724" s="13" t="s">
        <v>5514</v>
      </c>
      <c r="O724" s="13" t="s">
        <v>5510</v>
      </c>
      <c r="P724" s="13" t="s">
        <v>5510</v>
      </c>
      <c r="Q724" s="13" t="s">
        <v>5510</v>
      </c>
      <c r="R724" s="13" t="s">
        <v>5510</v>
      </c>
      <c r="S724" s="13" t="s">
        <v>5510</v>
      </c>
      <c r="T724" s="13" t="s">
        <v>18330</v>
      </c>
      <c r="U724" s="13" t="s">
        <v>18331</v>
      </c>
      <c r="V724" s="13" t="s">
        <v>18332</v>
      </c>
      <c r="W724" s="13" t="s">
        <v>18333</v>
      </c>
      <c r="X724" s="13" t="s">
        <v>5510</v>
      </c>
      <c r="Y724" s="13" t="s">
        <v>18334</v>
      </c>
      <c r="Z724" s="13" t="s">
        <v>18335</v>
      </c>
      <c r="AA724" s="13" t="s">
        <v>18336</v>
      </c>
      <c r="AB724" s="13" t="s">
        <v>18337</v>
      </c>
      <c r="AC724" s="13" t="s">
        <v>5510</v>
      </c>
      <c r="AD724" s="13" t="s">
        <v>5510</v>
      </c>
      <c r="AE724" s="13" t="s">
        <v>5510</v>
      </c>
      <c r="AF724" s="13" t="s">
        <v>5510</v>
      </c>
      <c r="AG724" s="13">
        <v>54.0</v>
      </c>
      <c r="AH724" s="13">
        <v>17.0</v>
      </c>
      <c r="AI724" s="13">
        <v>17.0</v>
      </c>
      <c r="AJ724" s="13">
        <v>1.0</v>
      </c>
      <c r="AK724" s="13">
        <v>17.0</v>
      </c>
      <c r="AL724" s="13" t="s">
        <v>5690</v>
      </c>
      <c r="AM724" s="13" t="s">
        <v>5691</v>
      </c>
      <c r="AN724" s="13" t="s">
        <v>5692</v>
      </c>
      <c r="AO724" s="13" t="s">
        <v>7661</v>
      </c>
      <c r="AP724" s="13" t="s">
        <v>7662</v>
      </c>
      <c r="AQ724" s="13" t="s">
        <v>5510</v>
      </c>
      <c r="AR724" s="13" t="s">
        <v>7648</v>
      </c>
      <c r="AS724" s="13" t="s">
        <v>422</v>
      </c>
      <c r="AT724" s="13" t="s">
        <v>2514</v>
      </c>
      <c r="AU724" s="13">
        <v>2020.0</v>
      </c>
      <c r="AV724" s="13">
        <v>49.0</v>
      </c>
      <c r="AW724" s="13">
        <v>10.0</v>
      </c>
      <c r="AX724" s="13" t="s">
        <v>5510</v>
      </c>
      <c r="AY724" s="13" t="s">
        <v>5510</v>
      </c>
      <c r="AZ724" s="13" t="s">
        <v>5510</v>
      </c>
      <c r="BA724" s="13" t="s">
        <v>5510</v>
      </c>
      <c r="BB724" s="13">
        <v>1629.0</v>
      </c>
      <c r="BC724" s="13">
        <v>1638.0</v>
      </c>
      <c r="BD724" s="13" t="s">
        <v>5510</v>
      </c>
      <c r="BE724" s="13" t="s">
        <v>18338</v>
      </c>
      <c r="BF724" s="52" t="str">
        <f>HYPERLINK("http://dx.doi.org/10.1007/s13280-020-01326-8","http://dx.doi.org/10.1007/s13280-020-01326-8")</f>
        <v>http://dx.doi.org/10.1007/s13280-020-01326-8</v>
      </c>
      <c r="BG724" s="13" t="s">
        <v>5510</v>
      </c>
      <c r="BH724" s="13" t="s">
        <v>6462</v>
      </c>
      <c r="BI724" s="13">
        <v>10.0</v>
      </c>
      <c r="BJ724" s="13" t="s">
        <v>7664</v>
      </c>
      <c r="BK724" s="13" t="s">
        <v>5561</v>
      </c>
      <c r="BL724" s="13" t="s">
        <v>7665</v>
      </c>
      <c r="BM724" s="13" t="s">
        <v>18339</v>
      </c>
      <c r="BN724" s="13">
        <v>3.2180171E7</v>
      </c>
      <c r="BO724" s="13" t="s">
        <v>6623</v>
      </c>
      <c r="BP724" s="13" t="s">
        <v>5510</v>
      </c>
      <c r="BQ724" s="13" t="s">
        <v>5510</v>
      </c>
      <c r="BR724" s="13" t="s">
        <v>5538</v>
      </c>
      <c r="BS724" s="13" t="s">
        <v>18340</v>
      </c>
      <c r="BT724" s="13">
        <v>24345.0</v>
      </c>
      <c r="BU724" s="13" t="s">
        <v>5540</v>
      </c>
      <c r="BV724" s="13" t="s">
        <v>4852</v>
      </c>
      <c r="BW724" s="13" t="str">
        <f>VLOOKUP($BT724,Enriched!$A$2:$E$1070,5,false)</f>
        <v>["Pollution"]</v>
      </c>
      <c r="BX724" s="13" t="str">
        <f>VLOOKUP($BT724,Enriched!$A$2:$E$1070,4,false)</f>
        <v>["Industrial &amp; military effluents"]</v>
      </c>
      <c r="BY724" s="13" t="b">
        <f>VLOOKUP(BT724,Enriched!$A$1:$AA$1070,27,falsE)</f>
        <v>0</v>
      </c>
      <c r="BZ724" s="2" t="str">
        <f>VLOOKUP(BT724,Enriched!$A$1:$AA$1070,14,falsE)</f>
        <v>level2</v>
      </c>
      <c r="CA724" s="13" t="str">
        <f>HYPERLINK("https%3A%2F%2Fwww.webofscience.com%2Fwos%2Fwoscc%2Ffull-record%2FWOS:000520682400001","View Full Record in Web of Science")</f>
        <v>View Full Record in Web of Science</v>
      </c>
    </row>
    <row r="725" ht="12.75" customHeight="1">
      <c r="A725" s="13" t="s">
        <v>5508</v>
      </c>
      <c r="B725" s="13" t="s">
        <v>18341</v>
      </c>
      <c r="C725" s="13" t="s">
        <v>5510</v>
      </c>
      <c r="D725" s="13" t="s">
        <v>5510</v>
      </c>
      <c r="E725" s="13" t="s">
        <v>5510</v>
      </c>
      <c r="F725" s="13" t="s">
        <v>18341</v>
      </c>
      <c r="G725" s="13" t="s">
        <v>5510</v>
      </c>
      <c r="H725" s="13" t="s">
        <v>5510</v>
      </c>
      <c r="I725" s="13" t="s">
        <v>18342</v>
      </c>
      <c r="J725" s="13" t="s">
        <v>18343</v>
      </c>
      <c r="K725" s="13" t="s">
        <v>5510</v>
      </c>
      <c r="L725" s="13" t="s">
        <v>5510</v>
      </c>
      <c r="M725" s="13" t="s">
        <v>5513</v>
      </c>
      <c r="N725" s="13" t="s">
        <v>5514</v>
      </c>
      <c r="O725" s="13" t="s">
        <v>5510</v>
      </c>
      <c r="P725" s="13" t="s">
        <v>5510</v>
      </c>
      <c r="Q725" s="13" t="s">
        <v>5510</v>
      </c>
      <c r="R725" s="13" t="s">
        <v>5510</v>
      </c>
      <c r="S725" s="13" t="s">
        <v>5510</v>
      </c>
      <c r="T725" s="13" t="s">
        <v>5510</v>
      </c>
      <c r="U725" s="13" t="s">
        <v>5510</v>
      </c>
      <c r="V725" s="13" t="s">
        <v>18344</v>
      </c>
      <c r="W725" s="13" t="s">
        <v>18345</v>
      </c>
      <c r="X725" s="13" t="s">
        <v>18346</v>
      </c>
      <c r="Y725" s="13" t="s">
        <v>18347</v>
      </c>
      <c r="Z725" s="13" t="s">
        <v>18348</v>
      </c>
      <c r="AA725" s="13" t="s">
        <v>18349</v>
      </c>
      <c r="AB725" s="13" t="s">
        <v>5510</v>
      </c>
      <c r="AC725" s="13" t="s">
        <v>5510</v>
      </c>
      <c r="AD725" s="13" t="s">
        <v>5510</v>
      </c>
      <c r="AE725" s="13" t="s">
        <v>5510</v>
      </c>
      <c r="AF725" s="13" t="s">
        <v>5510</v>
      </c>
      <c r="AG725" s="13">
        <v>30.0</v>
      </c>
      <c r="AH725" s="13">
        <v>16.0</v>
      </c>
      <c r="AI725" s="13">
        <v>17.0</v>
      </c>
      <c r="AJ725" s="13">
        <v>0.0</v>
      </c>
      <c r="AK725" s="13">
        <v>23.0</v>
      </c>
      <c r="AL725" s="13" t="s">
        <v>13078</v>
      </c>
      <c r="AM725" s="13" t="s">
        <v>13079</v>
      </c>
      <c r="AN725" s="13" t="s">
        <v>13080</v>
      </c>
      <c r="AO725" s="13" t="s">
        <v>18350</v>
      </c>
      <c r="AP725" s="13" t="s">
        <v>5510</v>
      </c>
      <c r="AQ725" s="13" t="s">
        <v>5510</v>
      </c>
      <c r="AR725" s="13" t="s">
        <v>18351</v>
      </c>
      <c r="AS725" s="13" t="s">
        <v>18352</v>
      </c>
      <c r="AT725" s="13" t="s">
        <v>11272</v>
      </c>
      <c r="AU725" s="13">
        <v>2002.0</v>
      </c>
      <c r="AV725" s="13">
        <v>82.0</v>
      </c>
      <c r="AW725" s="13">
        <v>8.0</v>
      </c>
      <c r="AX725" s="13" t="s">
        <v>5510</v>
      </c>
      <c r="AY725" s="13" t="s">
        <v>5510</v>
      </c>
      <c r="AZ725" s="13" t="s">
        <v>5510</v>
      </c>
      <c r="BA725" s="13" t="s">
        <v>5510</v>
      </c>
      <c r="BB725" s="13">
        <v>1022.0</v>
      </c>
      <c r="BC725" s="13">
        <v>1033.0</v>
      </c>
      <c r="BD725" s="13" t="s">
        <v>5510</v>
      </c>
      <c r="BE725" s="13" t="str">
        <f>#REF!</f>
        <v>#REF!</v>
      </c>
      <c r="BF725" s="13" t="s">
        <v>5510</v>
      </c>
      <c r="BG725" s="13" t="s">
        <v>5510</v>
      </c>
      <c r="BH725" s="13" t="s">
        <v>5510</v>
      </c>
      <c r="BI725" s="13">
        <v>12.0</v>
      </c>
      <c r="BJ725" s="13" t="s">
        <v>5560</v>
      </c>
      <c r="BK725" s="13" t="s">
        <v>5561</v>
      </c>
      <c r="BL725" s="13" t="s">
        <v>5562</v>
      </c>
      <c r="BM725" s="13" t="s">
        <v>18353</v>
      </c>
      <c r="BN725" s="13" t="s">
        <v>5510</v>
      </c>
      <c r="BO725" s="13" t="s">
        <v>5510</v>
      </c>
      <c r="BP725" s="13" t="s">
        <v>5510</v>
      </c>
      <c r="BQ725" s="13" t="s">
        <v>5510</v>
      </c>
      <c r="BR725" s="13" t="s">
        <v>5538</v>
      </c>
      <c r="BS725" s="13" t="s">
        <v>18354</v>
      </c>
      <c r="BT725" s="13">
        <v>25904.0</v>
      </c>
      <c r="BU725" s="13" t="s">
        <v>5540</v>
      </c>
      <c r="BV725" s="13" t="s">
        <v>4856</v>
      </c>
      <c r="BW725" s="13" t="str">
        <f>VLOOKUP($BT725,Enriched!$A$2:$E$1070,5,false)</f>
        <v>["Residential &amp; commercial development", "Agriculture &amp; aquaculture"]</v>
      </c>
      <c r="BX725" s="13" t="str">
        <f>VLOOKUP($BT725,Enriched!$A$2:$E$1070,4,false)</f>
        <v/>
      </c>
      <c r="BY725" s="13" t="b">
        <f>VLOOKUP(BT725,Enriched!$A$1:$AA$1070,27,falsE)</f>
        <v>1</v>
      </c>
      <c r="BZ725" s="2" t="str">
        <f>VLOOKUP(BT725,Enriched!$A$1:$AA$1070,14,falsE)</f>
        <v>cumulative</v>
      </c>
      <c r="CA725" s="13" t="str">
        <f>HYPERLINK("https%3A%2F%2Fwww.webofscience.com%2Fwos%2Fwoscc%2Ffull-record%2FWOS:000175411900026","View Full Record in Web of Science")</f>
        <v>View Full Record in Web of Science</v>
      </c>
    </row>
    <row r="726" ht="12.75" customHeight="1">
      <c r="A726" s="13" t="s">
        <v>5508</v>
      </c>
      <c r="B726" s="13" t="s">
        <v>18355</v>
      </c>
      <c r="C726" s="13" t="s">
        <v>5510</v>
      </c>
      <c r="D726" s="13" t="s">
        <v>5510</v>
      </c>
      <c r="E726" s="13" t="s">
        <v>5510</v>
      </c>
      <c r="F726" s="13" t="s">
        <v>18356</v>
      </c>
      <c r="G726" s="13" t="s">
        <v>5510</v>
      </c>
      <c r="H726" s="13" t="s">
        <v>5510</v>
      </c>
      <c r="I726" s="13" t="s">
        <v>768</v>
      </c>
      <c r="J726" s="13" t="s">
        <v>6008</v>
      </c>
      <c r="K726" s="13" t="s">
        <v>5510</v>
      </c>
      <c r="L726" s="13" t="s">
        <v>5510</v>
      </c>
      <c r="M726" s="13" t="s">
        <v>5513</v>
      </c>
      <c r="N726" s="13" t="s">
        <v>5514</v>
      </c>
      <c r="O726" s="13" t="s">
        <v>5510</v>
      </c>
      <c r="P726" s="13" t="s">
        <v>5510</v>
      </c>
      <c r="Q726" s="13" t="s">
        <v>5510</v>
      </c>
      <c r="R726" s="13" t="s">
        <v>5510</v>
      </c>
      <c r="S726" s="13" t="s">
        <v>5510</v>
      </c>
      <c r="T726" s="13" t="s">
        <v>18357</v>
      </c>
      <c r="U726" s="13" t="s">
        <v>18358</v>
      </c>
      <c r="V726" s="13" t="s">
        <v>18359</v>
      </c>
      <c r="W726" s="13" t="s">
        <v>18360</v>
      </c>
      <c r="X726" s="13" t="s">
        <v>18361</v>
      </c>
      <c r="Y726" s="13" t="s">
        <v>18362</v>
      </c>
      <c r="Z726" s="13" t="s">
        <v>18363</v>
      </c>
      <c r="AA726" s="13" t="s">
        <v>18364</v>
      </c>
      <c r="AB726" s="13" t="s">
        <v>18365</v>
      </c>
      <c r="AC726" s="13" t="s">
        <v>18366</v>
      </c>
      <c r="AD726" s="13" t="s">
        <v>18367</v>
      </c>
      <c r="AE726" s="13" t="s">
        <v>18368</v>
      </c>
      <c r="AF726" s="13" t="s">
        <v>5510</v>
      </c>
      <c r="AG726" s="13">
        <v>68.0</v>
      </c>
      <c r="AH726" s="13">
        <v>53.0</v>
      </c>
      <c r="AI726" s="13">
        <v>64.0</v>
      </c>
      <c r="AJ726" s="13">
        <v>3.0</v>
      </c>
      <c r="AK726" s="13">
        <v>141.0</v>
      </c>
      <c r="AL726" s="13" t="s">
        <v>5527</v>
      </c>
      <c r="AM726" s="13" t="s">
        <v>5528</v>
      </c>
      <c r="AN726" s="13" t="s">
        <v>5529</v>
      </c>
      <c r="AO726" s="13" t="s">
        <v>6020</v>
      </c>
      <c r="AP726" s="13" t="s">
        <v>6021</v>
      </c>
      <c r="AQ726" s="13" t="s">
        <v>5510</v>
      </c>
      <c r="AR726" s="13" t="s">
        <v>6022</v>
      </c>
      <c r="AS726" s="13" t="s">
        <v>6023</v>
      </c>
      <c r="AT726" s="13" t="s">
        <v>5978</v>
      </c>
      <c r="AU726" s="13">
        <v>2016.0</v>
      </c>
      <c r="AV726" s="13">
        <v>26.0</v>
      </c>
      <c r="AW726" s="13">
        <v>8.0</v>
      </c>
      <c r="AX726" s="13" t="s">
        <v>5510</v>
      </c>
      <c r="AY726" s="13" t="s">
        <v>5510</v>
      </c>
      <c r="AZ726" s="13" t="s">
        <v>5510</v>
      </c>
      <c r="BA726" s="13" t="s">
        <v>5510</v>
      </c>
      <c r="BB726" s="13">
        <v>2706.0</v>
      </c>
      <c r="BC726" s="13">
        <v>2717.0</v>
      </c>
      <c r="BD726" s="13" t="s">
        <v>5510</v>
      </c>
      <c r="BE726" s="13" t="s">
        <v>18369</v>
      </c>
      <c r="BF726" s="52" t="str">
        <f>HYPERLINK("http://dx.doi.org/10.1002/eap.1386","http://dx.doi.org/10.1002/eap.1386")</f>
        <v>http://dx.doi.org/10.1002/eap.1386</v>
      </c>
      <c r="BG726" s="13" t="s">
        <v>5510</v>
      </c>
      <c r="BH726" s="13" t="s">
        <v>5510</v>
      </c>
      <c r="BI726" s="13">
        <v>12.0</v>
      </c>
      <c r="BJ726" s="13" t="s">
        <v>6026</v>
      </c>
      <c r="BK726" s="13" t="s">
        <v>5561</v>
      </c>
      <c r="BL726" s="13" t="s">
        <v>5535</v>
      </c>
      <c r="BM726" s="13" t="s">
        <v>18370</v>
      </c>
      <c r="BN726" s="13">
        <v>2.7907265E7</v>
      </c>
      <c r="BO726" s="13" t="s">
        <v>5510</v>
      </c>
      <c r="BP726" s="13" t="s">
        <v>5510</v>
      </c>
      <c r="BQ726" s="13" t="s">
        <v>5510</v>
      </c>
      <c r="BR726" s="13" t="s">
        <v>5538</v>
      </c>
      <c r="BS726" s="13" t="s">
        <v>18371</v>
      </c>
      <c r="BT726" s="13">
        <v>23953.0</v>
      </c>
      <c r="BU726" s="13" t="s">
        <v>5540</v>
      </c>
      <c r="BV726" s="13" t="s">
        <v>4855</v>
      </c>
      <c r="BW726" s="13" t="str">
        <f>VLOOKUP($BT726,Enriched!$A$2:$E$1070,5,false)</f>
        <v>["Residential &amp; commercial development", "Pollution"]</v>
      </c>
      <c r="BX726" s="13" t="str">
        <f>VLOOKUP($BT726,Enriched!$A$2:$E$1070,4,false)</f>
        <v>["Housing &amp; urban area", "Excess energy"]</v>
      </c>
      <c r="BY726" s="13" t="b">
        <f>VLOOKUP(BT726,Enriched!$A$1:$AA$1070,27,falsE)</f>
        <v>0</v>
      </c>
      <c r="BZ726" s="2" t="str">
        <f>VLOOKUP(BT726,Enriched!$A$1:$AA$1070,14,falsE)</f>
        <v>level2</v>
      </c>
      <c r="CA726" s="13" t="str">
        <f>HYPERLINK("https%3A%2F%2Fwww.webofscience.com%2Fwos%2Fwoscc%2Ffull-record%2FWOS:000389316400027","View Full Record in Web of Science")</f>
        <v>View Full Record in Web of Science</v>
      </c>
    </row>
    <row r="727" ht="12.75" customHeight="1">
      <c r="A727" s="13" t="s">
        <v>5508</v>
      </c>
      <c r="B727" s="13" t="s">
        <v>18372</v>
      </c>
      <c r="C727" s="13" t="s">
        <v>5510</v>
      </c>
      <c r="D727" s="13" t="s">
        <v>5510</v>
      </c>
      <c r="E727" s="13" t="s">
        <v>5510</v>
      </c>
      <c r="F727" s="13" t="s">
        <v>18373</v>
      </c>
      <c r="G727" s="13" t="s">
        <v>5510</v>
      </c>
      <c r="H727" s="13" t="s">
        <v>5510</v>
      </c>
      <c r="I727" s="13" t="s">
        <v>18374</v>
      </c>
      <c r="J727" s="13" t="s">
        <v>6333</v>
      </c>
      <c r="K727" s="13" t="s">
        <v>5510</v>
      </c>
      <c r="L727" s="13" t="s">
        <v>5510</v>
      </c>
      <c r="M727" s="13" t="s">
        <v>5513</v>
      </c>
      <c r="N727" s="13" t="s">
        <v>5514</v>
      </c>
      <c r="O727" s="13" t="s">
        <v>5510</v>
      </c>
      <c r="P727" s="13" t="s">
        <v>5510</v>
      </c>
      <c r="Q727" s="13" t="s">
        <v>5510</v>
      </c>
      <c r="R727" s="13" t="s">
        <v>5510</v>
      </c>
      <c r="S727" s="13" t="s">
        <v>5510</v>
      </c>
      <c r="T727" s="13" t="s">
        <v>18375</v>
      </c>
      <c r="U727" s="13" t="s">
        <v>18376</v>
      </c>
      <c r="V727" s="13" t="s">
        <v>18377</v>
      </c>
      <c r="W727" s="13" t="s">
        <v>18378</v>
      </c>
      <c r="X727" s="13" t="s">
        <v>18379</v>
      </c>
      <c r="Y727" s="13" t="s">
        <v>18380</v>
      </c>
      <c r="Z727" s="13" t="s">
        <v>6909</v>
      </c>
      <c r="AA727" s="13" t="s">
        <v>18381</v>
      </c>
      <c r="AB727" s="13" t="s">
        <v>18382</v>
      </c>
      <c r="AC727" s="13" t="s">
        <v>18383</v>
      </c>
      <c r="AD727" s="13" t="s">
        <v>18384</v>
      </c>
      <c r="AE727" s="13" t="s">
        <v>18385</v>
      </c>
      <c r="AF727" s="13" t="s">
        <v>5510</v>
      </c>
      <c r="AG727" s="13">
        <v>61.0</v>
      </c>
      <c r="AH727" s="13">
        <v>54.0</v>
      </c>
      <c r="AI727" s="13">
        <v>60.0</v>
      </c>
      <c r="AJ727" s="13">
        <v>3.0</v>
      </c>
      <c r="AK727" s="13">
        <v>144.0</v>
      </c>
      <c r="AL727" s="13" t="s">
        <v>5527</v>
      </c>
      <c r="AM727" s="13" t="s">
        <v>5528</v>
      </c>
      <c r="AN727" s="13" t="s">
        <v>5529</v>
      </c>
      <c r="AO727" s="13" t="s">
        <v>6342</v>
      </c>
      <c r="AP727" s="13" t="s">
        <v>6343</v>
      </c>
      <c r="AQ727" s="13" t="s">
        <v>5510</v>
      </c>
      <c r="AR727" s="13" t="s">
        <v>6344</v>
      </c>
      <c r="AS727" s="13" t="s">
        <v>6345</v>
      </c>
      <c r="AT727" s="13" t="s">
        <v>6175</v>
      </c>
      <c r="AU727" s="13">
        <v>2013.0</v>
      </c>
      <c r="AV727" s="13">
        <v>27.0</v>
      </c>
      <c r="AW727" s="13">
        <v>4.0</v>
      </c>
      <c r="AX727" s="13" t="s">
        <v>5510</v>
      </c>
      <c r="AY727" s="13" t="s">
        <v>5510</v>
      </c>
      <c r="AZ727" s="13" t="s">
        <v>5510</v>
      </c>
      <c r="BA727" s="13" t="s">
        <v>5510</v>
      </c>
      <c r="BB727" s="13">
        <v>808.0</v>
      </c>
      <c r="BC727" s="13">
        <v>820.0</v>
      </c>
      <c r="BD727" s="13" t="s">
        <v>5510</v>
      </c>
      <c r="BE727" s="13" t="s">
        <v>18386</v>
      </c>
      <c r="BF727" s="52" t="str">
        <f>HYPERLINK("http://dx.doi.org/10.1111/cobi.12048","http://dx.doi.org/10.1111/cobi.12048")</f>
        <v>http://dx.doi.org/10.1111/cobi.12048</v>
      </c>
      <c r="BG727" s="13" t="s">
        <v>5510</v>
      </c>
      <c r="BH727" s="13" t="s">
        <v>5510</v>
      </c>
      <c r="BI727" s="13">
        <v>13.0</v>
      </c>
      <c r="BJ727" s="13" t="s">
        <v>5698</v>
      </c>
      <c r="BK727" s="13" t="s">
        <v>5561</v>
      </c>
      <c r="BL727" s="13" t="s">
        <v>5699</v>
      </c>
      <c r="BM727" s="13" t="s">
        <v>18387</v>
      </c>
      <c r="BN727" s="13">
        <v>2.3565917E7</v>
      </c>
      <c r="BO727" s="13" t="s">
        <v>5510</v>
      </c>
      <c r="BP727" s="13" t="s">
        <v>5510</v>
      </c>
      <c r="BQ727" s="13" t="s">
        <v>5510</v>
      </c>
      <c r="BR727" s="13" t="s">
        <v>5538</v>
      </c>
      <c r="BS727" s="13" t="s">
        <v>18388</v>
      </c>
      <c r="BT727" s="13">
        <v>23728.0</v>
      </c>
      <c r="BU727" s="13" t="s">
        <v>5540</v>
      </c>
      <c r="BV727" s="13" t="s">
        <v>4856</v>
      </c>
      <c r="BW727" s="13" t="str">
        <f>VLOOKUP($BT727,Enriched!$A$2:$E$1070,5,false)</f>
        <v>["Agriculture &amp; Aquaculture", "Energy Production &amp; Mining"]</v>
      </c>
      <c r="BX727" s="13" t="str">
        <f>VLOOKUP($BT727,Enriched!$A$2:$E$1070,4,false)</f>
        <v>["Annual &amp; perennial non-timber crops", "Wood &amp; pulp plantations", "Mining &amp; quarrying"]</v>
      </c>
      <c r="BY727" s="13" t="b">
        <f>VLOOKUP(BT727,Enriched!$A$1:$AA$1070,27,falsE)</f>
        <v>0</v>
      </c>
      <c r="BZ727" s="2" t="str">
        <f>VLOOKUP(BT727,Enriched!$A$1:$AA$1070,14,falsE)</f>
        <v>level2</v>
      </c>
      <c r="CA727" s="13" t="str">
        <f>HYPERLINK("https%3A%2F%2Fwww.webofscience.com%2Fwos%2Fwoscc%2Ffull-record%2FWOS:000321980800018","View Full Record in Web of Science")</f>
        <v>View Full Record in Web of Science</v>
      </c>
    </row>
    <row r="728" ht="12.75" customHeight="1">
      <c r="A728" s="13" t="s">
        <v>5508</v>
      </c>
      <c r="B728" s="13" t="s">
        <v>18389</v>
      </c>
      <c r="C728" s="13" t="s">
        <v>5510</v>
      </c>
      <c r="D728" s="13" t="s">
        <v>5510</v>
      </c>
      <c r="E728" s="13" t="s">
        <v>5510</v>
      </c>
      <c r="F728" s="13" t="s">
        <v>18390</v>
      </c>
      <c r="G728" s="13" t="s">
        <v>5510</v>
      </c>
      <c r="H728" s="13" t="s">
        <v>5510</v>
      </c>
      <c r="I728" s="13" t="s">
        <v>18391</v>
      </c>
      <c r="J728" s="13" t="s">
        <v>6627</v>
      </c>
      <c r="K728" s="13" t="s">
        <v>5510</v>
      </c>
      <c r="L728" s="13" t="s">
        <v>5510</v>
      </c>
      <c r="M728" s="13" t="s">
        <v>5513</v>
      </c>
      <c r="N728" s="13" t="s">
        <v>5514</v>
      </c>
      <c r="O728" s="13" t="s">
        <v>5510</v>
      </c>
      <c r="P728" s="13" t="s">
        <v>5510</v>
      </c>
      <c r="Q728" s="13" t="s">
        <v>5510</v>
      </c>
      <c r="R728" s="13" t="s">
        <v>5510</v>
      </c>
      <c r="S728" s="13" t="s">
        <v>5510</v>
      </c>
      <c r="T728" s="13" t="s">
        <v>18392</v>
      </c>
      <c r="U728" s="13" t="s">
        <v>18393</v>
      </c>
      <c r="V728" s="13" t="s">
        <v>18394</v>
      </c>
      <c r="W728" s="13" t="s">
        <v>18395</v>
      </c>
      <c r="X728" s="13" t="s">
        <v>18396</v>
      </c>
      <c r="Y728" s="13" t="s">
        <v>18397</v>
      </c>
      <c r="Z728" s="13" t="s">
        <v>18398</v>
      </c>
      <c r="AA728" s="13" t="s">
        <v>18399</v>
      </c>
      <c r="AB728" s="13" t="s">
        <v>18400</v>
      </c>
      <c r="AC728" s="13" t="s">
        <v>18401</v>
      </c>
      <c r="AD728" s="13" t="s">
        <v>18402</v>
      </c>
      <c r="AE728" s="13" t="s">
        <v>5510</v>
      </c>
      <c r="AF728" s="13" t="s">
        <v>5510</v>
      </c>
      <c r="AG728" s="13">
        <v>68.0</v>
      </c>
      <c r="AH728" s="13">
        <v>41.0</v>
      </c>
      <c r="AI728" s="13">
        <v>58.0</v>
      </c>
      <c r="AJ728" s="13">
        <v>1.0</v>
      </c>
      <c r="AK728" s="13">
        <v>102.0</v>
      </c>
      <c r="AL728" s="13" t="s">
        <v>5527</v>
      </c>
      <c r="AM728" s="13" t="s">
        <v>5528</v>
      </c>
      <c r="AN728" s="13" t="s">
        <v>5529</v>
      </c>
      <c r="AO728" s="13" t="s">
        <v>6640</v>
      </c>
      <c r="AP728" s="13" t="s">
        <v>6641</v>
      </c>
      <c r="AQ728" s="13" t="s">
        <v>5510</v>
      </c>
      <c r="AR728" s="13" t="s">
        <v>6642</v>
      </c>
      <c r="AS728" s="13" t="s">
        <v>6643</v>
      </c>
      <c r="AT728" s="13" t="s">
        <v>5667</v>
      </c>
      <c r="AU728" s="13">
        <v>2011.0</v>
      </c>
      <c r="AV728" s="13">
        <v>17.0</v>
      </c>
      <c r="AW728" s="13">
        <v>4.0</v>
      </c>
      <c r="AX728" s="13" t="s">
        <v>5510</v>
      </c>
      <c r="AY728" s="13" t="s">
        <v>5510</v>
      </c>
      <c r="AZ728" s="13" t="s">
        <v>5510</v>
      </c>
      <c r="BA728" s="13" t="s">
        <v>5510</v>
      </c>
      <c r="BB728" s="13">
        <v>673.0</v>
      </c>
      <c r="BC728" s="13">
        <v>687.0</v>
      </c>
      <c r="BD728" s="13" t="s">
        <v>5510</v>
      </c>
      <c r="BE728" s="13" t="s">
        <v>18403</v>
      </c>
      <c r="BF728" s="52" t="str">
        <f>HYPERLINK("http://dx.doi.org/10.1111/j.1472-4642.2011.00765.x","http://dx.doi.org/10.1111/j.1472-4642.2011.00765.x")</f>
        <v>http://dx.doi.org/10.1111/j.1472-4642.2011.00765.x</v>
      </c>
      <c r="BG728" s="13" t="s">
        <v>5510</v>
      </c>
      <c r="BH728" s="13" t="s">
        <v>5510</v>
      </c>
      <c r="BI728" s="13">
        <v>15.0</v>
      </c>
      <c r="BJ728" s="13" t="s">
        <v>5958</v>
      </c>
      <c r="BK728" s="13" t="s">
        <v>5561</v>
      </c>
      <c r="BL728" s="13" t="s">
        <v>5699</v>
      </c>
      <c r="BM728" s="13" t="s">
        <v>18404</v>
      </c>
      <c r="BN728" s="13" t="s">
        <v>5510</v>
      </c>
      <c r="BO728" s="13" t="s">
        <v>5809</v>
      </c>
      <c r="BP728" s="13" t="s">
        <v>5510</v>
      </c>
      <c r="BQ728" s="13" t="s">
        <v>5510</v>
      </c>
      <c r="BR728" s="13" t="s">
        <v>5538</v>
      </c>
      <c r="BS728" s="13" t="s">
        <v>18405</v>
      </c>
      <c r="BT728" s="13">
        <v>24471.0</v>
      </c>
      <c r="BU728" s="13" t="s">
        <v>5540</v>
      </c>
      <c r="BV728" s="13" t="s">
        <v>4856</v>
      </c>
      <c r="BW728" s="13" t="str">
        <f>VLOOKUP($BT728,Enriched!$A$2:$E$1070,5,false)</f>
        <v>["Human Intrusions &amp; Disturbance"]</v>
      </c>
      <c r="BX728" s="13" t="str">
        <f>VLOOKUP($BT728,Enriched!$A$2:$E$1070,4,false)</f>
        <v>["Work &amp; other activities"]</v>
      </c>
      <c r="BY728" s="13" t="b">
        <f>VLOOKUP(BT728,Enriched!$A$1:$AA$1070,27,falsE)</f>
        <v>0</v>
      </c>
      <c r="BZ728" s="2" t="str">
        <f>VLOOKUP(BT728,Enriched!$A$1:$AA$1070,14,falsE)</f>
        <v>level2</v>
      </c>
      <c r="CA728" s="13" t="str">
        <f>HYPERLINK("https%3A%2F%2Fwww.webofscience.com%2Fwos%2Fwoscc%2Ffull-record%2FWOS:000293138400009","View Full Record in Web of Science")</f>
        <v>View Full Record in Web of Science</v>
      </c>
    </row>
    <row r="729" ht="12.75" customHeight="1">
      <c r="A729" s="13" t="s">
        <v>5508</v>
      </c>
      <c r="B729" s="13" t="s">
        <v>18406</v>
      </c>
      <c r="C729" s="13" t="s">
        <v>5510</v>
      </c>
      <c r="D729" s="13" t="s">
        <v>5510</v>
      </c>
      <c r="E729" s="13" t="s">
        <v>5510</v>
      </c>
      <c r="F729" s="13" t="s">
        <v>18407</v>
      </c>
      <c r="G729" s="13" t="s">
        <v>5510</v>
      </c>
      <c r="H729" s="13" t="s">
        <v>5510</v>
      </c>
      <c r="I729" s="13" t="s">
        <v>759</v>
      </c>
      <c r="J729" s="13" t="s">
        <v>5919</v>
      </c>
      <c r="K729" s="13" t="s">
        <v>5510</v>
      </c>
      <c r="L729" s="13" t="s">
        <v>5510</v>
      </c>
      <c r="M729" s="13" t="s">
        <v>5513</v>
      </c>
      <c r="N729" s="13" t="s">
        <v>5514</v>
      </c>
      <c r="O729" s="13" t="s">
        <v>5510</v>
      </c>
      <c r="P729" s="13" t="s">
        <v>5510</v>
      </c>
      <c r="Q729" s="13" t="s">
        <v>5510</v>
      </c>
      <c r="R729" s="13" t="s">
        <v>5510</v>
      </c>
      <c r="S729" s="13" t="s">
        <v>5510</v>
      </c>
      <c r="T729" s="13" t="s">
        <v>18408</v>
      </c>
      <c r="U729" s="13" t="s">
        <v>18409</v>
      </c>
      <c r="V729" s="13" t="s">
        <v>18410</v>
      </c>
      <c r="W729" s="13" t="s">
        <v>18411</v>
      </c>
      <c r="X729" s="13" t="s">
        <v>18412</v>
      </c>
      <c r="Y729" s="13" t="s">
        <v>18413</v>
      </c>
      <c r="Z729" s="13" t="s">
        <v>18414</v>
      </c>
      <c r="AA729" s="13" t="s">
        <v>18415</v>
      </c>
      <c r="AB729" s="13" t="s">
        <v>18416</v>
      </c>
      <c r="AC729" s="13" t="s">
        <v>18417</v>
      </c>
      <c r="AD729" s="13" t="s">
        <v>18418</v>
      </c>
      <c r="AE729" s="13" t="s">
        <v>18419</v>
      </c>
      <c r="AF729" s="13" t="s">
        <v>5510</v>
      </c>
      <c r="AG729" s="13">
        <v>77.0</v>
      </c>
      <c r="AH729" s="13">
        <v>144.0</v>
      </c>
      <c r="AI729" s="13">
        <v>167.0</v>
      </c>
      <c r="AJ729" s="13">
        <v>5.0</v>
      </c>
      <c r="AK729" s="13">
        <v>153.0</v>
      </c>
      <c r="AL729" s="13" t="s">
        <v>5931</v>
      </c>
      <c r="AM729" s="13" t="s">
        <v>7486</v>
      </c>
      <c r="AN729" s="13" t="s">
        <v>7487</v>
      </c>
      <c r="AO729" s="13" t="s">
        <v>5934</v>
      </c>
      <c r="AP729" s="13" t="s">
        <v>5935</v>
      </c>
      <c r="AQ729" s="13" t="s">
        <v>5510</v>
      </c>
      <c r="AR729" s="13" t="s">
        <v>5936</v>
      </c>
      <c r="AS729" s="13" t="s">
        <v>5937</v>
      </c>
      <c r="AT729" s="13" t="s">
        <v>1453</v>
      </c>
      <c r="AU729" s="13">
        <v>2015.0</v>
      </c>
      <c r="AV729" s="13">
        <v>191.0</v>
      </c>
      <c r="AW729" s="13" t="s">
        <v>5510</v>
      </c>
      <c r="AX729" s="13" t="s">
        <v>5510</v>
      </c>
      <c r="AY729" s="13" t="s">
        <v>5510</v>
      </c>
      <c r="AZ729" s="13" t="s">
        <v>5510</v>
      </c>
      <c r="BA729" s="13" t="s">
        <v>5510</v>
      </c>
      <c r="BB729" s="13">
        <v>266.0</v>
      </c>
      <c r="BC729" s="13">
        <v>273.0</v>
      </c>
      <c r="BD729" s="13" t="s">
        <v>5510</v>
      </c>
      <c r="BE729" s="13" t="s">
        <v>18420</v>
      </c>
      <c r="BF729" s="52" t="str">
        <f>HYPERLINK("http://dx.doi.org/10.1016/j.biocon.2015.06.037","http://dx.doi.org/10.1016/j.biocon.2015.06.037")</f>
        <v>http://dx.doi.org/10.1016/j.biocon.2015.06.037</v>
      </c>
      <c r="BG729" s="13" t="s">
        <v>5510</v>
      </c>
      <c r="BH729" s="13" t="s">
        <v>5510</v>
      </c>
      <c r="BI729" s="13">
        <v>8.0</v>
      </c>
      <c r="BJ729" s="13" t="s">
        <v>5698</v>
      </c>
      <c r="BK729" s="13" t="s">
        <v>5534</v>
      </c>
      <c r="BL729" s="13" t="s">
        <v>5699</v>
      </c>
      <c r="BM729" s="13" t="s">
        <v>5939</v>
      </c>
      <c r="BN729" s="13" t="s">
        <v>5510</v>
      </c>
      <c r="BO729" s="13" t="s">
        <v>5510</v>
      </c>
      <c r="BP729" s="13" t="s">
        <v>5510</v>
      </c>
      <c r="BQ729" s="13" t="s">
        <v>5510</v>
      </c>
      <c r="BR729" s="13" t="s">
        <v>5538</v>
      </c>
      <c r="BS729" s="13" t="s">
        <v>18421</v>
      </c>
      <c r="BT729" s="13">
        <v>23418.0</v>
      </c>
      <c r="BU729" s="13" t="s">
        <v>5540</v>
      </c>
      <c r="BV729" s="13" t="s">
        <v>4856</v>
      </c>
      <c r="BW729" s="13" t="str">
        <f>VLOOKUP($BT729,Enriched!$A$2:$E$1070,5,false)</f>
        <v>["Energy Production &amp; Mining", "Human Intrusions &amp; Disturbance"]</v>
      </c>
      <c r="BX729" s="13" t="str">
        <f>VLOOKUP($BT729,Enriched!$A$2:$E$1070,4,false)</f>
        <v>["Mining &amp; quarrying", "War, civil unrest &amp; military exercises"]</v>
      </c>
      <c r="BY729" s="13" t="b">
        <f>VLOOKUP(BT729,Enriched!$A$1:$AA$1070,27,falsE)</f>
        <v>0</v>
      </c>
      <c r="BZ729" s="2" t="str">
        <f>VLOOKUP(BT729,Enriched!$A$1:$AA$1070,14,falsE)</f>
        <v>level2</v>
      </c>
      <c r="CA729" s="13" t="str">
        <f>HYPERLINK("https%3A%2F%2Fwww.webofscience.com%2Fwos%2Fwoscc%2Ffull-record%2FWOS:000364257100030","View Full Record in Web of Science")</f>
        <v>View Full Record in Web of Science</v>
      </c>
    </row>
    <row r="730" ht="12.75" customHeight="1">
      <c r="A730" s="13" t="s">
        <v>5508</v>
      </c>
      <c r="B730" s="13" t="s">
        <v>18422</v>
      </c>
      <c r="C730" s="13" t="s">
        <v>5510</v>
      </c>
      <c r="D730" s="13" t="s">
        <v>5510</v>
      </c>
      <c r="E730" s="13" t="s">
        <v>5510</v>
      </c>
      <c r="F730" s="13" t="s">
        <v>18423</v>
      </c>
      <c r="G730" s="13" t="s">
        <v>5510</v>
      </c>
      <c r="H730" s="13" t="s">
        <v>5510</v>
      </c>
      <c r="I730" s="13" t="s">
        <v>752</v>
      </c>
      <c r="J730" s="13" t="s">
        <v>8582</v>
      </c>
      <c r="K730" s="13" t="s">
        <v>5510</v>
      </c>
      <c r="L730" s="13" t="s">
        <v>5510</v>
      </c>
      <c r="M730" s="13" t="s">
        <v>5513</v>
      </c>
      <c r="N730" s="13" t="s">
        <v>5514</v>
      </c>
      <c r="O730" s="13" t="s">
        <v>5510</v>
      </c>
      <c r="P730" s="13" t="s">
        <v>5510</v>
      </c>
      <c r="Q730" s="13" t="s">
        <v>5510</v>
      </c>
      <c r="R730" s="13" t="s">
        <v>5510</v>
      </c>
      <c r="S730" s="13" t="s">
        <v>5510</v>
      </c>
      <c r="T730" s="13" t="s">
        <v>18424</v>
      </c>
      <c r="U730" s="13" t="s">
        <v>18425</v>
      </c>
      <c r="V730" s="13" t="s">
        <v>18426</v>
      </c>
      <c r="W730" s="13" t="s">
        <v>18427</v>
      </c>
      <c r="X730" s="13" t="s">
        <v>18428</v>
      </c>
      <c r="Y730" s="13" t="s">
        <v>18429</v>
      </c>
      <c r="Z730" s="13" t="s">
        <v>18430</v>
      </c>
      <c r="AA730" s="13" t="s">
        <v>18431</v>
      </c>
      <c r="AB730" s="13" t="s">
        <v>18432</v>
      </c>
      <c r="AC730" s="13" t="s">
        <v>18433</v>
      </c>
      <c r="AD730" s="13" t="s">
        <v>18434</v>
      </c>
      <c r="AE730" s="13" t="s">
        <v>18435</v>
      </c>
      <c r="AF730" s="13" t="s">
        <v>5510</v>
      </c>
      <c r="AG730" s="13">
        <v>81.0</v>
      </c>
      <c r="AH730" s="13">
        <v>17.0</v>
      </c>
      <c r="AI730" s="13">
        <v>20.0</v>
      </c>
      <c r="AJ730" s="13">
        <v>1.0</v>
      </c>
      <c r="AK730" s="13">
        <v>41.0</v>
      </c>
      <c r="AL730" s="13" t="s">
        <v>5690</v>
      </c>
      <c r="AM730" s="13" t="s">
        <v>6503</v>
      </c>
      <c r="AN730" s="13" t="s">
        <v>7040</v>
      </c>
      <c r="AO730" s="13" t="s">
        <v>8592</v>
      </c>
      <c r="AP730" s="13" t="s">
        <v>8593</v>
      </c>
      <c r="AQ730" s="13" t="s">
        <v>5510</v>
      </c>
      <c r="AR730" s="13" t="s">
        <v>8594</v>
      </c>
      <c r="AS730" s="13" t="s">
        <v>8595</v>
      </c>
      <c r="AT730" s="13" t="s">
        <v>5866</v>
      </c>
      <c r="AU730" s="13">
        <v>2018.0</v>
      </c>
      <c r="AV730" s="13">
        <v>61.0</v>
      </c>
      <c r="AW730" s="13">
        <v>5.0</v>
      </c>
      <c r="AX730" s="13" t="s">
        <v>5510</v>
      </c>
      <c r="AY730" s="13" t="s">
        <v>5510</v>
      </c>
      <c r="AZ730" s="13" t="s">
        <v>5510</v>
      </c>
      <c r="BA730" s="13" t="s">
        <v>5510</v>
      </c>
      <c r="BB730" s="13">
        <v>805.0</v>
      </c>
      <c r="BC730" s="13">
        <v>818.0</v>
      </c>
      <c r="BD730" s="13" t="s">
        <v>5510</v>
      </c>
      <c r="BE730" s="13" t="s">
        <v>18436</v>
      </c>
      <c r="BF730" s="52" t="str">
        <f>HYPERLINK("http://dx.doi.org/10.1007/s00267-018-1000-2","http://dx.doi.org/10.1007/s00267-018-1000-2")</f>
        <v>http://dx.doi.org/10.1007/s00267-018-1000-2</v>
      </c>
      <c r="BG730" s="13" t="s">
        <v>5510</v>
      </c>
      <c r="BH730" s="13" t="s">
        <v>5510</v>
      </c>
      <c r="BI730" s="13">
        <v>14.0</v>
      </c>
      <c r="BJ730" s="13" t="s">
        <v>5768</v>
      </c>
      <c r="BK730" s="13" t="s">
        <v>5561</v>
      </c>
      <c r="BL730" s="13" t="s">
        <v>5535</v>
      </c>
      <c r="BM730" s="13" t="s">
        <v>18437</v>
      </c>
      <c r="BN730" s="13">
        <v>2.9504039E7</v>
      </c>
      <c r="BO730" s="13" t="s">
        <v>5510</v>
      </c>
      <c r="BP730" s="13" t="s">
        <v>5510</v>
      </c>
      <c r="BQ730" s="13" t="s">
        <v>5510</v>
      </c>
      <c r="BR730" s="13" t="s">
        <v>5538</v>
      </c>
      <c r="BS730" s="13" t="s">
        <v>18438</v>
      </c>
      <c r="BT730" s="13">
        <v>25153.0</v>
      </c>
      <c r="BU730" s="13" t="s">
        <v>5540</v>
      </c>
      <c r="BV730" s="13" t="s">
        <v>4856</v>
      </c>
      <c r="BW730" s="13" t="str">
        <f>VLOOKUP($BT730,Enriched!$A$2:$E$1070,5,false)</f>
        <v>["Agriculture &amp; Aquaculture", "Energy Production &amp; Mining", "Transportation &amp; Service Corridors", "Residential &amp; Commercial Development"]</v>
      </c>
      <c r="BX730" s="13" t="str">
        <f>VLOOKUP($BT730,Enriched!$A$2:$E$1070,4,false)</f>
        <v>["Annual &amp; perennial non-timber crops", "Livestock farming &amp; ranching", "Oil &amp; gas drilling", "Renewable energy", "Utility &amp; service lines", "Roads &amp; railroads", "Housing &amp; urban area", "Commercial &amp; industrial areas"]</v>
      </c>
      <c r="BY730" s="13" t="b">
        <f>VLOOKUP(BT730,Enriched!$A$1:$AA$1070,27,falsE)</f>
        <v>0</v>
      </c>
      <c r="BZ730" s="2" t="str">
        <f>VLOOKUP(BT730,Enriched!$A$1:$AA$1070,14,falsE)</f>
        <v>cumulative</v>
      </c>
      <c r="CA730" s="13" t="str">
        <f>HYPERLINK("https%3A%2F%2Fwww.webofscience.com%2Fwos%2Fwoscc%2Ffull-record%2FWOS:000428990600008","View Full Record in Web of Science")</f>
        <v>View Full Record in Web of Science</v>
      </c>
    </row>
    <row r="731" ht="12.75" customHeight="1">
      <c r="A731" s="13" t="s">
        <v>5508</v>
      </c>
      <c r="B731" s="13" t="s">
        <v>18439</v>
      </c>
      <c r="C731" s="13" t="s">
        <v>5510</v>
      </c>
      <c r="D731" s="13" t="s">
        <v>5510</v>
      </c>
      <c r="E731" s="13" t="s">
        <v>5510</v>
      </c>
      <c r="F731" s="13" t="s">
        <v>18440</v>
      </c>
      <c r="G731" s="13" t="s">
        <v>5510</v>
      </c>
      <c r="H731" s="13" t="s">
        <v>5510</v>
      </c>
      <c r="I731" s="13" t="s">
        <v>18441</v>
      </c>
      <c r="J731" s="13" t="s">
        <v>18442</v>
      </c>
      <c r="K731" s="13" t="s">
        <v>5510</v>
      </c>
      <c r="L731" s="13" t="s">
        <v>5510</v>
      </c>
      <c r="M731" s="13" t="s">
        <v>5513</v>
      </c>
      <c r="N731" s="13" t="s">
        <v>5626</v>
      </c>
      <c r="O731" s="13" t="s">
        <v>18443</v>
      </c>
      <c r="P731" s="13" t="s">
        <v>18444</v>
      </c>
      <c r="Q731" s="13" t="s">
        <v>18445</v>
      </c>
      <c r="R731" s="13" t="s">
        <v>18446</v>
      </c>
      <c r="S731" s="13" t="s">
        <v>5510</v>
      </c>
      <c r="T731" s="13" t="s">
        <v>5510</v>
      </c>
      <c r="U731" s="13" t="s">
        <v>18447</v>
      </c>
      <c r="V731" s="13" t="s">
        <v>18448</v>
      </c>
      <c r="W731" s="13" t="s">
        <v>18449</v>
      </c>
      <c r="X731" s="13" t="s">
        <v>5510</v>
      </c>
      <c r="Y731" s="13" t="s">
        <v>18450</v>
      </c>
      <c r="Z731" s="13" t="s">
        <v>18451</v>
      </c>
      <c r="AA731" s="13" t="s">
        <v>5510</v>
      </c>
      <c r="AB731" s="13" t="s">
        <v>18452</v>
      </c>
      <c r="AC731" s="13" t="s">
        <v>5510</v>
      </c>
      <c r="AD731" s="13" t="s">
        <v>5510</v>
      </c>
      <c r="AE731" s="13" t="s">
        <v>5510</v>
      </c>
      <c r="AF731" s="13" t="s">
        <v>5510</v>
      </c>
      <c r="AG731" s="13">
        <v>28.0</v>
      </c>
      <c r="AH731" s="13">
        <v>16.0</v>
      </c>
      <c r="AI731" s="13">
        <v>16.0</v>
      </c>
      <c r="AJ731" s="13">
        <v>1.0</v>
      </c>
      <c r="AK731" s="13">
        <v>58.0</v>
      </c>
      <c r="AL731" s="13" t="s">
        <v>10790</v>
      </c>
      <c r="AM731" s="13" t="s">
        <v>5528</v>
      </c>
      <c r="AN731" s="13" t="s">
        <v>5529</v>
      </c>
      <c r="AO731" s="13" t="s">
        <v>18453</v>
      </c>
      <c r="AP731" s="13" t="s">
        <v>18454</v>
      </c>
      <c r="AQ731" s="13" t="s">
        <v>5510</v>
      </c>
      <c r="AR731" s="13" t="s">
        <v>18455</v>
      </c>
      <c r="AS731" s="13" t="s">
        <v>18456</v>
      </c>
      <c r="AT731" s="13" t="s">
        <v>5978</v>
      </c>
      <c r="AU731" s="13">
        <v>2011.0</v>
      </c>
      <c r="AV731" s="13">
        <v>27.0</v>
      </c>
      <c r="AW731" s="13" t="s">
        <v>5510</v>
      </c>
      <c r="AX731" s="13" t="s">
        <v>5510</v>
      </c>
      <c r="AY731" s="13">
        <v>3.0</v>
      </c>
      <c r="AZ731" s="13" t="s">
        <v>5646</v>
      </c>
      <c r="BA731" s="13" t="s">
        <v>5510</v>
      </c>
      <c r="BB731" s="13">
        <v>66.0</v>
      </c>
      <c r="BC731" s="13">
        <v>72.0</v>
      </c>
      <c r="BD731" s="13" t="s">
        <v>5510</v>
      </c>
      <c r="BE731" s="13" t="s">
        <v>18457</v>
      </c>
      <c r="BF731" s="52" t="str">
        <f>HYPERLINK("http://dx.doi.org/10.1111/j.1439-0426.2011.01855.x","http://dx.doi.org/10.1111/j.1439-0426.2011.01855.x")</f>
        <v>http://dx.doi.org/10.1111/j.1439-0426.2011.01855.x</v>
      </c>
      <c r="BG731" s="13" t="s">
        <v>5510</v>
      </c>
      <c r="BH731" s="13" t="s">
        <v>5510</v>
      </c>
      <c r="BI731" s="13">
        <v>7.0</v>
      </c>
      <c r="BJ731" s="13" t="s">
        <v>7797</v>
      </c>
      <c r="BK731" s="13" t="s">
        <v>5649</v>
      </c>
      <c r="BL731" s="13" t="s">
        <v>7797</v>
      </c>
      <c r="BM731" s="13" t="s">
        <v>18458</v>
      </c>
      <c r="BN731" s="13" t="s">
        <v>5510</v>
      </c>
      <c r="BO731" s="13" t="s">
        <v>5809</v>
      </c>
      <c r="BP731" s="13" t="s">
        <v>5510</v>
      </c>
      <c r="BQ731" s="13" t="s">
        <v>5510</v>
      </c>
      <c r="BR731" s="13" t="s">
        <v>5538</v>
      </c>
      <c r="BS731" s="13" t="s">
        <v>18459</v>
      </c>
      <c r="BT731" s="13">
        <v>23997.0</v>
      </c>
      <c r="BU731" s="13" t="s">
        <v>5540</v>
      </c>
      <c r="BV731" s="13" t="s">
        <v>4852</v>
      </c>
      <c r="BW731" s="13" t="str">
        <f>VLOOKUP($BT731,Enriched!$A$2:$E$1070,5,false)</f>
        <v>["Natural system modifications"]</v>
      </c>
      <c r="BX731" s="13" t="str">
        <f>VLOOKUP($BT731,Enriched!$A$2:$E$1070,4,false)</f>
        <v>["Dams &amp; water management/use"]</v>
      </c>
      <c r="BY731" s="13" t="b">
        <f>VLOOKUP(BT731,Enriched!$A$1:$AA$1070,27,falsE)</f>
        <v>0</v>
      </c>
      <c r="BZ731" s="2" t="str">
        <f>VLOOKUP(BT731,Enriched!$A$1:$AA$1070,14,falsE)</f>
        <v>level2</v>
      </c>
      <c r="CA731" s="13" t="str">
        <f>HYPERLINK("https%3A%2F%2Fwww.webofscience.com%2Fwos%2Fwoscc%2Ffull-record%2FWOS:000297848600013","View Full Record in Web of Science")</f>
        <v>View Full Record in Web of Science</v>
      </c>
    </row>
    <row r="732" ht="12.75" customHeight="1">
      <c r="A732" s="13" t="s">
        <v>5508</v>
      </c>
      <c r="B732" s="13" t="s">
        <v>18460</v>
      </c>
      <c r="C732" s="13" t="s">
        <v>5510</v>
      </c>
      <c r="D732" s="13" t="s">
        <v>5510</v>
      </c>
      <c r="E732" s="13" t="s">
        <v>5510</v>
      </c>
      <c r="F732" s="13" t="s">
        <v>18461</v>
      </c>
      <c r="G732" s="13" t="s">
        <v>5510</v>
      </c>
      <c r="H732" s="13" t="s">
        <v>5510</v>
      </c>
      <c r="I732" s="13" t="s">
        <v>745</v>
      </c>
      <c r="J732" s="13" t="s">
        <v>8275</v>
      </c>
      <c r="K732" s="13" t="s">
        <v>5510</v>
      </c>
      <c r="L732" s="13" t="s">
        <v>5510</v>
      </c>
      <c r="M732" s="13" t="s">
        <v>5513</v>
      </c>
      <c r="N732" s="13" t="s">
        <v>5514</v>
      </c>
      <c r="O732" s="13" t="s">
        <v>5510</v>
      </c>
      <c r="P732" s="13" t="s">
        <v>5510</v>
      </c>
      <c r="Q732" s="13" t="s">
        <v>5510</v>
      </c>
      <c r="R732" s="13" t="s">
        <v>5510</v>
      </c>
      <c r="S732" s="13" t="s">
        <v>5510</v>
      </c>
      <c r="T732" s="13" t="s">
        <v>18462</v>
      </c>
      <c r="U732" s="13" t="s">
        <v>18463</v>
      </c>
      <c r="V732" s="13" t="s">
        <v>18464</v>
      </c>
      <c r="W732" s="13" t="s">
        <v>18465</v>
      </c>
      <c r="X732" s="13" t="s">
        <v>18466</v>
      </c>
      <c r="Y732" s="13" t="s">
        <v>18467</v>
      </c>
      <c r="Z732" s="13" t="s">
        <v>18468</v>
      </c>
      <c r="AA732" s="13" t="s">
        <v>18469</v>
      </c>
      <c r="AB732" s="13" t="s">
        <v>18470</v>
      </c>
      <c r="AC732" s="13" t="s">
        <v>18471</v>
      </c>
      <c r="AD732" s="13" t="s">
        <v>18472</v>
      </c>
      <c r="AE732" s="13" t="s">
        <v>18473</v>
      </c>
      <c r="AF732" s="13" t="s">
        <v>5510</v>
      </c>
      <c r="AG732" s="13">
        <v>74.0</v>
      </c>
      <c r="AH732" s="13">
        <v>11.0</v>
      </c>
      <c r="AI732" s="13">
        <v>13.0</v>
      </c>
      <c r="AJ732" s="13">
        <v>3.0</v>
      </c>
      <c r="AK732" s="13">
        <v>25.0</v>
      </c>
      <c r="AL732" s="13" t="s">
        <v>5759</v>
      </c>
      <c r="AM732" s="13" t="s">
        <v>5760</v>
      </c>
      <c r="AN732" s="13" t="s">
        <v>5761</v>
      </c>
      <c r="AO732" s="13" t="s">
        <v>8288</v>
      </c>
      <c r="AP732" s="13" t="s">
        <v>8289</v>
      </c>
      <c r="AQ732" s="13" t="s">
        <v>5510</v>
      </c>
      <c r="AR732" s="13" t="s">
        <v>8290</v>
      </c>
      <c r="AS732" s="13" t="s">
        <v>8291</v>
      </c>
      <c r="AT732" s="13" t="s">
        <v>13643</v>
      </c>
      <c r="AU732" s="13">
        <v>2020.0</v>
      </c>
      <c r="AV732" s="13">
        <v>475.0</v>
      </c>
      <c r="AW732" s="13" t="s">
        <v>5510</v>
      </c>
      <c r="AX732" s="13" t="s">
        <v>5510</v>
      </c>
      <c r="AY732" s="13" t="s">
        <v>5510</v>
      </c>
      <c r="AZ732" s="13" t="s">
        <v>5510</v>
      </c>
      <c r="BA732" s="13" t="s">
        <v>5510</v>
      </c>
      <c r="BB732" s="13" t="s">
        <v>5510</v>
      </c>
      <c r="BC732" s="13" t="s">
        <v>5510</v>
      </c>
      <c r="BD732" s="13">
        <v>118404.0</v>
      </c>
      <c r="BE732" s="13" t="s">
        <v>18474</v>
      </c>
      <c r="BF732" s="52" t="str">
        <f>HYPERLINK("http://dx.doi.org/10.1016/j.foreco.2020.118404","http://dx.doi.org/10.1016/j.foreco.2020.118404")</f>
        <v>http://dx.doi.org/10.1016/j.foreco.2020.118404</v>
      </c>
      <c r="BG732" s="13" t="s">
        <v>5510</v>
      </c>
      <c r="BH732" s="13" t="s">
        <v>5510</v>
      </c>
      <c r="BI732" s="13">
        <v>9.0</v>
      </c>
      <c r="BJ732" s="13" t="s">
        <v>8294</v>
      </c>
      <c r="BK732" s="13" t="s">
        <v>5561</v>
      </c>
      <c r="BL732" s="13" t="s">
        <v>8294</v>
      </c>
      <c r="BM732" s="13" t="s">
        <v>18475</v>
      </c>
      <c r="BN732" s="13" t="s">
        <v>5510</v>
      </c>
      <c r="BO732" s="13" t="s">
        <v>11226</v>
      </c>
      <c r="BP732" s="13" t="s">
        <v>5510</v>
      </c>
      <c r="BQ732" s="13" t="s">
        <v>5510</v>
      </c>
      <c r="BR732" s="13" t="s">
        <v>5538</v>
      </c>
      <c r="BS732" s="13" t="s">
        <v>18476</v>
      </c>
      <c r="BT732" s="13">
        <v>25912.0</v>
      </c>
      <c r="BU732" s="13" t="s">
        <v>11683</v>
      </c>
      <c r="BV732" s="13" t="s">
        <v>4856</v>
      </c>
      <c r="BW732" s="13" t="str">
        <f>VLOOKUP($BT732,Enriched!$A$2:$E$1070,5,false)</f>
        <v>["Agriculture &amp; Aquaculture"]</v>
      </c>
      <c r="BX732" s="13" t="str">
        <f>VLOOKUP($BT732,Enriched!$A$2:$E$1070,4,false)</f>
        <v>["Wood &amp; pulp plantations"]</v>
      </c>
      <c r="BY732" s="13" t="b">
        <f>VLOOKUP(BT732,Enriched!$A$1:$AA$1070,27,falsE)</f>
        <v>0</v>
      </c>
      <c r="BZ732" s="2" t="str">
        <f>VLOOKUP(BT732,Enriched!$A$1:$AA$1070,14,falsE)</f>
        <v>level2</v>
      </c>
      <c r="CA732" s="13" t="str">
        <f>HYPERLINK("https%3A%2F%2Fwww.webofscience.com%2Fwos%2Fwoscc%2Ffull-record%2FWOS:000581970500018","View Full Record in Web of Science")</f>
        <v>View Full Record in Web of Science</v>
      </c>
    </row>
    <row r="733" ht="12.75" customHeight="1">
      <c r="A733" s="13" t="s">
        <v>5508</v>
      </c>
      <c r="B733" s="13" t="s">
        <v>18477</v>
      </c>
      <c r="C733" s="13" t="s">
        <v>5510</v>
      </c>
      <c r="D733" s="13" t="s">
        <v>5510</v>
      </c>
      <c r="E733" s="13" t="s">
        <v>5510</v>
      </c>
      <c r="F733" s="13" t="s">
        <v>18478</v>
      </c>
      <c r="G733" s="13" t="s">
        <v>5510</v>
      </c>
      <c r="H733" s="13" t="s">
        <v>5510</v>
      </c>
      <c r="I733" s="13" t="s">
        <v>18479</v>
      </c>
      <c r="J733" s="13" t="s">
        <v>18480</v>
      </c>
      <c r="K733" s="13" t="s">
        <v>5510</v>
      </c>
      <c r="L733" s="13" t="s">
        <v>5510</v>
      </c>
      <c r="M733" s="13" t="s">
        <v>5513</v>
      </c>
      <c r="N733" s="13" t="s">
        <v>5514</v>
      </c>
      <c r="O733" s="13" t="s">
        <v>5510</v>
      </c>
      <c r="P733" s="13" t="s">
        <v>5510</v>
      </c>
      <c r="Q733" s="13" t="s">
        <v>5510</v>
      </c>
      <c r="R733" s="13" t="s">
        <v>5510</v>
      </c>
      <c r="S733" s="13" t="s">
        <v>5510</v>
      </c>
      <c r="T733" s="13" t="s">
        <v>18481</v>
      </c>
      <c r="U733" s="13" t="s">
        <v>18482</v>
      </c>
      <c r="V733" s="13" t="s">
        <v>18483</v>
      </c>
      <c r="W733" s="13" t="s">
        <v>18484</v>
      </c>
      <c r="X733" s="13" t="s">
        <v>18485</v>
      </c>
      <c r="Y733" s="13" t="s">
        <v>18486</v>
      </c>
      <c r="Z733" s="13" t="s">
        <v>18487</v>
      </c>
      <c r="AA733" s="13" t="s">
        <v>18488</v>
      </c>
      <c r="AB733" s="13" t="s">
        <v>18489</v>
      </c>
      <c r="AC733" s="13" t="s">
        <v>18490</v>
      </c>
      <c r="AD733" s="13" t="s">
        <v>18491</v>
      </c>
      <c r="AE733" s="13" t="s">
        <v>18492</v>
      </c>
      <c r="AF733" s="13" t="s">
        <v>5510</v>
      </c>
      <c r="AG733" s="13">
        <v>79.0</v>
      </c>
      <c r="AH733" s="13">
        <v>27.0</v>
      </c>
      <c r="AI733" s="13">
        <v>30.0</v>
      </c>
      <c r="AJ733" s="13">
        <v>1.0</v>
      </c>
      <c r="AK733" s="13">
        <v>28.0</v>
      </c>
      <c r="AL733" s="13" t="s">
        <v>6319</v>
      </c>
      <c r="AM733" s="13" t="s">
        <v>6320</v>
      </c>
      <c r="AN733" s="13" t="s">
        <v>6321</v>
      </c>
      <c r="AO733" s="13" t="s">
        <v>18493</v>
      </c>
      <c r="AP733" s="13" t="s">
        <v>5510</v>
      </c>
      <c r="AQ733" s="13" t="s">
        <v>5510</v>
      </c>
      <c r="AR733" s="13" t="s">
        <v>18494</v>
      </c>
      <c r="AS733" s="13" t="s">
        <v>18495</v>
      </c>
      <c r="AT733" s="13" t="s">
        <v>18496</v>
      </c>
      <c r="AU733" s="13">
        <v>2017.0</v>
      </c>
      <c r="AV733" s="13">
        <v>8.0</v>
      </c>
      <c r="AW733" s="13" t="s">
        <v>5510</v>
      </c>
      <c r="AX733" s="13" t="s">
        <v>5510</v>
      </c>
      <c r="AY733" s="13" t="s">
        <v>5510</v>
      </c>
      <c r="AZ733" s="13" t="s">
        <v>5510</v>
      </c>
      <c r="BA733" s="13" t="s">
        <v>5510</v>
      </c>
      <c r="BB733" s="13" t="s">
        <v>5510</v>
      </c>
      <c r="BC733" s="13" t="s">
        <v>5510</v>
      </c>
      <c r="BD733" s="13">
        <v>892.0</v>
      </c>
      <c r="BE733" s="13" t="s">
        <v>18497</v>
      </c>
      <c r="BF733" s="52" t="str">
        <f>HYPERLINK("http://dx.doi.org/10.3389/fpls.2017.00892","http://dx.doi.org/10.3389/fpls.2017.00892")</f>
        <v>http://dx.doi.org/10.3389/fpls.2017.00892</v>
      </c>
      <c r="BG733" s="13" t="s">
        <v>5510</v>
      </c>
      <c r="BH733" s="13" t="s">
        <v>5510</v>
      </c>
      <c r="BI733" s="13">
        <v>18.0</v>
      </c>
      <c r="BJ733" s="13" t="s">
        <v>7394</v>
      </c>
      <c r="BK733" s="13" t="s">
        <v>5561</v>
      </c>
      <c r="BL733" s="13" t="s">
        <v>7394</v>
      </c>
      <c r="BM733" s="13" t="s">
        <v>18498</v>
      </c>
      <c r="BN733" s="13">
        <v>2.86204E7</v>
      </c>
      <c r="BO733" s="13" t="s">
        <v>5564</v>
      </c>
      <c r="BP733" s="13" t="s">
        <v>5510</v>
      </c>
      <c r="BQ733" s="13" t="s">
        <v>5510</v>
      </c>
      <c r="BR733" s="13" t="s">
        <v>5538</v>
      </c>
      <c r="BS733" s="13" t="s">
        <v>18499</v>
      </c>
      <c r="BT733" s="13">
        <v>24971.0</v>
      </c>
      <c r="BU733" s="13" t="s">
        <v>5540</v>
      </c>
      <c r="BV733" s="13" t="s">
        <v>4856</v>
      </c>
      <c r="BW733" s="13" t="str">
        <f>VLOOKUP($BT733,Enriched!$A$2:$E$1070,5,false)</f>
        <v>["Invasive &amp; other problematic species, genes &amp; diseases"]</v>
      </c>
      <c r="BX733" s="13" t="str">
        <f>VLOOKUP($BT733,Enriched!$A$2:$E$1070,4,false)</f>
        <v>["Invasive non-native/alien species/diseases"]</v>
      </c>
      <c r="BY733" s="13" t="b">
        <f>VLOOKUP(BT733,Enriched!$A$1:$AA$1070,27,falsE)</f>
        <v>0</v>
      </c>
      <c r="BZ733" s="2" t="str">
        <f>VLOOKUP(BT733,Enriched!$A$1:$AA$1070,14,falsE)</f>
        <v>level2</v>
      </c>
      <c r="CA733" s="13" t="str">
        <f>HYPERLINK("https%3A%2F%2Fwww.webofscience.com%2Fwos%2Fwoscc%2Ffull-record%2FWOS:000402385000001","View Full Record in Web of Science")</f>
        <v>View Full Record in Web of Science</v>
      </c>
    </row>
    <row r="734" ht="12.75" customHeight="1">
      <c r="A734" s="13" t="s">
        <v>5508</v>
      </c>
      <c r="B734" s="13" t="s">
        <v>18500</v>
      </c>
      <c r="C734" s="13" t="s">
        <v>5510</v>
      </c>
      <c r="D734" s="13" t="s">
        <v>5510</v>
      </c>
      <c r="E734" s="13" t="s">
        <v>5510</v>
      </c>
      <c r="F734" s="13" t="s">
        <v>18500</v>
      </c>
      <c r="G734" s="13" t="s">
        <v>5510</v>
      </c>
      <c r="H734" s="13" t="s">
        <v>5510</v>
      </c>
      <c r="I734" s="13" t="s">
        <v>739</v>
      </c>
      <c r="J734" s="13" t="s">
        <v>18501</v>
      </c>
      <c r="K734" s="13" t="s">
        <v>5510</v>
      </c>
      <c r="L734" s="13" t="s">
        <v>5510</v>
      </c>
      <c r="M734" s="13" t="s">
        <v>5513</v>
      </c>
      <c r="N734" s="13" t="s">
        <v>5514</v>
      </c>
      <c r="O734" s="13" t="s">
        <v>5510</v>
      </c>
      <c r="P734" s="13" t="s">
        <v>5510</v>
      </c>
      <c r="Q734" s="13" t="s">
        <v>5510</v>
      </c>
      <c r="R734" s="13" t="s">
        <v>5510</v>
      </c>
      <c r="S734" s="13" t="s">
        <v>5510</v>
      </c>
      <c r="T734" s="13" t="s">
        <v>5510</v>
      </c>
      <c r="U734" s="13" t="s">
        <v>18502</v>
      </c>
      <c r="V734" s="13" t="s">
        <v>18503</v>
      </c>
      <c r="W734" s="13" t="s">
        <v>18504</v>
      </c>
      <c r="X734" s="13" t="s">
        <v>18505</v>
      </c>
      <c r="Y734" s="13" t="s">
        <v>18506</v>
      </c>
      <c r="Z734" s="13" t="s">
        <v>18507</v>
      </c>
      <c r="AA734" s="13" t="s">
        <v>18508</v>
      </c>
      <c r="AB734" s="13" t="s">
        <v>18509</v>
      </c>
      <c r="AC734" s="13" t="s">
        <v>5510</v>
      </c>
      <c r="AD734" s="13" t="s">
        <v>5510</v>
      </c>
      <c r="AE734" s="13" t="s">
        <v>5510</v>
      </c>
      <c r="AF734" s="13" t="s">
        <v>5510</v>
      </c>
      <c r="AG734" s="13">
        <v>38.0</v>
      </c>
      <c r="AH734" s="13">
        <v>49.0</v>
      </c>
      <c r="AI734" s="13">
        <v>67.0</v>
      </c>
      <c r="AJ734" s="13">
        <v>1.0</v>
      </c>
      <c r="AK734" s="13">
        <v>51.0</v>
      </c>
      <c r="AL734" s="13" t="s">
        <v>18510</v>
      </c>
      <c r="AM734" s="13" t="s">
        <v>18511</v>
      </c>
      <c r="AN734" s="13" t="s">
        <v>18512</v>
      </c>
      <c r="AO734" s="13" t="s">
        <v>18513</v>
      </c>
      <c r="AP734" s="13" t="s">
        <v>18514</v>
      </c>
      <c r="AQ734" s="13" t="s">
        <v>5510</v>
      </c>
      <c r="AR734" s="13" t="s">
        <v>18515</v>
      </c>
      <c r="AS734" s="13" t="s">
        <v>18516</v>
      </c>
      <c r="AT734" s="13" t="s">
        <v>5866</v>
      </c>
      <c r="AU734" s="13">
        <v>2003.0</v>
      </c>
      <c r="AV734" s="13">
        <v>60.0</v>
      </c>
      <c r="AW734" s="13">
        <v>5.0</v>
      </c>
      <c r="AX734" s="13" t="s">
        <v>5510</v>
      </c>
      <c r="AY734" s="13" t="s">
        <v>5510</v>
      </c>
      <c r="AZ734" s="13" t="s">
        <v>5510</v>
      </c>
      <c r="BA734" s="13" t="s">
        <v>5510</v>
      </c>
      <c r="BB734" s="13">
        <v>624.0</v>
      </c>
      <c r="BC734" s="13">
        <v>634.0</v>
      </c>
      <c r="BD734" s="13" t="s">
        <v>5510</v>
      </c>
      <c r="BE734" s="13" t="s">
        <v>18517</v>
      </c>
      <c r="BF734" s="52" t="str">
        <f>HYPERLINK("http://dx.doi.org/10.1139/F03-048","http://dx.doi.org/10.1139/F03-048")</f>
        <v>http://dx.doi.org/10.1139/F03-048</v>
      </c>
      <c r="BG734" s="13" t="s">
        <v>5510</v>
      </c>
      <c r="BH734" s="13" t="s">
        <v>5510</v>
      </c>
      <c r="BI734" s="13">
        <v>11.0</v>
      </c>
      <c r="BJ734" s="13" t="s">
        <v>7797</v>
      </c>
      <c r="BK734" s="13" t="s">
        <v>5561</v>
      </c>
      <c r="BL734" s="13" t="s">
        <v>7797</v>
      </c>
      <c r="BM734" s="13" t="s">
        <v>18518</v>
      </c>
      <c r="BN734" s="13" t="s">
        <v>5510</v>
      </c>
      <c r="BO734" s="13" t="s">
        <v>5510</v>
      </c>
      <c r="BP734" s="13" t="s">
        <v>5510</v>
      </c>
      <c r="BQ734" s="13" t="s">
        <v>5510</v>
      </c>
      <c r="BR734" s="13" t="s">
        <v>5538</v>
      </c>
      <c r="BS734" s="13" t="s">
        <v>18519</v>
      </c>
      <c r="BT734" s="13">
        <v>23543.0</v>
      </c>
      <c r="BU734" s="13" t="s">
        <v>5540</v>
      </c>
      <c r="BV734" s="13" t="s">
        <v>4852</v>
      </c>
      <c r="BW734" s="13" t="str">
        <f>VLOOKUP($BT734,Enriched!$A$2:$E$1070,5,false)</f>
        <v>["Agriculture &amp; Aquaculture", "Pollution", "Energy Production &amp; Mining", "Transportation &amp; Service Corridors"]</v>
      </c>
      <c r="BX734" s="13" t="str">
        <f>VLOOKUP($BT734,Enriched!$A$2:$E$1070,4,false)</f>
        <v>["Annual &amp; perennial non-timber crops", "Wood &amp; pulp plantations", "Domestic &amp; urban waste water", "Garbage &amp; solid waste", "Oil &amp; gas drilling", "Roads &amp; railroads"]</v>
      </c>
      <c r="BY734" s="13" t="b">
        <f>VLOOKUP(BT734,Enriched!$A$1:$AA$1070,27,falsE)</f>
        <v>0</v>
      </c>
      <c r="BZ734" s="2" t="str">
        <f>VLOOKUP(BT734,Enriched!$A$1:$AA$1070,14,falsE)</f>
        <v>cumulative</v>
      </c>
      <c r="CA734" s="13" t="str">
        <f>HYPERLINK("https%3A%2F%2Fwww.webofscience.com%2Fwos%2Fwoscc%2Ffull-record%2FWOS:000184007000012","View Full Record in Web of Science")</f>
        <v>View Full Record in Web of Science</v>
      </c>
    </row>
    <row r="735" ht="12.75" customHeight="1">
      <c r="A735" s="13" t="s">
        <v>5508</v>
      </c>
      <c r="B735" s="13" t="s">
        <v>18520</v>
      </c>
      <c r="C735" s="13" t="s">
        <v>5510</v>
      </c>
      <c r="D735" s="13" t="s">
        <v>5510</v>
      </c>
      <c r="E735" s="13" t="s">
        <v>5510</v>
      </c>
      <c r="F735" s="13" t="s">
        <v>18521</v>
      </c>
      <c r="G735" s="13" t="s">
        <v>5510</v>
      </c>
      <c r="H735" s="13" t="s">
        <v>5510</v>
      </c>
      <c r="I735" s="2" t="s">
        <v>735</v>
      </c>
      <c r="J735" s="13" t="s">
        <v>5919</v>
      </c>
      <c r="K735" s="13" t="s">
        <v>5510</v>
      </c>
      <c r="L735" s="13" t="s">
        <v>5510</v>
      </c>
      <c r="M735" s="13" t="s">
        <v>5513</v>
      </c>
      <c r="N735" s="13" t="s">
        <v>5514</v>
      </c>
      <c r="O735" s="13" t="s">
        <v>5510</v>
      </c>
      <c r="P735" s="13" t="s">
        <v>5510</v>
      </c>
      <c r="Q735" s="13" t="s">
        <v>5510</v>
      </c>
      <c r="R735" s="13" t="s">
        <v>5510</v>
      </c>
      <c r="S735" s="13" t="s">
        <v>5510</v>
      </c>
      <c r="T735" s="13" t="s">
        <v>18522</v>
      </c>
      <c r="U735" s="13" t="s">
        <v>18523</v>
      </c>
      <c r="V735" s="13" t="s">
        <v>18524</v>
      </c>
      <c r="W735" s="13" t="s">
        <v>18525</v>
      </c>
      <c r="X735" s="13" t="s">
        <v>18526</v>
      </c>
      <c r="Y735" s="13" t="s">
        <v>18527</v>
      </c>
      <c r="Z735" s="13" t="s">
        <v>18528</v>
      </c>
      <c r="AA735" s="13" t="s">
        <v>18529</v>
      </c>
      <c r="AB735" s="13" t="s">
        <v>18530</v>
      </c>
      <c r="AC735" s="13" t="s">
        <v>18531</v>
      </c>
      <c r="AD735" s="13" t="s">
        <v>18531</v>
      </c>
      <c r="AE735" s="13" t="s">
        <v>18532</v>
      </c>
      <c r="AF735" s="13" t="s">
        <v>5510</v>
      </c>
      <c r="AG735" s="13">
        <v>48.0</v>
      </c>
      <c r="AH735" s="13">
        <v>11.0</v>
      </c>
      <c r="AI735" s="13">
        <v>15.0</v>
      </c>
      <c r="AJ735" s="13">
        <v>0.0</v>
      </c>
      <c r="AK735" s="13">
        <v>35.0</v>
      </c>
      <c r="AL735" s="13" t="s">
        <v>5931</v>
      </c>
      <c r="AM735" s="13" t="s">
        <v>5932</v>
      </c>
      <c r="AN735" s="13" t="s">
        <v>5933</v>
      </c>
      <c r="AO735" s="13" t="s">
        <v>5934</v>
      </c>
      <c r="AP735" s="13" t="s">
        <v>5935</v>
      </c>
      <c r="AQ735" s="13" t="s">
        <v>5510</v>
      </c>
      <c r="AR735" s="13" t="s">
        <v>5936</v>
      </c>
      <c r="AS735" s="13" t="s">
        <v>5937</v>
      </c>
      <c r="AT735" s="13" t="s">
        <v>6089</v>
      </c>
      <c r="AU735" s="13">
        <v>2013.0</v>
      </c>
      <c r="AV735" s="13">
        <v>159.0</v>
      </c>
      <c r="AW735" s="13" t="s">
        <v>5510</v>
      </c>
      <c r="AX735" s="13" t="s">
        <v>5510</v>
      </c>
      <c r="AY735" s="13" t="s">
        <v>5510</v>
      </c>
      <c r="AZ735" s="13" t="s">
        <v>5510</v>
      </c>
      <c r="BA735" s="13" t="s">
        <v>5510</v>
      </c>
      <c r="BB735" s="13">
        <v>96.0</v>
      </c>
      <c r="BC735" s="13">
        <v>100.0</v>
      </c>
      <c r="BD735" s="13" t="s">
        <v>5510</v>
      </c>
      <c r="BE735" s="13" t="s">
        <v>18533</v>
      </c>
      <c r="BF735" s="52" t="str">
        <f>HYPERLINK("http://dx.doi.org/10.1016/j.biocon.2012.10.025","http://dx.doi.org/10.1016/j.biocon.2012.10.025")</f>
        <v>http://dx.doi.org/10.1016/j.biocon.2012.10.025</v>
      </c>
      <c r="BG735" s="13" t="s">
        <v>5510</v>
      </c>
      <c r="BH735" s="13" t="s">
        <v>5510</v>
      </c>
      <c r="BI735" s="13">
        <v>5.0</v>
      </c>
      <c r="BJ735" s="13" t="s">
        <v>5698</v>
      </c>
      <c r="BK735" s="13" t="s">
        <v>5561</v>
      </c>
      <c r="BL735" s="13" t="s">
        <v>5699</v>
      </c>
      <c r="BM735" s="13" t="s">
        <v>18534</v>
      </c>
      <c r="BN735" s="13" t="s">
        <v>5510</v>
      </c>
      <c r="BO735" s="13" t="s">
        <v>5510</v>
      </c>
      <c r="BP735" s="13" t="s">
        <v>5510</v>
      </c>
      <c r="BQ735" s="13" t="s">
        <v>5510</v>
      </c>
      <c r="BR735" s="13" t="s">
        <v>5538</v>
      </c>
      <c r="BS735" s="13" t="s">
        <v>18535</v>
      </c>
      <c r="BT735" s="13">
        <v>23881.0</v>
      </c>
      <c r="BU735" s="13" t="s">
        <v>5540</v>
      </c>
      <c r="BV735" s="13" t="s">
        <v>4856</v>
      </c>
      <c r="BW735" s="13" t="str">
        <f>VLOOKUP($BT735,Enriched!$A$2:$E$1070,5,false)</f>
        <v>["Agriculture &amp; Aquaculture"]</v>
      </c>
      <c r="BX735" s="13" t="str">
        <f>VLOOKUP($BT735,Enriched!$A$2:$E$1070,4,false)</f>
        <v>["Wood &amp; pulp plantations"]</v>
      </c>
      <c r="BY735" s="13" t="b">
        <f>VLOOKUP(BT735,Enriched!$A$1:$AA$1070,27,falsE)</f>
        <v>0</v>
      </c>
      <c r="BZ735" s="2" t="str">
        <f>VLOOKUP(BT735,Enriched!$A$1:$AA$1070,14,falsE)</f>
        <v>level2</v>
      </c>
      <c r="CA735" s="13" t="str">
        <f>HYPERLINK("https%3A%2F%2Fwww.webofscience.com%2Fwos%2Fwoscc%2Ffull-record%2FWOS:000320096300014","View Full Record in Web of Science")</f>
        <v>View Full Record in Web of Science</v>
      </c>
    </row>
    <row r="736" ht="12.75" customHeight="1">
      <c r="A736" s="13" t="s">
        <v>5508</v>
      </c>
      <c r="B736" s="13" t="s">
        <v>18536</v>
      </c>
      <c r="C736" s="13" t="s">
        <v>5510</v>
      </c>
      <c r="D736" s="13" t="s">
        <v>5510</v>
      </c>
      <c r="E736" s="13" t="s">
        <v>5510</v>
      </c>
      <c r="F736" s="13" t="s">
        <v>18537</v>
      </c>
      <c r="G736" s="13" t="s">
        <v>5510</v>
      </c>
      <c r="H736" s="13" t="s">
        <v>5510</v>
      </c>
      <c r="I736" s="13" t="s">
        <v>732</v>
      </c>
      <c r="J736" s="13" t="s">
        <v>5919</v>
      </c>
      <c r="K736" s="13" t="s">
        <v>5510</v>
      </c>
      <c r="L736" s="13" t="s">
        <v>5510</v>
      </c>
      <c r="M736" s="13" t="s">
        <v>5513</v>
      </c>
      <c r="N736" s="13" t="s">
        <v>5514</v>
      </c>
      <c r="O736" s="13" t="s">
        <v>5510</v>
      </c>
      <c r="P736" s="13" t="s">
        <v>5510</v>
      </c>
      <c r="Q736" s="13" t="s">
        <v>5510</v>
      </c>
      <c r="R736" s="13" t="s">
        <v>5510</v>
      </c>
      <c r="S736" s="13" t="s">
        <v>5510</v>
      </c>
      <c r="T736" s="13" t="s">
        <v>18538</v>
      </c>
      <c r="U736" s="13" t="s">
        <v>18539</v>
      </c>
      <c r="V736" s="13" t="s">
        <v>18540</v>
      </c>
      <c r="W736" s="13" t="s">
        <v>18541</v>
      </c>
      <c r="X736" s="13" t="s">
        <v>18542</v>
      </c>
      <c r="Y736" s="13" t="s">
        <v>18543</v>
      </c>
      <c r="Z736" s="13" t="s">
        <v>18544</v>
      </c>
      <c r="AA736" s="13" t="s">
        <v>18545</v>
      </c>
      <c r="AB736" s="13" t="s">
        <v>18546</v>
      </c>
      <c r="AC736" s="13" t="s">
        <v>18547</v>
      </c>
      <c r="AD736" s="13" t="s">
        <v>18548</v>
      </c>
      <c r="AE736" s="13" t="s">
        <v>18549</v>
      </c>
      <c r="AF736" s="13" t="s">
        <v>5510</v>
      </c>
      <c r="AG736" s="13">
        <v>60.0</v>
      </c>
      <c r="AH736" s="13">
        <v>44.0</v>
      </c>
      <c r="AI736" s="13">
        <v>48.0</v>
      </c>
      <c r="AJ736" s="13">
        <v>3.0</v>
      </c>
      <c r="AK736" s="13">
        <v>50.0</v>
      </c>
      <c r="AL736" s="13" t="s">
        <v>5931</v>
      </c>
      <c r="AM736" s="13" t="s">
        <v>5932</v>
      </c>
      <c r="AN736" s="13" t="s">
        <v>5933</v>
      </c>
      <c r="AO736" s="13" t="s">
        <v>5934</v>
      </c>
      <c r="AP736" s="13" t="s">
        <v>5935</v>
      </c>
      <c r="AQ736" s="13" t="s">
        <v>5510</v>
      </c>
      <c r="AR736" s="13" t="s">
        <v>5936</v>
      </c>
      <c r="AS736" s="13" t="s">
        <v>5937</v>
      </c>
      <c r="AT736" s="13" t="s">
        <v>1925</v>
      </c>
      <c r="AU736" s="13">
        <v>2019.0</v>
      </c>
      <c r="AV736" s="13">
        <v>237.0</v>
      </c>
      <c r="AW736" s="13" t="s">
        <v>5510</v>
      </c>
      <c r="AX736" s="13" t="s">
        <v>5510</v>
      </c>
      <c r="AY736" s="13" t="s">
        <v>5510</v>
      </c>
      <c r="AZ736" s="13" t="s">
        <v>5510</v>
      </c>
      <c r="BA736" s="13" t="s">
        <v>5510</v>
      </c>
      <c r="BB736" s="13">
        <v>19.0</v>
      </c>
      <c r="BC736" s="13">
        <v>27.0</v>
      </c>
      <c r="BD736" s="13" t="s">
        <v>5510</v>
      </c>
      <c r="BE736" s="13" t="s">
        <v>18550</v>
      </c>
      <c r="BF736" s="52" t="str">
        <f>HYPERLINK("http://dx.doi.org/10.1016/j.biocon.2019.06.014","http://dx.doi.org/10.1016/j.biocon.2019.06.014")</f>
        <v>http://dx.doi.org/10.1016/j.biocon.2019.06.014</v>
      </c>
      <c r="BG736" s="13" t="s">
        <v>5510</v>
      </c>
      <c r="BH736" s="13" t="s">
        <v>5510</v>
      </c>
      <c r="BI736" s="13">
        <v>9.0</v>
      </c>
      <c r="BJ736" s="13" t="s">
        <v>5698</v>
      </c>
      <c r="BK736" s="13" t="s">
        <v>5561</v>
      </c>
      <c r="BL736" s="13" t="s">
        <v>5699</v>
      </c>
      <c r="BM736" s="13" t="s">
        <v>18551</v>
      </c>
      <c r="BN736" s="13" t="s">
        <v>5510</v>
      </c>
      <c r="BO736" s="13" t="s">
        <v>5510</v>
      </c>
      <c r="BP736" s="13" t="s">
        <v>5510</v>
      </c>
      <c r="BQ736" s="13" t="s">
        <v>5510</v>
      </c>
      <c r="BR736" s="13" t="s">
        <v>5538</v>
      </c>
      <c r="BS736" s="13" t="s">
        <v>18552</v>
      </c>
      <c r="BT736" s="13">
        <v>24663.0</v>
      </c>
      <c r="BU736" s="13" t="s">
        <v>5540</v>
      </c>
      <c r="BV736" s="13" t="s">
        <v>4856</v>
      </c>
      <c r="BW736" s="13" t="str">
        <f>VLOOKUP($BT736,Enriched!$A$2:$E$1070,5,false)</f>
        <v>["Residential &amp; Commercial Development", "Agriculture &amp; Aquaculture", "Transportation &amp; Service Corridors"]</v>
      </c>
      <c r="BX736" s="13" t="str">
        <f>VLOOKUP($BT736,Enriched!$A$2:$E$1070,4,false)</f>
        <v>["Roads &amp; railroads"]</v>
      </c>
      <c r="BY736" s="13" t="b">
        <f>VLOOKUP(BT736,Enriched!$A$1:$AA$1070,27,falsE)</f>
        <v>1</v>
      </c>
      <c r="BZ736" s="2" t="str">
        <f>VLOOKUP(BT736,Enriched!$A$1:$AA$1070,14,falsE)</f>
        <v>cumulative</v>
      </c>
      <c r="CA736" s="13" t="str">
        <f>HYPERLINK("https%3A%2F%2Fwww.webofscience.com%2Fwos%2Fwoscc%2Ffull-record%2FWOS:000488314700003","View Full Record in Web of Science")</f>
        <v>View Full Record in Web of Science</v>
      </c>
    </row>
    <row r="737" ht="12.75" customHeight="1">
      <c r="A737" s="13" t="s">
        <v>5508</v>
      </c>
      <c r="B737" s="13" t="s">
        <v>18553</v>
      </c>
      <c r="C737" s="13" t="s">
        <v>5510</v>
      </c>
      <c r="D737" s="13" t="s">
        <v>5510</v>
      </c>
      <c r="E737" s="13" t="s">
        <v>5510</v>
      </c>
      <c r="F737" s="13" t="s">
        <v>18554</v>
      </c>
      <c r="G737" s="13" t="s">
        <v>5510</v>
      </c>
      <c r="H737" s="13" t="s">
        <v>5510</v>
      </c>
      <c r="I737" s="13" t="s">
        <v>730</v>
      </c>
      <c r="J737" s="13" t="s">
        <v>5919</v>
      </c>
      <c r="K737" s="13" t="s">
        <v>5510</v>
      </c>
      <c r="L737" s="13" t="s">
        <v>5510</v>
      </c>
      <c r="M737" s="13" t="s">
        <v>5513</v>
      </c>
      <c r="N737" s="13" t="s">
        <v>5514</v>
      </c>
      <c r="O737" s="13" t="s">
        <v>5510</v>
      </c>
      <c r="P737" s="13" t="s">
        <v>5510</v>
      </c>
      <c r="Q737" s="13" t="s">
        <v>5510</v>
      </c>
      <c r="R737" s="13" t="s">
        <v>5510</v>
      </c>
      <c r="S737" s="13" t="s">
        <v>5510</v>
      </c>
      <c r="T737" s="13" t="s">
        <v>18555</v>
      </c>
      <c r="U737" s="13" t="s">
        <v>18556</v>
      </c>
      <c r="V737" s="13" t="s">
        <v>18557</v>
      </c>
      <c r="W737" s="13" t="s">
        <v>18558</v>
      </c>
      <c r="X737" s="13" t="s">
        <v>18559</v>
      </c>
      <c r="Y737" s="13" t="s">
        <v>18560</v>
      </c>
      <c r="Z737" s="13" t="s">
        <v>18561</v>
      </c>
      <c r="AA737" s="13" t="s">
        <v>18562</v>
      </c>
      <c r="AB737" s="13" t="s">
        <v>18563</v>
      </c>
      <c r="AC737" s="13" t="s">
        <v>18564</v>
      </c>
      <c r="AD737" s="13" t="s">
        <v>18565</v>
      </c>
      <c r="AE737" s="13" t="s">
        <v>18566</v>
      </c>
      <c r="AF737" s="13" t="s">
        <v>5510</v>
      </c>
      <c r="AG737" s="13">
        <v>73.0</v>
      </c>
      <c r="AH737" s="13">
        <v>15.0</v>
      </c>
      <c r="AI737" s="13">
        <v>16.0</v>
      </c>
      <c r="AJ737" s="13">
        <v>0.0</v>
      </c>
      <c r="AK737" s="13">
        <v>19.0</v>
      </c>
      <c r="AL737" s="13" t="s">
        <v>5931</v>
      </c>
      <c r="AM737" s="13" t="s">
        <v>5932</v>
      </c>
      <c r="AN737" s="13" t="s">
        <v>5933</v>
      </c>
      <c r="AO737" s="13" t="s">
        <v>5934</v>
      </c>
      <c r="AP737" s="13" t="s">
        <v>5935</v>
      </c>
      <c r="AQ737" s="13" t="s">
        <v>5510</v>
      </c>
      <c r="AR737" s="13" t="s">
        <v>5936</v>
      </c>
      <c r="AS737" s="13" t="s">
        <v>5937</v>
      </c>
      <c r="AT737" s="13" t="s">
        <v>2738</v>
      </c>
      <c r="AU737" s="13">
        <v>2018.0</v>
      </c>
      <c r="AV737" s="13">
        <v>218.0</v>
      </c>
      <c r="AW737" s="13" t="s">
        <v>5510</v>
      </c>
      <c r="AX737" s="13" t="s">
        <v>5510</v>
      </c>
      <c r="AY737" s="13" t="s">
        <v>5510</v>
      </c>
      <c r="AZ737" s="13" t="s">
        <v>5510</v>
      </c>
      <c r="BA737" s="13" t="s">
        <v>5510</v>
      </c>
      <c r="BB737" s="13">
        <v>10.0</v>
      </c>
      <c r="BC737" s="13">
        <v>17.0</v>
      </c>
      <c r="BD737" s="13" t="s">
        <v>5510</v>
      </c>
      <c r="BE737" s="13" t="s">
        <v>18567</v>
      </c>
      <c r="BF737" s="52" t="str">
        <f>HYPERLINK("http://dx.doi.org/10.1016/j.biocon.2017.12.003","http://dx.doi.org/10.1016/j.biocon.2017.12.003")</f>
        <v>http://dx.doi.org/10.1016/j.biocon.2017.12.003</v>
      </c>
      <c r="BG737" s="13" t="s">
        <v>5510</v>
      </c>
      <c r="BH737" s="13" t="s">
        <v>5510</v>
      </c>
      <c r="BI737" s="13">
        <v>8.0</v>
      </c>
      <c r="BJ737" s="13" t="s">
        <v>5698</v>
      </c>
      <c r="BK737" s="13" t="s">
        <v>5561</v>
      </c>
      <c r="BL737" s="13" t="s">
        <v>5699</v>
      </c>
      <c r="BM737" s="13" t="s">
        <v>18568</v>
      </c>
      <c r="BN737" s="13" t="s">
        <v>5510</v>
      </c>
      <c r="BO737" s="13" t="s">
        <v>5510</v>
      </c>
      <c r="BP737" s="13" t="s">
        <v>5510</v>
      </c>
      <c r="BQ737" s="13" t="s">
        <v>5510</v>
      </c>
      <c r="BR737" s="13" t="s">
        <v>5538</v>
      </c>
      <c r="BS737" s="13" t="s">
        <v>18569</v>
      </c>
      <c r="BT737" s="13">
        <v>26074.0</v>
      </c>
      <c r="BU737" s="13" t="s">
        <v>5540</v>
      </c>
      <c r="BV737" s="13" t="s">
        <v>4856</v>
      </c>
      <c r="BW737" s="13" t="str">
        <f>VLOOKUP($BT737,Enriched!$A$2:$E$1070,5,false)</f>
        <v>["Natural System Modifications", "Transportation &amp; Service Corridors", "Agriculture &amp; aquaculture"]</v>
      </c>
      <c r="BX737" s="13" t="str">
        <f>VLOOKUP($BT737,Enriched!$A$2:$E$1070,4,false)</f>
        <v>[ "Fire &amp; fire suppression", "Roads &amp; railroads", "Housing &amp; urban area"]</v>
      </c>
      <c r="BY737" s="13" t="b">
        <f>VLOOKUP(BT737,Enriched!$A$1:$AA$1070,27,falsE)</f>
        <v>1</v>
      </c>
      <c r="BZ737" s="2" t="str">
        <f>VLOOKUP(BT737,Enriched!$A$1:$AA$1070,14,falsE)</f>
        <v>level2</v>
      </c>
      <c r="CA737" s="13" t="str">
        <f>HYPERLINK("https%3A%2F%2Fwww.webofscience.com%2Fwos%2Fwoscc%2Ffull-record%2FWOS:000424177400002","View Full Record in Web of Science")</f>
        <v>View Full Record in Web of Science</v>
      </c>
    </row>
    <row r="738" ht="12.75" customHeight="1">
      <c r="A738" s="13" t="s">
        <v>5508</v>
      </c>
      <c r="B738" s="13" t="s">
        <v>18570</v>
      </c>
      <c r="C738" s="13" t="s">
        <v>5510</v>
      </c>
      <c r="D738" s="13" t="s">
        <v>5510</v>
      </c>
      <c r="E738" s="13" t="s">
        <v>5510</v>
      </c>
      <c r="F738" s="13" t="s">
        <v>18571</v>
      </c>
      <c r="G738" s="13" t="s">
        <v>5510</v>
      </c>
      <c r="H738" s="13" t="s">
        <v>5510</v>
      </c>
      <c r="I738" s="13" t="s">
        <v>728</v>
      </c>
      <c r="J738" s="13" t="s">
        <v>15028</v>
      </c>
      <c r="K738" s="13" t="s">
        <v>5510</v>
      </c>
      <c r="L738" s="13" t="s">
        <v>5510</v>
      </c>
      <c r="M738" s="13" t="s">
        <v>5513</v>
      </c>
      <c r="N738" s="13" t="s">
        <v>5514</v>
      </c>
      <c r="O738" s="13" t="s">
        <v>5510</v>
      </c>
      <c r="P738" s="13" t="s">
        <v>5510</v>
      </c>
      <c r="Q738" s="13" t="s">
        <v>5510</v>
      </c>
      <c r="R738" s="13" t="s">
        <v>5510</v>
      </c>
      <c r="S738" s="13" t="s">
        <v>5510</v>
      </c>
      <c r="T738" s="13" t="s">
        <v>18572</v>
      </c>
      <c r="U738" s="13" t="s">
        <v>18573</v>
      </c>
      <c r="V738" s="13" t="s">
        <v>18574</v>
      </c>
      <c r="W738" s="13" t="s">
        <v>18575</v>
      </c>
      <c r="X738" s="13" t="s">
        <v>18576</v>
      </c>
      <c r="Y738" s="13" t="s">
        <v>18577</v>
      </c>
      <c r="Z738" s="13" t="s">
        <v>18578</v>
      </c>
      <c r="AA738" s="13" t="s">
        <v>18579</v>
      </c>
      <c r="AB738" s="13" t="s">
        <v>18580</v>
      </c>
      <c r="AC738" s="13" t="s">
        <v>18581</v>
      </c>
      <c r="AD738" s="13" t="s">
        <v>18581</v>
      </c>
      <c r="AE738" s="13" t="s">
        <v>18582</v>
      </c>
      <c r="AF738" s="13" t="s">
        <v>5510</v>
      </c>
      <c r="AG738" s="13">
        <v>55.0</v>
      </c>
      <c r="AH738" s="13">
        <v>14.0</v>
      </c>
      <c r="AI738" s="13">
        <v>16.0</v>
      </c>
      <c r="AJ738" s="13">
        <v>1.0</v>
      </c>
      <c r="AK738" s="13">
        <v>40.0</v>
      </c>
      <c r="AL738" s="13" t="s">
        <v>5690</v>
      </c>
      <c r="AM738" s="13" t="s">
        <v>6503</v>
      </c>
      <c r="AN738" s="13" t="s">
        <v>6504</v>
      </c>
      <c r="AO738" s="13" t="s">
        <v>15041</v>
      </c>
      <c r="AP738" s="13" t="s">
        <v>15042</v>
      </c>
      <c r="AQ738" s="13" t="s">
        <v>5510</v>
      </c>
      <c r="AR738" s="13" t="s">
        <v>15043</v>
      </c>
      <c r="AS738" s="13" t="s">
        <v>15044</v>
      </c>
      <c r="AT738" s="13" t="s">
        <v>2514</v>
      </c>
      <c r="AU738" s="13">
        <v>2017.0</v>
      </c>
      <c r="AV738" s="13">
        <v>63.0</v>
      </c>
      <c r="AW738" s="13">
        <v>5.0</v>
      </c>
      <c r="AX738" s="13" t="s">
        <v>5510</v>
      </c>
      <c r="AY738" s="13" t="s">
        <v>5510</v>
      </c>
      <c r="AZ738" s="13" t="s">
        <v>5510</v>
      </c>
      <c r="BA738" s="13" t="s">
        <v>5510</v>
      </c>
      <c r="BB738" s="13" t="s">
        <v>5510</v>
      </c>
      <c r="BC738" s="13" t="s">
        <v>5510</v>
      </c>
      <c r="BD738" s="13">
        <v>83.0</v>
      </c>
      <c r="BE738" s="13" t="s">
        <v>18583</v>
      </c>
      <c r="BF738" s="52" t="str">
        <f>HYPERLINK("http://dx.doi.org/10.1007/s10344-017-1139-9","http://dx.doi.org/10.1007/s10344-017-1139-9")</f>
        <v>http://dx.doi.org/10.1007/s10344-017-1139-9</v>
      </c>
      <c r="BG738" s="13" t="s">
        <v>5510</v>
      </c>
      <c r="BH738" s="13" t="s">
        <v>5510</v>
      </c>
      <c r="BI738" s="13">
        <v>14.0</v>
      </c>
      <c r="BJ738" s="13" t="s">
        <v>5584</v>
      </c>
      <c r="BK738" s="13" t="s">
        <v>5561</v>
      </c>
      <c r="BL738" s="13" t="s">
        <v>5585</v>
      </c>
      <c r="BM738" s="13" t="s">
        <v>18584</v>
      </c>
      <c r="BN738" s="13" t="s">
        <v>5510</v>
      </c>
      <c r="BO738" s="13" t="s">
        <v>5510</v>
      </c>
      <c r="BP738" s="13" t="s">
        <v>5510</v>
      </c>
      <c r="BQ738" s="13" t="s">
        <v>5510</v>
      </c>
      <c r="BR738" s="13" t="s">
        <v>5538</v>
      </c>
      <c r="BS738" s="13" t="s">
        <v>18585</v>
      </c>
      <c r="BT738" s="13">
        <v>25751.0</v>
      </c>
      <c r="BU738" s="13" t="s">
        <v>5540</v>
      </c>
      <c r="BV738" s="13" t="s">
        <v>4856</v>
      </c>
      <c r="BW738" s="13" t="str">
        <f>VLOOKUP($BT738,Enriched!$A$2:$E$1070,5,false)</f>
        <v>["Agriculture &amp; aquaculture"]</v>
      </c>
      <c r="BX738" s="13" t="str">
        <f>VLOOKUP($BT738,Enriched!$A$2:$E$1070,4,false)</f>
        <v>["Annual &amp; perennial non-timber crops"]</v>
      </c>
      <c r="BY738" s="13" t="b">
        <f>VLOOKUP(BT738,Enriched!$A$1:$AA$1070,27,falsE)</f>
        <v>0</v>
      </c>
      <c r="BZ738" s="2" t="str">
        <f>VLOOKUP(BT738,Enriched!$A$1:$AA$1070,14,falsE)</f>
        <v>level2</v>
      </c>
      <c r="CA738" s="13" t="str">
        <f>HYPERLINK("https%3A%2F%2Fwww.webofscience.com%2Fwos%2Fwoscc%2Ffull-record%2FWOS:000413696400004","View Full Record in Web of Science")</f>
        <v>View Full Record in Web of Science</v>
      </c>
    </row>
    <row r="739" ht="12.75" customHeight="1">
      <c r="A739" s="13" t="s">
        <v>5508</v>
      </c>
      <c r="B739" s="13" t="s">
        <v>18586</v>
      </c>
      <c r="C739" s="13" t="s">
        <v>5510</v>
      </c>
      <c r="D739" s="13" t="s">
        <v>5510</v>
      </c>
      <c r="E739" s="13" t="s">
        <v>5510</v>
      </c>
      <c r="F739" s="13" t="s">
        <v>18587</v>
      </c>
      <c r="G739" s="13" t="s">
        <v>5510</v>
      </c>
      <c r="H739" s="13" t="s">
        <v>5510</v>
      </c>
      <c r="I739" s="13" t="s">
        <v>726</v>
      </c>
      <c r="J739" s="13" t="s">
        <v>8925</v>
      </c>
      <c r="K739" s="13" t="s">
        <v>5510</v>
      </c>
      <c r="L739" s="13" t="s">
        <v>5510</v>
      </c>
      <c r="M739" s="13" t="s">
        <v>5513</v>
      </c>
      <c r="N739" s="13" t="s">
        <v>5514</v>
      </c>
      <c r="O739" s="13" t="s">
        <v>5510</v>
      </c>
      <c r="P739" s="13" t="s">
        <v>5510</v>
      </c>
      <c r="Q739" s="13" t="s">
        <v>5510</v>
      </c>
      <c r="R739" s="13" t="s">
        <v>5510</v>
      </c>
      <c r="S739" s="13" t="s">
        <v>5510</v>
      </c>
      <c r="T739" s="13" t="s">
        <v>5510</v>
      </c>
      <c r="U739" s="13" t="s">
        <v>18588</v>
      </c>
      <c r="V739" s="13" t="s">
        <v>18589</v>
      </c>
      <c r="W739" s="13" t="s">
        <v>18590</v>
      </c>
      <c r="X739" s="13" t="s">
        <v>18591</v>
      </c>
      <c r="Y739" s="13" t="s">
        <v>18592</v>
      </c>
      <c r="Z739" s="13" t="s">
        <v>18593</v>
      </c>
      <c r="AA739" s="13" t="s">
        <v>18594</v>
      </c>
      <c r="AB739" s="13" t="s">
        <v>18595</v>
      </c>
      <c r="AC739" s="13" t="s">
        <v>18596</v>
      </c>
      <c r="AD739" s="13" t="s">
        <v>18597</v>
      </c>
      <c r="AE739" s="13" t="s">
        <v>18598</v>
      </c>
      <c r="AF739" s="13" t="s">
        <v>5510</v>
      </c>
      <c r="AG739" s="13">
        <v>69.0</v>
      </c>
      <c r="AH739" s="13">
        <v>155.0</v>
      </c>
      <c r="AI739" s="13">
        <v>175.0</v>
      </c>
      <c r="AJ739" s="13">
        <v>4.0</v>
      </c>
      <c r="AK739" s="13">
        <v>101.0</v>
      </c>
      <c r="AL739" s="13" t="s">
        <v>8807</v>
      </c>
      <c r="AM739" s="13" t="s">
        <v>8808</v>
      </c>
      <c r="AN739" s="13" t="s">
        <v>8809</v>
      </c>
      <c r="AO739" s="13" t="s">
        <v>5510</v>
      </c>
      <c r="AP739" s="13" t="s">
        <v>8939</v>
      </c>
      <c r="AQ739" s="13" t="s">
        <v>5510</v>
      </c>
      <c r="AR739" s="13" t="s">
        <v>8940</v>
      </c>
      <c r="AS739" s="13" t="s">
        <v>8941</v>
      </c>
      <c r="AT739" s="13" t="s">
        <v>18599</v>
      </c>
      <c r="AU739" s="13">
        <v>2018.0</v>
      </c>
      <c r="AV739" s="13">
        <v>9.0</v>
      </c>
      <c r="AW739" s="13" t="s">
        <v>5510</v>
      </c>
      <c r="AX739" s="13" t="s">
        <v>5510</v>
      </c>
      <c r="AY739" s="13" t="s">
        <v>5510</v>
      </c>
      <c r="AZ739" s="13" t="s">
        <v>5510</v>
      </c>
      <c r="BA739" s="13" t="s">
        <v>5510</v>
      </c>
      <c r="BB739" s="13" t="s">
        <v>5510</v>
      </c>
      <c r="BC739" s="13" t="s">
        <v>5510</v>
      </c>
      <c r="BD739" s="13">
        <v>4052.0</v>
      </c>
      <c r="BE739" s="13" t="s">
        <v>18600</v>
      </c>
      <c r="BF739" s="52" t="str">
        <f>HYPERLINK("http://dx.doi.org/10.1038/s41467-018-06579-2","http://dx.doi.org/10.1038/s41467-018-06579-2")</f>
        <v>http://dx.doi.org/10.1038/s41467-018-06579-2</v>
      </c>
      <c r="BG739" s="13" t="s">
        <v>5510</v>
      </c>
      <c r="BH739" s="13" t="s">
        <v>5510</v>
      </c>
      <c r="BI739" s="13">
        <v>9.0</v>
      </c>
      <c r="BJ739" s="13" t="s">
        <v>5560</v>
      </c>
      <c r="BK739" s="13" t="s">
        <v>5561</v>
      </c>
      <c r="BL739" s="13" t="s">
        <v>5562</v>
      </c>
      <c r="BM739" s="13" t="s">
        <v>18601</v>
      </c>
      <c r="BN739" s="13">
        <v>3.0283038E7</v>
      </c>
      <c r="BO739" s="13" t="s">
        <v>5564</v>
      </c>
      <c r="BP739" s="13" t="s">
        <v>5510</v>
      </c>
      <c r="BQ739" s="13" t="s">
        <v>5510</v>
      </c>
      <c r="BR739" s="13" t="s">
        <v>5538</v>
      </c>
      <c r="BS739" s="13" t="s">
        <v>18602</v>
      </c>
      <c r="BT739" s="13">
        <v>25712.0</v>
      </c>
      <c r="BU739" s="13" t="s">
        <v>5540</v>
      </c>
      <c r="BV739" s="13" t="s">
        <v>4856</v>
      </c>
      <c r="BW739" s="13" t="str">
        <f>VLOOKUP($BT739,Enriched!$A$2:$E$1070,5,false)</f>
        <v>["Biological resource use"]</v>
      </c>
      <c r="BX739" s="13" t="str">
        <f>VLOOKUP($BT739,Enriched!$A$2:$E$1070,4,false)</f>
        <v>["Hunting &amp; collecting terrestrial animals"]</v>
      </c>
      <c r="BY739" s="13" t="b">
        <f>VLOOKUP(BT739,Enriched!$A$1:$AA$1070,27,falsE)</f>
        <v>0</v>
      </c>
      <c r="BZ739" s="2" t="str">
        <f>VLOOKUP(BT739,Enriched!$A$1:$AA$1070,14,falsE)</f>
        <v>level2</v>
      </c>
      <c r="CA739" s="13" t="str">
        <f>HYPERLINK("https%3A%2F%2Fwww.webofscience.com%2Fwos%2Fwoscc%2Ffull-record%2FWOS:000446331900004","View Full Record in Web of Science")</f>
        <v>View Full Record in Web of Science</v>
      </c>
    </row>
    <row r="740" ht="12.75" customHeight="1">
      <c r="A740" s="13" t="s">
        <v>5508</v>
      </c>
      <c r="B740" s="13" t="s">
        <v>18603</v>
      </c>
      <c r="C740" s="13" t="s">
        <v>5510</v>
      </c>
      <c r="D740" s="13" t="s">
        <v>5510</v>
      </c>
      <c r="E740" s="13" t="s">
        <v>5510</v>
      </c>
      <c r="F740" s="13" t="s">
        <v>18604</v>
      </c>
      <c r="G740" s="13" t="s">
        <v>5510</v>
      </c>
      <c r="H740" s="13" t="s">
        <v>5510</v>
      </c>
      <c r="I740" s="13" t="s">
        <v>724</v>
      </c>
      <c r="J740" s="13" t="s">
        <v>6333</v>
      </c>
      <c r="K740" s="13" t="s">
        <v>5510</v>
      </c>
      <c r="L740" s="13" t="s">
        <v>5510</v>
      </c>
      <c r="M740" s="13" t="s">
        <v>5513</v>
      </c>
      <c r="N740" s="13" t="s">
        <v>5514</v>
      </c>
      <c r="O740" s="13" t="s">
        <v>5510</v>
      </c>
      <c r="P740" s="13" t="s">
        <v>5510</v>
      </c>
      <c r="Q740" s="13" t="s">
        <v>5510</v>
      </c>
      <c r="R740" s="13" t="s">
        <v>5510</v>
      </c>
      <c r="S740" s="13" t="s">
        <v>5510</v>
      </c>
      <c r="T740" s="13" t="s">
        <v>18605</v>
      </c>
      <c r="U740" s="13" t="s">
        <v>18606</v>
      </c>
      <c r="V740" s="13" t="s">
        <v>18607</v>
      </c>
      <c r="W740" s="13" t="s">
        <v>18608</v>
      </c>
      <c r="X740" s="13" t="s">
        <v>18609</v>
      </c>
      <c r="Y740" s="13" t="s">
        <v>18610</v>
      </c>
      <c r="Z740" s="13" t="s">
        <v>18611</v>
      </c>
      <c r="AA740" s="13" t="s">
        <v>18612</v>
      </c>
      <c r="AB740" s="13" t="s">
        <v>18613</v>
      </c>
      <c r="AC740" s="13" t="s">
        <v>18614</v>
      </c>
      <c r="AD740" s="13" t="s">
        <v>18615</v>
      </c>
      <c r="AE740" s="13" t="s">
        <v>18616</v>
      </c>
      <c r="AF740" s="13" t="s">
        <v>5510</v>
      </c>
      <c r="AG740" s="13">
        <v>40.0</v>
      </c>
      <c r="AH740" s="13">
        <v>61.0</v>
      </c>
      <c r="AI740" s="13">
        <v>68.0</v>
      </c>
      <c r="AJ740" s="13">
        <v>0.0</v>
      </c>
      <c r="AK740" s="13">
        <v>35.0</v>
      </c>
      <c r="AL740" s="13" t="s">
        <v>5527</v>
      </c>
      <c r="AM740" s="13" t="s">
        <v>5528</v>
      </c>
      <c r="AN740" s="13" t="s">
        <v>5529</v>
      </c>
      <c r="AO740" s="13" t="s">
        <v>6342</v>
      </c>
      <c r="AP740" s="13" t="s">
        <v>6343</v>
      </c>
      <c r="AQ740" s="13" t="s">
        <v>5510</v>
      </c>
      <c r="AR740" s="13" t="s">
        <v>6344</v>
      </c>
      <c r="AS740" s="13" t="s">
        <v>6345</v>
      </c>
      <c r="AT740" s="13" t="s">
        <v>2514</v>
      </c>
      <c r="AU740" s="13">
        <v>2020.0</v>
      </c>
      <c r="AV740" s="13">
        <v>34.0</v>
      </c>
      <c r="AW740" s="13">
        <v>5.0</v>
      </c>
      <c r="AX740" s="13" t="s">
        <v>5510</v>
      </c>
      <c r="AY740" s="13" t="s">
        <v>5510</v>
      </c>
      <c r="AZ740" s="13" t="s">
        <v>5510</v>
      </c>
      <c r="BA740" s="13" t="s">
        <v>5510</v>
      </c>
      <c r="BB740" s="13">
        <v>1271.0</v>
      </c>
      <c r="BC740" s="13">
        <v>1280.0</v>
      </c>
      <c r="BD740" s="13" t="s">
        <v>5510</v>
      </c>
      <c r="BE740" s="13" t="s">
        <v>18617</v>
      </c>
      <c r="BF740" s="52" t="str">
        <f>HYPERLINK("http://dx.doi.org/10.1111/cobi.13459","http://dx.doi.org/10.1111/cobi.13459")</f>
        <v>http://dx.doi.org/10.1111/cobi.13459</v>
      </c>
      <c r="BG740" s="13" t="s">
        <v>5510</v>
      </c>
      <c r="BH740" s="13" t="s">
        <v>6462</v>
      </c>
      <c r="BI740" s="13">
        <v>10.0</v>
      </c>
      <c r="BJ740" s="13" t="s">
        <v>5698</v>
      </c>
      <c r="BK740" s="13" t="s">
        <v>5561</v>
      </c>
      <c r="BL740" s="13" t="s">
        <v>5699</v>
      </c>
      <c r="BM740" s="13" t="s">
        <v>18618</v>
      </c>
      <c r="BN740" s="13">
        <v>3.1919881E7</v>
      </c>
      <c r="BO740" s="13" t="s">
        <v>6028</v>
      </c>
      <c r="BP740" s="13" t="s">
        <v>5510</v>
      </c>
      <c r="BQ740" s="13" t="s">
        <v>5510</v>
      </c>
      <c r="BR740" s="13" t="s">
        <v>5538</v>
      </c>
      <c r="BS740" s="13" t="s">
        <v>18619</v>
      </c>
      <c r="BT740" s="13">
        <v>23982.0</v>
      </c>
      <c r="BU740" s="13" t="s">
        <v>5540</v>
      </c>
      <c r="BV740" s="13" t="s">
        <v>4856</v>
      </c>
      <c r="BW740" s="13" t="str">
        <f>VLOOKUP($BT740,Enriched!$A$2:$E$1070,5,false)</f>
        <v>["Agriculture &amp; Aquaculture", "Biological Resource Use"]</v>
      </c>
      <c r="BX740" s="13" t="str">
        <f>VLOOKUP($BT740,Enriched!$A$2:$E$1070,4,false)</f>
        <v>["Housing &amp; urban area", "Annual &amp; perennial non-timber crops", "Wood &amp; pulp plantations", "Livestock farming &amp; ranching", "Hunting &amp; collecting terrestrial animals"]</v>
      </c>
      <c r="BY740" s="13" t="b">
        <f>VLOOKUP(BT740,Enriched!$A$1:$AA$1070,27,falsE)</f>
        <v>0</v>
      </c>
      <c r="BZ740" s="2" t="str">
        <f>VLOOKUP(BT740,Enriched!$A$1:$AA$1070,14,falsE)</f>
        <v>level2</v>
      </c>
      <c r="CA740" s="13" t="str">
        <f>HYPERLINK("https%3A%2F%2Fwww.webofscience.com%2Fwos%2Fwoscc%2Ffull-record%2FWOS:000567338600001","View Full Record in Web of Science")</f>
        <v>View Full Record in Web of Science</v>
      </c>
    </row>
    <row r="741" ht="12.75" customHeight="1">
      <c r="A741" s="13" t="s">
        <v>5508</v>
      </c>
      <c r="B741" s="13" t="s">
        <v>18620</v>
      </c>
      <c r="C741" s="13" t="s">
        <v>5510</v>
      </c>
      <c r="D741" s="13" t="s">
        <v>5510</v>
      </c>
      <c r="E741" s="13" t="s">
        <v>5510</v>
      </c>
      <c r="F741" s="13" t="s">
        <v>18621</v>
      </c>
      <c r="G741" s="13" t="s">
        <v>5510</v>
      </c>
      <c r="H741" s="13" t="s">
        <v>5510</v>
      </c>
      <c r="I741" s="13" t="s">
        <v>721</v>
      </c>
      <c r="J741" s="13" t="s">
        <v>6333</v>
      </c>
      <c r="K741" s="13" t="s">
        <v>5510</v>
      </c>
      <c r="L741" s="13" t="s">
        <v>5510</v>
      </c>
      <c r="M741" s="13" t="s">
        <v>5513</v>
      </c>
      <c r="N741" s="13" t="s">
        <v>5514</v>
      </c>
      <c r="O741" s="13" t="s">
        <v>5510</v>
      </c>
      <c r="P741" s="13" t="s">
        <v>5510</v>
      </c>
      <c r="Q741" s="13" t="s">
        <v>5510</v>
      </c>
      <c r="R741" s="13" t="s">
        <v>5510</v>
      </c>
      <c r="S741" s="13" t="s">
        <v>5510</v>
      </c>
      <c r="T741" s="13" t="s">
        <v>18622</v>
      </c>
      <c r="U741" s="13" t="s">
        <v>18623</v>
      </c>
      <c r="V741" s="13" t="s">
        <v>18624</v>
      </c>
      <c r="W741" s="13" t="s">
        <v>18625</v>
      </c>
      <c r="X741" s="13" t="s">
        <v>18626</v>
      </c>
      <c r="Y741" s="13" t="s">
        <v>18627</v>
      </c>
      <c r="Z741" s="13" t="s">
        <v>18628</v>
      </c>
      <c r="AA741" s="13" t="s">
        <v>18629</v>
      </c>
      <c r="AB741" s="13" t="s">
        <v>5510</v>
      </c>
      <c r="AC741" s="13" t="s">
        <v>5510</v>
      </c>
      <c r="AD741" s="13" t="s">
        <v>5510</v>
      </c>
      <c r="AE741" s="13" t="s">
        <v>5510</v>
      </c>
      <c r="AF741" s="13" t="s">
        <v>5510</v>
      </c>
      <c r="AG741" s="13">
        <v>18.0</v>
      </c>
      <c r="AH741" s="13">
        <v>113.0</v>
      </c>
      <c r="AI741" s="13">
        <v>135.0</v>
      </c>
      <c r="AJ741" s="13">
        <v>1.0</v>
      </c>
      <c r="AK741" s="13">
        <v>168.0</v>
      </c>
      <c r="AL741" s="13" t="s">
        <v>10790</v>
      </c>
      <c r="AM741" s="13" t="s">
        <v>9226</v>
      </c>
      <c r="AN741" s="13" t="s">
        <v>18630</v>
      </c>
      <c r="AO741" s="13" t="s">
        <v>6342</v>
      </c>
      <c r="AP741" s="13" t="s">
        <v>5510</v>
      </c>
      <c r="AQ741" s="13" t="s">
        <v>5510</v>
      </c>
      <c r="AR741" s="13" t="s">
        <v>6344</v>
      </c>
      <c r="AS741" s="13" t="s">
        <v>6345</v>
      </c>
      <c r="AT741" s="13" t="s">
        <v>6175</v>
      </c>
      <c r="AU741" s="13">
        <v>2008.0</v>
      </c>
      <c r="AV741" s="13">
        <v>22.0</v>
      </c>
      <c r="AW741" s="13">
        <v>4.0</v>
      </c>
      <c r="AX741" s="13" t="s">
        <v>5510</v>
      </c>
      <c r="AY741" s="13" t="s">
        <v>5510</v>
      </c>
      <c r="AZ741" s="13" t="s">
        <v>5510</v>
      </c>
      <c r="BA741" s="13" t="s">
        <v>5510</v>
      </c>
      <c r="BB741" s="13">
        <v>1065.0</v>
      </c>
      <c r="BC741" s="13">
        <v>1071.0</v>
      </c>
      <c r="BD741" s="13" t="s">
        <v>5510</v>
      </c>
      <c r="BE741" s="13" t="s">
        <v>18631</v>
      </c>
      <c r="BF741" s="52" t="str">
        <f>HYPERLINK("http://dx.doi.org/10.1111/j.1523-1739.2008.01012.x","http://dx.doi.org/10.1111/j.1523-1739.2008.01012.x")</f>
        <v>http://dx.doi.org/10.1111/j.1523-1739.2008.01012.x</v>
      </c>
      <c r="BG741" s="13" t="s">
        <v>5510</v>
      </c>
      <c r="BH741" s="13" t="s">
        <v>5510</v>
      </c>
      <c r="BI741" s="13">
        <v>7.0</v>
      </c>
      <c r="BJ741" s="13" t="s">
        <v>5698</v>
      </c>
      <c r="BK741" s="13" t="s">
        <v>5561</v>
      </c>
      <c r="BL741" s="13" t="s">
        <v>5699</v>
      </c>
      <c r="BM741" s="13" t="s">
        <v>18632</v>
      </c>
      <c r="BN741" s="13">
        <v>1.87861E7</v>
      </c>
      <c r="BO741" s="13" t="s">
        <v>5809</v>
      </c>
      <c r="BP741" s="13" t="s">
        <v>5510</v>
      </c>
      <c r="BQ741" s="13" t="s">
        <v>5510</v>
      </c>
      <c r="BR741" s="13" t="s">
        <v>5538</v>
      </c>
      <c r="BS741" s="13" t="s">
        <v>18633</v>
      </c>
      <c r="BT741" s="13">
        <v>25978.0</v>
      </c>
      <c r="BU741" s="13" t="s">
        <v>5540</v>
      </c>
      <c r="BV741" s="13" t="s">
        <v>4856</v>
      </c>
      <c r="BW741" s="13" t="str">
        <f>VLOOKUP($BT741,Enriched!$A$2:$E$1070,5,false)</f>
        <v>["Biological resource use"]</v>
      </c>
      <c r="BX741" s="13" t="str">
        <f>VLOOKUP($BT741,Enriched!$A$2:$E$1070,4,false)</f>
        <v>["Hunting &amp; collecting terrestrial animals"]</v>
      </c>
      <c r="BY741" s="13" t="b">
        <f>VLOOKUP(BT741,Enriched!$A$1:$AA$1070,27,falsE)</f>
        <v>0</v>
      </c>
      <c r="BZ741" s="2" t="str">
        <f>VLOOKUP(BT741,Enriched!$A$1:$AA$1070,14,falsE)</f>
        <v>level2</v>
      </c>
      <c r="CA741" s="13" t="str">
        <f>HYPERLINK("https%3A%2F%2Fwww.webofscience.com%2Fwos%2Fwoscc%2Ffull-record%2FWOS:000258216600032","View Full Record in Web of Science")</f>
        <v>View Full Record in Web of Science</v>
      </c>
    </row>
    <row r="742" ht="12.75" customHeight="1">
      <c r="A742" s="13" t="s">
        <v>5508</v>
      </c>
      <c r="B742" s="13" t="s">
        <v>18634</v>
      </c>
      <c r="C742" s="13" t="s">
        <v>5510</v>
      </c>
      <c r="D742" s="13" t="s">
        <v>5510</v>
      </c>
      <c r="E742" s="13" t="s">
        <v>5510</v>
      </c>
      <c r="F742" s="13" t="s">
        <v>18635</v>
      </c>
      <c r="G742" s="13" t="s">
        <v>5510</v>
      </c>
      <c r="H742" s="13" t="s">
        <v>5510</v>
      </c>
      <c r="I742" s="13" t="s">
        <v>718</v>
      </c>
      <c r="J742" s="13" t="s">
        <v>5849</v>
      </c>
      <c r="K742" s="13" t="s">
        <v>5510</v>
      </c>
      <c r="L742" s="13" t="s">
        <v>5510</v>
      </c>
      <c r="M742" s="13" t="s">
        <v>5513</v>
      </c>
      <c r="N742" s="13" t="s">
        <v>5514</v>
      </c>
      <c r="O742" s="13" t="s">
        <v>5510</v>
      </c>
      <c r="P742" s="13" t="s">
        <v>5510</v>
      </c>
      <c r="Q742" s="13" t="s">
        <v>5510</v>
      </c>
      <c r="R742" s="13" t="s">
        <v>5510</v>
      </c>
      <c r="S742" s="13" t="s">
        <v>5510</v>
      </c>
      <c r="T742" s="13" t="s">
        <v>18636</v>
      </c>
      <c r="U742" s="13" t="s">
        <v>18637</v>
      </c>
      <c r="V742" s="13" t="s">
        <v>18638</v>
      </c>
      <c r="W742" s="13" t="s">
        <v>18639</v>
      </c>
      <c r="X742" s="13" t="s">
        <v>18640</v>
      </c>
      <c r="Y742" s="13" t="s">
        <v>18641</v>
      </c>
      <c r="Z742" s="13" t="s">
        <v>18642</v>
      </c>
      <c r="AA742" s="13" t="s">
        <v>18643</v>
      </c>
      <c r="AB742" s="13" t="s">
        <v>18644</v>
      </c>
      <c r="AC742" s="13" t="s">
        <v>18645</v>
      </c>
      <c r="AD742" s="13" t="s">
        <v>18646</v>
      </c>
      <c r="AE742" s="13" t="s">
        <v>18647</v>
      </c>
      <c r="AF742" s="13" t="s">
        <v>5510</v>
      </c>
      <c r="AG742" s="13">
        <v>60.0</v>
      </c>
      <c r="AH742" s="13">
        <v>30.0</v>
      </c>
      <c r="AI742" s="13">
        <v>35.0</v>
      </c>
      <c r="AJ742" s="13">
        <v>1.0</v>
      </c>
      <c r="AK742" s="13">
        <v>46.0</v>
      </c>
      <c r="AL742" s="13" t="s">
        <v>5527</v>
      </c>
      <c r="AM742" s="13" t="s">
        <v>5528</v>
      </c>
      <c r="AN742" s="13" t="s">
        <v>5529</v>
      </c>
      <c r="AO742" s="13" t="s">
        <v>5862</v>
      </c>
      <c r="AP742" s="13" t="s">
        <v>5863</v>
      </c>
      <c r="AQ742" s="13" t="s">
        <v>5510</v>
      </c>
      <c r="AR742" s="13" t="s">
        <v>5864</v>
      </c>
      <c r="AS742" s="13" t="s">
        <v>5865</v>
      </c>
      <c r="AT742" s="13" t="s">
        <v>6828</v>
      </c>
      <c r="AU742" s="13">
        <v>2019.0</v>
      </c>
      <c r="AV742" s="13">
        <v>29.0</v>
      </c>
      <c r="AW742" s="13">
        <v>4.0</v>
      </c>
      <c r="AX742" s="13" t="s">
        <v>5510</v>
      </c>
      <c r="AY742" s="13" t="s">
        <v>5510</v>
      </c>
      <c r="AZ742" s="13" t="s">
        <v>5510</v>
      </c>
      <c r="BA742" s="13" t="s">
        <v>5510</v>
      </c>
      <c r="BB742" s="13">
        <v>612.0</v>
      </c>
      <c r="BC742" s="13">
        <v>622.0</v>
      </c>
      <c r="BD742" s="13" t="s">
        <v>5510</v>
      </c>
      <c r="BE742" s="13" t="s">
        <v>18648</v>
      </c>
      <c r="BF742" s="52" t="str">
        <f>HYPERLINK("http://dx.doi.org/10.1002/aqc.3064","http://dx.doi.org/10.1002/aqc.3064")</f>
        <v>http://dx.doi.org/10.1002/aqc.3064</v>
      </c>
      <c r="BG742" s="13" t="s">
        <v>5510</v>
      </c>
      <c r="BH742" s="13" t="s">
        <v>5510</v>
      </c>
      <c r="BI742" s="13">
        <v>11.0</v>
      </c>
      <c r="BJ742" s="13" t="s">
        <v>5869</v>
      </c>
      <c r="BK742" s="13" t="s">
        <v>5561</v>
      </c>
      <c r="BL742" s="13" t="s">
        <v>5870</v>
      </c>
      <c r="BM742" s="13" t="s">
        <v>18649</v>
      </c>
      <c r="BN742" s="13" t="s">
        <v>5510</v>
      </c>
      <c r="BO742" s="13" t="s">
        <v>5510</v>
      </c>
      <c r="BP742" s="13" t="s">
        <v>5510</v>
      </c>
      <c r="BQ742" s="13" t="s">
        <v>5510</v>
      </c>
      <c r="BR742" s="13" t="s">
        <v>5538</v>
      </c>
      <c r="BS742" s="13" t="s">
        <v>18650</v>
      </c>
      <c r="BT742" s="13">
        <v>25726.0</v>
      </c>
      <c r="BU742" s="13" t="s">
        <v>5540</v>
      </c>
      <c r="BV742" s="13" t="s">
        <v>4852</v>
      </c>
      <c r="BW742" s="13" t="str">
        <f>VLOOKUP($BT742,Enriched!$A$2:$E$1070,5,false)</f>
        <v>["Natural system modifications"]</v>
      </c>
      <c r="BX742" s="13" t="str">
        <f>VLOOKUP($BT742,Enriched!$A$2:$E$1070,4,false)</f>
        <v>["Dams &amp; water management/use"]</v>
      </c>
      <c r="BY742" s="13" t="b">
        <f>VLOOKUP(BT742,Enriched!$A$1:$AA$1070,27,falsE)</f>
        <v>0</v>
      </c>
      <c r="BZ742" s="2" t="str">
        <f>VLOOKUP(BT742,Enriched!$A$1:$AA$1070,14,falsE)</f>
        <v>level2</v>
      </c>
      <c r="CA742" s="13" t="str">
        <f>HYPERLINK("https%3A%2F%2Fwww.webofscience.com%2Fwos%2Fwoscc%2Ffull-record%2FWOS:000465962300010","View Full Record in Web of Science")</f>
        <v>View Full Record in Web of Science</v>
      </c>
    </row>
    <row r="743" ht="12.75" customHeight="1">
      <c r="A743" s="13" t="s">
        <v>5508</v>
      </c>
      <c r="B743" s="13" t="s">
        <v>18651</v>
      </c>
      <c r="C743" s="13" t="s">
        <v>5510</v>
      </c>
      <c r="D743" s="13" t="s">
        <v>5510</v>
      </c>
      <c r="E743" s="13" t="s">
        <v>5510</v>
      </c>
      <c r="F743" s="13" t="s">
        <v>18652</v>
      </c>
      <c r="G743" s="13" t="s">
        <v>5510</v>
      </c>
      <c r="H743" s="13" t="s">
        <v>5510</v>
      </c>
      <c r="I743" s="13" t="s">
        <v>714</v>
      </c>
      <c r="J743" s="13" t="s">
        <v>9772</v>
      </c>
      <c r="K743" s="13" t="s">
        <v>5510</v>
      </c>
      <c r="L743" s="13" t="s">
        <v>5510</v>
      </c>
      <c r="M743" s="13" t="s">
        <v>5513</v>
      </c>
      <c r="N743" s="13" t="s">
        <v>5514</v>
      </c>
      <c r="O743" s="13" t="s">
        <v>5510</v>
      </c>
      <c r="P743" s="13" t="s">
        <v>5510</v>
      </c>
      <c r="Q743" s="13" t="s">
        <v>5510</v>
      </c>
      <c r="R743" s="13" t="s">
        <v>5510</v>
      </c>
      <c r="S743" s="13" t="s">
        <v>5510</v>
      </c>
      <c r="T743" s="13" t="s">
        <v>5510</v>
      </c>
      <c r="U743" s="13" t="s">
        <v>18653</v>
      </c>
      <c r="V743" s="13" t="s">
        <v>18654</v>
      </c>
      <c r="W743" s="13" t="s">
        <v>18655</v>
      </c>
      <c r="X743" s="13" t="s">
        <v>18656</v>
      </c>
      <c r="Y743" s="13" t="s">
        <v>18657</v>
      </c>
      <c r="Z743" s="13" t="s">
        <v>18658</v>
      </c>
      <c r="AA743" s="13" t="s">
        <v>18659</v>
      </c>
      <c r="AB743" s="13" t="s">
        <v>18660</v>
      </c>
      <c r="AC743" s="13" t="s">
        <v>18661</v>
      </c>
      <c r="AD743" s="13" t="s">
        <v>18661</v>
      </c>
      <c r="AE743" s="13" t="s">
        <v>18662</v>
      </c>
      <c r="AF743" s="13" t="s">
        <v>5510</v>
      </c>
      <c r="AG743" s="13">
        <v>41.0</v>
      </c>
      <c r="AH743" s="13">
        <v>262.0</v>
      </c>
      <c r="AI743" s="13">
        <v>290.0</v>
      </c>
      <c r="AJ743" s="13">
        <v>4.0</v>
      </c>
      <c r="AK743" s="13">
        <v>136.0</v>
      </c>
      <c r="AL743" s="13" t="s">
        <v>8937</v>
      </c>
      <c r="AM743" s="13" t="s">
        <v>6046</v>
      </c>
      <c r="AN743" s="13" t="s">
        <v>8938</v>
      </c>
      <c r="AO743" s="13" t="s">
        <v>9784</v>
      </c>
      <c r="AP743" s="13" t="s">
        <v>9785</v>
      </c>
      <c r="AQ743" s="13" t="s">
        <v>5510</v>
      </c>
      <c r="AR743" s="13" t="s">
        <v>9786</v>
      </c>
      <c r="AS743" s="13" t="s">
        <v>9787</v>
      </c>
      <c r="AT743" s="13" t="s">
        <v>2514</v>
      </c>
      <c r="AU743" s="13">
        <v>2017.0</v>
      </c>
      <c r="AV743" s="13">
        <v>7.0</v>
      </c>
      <c r="AW743" s="13">
        <v>10.0</v>
      </c>
      <c r="AX743" s="13" t="s">
        <v>5510</v>
      </c>
      <c r="AY743" s="13" t="s">
        <v>5510</v>
      </c>
      <c r="AZ743" s="13" t="s">
        <v>5510</v>
      </c>
      <c r="BA743" s="13" t="s">
        <v>5510</v>
      </c>
      <c r="BB743" s="13">
        <v>718.0</v>
      </c>
      <c r="BC743" s="13" t="s">
        <v>9408</v>
      </c>
      <c r="BD743" s="13" t="s">
        <v>5510</v>
      </c>
      <c r="BE743" s="13" t="s">
        <v>18663</v>
      </c>
      <c r="BF743" s="52" t="str">
        <f>HYPERLINK("http://dx.doi.org/10.1038/NCLIMATE3382","http://dx.doi.org/10.1038/NCLIMATE3382")</f>
        <v>http://dx.doi.org/10.1038/NCLIMATE3382</v>
      </c>
      <c r="BG743" s="13" t="s">
        <v>5510</v>
      </c>
      <c r="BH743" s="13" t="s">
        <v>5510</v>
      </c>
      <c r="BI743" s="13">
        <v>6.0</v>
      </c>
      <c r="BJ743" s="13" t="s">
        <v>9789</v>
      </c>
      <c r="BK743" s="13" t="s">
        <v>5534</v>
      </c>
      <c r="BL743" s="13" t="s">
        <v>9790</v>
      </c>
      <c r="BM743" s="13" t="s">
        <v>18664</v>
      </c>
      <c r="BN743" s="13" t="s">
        <v>5510</v>
      </c>
      <c r="BO743" s="13" t="s">
        <v>5510</v>
      </c>
      <c r="BP743" s="13" t="s">
        <v>5510</v>
      </c>
      <c r="BQ743" s="13" t="s">
        <v>5510</v>
      </c>
      <c r="BR743" s="13" t="s">
        <v>5538</v>
      </c>
      <c r="BS743" s="13" t="s">
        <v>18665</v>
      </c>
      <c r="BT743" s="13">
        <v>23591.0</v>
      </c>
      <c r="BU743" s="13" t="s">
        <v>5540</v>
      </c>
      <c r="BV743" s="13" t="s">
        <v>5083</v>
      </c>
      <c r="BW743" s="13" t="str">
        <f>VLOOKUP($BT743,Enriched!$A$2:$E$1070,5,false)</f>
        <v>["Climate Change &amp; Severe Weather"]</v>
      </c>
      <c r="BX743" s="13" t="str">
        <f>VLOOKUP($BT743,Enriched!$A$2:$E$1070,4,false)</f>
        <v>["Temperature extremes"]</v>
      </c>
      <c r="BY743" s="13" t="b">
        <f>VLOOKUP(BT743,Enriched!$A$1:$AA$1070,27,falsE)</f>
        <v>0</v>
      </c>
      <c r="BZ743" s="2" t="str">
        <f>VLOOKUP(BT743,Enriched!$A$1:$AA$1070,14,falsE)</f>
        <v>level2</v>
      </c>
      <c r="CA743" s="13" t="str">
        <f>HYPERLINK("https%3A%2F%2Fwww.webofscience.com%2Fwos%2Fwoscc%2Ffull-record%2FWOS:000412007700018","View Full Record in Web of Science")</f>
        <v>View Full Record in Web of Science</v>
      </c>
    </row>
    <row r="744" ht="12.75" customHeight="1">
      <c r="A744" s="13" t="s">
        <v>5508</v>
      </c>
      <c r="B744" s="13" t="s">
        <v>18666</v>
      </c>
      <c r="C744" s="13" t="s">
        <v>5510</v>
      </c>
      <c r="D744" s="13" t="s">
        <v>5510</v>
      </c>
      <c r="E744" s="13" t="s">
        <v>5510</v>
      </c>
      <c r="F744" s="13" t="s">
        <v>18667</v>
      </c>
      <c r="G744" s="13" t="s">
        <v>5510</v>
      </c>
      <c r="H744" s="13" t="s">
        <v>5510</v>
      </c>
      <c r="I744" s="13" t="s">
        <v>711</v>
      </c>
      <c r="J744" s="13" t="s">
        <v>5943</v>
      </c>
      <c r="K744" s="13" t="s">
        <v>5510</v>
      </c>
      <c r="L744" s="13" t="s">
        <v>5510</v>
      </c>
      <c r="M744" s="13" t="s">
        <v>5513</v>
      </c>
      <c r="N744" s="13" t="s">
        <v>5514</v>
      </c>
      <c r="O744" s="13" t="s">
        <v>5510</v>
      </c>
      <c r="P744" s="13" t="s">
        <v>5510</v>
      </c>
      <c r="Q744" s="13" t="s">
        <v>5510</v>
      </c>
      <c r="R744" s="13" t="s">
        <v>5510</v>
      </c>
      <c r="S744" s="13" t="s">
        <v>5510</v>
      </c>
      <c r="T744" s="13" t="s">
        <v>18668</v>
      </c>
      <c r="U744" s="13" t="s">
        <v>18669</v>
      </c>
      <c r="V744" s="13" t="s">
        <v>18670</v>
      </c>
      <c r="W744" s="13" t="s">
        <v>18671</v>
      </c>
      <c r="X744" s="13" t="s">
        <v>18672</v>
      </c>
      <c r="Y744" s="13" t="s">
        <v>18673</v>
      </c>
      <c r="Z744" s="13" t="s">
        <v>18674</v>
      </c>
      <c r="AA744" s="13" t="s">
        <v>10375</v>
      </c>
      <c r="AB744" s="13" t="s">
        <v>18675</v>
      </c>
      <c r="AC744" s="13" t="s">
        <v>18676</v>
      </c>
      <c r="AD744" s="13" t="s">
        <v>18676</v>
      </c>
      <c r="AE744" s="13" t="s">
        <v>18677</v>
      </c>
      <c r="AF744" s="13" t="s">
        <v>5510</v>
      </c>
      <c r="AG744" s="13">
        <v>53.0</v>
      </c>
      <c r="AH744" s="13">
        <v>47.0</v>
      </c>
      <c r="AI744" s="13">
        <v>50.0</v>
      </c>
      <c r="AJ744" s="13">
        <v>1.0</v>
      </c>
      <c r="AK744" s="13">
        <v>70.0</v>
      </c>
      <c r="AL744" s="13" t="s">
        <v>5527</v>
      </c>
      <c r="AM744" s="13" t="s">
        <v>5528</v>
      </c>
      <c r="AN744" s="13" t="s">
        <v>5529</v>
      </c>
      <c r="AO744" s="13" t="s">
        <v>5953</v>
      </c>
      <c r="AP744" s="13" t="s">
        <v>5954</v>
      </c>
      <c r="AQ744" s="13" t="s">
        <v>5510</v>
      </c>
      <c r="AR744" s="13" t="s">
        <v>5955</v>
      </c>
      <c r="AS744" s="13" t="s">
        <v>5956</v>
      </c>
      <c r="AT744" s="13" t="s">
        <v>6828</v>
      </c>
      <c r="AU744" s="13">
        <v>2017.0</v>
      </c>
      <c r="AV744" s="13">
        <v>54.0</v>
      </c>
      <c r="AW744" s="13">
        <v>2.0</v>
      </c>
      <c r="AX744" s="13" t="s">
        <v>5510</v>
      </c>
      <c r="AY744" s="13" t="s">
        <v>5510</v>
      </c>
      <c r="AZ744" s="13" t="s">
        <v>5510</v>
      </c>
      <c r="BA744" s="13" t="s">
        <v>5510</v>
      </c>
      <c r="BB744" s="13">
        <v>638.0</v>
      </c>
      <c r="BC744" s="13">
        <v>647.0</v>
      </c>
      <c r="BD744" s="13" t="s">
        <v>5510</v>
      </c>
      <c r="BE744" s="13" t="s">
        <v>18678</v>
      </c>
      <c r="BF744" s="52" t="str">
        <f>HYPERLINK("http://dx.doi.org/10.1111/1365-2664.12766","http://dx.doi.org/10.1111/1365-2664.12766")</f>
        <v>http://dx.doi.org/10.1111/1365-2664.12766</v>
      </c>
      <c r="BG744" s="13" t="s">
        <v>5510</v>
      </c>
      <c r="BH744" s="13" t="s">
        <v>5510</v>
      </c>
      <c r="BI744" s="13">
        <v>10.0</v>
      </c>
      <c r="BJ744" s="13" t="s">
        <v>5958</v>
      </c>
      <c r="BK744" s="13" t="s">
        <v>5561</v>
      </c>
      <c r="BL744" s="13" t="s">
        <v>5699</v>
      </c>
      <c r="BM744" s="13" t="s">
        <v>18679</v>
      </c>
      <c r="BN744" s="13" t="s">
        <v>5510</v>
      </c>
      <c r="BO744" s="13" t="s">
        <v>5809</v>
      </c>
      <c r="BP744" s="13" t="s">
        <v>5510</v>
      </c>
      <c r="BQ744" s="13" t="s">
        <v>5510</v>
      </c>
      <c r="BR744" s="13" t="s">
        <v>5538</v>
      </c>
      <c r="BS744" s="13" t="s">
        <v>18680</v>
      </c>
      <c r="BT744" s="13">
        <v>24431.0</v>
      </c>
      <c r="BU744" s="13" t="s">
        <v>5540</v>
      </c>
      <c r="BV744" s="13" t="s">
        <v>4852</v>
      </c>
      <c r="BW744" s="13" t="str">
        <f>VLOOKUP($BT744,Enriched!$A$2:$E$1070,5,false)</f>
        <v>["Invasive &amp; other problematic species, genes &amp; diseases"]</v>
      </c>
      <c r="BX744" s="13" t="str">
        <f>VLOOKUP($BT744,Enriched!$A$2:$E$1070,4,false)</f>
        <v>["Invasive non-native/alien species/diseases"]</v>
      </c>
      <c r="BY744" s="13" t="b">
        <f>VLOOKUP(BT744,Enriched!$A$1:$AA$1070,27,falsE)</f>
        <v>0</v>
      </c>
      <c r="BZ744" s="2" t="str">
        <f>VLOOKUP(BT744,Enriched!$A$1:$AA$1070,14,falsE)</f>
        <v>level2</v>
      </c>
      <c r="CA744" s="13" t="str">
        <f>HYPERLINK("https%3A%2F%2Fwww.webofscience.com%2Fwos%2Fwoscc%2Ffull-record%2FWOS:000397930300031","View Full Record in Web of Science")</f>
        <v>View Full Record in Web of Science</v>
      </c>
    </row>
    <row r="745" ht="12.75" customHeight="1">
      <c r="A745" s="13" t="s">
        <v>5508</v>
      </c>
      <c r="B745" s="13" t="s">
        <v>18681</v>
      </c>
      <c r="C745" s="13" t="s">
        <v>5510</v>
      </c>
      <c r="D745" s="13" t="s">
        <v>5510</v>
      </c>
      <c r="E745" s="13" t="s">
        <v>5510</v>
      </c>
      <c r="F745" s="13" t="s">
        <v>18682</v>
      </c>
      <c r="G745" s="13" t="s">
        <v>5510</v>
      </c>
      <c r="H745" s="13" t="s">
        <v>5510</v>
      </c>
      <c r="I745" s="13" t="s">
        <v>708</v>
      </c>
      <c r="J745" s="13" t="s">
        <v>18683</v>
      </c>
      <c r="K745" s="13" t="s">
        <v>5510</v>
      </c>
      <c r="L745" s="13" t="s">
        <v>5510</v>
      </c>
      <c r="M745" s="13" t="s">
        <v>5513</v>
      </c>
      <c r="N745" s="13" t="s">
        <v>5514</v>
      </c>
      <c r="O745" s="13" t="s">
        <v>5510</v>
      </c>
      <c r="P745" s="13" t="s">
        <v>5510</v>
      </c>
      <c r="Q745" s="13" t="s">
        <v>5510</v>
      </c>
      <c r="R745" s="13" t="s">
        <v>5510</v>
      </c>
      <c r="S745" s="13" t="s">
        <v>5510</v>
      </c>
      <c r="T745" s="13" t="s">
        <v>18684</v>
      </c>
      <c r="U745" s="13" t="s">
        <v>18685</v>
      </c>
      <c r="V745" s="13" t="s">
        <v>18686</v>
      </c>
      <c r="W745" s="13" t="s">
        <v>18687</v>
      </c>
      <c r="X745" s="13" t="s">
        <v>18688</v>
      </c>
      <c r="Y745" s="13" t="s">
        <v>18689</v>
      </c>
      <c r="Z745" s="13" t="s">
        <v>18690</v>
      </c>
      <c r="AA745" s="13" t="s">
        <v>18691</v>
      </c>
      <c r="AB745" s="13" t="s">
        <v>18692</v>
      </c>
      <c r="AC745" s="13" t="s">
        <v>18693</v>
      </c>
      <c r="AD745" s="13" t="s">
        <v>18694</v>
      </c>
      <c r="AE745" s="13" t="s">
        <v>18695</v>
      </c>
      <c r="AF745" s="13" t="s">
        <v>5510</v>
      </c>
      <c r="AG745" s="13">
        <v>52.0</v>
      </c>
      <c r="AH745" s="13">
        <v>53.0</v>
      </c>
      <c r="AI745" s="13">
        <v>59.0</v>
      </c>
      <c r="AJ745" s="13">
        <v>2.0</v>
      </c>
      <c r="AK745" s="13">
        <v>72.0</v>
      </c>
      <c r="AL745" s="13" t="s">
        <v>18696</v>
      </c>
      <c r="AM745" s="13" t="s">
        <v>18697</v>
      </c>
      <c r="AN745" s="13" t="s">
        <v>18698</v>
      </c>
      <c r="AO745" s="13" t="s">
        <v>18699</v>
      </c>
      <c r="AP745" s="13" t="s">
        <v>18700</v>
      </c>
      <c r="AQ745" s="13" t="s">
        <v>5510</v>
      </c>
      <c r="AR745" s="13" t="s">
        <v>18701</v>
      </c>
      <c r="AS745" s="13" t="s">
        <v>18702</v>
      </c>
      <c r="AT745" s="13" t="s">
        <v>6089</v>
      </c>
      <c r="AU745" s="13">
        <v>2015.0</v>
      </c>
      <c r="AV745" s="13">
        <v>34.0</v>
      </c>
      <c r="AW745" s="13">
        <v>1.0</v>
      </c>
      <c r="AX745" s="13" t="s">
        <v>5510</v>
      </c>
      <c r="AY745" s="13" t="s">
        <v>5510</v>
      </c>
      <c r="AZ745" s="13" t="s">
        <v>5510</v>
      </c>
      <c r="BA745" s="13" t="s">
        <v>5510</v>
      </c>
      <c r="BB745" s="13">
        <v>53.0</v>
      </c>
      <c r="BC745" s="13">
        <v>65.0</v>
      </c>
      <c r="BD745" s="13" t="s">
        <v>5510</v>
      </c>
      <c r="BE745" s="13" t="s">
        <v>18703</v>
      </c>
      <c r="BF745" s="52" t="str">
        <f>HYPERLINK("http://dx.doi.org/10.1086/679490","http://dx.doi.org/10.1086/679490")</f>
        <v>http://dx.doi.org/10.1086/679490</v>
      </c>
      <c r="BG745" s="13" t="s">
        <v>5510</v>
      </c>
      <c r="BH745" s="13" t="s">
        <v>5510</v>
      </c>
      <c r="BI745" s="13">
        <v>13.0</v>
      </c>
      <c r="BJ745" s="13" t="s">
        <v>17343</v>
      </c>
      <c r="BK745" s="13" t="s">
        <v>5561</v>
      </c>
      <c r="BL745" s="13" t="s">
        <v>6328</v>
      </c>
      <c r="BM745" s="13" t="s">
        <v>18704</v>
      </c>
      <c r="BN745" s="13" t="s">
        <v>5510</v>
      </c>
      <c r="BO745" s="13" t="s">
        <v>5510</v>
      </c>
      <c r="BP745" s="13" t="s">
        <v>5510</v>
      </c>
      <c r="BQ745" s="13" t="s">
        <v>5510</v>
      </c>
      <c r="BR745" s="13" t="s">
        <v>5538</v>
      </c>
      <c r="BS745" s="13" t="s">
        <v>18705</v>
      </c>
      <c r="BT745" s="13">
        <v>24030.0</v>
      </c>
      <c r="BU745" s="13" t="s">
        <v>5540</v>
      </c>
      <c r="BV745" s="13" t="s">
        <v>4856</v>
      </c>
      <c r="BW745" s="13" t="str">
        <f>VLOOKUP($BT745,Enriched!$A$2:$E$1070,5,false)</f>
        <v>["Climate Change &amp; Severe Weather"]</v>
      </c>
      <c r="BX745" s="13" t="str">
        <f>VLOOKUP($BT745,Enriched!$A$2:$E$1070,4,false)</f>
        <v>["Temperature extremes"]</v>
      </c>
      <c r="BY745" s="13" t="b">
        <f>VLOOKUP(BT745,Enriched!$A$1:$AA$1070,27,falsE)</f>
        <v>0</v>
      </c>
      <c r="BZ745" s="2" t="str">
        <f>VLOOKUP(BT745,Enriched!$A$1:$AA$1070,14,falsE)</f>
        <v>level2</v>
      </c>
      <c r="CA745" s="13" t="str">
        <f>HYPERLINK("https%3A%2F%2Fwww.webofscience.com%2Fwos%2Fwoscc%2Ffull-record%2FWOS:000349995000005","View Full Record in Web of Science")</f>
        <v>View Full Record in Web of Science</v>
      </c>
    </row>
    <row r="746" ht="12.75" customHeight="1">
      <c r="A746" s="13" t="s">
        <v>5508</v>
      </c>
      <c r="B746" s="13" t="s">
        <v>18706</v>
      </c>
      <c r="C746" s="13" t="s">
        <v>5510</v>
      </c>
      <c r="D746" s="13" t="s">
        <v>5510</v>
      </c>
      <c r="E746" s="13" t="s">
        <v>5510</v>
      </c>
      <c r="F746" s="13" t="s">
        <v>18707</v>
      </c>
      <c r="G746" s="13" t="s">
        <v>5510</v>
      </c>
      <c r="H746" s="13" t="s">
        <v>5510</v>
      </c>
      <c r="I746" s="13" t="s">
        <v>18708</v>
      </c>
      <c r="J746" s="13" t="s">
        <v>5543</v>
      </c>
      <c r="K746" s="13" t="s">
        <v>5510</v>
      </c>
      <c r="L746" s="13" t="s">
        <v>5510</v>
      </c>
      <c r="M746" s="13" t="s">
        <v>5513</v>
      </c>
      <c r="N746" s="13" t="s">
        <v>5514</v>
      </c>
      <c r="O746" s="13" t="s">
        <v>5510</v>
      </c>
      <c r="P746" s="13" t="s">
        <v>5510</v>
      </c>
      <c r="Q746" s="13" t="s">
        <v>5510</v>
      </c>
      <c r="R746" s="13" t="s">
        <v>5510</v>
      </c>
      <c r="S746" s="13" t="s">
        <v>5510</v>
      </c>
      <c r="T746" s="13" t="s">
        <v>5510</v>
      </c>
      <c r="U746" s="13" t="s">
        <v>18709</v>
      </c>
      <c r="V746" s="13" t="s">
        <v>18710</v>
      </c>
      <c r="W746" s="13" t="s">
        <v>18711</v>
      </c>
      <c r="X746" s="13" t="s">
        <v>18656</v>
      </c>
      <c r="Y746" s="13" t="s">
        <v>18712</v>
      </c>
      <c r="Z746" s="13" t="s">
        <v>18713</v>
      </c>
      <c r="AA746" s="13" t="s">
        <v>5510</v>
      </c>
      <c r="AB746" s="13" t="s">
        <v>18714</v>
      </c>
      <c r="AC746" s="13" t="s">
        <v>18715</v>
      </c>
      <c r="AD746" s="13" t="s">
        <v>18716</v>
      </c>
      <c r="AE746" s="13" t="s">
        <v>18717</v>
      </c>
      <c r="AF746" s="13" t="s">
        <v>5510</v>
      </c>
      <c r="AG746" s="13">
        <v>47.0</v>
      </c>
      <c r="AH746" s="13">
        <v>60.0</v>
      </c>
      <c r="AI746" s="13">
        <v>67.0</v>
      </c>
      <c r="AJ746" s="13">
        <v>2.0</v>
      </c>
      <c r="AK746" s="13">
        <v>48.0</v>
      </c>
      <c r="AL746" s="13" t="s">
        <v>5552</v>
      </c>
      <c r="AM746" s="13" t="s">
        <v>5553</v>
      </c>
      <c r="AN746" s="13" t="s">
        <v>5554</v>
      </c>
      <c r="AO746" s="13" t="s">
        <v>5555</v>
      </c>
      <c r="AP746" s="13" t="s">
        <v>5510</v>
      </c>
      <c r="AQ746" s="13" t="s">
        <v>5510</v>
      </c>
      <c r="AR746" s="13" t="s">
        <v>5543</v>
      </c>
      <c r="AS746" s="13" t="s">
        <v>5556</v>
      </c>
      <c r="AT746" s="13" t="s">
        <v>8896</v>
      </c>
      <c r="AU746" s="13">
        <v>2016.0</v>
      </c>
      <c r="AV746" s="13">
        <v>11.0</v>
      </c>
      <c r="AW746" s="13">
        <v>7.0</v>
      </c>
      <c r="AX746" s="13" t="s">
        <v>5510</v>
      </c>
      <c r="AY746" s="13" t="s">
        <v>5510</v>
      </c>
      <c r="AZ746" s="13" t="s">
        <v>5510</v>
      </c>
      <c r="BA746" s="13" t="s">
        <v>5510</v>
      </c>
      <c r="BB746" s="13" t="s">
        <v>5510</v>
      </c>
      <c r="BC746" s="13" t="s">
        <v>5510</v>
      </c>
      <c r="BD746" s="13" t="s">
        <v>18718</v>
      </c>
      <c r="BE746" s="13" t="s">
        <v>18719</v>
      </c>
      <c r="BF746" s="52" t="str">
        <f>HYPERLINK("http://dx.doi.org/10.1371/journal.pone.0159184","http://dx.doi.org/10.1371/journal.pone.0159184")</f>
        <v>http://dx.doi.org/10.1371/journal.pone.0159184</v>
      </c>
      <c r="BG746" s="13" t="s">
        <v>5510</v>
      </c>
      <c r="BH746" s="13" t="s">
        <v>5510</v>
      </c>
      <c r="BI746" s="13">
        <v>17.0</v>
      </c>
      <c r="BJ746" s="13" t="s">
        <v>5560</v>
      </c>
      <c r="BK746" s="13" t="s">
        <v>5561</v>
      </c>
      <c r="BL746" s="13" t="s">
        <v>5562</v>
      </c>
      <c r="BM746" s="13" t="s">
        <v>18720</v>
      </c>
      <c r="BN746" s="13">
        <v>2.7447834E7</v>
      </c>
      <c r="BO746" s="13" t="s">
        <v>5564</v>
      </c>
      <c r="BP746" s="13" t="s">
        <v>5510</v>
      </c>
      <c r="BQ746" s="13" t="s">
        <v>5510</v>
      </c>
      <c r="BR746" s="13" t="s">
        <v>5538</v>
      </c>
      <c r="BS746" s="13" t="s">
        <v>18721</v>
      </c>
      <c r="BT746" s="13">
        <v>24156.0</v>
      </c>
      <c r="BU746" s="13" t="s">
        <v>5540</v>
      </c>
      <c r="BV746" s="13" t="s">
        <v>4856</v>
      </c>
      <c r="BW746" s="13" t="str">
        <f>VLOOKUP($BT746,Enriched!$A$2:$E$1070,5,false)</f>
        <v>["Climate change &amp; severe weather"]</v>
      </c>
      <c r="BX746" s="13" t="str">
        <f>VLOOKUP($BT746,Enriched!$A$2:$E$1070,4,false)</f>
        <v>["Habitat shifting &amp; alteration", "Temperature extremes"]</v>
      </c>
      <c r="BY746" s="13" t="b">
        <f>VLOOKUP(BT746,Enriched!$A$1:$AA$1070,27,falsE)</f>
        <v>0</v>
      </c>
      <c r="BZ746" s="2" t="str">
        <f>VLOOKUP(BT746,Enriched!$A$1:$AA$1070,14,falsE)</f>
        <v>level1</v>
      </c>
      <c r="CA746" s="13" t="str">
        <f>HYPERLINK("https%3A%2F%2Fwww.webofscience.com%2Fwos%2Fwoscc%2Ffull-record%2FWOS:000380799000015","View Full Record in Web of Science")</f>
        <v>View Full Record in Web of Science</v>
      </c>
    </row>
    <row r="747" ht="12.75" customHeight="1">
      <c r="A747" s="13" t="s">
        <v>5508</v>
      </c>
      <c r="B747" s="13" t="s">
        <v>18722</v>
      </c>
      <c r="C747" s="13" t="s">
        <v>5510</v>
      </c>
      <c r="D747" s="13" t="s">
        <v>5510</v>
      </c>
      <c r="E747" s="13" t="s">
        <v>5510</v>
      </c>
      <c r="F747" s="13" t="s">
        <v>18723</v>
      </c>
      <c r="G747" s="13" t="s">
        <v>5510</v>
      </c>
      <c r="H747" s="13" t="s">
        <v>5510</v>
      </c>
      <c r="I747" s="13" t="s">
        <v>18724</v>
      </c>
      <c r="J747" s="13" t="s">
        <v>5543</v>
      </c>
      <c r="K747" s="13" t="s">
        <v>5510</v>
      </c>
      <c r="L747" s="13" t="s">
        <v>5510</v>
      </c>
      <c r="M747" s="13" t="s">
        <v>5513</v>
      </c>
      <c r="N747" s="13" t="s">
        <v>5514</v>
      </c>
      <c r="O747" s="13" t="s">
        <v>5510</v>
      </c>
      <c r="P747" s="13" t="s">
        <v>5510</v>
      </c>
      <c r="Q747" s="13" t="s">
        <v>5510</v>
      </c>
      <c r="R747" s="13" t="s">
        <v>5510</v>
      </c>
      <c r="S747" s="13" t="s">
        <v>5510</v>
      </c>
      <c r="T747" s="13" t="s">
        <v>5510</v>
      </c>
      <c r="U747" s="13" t="s">
        <v>18725</v>
      </c>
      <c r="V747" s="13" t="s">
        <v>18726</v>
      </c>
      <c r="W747" s="13" t="s">
        <v>18727</v>
      </c>
      <c r="X747" s="13" t="s">
        <v>18728</v>
      </c>
      <c r="Y747" s="13" t="s">
        <v>18729</v>
      </c>
      <c r="Z747" s="13" t="s">
        <v>18730</v>
      </c>
      <c r="AA747" s="13" t="s">
        <v>5510</v>
      </c>
      <c r="AB747" s="13" t="s">
        <v>5510</v>
      </c>
      <c r="AC747" s="13" t="s">
        <v>18731</v>
      </c>
      <c r="AD747" s="13" t="s">
        <v>18732</v>
      </c>
      <c r="AE747" s="13" t="s">
        <v>18733</v>
      </c>
      <c r="AF747" s="13" t="s">
        <v>5510</v>
      </c>
      <c r="AG747" s="13">
        <v>50.0</v>
      </c>
      <c r="AH747" s="13">
        <v>66.0</v>
      </c>
      <c r="AI747" s="13">
        <v>79.0</v>
      </c>
      <c r="AJ747" s="13">
        <v>2.0</v>
      </c>
      <c r="AK747" s="13">
        <v>47.0</v>
      </c>
      <c r="AL747" s="13" t="s">
        <v>5552</v>
      </c>
      <c r="AM747" s="13" t="s">
        <v>5553</v>
      </c>
      <c r="AN747" s="13" t="s">
        <v>5554</v>
      </c>
      <c r="AO747" s="13" t="s">
        <v>5555</v>
      </c>
      <c r="AP747" s="13" t="s">
        <v>5510</v>
      </c>
      <c r="AQ747" s="13" t="s">
        <v>5510</v>
      </c>
      <c r="AR747" s="13" t="s">
        <v>5543</v>
      </c>
      <c r="AS747" s="13" t="s">
        <v>5556</v>
      </c>
      <c r="AT747" s="13" t="s">
        <v>10982</v>
      </c>
      <c r="AU747" s="13">
        <v>2014.0</v>
      </c>
      <c r="AV747" s="13">
        <v>9.0</v>
      </c>
      <c r="AW747" s="13">
        <v>7.0</v>
      </c>
      <c r="AX747" s="13" t="s">
        <v>5510</v>
      </c>
      <c r="AY747" s="13" t="s">
        <v>5510</v>
      </c>
      <c r="AZ747" s="13" t="s">
        <v>5510</v>
      </c>
      <c r="BA747" s="13" t="s">
        <v>5510</v>
      </c>
      <c r="BB747" s="13" t="s">
        <v>5510</v>
      </c>
      <c r="BC747" s="13" t="s">
        <v>5510</v>
      </c>
      <c r="BD747" s="13" t="s">
        <v>18734</v>
      </c>
      <c r="BE747" s="13" t="s">
        <v>18735</v>
      </c>
      <c r="BF747" s="52" t="str">
        <f>HYPERLINK("http://dx.doi.org/10.1371/journal.pone.0101302","http://dx.doi.org/10.1371/journal.pone.0101302")</f>
        <v>http://dx.doi.org/10.1371/journal.pone.0101302</v>
      </c>
      <c r="BG747" s="13" t="s">
        <v>5510</v>
      </c>
      <c r="BH747" s="13" t="s">
        <v>5510</v>
      </c>
      <c r="BI747" s="13">
        <v>13.0</v>
      </c>
      <c r="BJ747" s="13" t="s">
        <v>5560</v>
      </c>
      <c r="BK747" s="13" t="s">
        <v>5561</v>
      </c>
      <c r="BL747" s="13" t="s">
        <v>5562</v>
      </c>
      <c r="BM747" s="13" t="s">
        <v>18736</v>
      </c>
      <c r="BN747" s="13">
        <v>2.4988483E7</v>
      </c>
      <c r="BO747" s="13" t="s">
        <v>5564</v>
      </c>
      <c r="BP747" s="13" t="s">
        <v>5510</v>
      </c>
      <c r="BQ747" s="13" t="s">
        <v>5510</v>
      </c>
      <c r="BR747" s="13" t="s">
        <v>5538</v>
      </c>
      <c r="BS747" s="13" t="s">
        <v>18737</v>
      </c>
      <c r="BT747" s="13">
        <v>24839.0</v>
      </c>
      <c r="BU747" s="13" t="s">
        <v>5540</v>
      </c>
      <c r="BV747" s="13" t="s">
        <v>4856</v>
      </c>
      <c r="BW747" s="13" t="str">
        <f>VLOOKUP($BT747,Enriched!$A$2:$E$1070,5,false)</f>
        <v>["Climate change &amp; severe weather"]</v>
      </c>
      <c r="BX747" s="13" t="str">
        <f>VLOOKUP($BT747,Enriched!$A$2:$E$1070,4,false)</f>
        <v>["Habitat shifting &amp; alteration"]</v>
      </c>
      <c r="BY747" s="13" t="b">
        <f>VLOOKUP(BT747,Enriched!$A$1:$AA$1070,27,falsE)</f>
        <v>0</v>
      </c>
      <c r="BZ747" s="2" t="str">
        <f>VLOOKUP(BT747,Enriched!$A$1:$AA$1070,14,falsE)</f>
        <v>level2</v>
      </c>
      <c r="CA747" s="13" t="str">
        <f>HYPERLINK("https%3A%2F%2Fwww.webofscience.com%2Fwos%2Fwoscc%2Ffull-record%2FWOS:000341354100075","View Full Record in Web of Science")</f>
        <v>View Full Record in Web of Science</v>
      </c>
    </row>
    <row r="748" ht="12.75" customHeight="1">
      <c r="A748" s="13" t="s">
        <v>5508</v>
      </c>
      <c r="B748" s="13" t="s">
        <v>18738</v>
      </c>
      <c r="C748" s="13" t="s">
        <v>5510</v>
      </c>
      <c r="D748" s="13" t="s">
        <v>5510</v>
      </c>
      <c r="E748" s="13" t="s">
        <v>5510</v>
      </c>
      <c r="F748" s="13" t="s">
        <v>18739</v>
      </c>
      <c r="G748" s="13" t="s">
        <v>5510</v>
      </c>
      <c r="H748" s="13" t="s">
        <v>5510</v>
      </c>
      <c r="I748" s="13" t="s">
        <v>700</v>
      </c>
      <c r="J748" s="13" t="s">
        <v>18740</v>
      </c>
      <c r="K748" s="13" t="s">
        <v>5510</v>
      </c>
      <c r="L748" s="13" t="s">
        <v>5510</v>
      </c>
      <c r="M748" s="13" t="s">
        <v>5513</v>
      </c>
      <c r="N748" s="13" t="s">
        <v>5514</v>
      </c>
      <c r="O748" s="13" t="s">
        <v>5510</v>
      </c>
      <c r="P748" s="13" t="s">
        <v>5510</v>
      </c>
      <c r="Q748" s="13" t="s">
        <v>5510</v>
      </c>
      <c r="R748" s="13" t="s">
        <v>5510</v>
      </c>
      <c r="S748" s="13" t="s">
        <v>5510</v>
      </c>
      <c r="T748" s="13" t="s">
        <v>5510</v>
      </c>
      <c r="U748" s="13" t="s">
        <v>18741</v>
      </c>
      <c r="V748" s="13" t="s">
        <v>18742</v>
      </c>
      <c r="W748" s="13" t="s">
        <v>18743</v>
      </c>
      <c r="X748" s="13" t="s">
        <v>18744</v>
      </c>
      <c r="Y748" s="13" t="s">
        <v>18745</v>
      </c>
      <c r="Z748" s="13" t="s">
        <v>18746</v>
      </c>
      <c r="AA748" s="13" t="s">
        <v>5510</v>
      </c>
      <c r="AB748" s="13" t="s">
        <v>18747</v>
      </c>
      <c r="AC748" s="13" t="s">
        <v>18748</v>
      </c>
      <c r="AD748" s="13" t="s">
        <v>18749</v>
      </c>
      <c r="AE748" s="13" t="s">
        <v>18750</v>
      </c>
      <c r="AF748" s="13" t="s">
        <v>5510</v>
      </c>
      <c r="AG748" s="13">
        <v>64.0</v>
      </c>
      <c r="AH748" s="13">
        <v>11.0</v>
      </c>
      <c r="AI748" s="13">
        <v>11.0</v>
      </c>
      <c r="AJ748" s="13">
        <v>1.0</v>
      </c>
      <c r="AK748" s="13">
        <v>28.0</v>
      </c>
      <c r="AL748" s="13" t="s">
        <v>5690</v>
      </c>
      <c r="AM748" s="13" t="s">
        <v>5691</v>
      </c>
      <c r="AN748" s="13" t="s">
        <v>5692</v>
      </c>
      <c r="AO748" s="13" t="s">
        <v>18751</v>
      </c>
      <c r="AP748" s="13" t="s">
        <v>18752</v>
      </c>
      <c r="AQ748" s="13" t="s">
        <v>5510</v>
      </c>
      <c r="AR748" s="13" t="s">
        <v>18740</v>
      </c>
      <c r="AS748" s="13" t="s">
        <v>18753</v>
      </c>
      <c r="AT748" s="13" t="s">
        <v>1925</v>
      </c>
      <c r="AU748" s="13">
        <v>2019.0</v>
      </c>
      <c r="AV748" s="13">
        <v>156.0</v>
      </c>
      <c r="AW748" s="13" t="s">
        <v>12302</v>
      </c>
      <c r="AX748" s="13" t="s">
        <v>5510</v>
      </c>
      <c r="AY748" s="13" t="s">
        <v>5510</v>
      </c>
      <c r="AZ748" s="13" t="s">
        <v>5510</v>
      </c>
      <c r="BA748" s="13" t="s">
        <v>5510</v>
      </c>
      <c r="BB748" s="13">
        <v>51.0</v>
      </c>
      <c r="BC748" s="13">
        <v>67.0</v>
      </c>
      <c r="BD748" s="13" t="s">
        <v>5510</v>
      </c>
      <c r="BE748" s="13" t="s">
        <v>18754</v>
      </c>
      <c r="BF748" s="52" t="str">
        <f>HYPERLINK("http://dx.doi.org/10.1007/s10584-019-02493-8","http://dx.doi.org/10.1007/s10584-019-02493-8")</f>
        <v>http://dx.doi.org/10.1007/s10584-019-02493-8</v>
      </c>
      <c r="BG748" s="13" t="s">
        <v>5510</v>
      </c>
      <c r="BH748" s="13" t="s">
        <v>5510</v>
      </c>
      <c r="BI748" s="13">
        <v>17.0</v>
      </c>
      <c r="BJ748" s="13" t="s">
        <v>13926</v>
      </c>
      <c r="BK748" s="13" t="s">
        <v>5561</v>
      </c>
      <c r="BL748" s="13" t="s">
        <v>9790</v>
      </c>
      <c r="BM748" s="13" t="s">
        <v>18755</v>
      </c>
      <c r="BN748" s="13" t="s">
        <v>5510</v>
      </c>
      <c r="BO748" s="13" t="s">
        <v>5510</v>
      </c>
      <c r="BP748" s="13" t="s">
        <v>5510</v>
      </c>
      <c r="BQ748" s="13" t="s">
        <v>5510</v>
      </c>
      <c r="BR748" s="13" t="s">
        <v>5538</v>
      </c>
      <c r="BS748" s="13" t="s">
        <v>18756</v>
      </c>
      <c r="BT748" s="13">
        <v>23531.0</v>
      </c>
      <c r="BU748" s="13" t="s">
        <v>5540</v>
      </c>
      <c r="BV748" s="13" t="s">
        <v>4856</v>
      </c>
      <c r="BW748" s="13" t="str">
        <f>VLOOKUP($BT748,Enriched!$A$2:$E$1070,5,false)</f>
        <v>["Climate Change &amp; Severe Weather"]</v>
      </c>
      <c r="BX748" s="13" t="str">
        <f>VLOOKUP($BT748,Enriched!$A$2:$E$1070,4,false)</f>
        <v>["Temperature extremes"]</v>
      </c>
      <c r="BY748" s="13" t="b">
        <f>VLOOKUP(BT748,Enriched!$A$1:$AA$1070,27,falsE)</f>
        <v>0</v>
      </c>
      <c r="BZ748" s="2" t="str">
        <f>VLOOKUP(BT748,Enriched!$A$1:$AA$1070,14,falsE)</f>
        <v>level2</v>
      </c>
      <c r="CA748" s="13" t="str">
        <f>HYPERLINK("https%3A%2F%2Fwww.webofscience.com%2Fwos%2Fwoscc%2Ffull-record%2FWOS:000491987900004","View Full Record in Web of Science")</f>
        <v>View Full Record in Web of Science</v>
      </c>
    </row>
    <row r="749" ht="12.75" customHeight="1">
      <c r="A749" s="13" t="s">
        <v>5508</v>
      </c>
      <c r="B749" s="13" t="s">
        <v>18757</v>
      </c>
      <c r="C749" s="13" t="s">
        <v>5510</v>
      </c>
      <c r="D749" s="13" t="s">
        <v>5510</v>
      </c>
      <c r="E749" s="13" t="s">
        <v>5510</v>
      </c>
      <c r="F749" s="13" t="s">
        <v>18758</v>
      </c>
      <c r="G749" s="13" t="s">
        <v>5510</v>
      </c>
      <c r="H749" s="13" t="s">
        <v>5510</v>
      </c>
      <c r="I749" s="13" t="s">
        <v>18759</v>
      </c>
      <c r="J749" s="13" t="s">
        <v>5543</v>
      </c>
      <c r="K749" s="13" t="s">
        <v>5510</v>
      </c>
      <c r="L749" s="13" t="s">
        <v>5510</v>
      </c>
      <c r="M749" s="13" t="s">
        <v>5513</v>
      </c>
      <c r="N749" s="13" t="s">
        <v>5514</v>
      </c>
      <c r="O749" s="13" t="s">
        <v>5510</v>
      </c>
      <c r="P749" s="13" t="s">
        <v>5510</v>
      </c>
      <c r="Q749" s="13" t="s">
        <v>5510</v>
      </c>
      <c r="R749" s="13" t="s">
        <v>5510</v>
      </c>
      <c r="S749" s="13" t="s">
        <v>5510</v>
      </c>
      <c r="T749" s="13" t="s">
        <v>5510</v>
      </c>
      <c r="U749" s="13" t="s">
        <v>18760</v>
      </c>
      <c r="V749" s="13" t="s">
        <v>18761</v>
      </c>
      <c r="W749" s="13" t="s">
        <v>18762</v>
      </c>
      <c r="X749" s="13" t="s">
        <v>18763</v>
      </c>
      <c r="Y749" s="13" t="s">
        <v>18764</v>
      </c>
      <c r="Z749" s="13" t="s">
        <v>18765</v>
      </c>
      <c r="AA749" s="13" t="s">
        <v>18766</v>
      </c>
      <c r="AB749" s="13" t="s">
        <v>18767</v>
      </c>
      <c r="AC749" s="13" t="s">
        <v>18768</v>
      </c>
      <c r="AD749" s="13" t="s">
        <v>18769</v>
      </c>
      <c r="AE749" s="13" t="s">
        <v>18770</v>
      </c>
      <c r="AF749" s="13" t="s">
        <v>5510</v>
      </c>
      <c r="AG749" s="13">
        <v>66.0</v>
      </c>
      <c r="AH749" s="13">
        <v>32.0</v>
      </c>
      <c r="AI749" s="13">
        <v>35.0</v>
      </c>
      <c r="AJ749" s="13">
        <v>2.0</v>
      </c>
      <c r="AK749" s="13">
        <v>56.0</v>
      </c>
      <c r="AL749" s="13" t="s">
        <v>5552</v>
      </c>
      <c r="AM749" s="13" t="s">
        <v>5553</v>
      </c>
      <c r="AN749" s="13" t="s">
        <v>5554</v>
      </c>
      <c r="AO749" s="13" t="s">
        <v>5510</v>
      </c>
      <c r="AP749" s="13" t="s">
        <v>5555</v>
      </c>
      <c r="AQ749" s="13" t="s">
        <v>5510</v>
      </c>
      <c r="AR749" s="13" t="s">
        <v>5543</v>
      </c>
      <c r="AS749" s="13" t="s">
        <v>5556</v>
      </c>
      <c r="AT749" s="13" t="s">
        <v>18771</v>
      </c>
      <c r="AU749" s="13">
        <v>2016.0</v>
      </c>
      <c r="AV749" s="13">
        <v>11.0</v>
      </c>
      <c r="AW749" s="13">
        <v>4.0</v>
      </c>
      <c r="AX749" s="13" t="s">
        <v>5510</v>
      </c>
      <c r="AY749" s="13" t="s">
        <v>5510</v>
      </c>
      <c r="AZ749" s="13" t="s">
        <v>5510</v>
      </c>
      <c r="BA749" s="13" t="s">
        <v>5510</v>
      </c>
      <c r="BB749" s="13" t="s">
        <v>5510</v>
      </c>
      <c r="BC749" s="13" t="s">
        <v>5510</v>
      </c>
      <c r="BD749" s="13" t="s">
        <v>18772</v>
      </c>
      <c r="BE749" s="13" t="s">
        <v>18773</v>
      </c>
      <c r="BF749" s="52" t="str">
        <f>HYPERLINK("http://dx.doi.org/10.1371/journal.pone.0153888","http://dx.doi.org/10.1371/journal.pone.0153888")</f>
        <v>http://dx.doi.org/10.1371/journal.pone.0153888</v>
      </c>
      <c r="BG749" s="13" t="s">
        <v>5510</v>
      </c>
      <c r="BH749" s="13" t="s">
        <v>5510</v>
      </c>
      <c r="BI749" s="13">
        <v>14.0</v>
      </c>
      <c r="BJ749" s="13" t="s">
        <v>5560</v>
      </c>
      <c r="BK749" s="13" t="s">
        <v>5561</v>
      </c>
      <c r="BL749" s="13" t="s">
        <v>5562</v>
      </c>
      <c r="BM749" s="13" t="s">
        <v>18774</v>
      </c>
      <c r="BN749" s="13">
        <v>2.7100092E7</v>
      </c>
      <c r="BO749" s="13" t="s">
        <v>5564</v>
      </c>
      <c r="BP749" s="13" t="s">
        <v>5510</v>
      </c>
      <c r="BQ749" s="13" t="s">
        <v>5510</v>
      </c>
      <c r="BR749" s="13" t="s">
        <v>5538</v>
      </c>
      <c r="BS749" s="13" t="s">
        <v>18775</v>
      </c>
      <c r="BT749" s="13">
        <v>25524.0</v>
      </c>
      <c r="BU749" s="13" t="s">
        <v>5540</v>
      </c>
      <c r="BV749" s="13" t="s">
        <v>4856</v>
      </c>
      <c r="BW749" s="13" t="str">
        <f>VLOOKUP($BT749,Enriched!$A$2:$E$1070,5,false)</f>
        <v>["Climate change &amp; severe weather"]</v>
      </c>
      <c r="BX749" s="13" t="str">
        <f>VLOOKUP($BT749,Enriched!$A$2:$E$1070,4,false)</f>
        <v>["Droughts"]</v>
      </c>
      <c r="BY749" s="13" t="b">
        <f>VLOOKUP(BT749,Enriched!$A$1:$AA$1070,27,falsE)</f>
        <v>0</v>
      </c>
      <c r="BZ749" s="2" t="str">
        <f>VLOOKUP(BT749,Enriched!$A$1:$AA$1070,14,falsE)</f>
        <v>level2</v>
      </c>
      <c r="CA749" s="13" t="str">
        <f>HYPERLINK("https%3A%2F%2Fwww.webofscience.com%2Fwos%2Fwoscc%2Ffull-record%2FWOS:000374898500086","View Full Record in Web of Science")</f>
        <v>View Full Record in Web of Science</v>
      </c>
    </row>
    <row r="750" ht="12.75" customHeight="1">
      <c r="A750" s="13" t="s">
        <v>5508</v>
      </c>
      <c r="B750" s="13" t="s">
        <v>18776</v>
      </c>
      <c r="C750" s="13" t="s">
        <v>5510</v>
      </c>
      <c r="D750" s="13" t="s">
        <v>5510</v>
      </c>
      <c r="E750" s="13" t="s">
        <v>5510</v>
      </c>
      <c r="F750" s="13" t="s">
        <v>18777</v>
      </c>
      <c r="G750" s="13" t="s">
        <v>5510</v>
      </c>
      <c r="H750" s="13" t="s">
        <v>5510</v>
      </c>
      <c r="I750" s="13" t="s">
        <v>695</v>
      </c>
      <c r="J750" s="13" t="s">
        <v>11947</v>
      </c>
      <c r="K750" s="13" t="s">
        <v>5510</v>
      </c>
      <c r="L750" s="13" t="s">
        <v>5510</v>
      </c>
      <c r="M750" s="13" t="s">
        <v>5513</v>
      </c>
      <c r="N750" s="13" t="s">
        <v>5514</v>
      </c>
      <c r="O750" s="13" t="s">
        <v>5510</v>
      </c>
      <c r="P750" s="13" t="s">
        <v>5510</v>
      </c>
      <c r="Q750" s="13" t="s">
        <v>5510</v>
      </c>
      <c r="R750" s="13" t="s">
        <v>5510</v>
      </c>
      <c r="S750" s="13" t="s">
        <v>5510</v>
      </c>
      <c r="T750" s="13" t="s">
        <v>5510</v>
      </c>
      <c r="U750" s="13" t="s">
        <v>18778</v>
      </c>
      <c r="V750" s="13" t="s">
        <v>18779</v>
      </c>
      <c r="W750" s="13" t="s">
        <v>18780</v>
      </c>
      <c r="X750" s="13" t="s">
        <v>18781</v>
      </c>
      <c r="Y750" s="13" t="s">
        <v>18782</v>
      </c>
      <c r="Z750" s="13" t="s">
        <v>18783</v>
      </c>
      <c r="AA750" s="13" t="s">
        <v>18784</v>
      </c>
      <c r="AB750" s="13" t="s">
        <v>18785</v>
      </c>
      <c r="AC750" s="13" t="s">
        <v>18786</v>
      </c>
      <c r="AD750" s="13" t="s">
        <v>18787</v>
      </c>
      <c r="AE750" s="13" t="s">
        <v>18788</v>
      </c>
      <c r="AF750" s="13" t="s">
        <v>5510</v>
      </c>
      <c r="AG750" s="13">
        <v>53.0</v>
      </c>
      <c r="AH750" s="13">
        <v>497.0</v>
      </c>
      <c r="AI750" s="13">
        <v>574.0</v>
      </c>
      <c r="AJ750" s="13">
        <v>19.0</v>
      </c>
      <c r="AK750" s="13">
        <v>567.0</v>
      </c>
      <c r="AL750" s="13" t="s">
        <v>11959</v>
      </c>
      <c r="AM750" s="13" t="s">
        <v>5908</v>
      </c>
      <c r="AN750" s="13" t="s">
        <v>11960</v>
      </c>
      <c r="AO750" s="13" t="s">
        <v>11961</v>
      </c>
      <c r="AP750" s="13" t="s">
        <v>11962</v>
      </c>
      <c r="AQ750" s="13" t="s">
        <v>5510</v>
      </c>
      <c r="AR750" s="13" t="s">
        <v>11947</v>
      </c>
      <c r="AS750" s="13" t="s">
        <v>117</v>
      </c>
      <c r="AT750" s="13" t="s">
        <v>18789</v>
      </c>
      <c r="AU750" s="13">
        <v>2020.0</v>
      </c>
      <c r="AV750" s="13">
        <v>367.0</v>
      </c>
      <c r="AW750" s="13">
        <v>6478.0</v>
      </c>
      <c r="AX750" s="13" t="s">
        <v>5510</v>
      </c>
      <c r="AY750" s="13" t="s">
        <v>5510</v>
      </c>
      <c r="AZ750" s="13" t="s">
        <v>5510</v>
      </c>
      <c r="BA750" s="13" t="s">
        <v>5510</v>
      </c>
      <c r="BB750" s="13">
        <v>685.0</v>
      </c>
      <c r="BC750" s="13" t="s">
        <v>9408</v>
      </c>
      <c r="BD750" s="13" t="s">
        <v>5510</v>
      </c>
      <c r="BE750" s="13" t="s">
        <v>18790</v>
      </c>
      <c r="BF750" s="52" t="str">
        <f>HYPERLINK("http://dx.doi.org/10.1126/science.aax8591","http://dx.doi.org/10.1126/science.aax8591")</f>
        <v>http://dx.doi.org/10.1126/science.aax8591</v>
      </c>
      <c r="BG750" s="13" t="s">
        <v>5510</v>
      </c>
      <c r="BH750" s="13" t="s">
        <v>5510</v>
      </c>
      <c r="BI750" s="13">
        <v>58.0</v>
      </c>
      <c r="BJ750" s="13" t="s">
        <v>5560</v>
      </c>
      <c r="BK750" s="13" t="s">
        <v>5561</v>
      </c>
      <c r="BL750" s="13" t="s">
        <v>5562</v>
      </c>
      <c r="BM750" s="13" t="s">
        <v>18791</v>
      </c>
      <c r="BN750" s="13">
        <v>3.2029628E7</v>
      </c>
      <c r="BO750" s="13" t="s">
        <v>5510</v>
      </c>
      <c r="BP750" s="13" t="s">
        <v>5510</v>
      </c>
      <c r="BQ750" s="13" t="s">
        <v>5510</v>
      </c>
      <c r="BR750" s="13" t="s">
        <v>5538</v>
      </c>
      <c r="BS750" s="13" t="s">
        <v>18792</v>
      </c>
      <c r="BT750" s="13">
        <v>25646.0</v>
      </c>
      <c r="BU750" s="13" t="s">
        <v>5540</v>
      </c>
      <c r="BV750" s="13" t="s">
        <v>4856</v>
      </c>
      <c r="BW750" s="13" t="str">
        <f>VLOOKUP($BT750,Enriched!$A$2:$E$1070,5,false)</f>
        <v>["Climate change &amp; severe weather"]</v>
      </c>
      <c r="BX750" s="13" t="str">
        <f>VLOOKUP($BT750,Enriched!$A$2:$E$1070,4,false)</f>
        <v>["Habitat shifting &amp; alteration", "Temperature extremes"]</v>
      </c>
      <c r="BY750" s="13" t="b">
        <f>VLOOKUP(BT750,Enriched!$A$1:$AA$1070,27,falsE)</f>
        <v>0</v>
      </c>
      <c r="BZ750" s="2" t="str">
        <f>VLOOKUP(BT750,Enriched!$A$1:$AA$1070,14,falsE)</f>
        <v>level1</v>
      </c>
      <c r="CA750" s="13" t="str">
        <f>HYPERLINK("https%3A%2F%2Fwww.webofscience.com%2Fwos%2Fwoscc%2Ffull-record%2FWOS:000512382900032","View Full Record in Web of Science")</f>
        <v>View Full Record in Web of Science</v>
      </c>
    </row>
    <row r="751" ht="12.75" customHeight="1">
      <c r="A751" s="13" t="s">
        <v>5508</v>
      </c>
      <c r="B751" s="13" t="s">
        <v>18793</v>
      </c>
      <c r="C751" s="13" t="s">
        <v>5510</v>
      </c>
      <c r="D751" s="13" t="s">
        <v>5510</v>
      </c>
      <c r="E751" s="13" t="s">
        <v>5510</v>
      </c>
      <c r="F751" s="13" t="s">
        <v>18794</v>
      </c>
      <c r="G751" s="13" t="s">
        <v>5510</v>
      </c>
      <c r="H751" s="13" t="s">
        <v>5510</v>
      </c>
      <c r="I751" s="13" t="s">
        <v>692</v>
      </c>
      <c r="J751" s="13" t="s">
        <v>7857</v>
      </c>
      <c r="K751" s="13" t="s">
        <v>5510</v>
      </c>
      <c r="L751" s="13" t="s">
        <v>5510</v>
      </c>
      <c r="M751" s="13" t="s">
        <v>5513</v>
      </c>
      <c r="N751" s="13" t="s">
        <v>5514</v>
      </c>
      <c r="O751" s="13" t="s">
        <v>5510</v>
      </c>
      <c r="P751" s="13" t="s">
        <v>5510</v>
      </c>
      <c r="Q751" s="13" t="s">
        <v>5510</v>
      </c>
      <c r="R751" s="13" t="s">
        <v>5510</v>
      </c>
      <c r="S751" s="13" t="s">
        <v>5510</v>
      </c>
      <c r="T751" s="13" t="s">
        <v>18795</v>
      </c>
      <c r="U751" s="13" t="s">
        <v>18796</v>
      </c>
      <c r="V751" s="13" t="s">
        <v>18797</v>
      </c>
      <c r="W751" s="13" t="s">
        <v>18798</v>
      </c>
      <c r="X751" s="13" t="s">
        <v>18799</v>
      </c>
      <c r="Y751" s="13" t="s">
        <v>18800</v>
      </c>
      <c r="Z751" s="13" t="s">
        <v>18801</v>
      </c>
      <c r="AA751" s="13" t="s">
        <v>18802</v>
      </c>
      <c r="AB751" s="13" t="s">
        <v>18803</v>
      </c>
      <c r="AC751" s="13" t="s">
        <v>18804</v>
      </c>
      <c r="AD751" s="13" t="s">
        <v>18804</v>
      </c>
      <c r="AE751" s="13" t="s">
        <v>18805</v>
      </c>
      <c r="AF751" s="13" t="s">
        <v>5510</v>
      </c>
      <c r="AG751" s="13">
        <v>23.0</v>
      </c>
      <c r="AH751" s="13">
        <v>139.0</v>
      </c>
      <c r="AI751" s="13">
        <v>162.0</v>
      </c>
      <c r="AJ751" s="13">
        <v>0.0</v>
      </c>
      <c r="AK751" s="13">
        <v>85.0</v>
      </c>
      <c r="AL751" s="13" t="s">
        <v>5527</v>
      </c>
      <c r="AM751" s="13" t="s">
        <v>5528</v>
      </c>
      <c r="AN751" s="13" t="s">
        <v>5529</v>
      </c>
      <c r="AO751" s="13" t="s">
        <v>7870</v>
      </c>
      <c r="AP751" s="13" t="s">
        <v>7871</v>
      </c>
      <c r="AQ751" s="13" t="s">
        <v>5510</v>
      </c>
      <c r="AR751" s="13" t="s">
        <v>7872</v>
      </c>
      <c r="AS751" s="13" t="s">
        <v>7873</v>
      </c>
      <c r="AT751" s="13" t="s">
        <v>6089</v>
      </c>
      <c r="AU751" s="13">
        <v>2009.0</v>
      </c>
      <c r="AV751" s="13">
        <v>15.0</v>
      </c>
      <c r="AW751" s="13">
        <v>3.0</v>
      </c>
      <c r="AX751" s="13" t="s">
        <v>5510</v>
      </c>
      <c r="AY751" s="13" t="s">
        <v>5510</v>
      </c>
      <c r="AZ751" s="13" t="s">
        <v>5510</v>
      </c>
      <c r="BA751" s="13" t="s">
        <v>5510</v>
      </c>
      <c r="BB751" s="13">
        <v>656.0</v>
      </c>
      <c r="BC751" s="13">
        <v>667.0</v>
      </c>
      <c r="BD751" s="13" t="s">
        <v>5510</v>
      </c>
      <c r="BE751" s="13" t="s">
        <v>18806</v>
      </c>
      <c r="BF751" s="52" t="str">
        <f>HYPERLINK("http://dx.doi.org/10.1111/j.1365-2486.2008.01762.x","http://dx.doi.org/10.1111/j.1365-2486.2008.01762.x")</f>
        <v>http://dx.doi.org/10.1111/j.1365-2486.2008.01762.x</v>
      </c>
      <c r="BG751" s="13" t="s">
        <v>5510</v>
      </c>
      <c r="BH751" s="13" t="s">
        <v>5510</v>
      </c>
      <c r="BI751" s="13">
        <v>12.0</v>
      </c>
      <c r="BJ751" s="13" t="s">
        <v>5698</v>
      </c>
      <c r="BK751" s="13" t="s">
        <v>5561</v>
      </c>
      <c r="BL751" s="13" t="s">
        <v>5699</v>
      </c>
      <c r="BM751" s="13" t="s">
        <v>18807</v>
      </c>
      <c r="BN751" s="13" t="s">
        <v>5510</v>
      </c>
      <c r="BO751" s="13" t="s">
        <v>5510</v>
      </c>
      <c r="BP751" s="13" t="s">
        <v>5510</v>
      </c>
      <c r="BQ751" s="13" t="s">
        <v>5510</v>
      </c>
      <c r="BR751" s="13" t="s">
        <v>5538</v>
      </c>
      <c r="BS751" s="13" t="s">
        <v>18808</v>
      </c>
      <c r="BT751" s="13">
        <v>23147.0</v>
      </c>
      <c r="BU751" s="13" t="s">
        <v>5540</v>
      </c>
      <c r="BV751" s="13" t="s">
        <v>4856</v>
      </c>
      <c r="BW751" s="13" t="str">
        <f>VLOOKUP($BT751,Enriched!$A$2:$E$1070,5,false)</f>
        <v>["Climate change &amp; severe weather"]</v>
      </c>
      <c r="BX751" s="13" t="str">
        <f>VLOOKUP($BT751,Enriched!$A$2:$E$1070,4,false)</f>
        <v>["Habitat shifting &amp; alteration"]</v>
      </c>
      <c r="BY751" s="13" t="b">
        <f>VLOOKUP(BT751,Enriched!$A$1:$AA$1070,27,falsE)</f>
        <v>0</v>
      </c>
      <c r="BZ751" s="2" t="str">
        <f>VLOOKUP(BT751,Enriched!$A$1:$AA$1070,14,falsE)</f>
        <v>level2</v>
      </c>
      <c r="CA751" s="13" t="str">
        <f>HYPERLINK("https%3A%2F%2Fwww.webofscience.com%2Fwos%2Fwoscc%2Ffull-record%2FWOS:000263134600010","View Full Record in Web of Science")</f>
        <v>View Full Record in Web of Science</v>
      </c>
    </row>
    <row r="752" ht="12.75" customHeight="1">
      <c r="A752" s="13" t="s">
        <v>5508</v>
      </c>
      <c r="B752" s="13" t="s">
        <v>18809</v>
      </c>
      <c r="C752" s="13" t="s">
        <v>5510</v>
      </c>
      <c r="D752" s="13" t="s">
        <v>5510</v>
      </c>
      <c r="E752" s="13" t="s">
        <v>5510</v>
      </c>
      <c r="F752" s="13" t="s">
        <v>18810</v>
      </c>
      <c r="G752" s="13" t="s">
        <v>5510</v>
      </c>
      <c r="H752" s="13" t="s">
        <v>5510</v>
      </c>
      <c r="I752" s="13" t="s">
        <v>18811</v>
      </c>
      <c r="J752" s="13" t="s">
        <v>18812</v>
      </c>
      <c r="K752" s="13" t="s">
        <v>5510</v>
      </c>
      <c r="L752" s="13" t="s">
        <v>5510</v>
      </c>
      <c r="M752" s="13" t="s">
        <v>5513</v>
      </c>
      <c r="N752" s="13" t="s">
        <v>5514</v>
      </c>
      <c r="O752" s="13" t="s">
        <v>5510</v>
      </c>
      <c r="P752" s="13" t="s">
        <v>5510</v>
      </c>
      <c r="Q752" s="13" t="s">
        <v>5510</v>
      </c>
      <c r="R752" s="13" t="s">
        <v>5510</v>
      </c>
      <c r="S752" s="13" t="s">
        <v>5510</v>
      </c>
      <c r="T752" s="13" t="s">
        <v>18813</v>
      </c>
      <c r="U752" s="13" t="s">
        <v>18814</v>
      </c>
      <c r="V752" s="13" t="s">
        <v>18815</v>
      </c>
      <c r="W752" s="13" t="s">
        <v>18816</v>
      </c>
      <c r="X752" s="13" t="s">
        <v>18817</v>
      </c>
      <c r="Y752" s="13" t="s">
        <v>18818</v>
      </c>
      <c r="Z752" s="13" t="s">
        <v>18819</v>
      </c>
      <c r="AA752" s="13" t="s">
        <v>18820</v>
      </c>
      <c r="AB752" s="13" t="s">
        <v>18821</v>
      </c>
      <c r="AC752" s="13" t="s">
        <v>18822</v>
      </c>
      <c r="AD752" s="13" t="s">
        <v>18823</v>
      </c>
      <c r="AE752" s="13" t="s">
        <v>18824</v>
      </c>
      <c r="AF752" s="13" t="s">
        <v>5510</v>
      </c>
      <c r="AG752" s="13">
        <v>113.0</v>
      </c>
      <c r="AH752" s="13">
        <v>15.0</v>
      </c>
      <c r="AI752" s="13">
        <v>17.0</v>
      </c>
      <c r="AJ752" s="13">
        <v>0.0</v>
      </c>
      <c r="AK752" s="13">
        <v>18.0</v>
      </c>
      <c r="AL752" s="13" t="s">
        <v>18825</v>
      </c>
      <c r="AM752" s="13" t="s">
        <v>6543</v>
      </c>
      <c r="AN752" s="13" t="s">
        <v>18826</v>
      </c>
      <c r="AO752" s="13" t="s">
        <v>18827</v>
      </c>
      <c r="AP752" s="13" t="s">
        <v>18828</v>
      </c>
      <c r="AQ752" s="13" t="s">
        <v>5510</v>
      </c>
      <c r="AR752" s="13" t="s">
        <v>18812</v>
      </c>
      <c r="AS752" s="13" t="s">
        <v>689</v>
      </c>
      <c r="AT752" s="13" t="s">
        <v>5720</v>
      </c>
      <c r="AU752" s="13">
        <v>2020.0</v>
      </c>
      <c r="AV752" s="13">
        <v>76.0</v>
      </c>
      <c r="AW752" s="13">
        <v>2.0</v>
      </c>
      <c r="AX752" s="13" t="s">
        <v>5510</v>
      </c>
      <c r="AY752" s="13" t="s">
        <v>5510</v>
      </c>
      <c r="AZ752" s="13" t="s">
        <v>5510</v>
      </c>
      <c r="BA752" s="13" t="s">
        <v>5510</v>
      </c>
      <c r="BB752" s="13">
        <v>201.0</v>
      </c>
      <c r="BC752" s="13">
        <v>215.0</v>
      </c>
      <c r="BD752" s="13" t="s">
        <v>5510</v>
      </c>
      <c r="BE752" s="13" t="s">
        <v>18829</v>
      </c>
      <c r="BF752" s="52" t="str">
        <f>HYPERLINK("http://dx.doi.org/10.1655/0018-0831-76.2.201","http://dx.doi.org/10.1655/0018-0831-76.2.201")</f>
        <v>http://dx.doi.org/10.1655/0018-0831-76.2.201</v>
      </c>
      <c r="BG752" s="13" t="s">
        <v>5510</v>
      </c>
      <c r="BH752" s="13" t="s">
        <v>5510</v>
      </c>
      <c r="BI752" s="13">
        <v>15.0</v>
      </c>
      <c r="BJ752" s="13" t="s">
        <v>6899</v>
      </c>
      <c r="BK752" s="13" t="s">
        <v>5561</v>
      </c>
      <c r="BL752" s="13" t="s">
        <v>6899</v>
      </c>
      <c r="BM752" s="13" t="s">
        <v>18830</v>
      </c>
      <c r="BN752" s="13" t="s">
        <v>5510</v>
      </c>
      <c r="BO752" s="13" t="s">
        <v>5510</v>
      </c>
      <c r="BP752" s="13" t="s">
        <v>5510</v>
      </c>
      <c r="BQ752" s="13" t="s">
        <v>5510</v>
      </c>
      <c r="BR752" s="13" t="s">
        <v>5538</v>
      </c>
      <c r="BS752" s="13" t="s">
        <v>18831</v>
      </c>
      <c r="BT752" s="13">
        <v>26140.0</v>
      </c>
      <c r="BU752" s="13" t="s">
        <v>9118</v>
      </c>
      <c r="BV752" s="13" t="s">
        <v>4886</v>
      </c>
      <c r="BW752" s="13" t="str">
        <f>VLOOKUP($BT752,Enriched!$A$2:$E$1070,5,false)</f>
        <v>["Invasive &amp; other problematic species, genes &amp; diseases"]</v>
      </c>
      <c r="BX752" s="13" t="str">
        <f>VLOOKUP($BT752,Enriched!$A$2:$E$1070,4,false)</f>
        <v>["Invasive non-native/alien species/diseases"]</v>
      </c>
      <c r="BY752" s="13" t="b">
        <f>VLOOKUP(BT752,Enriched!$A$1:$AA$1070,27,falsE)</f>
        <v>0</v>
      </c>
      <c r="BZ752" s="2" t="str">
        <f>VLOOKUP(BT752,Enriched!$A$1:$AA$1070,14,falsE)</f>
        <v>level2</v>
      </c>
      <c r="CA752" s="13" t="str">
        <f>HYPERLINK("https%3A%2F%2Fwww.webofscience.com%2Fwos%2Fwoscc%2Ffull-record%2FWOS:000543794000011","View Full Record in Web of Science")</f>
        <v>View Full Record in Web of Science</v>
      </c>
    </row>
    <row r="753" ht="12.75" customHeight="1">
      <c r="A753" s="13" t="s">
        <v>5508</v>
      </c>
      <c r="B753" s="13" t="s">
        <v>18832</v>
      </c>
      <c r="C753" s="13" t="s">
        <v>5510</v>
      </c>
      <c r="D753" s="13" t="s">
        <v>5510</v>
      </c>
      <c r="E753" s="13" t="s">
        <v>5510</v>
      </c>
      <c r="F753" s="13" t="s">
        <v>18833</v>
      </c>
      <c r="G753" s="13" t="s">
        <v>5510</v>
      </c>
      <c r="H753" s="13" t="s">
        <v>5510</v>
      </c>
      <c r="I753" s="13" t="s">
        <v>677</v>
      </c>
      <c r="J753" s="13" t="s">
        <v>6704</v>
      </c>
      <c r="K753" s="13" t="s">
        <v>5510</v>
      </c>
      <c r="L753" s="13" t="s">
        <v>5510</v>
      </c>
      <c r="M753" s="13" t="s">
        <v>5513</v>
      </c>
      <c r="N753" s="13" t="s">
        <v>5514</v>
      </c>
      <c r="O753" s="13" t="s">
        <v>5510</v>
      </c>
      <c r="P753" s="13" t="s">
        <v>5510</v>
      </c>
      <c r="Q753" s="13" t="s">
        <v>5510</v>
      </c>
      <c r="R753" s="13" t="s">
        <v>5510</v>
      </c>
      <c r="S753" s="13" t="s">
        <v>5510</v>
      </c>
      <c r="T753" s="13" t="s">
        <v>18834</v>
      </c>
      <c r="U753" s="13" t="s">
        <v>18835</v>
      </c>
      <c r="V753" s="13" t="s">
        <v>18836</v>
      </c>
      <c r="W753" s="13" t="s">
        <v>18837</v>
      </c>
      <c r="X753" s="13" t="s">
        <v>18838</v>
      </c>
      <c r="Y753" s="13" t="s">
        <v>18839</v>
      </c>
      <c r="Z753" s="13" t="s">
        <v>18840</v>
      </c>
      <c r="AA753" s="13" t="s">
        <v>18841</v>
      </c>
      <c r="AB753" s="13" t="s">
        <v>18842</v>
      </c>
      <c r="AC753" s="13" t="s">
        <v>18843</v>
      </c>
      <c r="AD753" s="13" t="s">
        <v>18843</v>
      </c>
      <c r="AE753" s="13" t="s">
        <v>18844</v>
      </c>
      <c r="AF753" s="13" t="s">
        <v>5510</v>
      </c>
      <c r="AG753" s="13">
        <v>70.0</v>
      </c>
      <c r="AH753" s="13">
        <v>55.0</v>
      </c>
      <c r="AI753" s="13">
        <v>59.0</v>
      </c>
      <c r="AJ753" s="13">
        <v>2.0</v>
      </c>
      <c r="AK753" s="13">
        <v>66.0</v>
      </c>
      <c r="AL753" s="13" t="s">
        <v>6717</v>
      </c>
      <c r="AM753" s="13" t="s">
        <v>5932</v>
      </c>
      <c r="AN753" s="13" t="s">
        <v>6718</v>
      </c>
      <c r="AO753" s="13" t="s">
        <v>6719</v>
      </c>
      <c r="AP753" s="13" t="s">
        <v>5510</v>
      </c>
      <c r="AQ753" s="13" t="s">
        <v>5510</v>
      </c>
      <c r="AR753" s="13" t="s">
        <v>6720</v>
      </c>
      <c r="AS753" s="13" t="s">
        <v>6721</v>
      </c>
      <c r="AT753" s="13" t="s">
        <v>5866</v>
      </c>
      <c r="AU753" s="13">
        <v>2015.0</v>
      </c>
      <c r="AV753" s="13">
        <v>36.0</v>
      </c>
      <c r="AW753" s="13" t="s">
        <v>5510</v>
      </c>
      <c r="AX753" s="13" t="s">
        <v>5510</v>
      </c>
      <c r="AY753" s="13" t="s">
        <v>5510</v>
      </c>
      <c r="AZ753" s="13" t="s">
        <v>5510</v>
      </c>
      <c r="BA753" s="13" t="s">
        <v>5510</v>
      </c>
      <c r="BB753" s="13">
        <v>18.0</v>
      </c>
      <c r="BC753" s="13">
        <v>28.0</v>
      </c>
      <c r="BD753" s="13" t="s">
        <v>5510</v>
      </c>
      <c r="BE753" s="13" t="s">
        <v>18845</v>
      </c>
      <c r="BF753" s="52" t="str">
        <f>HYPERLINK("http://dx.doi.org/10.1016/j.trd.2015.02.006","http://dx.doi.org/10.1016/j.trd.2015.02.006")</f>
        <v>http://dx.doi.org/10.1016/j.trd.2015.02.006</v>
      </c>
      <c r="BG753" s="13" t="s">
        <v>5510</v>
      </c>
      <c r="BH753" s="13" t="s">
        <v>5510</v>
      </c>
      <c r="BI753" s="13">
        <v>11.0</v>
      </c>
      <c r="BJ753" s="13" t="s">
        <v>6723</v>
      </c>
      <c r="BK753" s="13" t="s">
        <v>5534</v>
      </c>
      <c r="BL753" s="13" t="s">
        <v>6724</v>
      </c>
      <c r="BM753" s="13" t="s">
        <v>18846</v>
      </c>
      <c r="BN753" s="13" t="s">
        <v>5510</v>
      </c>
      <c r="BO753" s="13" t="s">
        <v>5510</v>
      </c>
      <c r="BP753" s="13" t="s">
        <v>5510</v>
      </c>
      <c r="BQ753" s="13" t="s">
        <v>5510</v>
      </c>
      <c r="BR753" s="13" t="s">
        <v>5538</v>
      </c>
      <c r="BS753" s="13" t="s">
        <v>18847</v>
      </c>
      <c r="BT753" s="13">
        <v>23390.0</v>
      </c>
      <c r="BU753" s="13" t="s">
        <v>5540</v>
      </c>
      <c r="BV753" s="13" t="s">
        <v>4856</v>
      </c>
      <c r="BW753" s="13" t="str">
        <f>VLOOKUP($BT753,Enriched!$A$2:$E$1070,5,false)</f>
        <v>["Transportation &amp; Service Corridors"]</v>
      </c>
      <c r="BX753" s="13" t="str">
        <f>VLOOKUP($BT753,Enriched!$A$2:$E$1070,4,false)</f>
        <v>["Roads &amp; railroads"]</v>
      </c>
      <c r="BY753" s="13" t="b">
        <f>VLOOKUP(BT753,Enriched!$A$1:$AA$1070,27,falsE)</f>
        <v>0</v>
      </c>
      <c r="BZ753" s="2" t="str">
        <f>VLOOKUP(BT753,Enriched!$A$1:$AA$1070,14,falsE)</f>
        <v>level2</v>
      </c>
      <c r="CA753" s="13" t="str">
        <f>HYPERLINK("https%3A%2F%2Fwww.webofscience.com%2Fwos%2Fwoscc%2Ffull-record%2FWOS:000353742400003","View Full Record in Web of Science")</f>
        <v>View Full Record in Web of Science</v>
      </c>
    </row>
    <row r="754" ht="12.75" customHeight="1">
      <c r="A754" s="13" t="s">
        <v>5508</v>
      </c>
      <c r="B754" s="13" t="s">
        <v>18848</v>
      </c>
      <c r="C754" s="13" t="s">
        <v>5510</v>
      </c>
      <c r="D754" s="13" t="s">
        <v>5510</v>
      </c>
      <c r="E754" s="13" t="s">
        <v>5510</v>
      </c>
      <c r="F754" s="13" t="s">
        <v>18849</v>
      </c>
      <c r="G754" s="13" t="s">
        <v>5510</v>
      </c>
      <c r="H754" s="13" t="s">
        <v>5510</v>
      </c>
      <c r="I754" s="13" t="s">
        <v>674</v>
      </c>
      <c r="J754" s="13" t="s">
        <v>8356</v>
      </c>
      <c r="K754" s="13" t="s">
        <v>5510</v>
      </c>
      <c r="L754" s="13" t="s">
        <v>5510</v>
      </c>
      <c r="M754" s="13" t="s">
        <v>5513</v>
      </c>
      <c r="N754" s="13" t="s">
        <v>5514</v>
      </c>
      <c r="O754" s="13" t="s">
        <v>5510</v>
      </c>
      <c r="P754" s="13" t="s">
        <v>5510</v>
      </c>
      <c r="Q754" s="13" t="s">
        <v>5510</v>
      </c>
      <c r="R754" s="13" t="s">
        <v>5510</v>
      </c>
      <c r="S754" s="13" t="s">
        <v>5510</v>
      </c>
      <c r="T754" s="13" t="s">
        <v>18850</v>
      </c>
      <c r="U754" s="13" t="s">
        <v>18851</v>
      </c>
      <c r="V754" s="13" t="s">
        <v>18852</v>
      </c>
      <c r="W754" s="13" t="s">
        <v>18853</v>
      </c>
      <c r="X754" s="13" t="s">
        <v>18854</v>
      </c>
      <c r="Y754" s="13" t="s">
        <v>18855</v>
      </c>
      <c r="Z754" s="13" t="s">
        <v>18856</v>
      </c>
      <c r="AA754" s="13" t="s">
        <v>18857</v>
      </c>
      <c r="AB754" s="13" t="s">
        <v>18858</v>
      </c>
      <c r="AC754" s="13" t="s">
        <v>5510</v>
      </c>
      <c r="AD754" s="13" t="s">
        <v>5510</v>
      </c>
      <c r="AE754" s="13" t="s">
        <v>5510</v>
      </c>
      <c r="AF754" s="13" t="s">
        <v>5510</v>
      </c>
      <c r="AG754" s="13">
        <v>52.0</v>
      </c>
      <c r="AH754" s="13">
        <v>39.0</v>
      </c>
      <c r="AI754" s="13">
        <v>47.0</v>
      </c>
      <c r="AJ754" s="13">
        <v>1.0</v>
      </c>
      <c r="AK754" s="13">
        <v>48.0</v>
      </c>
      <c r="AL754" s="13" t="s">
        <v>5931</v>
      </c>
      <c r="AM754" s="13" t="s">
        <v>5932</v>
      </c>
      <c r="AN754" s="13" t="s">
        <v>5933</v>
      </c>
      <c r="AO754" s="13" t="s">
        <v>8369</v>
      </c>
      <c r="AP754" s="13" t="s">
        <v>8370</v>
      </c>
      <c r="AQ754" s="13" t="s">
        <v>5510</v>
      </c>
      <c r="AR754" s="13" t="s">
        <v>8371</v>
      </c>
      <c r="AS754" s="13" t="s">
        <v>8372</v>
      </c>
      <c r="AT754" s="13" t="s">
        <v>5667</v>
      </c>
      <c r="AU754" s="13">
        <v>2011.0</v>
      </c>
      <c r="AV754" s="13">
        <v>31.0</v>
      </c>
      <c r="AW754" s="13">
        <v>3.0</v>
      </c>
      <c r="AX754" s="13" t="s">
        <v>5510</v>
      </c>
      <c r="AY754" s="13" t="s">
        <v>5510</v>
      </c>
      <c r="AZ754" s="13" t="s">
        <v>5510</v>
      </c>
      <c r="BA754" s="13" t="s">
        <v>5510</v>
      </c>
      <c r="BB754" s="13">
        <v>1026.0</v>
      </c>
      <c r="BC754" s="13">
        <v>1035.0</v>
      </c>
      <c r="BD754" s="13" t="s">
        <v>5510</v>
      </c>
      <c r="BE754" s="13" t="s">
        <v>18859</v>
      </c>
      <c r="BF754" s="52" t="str">
        <f>HYPERLINK("http://dx.doi.org/10.1016/j.apgeog.2011.02.004","http://dx.doi.org/10.1016/j.apgeog.2011.02.004")</f>
        <v>http://dx.doi.org/10.1016/j.apgeog.2011.02.004</v>
      </c>
      <c r="BG754" s="13" t="s">
        <v>5510</v>
      </c>
      <c r="BH754" s="13" t="s">
        <v>5510</v>
      </c>
      <c r="BI754" s="13">
        <v>10.0</v>
      </c>
      <c r="BJ754" s="13" t="s">
        <v>8374</v>
      </c>
      <c r="BK754" s="13" t="s">
        <v>8375</v>
      </c>
      <c r="BL754" s="13" t="s">
        <v>8374</v>
      </c>
      <c r="BM754" s="13" t="s">
        <v>18860</v>
      </c>
      <c r="BN754" s="13" t="s">
        <v>5510</v>
      </c>
      <c r="BO754" s="13" t="s">
        <v>6586</v>
      </c>
      <c r="BP754" s="13" t="s">
        <v>5510</v>
      </c>
      <c r="BQ754" s="13" t="s">
        <v>5510</v>
      </c>
      <c r="BR754" s="13" t="s">
        <v>5538</v>
      </c>
      <c r="BS754" s="13" t="s">
        <v>18861</v>
      </c>
      <c r="BT754" s="13">
        <v>24531.0</v>
      </c>
      <c r="BU754" s="13" t="s">
        <v>5540</v>
      </c>
      <c r="BV754" s="13" t="s">
        <v>4856</v>
      </c>
      <c r="BW754" s="13" t="str">
        <f>VLOOKUP($BT754,Enriched!$A$2:$E$1070,5,false)</f>
        <v>["Residential &amp; commercial development", "Agriculture &amp; aquaculture"]</v>
      </c>
      <c r="BX754" s="13" t="str">
        <f>VLOOKUP($BT754,Enriched!$A$2:$E$1070,4,false)</f>
        <v/>
      </c>
      <c r="BY754" s="13" t="b">
        <f>VLOOKUP(BT754,Enriched!$A$1:$AA$1070,27,falsE)</f>
        <v>1</v>
      </c>
      <c r="BZ754" s="2" t="str">
        <f>VLOOKUP(BT754,Enriched!$A$1:$AA$1070,14,falsE)</f>
        <v>level1</v>
      </c>
      <c r="CA754" s="13" t="str">
        <f>HYPERLINK("https%3A%2F%2Fwww.webofscience.com%2Fwos%2Fwoscc%2Ffull-record%2FWOS:000291578000017","View Full Record in Web of Science")</f>
        <v>View Full Record in Web of Science</v>
      </c>
    </row>
    <row r="755" ht="12.75" customHeight="1">
      <c r="A755" s="13" t="s">
        <v>5508</v>
      </c>
      <c r="B755" s="13" t="s">
        <v>18862</v>
      </c>
      <c r="C755" s="13" t="s">
        <v>5510</v>
      </c>
      <c r="D755" s="13" t="s">
        <v>5510</v>
      </c>
      <c r="E755" s="13" t="s">
        <v>5510</v>
      </c>
      <c r="F755" s="13" t="s">
        <v>18863</v>
      </c>
      <c r="G755" s="13" t="s">
        <v>5510</v>
      </c>
      <c r="H755" s="13" t="s">
        <v>5510</v>
      </c>
      <c r="I755" s="13" t="s">
        <v>18864</v>
      </c>
      <c r="J755" s="13" t="s">
        <v>5543</v>
      </c>
      <c r="K755" s="13" t="s">
        <v>5510</v>
      </c>
      <c r="L755" s="13" t="s">
        <v>5510</v>
      </c>
      <c r="M755" s="13" t="s">
        <v>5513</v>
      </c>
      <c r="N755" s="13" t="s">
        <v>5514</v>
      </c>
      <c r="O755" s="13" t="s">
        <v>5510</v>
      </c>
      <c r="P755" s="13" t="s">
        <v>5510</v>
      </c>
      <c r="Q755" s="13" t="s">
        <v>5510</v>
      </c>
      <c r="R755" s="13" t="s">
        <v>5510</v>
      </c>
      <c r="S755" s="13" t="s">
        <v>5510</v>
      </c>
      <c r="T755" s="13" t="s">
        <v>5510</v>
      </c>
      <c r="U755" s="13" t="s">
        <v>18865</v>
      </c>
      <c r="V755" s="13" t="s">
        <v>18866</v>
      </c>
      <c r="W755" s="13" t="s">
        <v>18867</v>
      </c>
      <c r="X755" s="13" t="s">
        <v>18868</v>
      </c>
      <c r="Y755" s="13" t="s">
        <v>18869</v>
      </c>
      <c r="Z755" s="13" t="s">
        <v>18870</v>
      </c>
      <c r="AA755" s="13" t="s">
        <v>18871</v>
      </c>
      <c r="AB755" s="13" t="s">
        <v>18872</v>
      </c>
      <c r="AC755" s="13" t="s">
        <v>18873</v>
      </c>
      <c r="AD755" s="13" t="s">
        <v>18874</v>
      </c>
      <c r="AE755" s="13" t="s">
        <v>18875</v>
      </c>
      <c r="AF755" s="13" t="s">
        <v>5510</v>
      </c>
      <c r="AG755" s="13">
        <v>42.0</v>
      </c>
      <c r="AH755" s="13">
        <v>136.0</v>
      </c>
      <c r="AI755" s="13">
        <v>146.0</v>
      </c>
      <c r="AJ755" s="13">
        <v>1.0</v>
      </c>
      <c r="AK755" s="13">
        <v>34.0</v>
      </c>
      <c r="AL755" s="13" t="s">
        <v>5552</v>
      </c>
      <c r="AM755" s="13" t="s">
        <v>5553</v>
      </c>
      <c r="AN755" s="13" t="s">
        <v>13104</v>
      </c>
      <c r="AO755" s="13" t="s">
        <v>5555</v>
      </c>
      <c r="AP755" s="13" t="s">
        <v>5510</v>
      </c>
      <c r="AQ755" s="13" t="s">
        <v>5510</v>
      </c>
      <c r="AR755" s="13" t="s">
        <v>5543</v>
      </c>
      <c r="AS755" s="13" t="s">
        <v>5556</v>
      </c>
      <c r="AT755" s="13" t="s">
        <v>18876</v>
      </c>
      <c r="AU755" s="13">
        <v>2010.0</v>
      </c>
      <c r="AV755" s="13">
        <v>5.0</v>
      </c>
      <c r="AW755" s="13">
        <v>12.0</v>
      </c>
      <c r="AX755" s="13" t="s">
        <v>5510</v>
      </c>
      <c r="AY755" s="13" t="s">
        <v>5510</v>
      </c>
      <c r="AZ755" s="13" t="s">
        <v>5510</v>
      </c>
      <c r="BA755" s="13" t="s">
        <v>5510</v>
      </c>
      <c r="BB755" s="13" t="s">
        <v>5510</v>
      </c>
      <c r="BC755" s="13" t="s">
        <v>5510</v>
      </c>
      <c r="BD755" s="13" t="s">
        <v>18877</v>
      </c>
      <c r="BE755" s="13" t="s">
        <v>18878</v>
      </c>
      <c r="BF755" s="52" t="str">
        <f>HYPERLINK("http://dx.doi.org/10.1371/journal.pone.0014451","http://dx.doi.org/10.1371/journal.pone.0014451")</f>
        <v>http://dx.doi.org/10.1371/journal.pone.0014451</v>
      </c>
      <c r="BG755" s="13" t="s">
        <v>5510</v>
      </c>
      <c r="BH755" s="13" t="s">
        <v>5510</v>
      </c>
      <c r="BI755" s="13">
        <v>8.0</v>
      </c>
      <c r="BJ755" s="13" t="s">
        <v>5560</v>
      </c>
      <c r="BK755" s="13" t="s">
        <v>5561</v>
      </c>
      <c r="BL755" s="13" t="s">
        <v>5562</v>
      </c>
      <c r="BM755" s="13" t="s">
        <v>18879</v>
      </c>
      <c r="BN755" s="13">
        <v>2.1206903E7</v>
      </c>
      <c r="BO755" s="13" t="s">
        <v>5564</v>
      </c>
      <c r="BP755" s="13" t="s">
        <v>5510</v>
      </c>
      <c r="BQ755" s="13" t="s">
        <v>5510</v>
      </c>
      <c r="BR755" s="13" t="s">
        <v>5538</v>
      </c>
      <c r="BS755" s="13" t="s">
        <v>18880</v>
      </c>
      <c r="BT755" s="13">
        <v>25684.0</v>
      </c>
      <c r="BU755" s="13" t="s">
        <v>5540</v>
      </c>
      <c r="BV755" s="13" t="s">
        <v>4864</v>
      </c>
      <c r="BW755" s="13" t="str">
        <f>VLOOKUP($BT755,Enriched!$A$2:$E$1070,5,false)</f>
        <v>["Biological resource use"]</v>
      </c>
      <c r="BX755" s="13" t="str">
        <f>VLOOKUP($BT755,Enriched!$A$2:$E$1070,4,false)</f>
        <v>["Fishing &amp; harvesting aquatic resources"]</v>
      </c>
      <c r="BY755" s="13" t="b">
        <f>VLOOKUP(BT755,Enriched!$A$1:$AA$1070,27,falsE)</f>
        <v>0</v>
      </c>
      <c r="BZ755" s="2" t="str">
        <f>VLOOKUP(BT755,Enriched!$A$1:$AA$1070,14,falsE)</f>
        <v>level2</v>
      </c>
      <c r="CA755" s="13" t="str">
        <f>HYPERLINK("https%3A%2F%2Fwww.webofscience.com%2Fwos%2Fwoscc%2Ffull-record%2FWOS:000285793200007","View Full Record in Web of Science")</f>
        <v>View Full Record in Web of Science</v>
      </c>
    </row>
    <row r="756" ht="12.75" customHeight="1">
      <c r="A756" s="13" t="s">
        <v>5508</v>
      </c>
      <c r="B756" s="13" t="s">
        <v>18881</v>
      </c>
      <c r="C756" s="13" t="s">
        <v>5510</v>
      </c>
      <c r="D756" s="13" t="s">
        <v>5510</v>
      </c>
      <c r="E756" s="13" t="s">
        <v>5510</v>
      </c>
      <c r="F756" s="13" t="s">
        <v>18882</v>
      </c>
      <c r="G756" s="13" t="s">
        <v>5510</v>
      </c>
      <c r="H756" s="13" t="s">
        <v>5510</v>
      </c>
      <c r="I756" s="2" t="s">
        <v>670</v>
      </c>
      <c r="J756" s="13" t="s">
        <v>5849</v>
      </c>
      <c r="K756" s="13" t="s">
        <v>5510</v>
      </c>
      <c r="L756" s="13" t="s">
        <v>5510</v>
      </c>
      <c r="M756" s="13" t="s">
        <v>5513</v>
      </c>
      <c r="N756" s="13" t="s">
        <v>5514</v>
      </c>
      <c r="O756" s="13" t="s">
        <v>5510</v>
      </c>
      <c r="P756" s="13" t="s">
        <v>5510</v>
      </c>
      <c r="Q756" s="13" t="s">
        <v>5510</v>
      </c>
      <c r="R756" s="13" t="s">
        <v>5510</v>
      </c>
      <c r="S756" s="13" t="s">
        <v>5510</v>
      </c>
      <c r="T756" s="13" t="s">
        <v>18883</v>
      </c>
      <c r="U756" s="13" t="s">
        <v>18884</v>
      </c>
      <c r="V756" s="13" t="s">
        <v>18885</v>
      </c>
      <c r="W756" s="13" t="s">
        <v>18886</v>
      </c>
      <c r="X756" s="13" t="s">
        <v>18887</v>
      </c>
      <c r="Y756" s="13" t="s">
        <v>18888</v>
      </c>
      <c r="Z756" s="13" t="s">
        <v>18889</v>
      </c>
      <c r="AA756" s="13" t="s">
        <v>18890</v>
      </c>
      <c r="AB756" s="13" t="s">
        <v>18891</v>
      </c>
      <c r="AC756" s="13" t="s">
        <v>17892</v>
      </c>
      <c r="AD756" s="13" t="s">
        <v>17893</v>
      </c>
      <c r="AE756" s="13" t="s">
        <v>18892</v>
      </c>
      <c r="AF756" s="13" t="s">
        <v>5510</v>
      </c>
      <c r="AG756" s="13">
        <v>57.0</v>
      </c>
      <c r="AH756" s="13">
        <v>43.0</v>
      </c>
      <c r="AI756" s="13">
        <v>47.0</v>
      </c>
      <c r="AJ756" s="13">
        <v>2.0</v>
      </c>
      <c r="AK756" s="13">
        <v>47.0</v>
      </c>
      <c r="AL756" s="13" t="s">
        <v>10790</v>
      </c>
      <c r="AM756" s="13" t="s">
        <v>5528</v>
      </c>
      <c r="AN756" s="13" t="s">
        <v>5529</v>
      </c>
      <c r="AO756" s="13" t="s">
        <v>5862</v>
      </c>
      <c r="AP756" s="13" t="s">
        <v>5863</v>
      </c>
      <c r="AQ756" s="13" t="s">
        <v>5510</v>
      </c>
      <c r="AR756" s="13" t="s">
        <v>5864</v>
      </c>
      <c r="AS756" s="13" t="s">
        <v>5865</v>
      </c>
      <c r="AT756" s="13" t="s">
        <v>5720</v>
      </c>
      <c r="AU756" s="13">
        <v>2016.0</v>
      </c>
      <c r="AV756" s="13">
        <v>26.0</v>
      </c>
      <c r="AW756" s="13">
        <v>3.0</v>
      </c>
      <c r="AX756" s="13" t="s">
        <v>5510</v>
      </c>
      <c r="AY756" s="13" t="s">
        <v>5510</v>
      </c>
      <c r="AZ756" s="13" t="s">
        <v>5510</v>
      </c>
      <c r="BA756" s="13" t="s">
        <v>5510</v>
      </c>
      <c r="BB756" s="13">
        <v>530.0</v>
      </c>
      <c r="BC756" s="13">
        <v>548.0</v>
      </c>
      <c r="BD756" s="13" t="s">
        <v>5510</v>
      </c>
      <c r="BE756" s="13" t="s">
        <v>18893</v>
      </c>
      <c r="BF756" s="52" t="str">
        <f>HYPERLINK("http://dx.doi.org/10.1002/aqc.2551","http://dx.doi.org/10.1002/aqc.2551")</f>
        <v>http://dx.doi.org/10.1002/aqc.2551</v>
      </c>
      <c r="BG756" s="13" t="s">
        <v>5510</v>
      </c>
      <c r="BH756" s="13" t="s">
        <v>5510</v>
      </c>
      <c r="BI756" s="13">
        <v>19.0</v>
      </c>
      <c r="BJ756" s="13" t="s">
        <v>5869</v>
      </c>
      <c r="BK756" s="13" t="s">
        <v>5561</v>
      </c>
      <c r="BL756" s="13" t="s">
        <v>5870</v>
      </c>
      <c r="BM756" s="13" t="s">
        <v>18894</v>
      </c>
      <c r="BN756" s="13" t="s">
        <v>5510</v>
      </c>
      <c r="BO756" s="13" t="s">
        <v>5510</v>
      </c>
      <c r="BP756" s="13" t="s">
        <v>5510</v>
      </c>
      <c r="BQ756" s="13" t="s">
        <v>5510</v>
      </c>
      <c r="BR756" s="13" t="s">
        <v>5538</v>
      </c>
      <c r="BS756" s="13" t="s">
        <v>18895</v>
      </c>
      <c r="BT756" s="13">
        <v>24177.0</v>
      </c>
      <c r="BU756" s="13" t="s">
        <v>5540</v>
      </c>
      <c r="BV756" s="13" t="s">
        <v>4864</v>
      </c>
      <c r="BW756" s="13" t="str">
        <f>VLOOKUP($BT756,Enriched!$A$2:$E$1070,5,false)</f>
        <v>["Biological resource use"]</v>
      </c>
      <c r="BX756" s="13" t="str">
        <f>VLOOKUP($BT756,Enriched!$A$2:$E$1070,4,false)</f>
        <v>["Fishing &amp; harvesting aquatic resources"]</v>
      </c>
      <c r="BY756" s="13" t="b">
        <f>VLOOKUP(BT756,Enriched!$A$1:$AA$1070,27,falsE)</f>
        <v>0</v>
      </c>
      <c r="BZ756" s="2" t="str">
        <f>VLOOKUP(BT756,Enriched!$A$1:$AA$1070,14,falsE)</f>
        <v>level2</v>
      </c>
      <c r="CA756" s="13" t="str">
        <f>HYPERLINK("https%3A%2F%2Fwww.webofscience.com%2Fwos%2Fwoscc%2Ffull-record%2FWOS:000383669200011","View Full Record in Web of Science")</f>
        <v>View Full Record in Web of Science</v>
      </c>
    </row>
    <row r="757" ht="12.75" customHeight="1">
      <c r="A757" s="13" t="s">
        <v>5508</v>
      </c>
      <c r="B757" s="13" t="s">
        <v>18896</v>
      </c>
      <c r="C757" s="13" t="s">
        <v>5510</v>
      </c>
      <c r="D757" s="13" t="s">
        <v>5510</v>
      </c>
      <c r="E757" s="13" t="s">
        <v>5510</v>
      </c>
      <c r="F757" s="13" t="s">
        <v>18897</v>
      </c>
      <c r="G757" s="13" t="s">
        <v>5510</v>
      </c>
      <c r="H757" s="13" t="s">
        <v>5510</v>
      </c>
      <c r="I757" s="13" t="s">
        <v>18898</v>
      </c>
      <c r="J757" s="13" t="s">
        <v>18899</v>
      </c>
      <c r="K757" s="13" t="s">
        <v>5510</v>
      </c>
      <c r="L757" s="13" t="s">
        <v>5510</v>
      </c>
      <c r="M757" s="13" t="s">
        <v>5513</v>
      </c>
      <c r="N757" s="13" t="s">
        <v>5514</v>
      </c>
      <c r="O757" s="13" t="s">
        <v>5510</v>
      </c>
      <c r="P757" s="13" t="s">
        <v>5510</v>
      </c>
      <c r="Q757" s="13" t="s">
        <v>5510</v>
      </c>
      <c r="R757" s="13" t="s">
        <v>5510</v>
      </c>
      <c r="S757" s="13" t="s">
        <v>5510</v>
      </c>
      <c r="T757" s="13" t="s">
        <v>5510</v>
      </c>
      <c r="U757" s="13" t="s">
        <v>18900</v>
      </c>
      <c r="V757" s="13" t="s">
        <v>18901</v>
      </c>
      <c r="W757" s="13" t="s">
        <v>18902</v>
      </c>
      <c r="X757" s="13" t="s">
        <v>18903</v>
      </c>
      <c r="Y757" s="13" t="s">
        <v>18904</v>
      </c>
      <c r="Z757" s="13" t="s">
        <v>18905</v>
      </c>
      <c r="AA757" s="13" t="s">
        <v>18906</v>
      </c>
      <c r="AB757" s="13" t="s">
        <v>18907</v>
      </c>
      <c r="AC757" s="13" t="s">
        <v>18908</v>
      </c>
      <c r="AD757" s="13" t="s">
        <v>18909</v>
      </c>
      <c r="AE757" s="13" t="s">
        <v>18910</v>
      </c>
      <c r="AF757" s="13" t="s">
        <v>5510</v>
      </c>
      <c r="AG757" s="13">
        <v>60.0</v>
      </c>
      <c r="AH757" s="13">
        <v>66.0</v>
      </c>
      <c r="AI757" s="13">
        <v>76.0</v>
      </c>
      <c r="AJ757" s="13">
        <v>5.0</v>
      </c>
      <c r="AK757" s="13">
        <v>53.0</v>
      </c>
      <c r="AL757" s="13" t="s">
        <v>7385</v>
      </c>
      <c r="AM757" s="13" t="s">
        <v>7386</v>
      </c>
      <c r="AN757" s="13" t="s">
        <v>7387</v>
      </c>
      <c r="AO757" s="13" t="s">
        <v>18911</v>
      </c>
      <c r="AP757" s="13" t="s">
        <v>18912</v>
      </c>
      <c r="AQ757" s="13" t="s">
        <v>5510</v>
      </c>
      <c r="AR757" s="13" t="s">
        <v>18913</v>
      </c>
      <c r="AS757" s="13" t="s">
        <v>18914</v>
      </c>
      <c r="AT757" s="13" t="s">
        <v>5510</v>
      </c>
      <c r="AU757" s="13">
        <v>2011.0</v>
      </c>
      <c r="AV757" s="13">
        <v>4.0</v>
      </c>
      <c r="AW757" s="13" t="s">
        <v>18915</v>
      </c>
      <c r="AX757" s="13" t="s">
        <v>5510</v>
      </c>
      <c r="AY757" s="13" t="s">
        <v>5510</v>
      </c>
      <c r="AZ757" s="13" t="s">
        <v>5510</v>
      </c>
      <c r="BA757" s="13" t="s">
        <v>5510</v>
      </c>
      <c r="BB757" s="13">
        <v>269.0</v>
      </c>
      <c r="BC757" s="13">
        <v>278.0</v>
      </c>
      <c r="BD757" s="13" t="s">
        <v>5510</v>
      </c>
      <c r="BE757" s="13" t="s">
        <v>18916</v>
      </c>
      <c r="BF757" s="52" t="str">
        <f>HYPERLINK("http://dx.doi.org/10.1080/17550874.2011.594101","http://dx.doi.org/10.1080/17550874.2011.594101")</f>
        <v>http://dx.doi.org/10.1080/17550874.2011.594101</v>
      </c>
      <c r="BG757" s="13" t="s">
        <v>5510</v>
      </c>
      <c r="BH757" s="13" t="s">
        <v>5510</v>
      </c>
      <c r="BI757" s="13">
        <v>10.0</v>
      </c>
      <c r="BJ757" s="13" t="s">
        <v>7394</v>
      </c>
      <c r="BK757" s="13" t="s">
        <v>5561</v>
      </c>
      <c r="BL757" s="13" t="s">
        <v>7394</v>
      </c>
      <c r="BM757" s="13" t="s">
        <v>18917</v>
      </c>
      <c r="BN757" s="13" t="s">
        <v>5510</v>
      </c>
      <c r="BO757" s="13" t="s">
        <v>5510</v>
      </c>
      <c r="BP757" s="13" t="s">
        <v>5510</v>
      </c>
      <c r="BQ757" s="13" t="s">
        <v>5510</v>
      </c>
      <c r="BR757" s="13" t="s">
        <v>5538</v>
      </c>
      <c r="BS757" s="13" t="s">
        <v>18918</v>
      </c>
      <c r="BT757" s="13">
        <v>23669.0</v>
      </c>
      <c r="BU757" s="13" t="s">
        <v>5540</v>
      </c>
      <c r="BV757" s="13" t="s">
        <v>4856</v>
      </c>
      <c r="BW757" s="13" t="str">
        <f>VLOOKUP($BT757,Enriched!$A$2:$E$1070,5,false)</f>
        <v>["Invasive &amp; other problematic species, genes &amp; diseases"]</v>
      </c>
      <c r="BX757" s="13" t="str">
        <f>VLOOKUP($BT757,Enriched!$A$2:$E$1070,4,false)</f>
        <v>["Invasive non-native/alien species/diseases"]</v>
      </c>
      <c r="BY757" s="13" t="b">
        <f>VLOOKUP(BT757,Enriched!$A$1:$AA$1070,27,falsE)</f>
        <v>0</v>
      </c>
      <c r="BZ757" s="2" t="str">
        <f>VLOOKUP(BT757,Enriched!$A$1:$AA$1070,14,falsE)</f>
        <v>level2</v>
      </c>
      <c r="CA757" s="13" t="str">
        <f>HYPERLINK("https%3A%2F%2Fwww.webofscience.com%2Fwos%2Fwoscc%2Ffull-record%2FWOS:000299890600014","View Full Record in Web of Science")</f>
        <v>View Full Record in Web of Science</v>
      </c>
    </row>
    <row r="758" ht="12.75" customHeight="1">
      <c r="A758" s="13" t="s">
        <v>5508</v>
      </c>
      <c r="B758" s="13" t="s">
        <v>18919</v>
      </c>
      <c r="C758" s="13" t="s">
        <v>5510</v>
      </c>
      <c r="D758" s="13" t="s">
        <v>5510</v>
      </c>
      <c r="E758" s="13" t="s">
        <v>5510</v>
      </c>
      <c r="F758" s="13" t="s">
        <v>18920</v>
      </c>
      <c r="G758" s="13" t="s">
        <v>5510</v>
      </c>
      <c r="H758" s="13" t="s">
        <v>5510</v>
      </c>
      <c r="I758" s="2" t="s">
        <v>663</v>
      </c>
      <c r="J758" s="13" t="s">
        <v>8356</v>
      </c>
      <c r="K758" s="13" t="s">
        <v>5510</v>
      </c>
      <c r="L758" s="13" t="s">
        <v>5510</v>
      </c>
      <c r="M758" s="13" t="s">
        <v>5513</v>
      </c>
      <c r="N758" s="13" t="s">
        <v>5514</v>
      </c>
      <c r="O758" s="13" t="s">
        <v>5510</v>
      </c>
      <c r="P758" s="13" t="s">
        <v>5510</v>
      </c>
      <c r="Q758" s="13" t="s">
        <v>5510</v>
      </c>
      <c r="R758" s="13" t="s">
        <v>5510</v>
      </c>
      <c r="S758" s="13" t="s">
        <v>5510</v>
      </c>
      <c r="T758" s="13" t="s">
        <v>18921</v>
      </c>
      <c r="U758" s="13" t="s">
        <v>18922</v>
      </c>
      <c r="V758" s="13" t="s">
        <v>18923</v>
      </c>
      <c r="W758" s="13" t="s">
        <v>18924</v>
      </c>
      <c r="X758" s="13" t="s">
        <v>18925</v>
      </c>
      <c r="Y758" s="13" t="s">
        <v>18926</v>
      </c>
      <c r="Z758" s="13" t="s">
        <v>18927</v>
      </c>
      <c r="AA758" s="13" t="s">
        <v>18928</v>
      </c>
      <c r="AB758" s="13" t="s">
        <v>18929</v>
      </c>
      <c r="AC758" s="13" t="s">
        <v>18930</v>
      </c>
      <c r="AD758" s="13" t="s">
        <v>18931</v>
      </c>
      <c r="AE758" s="13" t="s">
        <v>18932</v>
      </c>
      <c r="AF758" s="13" t="s">
        <v>5510</v>
      </c>
      <c r="AG758" s="13">
        <v>68.0</v>
      </c>
      <c r="AH758" s="13">
        <v>26.0</v>
      </c>
      <c r="AI758" s="13">
        <v>31.0</v>
      </c>
      <c r="AJ758" s="13">
        <v>1.0</v>
      </c>
      <c r="AK758" s="13">
        <v>33.0</v>
      </c>
      <c r="AL758" s="13" t="s">
        <v>5931</v>
      </c>
      <c r="AM758" s="13" t="s">
        <v>5932</v>
      </c>
      <c r="AN758" s="13" t="s">
        <v>5933</v>
      </c>
      <c r="AO758" s="13" t="s">
        <v>8369</v>
      </c>
      <c r="AP758" s="13" t="s">
        <v>8370</v>
      </c>
      <c r="AQ758" s="13" t="s">
        <v>5510</v>
      </c>
      <c r="AR758" s="13" t="s">
        <v>8371</v>
      </c>
      <c r="AS758" s="13" t="s">
        <v>8372</v>
      </c>
      <c r="AT758" s="13" t="s">
        <v>5866</v>
      </c>
      <c r="AU758" s="13">
        <v>2019.0</v>
      </c>
      <c r="AV758" s="13">
        <v>106.0</v>
      </c>
      <c r="AW758" s="13" t="s">
        <v>5510</v>
      </c>
      <c r="AX758" s="13" t="s">
        <v>5510</v>
      </c>
      <c r="AY758" s="13" t="s">
        <v>5510</v>
      </c>
      <c r="AZ758" s="13" t="s">
        <v>5510</v>
      </c>
      <c r="BA758" s="13" t="s">
        <v>5510</v>
      </c>
      <c r="BB758" s="13">
        <v>40.0</v>
      </c>
      <c r="BC758" s="13">
        <v>49.0</v>
      </c>
      <c r="BD758" s="13" t="s">
        <v>5510</v>
      </c>
      <c r="BE758" s="13" t="s">
        <v>18933</v>
      </c>
      <c r="BF758" s="52" t="str">
        <f>HYPERLINK("http://dx.doi.org/10.1016/j.apgeog.2019.03.001","http://dx.doi.org/10.1016/j.apgeog.2019.03.001")</f>
        <v>http://dx.doi.org/10.1016/j.apgeog.2019.03.001</v>
      </c>
      <c r="BG758" s="13" t="s">
        <v>5510</v>
      </c>
      <c r="BH758" s="13" t="s">
        <v>5510</v>
      </c>
      <c r="BI758" s="13">
        <v>10.0</v>
      </c>
      <c r="BJ758" s="13" t="s">
        <v>8374</v>
      </c>
      <c r="BK758" s="13" t="s">
        <v>8375</v>
      </c>
      <c r="BL758" s="13" t="s">
        <v>8374</v>
      </c>
      <c r="BM758" s="13" t="s">
        <v>18934</v>
      </c>
      <c r="BN758" s="13" t="s">
        <v>5510</v>
      </c>
      <c r="BO758" s="13" t="s">
        <v>5510</v>
      </c>
      <c r="BP758" s="13" t="s">
        <v>5510</v>
      </c>
      <c r="BQ758" s="13" t="s">
        <v>5510</v>
      </c>
      <c r="BR758" s="13" t="s">
        <v>5538</v>
      </c>
      <c r="BS758" s="13" t="s">
        <v>18935</v>
      </c>
      <c r="BT758" s="13">
        <v>23477.0</v>
      </c>
      <c r="BU758" s="13" t="s">
        <v>5540</v>
      </c>
      <c r="BV758" s="13" t="s">
        <v>4856</v>
      </c>
      <c r="BW758" s="13" t="str">
        <f>VLOOKUP($BT758,Enriched!$A$2:$E$1070,5,false)</f>
        <v>["Residential &amp; Commercial Development", "Agriculture &amp; Aquaculture", "Natural System Modifications"]</v>
      </c>
      <c r="BX758" s="13" t="str">
        <f>VLOOKUP($BT758,Enriched!$A$2:$E$1070,4,false)</f>
        <v>["Housing &amp; urban area", "Commercial &amp; industrial areas", "Annual &amp; perennial non-timber crops", "Livestock farming &amp; ranching", "Dams &amp; water management/use"]</v>
      </c>
      <c r="BY758" s="13" t="b">
        <f>VLOOKUP(BT758,Enriched!$A$1:$AA$1070,27,falsE)</f>
        <v>0</v>
      </c>
      <c r="BZ758" s="2" t="str">
        <f>VLOOKUP(BT758,Enriched!$A$1:$AA$1070,14,falsE)</f>
        <v>level2</v>
      </c>
      <c r="CA758" s="13" t="str">
        <f>HYPERLINK("https%3A%2F%2Fwww.webofscience.com%2Fwos%2Fwoscc%2Ffull-record%2FWOS:000466827700004","View Full Record in Web of Science")</f>
        <v>View Full Record in Web of Science</v>
      </c>
    </row>
    <row r="759" ht="12.75" customHeight="1">
      <c r="A759" s="13" t="s">
        <v>5508</v>
      </c>
      <c r="B759" s="13" t="s">
        <v>18936</v>
      </c>
      <c r="C759" s="13" t="s">
        <v>5510</v>
      </c>
      <c r="D759" s="13" t="s">
        <v>5510</v>
      </c>
      <c r="E759" s="13" t="s">
        <v>5510</v>
      </c>
      <c r="F759" s="13" t="s">
        <v>18937</v>
      </c>
      <c r="G759" s="13" t="s">
        <v>5510</v>
      </c>
      <c r="H759" s="13" t="s">
        <v>5510</v>
      </c>
      <c r="I759" s="13" t="s">
        <v>661</v>
      </c>
      <c r="J759" s="13" t="s">
        <v>8925</v>
      </c>
      <c r="K759" s="13" t="s">
        <v>5510</v>
      </c>
      <c r="L759" s="13" t="s">
        <v>5510</v>
      </c>
      <c r="M759" s="13" t="s">
        <v>5513</v>
      </c>
      <c r="N759" s="13" t="s">
        <v>5514</v>
      </c>
      <c r="O759" s="13" t="s">
        <v>5510</v>
      </c>
      <c r="P759" s="13" t="s">
        <v>5510</v>
      </c>
      <c r="Q759" s="13" t="s">
        <v>5510</v>
      </c>
      <c r="R759" s="13" t="s">
        <v>5510</v>
      </c>
      <c r="S759" s="13" t="s">
        <v>5510</v>
      </c>
      <c r="T759" s="13" t="s">
        <v>5510</v>
      </c>
      <c r="U759" s="13" t="s">
        <v>18938</v>
      </c>
      <c r="V759" s="13" t="s">
        <v>18939</v>
      </c>
      <c r="W759" s="13" t="s">
        <v>18940</v>
      </c>
      <c r="X759" s="13" t="s">
        <v>18941</v>
      </c>
      <c r="Y759" s="13" t="s">
        <v>18942</v>
      </c>
      <c r="Z759" s="13" t="s">
        <v>10510</v>
      </c>
      <c r="AA759" s="13" t="s">
        <v>18943</v>
      </c>
      <c r="AB759" s="13" t="s">
        <v>18944</v>
      </c>
      <c r="AC759" s="13" t="s">
        <v>18945</v>
      </c>
      <c r="AD759" s="13" t="s">
        <v>18946</v>
      </c>
      <c r="AE759" s="13" t="s">
        <v>18947</v>
      </c>
      <c r="AF759" s="13" t="s">
        <v>5510</v>
      </c>
      <c r="AG759" s="13">
        <v>53.0</v>
      </c>
      <c r="AH759" s="13">
        <v>222.0</v>
      </c>
      <c r="AI759" s="13">
        <v>239.0</v>
      </c>
      <c r="AJ759" s="13">
        <v>6.0</v>
      </c>
      <c r="AK759" s="13">
        <v>101.0</v>
      </c>
      <c r="AL759" s="13" t="s">
        <v>8807</v>
      </c>
      <c r="AM759" s="13" t="s">
        <v>8808</v>
      </c>
      <c r="AN759" s="13" t="s">
        <v>8809</v>
      </c>
      <c r="AO759" s="13" t="s">
        <v>5510</v>
      </c>
      <c r="AP759" s="13" t="s">
        <v>8939</v>
      </c>
      <c r="AQ759" s="13" t="s">
        <v>5510</v>
      </c>
      <c r="AR759" s="13" t="s">
        <v>8940</v>
      </c>
      <c r="AS759" s="13" t="s">
        <v>8941</v>
      </c>
      <c r="AT759" s="13" t="s">
        <v>7456</v>
      </c>
      <c r="AU759" s="13">
        <v>2018.0</v>
      </c>
      <c r="AV759" s="13">
        <v>9.0</v>
      </c>
      <c r="AW759" s="13" t="s">
        <v>5510</v>
      </c>
      <c r="AX759" s="13" t="s">
        <v>5510</v>
      </c>
      <c r="AY759" s="13" t="s">
        <v>5510</v>
      </c>
      <c r="AZ759" s="13" t="s">
        <v>5510</v>
      </c>
      <c r="BA759" s="13" t="s">
        <v>5510</v>
      </c>
      <c r="BB759" s="13" t="s">
        <v>5510</v>
      </c>
      <c r="BC759" s="13" t="s">
        <v>5510</v>
      </c>
      <c r="BD759" s="13">
        <v>4621.0</v>
      </c>
      <c r="BE759" s="13" t="s">
        <v>18948</v>
      </c>
      <c r="BF759" s="52" t="str">
        <f>HYPERLINK("http://dx.doi.org/10.1038/s41467-018-07049-5","http://dx.doi.org/10.1038/s41467-018-07049-5")</f>
        <v>http://dx.doi.org/10.1038/s41467-018-07049-5</v>
      </c>
      <c r="BG759" s="13" t="s">
        <v>5510</v>
      </c>
      <c r="BH759" s="13" t="s">
        <v>5510</v>
      </c>
      <c r="BI759" s="13">
        <v>9.0</v>
      </c>
      <c r="BJ759" s="13" t="s">
        <v>5560</v>
      </c>
      <c r="BK759" s="13" t="s">
        <v>5561</v>
      </c>
      <c r="BL759" s="13" t="s">
        <v>5562</v>
      </c>
      <c r="BM759" s="13" t="s">
        <v>18949</v>
      </c>
      <c r="BN759" s="13">
        <v>3.0397204E7</v>
      </c>
      <c r="BO759" s="13" t="s">
        <v>5564</v>
      </c>
      <c r="BP759" s="13" t="s">
        <v>5510</v>
      </c>
      <c r="BQ759" s="13" t="s">
        <v>5510</v>
      </c>
      <c r="BR759" s="13" t="s">
        <v>5538</v>
      </c>
      <c r="BS759" s="13" t="s">
        <v>18950</v>
      </c>
      <c r="BT759" s="13">
        <v>23726.0</v>
      </c>
      <c r="BU759" s="13" t="s">
        <v>5540</v>
      </c>
      <c r="BV759" s="13" t="s">
        <v>4856</v>
      </c>
      <c r="BW759" s="13" t="str">
        <f>VLOOKUP($BT759,Enriched!$A$2:$E$1070,5,false)</f>
        <v>["Residential &amp; Commercial Development", "Agriculture &amp; Aquaculture", "Transportation &amp; Service Corridors", "Pollution"]</v>
      </c>
      <c r="BX759" s="13" t="str">
        <f>VLOOKUP($BT759,Enriched!$A$2:$E$1070,4,false)</f>
        <v>["Housing &amp; urban area", "Commercial &amp; industrial areas", "Tourism &amp; recreation areas", "Annual &amp; perennial non-timber crops", "Livestock farming &amp; ranching", "Roads &amp; railroads", "Excess energy"]</v>
      </c>
      <c r="BY759" s="13" t="b">
        <f>VLOOKUP(BT759,Enriched!$A$1:$AA$1070,27,falsE)</f>
        <v>0</v>
      </c>
      <c r="BZ759" s="2" t="str">
        <f>VLOOKUP(BT759,Enriched!$A$1:$AA$1070,14,falsE)</f>
        <v>cumulative</v>
      </c>
      <c r="CA759" s="13" t="str">
        <f>HYPERLINK("https%3A%2F%2Fwww.webofscience.com%2Fwos%2Fwoscc%2Ffull-record%2FWOS:000449269900003","View Full Record in Web of Science")</f>
        <v>View Full Record in Web of Science</v>
      </c>
    </row>
    <row r="760" ht="12.75" customHeight="1">
      <c r="A760" s="13" t="s">
        <v>5508</v>
      </c>
      <c r="B760" s="13" t="s">
        <v>18951</v>
      </c>
      <c r="C760" s="13" t="s">
        <v>5510</v>
      </c>
      <c r="D760" s="13" t="s">
        <v>5510</v>
      </c>
      <c r="E760" s="13" t="s">
        <v>5510</v>
      </c>
      <c r="F760" s="13" t="s">
        <v>18952</v>
      </c>
      <c r="G760" s="13" t="s">
        <v>5510</v>
      </c>
      <c r="H760" s="13" t="s">
        <v>5510</v>
      </c>
      <c r="I760" s="13" t="s">
        <v>659</v>
      </c>
      <c r="J760" s="13" t="s">
        <v>8418</v>
      </c>
      <c r="K760" s="13" t="s">
        <v>5510</v>
      </c>
      <c r="L760" s="13" t="s">
        <v>5510</v>
      </c>
      <c r="M760" s="13" t="s">
        <v>5513</v>
      </c>
      <c r="N760" s="13" t="s">
        <v>5514</v>
      </c>
      <c r="O760" s="13" t="s">
        <v>5510</v>
      </c>
      <c r="P760" s="13" t="s">
        <v>5510</v>
      </c>
      <c r="Q760" s="13" t="s">
        <v>5510</v>
      </c>
      <c r="R760" s="13" t="s">
        <v>5510</v>
      </c>
      <c r="S760" s="13" t="s">
        <v>5510</v>
      </c>
      <c r="T760" s="13" t="s">
        <v>18953</v>
      </c>
      <c r="U760" s="13" t="s">
        <v>5510</v>
      </c>
      <c r="V760" s="13" t="s">
        <v>18954</v>
      </c>
      <c r="W760" s="13" t="s">
        <v>18955</v>
      </c>
      <c r="X760" s="13" t="s">
        <v>18956</v>
      </c>
      <c r="Y760" s="13" t="s">
        <v>18957</v>
      </c>
      <c r="Z760" s="13" t="s">
        <v>18958</v>
      </c>
      <c r="AA760" s="13" t="s">
        <v>5510</v>
      </c>
      <c r="AB760" s="13" t="s">
        <v>18959</v>
      </c>
      <c r="AC760" s="13" t="s">
        <v>18960</v>
      </c>
      <c r="AD760" s="13" t="s">
        <v>18960</v>
      </c>
      <c r="AE760" s="13" t="s">
        <v>18961</v>
      </c>
      <c r="AF760" s="13" t="s">
        <v>5510</v>
      </c>
      <c r="AG760" s="13">
        <v>58.0</v>
      </c>
      <c r="AH760" s="13">
        <v>18.0</v>
      </c>
      <c r="AI760" s="13">
        <v>22.0</v>
      </c>
      <c r="AJ760" s="13">
        <v>0.0</v>
      </c>
      <c r="AK760" s="13">
        <v>9.0</v>
      </c>
      <c r="AL760" s="13" t="s">
        <v>5690</v>
      </c>
      <c r="AM760" s="13" t="s">
        <v>6503</v>
      </c>
      <c r="AN760" s="13" t="s">
        <v>6504</v>
      </c>
      <c r="AO760" s="13" t="s">
        <v>5510</v>
      </c>
      <c r="AP760" s="13" t="s">
        <v>8428</v>
      </c>
      <c r="AQ760" s="13" t="s">
        <v>5510</v>
      </c>
      <c r="AR760" s="13" t="s">
        <v>8429</v>
      </c>
      <c r="AS760" s="13" t="s">
        <v>8430</v>
      </c>
      <c r="AT760" s="13" t="s">
        <v>18962</v>
      </c>
      <c r="AU760" s="13">
        <v>2017.0</v>
      </c>
      <c r="AV760" s="13">
        <v>6.0</v>
      </c>
      <c r="AW760" s="13" t="s">
        <v>5510</v>
      </c>
      <c r="AX760" s="13" t="s">
        <v>5510</v>
      </c>
      <c r="AY760" s="13" t="s">
        <v>5510</v>
      </c>
      <c r="AZ760" s="13" t="s">
        <v>5510</v>
      </c>
      <c r="BA760" s="13" t="s">
        <v>5510</v>
      </c>
      <c r="BB760" s="13" t="s">
        <v>5510</v>
      </c>
      <c r="BC760" s="13" t="s">
        <v>5510</v>
      </c>
      <c r="BD760" s="13">
        <v>42.0</v>
      </c>
      <c r="BE760" s="13" t="s">
        <v>18963</v>
      </c>
      <c r="BF760" s="52" t="str">
        <f>HYPERLINK("http://dx.doi.org/10.1186/s13717-017-0108-2","http://dx.doi.org/10.1186/s13717-017-0108-2")</f>
        <v>http://dx.doi.org/10.1186/s13717-017-0108-2</v>
      </c>
      <c r="BG760" s="13" t="s">
        <v>5510</v>
      </c>
      <c r="BH760" s="13" t="s">
        <v>5510</v>
      </c>
      <c r="BI760" s="13">
        <v>13.0</v>
      </c>
      <c r="BJ760" s="13" t="s">
        <v>6026</v>
      </c>
      <c r="BK760" s="13" t="s">
        <v>5561</v>
      </c>
      <c r="BL760" s="13" t="s">
        <v>5535</v>
      </c>
      <c r="BM760" s="13" t="s">
        <v>18964</v>
      </c>
      <c r="BN760" s="13" t="s">
        <v>5510</v>
      </c>
      <c r="BO760" s="13" t="s">
        <v>5537</v>
      </c>
      <c r="BP760" s="13" t="s">
        <v>5510</v>
      </c>
      <c r="BQ760" s="13" t="s">
        <v>5510</v>
      </c>
      <c r="BR760" s="13" t="s">
        <v>5538</v>
      </c>
      <c r="BS760" s="13" t="s">
        <v>18965</v>
      </c>
      <c r="BT760" s="13">
        <v>24789.0</v>
      </c>
      <c r="BU760" s="13" t="s">
        <v>5540</v>
      </c>
      <c r="BV760" s="13" t="s">
        <v>4856</v>
      </c>
      <c r="BW760" s="13" t="str">
        <f>VLOOKUP($BT760,Enriched!$A$2:$E$1070,5,false)</f>
        <v>["Agriculture &amp; Aquaculture"]</v>
      </c>
      <c r="BX760" s="13" t="str">
        <f>VLOOKUP($BT760,Enriched!$A$2:$E$1070,4,false)</f>
        <v>["Livestock farming &amp; ranching", "Housing &amp; urban area"]</v>
      </c>
      <c r="BY760" s="13" t="b">
        <f>VLOOKUP(BT760,Enriched!$A$1:$AA$1070,27,falsE)</f>
        <v>1</v>
      </c>
      <c r="BZ760" s="2" t="str">
        <f>VLOOKUP(BT760,Enriched!$A$1:$AA$1070,14,falsE)</f>
        <v>level2</v>
      </c>
      <c r="CA760" s="13" t="str">
        <f>HYPERLINK("https%3A%2F%2Fwww.webofscience.com%2Fwos%2Fwoscc%2Ffull-record%2FWOS:000514082700001","View Full Record in Web of Science")</f>
        <v>View Full Record in Web of Science</v>
      </c>
    </row>
    <row r="761" ht="12.75" customHeight="1">
      <c r="A761" s="13" t="s">
        <v>5508</v>
      </c>
      <c r="B761" s="13" t="s">
        <v>18966</v>
      </c>
      <c r="C761" s="13" t="s">
        <v>5510</v>
      </c>
      <c r="D761" s="13" t="s">
        <v>5510</v>
      </c>
      <c r="E761" s="13" t="s">
        <v>5510</v>
      </c>
      <c r="F761" s="13" t="s">
        <v>18967</v>
      </c>
      <c r="G761" s="13" t="s">
        <v>5510</v>
      </c>
      <c r="H761" s="13" t="s">
        <v>5510</v>
      </c>
      <c r="I761" s="13" t="s">
        <v>18968</v>
      </c>
      <c r="J761" s="13" t="s">
        <v>5943</v>
      </c>
      <c r="K761" s="13" t="s">
        <v>5510</v>
      </c>
      <c r="L761" s="13" t="s">
        <v>5510</v>
      </c>
      <c r="M761" s="13" t="s">
        <v>5513</v>
      </c>
      <c r="N761" s="13" t="s">
        <v>5514</v>
      </c>
      <c r="O761" s="13" t="s">
        <v>5510</v>
      </c>
      <c r="P761" s="13" t="s">
        <v>5510</v>
      </c>
      <c r="Q761" s="13" t="s">
        <v>5510</v>
      </c>
      <c r="R761" s="13" t="s">
        <v>5510</v>
      </c>
      <c r="S761" s="13" t="s">
        <v>5510</v>
      </c>
      <c r="T761" s="13" t="s">
        <v>18969</v>
      </c>
      <c r="U761" s="13" t="s">
        <v>18970</v>
      </c>
      <c r="V761" s="13" t="s">
        <v>18971</v>
      </c>
      <c r="W761" s="13" t="s">
        <v>18972</v>
      </c>
      <c r="X761" s="13" t="s">
        <v>18973</v>
      </c>
      <c r="Y761" s="13" t="s">
        <v>18974</v>
      </c>
      <c r="Z761" s="13" t="s">
        <v>18975</v>
      </c>
      <c r="AA761" s="13" t="s">
        <v>18976</v>
      </c>
      <c r="AB761" s="13" t="s">
        <v>18977</v>
      </c>
      <c r="AC761" s="13" t="s">
        <v>18978</v>
      </c>
      <c r="AD761" s="13" t="s">
        <v>18979</v>
      </c>
      <c r="AE761" s="13" t="s">
        <v>18980</v>
      </c>
      <c r="AF761" s="13" t="s">
        <v>5510</v>
      </c>
      <c r="AG761" s="13">
        <v>34.0</v>
      </c>
      <c r="AH761" s="13">
        <v>36.0</v>
      </c>
      <c r="AI761" s="13">
        <v>40.0</v>
      </c>
      <c r="AJ761" s="13">
        <v>1.0</v>
      </c>
      <c r="AK761" s="13">
        <v>53.0</v>
      </c>
      <c r="AL761" s="13" t="s">
        <v>5527</v>
      </c>
      <c r="AM761" s="13" t="s">
        <v>5528</v>
      </c>
      <c r="AN761" s="13" t="s">
        <v>5529</v>
      </c>
      <c r="AO761" s="13" t="s">
        <v>5953</v>
      </c>
      <c r="AP761" s="13" t="s">
        <v>5954</v>
      </c>
      <c r="AQ761" s="13" t="s">
        <v>5510</v>
      </c>
      <c r="AR761" s="13" t="s">
        <v>5955</v>
      </c>
      <c r="AS761" s="13" t="s">
        <v>5956</v>
      </c>
      <c r="AT761" s="13" t="s">
        <v>6175</v>
      </c>
      <c r="AU761" s="13">
        <v>2015.0</v>
      </c>
      <c r="AV761" s="13">
        <v>52.0</v>
      </c>
      <c r="AW761" s="13">
        <v>4.0</v>
      </c>
      <c r="AX761" s="13" t="s">
        <v>5510</v>
      </c>
      <c r="AY761" s="13" t="s">
        <v>5510</v>
      </c>
      <c r="AZ761" s="13" t="s">
        <v>5510</v>
      </c>
      <c r="BA761" s="13" t="s">
        <v>5510</v>
      </c>
      <c r="BB761" s="13">
        <v>940.0</v>
      </c>
      <c r="BC761" s="13">
        <v>949.0</v>
      </c>
      <c r="BD761" s="13" t="s">
        <v>5510</v>
      </c>
      <c r="BE761" s="13" t="s">
        <v>18981</v>
      </c>
      <c r="BF761" s="52" t="str">
        <f>HYPERLINK("http://dx.doi.org/10.1111/1365-2664.12454","http://dx.doi.org/10.1111/1365-2664.12454")</f>
        <v>http://dx.doi.org/10.1111/1365-2664.12454</v>
      </c>
      <c r="BG761" s="13" t="s">
        <v>5510</v>
      </c>
      <c r="BH761" s="13" t="s">
        <v>5510</v>
      </c>
      <c r="BI761" s="13">
        <v>10.0</v>
      </c>
      <c r="BJ761" s="13" t="s">
        <v>5958</v>
      </c>
      <c r="BK761" s="13" t="s">
        <v>5561</v>
      </c>
      <c r="BL761" s="13" t="s">
        <v>5699</v>
      </c>
      <c r="BM761" s="13" t="s">
        <v>16938</v>
      </c>
      <c r="BN761" s="13" t="s">
        <v>5510</v>
      </c>
      <c r="BO761" s="13" t="s">
        <v>6831</v>
      </c>
      <c r="BP761" s="13" t="s">
        <v>5510</v>
      </c>
      <c r="BQ761" s="13" t="s">
        <v>5510</v>
      </c>
      <c r="BR761" s="13" t="s">
        <v>5538</v>
      </c>
      <c r="BS761" s="13" t="s">
        <v>18982</v>
      </c>
      <c r="BT761" s="13">
        <v>24199.0</v>
      </c>
      <c r="BU761" s="13" t="s">
        <v>5540</v>
      </c>
      <c r="BV761" s="13" t="s">
        <v>4852</v>
      </c>
      <c r="BW761" s="13" t="str">
        <f>VLOOKUP($BT761,Enriched!$A$2:$E$1070,5,false)</f>
        <v>["Agriculture &amp; Aquaculture"]</v>
      </c>
      <c r="BX761" s="13" t="str">
        <f>VLOOKUP($BT761,Enriched!$A$2:$E$1070,4,false)</f>
        <v>["Livestock farming &amp; ranching"]</v>
      </c>
      <c r="BY761" s="13" t="b">
        <f>VLOOKUP(BT761,Enriched!$A$1:$AA$1070,27,falsE)</f>
        <v>0</v>
      </c>
      <c r="BZ761" s="2" t="str">
        <f>VLOOKUP(BT761,Enriched!$A$1:$AA$1070,14,falsE)</f>
        <v>level2</v>
      </c>
      <c r="CA761" s="13" t="str">
        <f>HYPERLINK("https%3A%2F%2Fwww.webofscience.com%2Fwos%2Fwoscc%2Ffull-record%2FWOS:000358004300017","View Full Record in Web of Science")</f>
        <v>View Full Record in Web of Science</v>
      </c>
    </row>
    <row r="762" ht="12.75" customHeight="1">
      <c r="A762" s="13" t="s">
        <v>5508</v>
      </c>
      <c r="B762" s="13" t="s">
        <v>18983</v>
      </c>
      <c r="C762" s="13" t="s">
        <v>5510</v>
      </c>
      <c r="D762" s="13" t="s">
        <v>5510</v>
      </c>
      <c r="E762" s="13" t="s">
        <v>5510</v>
      </c>
      <c r="F762" s="13" t="s">
        <v>18984</v>
      </c>
      <c r="G762" s="13" t="s">
        <v>5510</v>
      </c>
      <c r="H762" s="13" t="s">
        <v>5510</v>
      </c>
      <c r="I762" s="2" t="s">
        <v>647</v>
      </c>
      <c r="J762" s="13" t="s">
        <v>10093</v>
      </c>
      <c r="K762" s="13" t="s">
        <v>5510</v>
      </c>
      <c r="L762" s="13" t="s">
        <v>5510</v>
      </c>
      <c r="M762" s="13" t="s">
        <v>5513</v>
      </c>
      <c r="N762" s="13" t="s">
        <v>5514</v>
      </c>
      <c r="O762" s="13" t="s">
        <v>5510</v>
      </c>
      <c r="P762" s="13" t="s">
        <v>5510</v>
      </c>
      <c r="Q762" s="13" t="s">
        <v>5510</v>
      </c>
      <c r="R762" s="13" t="s">
        <v>5510</v>
      </c>
      <c r="S762" s="13" t="s">
        <v>5510</v>
      </c>
      <c r="T762" s="13" t="s">
        <v>18985</v>
      </c>
      <c r="U762" s="13" t="s">
        <v>18986</v>
      </c>
      <c r="V762" s="13" t="s">
        <v>18987</v>
      </c>
      <c r="W762" s="13" t="s">
        <v>18988</v>
      </c>
      <c r="X762" s="13" t="s">
        <v>18989</v>
      </c>
      <c r="Y762" s="13" t="s">
        <v>18990</v>
      </c>
      <c r="Z762" s="13" t="s">
        <v>18991</v>
      </c>
      <c r="AA762" s="13" t="s">
        <v>18992</v>
      </c>
      <c r="AB762" s="13" t="s">
        <v>18993</v>
      </c>
      <c r="AC762" s="13" t="s">
        <v>18994</v>
      </c>
      <c r="AD762" s="13" t="s">
        <v>18994</v>
      </c>
      <c r="AE762" s="13" t="s">
        <v>18995</v>
      </c>
      <c r="AF762" s="13" t="s">
        <v>5510</v>
      </c>
      <c r="AG762" s="13">
        <v>37.0</v>
      </c>
      <c r="AH762" s="13">
        <v>11.0</v>
      </c>
      <c r="AI762" s="13">
        <v>12.0</v>
      </c>
      <c r="AJ762" s="13">
        <v>0.0</v>
      </c>
      <c r="AK762" s="13">
        <v>50.0</v>
      </c>
      <c r="AL762" s="13" t="s">
        <v>7505</v>
      </c>
      <c r="AM762" s="13" t="s">
        <v>7506</v>
      </c>
      <c r="AN762" s="13" t="s">
        <v>7507</v>
      </c>
      <c r="AO762" s="13" t="s">
        <v>10103</v>
      </c>
      <c r="AP762" s="13" t="s">
        <v>10104</v>
      </c>
      <c r="AQ762" s="13" t="s">
        <v>5510</v>
      </c>
      <c r="AR762" s="13" t="s">
        <v>10105</v>
      </c>
      <c r="AS762" s="13" t="s">
        <v>10106</v>
      </c>
      <c r="AT762" s="13" t="s">
        <v>6175</v>
      </c>
      <c r="AU762" s="13">
        <v>2016.0</v>
      </c>
      <c r="AV762" s="13">
        <v>16.0</v>
      </c>
      <c r="AW762" s="13" t="s">
        <v>5510</v>
      </c>
      <c r="AX762" s="13" t="s">
        <v>5510</v>
      </c>
      <c r="AY762" s="13">
        <v>1.0</v>
      </c>
      <c r="AZ762" s="13" t="s">
        <v>5510</v>
      </c>
      <c r="BA762" s="13" t="s">
        <v>5510</v>
      </c>
      <c r="BB762" s="13">
        <v>43.0</v>
      </c>
      <c r="BC762" s="13">
        <v>52.0</v>
      </c>
      <c r="BD762" s="13" t="s">
        <v>5510</v>
      </c>
      <c r="BE762" s="13" t="s">
        <v>18996</v>
      </c>
      <c r="BF762" s="52" t="str">
        <f>HYPERLINK("http://dx.doi.org/10.1007/s10113-015-0904-0","http://dx.doi.org/10.1007/s10113-015-0904-0")</f>
        <v>http://dx.doi.org/10.1007/s10113-015-0904-0</v>
      </c>
      <c r="BG762" s="13" t="s">
        <v>5510</v>
      </c>
      <c r="BH762" s="13" t="s">
        <v>5510</v>
      </c>
      <c r="BI762" s="13">
        <v>10.0</v>
      </c>
      <c r="BJ762" s="13" t="s">
        <v>10108</v>
      </c>
      <c r="BK762" s="13" t="s">
        <v>5534</v>
      </c>
      <c r="BL762" s="13" t="s">
        <v>5535</v>
      </c>
      <c r="BM762" s="13" t="s">
        <v>18997</v>
      </c>
      <c r="BN762" s="13" t="s">
        <v>5510</v>
      </c>
      <c r="BO762" s="13" t="s">
        <v>5510</v>
      </c>
      <c r="BP762" s="13" t="s">
        <v>5510</v>
      </c>
      <c r="BQ762" s="13" t="s">
        <v>5510</v>
      </c>
      <c r="BR762" s="13" t="s">
        <v>5538</v>
      </c>
      <c r="BS762" s="13" t="s">
        <v>18998</v>
      </c>
      <c r="BT762" s="13">
        <v>23340.0</v>
      </c>
      <c r="BU762" s="13" t="s">
        <v>5540</v>
      </c>
      <c r="BV762" s="13" t="s">
        <v>4856</v>
      </c>
      <c r="BW762" s="13" t="str">
        <f>VLOOKUP($BT762,Enriched!$A$2:$E$1070,5,false)</f>
        <v>["Transportation &amp; Service Corridors"]</v>
      </c>
      <c r="BX762" s="13" t="str">
        <f>VLOOKUP($BT762,Enriched!$A$2:$E$1070,4,false)</f>
        <v>["Roads &amp; railroads"]</v>
      </c>
      <c r="BY762" s="13" t="b">
        <f>VLOOKUP(BT762,Enriched!$A$1:$AA$1070,27,falsE)</f>
        <v>0</v>
      </c>
      <c r="BZ762" s="2" t="str">
        <f>VLOOKUP(BT762,Enriched!$A$1:$AA$1070,14,falsE)</f>
        <v>level2</v>
      </c>
      <c r="CA762" s="13" t="str">
        <f>HYPERLINK("https%3A%2F%2Fwww.webofscience.com%2Fwos%2Fwoscc%2Ffull-record%2FWOS:000381212000005","View Full Record in Web of Science")</f>
        <v>View Full Record in Web of Science</v>
      </c>
    </row>
    <row r="763" ht="12.75" customHeight="1">
      <c r="A763" s="13" t="s">
        <v>5508</v>
      </c>
      <c r="B763" s="13" t="s">
        <v>18999</v>
      </c>
      <c r="C763" s="13" t="s">
        <v>5510</v>
      </c>
      <c r="D763" s="13" t="s">
        <v>5510</v>
      </c>
      <c r="E763" s="13" t="s">
        <v>5510</v>
      </c>
      <c r="F763" s="13" t="s">
        <v>19000</v>
      </c>
      <c r="G763" s="13" t="s">
        <v>5510</v>
      </c>
      <c r="H763" s="13" t="s">
        <v>5510</v>
      </c>
      <c r="I763" s="13" t="s">
        <v>644</v>
      </c>
      <c r="J763" s="13" t="s">
        <v>19001</v>
      </c>
      <c r="K763" s="13" t="s">
        <v>5510</v>
      </c>
      <c r="L763" s="13" t="s">
        <v>5510</v>
      </c>
      <c r="M763" s="13" t="s">
        <v>5513</v>
      </c>
      <c r="N763" s="13" t="s">
        <v>5514</v>
      </c>
      <c r="O763" s="13" t="s">
        <v>5510</v>
      </c>
      <c r="P763" s="13" t="s">
        <v>5510</v>
      </c>
      <c r="Q763" s="13" t="s">
        <v>5510</v>
      </c>
      <c r="R763" s="13" t="s">
        <v>5510</v>
      </c>
      <c r="S763" s="13" t="s">
        <v>5510</v>
      </c>
      <c r="T763" s="13" t="s">
        <v>19002</v>
      </c>
      <c r="U763" s="13" t="s">
        <v>19003</v>
      </c>
      <c r="V763" s="13" t="s">
        <v>19004</v>
      </c>
      <c r="W763" s="13" t="s">
        <v>19005</v>
      </c>
      <c r="X763" s="13" t="s">
        <v>19006</v>
      </c>
      <c r="Y763" s="13" t="s">
        <v>19007</v>
      </c>
      <c r="Z763" s="13" t="s">
        <v>19008</v>
      </c>
      <c r="AA763" s="13" t="s">
        <v>19009</v>
      </c>
      <c r="AB763" s="13" t="s">
        <v>19010</v>
      </c>
      <c r="AC763" s="13" t="s">
        <v>19011</v>
      </c>
      <c r="AD763" s="13" t="s">
        <v>19012</v>
      </c>
      <c r="AE763" s="13" t="s">
        <v>19013</v>
      </c>
      <c r="AF763" s="13" t="s">
        <v>5510</v>
      </c>
      <c r="AG763" s="13">
        <v>167.0</v>
      </c>
      <c r="AH763" s="13">
        <v>34.0</v>
      </c>
      <c r="AI763" s="13">
        <v>35.0</v>
      </c>
      <c r="AJ763" s="13">
        <v>2.0</v>
      </c>
      <c r="AK763" s="13">
        <v>42.0</v>
      </c>
      <c r="AL763" s="13" t="s">
        <v>6717</v>
      </c>
      <c r="AM763" s="13" t="s">
        <v>5932</v>
      </c>
      <c r="AN763" s="13" t="s">
        <v>6718</v>
      </c>
      <c r="AO763" s="13" t="s">
        <v>19014</v>
      </c>
      <c r="AP763" s="13" t="s">
        <v>19015</v>
      </c>
      <c r="AQ763" s="13" t="s">
        <v>5510</v>
      </c>
      <c r="AR763" s="13" t="s">
        <v>19016</v>
      </c>
      <c r="AS763" s="13" t="s">
        <v>19017</v>
      </c>
      <c r="AT763" s="13" t="s">
        <v>1453</v>
      </c>
      <c r="AU763" s="13">
        <v>2019.0</v>
      </c>
      <c r="AV763" s="13">
        <v>178.0</v>
      </c>
      <c r="AW763" s="13" t="s">
        <v>5510</v>
      </c>
      <c r="AX763" s="13" t="s">
        <v>5510</v>
      </c>
      <c r="AY763" s="13" t="s">
        <v>5510</v>
      </c>
      <c r="AZ763" s="13" t="s">
        <v>5510</v>
      </c>
      <c r="BA763" s="13" t="s">
        <v>5510</v>
      </c>
      <c r="BB763" s="13" t="s">
        <v>5510</v>
      </c>
      <c r="BC763" s="13" t="s">
        <v>5510</v>
      </c>
      <c r="BD763" s="13">
        <v>102179.0</v>
      </c>
      <c r="BE763" s="13" t="s">
        <v>19018</v>
      </c>
      <c r="BF763" s="52" t="str">
        <f>HYPERLINK("http://dx.doi.org/10.1016/j.pocean.2019.102179","http://dx.doi.org/10.1016/j.pocean.2019.102179")</f>
        <v>http://dx.doi.org/10.1016/j.pocean.2019.102179</v>
      </c>
      <c r="BG763" s="13" t="s">
        <v>5510</v>
      </c>
      <c r="BH763" s="13" t="s">
        <v>5510</v>
      </c>
      <c r="BI763" s="13">
        <v>18.0</v>
      </c>
      <c r="BJ763" s="13" t="s">
        <v>19019</v>
      </c>
      <c r="BK763" s="13" t="s">
        <v>5534</v>
      </c>
      <c r="BL763" s="13" t="s">
        <v>19019</v>
      </c>
      <c r="BM763" s="13" t="s">
        <v>19020</v>
      </c>
      <c r="BN763" s="13" t="s">
        <v>5510</v>
      </c>
      <c r="BO763" s="13" t="s">
        <v>5587</v>
      </c>
      <c r="BP763" s="13" t="s">
        <v>5510</v>
      </c>
      <c r="BQ763" s="13" t="s">
        <v>5510</v>
      </c>
      <c r="BR763" s="13" t="s">
        <v>5538</v>
      </c>
      <c r="BS763" s="13" t="s">
        <v>19021</v>
      </c>
      <c r="BT763" s="13">
        <v>24879.0</v>
      </c>
      <c r="BU763" s="13" t="s">
        <v>5540</v>
      </c>
      <c r="BV763" s="13" t="s">
        <v>4864</v>
      </c>
      <c r="BW763" s="13" t="str">
        <f>VLOOKUP($BT763,Enriched!$A$2:$E$1070,5,false)</f>
        <v>["Biological resource use"]</v>
      </c>
      <c r="BX763" s="13" t="str">
        <f>VLOOKUP($BT763,Enriched!$A$2:$E$1070,4,false)</f>
        <v>["Fishing &amp; harvesting aquatic resources"]</v>
      </c>
      <c r="BY763" s="13" t="b">
        <f>VLOOKUP(BT763,Enriched!$A$1:$AA$1070,27,falsE)</f>
        <v>0</v>
      </c>
      <c r="BZ763" s="2" t="str">
        <f>VLOOKUP(BT763,Enriched!$A$1:$AA$1070,14,falsE)</f>
        <v>level2</v>
      </c>
      <c r="CA763" s="13" t="str">
        <f>HYPERLINK("https%3A%2F%2Fwww.webofscience.com%2Fwos%2Fwoscc%2Ffull-record%2FWOS:000496861900020","View Full Record in Web of Science")</f>
        <v>View Full Record in Web of Science</v>
      </c>
    </row>
    <row r="764" ht="12.75" customHeight="1">
      <c r="A764" s="13" t="s">
        <v>5508</v>
      </c>
      <c r="B764" s="13" t="s">
        <v>19022</v>
      </c>
      <c r="C764" s="13" t="s">
        <v>5510</v>
      </c>
      <c r="D764" s="13" t="s">
        <v>5510</v>
      </c>
      <c r="E764" s="13" t="s">
        <v>5510</v>
      </c>
      <c r="F764" s="13" t="s">
        <v>19023</v>
      </c>
      <c r="G764" s="13" t="s">
        <v>5510</v>
      </c>
      <c r="H764" s="13" t="s">
        <v>5510</v>
      </c>
      <c r="I764" s="13" t="s">
        <v>641</v>
      </c>
      <c r="J764" s="13" t="s">
        <v>8795</v>
      </c>
      <c r="K764" s="13" t="s">
        <v>5510</v>
      </c>
      <c r="L764" s="13" t="s">
        <v>5510</v>
      </c>
      <c r="M764" s="13" t="s">
        <v>5513</v>
      </c>
      <c r="N764" s="13" t="s">
        <v>5514</v>
      </c>
      <c r="O764" s="13" t="s">
        <v>5510</v>
      </c>
      <c r="P764" s="13" t="s">
        <v>5510</v>
      </c>
      <c r="Q764" s="13" t="s">
        <v>5510</v>
      </c>
      <c r="R764" s="13" t="s">
        <v>5510</v>
      </c>
      <c r="S764" s="13" t="s">
        <v>5510</v>
      </c>
      <c r="T764" s="13" t="s">
        <v>5510</v>
      </c>
      <c r="U764" s="13" t="s">
        <v>19024</v>
      </c>
      <c r="V764" s="13" t="s">
        <v>19025</v>
      </c>
      <c r="W764" s="13" t="s">
        <v>19026</v>
      </c>
      <c r="X764" s="13" t="s">
        <v>19027</v>
      </c>
      <c r="Y764" s="13" t="s">
        <v>19028</v>
      </c>
      <c r="Z764" s="13" t="s">
        <v>19029</v>
      </c>
      <c r="AA764" s="13" t="s">
        <v>19030</v>
      </c>
      <c r="AB764" s="13" t="s">
        <v>19031</v>
      </c>
      <c r="AC764" s="13" t="s">
        <v>19032</v>
      </c>
      <c r="AD764" s="13" t="s">
        <v>19032</v>
      </c>
      <c r="AE764" s="13" t="s">
        <v>19033</v>
      </c>
      <c r="AF764" s="13" t="s">
        <v>5510</v>
      </c>
      <c r="AG764" s="13">
        <v>65.0</v>
      </c>
      <c r="AH764" s="13">
        <v>27.0</v>
      </c>
      <c r="AI764" s="13">
        <v>28.0</v>
      </c>
      <c r="AJ764" s="13">
        <v>2.0</v>
      </c>
      <c r="AK764" s="13">
        <v>15.0</v>
      </c>
      <c r="AL764" s="13" t="s">
        <v>8807</v>
      </c>
      <c r="AM764" s="13" t="s">
        <v>8808</v>
      </c>
      <c r="AN764" s="13" t="s">
        <v>8809</v>
      </c>
      <c r="AO764" s="13" t="s">
        <v>8810</v>
      </c>
      <c r="AP764" s="13" t="s">
        <v>5510</v>
      </c>
      <c r="AQ764" s="13" t="s">
        <v>5510</v>
      </c>
      <c r="AR764" s="13" t="s">
        <v>8811</v>
      </c>
      <c r="AS764" s="13" t="s">
        <v>8812</v>
      </c>
      <c r="AT764" s="13" t="s">
        <v>19034</v>
      </c>
      <c r="AU764" s="13">
        <v>2018.0</v>
      </c>
      <c r="AV764" s="13">
        <v>8.0</v>
      </c>
      <c r="AW764" s="13" t="s">
        <v>5510</v>
      </c>
      <c r="AX764" s="13" t="s">
        <v>5510</v>
      </c>
      <c r="AY764" s="13" t="s">
        <v>5510</v>
      </c>
      <c r="AZ764" s="13" t="s">
        <v>5510</v>
      </c>
      <c r="BA764" s="13" t="s">
        <v>5510</v>
      </c>
      <c r="BB764" s="13" t="s">
        <v>5510</v>
      </c>
      <c r="BC764" s="13" t="s">
        <v>5510</v>
      </c>
      <c r="BD764" s="13">
        <v>1469.0</v>
      </c>
      <c r="BE764" s="13" t="s">
        <v>19035</v>
      </c>
      <c r="BF764" s="52" t="str">
        <f>HYPERLINK("http://dx.doi.org/10.1038/s41598-018-19354-6","http://dx.doi.org/10.1038/s41598-018-19354-6")</f>
        <v>http://dx.doi.org/10.1038/s41598-018-19354-6</v>
      </c>
      <c r="BG764" s="13" t="s">
        <v>5510</v>
      </c>
      <c r="BH764" s="13" t="s">
        <v>5510</v>
      </c>
      <c r="BI764" s="13">
        <v>13.0</v>
      </c>
      <c r="BJ764" s="13" t="s">
        <v>5560</v>
      </c>
      <c r="BK764" s="13" t="s">
        <v>5561</v>
      </c>
      <c r="BL764" s="13" t="s">
        <v>5562</v>
      </c>
      <c r="BM764" s="13" t="s">
        <v>19036</v>
      </c>
      <c r="BN764" s="13">
        <v>2.9362389E7</v>
      </c>
      <c r="BO764" s="13" t="s">
        <v>5564</v>
      </c>
      <c r="BP764" s="13" t="s">
        <v>5510</v>
      </c>
      <c r="BQ764" s="13" t="s">
        <v>5510</v>
      </c>
      <c r="BR764" s="13" t="s">
        <v>5538</v>
      </c>
      <c r="BS764" s="13" t="s">
        <v>19037</v>
      </c>
      <c r="BT764" s="13">
        <v>24328.0</v>
      </c>
      <c r="BU764" s="13" t="s">
        <v>5540</v>
      </c>
      <c r="BV764" s="13" t="s">
        <v>4864</v>
      </c>
      <c r="BW764" s="13" t="str">
        <f>VLOOKUP($BT764,Enriched!$A$2:$E$1070,5,false)</f>
        <v>["Residential &amp; Commercial Development", "Human Intrusions &amp; Disturbance", "Biological Resource Use", "Pollution", "Agriculture &amp; Aquaculture", "Energy Production &amp; Mining", "Transportation &amp; Service Corridors", "Climate Change &amp; Severe Weather"]</v>
      </c>
      <c r="BX764" s="13" t="str">
        <f>VLOOKUP($BT764,Enriched!$A$2:$E$1070,4,false)</f>
        <v>["Commercial &amp; industrial areas", "Tourism &amp; recreation areas", "Recreational activities", "Fishing &amp; harvesting aquatic resources", "Excess energy", "Industrial &amp; military effluents", "Marine &amp; freshwater aquaculture", "Oil &amp; gas drilling", "Shipping lanes", "Air-borne pollutants", "Storms &amp; flooding", "Habitat shifting &amp; alteration", "Temperature extremes"]</v>
      </c>
      <c r="BY764" s="13" t="b">
        <f>VLOOKUP(BT764,Enriched!$A$1:$AA$1070,27,falsE)</f>
        <v>0</v>
      </c>
      <c r="BZ764" s="2" t="str">
        <f>VLOOKUP(BT764,Enriched!$A$1:$AA$1070,14,falsE)</f>
        <v>level2</v>
      </c>
      <c r="CA764" s="13" t="str">
        <f>HYPERLINK("https%3A%2F%2Fwww.webofscience.com%2Fwos%2Fwoscc%2Ffull-record%2FWOS:000423046600013","View Full Record in Web of Science")</f>
        <v>View Full Record in Web of Science</v>
      </c>
    </row>
    <row r="765" ht="12.75" customHeight="1">
      <c r="A765" s="13" t="s">
        <v>5508</v>
      </c>
      <c r="B765" s="13" t="s">
        <v>19038</v>
      </c>
      <c r="C765" s="13" t="s">
        <v>5510</v>
      </c>
      <c r="D765" s="13" t="s">
        <v>5510</v>
      </c>
      <c r="E765" s="13" t="s">
        <v>5510</v>
      </c>
      <c r="F765" s="13" t="s">
        <v>19039</v>
      </c>
      <c r="G765" s="13" t="s">
        <v>5510</v>
      </c>
      <c r="H765" s="13" t="s">
        <v>5510</v>
      </c>
      <c r="I765" s="13" t="s">
        <v>19040</v>
      </c>
      <c r="J765" s="13" t="s">
        <v>19041</v>
      </c>
      <c r="K765" s="13" t="s">
        <v>5510</v>
      </c>
      <c r="L765" s="13" t="s">
        <v>5510</v>
      </c>
      <c r="M765" s="13" t="s">
        <v>5513</v>
      </c>
      <c r="N765" s="13" t="s">
        <v>5514</v>
      </c>
      <c r="O765" s="13" t="s">
        <v>5510</v>
      </c>
      <c r="P765" s="13" t="s">
        <v>5510</v>
      </c>
      <c r="Q765" s="13" t="s">
        <v>5510</v>
      </c>
      <c r="R765" s="13" t="s">
        <v>5510</v>
      </c>
      <c r="S765" s="13" t="s">
        <v>5510</v>
      </c>
      <c r="T765" s="13" t="s">
        <v>5510</v>
      </c>
      <c r="U765" s="13" t="s">
        <v>19042</v>
      </c>
      <c r="V765" s="13" t="s">
        <v>19043</v>
      </c>
      <c r="W765" s="13" t="s">
        <v>19044</v>
      </c>
      <c r="X765" s="13" t="s">
        <v>19045</v>
      </c>
      <c r="Y765" s="13" t="s">
        <v>19046</v>
      </c>
      <c r="Z765" s="13" t="s">
        <v>19047</v>
      </c>
      <c r="AA765" s="13" t="s">
        <v>5510</v>
      </c>
      <c r="AB765" s="13" t="s">
        <v>19048</v>
      </c>
      <c r="AC765" s="13" t="s">
        <v>19049</v>
      </c>
      <c r="AD765" s="13" t="s">
        <v>19049</v>
      </c>
      <c r="AE765" s="13" t="s">
        <v>19050</v>
      </c>
      <c r="AF765" s="13" t="s">
        <v>5510</v>
      </c>
      <c r="AG765" s="13">
        <v>25.0</v>
      </c>
      <c r="AH765" s="13">
        <v>103.0</v>
      </c>
      <c r="AI765" s="13">
        <v>125.0</v>
      </c>
      <c r="AJ765" s="13">
        <v>1.0</v>
      </c>
      <c r="AK765" s="13">
        <v>155.0</v>
      </c>
      <c r="AL765" s="13" t="s">
        <v>19051</v>
      </c>
      <c r="AM765" s="13" t="s">
        <v>5908</v>
      </c>
      <c r="AN765" s="13" t="s">
        <v>19052</v>
      </c>
      <c r="AO765" s="13" t="s">
        <v>19053</v>
      </c>
      <c r="AP765" s="13" t="s">
        <v>5510</v>
      </c>
      <c r="AQ765" s="13" t="s">
        <v>5510</v>
      </c>
      <c r="AR765" s="13" t="s">
        <v>19041</v>
      </c>
      <c r="AS765" s="13" t="s">
        <v>639</v>
      </c>
      <c r="AT765" s="13" t="s">
        <v>11291</v>
      </c>
      <c r="AU765" s="13">
        <v>2013.0</v>
      </c>
      <c r="AV765" s="13">
        <v>4.0</v>
      </c>
      <c r="AW765" s="13">
        <v>4.0</v>
      </c>
      <c r="AX765" s="13" t="s">
        <v>5510</v>
      </c>
      <c r="AY765" s="13" t="s">
        <v>5510</v>
      </c>
      <c r="AZ765" s="13" t="s">
        <v>5510</v>
      </c>
      <c r="BA765" s="13" t="s">
        <v>5510</v>
      </c>
      <c r="BB765" s="13" t="s">
        <v>5510</v>
      </c>
      <c r="BC765" s="13" t="s">
        <v>5510</v>
      </c>
      <c r="BD765" s="13" t="s">
        <v>19054</v>
      </c>
      <c r="BE765" s="13" t="s">
        <v>19055</v>
      </c>
      <c r="BF765" s="52" t="str">
        <f>HYPERLINK("http://dx.doi.org/10.1128/mBio.00410-13","http://dx.doi.org/10.1128/mBio.00410-13")</f>
        <v>http://dx.doi.org/10.1128/mBio.00410-13</v>
      </c>
      <c r="BG765" s="13" t="s">
        <v>5510</v>
      </c>
      <c r="BH765" s="13" t="s">
        <v>5510</v>
      </c>
      <c r="BI765" s="13">
        <v>6.0</v>
      </c>
      <c r="BJ765" s="13" t="s">
        <v>19056</v>
      </c>
      <c r="BK765" s="13" t="s">
        <v>5561</v>
      </c>
      <c r="BL765" s="13" t="s">
        <v>19056</v>
      </c>
      <c r="BM765" s="13" t="s">
        <v>19057</v>
      </c>
      <c r="BN765" s="13">
        <v>2.3943758E7</v>
      </c>
      <c r="BO765" s="13" t="s">
        <v>5564</v>
      </c>
      <c r="BP765" s="13" t="s">
        <v>5510</v>
      </c>
      <c r="BQ765" s="13" t="s">
        <v>5510</v>
      </c>
      <c r="BR765" s="13" t="s">
        <v>5538</v>
      </c>
      <c r="BS765" s="13" t="s">
        <v>19058</v>
      </c>
      <c r="BT765" s="13">
        <v>25525.0</v>
      </c>
      <c r="BU765" s="13" t="s">
        <v>5540</v>
      </c>
      <c r="BV765" s="13" t="s">
        <v>4856</v>
      </c>
      <c r="BW765" s="13" t="str">
        <f>VLOOKUP($BT765,Enriched!$A$2:$E$1070,5,false)</f>
        <v>["Invasive &amp; Other Problematic Species, Genes &amp; Diseases"]</v>
      </c>
      <c r="BX765" s="13" t="str">
        <f>VLOOKUP($BT765,Enriched!$A$2:$E$1070,4,false)</f>
        <v>["Problematic native species/diseases"]</v>
      </c>
      <c r="BY765" s="13" t="b">
        <f>VLOOKUP(BT765,Enriched!$A$1:$AA$1070,27,falsE)</f>
        <v>0</v>
      </c>
      <c r="BZ765" s="2" t="str">
        <f>VLOOKUP(BT765,Enriched!$A$1:$AA$1070,14,falsE)</f>
        <v>level2</v>
      </c>
      <c r="CA765" s="13" t="str">
        <f>HYPERLINK("https%3A%2F%2Fwww.webofscience.com%2Fwos%2Fwoscc%2Ffull-record%2FWOS:000326881100034","View Full Record in Web of Science")</f>
        <v>View Full Record in Web of Science</v>
      </c>
    </row>
    <row r="766" ht="12.75" customHeight="1">
      <c r="A766" s="13" t="s">
        <v>5508</v>
      </c>
      <c r="B766" s="13" t="s">
        <v>19059</v>
      </c>
      <c r="C766" s="13" t="s">
        <v>5510</v>
      </c>
      <c r="D766" s="13" t="s">
        <v>5510</v>
      </c>
      <c r="E766" s="13" t="s">
        <v>5510</v>
      </c>
      <c r="F766" s="13" t="s">
        <v>19060</v>
      </c>
      <c r="G766" s="13" t="s">
        <v>5510</v>
      </c>
      <c r="H766" s="13" t="s">
        <v>5510</v>
      </c>
      <c r="I766" s="13" t="s">
        <v>635</v>
      </c>
      <c r="J766" s="13" t="s">
        <v>19061</v>
      </c>
      <c r="K766" s="13" t="s">
        <v>5510</v>
      </c>
      <c r="L766" s="13" t="s">
        <v>5510</v>
      </c>
      <c r="M766" s="13" t="s">
        <v>5513</v>
      </c>
      <c r="N766" s="13" t="s">
        <v>5514</v>
      </c>
      <c r="O766" s="13" t="s">
        <v>5510</v>
      </c>
      <c r="P766" s="13" t="s">
        <v>5510</v>
      </c>
      <c r="Q766" s="13" t="s">
        <v>5510</v>
      </c>
      <c r="R766" s="13" t="s">
        <v>5510</v>
      </c>
      <c r="S766" s="13" t="s">
        <v>5510</v>
      </c>
      <c r="T766" s="13" t="s">
        <v>19062</v>
      </c>
      <c r="U766" s="13" t="s">
        <v>19063</v>
      </c>
      <c r="V766" s="13" t="s">
        <v>19064</v>
      </c>
      <c r="W766" s="13" t="s">
        <v>19065</v>
      </c>
      <c r="X766" s="13" t="s">
        <v>19066</v>
      </c>
      <c r="Y766" s="13" t="s">
        <v>19067</v>
      </c>
      <c r="Z766" s="13" t="s">
        <v>19068</v>
      </c>
      <c r="AA766" s="13" t="s">
        <v>19069</v>
      </c>
      <c r="AB766" s="13" t="s">
        <v>19070</v>
      </c>
      <c r="AC766" s="13" t="s">
        <v>19071</v>
      </c>
      <c r="AD766" s="13" t="s">
        <v>19072</v>
      </c>
      <c r="AE766" s="13" t="s">
        <v>19073</v>
      </c>
      <c r="AF766" s="13" t="s">
        <v>5510</v>
      </c>
      <c r="AG766" s="13">
        <v>40.0</v>
      </c>
      <c r="AH766" s="13">
        <v>3.0</v>
      </c>
      <c r="AI766" s="13">
        <v>5.0</v>
      </c>
      <c r="AJ766" s="13">
        <v>1.0</v>
      </c>
      <c r="AK766" s="13">
        <v>6.0</v>
      </c>
      <c r="AL766" s="13" t="s">
        <v>6717</v>
      </c>
      <c r="AM766" s="13" t="s">
        <v>5932</v>
      </c>
      <c r="AN766" s="13" t="s">
        <v>6718</v>
      </c>
      <c r="AO766" s="13" t="s">
        <v>19074</v>
      </c>
      <c r="AP766" s="13" t="s">
        <v>19075</v>
      </c>
      <c r="AQ766" s="13" t="s">
        <v>5510</v>
      </c>
      <c r="AR766" s="13" t="s">
        <v>19076</v>
      </c>
      <c r="AS766" s="13" t="s">
        <v>19077</v>
      </c>
      <c r="AT766" s="13" t="s">
        <v>2514</v>
      </c>
      <c r="AU766" s="13">
        <v>2017.0</v>
      </c>
      <c r="AV766" s="13">
        <v>101.0</v>
      </c>
      <c r="AW766" s="13" t="s">
        <v>5510</v>
      </c>
      <c r="AX766" s="13" t="s">
        <v>5510</v>
      </c>
      <c r="AY766" s="13" t="s">
        <v>5510</v>
      </c>
      <c r="AZ766" s="13" t="s">
        <v>5510</v>
      </c>
      <c r="BA766" s="13" t="s">
        <v>5510</v>
      </c>
      <c r="BB766" s="13">
        <v>52.0</v>
      </c>
      <c r="BC766" s="13">
        <v>58.0</v>
      </c>
      <c r="BD766" s="13" t="s">
        <v>5510</v>
      </c>
      <c r="BE766" s="13" t="s">
        <v>19078</v>
      </c>
      <c r="BF766" s="52" t="str">
        <f>HYPERLINK("http://dx.doi.org/10.1016/j.pce.2017.06.007","http://dx.doi.org/10.1016/j.pce.2017.06.007")</f>
        <v>http://dx.doi.org/10.1016/j.pce.2017.06.007</v>
      </c>
      <c r="BG766" s="13" t="s">
        <v>5510</v>
      </c>
      <c r="BH766" s="13" t="s">
        <v>5510</v>
      </c>
      <c r="BI766" s="13">
        <v>7.0</v>
      </c>
      <c r="BJ766" s="13" t="s">
        <v>12177</v>
      </c>
      <c r="BK766" s="13" t="s">
        <v>5561</v>
      </c>
      <c r="BL766" s="13" t="s">
        <v>12178</v>
      </c>
      <c r="BM766" s="13" t="s">
        <v>19079</v>
      </c>
      <c r="BN766" s="13" t="s">
        <v>5510</v>
      </c>
      <c r="BO766" s="13" t="s">
        <v>5510</v>
      </c>
      <c r="BP766" s="13" t="s">
        <v>5510</v>
      </c>
      <c r="BQ766" s="13" t="s">
        <v>5510</v>
      </c>
      <c r="BR766" s="13" t="s">
        <v>5538</v>
      </c>
      <c r="BS766" s="13" t="s">
        <v>19080</v>
      </c>
      <c r="BT766" s="13">
        <v>23653.0</v>
      </c>
      <c r="BU766" s="13" t="s">
        <v>5540</v>
      </c>
      <c r="BV766" s="13" t="s">
        <v>4852</v>
      </c>
      <c r="BW766" s="13" t="str">
        <f>VLOOKUP($BT766,Enriched!$A$2:$E$1070,5,false)</f>
        <v>["Biological resource use"]</v>
      </c>
      <c r="BX766" s="13" t="str">
        <f>VLOOKUP($BT766,Enriched!$A$2:$E$1070,4,false)</f>
        <v>["Hunting &amp; collecting terrestrial animals"]</v>
      </c>
      <c r="BY766" s="13" t="b">
        <f>VLOOKUP(BT766,Enriched!$A$1:$AA$1070,27,falsE)</f>
        <v>0</v>
      </c>
      <c r="BZ766" s="2" t="str">
        <f>VLOOKUP(BT766,Enriched!$A$1:$AA$1070,14,falsE)</f>
        <v>level2</v>
      </c>
      <c r="CA766" s="13" t="str">
        <f>HYPERLINK("https%3A%2F%2Fwww.webofscience.com%2Fwos%2Fwoscc%2Ffull-record%2FWOS:000416704100007","View Full Record in Web of Science")</f>
        <v>View Full Record in Web of Science</v>
      </c>
    </row>
    <row r="767" ht="12.75" customHeight="1">
      <c r="A767" s="13" t="s">
        <v>5508</v>
      </c>
      <c r="B767" s="13" t="s">
        <v>19081</v>
      </c>
      <c r="C767" s="13" t="s">
        <v>5510</v>
      </c>
      <c r="D767" s="13" t="s">
        <v>5510</v>
      </c>
      <c r="E767" s="13" t="s">
        <v>5510</v>
      </c>
      <c r="F767" s="13" t="s">
        <v>19082</v>
      </c>
      <c r="G767" s="13" t="s">
        <v>5510</v>
      </c>
      <c r="H767" s="13" t="s">
        <v>5510</v>
      </c>
      <c r="I767" s="13" t="s">
        <v>629</v>
      </c>
      <c r="J767" s="13" t="s">
        <v>5919</v>
      </c>
      <c r="K767" s="13" t="s">
        <v>5510</v>
      </c>
      <c r="L767" s="13" t="s">
        <v>5510</v>
      </c>
      <c r="M767" s="13" t="s">
        <v>5513</v>
      </c>
      <c r="N767" s="13" t="s">
        <v>4904</v>
      </c>
      <c r="O767" s="13" t="s">
        <v>5510</v>
      </c>
      <c r="P767" s="13" t="s">
        <v>5510</v>
      </c>
      <c r="Q767" s="13" t="s">
        <v>5510</v>
      </c>
      <c r="R767" s="13" t="s">
        <v>5510</v>
      </c>
      <c r="S767" s="13" t="s">
        <v>5510</v>
      </c>
      <c r="T767" s="13" t="s">
        <v>19083</v>
      </c>
      <c r="U767" s="13" t="s">
        <v>19084</v>
      </c>
      <c r="V767" s="13" t="s">
        <v>19085</v>
      </c>
      <c r="W767" s="13" t="s">
        <v>19086</v>
      </c>
      <c r="X767" s="13" t="s">
        <v>19087</v>
      </c>
      <c r="Y767" s="13" t="s">
        <v>19088</v>
      </c>
      <c r="Z767" s="13" t="s">
        <v>19089</v>
      </c>
      <c r="AA767" s="13" t="s">
        <v>19090</v>
      </c>
      <c r="AB767" s="13" t="s">
        <v>19091</v>
      </c>
      <c r="AC767" s="13" t="s">
        <v>5510</v>
      </c>
      <c r="AD767" s="13" t="s">
        <v>5510</v>
      </c>
      <c r="AE767" s="13" t="s">
        <v>5510</v>
      </c>
      <c r="AF767" s="13" t="s">
        <v>5510</v>
      </c>
      <c r="AG767" s="13">
        <v>101.0</v>
      </c>
      <c r="AH767" s="13">
        <v>135.0</v>
      </c>
      <c r="AI767" s="13">
        <v>157.0</v>
      </c>
      <c r="AJ767" s="13">
        <v>1.0</v>
      </c>
      <c r="AK767" s="13">
        <v>94.0</v>
      </c>
      <c r="AL767" s="13" t="s">
        <v>5931</v>
      </c>
      <c r="AM767" s="13" t="s">
        <v>5932</v>
      </c>
      <c r="AN767" s="13" t="s">
        <v>5933</v>
      </c>
      <c r="AO767" s="13" t="s">
        <v>5934</v>
      </c>
      <c r="AP767" s="13" t="s">
        <v>5935</v>
      </c>
      <c r="AQ767" s="13" t="s">
        <v>5510</v>
      </c>
      <c r="AR767" s="13" t="s">
        <v>5936</v>
      </c>
      <c r="AS767" s="13" t="s">
        <v>5937</v>
      </c>
      <c r="AT767" s="13" t="s">
        <v>5667</v>
      </c>
      <c r="AU767" s="13">
        <v>2009.0</v>
      </c>
      <c r="AV767" s="13">
        <v>142.0</v>
      </c>
      <c r="AW767" s="13">
        <v>7.0</v>
      </c>
      <c r="AX767" s="13" t="s">
        <v>5510</v>
      </c>
      <c r="AY767" s="13" t="s">
        <v>5510</v>
      </c>
      <c r="AZ767" s="13" t="s">
        <v>5510</v>
      </c>
      <c r="BA767" s="13" t="s">
        <v>5510</v>
      </c>
      <c r="BB767" s="13">
        <v>1269.0</v>
      </c>
      <c r="BC767" s="13">
        <v>1281.0</v>
      </c>
      <c r="BD767" s="13" t="s">
        <v>5510</v>
      </c>
      <c r="BE767" s="13" t="s">
        <v>19092</v>
      </c>
      <c r="BF767" s="52" t="str">
        <f>HYPERLINK("http://dx.doi.org/10.1016/j.biocon.2009.02.025","http://dx.doi.org/10.1016/j.biocon.2009.02.025")</f>
        <v>http://dx.doi.org/10.1016/j.biocon.2009.02.025</v>
      </c>
      <c r="BG767" s="13" t="s">
        <v>5510</v>
      </c>
      <c r="BH767" s="13" t="s">
        <v>5510</v>
      </c>
      <c r="BI767" s="13">
        <v>13.0</v>
      </c>
      <c r="BJ767" s="13" t="s">
        <v>5698</v>
      </c>
      <c r="BK767" s="13" t="s">
        <v>5561</v>
      </c>
      <c r="BL767" s="13" t="s">
        <v>5699</v>
      </c>
      <c r="BM767" s="13" t="s">
        <v>14557</v>
      </c>
      <c r="BN767" s="13" t="s">
        <v>5510</v>
      </c>
      <c r="BO767" s="13" t="s">
        <v>5510</v>
      </c>
      <c r="BP767" s="13" t="s">
        <v>5510</v>
      </c>
      <c r="BQ767" s="13" t="s">
        <v>5510</v>
      </c>
      <c r="BR767" s="13" t="s">
        <v>5538</v>
      </c>
      <c r="BS767" s="13" t="s">
        <v>19093</v>
      </c>
      <c r="BT767" s="13">
        <v>26145.0</v>
      </c>
      <c r="BU767" s="13" t="s">
        <v>9118</v>
      </c>
      <c r="BV767" s="13" t="s">
        <v>4864</v>
      </c>
      <c r="BW767" s="13" t="str">
        <f>VLOOKUP($BT767,Enriched!$A$2:$E$1070,5,false)</f>
        <v>["Biological resource use"]</v>
      </c>
      <c r="BX767" s="13" t="str">
        <f>VLOOKUP($BT767,Enriched!$A$2:$E$1070,4,false)</f>
        <v>["Fishing &amp; harvesting aquatic resources"]</v>
      </c>
      <c r="BY767" s="13" t="b">
        <f>VLOOKUP(BT767,Enriched!$A$1:$AA$1070,27,falsE)</f>
        <v>0</v>
      </c>
      <c r="BZ767" s="2" t="str">
        <f>VLOOKUP(BT767,Enriched!$A$1:$AA$1070,14,falsE)</f>
        <v>level2</v>
      </c>
      <c r="CA767" s="13" t="str">
        <f>HYPERLINK("https%3A%2F%2Fwww.webofscience.com%2Fwos%2Fwoscc%2Ffull-record%2FWOS:000266752500003","View Full Record in Web of Science")</f>
        <v>View Full Record in Web of Science</v>
      </c>
    </row>
    <row r="768" ht="12.75" customHeight="1">
      <c r="A768" s="13" t="s">
        <v>5508</v>
      </c>
      <c r="B768" s="13" t="s">
        <v>19094</v>
      </c>
      <c r="C768" s="13" t="s">
        <v>5510</v>
      </c>
      <c r="D768" s="13" t="s">
        <v>5510</v>
      </c>
      <c r="E768" s="13" t="s">
        <v>5510</v>
      </c>
      <c r="F768" s="13" t="s">
        <v>19095</v>
      </c>
      <c r="G768" s="13" t="s">
        <v>5510</v>
      </c>
      <c r="H768" s="13" t="s">
        <v>5510</v>
      </c>
      <c r="I768" s="2" t="s">
        <v>626</v>
      </c>
      <c r="J768" s="13" t="s">
        <v>19096</v>
      </c>
      <c r="K768" s="13" t="s">
        <v>5510</v>
      </c>
      <c r="L768" s="13" t="s">
        <v>5510</v>
      </c>
      <c r="M768" s="13" t="s">
        <v>5513</v>
      </c>
      <c r="N768" s="13" t="s">
        <v>5514</v>
      </c>
      <c r="O768" s="13" t="s">
        <v>5510</v>
      </c>
      <c r="P768" s="13" t="s">
        <v>5510</v>
      </c>
      <c r="Q768" s="13" t="s">
        <v>5510</v>
      </c>
      <c r="R768" s="13" t="s">
        <v>5510</v>
      </c>
      <c r="S768" s="13" t="s">
        <v>5510</v>
      </c>
      <c r="T768" s="13" t="s">
        <v>19097</v>
      </c>
      <c r="U768" s="13" t="s">
        <v>19098</v>
      </c>
      <c r="V768" s="13" t="s">
        <v>19099</v>
      </c>
      <c r="W768" s="13" t="s">
        <v>19100</v>
      </c>
      <c r="X768" s="13" t="s">
        <v>19101</v>
      </c>
      <c r="Y768" s="13" t="s">
        <v>19102</v>
      </c>
      <c r="Z768" s="13" t="s">
        <v>19103</v>
      </c>
      <c r="AA768" s="13" t="s">
        <v>19104</v>
      </c>
      <c r="AB768" s="13" t="s">
        <v>19105</v>
      </c>
      <c r="AC768" s="13" t="s">
        <v>5510</v>
      </c>
      <c r="AD768" s="13" t="s">
        <v>5510</v>
      </c>
      <c r="AE768" s="13" t="s">
        <v>5510</v>
      </c>
      <c r="AF768" s="13" t="s">
        <v>5510</v>
      </c>
      <c r="AG768" s="13">
        <v>120.0</v>
      </c>
      <c r="AH768" s="13">
        <v>406.0</v>
      </c>
      <c r="AI768" s="13">
        <v>468.0</v>
      </c>
      <c r="AJ768" s="13">
        <v>4.0</v>
      </c>
      <c r="AK768" s="13">
        <v>199.0</v>
      </c>
      <c r="AL768" s="13" t="s">
        <v>9186</v>
      </c>
      <c r="AM768" s="13" t="s">
        <v>6046</v>
      </c>
      <c r="AN768" s="13" t="s">
        <v>9187</v>
      </c>
      <c r="AO768" s="13" t="s">
        <v>19106</v>
      </c>
      <c r="AP768" s="13" t="s">
        <v>5510</v>
      </c>
      <c r="AQ768" s="13" t="s">
        <v>5510</v>
      </c>
      <c r="AR768" s="13" t="s">
        <v>19107</v>
      </c>
      <c r="AS768" s="13" t="s">
        <v>19108</v>
      </c>
      <c r="AT768" s="13" t="s">
        <v>2514</v>
      </c>
      <c r="AU768" s="13">
        <v>2016.0</v>
      </c>
      <c r="AV768" s="13">
        <v>3.0</v>
      </c>
      <c r="AW768" s="13">
        <v>10.0</v>
      </c>
      <c r="AX768" s="13" t="s">
        <v>5510</v>
      </c>
      <c r="AY768" s="13" t="s">
        <v>5510</v>
      </c>
      <c r="AZ768" s="13" t="s">
        <v>5510</v>
      </c>
      <c r="BA768" s="13" t="s">
        <v>5510</v>
      </c>
      <c r="BB768" s="13" t="s">
        <v>5510</v>
      </c>
      <c r="BC768" s="13" t="s">
        <v>5510</v>
      </c>
      <c r="BD768" s="13">
        <v>160498.0</v>
      </c>
      <c r="BE768" s="13" t="s">
        <v>19109</v>
      </c>
      <c r="BF768" s="52" t="str">
        <f>HYPERLINK("http://dx.doi.org/10.1098/rsos.160498","http://dx.doi.org/10.1098/rsos.160498")</f>
        <v>http://dx.doi.org/10.1098/rsos.160498</v>
      </c>
      <c r="BG768" s="13" t="s">
        <v>5510</v>
      </c>
      <c r="BH768" s="13" t="s">
        <v>5510</v>
      </c>
      <c r="BI768" s="13">
        <v>16.0</v>
      </c>
      <c r="BJ768" s="13" t="s">
        <v>5560</v>
      </c>
      <c r="BK768" s="13" t="s">
        <v>5561</v>
      </c>
      <c r="BL768" s="13" t="s">
        <v>5562</v>
      </c>
      <c r="BM768" s="13" t="s">
        <v>19110</v>
      </c>
      <c r="BN768" s="13">
        <v>2.7853564E7</v>
      </c>
      <c r="BO768" s="13" t="s">
        <v>10777</v>
      </c>
      <c r="BP768" s="13" t="s">
        <v>5510</v>
      </c>
      <c r="BQ768" s="13" t="s">
        <v>5510</v>
      </c>
      <c r="BR768" s="13" t="s">
        <v>5538</v>
      </c>
      <c r="BS768" s="13" t="s">
        <v>19111</v>
      </c>
      <c r="BT768" s="13">
        <v>25372.0</v>
      </c>
      <c r="BU768" s="13" t="s">
        <v>5540</v>
      </c>
      <c r="BV768" s="13" t="s">
        <v>4856</v>
      </c>
      <c r="BW768" s="13" t="str">
        <f>VLOOKUP($BT768,Enriched!$A$2:$E$1070,5,false)</f>
        <v>["Biological resource use"]</v>
      </c>
      <c r="BX768" s="13" t="str">
        <f>VLOOKUP($BT768,Enriched!$A$2:$E$1070,4,false)</f>
        <v>["Hunting &amp; collecting terrestrial animals"]</v>
      </c>
      <c r="BY768" s="13" t="b">
        <f>VLOOKUP(BT768,Enriched!$A$1:$AA$1070,27,falsE)</f>
        <v>0</v>
      </c>
      <c r="BZ768" s="2" t="str">
        <f>VLOOKUP(BT768,Enriched!$A$1:$AA$1070,14,falsE)</f>
        <v>level2</v>
      </c>
      <c r="CA768" s="13" t="str">
        <f>HYPERLINK("https%3A%2F%2Fwww.webofscience.com%2Fwos%2Fwoscc%2Ffull-record%2FWOS:000389241700035","View Full Record in Web of Science")</f>
        <v>View Full Record in Web of Science</v>
      </c>
    </row>
    <row r="769" ht="12.75" customHeight="1">
      <c r="A769" s="13" t="s">
        <v>5508</v>
      </c>
      <c r="B769" s="13" t="s">
        <v>19112</v>
      </c>
      <c r="C769" s="13" t="s">
        <v>5510</v>
      </c>
      <c r="D769" s="13" t="s">
        <v>5510</v>
      </c>
      <c r="E769" s="13" t="s">
        <v>5510</v>
      </c>
      <c r="F769" s="13" t="s">
        <v>19113</v>
      </c>
      <c r="G769" s="13" t="s">
        <v>5510</v>
      </c>
      <c r="H769" s="13" t="s">
        <v>5510</v>
      </c>
      <c r="I769" s="13" t="s">
        <v>623</v>
      </c>
      <c r="J769" s="13" t="s">
        <v>19114</v>
      </c>
      <c r="K769" s="13" t="s">
        <v>5510</v>
      </c>
      <c r="L769" s="13" t="s">
        <v>5510</v>
      </c>
      <c r="M769" s="13" t="s">
        <v>5513</v>
      </c>
      <c r="N769" s="13" t="s">
        <v>5514</v>
      </c>
      <c r="O769" s="13" t="s">
        <v>5510</v>
      </c>
      <c r="P769" s="13" t="s">
        <v>5510</v>
      </c>
      <c r="Q769" s="13" t="s">
        <v>5510</v>
      </c>
      <c r="R769" s="13" t="s">
        <v>5510</v>
      </c>
      <c r="S769" s="13" t="s">
        <v>5510</v>
      </c>
      <c r="T769" s="13" t="s">
        <v>19115</v>
      </c>
      <c r="U769" s="13" t="s">
        <v>19116</v>
      </c>
      <c r="V769" s="13" t="s">
        <v>19117</v>
      </c>
      <c r="W769" s="13" t="s">
        <v>19118</v>
      </c>
      <c r="X769" s="13" t="s">
        <v>19119</v>
      </c>
      <c r="Y769" s="13" t="s">
        <v>19120</v>
      </c>
      <c r="Z769" s="13" t="s">
        <v>19121</v>
      </c>
      <c r="AA769" s="13" t="s">
        <v>19122</v>
      </c>
      <c r="AB769" s="13" t="s">
        <v>19123</v>
      </c>
      <c r="AC769" s="13" t="s">
        <v>5510</v>
      </c>
      <c r="AD769" s="13" t="s">
        <v>5510</v>
      </c>
      <c r="AE769" s="13" t="s">
        <v>5510</v>
      </c>
      <c r="AF769" s="13" t="s">
        <v>5510</v>
      </c>
      <c r="AG769" s="13">
        <v>54.0</v>
      </c>
      <c r="AH769" s="13">
        <v>66.0</v>
      </c>
      <c r="AI769" s="13">
        <v>70.0</v>
      </c>
      <c r="AJ769" s="13">
        <v>0.0</v>
      </c>
      <c r="AK769" s="13">
        <v>7.0</v>
      </c>
      <c r="AL769" s="13" t="s">
        <v>5639</v>
      </c>
      <c r="AM769" s="13" t="s">
        <v>5640</v>
      </c>
      <c r="AN769" s="13" t="s">
        <v>5641</v>
      </c>
      <c r="AO769" s="13" t="s">
        <v>19124</v>
      </c>
      <c r="AP769" s="13" t="s">
        <v>19125</v>
      </c>
      <c r="AQ769" s="13" t="s">
        <v>5510</v>
      </c>
      <c r="AR769" s="13" t="s">
        <v>19114</v>
      </c>
      <c r="AS769" s="13" t="s">
        <v>624</v>
      </c>
      <c r="AT769" s="13" t="s">
        <v>19126</v>
      </c>
      <c r="AU769" s="13">
        <v>2018.0</v>
      </c>
      <c r="AV769" s="13" t="s">
        <v>5510</v>
      </c>
      <c r="AW769" s="13">
        <v>746.0</v>
      </c>
      <c r="AX769" s="13" t="s">
        <v>5510</v>
      </c>
      <c r="AY769" s="13" t="s">
        <v>5510</v>
      </c>
      <c r="AZ769" s="13" t="s">
        <v>5510</v>
      </c>
      <c r="BA769" s="13" t="s">
        <v>5510</v>
      </c>
      <c r="BB769" s="13">
        <v>1.0</v>
      </c>
      <c r="BC769" s="13">
        <v>23.0</v>
      </c>
      <c r="BD769" s="13" t="s">
        <v>5510</v>
      </c>
      <c r="BE769" s="13" t="s">
        <v>19127</v>
      </c>
      <c r="BF769" s="52" t="str">
        <f>HYPERLINK("http://dx.doi.org/10.3897/zookeys.746.15140","http://dx.doi.org/10.3897/zookeys.746.15140")</f>
        <v>http://dx.doi.org/10.3897/zookeys.746.15140</v>
      </c>
      <c r="BG769" s="13" t="s">
        <v>5510</v>
      </c>
      <c r="BH769" s="13" t="s">
        <v>5510</v>
      </c>
      <c r="BI769" s="13">
        <v>23.0</v>
      </c>
      <c r="BJ769" s="13" t="s">
        <v>6899</v>
      </c>
      <c r="BK769" s="13" t="s">
        <v>5561</v>
      </c>
      <c r="BL769" s="13" t="s">
        <v>6899</v>
      </c>
      <c r="BM769" s="13" t="s">
        <v>19128</v>
      </c>
      <c r="BN769" s="13">
        <v>2.9674894E7</v>
      </c>
      <c r="BO769" s="13" t="s">
        <v>5564</v>
      </c>
      <c r="BP769" s="13" t="s">
        <v>5510</v>
      </c>
      <c r="BQ769" s="13" t="s">
        <v>5510</v>
      </c>
      <c r="BR769" s="13" t="s">
        <v>5538</v>
      </c>
      <c r="BS769" s="13" t="s">
        <v>19129</v>
      </c>
      <c r="BT769" s="13">
        <v>23978.0</v>
      </c>
      <c r="BU769" s="13" t="s">
        <v>5540</v>
      </c>
      <c r="BV769" s="13" t="s">
        <v>4856</v>
      </c>
      <c r="BW769" s="13" t="str">
        <f>VLOOKUP($BT769,Enriched!$A$2:$E$1070,5,false)</f>
        <v>["Agriculture &amp; Aquaculture", "Energy Production &amp; Mining", "Natural System Modifications", "Pollution", "Transportation &amp; Service Corridors", "Human Intrusions &amp; Disturbance"]</v>
      </c>
      <c r="BX769" s="13" t="str">
        <f>VLOOKUP($BT769,Enriched!$A$2:$E$1070,4,false)</f>
        <v>["Annual &amp; perennial non-timber crops", "Livestock farming &amp; ranching", "Mining &amp; quarrying", "Dams &amp; water management/use", "Roads &amp; railroads", "Renewable energy", "Agricultural &amp; forestry effluents", "Recreational activities"]</v>
      </c>
      <c r="BY769" s="13" t="b">
        <f>VLOOKUP(BT769,Enriched!$A$1:$AA$1070,27,falsE)</f>
        <v>1</v>
      </c>
      <c r="BZ769" s="2" t="str">
        <f>VLOOKUP(BT769,Enriched!$A$1:$AA$1070,14,falsE)</f>
        <v>level2</v>
      </c>
      <c r="CA769" s="13" t="str">
        <f>HYPERLINK("https%3A%2F%2Fwww.webofscience.com%2Fwos%2Fwoscc%2Ffull-record%2FWOS:000428391200001","View Full Record in Web of Science")</f>
        <v>View Full Record in Web of Science</v>
      </c>
    </row>
    <row r="770" ht="12.75" customHeight="1">
      <c r="A770" s="13" t="s">
        <v>5508</v>
      </c>
      <c r="B770" s="13" t="s">
        <v>19130</v>
      </c>
      <c r="C770" s="13" t="s">
        <v>5510</v>
      </c>
      <c r="D770" s="13" t="s">
        <v>5510</v>
      </c>
      <c r="E770" s="13" t="s">
        <v>5510</v>
      </c>
      <c r="F770" s="13" t="s">
        <v>19131</v>
      </c>
      <c r="G770" s="13" t="s">
        <v>5510</v>
      </c>
      <c r="H770" s="13" t="s">
        <v>5510</v>
      </c>
      <c r="I770" s="13" t="s">
        <v>621</v>
      </c>
      <c r="J770" s="13" t="s">
        <v>5543</v>
      </c>
      <c r="K770" s="13" t="s">
        <v>5510</v>
      </c>
      <c r="L770" s="13" t="s">
        <v>5510</v>
      </c>
      <c r="M770" s="13" t="s">
        <v>5513</v>
      </c>
      <c r="N770" s="13" t="s">
        <v>5514</v>
      </c>
      <c r="O770" s="13" t="s">
        <v>5510</v>
      </c>
      <c r="P770" s="13" t="s">
        <v>5510</v>
      </c>
      <c r="Q770" s="13" t="s">
        <v>5510</v>
      </c>
      <c r="R770" s="13" t="s">
        <v>5510</v>
      </c>
      <c r="S770" s="13" t="s">
        <v>5510</v>
      </c>
      <c r="T770" s="13" t="s">
        <v>5510</v>
      </c>
      <c r="U770" s="13" t="s">
        <v>19132</v>
      </c>
      <c r="V770" s="13" t="s">
        <v>19133</v>
      </c>
      <c r="W770" s="13" t="s">
        <v>19134</v>
      </c>
      <c r="X770" s="13" t="s">
        <v>19135</v>
      </c>
      <c r="Y770" s="13" t="s">
        <v>19136</v>
      </c>
      <c r="Z770" s="13" t="s">
        <v>19137</v>
      </c>
      <c r="AA770" s="13" t="s">
        <v>19138</v>
      </c>
      <c r="AB770" s="13" t="s">
        <v>19139</v>
      </c>
      <c r="AC770" s="13" t="s">
        <v>19140</v>
      </c>
      <c r="AD770" s="13" t="s">
        <v>19141</v>
      </c>
      <c r="AE770" s="13" t="s">
        <v>19142</v>
      </c>
      <c r="AF770" s="13" t="s">
        <v>5510</v>
      </c>
      <c r="AG770" s="13">
        <v>46.0</v>
      </c>
      <c r="AH770" s="13">
        <v>16.0</v>
      </c>
      <c r="AI770" s="13">
        <v>17.0</v>
      </c>
      <c r="AJ770" s="13">
        <v>1.0</v>
      </c>
      <c r="AK770" s="13">
        <v>18.0</v>
      </c>
      <c r="AL770" s="13" t="s">
        <v>5552</v>
      </c>
      <c r="AM770" s="13" t="s">
        <v>5553</v>
      </c>
      <c r="AN770" s="13" t="s">
        <v>5554</v>
      </c>
      <c r="AO770" s="13" t="s">
        <v>5510</v>
      </c>
      <c r="AP770" s="13" t="s">
        <v>5555</v>
      </c>
      <c r="AQ770" s="13" t="s">
        <v>5510</v>
      </c>
      <c r="AR770" s="13" t="s">
        <v>5543</v>
      </c>
      <c r="AS770" s="13" t="s">
        <v>5556</v>
      </c>
      <c r="AT770" s="13" t="s">
        <v>14520</v>
      </c>
      <c r="AU770" s="13">
        <v>2019.0</v>
      </c>
      <c r="AV770" s="13">
        <v>14.0</v>
      </c>
      <c r="AW770" s="13">
        <v>12.0</v>
      </c>
      <c r="AX770" s="13" t="s">
        <v>5510</v>
      </c>
      <c r="AY770" s="13" t="s">
        <v>5510</v>
      </c>
      <c r="AZ770" s="13" t="s">
        <v>5510</v>
      </c>
      <c r="BA770" s="13" t="s">
        <v>5510</v>
      </c>
      <c r="BB770" s="13" t="s">
        <v>5510</v>
      </c>
      <c r="BC770" s="13" t="s">
        <v>5510</v>
      </c>
      <c r="BD770" s="13" t="s">
        <v>19143</v>
      </c>
      <c r="BE770" s="13" t="s">
        <v>19144</v>
      </c>
      <c r="BF770" s="52" t="str">
        <f>HYPERLINK("http://dx.doi.org/10.1371/journal.pone.0216023","http://dx.doi.org/10.1371/journal.pone.0216023")</f>
        <v>http://dx.doi.org/10.1371/journal.pone.0216023</v>
      </c>
      <c r="BG770" s="13" t="s">
        <v>5510</v>
      </c>
      <c r="BH770" s="13" t="s">
        <v>5510</v>
      </c>
      <c r="BI770" s="13">
        <v>19.0</v>
      </c>
      <c r="BJ770" s="13" t="s">
        <v>5560</v>
      </c>
      <c r="BK770" s="13" t="s">
        <v>5561</v>
      </c>
      <c r="BL770" s="13" t="s">
        <v>5562</v>
      </c>
      <c r="BM770" s="13" t="s">
        <v>19145</v>
      </c>
      <c r="BN770" s="13">
        <v>3.1800581E7</v>
      </c>
      <c r="BO770" s="13" t="s">
        <v>5564</v>
      </c>
      <c r="BP770" s="13" t="s">
        <v>5510</v>
      </c>
      <c r="BQ770" s="13" t="s">
        <v>5510</v>
      </c>
      <c r="BR770" s="13" t="s">
        <v>5538</v>
      </c>
      <c r="BS770" s="13" t="s">
        <v>19146</v>
      </c>
      <c r="BT770" s="13">
        <v>25884.0</v>
      </c>
      <c r="BU770" s="13" t="s">
        <v>5540</v>
      </c>
      <c r="BV770" s="13" t="s">
        <v>4864</v>
      </c>
      <c r="BW770" s="13" t="str">
        <f>VLOOKUP($BT770,Enriched!$A$2:$E$1070,5,false)</f>
        <v>["Biological resource use"]</v>
      </c>
      <c r="BX770" s="13" t="str">
        <f>VLOOKUP($BT770,Enriched!$A$2:$E$1070,4,false)</f>
        <v>["Fishing &amp; harvesting aquatic resources"]</v>
      </c>
      <c r="BY770" s="13" t="b">
        <f>VLOOKUP(BT770,Enriched!$A$1:$AA$1070,27,falsE)</f>
        <v>0</v>
      </c>
      <c r="BZ770" s="2" t="str">
        <f>VLOOKUP(BT770,Enriched!$A$1:$AA$1070,14,falsE)</f>
        <v>level2</v>
      </c>
      <c r="CA770" s="13" t="str">
        <f>HYPERLINK("https%3A%2F%2Fwww.webofscience.com%2Fwos%2Fwoscc%2Ffull-record%2FWOS:000533987600003","View Full Record in Web of Science")</f>
        <v>View Full Record in Web of Science</v>
      </c>
    </row>
    <row r="771" ht="12.75" customHeight="1">
      <c r="A771" s="13" t="s">
        <v>5508</v>
      </c>
      <c r="B771" s="13" t="s">
        <v>19147</v>
      </c>
      <c r="C771" s="13" t="s">
        <v>5510</v>
      </c>
      <c r="D771" s="13" t="s">
        <v>5510</v>
      </c>
      <c r="E771" s="13" t="s">
        <v>5510</v>
      </c>
      <c r="F771" s="13" t="s">
        <v>19148</v>
      </c>
      <c r="G771" s="13" t="s">
        <v>5510</v>
      </c>
      <c r="H771" s="13" t="s">
        <v>5510</v>
      </c>
      <c r="I771" s="13" t="s">
        <v>19149</v>
      </c>
      <c r="J771" s="13" t="s">
        <v>19150</v>
      </c>
      <c r="K771" s="13" t="s">
        <v>5510</v>
      </c>
      <c r="L771" s="13" t="s">
        <v>5510</v>
      </c>
      <c r="M771" s="13" t="s">
        <v>5513</v>
      </c>
      <c r="N771" s="13" t="s">
        <v>5514</v>
      </c>
      <c r="O771" s="13" t="s">
        <v>5510</v>
      </c>
      <c r="P771" s="13" t="s">
        <v>5510</v>
      </c>
      <c r="Q771" s="13" t="s">
        <v>5510</v>
      </c>
      <c r="R771" s="13" t="s">
        <v>5510</v>
      </c>
      <c r="S771" s="13" t="s">
        <v>5510</v>
      </c>
      <c r="T771" s="13" t="s">
        <v>19151</v>
      </c>
      <c r="U771" s="13" t="s">
        <v>19152</v>
      </c>
      <c r="V771" s="13" t="s">
        <v>19153</v>
      </c>
      <c r="W771" s="13" t="s">
        <v>19154</v>
      </c>
      <c r="X771" s="13" t="s">
        <v>19155</v>
      </c>
      <c r="Y771" s="13" t="s">
        <v>19156</v>
      </c>
      <c r="Z771" s="13" t="s">
        <v>19157</v>
      </c>
      <c r="AA771" s="13" t="s">
        <v>19158</v>
      </c>
      <c r="AB771" s="13" t="s">
        <v>19159</v>
      </c>
      <c r="AC771" s="13" t="s">
        <v>19160</v>
      </c>
      <c r="AD771" s="13" t="s">
        <v>19161</v>
      </c>
      <c r="AE771" s="13" t="s">
        <v>19162</v>
      </c>
      <c r="AF771" s="13" t="s">
        <v>5510</v>
      </c>
      <c r="AG771" s="13">
        <v>48.0</v>
      </c>
      <c r="AH771" s="13">
        <v>3.0</v>
      </c>
      <c r="AI771" s="13">
        <v>4.0</v>
      </c>
      <c r="AJ771" s="13">
        <v>2.0</v>
      </c>
      <c r="AK771" s="13">
        <v>48.0</v>
      </c>
      <c r="AL771" s="13" t="s">
        <v>19163</v>
      </c>
      <c r="AM771" s="13" t="s">
        <v>17051</v>
      </c>
      <c r="AN771" s="13" t="s">
        <v>19164</v>
      </c>
      <c r="AO771" s="13" t="s">
        <v>19165</v>
      </c>
      <c r="AP771" s="13" t="s">
        <v>5510</v>
      </c>
      <c r="AQ771" s="13" t="s">
        <v>5510</v>
      </c>
      <c r="AR771" s="13" t="s">
        <v>19166</v>
      </c>
      <c r="AS771" s="13" t="s">
        <v>19167</v>
      </c>
      <c r="AT771" s="13" t="s">
        <v>5582</v>
      </c>
      <c r="AU771" s="13">
        <v>2020.0</v>
      </c>
      <c r="AV771" s="13">
        <v>18.0</v>
      </c>
      <c r="AW771" s="13">
        <v>2.0</v>
      </c>
      <c r="AX771" s="13" t="s">
        <v>5510</v>
      </c>
      <c r="AY771" s="13" t="s">
        <v>5510</v>
      </c>
      <c r="AZ771" s="13" t="s">
        <v>5510</v>
      </c>
      <c r="BA771" s="13" t="s">
        <v>5510</v>
      </c>
      <c r="BB771" s="13">
        <v>135.0</v>
      </c>
      <c r="BC771" s="13">
        <v>147.0</v>
      </c>
      <c r="BD771" s="13" t="s">
        <v>5510</v>
      </c>
      <c r="BE771" s="13" t="s">
        <v>19168</v>
      </c>
      <c r="BF771" s="52" t="str">
        <f>HYPERLINK("http://dx.doi.org/10.2326/osj.18.147","http://dx.doi.org/10.2326/osj.18.147")</f>
        <v>http://dx.doi.org/10.2326/osj.18.147</v>
      </c>
      <c r="BG771" s="13" t="s">
        <v>5510</v>
      </c>
      <c r="BH771" s="13" t="s">
        <v>5510</v>
      </c>
      <c r="BI771" s="13">
        <v>13.0</v>
      </c>
      <c r="BJ771" s="13" t="s">
        <v>7513</v>
      </c>
      <c r="BK771" s="13" t="s">
        <v>5561</v>
      </c>
      <c r="BL771" s="13" t="s">
        <v>6899</v>
      </c>
      <c r="BM771" s="13" t="s">
        <v>19169</v>
      </c>
      <c r="BN771" s="13" t="s">
        <v>5510</v>
      </c>
      <c r="BO771" s="13" t="s">
        <v>5537</v>
      </c>
      <c r="BP771" s="13" t="s">
        <v>5510</v>
      </c>
      <c r="BQ771" s="13" t="s">
        <v>5510</v>
      </c>
      <c r="BR771" s="13" t="s">
        <v>5538</v>
      </c>
      <c r="BS771" s="13" t="s">
        <v>19170</v>
      </c>
      <c r="BT771" s="13">
        <v>24567.0</v>
      </c>
      <c r="BU771" s="13" t="s">
        <v>5540</v>
      </c>
      <c r="BV771" s="13" t="s">
        <v>4856</v>
      </c>
      <c r="BW771" s="13" t="str">
        <f>VLOOKUP($BT771,Enriched!$A$2:$E$1070,5,false)</f>
        <v>["Residential &amp; Commercial Development", "Agriculture &amp; Aquaculture"]</v>
      </c>
      <c r="BX771" s="13" t="str">
        <f>VLOOKUP($BT771,Enriched!$A$2:$E$1070,4,false)</f>
        <v>["Annual &amp; perennial non-timber crops", "Wood &amp; pulp plantations"]</v>
      </c>
      <c r="BY771" s="13" t="b">
        <f>VLOOKUP(BT771,Enriched!$A$1:$AA$1070,27,falsE)</f>
        <v>1</v>
      </c>
      <c r="BZ771" s="2" t="str">
        <f>VLOOKUP(BT771,Enriched!$A$1:$AA$1070,14,falsE)</f>
        <v>level2</v>
      </c>
      <c r="CA771" s="13" t="str">
        <f>HYPERLINK("https%3A%2F%2Fwww.webofscience.com%2Fwos%2Fwoscc%2Ffull-record%2FWOS:000509693500003","View Full Record in Web of Science")</f>
        <v>View Full Record in Web of Science</v>
      </c>
    </row>
    <row r="772" ht="12.75" customHeight="1">
      <c r="A772" s="13" t="s">
        <v>5508</v>
      </c>
      <c r="B772" s="13" t="s">
        <v>19171</v>
      </c>
      <c r="C772" s="13" t="s">
        <v>5510</v>
      </c>
      <c r="D772" s="13" t="s">
        <v>5510</v>
      </c>
      <c r="E772" s="13" t="s">
        <v>5510</v>
      </c>
      <c r="F772" s="13" t="s">
        <v>19172</v>
      </c>
      <c r="G772" s="13" t="s">
        <v>5510</v>
      </c>
      <c r="H772" s="13" t="s">
        <v>5510</v>
      </c>
      <c r="I772" s="13" t="s">
        <v>614</v>
      </c>
      <c r="J772" s="13" t="s">
        <v>5677</v>
      </c>
      <c r="K772" s="13" t="s">
        <v>5510</v>
      </c>
      <c r="L772" s="13" t="s">
        <v>5510</v>
      </c>
      <c r="M772" s="13" t="s">
        <v>5513</v>
      </c>
      <c r="N772" s="13" t="s">
        <v>5514</v>
      </c>
      <c r="O772" s="13" t="s">
        <v>5510</v>
      </c>
      <c r="P772" s="13" t="s">
        <v>5510</v>
      </c>
      <c r="Q772" s="13" t="s">
        <v>5510</v>
      </c>
      <c r="R772" s="13" t="s">
        <v>5510</v>
      </c>
      <c r="S772" s="13" t="s">
        <v>5510</v>
      </c>
      <c r="T772" s="13" t="s">
        <v>19173</v>
      </c>
      <c r="U772" s="13" t="s">
        <v>19174</v>
      </c>
      <c r="V772" s="13" t="s">
        <v>19175</v>
      </c>
      <c r="W772" s="13" t="s">
        <v>19176</v>
      </c>
      <c r="X772" s="13" t="s">
        <v>19177</v>
      </c>
      <c r="Y772" s="13" t="s">
        <v>19178</v>
      </c>
      <c r="Z772" s="13" t="s">
        <v>19179</v>
      </c>
      <c r="AA772" s="13" t="s">
        <v>19180</v>
      </c>
      <c r="AB772" s="13" t="s">
        <v>19181</v>
      </c>
      <c r="AC772" s="13" t="s">
        <v>19182</v>
      </c>
      <c r="AD772" s="13" t="s">
        <v>19182</v>
      </c>
      <c r="AE772" s="13" t="s">
        <v>19183</v>
      </c>
      <c r="AF772" s="13" t="s">
        <v>5510</v>
      </c>
      <c r="AG772" s="13">
        <v>80.0</v>
      </c>
      <c r="AH772" s="13">
        <v>3.0</v>
      </c>
      <c r="AI772" s="13">
        <v>4.0</v>
      </c>
      <c r="AJ772" s="13">
        <v>2.0</v>
      </c>
      <c r="AK772" s="13">
        <v>25.0</v>
      </c>
      <c r="AL772" s="13" t="s">
        <v>5690</v>
      </c>
      <c r="AM772" s="13" t="s">
        <v>5691</v>
      </c>
      <c r="AN772" s="13" t="s">
        <v>5692</v>
      </c>
      <c r="AO772" s="13" t="s">
        <v>5693</v>
      </c>
      <c r="AP772" s="13" t="s">
        <v>5694</v>
      </c>
      <c r="AQ772" s="13" t="s">
        <v>5510</v>
      </c>
      <c r="AR772" s="13" t="s">
        <v>5695</v>
      </c>
      <c r="AS772" s="13" t="s">
        <v>5696</v>
      </c>
      <c r="AT772" s="13" t="s">
        <v>5667</v>
      </c>
      <c r="AU772" s="13">
        <v>2018.0</v>
      </c>
      <c r="AV772" s="13">
        <v>27.0</v>
      </c>
      <c r="AW772" s="13">
        <v>8.0</v>
      </c>
      <c r="AX772" s="13" t="s">
        <v>5510</v>
      </c>
      <c r="AY772" s="13" t="s">
        <v>5510</v>
      </c>
      <c r="AZ772" s="13" t="s">
        <v>5510</v>
      </c>
      <c r="BA772" s="13" t="s">
        <v>5510</v>
      </c>
      <c r="BB772" s="13">
        <v>2051.0</v>
      </c>
      <c r="BC772" s="13">
        <v>2068.0</v>
      </c>
      <c r="BD772" s="13" t="s">
        <v>5510</v>
      </c>
      <c r="BE772" s="13" t="s">
        <v>19184</v>
      </c>
      <c r="BF772" s="52" t="str">
        <f>HYPERLINK("http://dx.doi.org/10.1007/s10531-018-1524-z","http://dx.doi.org/10.1007/s10531-018-1524-z")</f>
        <v>http://dx.doi.org/10.1007/s10531-018-1524-z</v>
      </c>
      <c r="BG772" s="13" t="s">
        <v>5510</v>
      </c>
      <c r="BH772" s="13" t="s">
        <v>5510</v>
      </c>
      <c r="BI772" s="13">
        <v>18.0</v>
      </c>
      <c r="BJ772" s="13" t="s">
        <v>5698</v>
      </c>
      <c r="BK772" s="13" t="s">
        <v>5534</v>
      </c>
      <c r="BL772" s="13" t="s">
        <v>5699</v>
      </c>
      <c r="BM772" s="13" t="s">
        <v>7115</v>
      </c>
      <c r="BN772" s="13" t="s">
        <v>5510</v>
      </c>
      <c r="BO772" s="13" t="s">
        <v>5510</v>
      </c>
      <c r="BP772" s="13" t="s">
        <v>5510</v>
      </c>
      <c r="BQ772" s="13" t="s">
        <v>5510</v>
      </c>
      <c r="BR772" s="13" t="s">
        <v>5538</v>
      </c>
      <c r="BS772" s="13" t="s">
        <v>19185</v>
      </c>
      <c r="BT772" s="13">
        <v>24900.0</v>
      </c>
      <c r="BU772" s="13" t="s">
        <v>5540</v>
      </c>
      <c r="BV772" s="13" t="s">
        <v>4856</v>
      </c>
      <c r="BW772" s="13" t="str">
        <f>VLOOKUP($BT772,Enriched!$A$2:$E$1070,5,false)</f>
        <v>["Agriculture &amp; Aquaculture"]</v>
      </c>
      <c r="BX772" s="13" t="str">
        <f>VLOOKUP($BT772,Enriched!$A$2:$E$1070,4,false)</f>
        <v/>
      </c>
      <c r="BY772" s="13" t="b">
        <f>VLOOKUP(BT772,Enriched!$A$1:$AA$1070,27,falsE)</f>
        <v>1</v>
      </c>
      <c r="BZ772" s="2" t="str">
        <f>VLOOKUP(BT772,Enriched!$A$1:$AA$1070,14,falsE)</f>
        <v>level1</v>
      </c>
      <c r="CA772" s="13" t="str">
        <f>HYPERLINK("https%3A%2F%2Fwww.webofscience.com%2Fwos%2Fwoscc%2Ffull-record%2FWOS:000434255200015","View Full Record in Web of Science")</f>
        <v>View Full Record in Web of Science</v>
      </c>
    </row>
    <row r="773" ht="12.75" customHeight="1">
      <c r="A773" s="13" t="s">
        <v>5508</v>
      </c>
      <c r="B773" s="13" t="s">
        <v>19186</v>
      </c>
      <c r="C773" s="13" t="s">
        <v>5510</v>
      </c>
      <c r="D773" s="13" t="s">
        <v>5510</v>
      </c>
      <c r="E773" s="13" t="s">
        <v>5510</v>
      </c>
      <c r="F773" s="13" t="s">
        <v>19187</v>
      </c>
      <c r="G773" s="13" t="s">
        <v>5510</v>
      </c>
      <c r="H773" s="13" t="s">
        <v>5510</v>
      </c>
      <c r="I773" s="13" t="s">
        <v>611</v>
      </c>
      <c r="J773" s="13" t="s">
        <v>6627</v>
      </c>
      <c r="K773" s="13" t="s">
        <v>5510</v>
      </c>
      <c r="L773" s="13" t="s">
        <v>5510</v>
      </c>
      <c r="M773" s="13" t="s">
        <v>5513</v>
      </c>
      <c r="N773" s="13" t="s">
        <v>5514</v>
      </c>
      <c r="O773" s="13" t="s">
        <v>5510</v>
      </c>
      <c r="P773" s="13" t="s">
        <v>5510</v>
      </c>
      <c r="Q773" s="13" t="s">
        <v>5510</v>
      </c>
      <c r="R773" s="13" t="s">
        <v>5510</v>
      </c>
      <c r="S773" s="13" t="s">
        <v>5510</v>
      </c>
      <c r="T773" s="13" t="s">
        <v>19188</v>
      </c>
      <c r="U773" s="13" t="s">
        <v>19189</v>
      </c>
      <c r="V773" s="13" t="s">
        <v>19190</v>
      </c>
      <c r="W773" s="13" t="s">
        <v>19191</v>
      </c>
      <c r="X773" s="13" t="s">
        <v>19192</v>
      </c>
      <c r="Y773" s="13" t="s">
        <v>19193</v>
      </c>
      <c r="Z773" s="13" t="s">
        <v>19194</v>
      </c>
      <c r="AA773" s="13" t="s">
        <v>19195</v>
      </c>
      <c r="AB773" s="13" t="s">
        <v>19196</v>
      </c>
      <c r="AC773" s="13" t="s">
        <v>19197</v>
      </c>
      <c r="AD773" s="13" t="s">
        <v>19198</v>
      </c>
      <c r="AE773" s="13" t="s">
        <v>19199</v>
      </c>
      <c r="AF773" s="13" t="s">
        <v>5510</v>
      </c>
      <c r="AG773" s="13">
        <v>35.0</v>
      </c>
      <c r="AH773" s="13">
        <v>39.0</v>
      </c>
      <c r="AI773" s="13">
        <v>43.0</v>
      </c>
      <c r="AJ773" s="13">
        <v>3.0</v>
      </c>
      <c r="AK773" s="13">
        <v>20.0</v>
      </c>
      <c r="AL773" s="13" t="s">
        <v>5527</v>
      </c>
      <c r="AM773" s="13" t="s">
        <v>5528</v>
      </c>
      <c r="AN773" s="13" t="s">
        <v>5529</v>
      </c>
      <c r="AO773" s="13" t="s">
        <v>6640</v>
      </c>
      <c r="AP773" s="13" t="s">
        <v>6641</v>
      </c>
      <c r="AQ773" s="13" t="s">
        <v>5510</v>
      </c>
      <c r="AR773" s="13" t="s">
        <v>6642</v>
      </c>
      <c r="AS773" s="13" t="s">
        <v>6643</v>
      </c>
      <c r="AT773" s="13" t="s">
        <v>5720</v>
      </c>
      <c r="AU773" s="13">
        <v>2019.0</v>
      </c>
      <c r="AV773" s="13">
        <v>25.0</v>
      </c>
      <c r="AW773" s="13">
        <v>6.0</v>
      </c>
      <c r="AX773" s="13" t="s">
        <v>5510</v>
      </c>
      <c r="AY773" s="13" t="s">
        <v>5510</v>
      </c>
      <c r="AZ773" s="13" t="s">
        <v>5510</v>
      </c>
      <c r="BA773" s="13" t="s">
        <v>5510</v>
      </c>
      <c r="BB773" s="13">
        <v>975.0</v>
      </c>
      <c r="BC773" s="13">
        <v>982.0</v>
      </c>
      <c r="BD773" s="13" t="s">
        <v>5510</v>
      </c>
      <c r="BE773" s="13" t="s">
        <v>19200</v>
      </c>
      <c r="BF773" s="52" t="str">
        <f>HYPERLINK("http://dx.doi.org/10.1111/ddi.12903","http://dx.doi.org/10.1111/ddi.12903")</f>
        <v>http://dx.doi.org/10.1111/ddi.12903</v>
      </c>
      <c r="BG773" s="13" t="s">
        <v>5510</v>
      </c>
      <c r="BH773" s="13" t="s">
        <v>5510</v>
      </c>
      <c r="BI773" s="13">
        <v>8.0</v>
      </c>
      <c r="BJ773" s="13" t="s">
        <v>5958</v>
      </c>
      <c r="BK773" s="13" t="s">
        <v>5561</v>
      </c>
      <c r="BL773" s="13" t="s">
        <v>5699</v>
      </c>
      <c r="BM773" s="13" t="s">
        <v>19201</v>
      </c>
      <c r="BN773" s="13" t="s">
        <v>5510</v>
      </c>
      <c r="BO773" s="13" t="s">
        <v>5537</v>
      </c>
      <c r="BP773" s="13" t="s">
        <v>5510</v>
      </c>
      <c r="BQ773" s="13" t="s">
        <v>5510</v>
      </c>
      <c r="BR773" s="13" t="s">
        <v>5538</v>
      </c>
      <c r="BS773" s="13" t="s">
        <v>19202</v>
      </c>
      <c r="BT773" s="13">
        <v>23649.0</v>
      </c>
      <c r="BU773" s="13" t="s">
        <v>5540</v>
      </c>
      <c r="BV773" s="13" t="s">
        <v>4856</v>
      </c>
      <c r="BW773" s="13" t="str">
        <f>VLOOKUP($BT773,Enriched!$A$2:$E$1070,5,false)</f>
        <v>["Transportation &amp; Service Corridors"]</v>
      </c>
      <c r="BX773" s="13" t="str">
        <f>VLOOKUP($BT773,Enriched!$A$2:$E$1070,4,false)</f>
        <v>["Utility &amp; service lines"]</v>
      </c>
      <c r="BY773" s="13" t="b">
        <f>VLOOKUP(BT773,Enriched!$A$1:$AA$1070,27,falsE)</f>
        <v>0</v>
      </c>
      <c r="BZ773" s="2" t="str">
        <f>VLOOKUP(BT773,Enriched!$A$1:$AA$1070,14,falsE)</f>
        <v>level2</v>
      </c>
      <c r="CA773" s="13" t="str">
        <f>HYPERLINK("https%3A%2F%2Fwww.webofscience.com%2Fwos%2Fwoscc%2Ffull-record%2FWOS:000468467600010","View Full Record in Web of Science")</f>
        <v>View Full Record in Web of Science</v>
      </c>
    </row>
    <row r="774" ht="12.75" customHeight="1">
      <c r="A774" s="13" t="s">
        <v>5508</v>
      </c>
      <c r="B774" s="13" t="s">
        <v>19203</v>
      </c>
      <c r="C774" s="13" t="s">
        <v>5510</v>
      </c>
      <c r="D774" s="13" t="s">
        <v>5510</v>
      </c>
      <c r="E774" s="13" t="s">
        <v>5510</v>
      </c>
      <c r="F774" s="13" t="s">
        <v>19203</v>
      </c>
      <c r="G774" s="13" t="s">
        <v>5510</v>
      </c>
      <c r="H774" s="13" t="s">
        <v>5510</v>
      </c>
      <c r="I774" s="13" t="s">
        <v>608</v>
      </c>
      <c r="J774" s="13" t="s">
        <v>9455</v>
      </c>
      <c r="K774" s="13" t="s">
        <v>5510</v>
      </c>
      <c r="L774" s="13" t="s">
        <v>5510</v>
      </c>
      <c r="M774" s="13" t="s">
        <v>5513</v>
      </c>
      <c r="N774" s="13" t="s">
        <v>5626</v>
      </c>
      <c r="O774" s="13" t="s">
        <v>19204</v>
      </c>
      <c r="P774" s="13" t="s">
        <v>19205</v>
      </c>
      <c r="Q774" s="13" t="s">
        <v>19206</v>
      </c>
      <c r="R774" s="13" t="s">
        <v>5510</v>
      </c>
      <c r="S774" s="13" t="s">
        <v>19207</v>
      </c>
      <c r="T774" s="13" t="s">
        <v>19208</v>
      </c>
      <c r="U774" s="13" t="s">
        <v>19209</v>
      </c>
      <c r="V774" s="13" t="s">
        <v>19210</v>
      </c>
      <c r="W774" s="13" t="s">
        <v>19211</v>
      </c>
      <c r="X774" s="13" t="s">
        <v>19212</v>
      </c>
      <c r="Y774" s="13" t="s">
        <v>19213</v>
      </c>
      <c r="Z774" s="13" t="s">
        <v>19214</v>
      </c>
      <c r="AA774" s="13" t="s">
        <v>5510</v>
      </c>
      <c r="AB774" s="13" t="s">
        <v>5510</v>
      </c>
      <c r="AC774" s="13" t="s">
        <v>5510</v>
      </c>
      <c r="AD774" s="13" t="s">
        <v>5510</v>
      </c>
      <c r="AE774" s="13" t="s">
        <v>5510</v>
      </c>
      <c r="AF774" s="13" t="s">
        <v>5510</v>
      </c>
      <c r="AG774" s="13">
        <v>63.0</v>
      </c>
      <c r="AH774" s="13">
        <v>68.0</v>
      </c>
      <c r="AI774" s="13">
        <v>84.0</v>
      </c>
      <c r="AJ774" s="13">
        <v>1.0</v>
      </c>
      <c r="AK774" s="13">
        <v>70.0</v>
      </c>
      <c r="AL774" s="13" t="s">
        <v>5759</v>
      </c>
      <c r="AM774" s="13" t="s">
        <v>5760</v>
      </c>
      <c r="AN774" s="13" t="s">
        <v>5761</v>
      </c>
      <c r="AO774" s="13" t="s">
        <v>9464</v>
      </c>
      <c r="AP774" s="13" t="s">
        <v>9465</v>
      </c>
      <c r="AQ774" s="13" t="s">
        <v>5510</v>
      </c>
      <c r="AR774" s="13" t="s">
        <v>9466</v>
      </c>
      <c r="AS774" s="13" t="s">
        <v>9467</v>
      </c>
      <c r="AT774" s="13" t="s">
        <v>13204</v>
      </c>
      <c r="AU774" s="13">
        <v>2004.0</v>
      </c>
      <c r="AV774" s="13">
        <v>68.0</v>
      </c>
      <c r="AW774" s="13">
        <v>4.0</v>
      </c>
      <c r="AX774" s="13" t="s">
        <v>5510</v>
      </c>
      <c r="AY774" s="13" t="s">
        <v>5510</v>
      </c>
      <c r="AZ774" s="13" t="s">
        <v>5510</v>
      </c>
      <c r="BA774" s="13" t="s">
        <v>5510</v>
      </c>
      <c r="BB774" s="13">
        <v>403.0</v>
      </c>
      <c r="BC774" s="13">
        <v>427.0</v>
      </c>
      <c r="BD774" s="13" t="s">
        <v>5510</v>
      </c>
      <c r="BE774" s="13" t="s">
        <v>19215</v>
      </c>
      <c r="BF774" s="52" t="str">
        <f>HYPERLINK("http://dx.doi.org/10.1016/S0169-2046(03)00154-3","http://dx.doi.org/10.1016/S0169-2046(03)00154-3")</f>
        <v>http://dx.doi.org/10.1016/S0169-2046(03)00154-3</v>
      </c>
      <c r="BG774" s="13" t="s">
        <v>5510</v>
      </c>
      <c r="BH774" s="13" t="s">
        <v>5510</v>
      </c>
      <c r="BI774" s="13">
        <v>25.0</v>
      </c>
      <c r="BJ774" s="13" t="s">
        <v>9469</v>
      </c>
      <c r="BK774" s="13" t="s">
        <v>19216</v>
      </c>
      <c r="BL774" s="13" t="s">
        <v>9470</v>
      </c>
      <c r="BM774" s="13" t="s">
        <v>19217</v>
      </c>
      <c r="BN774" s="13" t="s">
        <v>5510</v>
      </c>
      <c r="BO774" s="13" t="s">
        <v>5510</v>
      </c>
      <c r="BP774" s="13" t="s">
        <v>5510</v>
      </c>
      <c r="BQ774" s="13" t="s">
        <v>5510</v>
      </c>
      <c r="BR774" s="13" t="s">
        <v>5538</v>
      </c>
      <c r="BS774" s="13" t="s">
        <v>19218</v>
      </c>
      <c r="BT774" s="13">
        <v>24601.0</v>
      </c>
      <c r="BU774" s="13" t="s">
        <v>5540</v>
      </c>
      <c r="BV774" s="13" t="s">
        <v>4856</v>
      </c>
      <c r="BW774" s="13" t="str">
        <f>VLOOKUP($BT774,Enriched!$A$2:$E$1070,5,false)</f>
        <v>["Transportation &amp; Service Corridors"]</v>
      </c>
      <c r="BX774" s="13" t="str">
        <f>VLOOKUP($BT774,Enriched!$A$2:$E$1070,4,false)</f>
        <v>["Roads &amp; railroads"]</v>
      </c>
      <c r="BY774" s="13" t="b">
        <f>VLOOKUP(BT774,Enriched!$A$1:$AA$1070,27,falsE)</f>
        <v>0</v>
      </c>
      <c r="BZ774" s="2" t="str">
        <f>VLOOKUP(BT774,Enriched!$A$1:$AA$1070,14,falsE)</f>
        <v>level2</v>
      </c>
      <c r="CA774" s="13" t="str">
        <f>HYPERLINK("https%3A%2F%2Fwww.webofscience.com%2Fwos%2Fwoscc%2Ffull-record%2FWOS:000221156900006","View Full Record in Web of Science")</f>
        <v>View Full Record in Web of Science</v>
      </c>
    </row>
    <row r="775" ht="12.75" customHeight="1">
      <c r="A775" s="13" t="s">
        <v>5508</v>
      </c>
      <c r="B775" s="13" t="s">
        <v>19219</v>
      </c>
      <c r="C775" s="13" t="s">
        <v>5510</v>
      </c>
      <c r="D775" s="13" t="s">
        <v>5510</v>
      </c>
      <c r="E775" s="13" t="s">
        <v>5510</v>
      </c>
      <c r="F775" s="13" t="s">
        <v>19220</v>
      </c>
      <c r="G775" s="13" t="s">
        <v>5510</v>
      </c>
      <c r="H775" s="13" t="s">
        <v>5510</v>
      </c>
      <c r="I775" s="13" t="s">
        <v>604</v>
      </c>
      <c r="J775" s="13" t="s">
        <v>6922</v>
      </c>
      <c r="K775" s="13" t="s">
        <v>5510</v>
      </c>
      <c r="L775" s="13" t="s">
        <v>5510</v>
      </c>
      <c r="M775" s="13" t="s">
        <v>5513</v>
      </c>
      <c r="N775" s="13" t="s">
        <v>5514</v>
      </c>
      <c r="O775" s="13" t="s">
        <v>5510</v>
      </c>
      <c r="P775" s="13" t="s">
        <v>5510</v>
      </c>
      <c r="Q775" s="13" t="s">
        <v>5510</v>
      </c>
      <c r="R775" s="13" t="s">
        <v>5510</v>
      </c>
      <c r="S775" s="13" t="s">
        <v>5510</v>
      </c>
      <c r="T775" s="13" t="s">
        <v>19221</v>
      </c>
      <c r="U775" s="13" t="s">
        <v>19222</v>
      </c>
      <c r="V775" s="13" t="s">
        <v>19223</v>
      </c>
      <c r="W775" s="13" t="s">
        <v>19224</v>
      </c>
      <c r="X775" s="13" t="s">
        <v>19225</v>
      </c>
      <c r="Y775" s="13" t="s">
        <v>19226</v>
      </c>
      <c r="Z775" s="13" t="s">
        <v>19227</v>
      </c>
      <c r="AA775" s="13" t="s">
        <v>19228</v>
      </c>
      <c r="AB775" s="13" t="s">
        <v>19229</v>
      </c>
      <c r="AC775" s="13" t="s">
        <v>19230</v>
      </c>
      <c r="AD775" s="13" t="s">
        <v>19231</v>
      </c>
      <c r="AE775" s="13" t="s">
        <v>19232</v>
      </c>
      <c r="AF775" s="13" t="s">
        <v>5510</v>
      </c>
      <c r="AG775" s="13">
        <v>72.0</v>
      </c>
      <c r="AH775" s="13">
        <v>16.0</v>
      </c>
      <c r="AI775" s="13">
        <v>23.0</v>
      </c>
      <c r="AJ775" s="13">
        <v>1.0</v>
      </c>
      <c r="AK775" s="13">
        <v>41.0</v>
      </c>
      <c r="AL775" s="13" t="s">
        <v>7714</v>
      </c>
      <c r="AM775" s="13" t="s">
        <v>5760</v>
      </c>
      <c r="AN775" s="13" t="s">
        <v>7715</v>
      </c>
      <c r="AO775" s="13" t="s">
        <v>6934</v>
      </c>
      <c r="AP775" s="13" t="s">
        <v>6935</v>
      </c>
      <c r="AQ775" s="13" t="s">
        <v>5510</v>
      </c>
      <c r="AR775" s="13" t="s">
        <v>6936</v>
      </c>
      <c r="AS775" s="13" t="s">
        <v>6937</v>
      </c>
      <c r="AT775" s="13" t="s">
        <v>5978</v>
      </c>
      <c r="AU775" s="13">
        <v>2015.0</v>
      </c>
      <c r="AV775" s="13">
        <v>85.0</v>
      </c>
      <c r="AW775" s="13" t="s">
        <v>5510</v>
      </c>
      <c r="AX775" s="13" t="s">
        <v>5510</v>
      </c>
      <c r="AY775" s="13" t="s">
        <v>5510</v>
      </c>
      <c r="AZ775" s="13" t="s">
        <v>5510</v>
      </c>
      <c r="BA775" s="13" t="s">
        <v>5510</v>
      </c>
      <c r="BB775" s="13">
        <v>132.0</v>
      </c>
      <c r="BC775" s="13">
        <v>143.0</v>
      </c>
      <c r="BD775" s="13" t="s">
        <v>5510</v>
      </c>
      <c r="BE775" s="13" t="s">
        <v>19233</v>
      </c>
      <c r="BF775" s="52" t="str">
        <f>HYPERLINK("http://dx.doi.org/10.1016/j.ecoleng.2015.09.059","http://dx.doi.org/10.1016/j.ecoleng.2015.09.059")</f>
        <v>http://dx.doi.org/10.1016/j.ecoleng.2015.09.059</v>
      </c>
      <c r="BG775" s="13" t="s">
        <v>5510</v>
      </c>
      <c r="BH775" s="13" t="s">
        <v>5510</v>
      </c>
      <c r="BI775" s="13">
        <v>12.0</v>
      </c>
      <c r="BJ775" s="13" t="s">
        <v>6939</v>
      </c>
      <c r="BK775" s="13" t="s">
        <v>5561</v>
      </c>
      <c r="BL775" s="13" t="s">
        <v>6940</v>
      </c>
      <c r="BM775" s="13" t="s">
        <v>19234</v>
      </c>
      <c r="BN775" s="13" t="s">
        <v>5510</v>
      </c>
      <c r="BO775" s="13" t="s">
        <v>5510</v>
      </c>
      <c r="BP775" s="13" t="s">
        <v>5510</v>
      </c>
      <c r="BQ775" s="13" t="s">
        <v>5510</v>
      </c>
      <c r="BR775" s="13" t="s">
        <v>5538</v>
      </c>
      <c r="BS775" s="13" t="s">
        <v>19235</v>
      </c>
      <c r="BT775" s="13">
        <v>23743.0</v>
      </c>
      <c r="BU775" s="13" t="s">
        <v>5540</v>
      </c>
      <c r="BV775" s="13" t="s">
        <v>4856</v>
      </c>
      <c r="BW775" s="13" t="str">
        <f>VLOOKUP($BT775,Enriched!$A$2:$E$1070,5,false)</f>
        <v>["Residential &amp; Commercial Development", "Agriculture &amp; Aquaculture"]</v>
      </c>
      <c r="BX775" s="13" t="str">
        <f>VLOOKUP($BT775,Enriched!$A$2:$E$1070,4,false)</f>
        <v>["Annual &amp; perennial non-timber crops"]</v>
      </c>
      <c r="BY775" s="13" t="b">
        <f>VLOOKUP(BT775,Enriched!$A$1:$AA$1070,27,falsE)</f>
        <v>1</v>
      </c>
      <c r="BZ775" s="2" t="str">
        <f>VLOOKUP(BT775,Enriched!$A$1:$AA$1070,14,falsE)</f>
        <v>level1</v>
      </c>
      <c r="CA775" s="13" t="str">
        <f>HYPERLINK("https%3A%2F%2Fwww.webofscience.com%2Fwos%2Fwoscc%2Ffull-record%2FWOS:000365322700013","View Full Record in Web of Science")</f>
        <v>View Full Record in Web of Science</v>
      </c>
    </row>
    <row r="776" ht="12.75" customHeight="1">
      <c r="A776" s="13" t="s">
        <v>5508</v>
      </c>
      <c r="B776" s="13" t="s">
        <v>19236</v>
      </c>
      <c r="C776" s="13" t="s">
        <v>5510</v>
      </c>
      <c r="D776" s="13" t="s">
        <v>5510</v>
      </c>
      <c r="E776" s="13" t="s">
        <v>5510</v>
      </c>
      <c r="F776" s="13" t="s">
        <v>19237</v>
      </c>
      <c r="G776" s="13" t="s">
        <v>5510</v>
      </c>
      <c r="H776" s="13" t="s">
        <v>5510</v>
      </c>
      <c r="I776" s="2" t="s">
        <v>598</v>
      </c>
      <c r="J776" s="13" t="s">
        <v>6627</v>
      </c>
      <c r="K776" s="13" t="s">
        <v>5510</v>
      </c>
      <c r="L776" s="13" t="s">
        <v>5510</v>
      </c>
      <c r="M776" s="13" t="s">
        <v>5513</v>
      </c>
      <c r="N776" s="13" t="s">
        <v>5514</v>
      </c>
      <c r="O776" s="13" t="s">
        <v>5510</v>
      </c>
      <c r="P776" s="13" t="s">
        <v>5510</v>
      </c>
      <c r="Q776" s="13" t="s">
        <v>5510</v>
      </c>
      <c r="R776" s="13" t="s">
        <v>5510</v>
      </c>
      <c r="S776" s="13" t="s">
        <v>5510</v>
      </c>
      <c r="T776" s="13" t="s">
        <v>19238</v>
      </c>
      <c r="U776" s="13" t="s">
        <v>19239</v>
      </c>
      <c r="V776" s="13" t="s">
        <v>19240</v>
      </c>
      <c r="W776" s="13" t="s">
        <v>19241</v>
      </c>
      <c r="X776" s="13" t="s">
        <v>19242</v>
      </c>
      <c r="Y776" s="13" t="s">
        <v>19243</v>
      </c>
      <c r="Z776" s="13" t="s">
        <v>19244</v>
      </c>
      <c r="AA776" s="13" t="s">
        <v>5510</v>
      </c>
      <c r="AB776" s="13" t="s">
        <v>19245</v>
      </c>
      <c r="AC776" s="13" t="s">
        <v>19246</v>
      </c>
      <c r="AD776" s="13" t="s">
        <v>19247</v>
      </c>
      <c r="AE776" s="13" t="s">
        <v>19248</v>
      </c>
      <c r="AF776" s="13" t="s">
        <v>5510</v>
      </c>
      <c r="AG776" s="13">
        <v>80.0</v>
      </c>
      <c r="AH776" s="13">
        <v>13.0</v>
      </c>
      <c r="AI776" s="13">
        <v>16.0</v>
      </c>
      <c r="AJ776" s="13">
        <v>1.0</v>
      </c>
      <c r="AK776" s="13">
        <v>20.0</v>
      </c>
      <c r="AL776" s="13" t="s">
        <v>5527</v>
      </c>
      <c r="AM776" s="13" t="s">
        <v>5528</v>
      </c>
      <c r="AN776" s="13" t="s">
        <v>5529</v>
      </c>
      <c r="AO776" s="13" t="s">
        <v>6640</v>
      </c>
      <c r="AP776" s="13" t="s">
        <v>6641</v>
      </c>
      <c r="AQ776" s="13" t="s">
        <v>5510</v>
      </c>
      <c r="AR776" s="13" t="s">
        <v>6642</v>
      </c>
      <c r="AS776" s="13" t="s">
        <v>6643</v>
      </c>
      <c r="AT776" s="13" t="s">
        <v>5582</v>
      </c>
      <c r="AU776" s="13">
        <v>2020.0</v>
      </c>
      <c r="AV776" s="13">
        <v>26.0</v>
      </c>
      <c r="AW776" s="13">
        <v>1.0</v>
      </c>
      <c r="AX776" s="13" t="s">
        <v>5510</v>
      </c>
      <c r="AY776" s="13" t="s">
        <v>5510</v>
      </c>
      <c r="AZ776" s="13" t="s">
        <v>5510</v>
      </c>
      <c r="BA776" s="13" t="s">
        <v>5510</v>
      </c>
      <c r="BB776" s="13">
        <v>108.0</v>
      </c>
      <c r="BC776" s="13">
        <v>125.0</v>
      </c>
      <c r="BD776" s="13" t="s">
        <v>5510</v>
      </c>
      <c r="BE776" s="13" t="s">
        <v>19249</v>
      </c>
      <c r="BF776" s="52" t="str">
        <f>HYPERLINK("http://dx.doi.org/10.1111/ddi.13001","http://dx.doi.org/10.1111/ddi.13001")</f>
        <v>http://dx.doi.org/10.1111/ddi.13001</v>
      </c>
      <c r="BG776" s="13" t="s">
        <v>5510</v>
      </c>
      <c r="BH776" s="13" t="s">
        <v>19250</v>
      </c>
      <c r="BI776" s="13">
        <v>18.0</v>
      </c>
      <c r="BJ776" s="13" t="s">
        <v>5958</v>
      </c>
      <c r="BK776" s="13" t="s">
        <v>5561</v>
      </c>
      <c r="BL776" s="13" t="s">
        <v>5699</v>
      </c>
      <c r="BM776" s="13" t="s">
        <v>19251</v>
      </c>
      <c r="BN776" s="13" t="s">
        <v>5510</v>
      </c>
      <c r="BO776" s="13" t="s">
        <v>5564</v>
      </c>
      <c r="BP776" s="13" t="s">
        <v>5510</v>
      </c>
      <c r="BQ776" s="13" t="s">
        <v>5510</v>
      </c>
      <c r="BR776" s="13" t="s">
        <v>5538</v>
      </c>
      <c r="BS776" s="13" t="s">
        <v>19252</v>
      </c>
      <c r="BT776" s="13">
        <v>25821.0</v>
      </c>
      <c r="BU776" s="13" t="s">
        <v>5540</v>
      </c>
      <c r="BV776" s="13" t="s">
        <v>4852</v>
      </c>
      <c r="BW776" s="13" t="str">
        <f>VLOOKUP($BT776,Enriched!$A$2:$E$1070,5,false)</f>
        <v>["Residential &amp; Commercial Development", "Pollution", "Energy Production &amp; Mining", "Natural System Modifications", "Agriculture &amp; Aquaculture"]</v>
      </c>
      <c r="BX776" s="13" t="str">
        <f>VLOOKUP($BT776,Enriched!$A$2:$E$1070,4,false)</f>
        <v>["Housing &amp; urban area", "Mining &amp; quarrying", "Dams &amp; water management/use", "Annual &amp; perennial non-timber crops"]</v>
      </c>
      <c r="BY776" s="13" t="b">
        <f>VLOOKUP(BT776,Enriched!$A$1:$AA$1070,27,falsE)</f>
        <v>1</v>
      </c>
      <c r="BZ776" s="2" t="str">
        <f>VLOOKUP(BT776,Enriched!$A$1:$AA$1070,14,falsE)</f>
        <v>cumulative</v>
      </c>
      <c r="CA776" s="13" t="str">
        <f>HYPERLINK("https%3A%2F%2Fwww.webofscience.com%2Fwos%2Fwoscc%2Ffull-record%2FWOS:000494533200001","View Full Record in Web of Science")</f>
        <v>View Full Record in Web of Science</v>
      </c>
    </row>
    <row r="777" ht="12.75" customHeight="1">
      <c r="A777" s="13" t="s">
        <v>5508</v>
      </c>
      <c r="B777" s="13" t="s">
        <v>19253</v>
      </c>
      <c r="C777" s="13" t="s">
        <v>5510</v>
      </c>
      <c r="D777" s="13" t="s">
        <v>5510</v>
      </c>
      <c r="E777" s="13" t="s">
        <v>5510</v>
      </c>
      <c r="F777" s="13" t="s">
        <v>19254</v>
      </c>
      <c r="G777" s="13" t="s">
        <v>5510</v>
      </c>
      <c r="H777" s="13" t="s">
        <v>5510</v>
      </c>
      <c r="I777" s="13" t="s">
        <v>594</v>
      </c>
      <c r="J777" s="13" t="s">
        <v>18041</v>
      </c>
      <c r="K777" s="13" t="s">
        <v>5510</v>
      </c>
      <c r="L777" s="13" t="s">
        <v>5510</v>
      </c>
      <c r="M777" s="13" t="s">
        <v>5513</v>
      </c>
      <c r="N777" s="13" t="s">
        <v>5514</v>
      </c>
      <c r="O777" s="13" t="s">
        <v>5510</v>
      </c>
      <c r="P777" s="13" t="s">
        <v>5510</v>
      </c>
      <c r="Q777" s="13" t="s">
        <v>5510</v>
      </c>
      <c r="R777" s="13" t="s">
        <v>5510</v>
      </c>
      <c r="S777" s="13" t="s">
        <v>5510</v>
      </c>
      <c r="T777" s="13" t="s">
        <v>19255</v>
      </c>
      <c r="U777" s="13" t="s">
        <v>19256</v>
      </c>
      <c r="V777" s="13" t="s">
        <v>19257</v>
      </c>
      <c r="W777" s="13" t="s">
        <v>19258</v>
      </c>
      <c r="X777" s="13" t="s">
        <v>19259</v>
      </c>
      <c r="Y777" s="13" t="s">
        <v>19260</v>
      </c>
      <c r="Z777" s="13" t="s">
        <v>19261</v>
      </c>
      <c r="AA777" s="13" t="s">
        <v>19262</v>
      </c>
      <c r="AB777" s="13" t="s">
        <v>5510</v>
      </c>
      <c r="AC777" s="13" t="s">
        <v>19263</v>
      </c>
      <c r="AD777" s="13" t="s">
        <v>19264</v>
      </c>
      <c r="AE777" s="13" t="s">
        <v>19265</v>
      </c>
      <c r="AF777" s="13" t="s">
        <v>5510</v>
      </c>
      <c r="AG777" s="13">
        <v>107.0</v>
      </c>
      <c r="AH777" s="13">
        <v>49.0</v>
      </c>
      <c r="AI777" s="13">
        <v>49.0</v>
      </c>
      <c r="AJ777" s="13">
        <v>2.0</v>
      </c>
      <c r="AK777" s="13">
        <v>85.0</v>
      </c>
      <c r="AL777" s="13" t="s">
        <v>5527</v>
      </c>
      <c r="AM777" s="13" t="s">
        <v>5528</v>
      </c>
      <c r="AN777" s="13" t="s">
        <v>5529</v>
      </c>
      <c r="AO777" s="13" t="s">
        <v>18051</v>
      </c>
      <c r="AP777" s="13" t="s">
        <v>18052</v>
      </c>
      <c r="AQ777" s="13" t="s">
        <v>5510</v>
      </c>
      <c r="AR777" s="13" t="s">
        <v>18053</v>
      </c>
      <c r="AS777" s="13" t="s">
        <v>18054</v>
      </c>
      <c r="AT777" s="13" t="s">
        <v>6828</v>
      </c>
      <c r="AU777" s="13">
        <v>2019.0</v>
      </c>
      <c r="AV777" s="13">
        <v>44.0</v>
      </c>
      <c r="AW777" s="13">
        <v>2.0</v>
      </c>
      <c r="AX777" s="13" t="s">
        <v>5510</v>
      </c>
      <c r="AY777" s="13" t="s">
        <v>5510</v>
      </c>
      <c r="AZ777" s="13" t="s">
        <v>5510</v>
      </c>
      <c r="BA777" s="13" t="s">
        <v>5510</v>
      </c>
      <c r="BB777" s="13">
        <v>313.0</v>
      </c>
      <c r="BC777" s="13">
        <v>326.0</v>
      </c>
      <c r="BD777" s="13" t="s">
        <v>5510</v>
      </c>
      <c r="BE777" s="13" t="s">
        <v>19266</v>
      </c>
      <c r="BF777" s="52" t="str">
        <f>HYPERLINK("http://dx.doi.org/10.1111/aec.12676","http://dx.doi.org/10.1111/aec.12676")</f>
        <v>http://dx.doi.org/10.1111/aec.12676</v>
      </c>
      <c r="BG777" s="13" t="s">
        <v>5510</v>
      </c>
      <c r="BH777" s="13" t="s">
        <v>5510</v>
      </c>
      <c r="BI777" s="13">
        <v>14.0</v>
      </c>
      <c r="BJ777" s="13" t="s">
        <v>5533</v>
      </c>
      <c r="BK777" s="13" t="s">
        <v>5561</v>
      </c>
      <c r="BL777" s="13" t="s">
        <v>5535</v>
      </c>
      <c r="BM777" s="13" t="s">
        <v>19267</v>
      </c>
      <c r="BN777" s="13" t="s">
        <v>5510</v>
      </c>
      <c r="BO777" s="13" t="s">
        <v>5510</v>
      </c>
      <c r="BP777" s="13" t="s">
        <v>5510</v>
      </c>
      <c r="BQ777" s="13" t="s">
        <v>5510</v>
      </c>
      <c r="BR777" s="13" t="s">
        <v>5538</v>
      </c>
      <c r="BS777" s="13" t="s">
        <v>19268</v>
      </c>
      <c r="BT777" s="13">
        <v>23652.0</v>
      </c>
      <c r="BU777" s="13" t="s">
        <v>5540</v>
      </c>
      <c r="BV777" s="13" t="s">
        <v>4856</v>
      </c>
      <c r="BW777" s="13" t="str">
        <f>VLOOKUP($BT777,Enriched!$A$2:$E$1070,5,false)</f>
        <v>["Agriculture &amp; Aquaculture"]</v>
      </c>
      <c r="BX777" s="13" t="str">
        <f>VLOOKUP($BT777,Enriched!$A$2:$E$1070,4,false)</f>
        <v>["Annual &amp; perennial non-timber crops", "Livestock farming &amp; ranching", "Wood &amp; pulp plantations"]</v>
      </c>
      <c r="BY777" s="13" t="b">
        <f>VLOOKUP(BT777,Enriched!$A$1:$AA$1070,27,falsE)</f>
        <v>0</v>
      </c>
      <c r="BZ777" s="2" t="str">
        <f>VLOOKUP(BT777,Enriched!$A$1:$AA$1070,14,falsE)</f>
        <v>level2</v>
      </c>
      <c r="CA777" s="13" t="str">
        <f>HYPERLINK("https%3A%2F%2Fwww.webofscience.com%2Fwos%2Fwoscc%2Ffull-record%2FWOS:000462095600013","View Full Record in Web of Science")</f>
        <v>View Full Record in Web of Science</v>
      </c>
    </row>
    <row r="778" ht="12.75" customHeight="1">
      <c r="A778" s="13" t="s">
        <v>5508</v>
      </c>
      <c r="B778" s="13" t="s">
        <v>19269</v>
      </c>
      <c r="C778" s="13" t="s">
        <v>5510</v>
      </c>
      <c r="D778" s="13" t="s">
        <v>5510</v>
      </c>
      <c r="E778" s="13" t="s">
        <v>5510</v>
      </c>
      <c r="F778" s="13" t="s">
        <v>19270</v>
      </c>
      <c r="G778" s="13" t="s">
        <v>5510</v>
      </c>
      <c r="H778" s="13" t="s">
        <v>5510</v>
      </c>
      <c r="I778" s="13" t="s">
        <v>590</v>
      </c>
      <c r="J778" s="13" t="s">
        <v>19271</v>
      </c>
      <c r="K778" s="13" t="s">
        <v>5510</v>
      </c>
      <c r="L778" s="13" t="s">
        <v>5510</v>
      </c>
      <c r="M778" s="13" t="s">
        <v>5513</v>
      </c>
      <c r="N778" s="13" t="s">
        <v>5514</v>
      </c>
      <c r="O778" s="13" t="s">
        <v>5510</v>
      </c>
      <c r="P778" s="13" t="s">
        <v>5510</v>
      </c>
      <c r="Q778" s="13" t="s">
        <v>5510</v>
      </c>
      <c r="R778" s="13" t="s">
        <v>5510</v>
      </c>
      <c r="S778" s="13" t="s">
        <v>5510</v>
      </c>
      <c r="T778" s="13" t="s">
        <v>19272</v>
      </c>
      <c r="U778" s="13" t="s">
        <v>19273</v>
      </c>
      <c r="V778" s="13" t="s">
        <v>19274</v>
      </c>
      <c r="W778" s="13" t="s">
        <v>19275</v>
      </c>
      <c r="X778" s="13" t="s">
        <v>19276</v>
      </c>
      <c r="Y778" s="13" t="s">
        <v>19277</v>
      </c>
      <c r="Z778" s="13" t="s">
        <v>19278</v>
      </c>
      <c r="AA778" s="13" t="s">
        <v>19279</v>
      </c>
      <c r="AB778" s="13" t="s">
        <v>19280</v>
      </c>
      <c r="AC778" s="13" t="s">
        <v>5510</v>
      </c>
      <c r="AD778" s="13" t="s">
        <v>5510</v>
      </c>
      <c r="AE778" s="13" t="s">
        <v>5510</v>
      </c>
      <c r="AF778" s="13" t="s">
        <v>5510</v>
      </c>
      <c r="AG778" s="13">
        <v>32.0</v>
      </c>
      <c r="AH778" s="13">
        <v>41.0</v>
      </c>
      <c r="AI778" s="13">
        <v>44.0</v>
      </c>
      <c r="AJ778" s="13">
        <v>1.0</v>
      </c>
      <c r="AK778" s="13">
        <v>74.0</v>
      </c>
      <c r="AL778" s="13" t="s">
        <v>7505</v>
      </c>
      <c r="AM778" s="13" t="s">
        <v>7506</v>
      </c>
      <c r="AN778" s="13" t="s">
        <v>7507</v>
      </c>
      <c r="AO778" s="13" t="s">
        <v>19281</v>
      </c>
      <c r="AP778" s="13" t="s">
        <v>19282</v>
      </c>
      <c r="AQ778" s="13" t="s">
        <v>5510</v>
      </c>
      <c r="AR778" s="13" t="s">
        <v>19283</v>
      </c>
      <c r="AS778" s="13" t="s">
        <v>19284</v>
      </c>
      <c r="AT778" s="13" t="s">
        <v>6175</v>
      </c>
      <c r="AU778" s="13">
        <v>2017.0</v>
      </c>
      <c r="AV778" s="13">
        <v>22.0</v>
      </c>
      <c r="AW778" s="13">
        <v>8.0</v>
      </c>
      <c r="AX778" s="13" t="s">
        <v>5510</v>
      </c>
      <c r="AY778" s="13" t="s">
        <v>5510</v>
      </c>
      <c r="AZ778" s="13" t="s">
        <v>5510</v>
      </c>
      <c r="BA778" s="13" t="s">
        <v>5510</v>
      </c>
      <c r="BB778" s="13">
        <v>1247.0</v>
      </c>
      <c r="BC778" s="13">
        <v>1256.0</v>
      </c>
      <c r="BD778" s="13" t="s">
        <v>5510</v>
      </c>
      <c r="BE778" s="13" t="s">
        <v>19285</v>
      </c>
      <c r="BF778" s="52" t="str">
        <f>HYPERLINK("http://dx.doi.org/10.1007/s11367-016-1236-0","http://dx.doi.org/10.1007/s11367-016-1236-0")</f>
        <v>http://dx.doi.org/10.1007/s11367-016-1236-0</v>
      </c>
      <c r="BG778" s="13" t="s">
        <v>5510</v>
      </c>
      <c r="BH778" s="13" t="s">
        <v>5510</v>
      </c>
      <c r="BI778" s="13">
        <v>10.0</v>
      </c>
      <c r="BJ778" s="13" t="s">
        <v>7664</v>
      </c>
      <c r="BK778" s="13" t="s">
        <v>5561</v>
      </c>
      <c r="BL778" s="13" t="s">
        <v>7665</v>
      </c>
      <c r="BM778" s="13" t="s">
        <v>19286</v>
      </c>
      <c r="BN778" s="13" t="s">
        <v>5510</v>
      </c>
      <c r="BO778" s="13" t="s">
        <v>5510</v>
      </c>
      <c r="BP778" s="13" t="s">
        <v>5510</v>
      </c>
      <c r="BQ778" s="13" t="s">
        <v>5510</v>
      </c>
      <c r="BR778" s="13" t="s">
        <v>5538</v>
      </c>
      <c r="BS778" s="13" t="s">
        <v>19287</v>
      </c>
      <c r="BT778" s="13">
        <v>25911.0</v>
      </c>
      <c r="BU778" s="13" t="s">
        <v>5540</v>
      </c>
      <c r="BV778" s="13" t="s">
        <v>4856</v>
      </c>
      <c r="BW778" s="13" t="str">
        <f>VLOOKUP($BT778,Enriched!$A$2:$E$1070,5,false)</f>
        <v>["Agriculture &amp; aquaculture"]</v>
      </c>
      <c r="BX778" s="13" t="str">
        <f>VLOOKUP($BT778,Enriched!$A$2:$E$1070,4,false)</f>
        <v>["Annual &amp; perennial non-timber crops"]</v>
      </c>
      <c r="BY778" s="13" t="b">
        <f>VLOOKUP(BT778,Enriched!$A$1:$AA$1070,27,falsE)</f>
        <v>0</v>
      </c>
      <c r="BZ778" s="2" t="str">
        <f>VLOOKUP(BT778,Enriched!$A$1:$AA$1070,14,falsE)</f>
        <v>level2</v>
      </c>
      <c r="CA778" s="13" t="str">
        <f>HYPERLINK("https%3A%2F%2Fwww.webofscience.com%2Fwos%2Fwoscc%2Ffull-record%2FWOS:000405292800007","View Full Record in Web of Science")</f>
        <v>View Full Record in Web of Science</v>
      </c>
    </row>
    <row r="779" ht="12.75" customHeight="1">
      <c r="A779" s="13" t="s">
        <v>5508</v>
      </c>
      <c r="B779" s="13" t="s">
        <v>19288</v>
      </c>
      <c r="C779" s="13" t="s">
        <v>5510</v>
      </c>
      <c r="D779" s="13" t="s">
        <v>5510</v>
      </c>
      <c r="E779" s="13" t="s">
        <v>5510</v>
      </c>
      <c r="F779" s="13" t="s">
        <v>19289</v>
      </c>
      <c r="G779" s="13" t="s">
        <v>5510</v>
      </c>
      <c r="H779" s="13" t="s">
        <v>5510</v>
      </c>
      <c r="I779" s="13" t="s">
        <v>586</v>
      </c>
      <c r="J779" s="13" t="s">
        <v>19290</v>
      </c>
      <c r="K779" s="13" t="s">
        <v>5510</v>
      </c>
      <c r="L779" s="13" t="s">
        <v>5510</v>
      </c>
      <c r="M779" s="13" t="s">
        <v>5513</v>
      </c>
      <c r="N779" s="13" t="s">
        <v>5514</v>
      </c>
      <c r="O779" s="13" t="s">
        <v>5510</v>
      </c>
      <c r="P779" s="13" t="s">
        <v>5510</v>
      </c>
      <c r="Q779" s="13" t="s">
        <v>5510</v>
      </c>
      <c r="R779" s="13" t="s">
        <v>5510</v>
      </c>
      <c r="S779" s="13" t="s">
        <v>5510</v>
      </c>
      <c r="T779" s="13" t="s">
        <v>19291</v>
      </c>
      <c r="U779" s="13" t="s">
        <v>19292</v>
      </c>
      <c r="V779" s="13" t="s">
        <v>19293</v>
      </c>
      <c r="W779" s="13" t="s">
        <v>19294</v>
      </c>
      <c r="X779" s="13" t="s">
        <v>19295</v>
      </c>
      <c r="Y779" s="13" t="s">
        <v>19296</v>
      </c>
      <c r="Z779" s="13" t="s">
        <v>19297</v>
      </c>
      <c r="AA779" s="13" t="s">
        <v>19298</v>
      </c>
      <c r="AB779" s="13" t="s">
        <v>19299</v>
      </c>
      <c r="AC779" s="13" t="s">
        <v>5510</v>
      </c>
      <c r="AD779" s="13" t="s">
        <v>5510</v>
      </c>
      <c r="AE779" s="13" t="s">
        <v>5510</v>
      </c>
      <c r="AF779" s="13" t="s">
        <v>5510</v>
      </c>
      <c r="AG779" s="13">
        <v>51.0</v>
      </c>
      <c r="AH779" s="13">
        <v>23.0</v>
      </c>
      <c r="AI779" s="13">
        <v>25.0</v>
      </c>
      <c r="AJ779" s="13">
        <v>2.0</v>
      </c>
      <c r="AK779" s="13">
        <v>45.0</v>
      </c>
      <c r="AL779" s="13" t="s">
        <v>12844</v>
      </c>
      <c r="AM779" s="13" t="s">
        <v>7386</v>
      </c>
      <c r="AN779" s="13" t="s">
        <v>12845</v>
      </c>
      <c r="AO779" s="13" t="s">
        <v>19300</v>
      </c>
      <c r="AP779" s="13" t="s">
        <v>19301</v>
      </c>
      <c r="AQ779" s="13" t="s">
        <v>5510</v>
      </c>
      <c r="AR779" s="13" t="s">
        <v>19302</v>
      </c>
      <c r="AS779" s="13" t="s">
        <v>19303</v>
      </c>
      <c r="AT779" s="13" t="s">
        <v>5510</v>
      </c>
      <c r="AU779" s="13">
        <v>2011.0</v>
      </c>
      <c r="AV779" s="13">
        <v>11.0</v>
      </c>
      <c r="AW779" s="13" t="s">
        <v>5510</v>
      </c>
      <c r="AX779" s="13" t="s">
        <v>5510</v>
      </c>
      <c r="AY779" s="13">
        <v>1.0</v>
      </c>
      <c r="AZ779" s="13" t="s">
        <v>5646</v>
      </c>
      <c r="BA779" s="13" t="s">
        <v>5510</v>
      </c>
      <c r="BB779" s="13">
        <v>100.0</v>
      </c>
      <c r="BC779" s="13">
        <v>111.0</v>
      </c>
      <c r="BD779" s="13" t="s">
        <v>5510</v>
      </c>
      <c r="BE779" s="13" t="s">
        <v>19304</v>
      </c>
      <c r="BF779" s="52" t="str">
        <f>HYPERLINK("http://dx.doi.org/10.1080/15022250.2011.629909","http://dx.doi.org/10.1080/15022250.2011.629909")</f>
        <v>http://dx.doi.org/10.1080/15022250.2011.629909</v>
      </c>
      <c r="BG779" s="13" t="s">
        <v>5510</v>
      </c>
      <c r="BH779" s="13" t="s">
        <v>5510</v>
      </c>
      <c r="BI779" s="13">
        <v>12.0</v>
      </c>
      <c r="BJ779" s="13" t="s">
        <v>19305</v>
      </c>
      <c r="BK779" s="13" t="s">
        <v>8375</v>
      </c>
      <c r="BL779" s="13" t="s">
        <v>19306</v>
      </c>
      <c r="BM779" s="13" t="s">
        <v>19307</v>
      </c>
      <c r="BN779" s="13" t="s">
        <v>5510</v>
      </c>
      <c r="BO779" s="13" t="s">
        <v>5510</v>
      </c>
      <c r="BP779" s="13" t="s">
        <v>5510</v>
      </c>
      <c r="BQ779" s="13" t="s">
        <v>5510</v>
      </c>
      <c r="BR779" s="13" t="s">
        <v>5538</v>
      </c>
      <c r="BS779" s="13" t="s">
        <v>19308</v>
      </c>
      <c r="BT779" s="13">
        <v>24633.0</v>
      </c>
      <c r="BU779" s="13" t="s">
        <v>5540</v>
      </c>
      <c r="BV779" s="13" t="s">
        <v>4856</v>
      </c>
      <c r="BW779" s="13" t="str">
        <f>VLOOKUP($BT779,Enriched!$A$2:$E$1070,5,false)</f>
        <v>["Human Intrusions &amp; Disturbance"]</v>
      </c>
      <c r="BX779" s="13" t="str">
        <f>VLOOKUP($BT779,Enriched!$A$2:$E$1070,4,false)</f>
        <v>["Recreational activities"]</v>
      </c>
      <c r="BY779" s="13" t="b">
        <f>VLOOKUP(BT779,Enriched!$A$1:$AA$1070,27,falsE)</f>
        <v>0</v>
      </c>
      <c r="BZ779" s="2" t="str">
        <f>VLOOKUP(BT779,Enriched!$A$1:$AA$1070,14,falsE)</f>
        <v>level2</v>
      </c>
      <c r="CA779" s="13" t="str">
        <f>HYPERLINK("https%3A%2F%2Fwww.webofscience.com%2Fwos%2Fwoscc%2Ffull-record%2FWOS:000299873600007","View Full Record in Web of Science")</f>
        <v>View Full Record in Web of Science</v>
      </c>
    </row>
    <row r="780" ht="12.75" customHeight="1">
      <c r="A780" s="13" t="s">
        <v>5508</v>
      </c>
      <c r="B780" s="13" t="s">
        <v>19309</v>
      </c>
      <c r="C780" s="13" t="s">
        <v>5510</v>
      </c>
      <c r="D780" s="13" t="s">
        <v>5510</v>
      </c>
      <c r="E780" s="13" t="s">
        <v>5510</v>
      </c>
      <c r="F780" s="13" t="s">
        <v>19310</v>
      </c>
      <c r="G780" s="13" t="s">
        <v>5510</v>
      </c>
      <c r="H780" s="13" t="s">
        <v>5510</v>
      </c>
      <c r="I780" s="13" t="s">
        <v>19311</v>
      </c>
      <c r="J780" s="13" t="s">
        <v>5512</v>
      </c>
      <c r="K780" s="13" t="s">
        <v>5510</v>
      </c>
      <c r="L780" s="13" t="s">
        <v>5510</v>
      </c>
      <c r="M780" s="13" t="s">
        <v>5513</v>
      </c>
      <c r="N780" s="13" t="s">
        <v>5514</v>
      </c>
      <c r="O780" s="13" t="s">
        <v>5510</v>
      </c>
      <c r="P780" s="13" t="s">
        <v>5510</v>
      </c>
      <c r="Q780" s="13" t="s">
        <v>5510</v>
      </c>
      <c r="R780" s="13" t="s">
        <v>5510</v>
      </c>
      <c r="S780" s="13" t="s">
        <v>5510</v>
      </c>
      <c r="T780" s="13" t="s">
        <v>19312</v>
      </c>
      <c r="U780" s="13" t="s">
        <v>19313</v>
      </c>
      <c r="V780" s="13" t="s">
        <v>19314</v>
      </c>
      <c r="W780" s="13" t="s">
        <v>19315</v>
      </c>
      <c r="X780" s="13" t="s">
        <v>19316</v>
      </c>
      <c r="Y780" s="13" t="s">
        <v>19317</v>
      </c>
      <c r="Z780" s="13" t="s">
        <v>19318</v>
      </c>
      <c r="AA780" s="13" t="s">
        <v>5510</v>
      </c>
      <c r="AB780" s="13" t="s">
        <v>5510</v>
      </c>
      <c r="AC780" s="13" t="s">
        <v>19319</v>
      </c>
      <c r="AD780" s="13" t="s">
        <v>19319</v>
      </c>
      <c r="AE780" s="13" t="s">
        <v>19320</v>
      </c>
      <c r="AF780" s="13" t="s">
        <v>5510</v>
      </c>
      <c r="AG780" s="13">
        <v>88.0</v>
      </c>
      <c r="AH780" s="13">
        <v>9.0</v>
      </c>
      <c r="AI780" s="13">
        <v>10.0</v>
      </c>
      <c r="AJ780" s="13">
        <v>1.0</v>
      </c>
      <c r="AK780" s="13">
        <v>37.0</v>
      </c>
      <c r="AL780" s="13" t="s">
        <v>5527</v>
      </c>
      <c r="AM780" s="13" t="s">
        <v>5528</v>
      </c>
      <c r="AN780" s="13" t="s">
        <v>5529</v>
      </c>
      <c r="AO780" s="13" t="s">
        <v>5530</v>
      </c>
      <c r="AP780" s="13" t="s">
        <v>5510</v>
      </c>
      <c r="AQ780" s="13" t="s">
        <v>5510</v>
      </c>
      <c r="AR780" s="13" t="s">
        <v>5512</v>
      </c>
      <c r="AS780" s="13" t="s">
        <v>53</v>
      </c>
      <c r="AT780" s="13" t="s">
        <v>1925</v>
      </c>
      <c r="AU780" s="13">
        <v>2016.0</v>
      </c>
      <c r="AV780" s="13">
        <v>7.0</v>
      </c>
      <c r="AW780" s="13">
        <v>9.0</v>
      </c>
      <c r="AX780" s="13" t="s">
        <v>5510</v>
      </c>
      <c r="AY780" s="13" t="s">
        <v>5510</v>
      </c>
      <c r="AZ780" s="13" t="s">
        <v>5510</v>
      </c>
      <c r="BA780" s="13" t="s">
        <v>5510</v>
      </c>
      <c r="BB780" s="13" t="s">
        <v>5510</v>
      </c>
      <c r="BC780" s="13" t="s">
        <v>5510</v>
      </c>
      <c r="BD780" s="13" t="s">
        <v>19321</v>
      </c>
      <c r="BE780" s="13" t="s">
        <v>19322</v>
      </c>
      <c r="BF780" s="52" t="str">
        <f>HYPERLINK("http://dx.doi.org/10.1002/ecs2.1444","http://dx.doi.org/10.1002/ecs2.1444")</f>
        <v>http://dx.doi.org/10.1002/ecs2.1444</v>
      </c>
      <c r="BG780" s="13" t="s">
        <v>5510</v>
      </c>
      <c r="BH780" s="13" t="s">
        <v>5510</v>
      </c>
      <c r="BI780" s="13">
        <v>23.0</v>
      </c>
      <c r="BJ780" s="13" t="s">
        <v>5533</v>
      </c>
      <c r="BK780" s="13" t="s">
        <v>5561</v>
      </c>
      <c r="BL780" s="13" t="s">
        <v>5535</v>
      </c>
      <c r="BM780" s="13" t="s">
        <v>19323</v>
      </c>
      <c r="BN780" s="13" t="s">
        <v>5510</v>
      </c>
      <c r="BO780" s="13" t="s">
        <v>5537</v>
      </c>
      <c r="BP780" s="13" t="s">
        <v>5510</v>
      </c>
      <c r="BQ780" s="13" t="s">
        <v>5510</v>
      </c>
      <c r="BR780" s="13" t="s">
        <v>5538</v>
      </c>
      <c r="BS780" s="13" t="s">
        <v>19324</v>
      </c>
      <c r="BT780" s="13">
        <v>23202.0</v>
      </c>
      <c r="BU780" s="13" t="s">
        <v>5540</v>
      </c>
      <c r="BV780" s="13" t="s">
        <v>4856</v>
      </c>
      <c r="BW780" s="13" t="str">
        <f>VLOOKUP($BT780,Enriched!$A$2:$E$1070,5,false)</f>
        <v>["Energy Production &amp; Mining", "Invasive &amp; Other Problematic Species, Genes &amp; Diseases", "Climate Change &amp; Severe Weather"]</v>
      </c>
      <c r="BX780" s="13" t="str">
        <f>VLOOKUP($BT780,Enriched!$A$2:$E$1070,4,false)</f>
        <v>["Oil &amp; gas drilling", "Invasive non-native/alien species/diseases", "Habitat shifting &amp; alteration"]</v>
      </c>
      <c r="BY780" s="13" t="b">
        <f>VLOOKUP(BT780,Enriched!$A$1:$AA$1070,27,falsE)</f>
        <v>0</v>
      </c>
      <c r="BZ780" s="2" t="str">
        <f>VLOOKUP(BT780,Enriched!$A$1:$AA$1070,14,falsE)</f>
        <v>cumulative</v>
      </c>
      <c r="CA780" s="13" t="str">
        <f>HYPERLINK("https%3A%2F%2Fwww.webofscience.com%2Fwos%2Fwoscc%2Ffull-record%2FWOS:000387210100006","View Full Record in Web of Science")</f>
        <v>View Full Record in Web of Science</v>
      </c>
    </row>
    <row r="781" ht="12.75" customHeight="1">
      <c r="A781" s="13" t="s">
        <v>5508</v>
      </c>
      <c r="B781" s="13" t="s">
        <v>19325</v>
      </c>
      <c r="C781" s="13" t="s">
        <v>5510</v>
      </c>
      <c r="D781" s="13" t="s">
        <v>5510</v>
      </c>
      <c r="E781" s="13" t="s">
        <v>5510</v>
      </c>
      <c r="F781" s="13" t="s">
        <v>19326</v>
      </c>
      <c r="G781" s="13" t="s">
        <v>5510</v>
      </c>
      <c r="H781" s="13" t="s">
        <v>5510</v>
      </c>
      <c r="I781" s="13" t="s">
        <v>580</v>
      </c>
      <c r="J781" s="13" t="s">
        <v>8163</v>
      </c>
      <c r="K781" s="13" t="s">
        <v>5510</v>
      </c>
      <c r="L781" s="13" t="s">
        <v>5510</v>
      </c>
      <c r="M781" s="13" t="s">
        <v>5513</v>
      </c>
      <c r="N781" s="13" t="s">
        <v>5514</v>
      </c>
      <c r="O781" s="13" t="s">
        <v>5510</v>
      </c>
      <c r="P781" s="13" t="s">
        <v>5510</v>
      </c>
      <c r="Q781" s="13" t="s">
        <v>5510</v>
      </c>
      <c r="R781" s="13" t="s">
        <v>5510</v>
      </c>
      <c r="S781" s="13" t="s">
        <v>5510</v>
      </c>
      <c r="T781" s="13" t="s">
        <v>19327</v>
      </c>
      <c r="U781" s="13" t="s">
        <v>19328</v>
      </c>
      <c r="V781" s="13" t="s">
        <v>19329</v>
      </c>
      <c r="W781" s="13" t="s">
        <v>19330</v>
      </c>
      <c r="X781" s="13" t="s">
        <v>5510</v>
      </c>
      <c r="Y781" s="13" t="s">
        <v>19331</v>
      </c>
      <c r="Z781" s="13" t="s">
        <v>19332</v>
      </c>
      <c r="AA781" s="13" t="s">
        <v>19333</v>
      </c>
      <c r="AB781" s="13" t="s">
        <v>19334</v>
      </c>
      <c r="AC781" s="13" t="s">
        <v>19335</v>
      </c>
      <c r="AD781" s="13" t="s">
        <v>19336</v>
      </c>
      <c r="AE781" s="13" t="s">
        <v>19337</v>
      </c>
      <c r="AF781" s="13" t="s">
        <v>5510</v>
      </c>
      <c r="AG781" s="13">
        <v>75.0</v>
      </c>
      <c r="AH781" s="13">
        <v>30.0</v>
      </c>
      <c r="AI781" s="13">
        <v>35.0</v>
      </c>
      <c r="AJ781" s="13">
        <v>2.0</v>
      </c>
      <c r="AK781" s="13">
        <v>131.0</v>
      </c>
      <c r="AL781" s="13" t="s">
        <v>5690</v>
      </c>
      <c r="AM781" s="13" t="s">
        <v>5691</v>
      </c>
      <c r="AN781" s="13" t="s">
        <v>5692</v>
      </c>
      <c r="AO781" s="13" t="s">
        <v>8176</v>
      </c>
      <c r="AP781" s="13" t="s">
        <v>8177</v>
      </c>
      <c r="AQ781" s="13" t="s">
        <v>5510</v>
      </c>
      <c r="AR781" s="13" t="s">
        <v>8178</v>
      </c>
      <c r="AS781" s="13" t="s">
        <v>8179</v>
      </c>
      <c r="AT781" s="13" t="s">
        <v>2738</v>
      </c>
      <c r="AU781" s="13">
        <v>2013.0</v>
      </c>
      <c r="AV781" s="13">
        <v>28.0</v>
      </c>
      <c r="AW781" s="13">
        <v>2.0</v>
      </c>
      <c r="AX781" s="13" t="s">
        <v>5510</v>
      </c>
      <c r="AY781" s="13" t="s">
        <v>5510</v>
      </c>
      <c r="AZ781" s="13" t="s">
        <v>5510</v>
      </c>
      <c r="BA781" s="13" t="s">
        <v>5510</v>
      </c>
      <c r="BB781" s="13">
        <v>187.0</v>
      </c>
      <c r="BC781" s="13">
        <v>200.0</v>
      </c>
      <c r="BD781" s="13" t="s">
        <v>5510</v>
      </c>
      <c r="BE781" s="13" t="s">
        <v>19338</v>
      </c>
      <c r="BF781" s="52" t="str">
        <f>HYPERLINK("http://dx.doi.org/10.1007/s10980-012-9825-1","http://dx.doi.org/10.1007/s10980-012-9825-1")</f>
        <v>http://dx.doi.org/10.1007/s10980-012-9825-1</v>
      </c>
      <c r="BG781" s="13" t="s">
        <v>5510</v>
      </c>
      <c r="BH781" s="13" t="s">
        <v>5510</v>
      </c>
      <c r="BI781" s="13">
        <v>14.0</v>
      </c>
      <c r="BJ781" s="13" t="s">
        <v>8181</v>
      </c>
      <c r="BK781" s="13" t="s">
        <v>5561</v>
      </c>
      <c r="BL781" s="13" t="s">
        <v>6551</v>
      </c>
      <c r="BM781" s="13" t="s">
        <v>19339</v>
      </c>
      <c r="BN781" s="13" t="s">
        <v>5510</v>
      </c>
      <c r="BO781" s="13" t="s">
        <v>5510</v>
      </c>
      <c r="BP781" s="13" t="s">
        <v>5510</v>
      </c>
      <c r="BQ781" s="13" t="s">
        <v>5510</v>
      </c>
      <c r="BR781" s="13" t="s">
        <v>5538</v>
      </c>
      <c r="BS781" s="13" t="s">
        <v>19340</v>
      </c>
      <c r="BT781" s="13">
        <v>24329.0</v>
      </c>
      <c r="BU781" s="13" t="s">
        <v>5540</v>
      </c>
      <c r="BV781" s="13" t="s">
        <v>4856</v>
      </c>
      <c r="BW781" s="13" t="str">
        <f>VLOOKUP($BT781,Enriched!$A$2:$E$1070,5,false)</f>
        <v>["Residential &amp; commercial development"]</v>
      </c>
      <c r="BX781" s="13" t="str">
        <f>VLOOKUP($BT781,Enriched!$A$2:$E$1070,4,false)</f>
        <v/>
      </c>
      <c r="BY781" s="13" t="b">
        <f>VLOOKUP(BT781,Enriched!$A$1:$AA$1070,27,falsE)</f>
        <v>1</v>
      </c>
      <c r="BZ781" s="2" t="str">
        <f>VLOOKUP(BT781,Enriched!$A$1:$AA$1070,14,falsE)</f>
        <v>level1</v>
      </c>
      <c r="CA781" s="13" t="str">
        <f>HYPERLINK("https%3A%2F%2Fwww.webofscience.com%2Fwos%2Fwoscc%2Ffull-record%2FWOS:000316289800002","View Full Record in Web of Science")</f>
        <v>View Full Record in Web of Science</v>
      </c>
    </row>
    <row r="782" ht="12.75" customHeight="1">
      <c r="A782" s="13" t="s">
        <v>5508</v>
      </c>
      <c r="B782" s="13" t="s">
        <v>19341</v>
      </c>
      <c r="C782" s="13" t="s">
        <v>5510</v>
      </c>
      <c r="D782" s="13" t="s">
        <v>5510</v>
      </c>
      <c r="E782" s="13" t="s">
        <v>5510</v>
      </c>
      <c r="F782" s="13" t="s">
        <v>19342</v>
      </c>
      <c r="G782" s="13" t="s">
        <v>5510</v>
      </c>
      <c r="H782" s="13" t="s">
        <v>5510</v>
      </c>
      <c r="I782" s="13" t="s">
        <v>571</v>
      </c>
      <c r="J782" s="13" t="s">
        <v>11947</v>
      </c>
      <c r="K782" s="13" t="s">
        <v>5510</v>
      </c>
      <c r="L782" s="13" t="s">
        <v>5510</v>
      </c>
      <c r="M782" s="13" t="s">
        <v>5513</v>
      </c>
      <c r="N782" s="13" t="s">
        <v>10368</v>
      </c>
      <c r="O782" s="13" t="s">
        <v>5510</v>
      </c>
      <c r="P782" s="13" t="s">
        <v>5510</v>
      </c>
      <c r="Q782" s="13" t="s">
        <v>5510</v>
      </c>
      <c r="R782" s="13" t="s">
        <v>5510</v>
      </c>
      <c r="S782" s="13" t="s">
        <v>5510</v>
      </c>
      <c r="T782" s="13" t="s">
        <v>5510</v>
      </c>
      <c r="U782" s="13" t="s">
        <v>19343</v>
      </c>
      <c r="V782" s="13" t="s">
        <v>5510</v>
      </c>
      <c r="W782" s="13" t="s">
        <v>19344</v>
      </c>
      <c r="X782" s="13" t="s">
        <v>19345</v>
      </c>
      <c r="Y782" s="13" t="s">
        <v>19346</v>
      </c>
      <c r="Z782" s="13" t="s">
        <v>19347</v>
      </c>
      <c r="AA782" s="13" t="s">
        <v>19348</v>
      </c>
      <c r="AB782" s="13" t="s">
        <v>19349</v>
      </c>
      <c r="AC782" s="13" t="s">
        <v>19350</v>
      </c>
      <c r="AD782" s="13" t="s">
        <v>19351</v>
      </c>
      <c r="AE782" s="13" t="s">
        <v>5510</v>
      </c>
      <c r="AF782" s="13" t="s">
        <v>5510</v>
      </c>
      <c r="AG782" s="13">
        <v>19.0</v>
      </c>
      <c r="AH782" s="13">
        <v>1117.0</v>
      </c>
      <c r="AI782" s="13">
        <v>1256.0</v>
      </c>
      <c r="AJ782" s="13">
        <v>17.0</v>
      </c>
      <c r="AK782" s="13">
        <v>594.0</v>
      </c>
      <c r="AL782" s="13" t="s">
        <v>11959</v>
      </c>
      <c r="AM782" s="13" t="s">
        <v>5908</v>
      </c>
      <c r="AN782" s="13" t="s">
        <v>11960</v>
      </c>
      <c r="AO782" s="13" t="s">
        <v>11961</v>
      </c>
      <c r="AP782" s="13" t="s">
        <v>11962</v>
      </c>
      <c r="AQ782" s="13" t="s">
        <v>5510</v>
      </c>
      <c r="AR782" s="13" t="s">
        <v>11947</v>
      </c>
      <c r="AS782" s="13" t="s">
        <v>117</v>
      </c>
      <c r="AT782" s="13" t="s">
        <v>19352</v>
      </c>
      <c r="AU782" s="13">
        <v>2016.0</v>
      </c>
      <c r="AV782" s="13">
        <v>351.0</v>
      </c>
      <c r="AW782" s="13">
        <v>6269.0</v>
      </c>
      <c r="AX782" s="13" t="s">
        <v>5510</v>
      </c>
      <c r="AY782" s="13" t="s">
        <v>5510</v>
      </c>
      <c r="AZ782" s="13" t="s">
        <v>5510</v>
      </c>
      <c r="BA782" s="13" t="s">
        <v>5510</v>
      </c>
      <c r="BB782" s="13">
        <v>128.0</v>
      </c>
      <c r="BC782" s="13">
        <v>129.0</v>
      </c>
      <c r="BD782" s="13" t="s">
        <v>5510</v>
      </c>
      <c r="BE782" s="13" t="s">
        <v>19353</v>
      </c>
      <c r="BF782" s="52" t="str">
        <f>HYPERLINK("http://dx.doi.org/10.1126/science.aac7082","http://dx.doi.org/10.1126/science.aac7082")</f>
        <v>http://dx.doi.org/10.1126/science.aac7082</v>
      </c>
      <c r="BG782" s="13" t="s">
        <v>5510</v>
      </c>
      <c r="BH782" s="13" t="s">
        <v>5510</v>
      </c>
      <c r="BI782" s="13">
        <v>2.0</v>
      </c>
      <c r="BJ782" s="13" t="s">
        <v>5560</v>
      </c>
      <c r="BK782" s="13" t="s">
        <v>5534</v>
      </c>
      <c r="BL782" s="13" t="s">
        <v>5562</v>
      </c>
      <c r="BM782" s="13" t="s">
        <v>19354</v>
      </c>
      <c r="BN782" s="13">
        <v>2.6744397E7</v>
      </c>
      <c r="BO782" s="13" t="s">
        <v>5564</v>
      </c>
      <c r="BP782" s="13" t="s">
        <v>5510</v>
      </c>
      <c r="BQ782" s="13" t="s">
        <v>5510</v>
      </c>
      <c r="BR782" s="13" t="s">
        <v>5538</v>
      </c>
      <c r="BS782" s="13" t="s">
        <v>19355</v>
      </c>
      <c r="BT782" s="13">
        <v>26036.0</v>
      </c>
      <c r="BU782" s="13" t="s">
        <v>5540</v>
      </c>
      <c r="BV782" s="13" t="s">
        <v>4852</v>
      </c>
      <c r="BW782" s="13" t="str">
        <f>VLOOKUP($BT782,Enriched!$A$2:$E$1070,5,false)</f>
        <v>["Natural system modifications"]</v>
      </c>
      <c r="BX782" s="13" t="str">
        <f>VLOOKUP($BT782,Enriched!$A$2:$E$1070,4,false)</f>
        <v>["Dams &amp; water management/use"]</v>
      </c>
      <c r="BY782" s="13" t="b">
        <f>VLOOKUP(BT782,Enriched!$A$1:$AA$1070,27,falsE)</f>
        <v>0</v>
      </c>
      <c r="BZ782" s="2" t="str">
        <f>VLOOKUP(BT782,Enriched!$A$1:$AA$1070,14,falsE)</f>
        <v>level2</v>
      </c>
      <c r="CA782" s="13" t="str">
        <f>HYPERLINK("https%3A%2F%2Fwww.webofscience.com%2Fwos%2Fwoscc%2Ffull-record%2FWOS:000367806500018","View Full Record in Web of Science")</f>
        <v>View Full Record in Web of Science</v>
      </c>
    </row>
    <row r="783" ht="12.75" customHeight="1">
      <c r="A783" s="13" t="s">
        <v>5508</v>
      </c>
      <c r="B783" s="13" t="s">
        <v>19356</v>
      </c>
      <c r="C783" s="13" t="s">
        <v>5510</v>
      </c>
      <c r="D783" s="13" t="s">
        <v>5510</v>
      </c>
      <c r="E783" s="13" t="s">
        <v>5510</v>
      </c>
      <c r="F783" s="13" t="s">
        <v>19357</v>
      </c>
      <c r="G783" s="13" t="s">
        <v>5510</v>
      </c>
      <c r="H783" s="13" t="s">
        <v>5510</v>
      </c>
      <c r="I783" s="13" t="s">
        <v>19358</v>
      </c>
      <c r="J783" s="13" t="s">
        <v>19359</v>
      </c>
      <c r="K783" s="13" t="s">
        <v>5510</v>
      </c>
      <c r="L783" s="13" t="s">
        <v>5510</v>
      </c>
      <c r="M783" s="13" t="s">
        <v>5513</v>
      </c>
      <c r="N783" s="13" t="s">
        <v>5514</v>
      </c>
      <c r="O783" s="13" t="s">
        <v>5510</v>
      </c>
      <c r="P783" s="13" t="s">
        <v>5510</v>
      </c>
      <c r="Q783" s="13" t="s">
        <v>5510</v>
      </c>
      <c r="R783" s="13" t="s">
        <v>5510</v>
      </c>
      <c r="S783" s="13" t="s">
        <v>5510</v>
      </c>
      <c r="T783" s="13" t="s">
        <v>19360</v>
      </c>
      <c r="U783" s="13" t="s">
        <v>19361</v>
      </c>
      <c r="V783" s="13" t="s">
        <v>19362</v>
      </c>
      <c r="W783" s="13" t="s">
        <v>19363</v>
      </c>
      <c r="X783" s="13" t="s">
        <v>19364</v>
      </c>
      <c r="Y783" s="13" t="s">
        <v>19365</v>
      </c>
      <c r="Z783" s="13" t="s">
        <v>19366</v>
      </c>
      <c r="AA783" s="13" t="s">
        <v>5510</v>
      </c>
      <c r="AB783" s="13" t="s">
        <v>19367</v>
      </c>
      <c r="AC783" s="13" t="s">
        <v>19368</v>
      </c>
      <c r="AD783" s="13" t="s">
        <v>19368</v>
      </c>
      <c r="AE783" s="13" t="s">
        <v>19369</v>
      </c>
      <c r="AF783" s="13" t="s">
        <v>5510</v>
      </c>
      <c r="AG783" s="13">
        <v>49.0</v>
      </c>
      <c r="AH783" s="13">
        <v>22.0</v>
      </c>
      <c r="AI783" s="13">
        <v>22.0</v>
      </c>
      <c r="AJ783" s="13">
        <v>0.0</v>
      </c>
      <c r="AK783" s="13">
        <v>2.0</v>
      </c>
      <c r="AL783" s="13" t="s">
        <v>19370</v>
      </c>
      <c r="AM783" s="13" t="s">
        <v>19371</v>
      </c>
      <c r="AN783" s="13" t="s">
        <v>19372</v>
      </c>
      <c r="AO783" s="13" t="s">
        <v>19373</v>
      </c>
      <c r="AP783" s="13" t="s">
        <v>19374</v>
      </c>
      <c r="AQ783" s="13" t="s">
        <v>5510</v>
      </c>
      <c r="AR783" s="13" t="s">
        <v>19375</v>
      </c>
      <c r="AS783" s="13" t="s">
        <v>19376</v>
      </c>
      <c r="AT783" s="13" t="s">
        <v>19377</v>
      </c>
      <c r="AU783" s="13">
        <v>2019.0</v>
      </c>
      <c r="AV783" s="13">
        <v>54.0</v>
      </c>
      <c r="AW783" s="13">
        <v>2.0</v>
      </c>
      <c r="AX783" s="13" t="s">
        <v>5510</v>
      </c>
      <c r="AY783" s="13" t="s">
        <v>5510</v>
      </c>
      <c r="AZ783" s="13" t="s">
        <v>5510</v>
      </c>
      <c r="BA783" s="13" t="s">
        <v>5510</v>
      </c>
      <c r="BB783" s="13">
        <v>91.0</v>
      </c>
      <c r="BC783" s="13">
        <v>103.0</v>
      </c>
      <c r="BD783" s="13" t="s">
        <v>5510</v>
      </c>
      <c r="BE783" s="13" t="s">
        <v>19378</v>
      </c>
      <c r="BF783" s="52" t="str">
        <f>HYPERLINK("http://dx.doi.org/10.1080/15627020.2019.1608862","http://dx.doi.org/10.1080/15627020.2019.1608862")</f>
        <v>http://dx.doi.org/10.1080/15627020.2019.1608862</v>
      </c>
      <c r="BG783" s="13" t="s">
        <v>5510</v>
      </c>
      <c r="BH783" s="13" t="s">
        <v>5510</v>
      </c>
      <c r="BI783" s="13">
        <v>13.0</v>
      </c>
      <c r="BJ783" s="13" t="s">
        <v>6899</v>
      </c>
      <c r="BK783" s="13" t="s">
        <v>5534</v>
      </c>
      <c r="BL783" s="13" t="s">
        <v>6899</v>
      </c>
      <c r="BM783" s="13" t="s">
        <v>19379</v>
      </c>
      <c r="BN783" s="13" t="s">
        <v>5510</v>
      </c>
      <c r="BO783" s="13" t="s">
        <v>6623</v>
      </c>
      <c r="BP783" s="13" t="s">
        <v>5510</v>
      </c>
      <c r="BQ783" s="13" t="s">
        <v>5510</v>
      </c>
      <c r="BR783" s="13" t="s">
        <v>5538</v>
      </c>
      <c r="BS783" s="13" t="s">
        <v>19380</v>
      </c>
      <c r="BT783" s="13">
        <v>25598.0</v>
      </c>
      <c r="BU783" s="13" t="s">
        <v>5540</v>
      </c>
      <c r="BV783" s="13" t="s">
        <v>5083</v>
      </c>
      <c r="BW783" s="13" t="str">
        <f>VLOOKUP($BT783,Enriched!$A$2:$E$1070,5,false)</f>
        <v>["Biological resource use"]</v>
      </c>
      <c r="BX783" s="13" t="str">
        <f>VLOOKUP($BT783,Enriched!$A$2:$E$1070,4,false)</f>
        <v>["Fishing &amp; harvesting aquatic resources"]</v>
      </c>
      <c r="BY783" s="13" t="b">
        <f>VLOOKUP(BT783,Enriched!$A$1:$AA$1070,27,falsE)</f>
        <v>0</v>
      </c>
      <c r="BZ783" s="2" t="str">
        <f>VLOOKUP(BT783,Enriched!$A$1:$AA$1070,14,falsE)</f>
        <v>level2</v>
      </c>
      <c r="CA783" s="13" t="str">
        <f>HYPERLINK("https%3A%2F%2Fwww.webofscience.com%2Fwos%2Fwoscc%2Ffull-record%2FWOS:000475926600002","View Full Record in Web of Science")</f>
        <v>View Full Record in Web of Science</v>
      </c>
    </row>
    <row r="784" ht="12.75" customHeight="1">
      <c r="A784" s="13" t="s">
        <v>5508</v>
      </c>
      <c r="B784" s="13" t="s">
        <v>19381</v>
      </c>
      <c r="C784" s="13" t="s">
        <v>5510</v>
      </c>
      <c r="D784" s="13" t="s">
        <v>5510</v>
      </c>
      <c r="E784" s="13" t="s">
        <v>5510</v>
      </c>
      <c r="F784" s="13" t="s">
        <v>19382</v>
      </c>
      <c r="G784" s="13" t="s">
        <v>5510</v>
      </c>
      <c r="H784" s="13" t="s">
        <v>5510</v>
      </c>
      <c r="I784" s="13" t="s">
        <v>564</v>
      </c>
      <c r="J784" s="13" t="s">
        <v>5943</v>
      </c>
      <c r="K784" s="13" t="s">
        <v>5510</v>
      </c>
      <c r="L784" s="13" t="s">
        <v>5510</v>
      </c>
      <c r="M784" s="13" t="s">
        <v>5513</v>
      </c>
      <c r="N784" s="13" t="s">
        <v>5514</v>
      </c>
      <c r="O784" s="13" t="s">
        <v>5510</v>
      </c>
      <c r="P784" s="13" t="s">
        <v>5510</v>
      </c>
      <c r="Q784" s="13" t="s">
        <v>5510</v>
      </c>
      <c r="R784" s="13" t="s">
        <v>5510</v>
      </c>
      <c r="S784" s="13" t="s">
        <v>5510</v>
      </c>
      <c r="T784" s="13" t="s">
        <v>19383</v>
      </c>
      <c r="U784" s="13" t="s">
        <v>19384</v>
      </c>
      <c r="V784" s="13" t="s">
        <v>19385</v>
      </c>
      <c r="W784" s="13" t="s">
        <v>19386</v>
      </c>
      <c r="X784" s="13" t="s">
        <v>19387</v>
      </c>
      <c r="Y784" s="13" t="s">
        <v>19388</v>
      </c>
      <c r="Z784" s="13" t="s">
        <v>19389</v>
      </c>
      <c r="AA784" s="13" t="s">
        <v>19390</v>
      </c>
      <c r="AB784" s="13" t="s">
        <v>19391</v>
      </c>
      <c r="AC784" s="13" t="s">
        <v>19392</v>
      </c>
      <c r="AD784" s="13" t="s">
        <v>19393</v>
      </c>
      <c r="AE784" s="13" t="s">
        <v>19392</v>
      </c>
      <c r="AF784" s="13" t="s">
        <v>5510</v>
      </c>
      <c r="AG784" s="13">
        <v>50.0</v>
      </c>
      <c r="AH784" s="13">
        <v>32.0</v>
      </c>
      <c r="AI784" s="13">
        <v>36.0</v>
      </c>
      <c r="AJ784" s="13">
        <v>6.0</v>
      </c>
      <c r="AK784" s="13">
        <v>65.0</v>
      </c>
      <c r="AL784" s="13" t="s">
        <v>5527</v>
      </c>
      <c r="AM784" s="13" t="s">
        <v>5528</v>
      </c>
      <c r="AN784" s="13" t="s">
        <v>5529</v>
      </c>
      <c r="AO784" s="13" t="s">
        <v>5953</v>
      </c>
      <c r="AP784" s="13" t="s">
        <v>5954</v>
      </c>
      <c r="AQ784" s="13" t="s">
        <v>5510</v>
      </c>
      <c r="AR784" s="13" t="s">
        <v>5955</v>
      </c>
      <c r="AS784" s="13" t="s">
        <v>5956</v>
      </c>
      <c r="AT784" s="13" t="s">
        <v>1453</v>
      </c>
      <c r="AU784" s="13">
        <v>2019.0</v>
      </c>
      <c r="AV784" s="13">
        <v>56.0</v>
      </c>
      <c r="AW784" s="13">
        <v>11.0</v>
      </c>
      <c r="AX784" s="13" t="s">
        <v>5510</v>
      </c>
      <c r="AY784" s="13" t="s">
        <v>5510</v>
      </c>
      <c r="AZ784" s="13" t="s">
        <v>5510</v>
      </c>
      <c r="BA784" s="13" t="s">
        <v>5510</v>
      </c>
      <c r="BB784" s="13">
        <v>2410.0</v>
      </c>
      <c r="BC784" s="13">
        <v>2422.0</v>
      </c>
      <c r="BD784" s="13" t="s">
        <v>5510</v>
      </c>
      <c r="BE784" s="13" t="s">
        <v>19394</v>
      </c>
      <c r="BF784" s="52" t="str">
        <f>HYPERLINK("http://dx.doi.org/10.1111/1365-2664.13488","http://dx.doi.org/10.1111/1365-2664.13488")</f>
        <v>http://dx.doi.org/10.1111/1365-2664.13488</v>
      </c>
      <c r="BG784" s="13" t="s">
        <v>5510</v>
      </c>
      <c r="BH784" s="13" t="s">
        <v>19395</v>
      </c>
      <c r="BI784" s="13">
        <v>13.0</v>
      </c>
      <c r="BJ784" s="13" t="s">
        <v>5958</v>
      </c>
      <c r="BK784" s="13" t="s">
        <v>5561</v>
      </c>
      <c r="BL784" s="13" t="s">
        <v>5699</v>
      </c>
      <c r="BM784" s="13" t="s">
        <v>19396</v>
      </c>
      <c r="BN784" s="13" t="s">
        <v>5510</v>
      </c>
      <c r="BO784" s="13" t="s">
        <v>5809</v>
      </c>
      <c r="BP784" s="13" t="s">
        <v>5510</v>
      </c>
      <c r="BQ784" s="13" t="s">
        <v>5510</v>
      </c>
      <c r="BR784" s="13" t="s">
        <v>5538</v>
      </c>
      <c r="BS784" s="13" t="s">
        <v>19397</v>
      </c>
      <c r="BT784" s="13">
        <v>25753.0</v>
      </c>
      <c r="BU784" s="13" t="s">
        <v>5540</v>
      </c>
      <c r="BV784" s="13" t="s">
        <v>4856</v>
      </c>
      <c r="BW784" s="13" t="str">
        <f>VLOOKUP($BT784,Enriched!$A$2:$E$1070,5,false)</f>
        <v>["Energy Production &amp; Mining"]</v>
      </c>
      <c r="BX784" s="13" t="str">
        <f>VLOOKUP($BT784,Enriched!$A$2:$E$1070,4,false)</f>
        <v>["Renewable energy"]</v>
      </c>
      <c r="BY784" s="13" t="b">
        <f>VLOOKUP(BT784,Enriched!$A$1:$AA$1070,27,falsE)</f>
        <v>0</v>
      </c>
      <c r="BZ784" s="2" t="str">
        <f>VLOOKUP(BT784,Enriched!$A$1:$AA$1070,14,falsE)</f>
        <v>level2</v>
      </c>
      <c r="CA784" s="13" t="str">
        <f>HYPERLINK("https%3A%2F%2Fwww.webofscience.com%2Fwos%2Fwoscc%2Ffull-record%2FWOS:000489550800001","View Full Record in Web of Science")</f>
        <v>View Full Record in Web of Science</v>
      </c>
    </row>
    <row r="785" ht="12.75" customHeight="1">
      <c r="A785" s="13" t="s">
        <v>5508</v>
      </c>
      <c r="B785" s="13" t="s">
        <v>19398</v>
      </c>
      <c r="C785" s="13" t="s">
        <v>5510</v>
      </c>
      <c r="D785" s="13" t="s">
        <v>5510</v>
      </c>
      <c r="E785" s="13" t="s">
        <v>5510</v>
      </c>
      <c r="F785" s="13" t="s">
        <v>19399</v>
      </c>
      <c r="G785" s="13" t="s">
        <v>5510</v>
      </c>
      <c r="H785" s="13" t="s">
        <v>5510</v>
      </c>
      <c r="I785" s="13" t="s">
        <v>561</v>
      </c>
      <c r="J785" s="13" t="s">
        <v>7990</v>
      </c>
      <c r="K785" s="13" t="s">
        <v>5510</v>
      </c>
      <c r="L785" s="13" t="s">
        <v>5510</v>
      </c>
      <c r="M785" s="13" t="s">
        <v>5513</v>
      </c>
      <c r="N785" s="13" t="s">
        <v>5514</v>
      </c>
      <c r="O785" s="13" t="s">
        <v>5510</v>
      </c>
      <c r="P785" s="13" t="s">
        <v>5510</v>
      </c>
      <c r="Q785" s="13" t="s">
        <v>5510</v>
      </c>
      <c r="R785" s="13" t="s">
        <v>5510</v>
      </c>
      <c r="S785" s="13" t="s">
        <v>5510</v>
      </c>
      <c r="T785" s="13" t="s">
        <v>19400</v>
      </c>
      <c r="U785" s="13" t="s">
        <v>19401</v>
      </c>
      <c r="V785" s="13" t="s">
        <v>19402</v>
      </c>
      <c r="W785" s="13" t="s">
        <v>19403</v>
      </c>
      <c r="X785" s="13" t="s">
        <v>19404</v>
      </c>
      <c r="Y785" s="13" t="s">
        <v>19405</v>
      </c>
      <c r="Z785" s="13" t="s">
        <v>19406</v>
      </c>
      <c r="AA785" s="13" t="s">
        <v>19407</v>
      </c>
      <c r="AB785" s="13" t="s">
        <v>19408</v>
      </c>
      <c r="AC785" s="13" t="s">
        <v>5510</v>
      </c>
      <c r="AD785" s="13" t="s">
        <v>5510</v>
      </c>
      <c r="AE785" s="13" t="s">
        <v>5510</v>
      </c>
      <c r="AF785" s="13" t="s">
        <v>5510</v>
      </c>
      <c r="AG785" s="13">
        <v>52.0</v>
      </c>
      <c r="AH785" s="13">
        <v>25.0</v>
      </c>
      <c r="AI785" s="13">
        <v>26.0</v>
      </c>
      <c r="AJ785" s="13">
        <v>0.0</v>
      </c>
      <c r="AK785" s="13">
        <v>44.0</v>
      </c>
      <c r="AL785" s="13" t="s">
        <v>8003</v>
      </c>
      <c r="AM785" s="13" t="s">
        <v>8004</v>
      </c>
      <c r="AN785" s="13" t="s">
        <v>8005</v>
      </c>
      <c r="AO785" s="13" t="s">
        <v>8006</v>
      </c>
      <c r="AP785" s="13" t="s">
        <v>8007</v>
      </c>
      <c r="AQ785" s="13" t="s">
        <v>5510</v>
      </c>
      <c r="AR785" s="13" t="s">
        <v>8008</v>
      </c>
      <c r="AS785" s="13" t="s">
        <v>8009</v>
      </c>
      <c r="AT785" s="13" t="s">
        <v>5978</v>
      </c>
      <c r="AU785" s="13">
        <v>2014.0</v>
      </c>
      <c r="AV785" s="13">
        <v>22.0</v>
      </c>
      <c r="AW785" s="13">
        <v>6.0</v>
      </c>
      <c r="AX785" s="13" t="s">
        <v>5510</v>
      </c>
      <c r="AY785" s="13" t="s">
        <v>5510</v>
      </c>
      <c r="AZ785" s="13" t="s">
        <v>5510</v>
      </c>
      <c r="BA785" s="13" t="s">
        <v>5510</v>
      </c>
      <c r="BB785" s="13">
        <v>586.0</v>
      </c>
      <c r="BC785" s="13">
        <v>591.0</v>
      </c>
      <c r="BD785" s="13" t="s">
        <v>5510</v>
      </c>
      <c r="BE785" s="13" t="s">
        <v>19409</v>
      </c>
      <c r="BF785" s="52" t="str">
        <f>HYPERLINK("http://dx.doi.org/10.1016/j.jnc.2014.09.001","http://dx.doi.org/10.1016/j.jnc.2014.09.001")</f>
        <v>http://dx.doi.org/10.1016/j.jnc.2014.09.001</v>
      </c>
      <c r="BG785" s="13" t="s">
        <v>5510</v>
      </c>
      <c r="BH785" s="13" t="s">
        <v>5510</v>
      </c>
      <c r="BI785" s="13">
        <v>6.0</v>
      </c>
      <c r="BJ785" s="13" t="s">
        <v>5958</v>
      </c>
      <c r="BK785" s="13" t="s">
        <v>5561</v>
      </c>
      <c r="BL785" s="13" t="s">
        <v>5699</v>
      </c>
      <c r="BM785" s="13" t="s">
        <v>19410</v>
      </c>
      <c r="BN785" s="13" t="s">
        <v>5510</v>
      </c>
      <c r="BO785" s="13" t="s">
        <v>5510</v>
      </c>
      <c r="BP785" s="13" t="s">
        <v>5510</v>
      </c>
      <c r="BQ785" s="13" t="s">
        <v>5510</v>
      </c>
      <c r="BR785" s="13" t="s">
        <v>5538</v>
      </c>
      <c r="BS785" s="13" t="s">
        <v>19411</v>
      </c>
      <c r="BT785" s="13">
        <v>24682.0</v>
      </c>
      <c r="BU785" s="13" t="s">
        <v>5540</v>
      </c>
      <c r="BV785" s="13" t="s">
        <v>4852</v>
      </c>
      <c r="BW785" s="13" t="str">
        <f>VLOOKUP($BT785,Enriched!$A$2:$E$1070,5,false)</f>
        <v>["Invasive &amp; other problematic species, genes &amp; diseases"]</v>
      </c>
      <c r="BX785" s="13" t="str">
        <f>VLOOKUP($BT785,Enriched!$A$2:$E$1070,4,false)</f>
        <v>["Invasive non-native/alien species/diseases"]</v>
      </c>
      <c r="BY785" s="13" t="b">
        <f>VLOOKUP(BT785,Enriched!$A$1:$AA$1070,27,falsE)</f>
        <v>0</v>
      </c>
      <c r="BZ785" s="2" t="str">
        <f>VLOOKUP(BT785,Enriched!$A$1:$AA$1070,14,falsE)</f>
        <v>level2</v>
      </c>
      <c r="CA785" s="13" t="str">
        <f>HYPERLINK("https%3A%2F%2Fwww.webofscience.com%2Fwos%2Fwoscc%2Ffull-record%2FWOS:000344950700013","View Full Record in Web of Science")</f>
        <v>View Full Record in Web of Science</v>
      </c>
    </row>
    <row r="786" ht="12.75" customHeight="1">
      <c r="A786" s="13" t="s">
        <v>5508</v>
      </c>
      <c r="B786" s="13" t="s">
        <v>19412</v>
      </c>
      <c r="C786" s="13" t="s">
        <v>5510</v>
      </c>
      <c r="D786" s="13" t="s">
        <v>5510</v>
      </c>
      <c r="E786" s="13" t="s">
        <v>5510</v>
      </c>
      <c r="F786" s="13" t="s">
        <v>19412</v>
      </c>
      <c r="G786" s="13" t="s">
        <v>5510</v>
      </c>
      <c r="H786" s="13" t="s">
        <v>5510</v>
      </c>
      <c r="I786" s="13" t="s">
        <v>19413</v>
      </c>
      <c r="J786" s="13" t="s">
        <v>7857</v>
      </c>
      <c r="K786" s="13" t="s">
        <v>5510</v>
      </c>
      <c r="L786" s="13" t="s">
        <v>5510</v>
      </c>
      <c r="M786" s="13" t="s">
        <v>5513</v>
      </c>
      <c r="N786" s="13" t="s">
        <v>5514</v>
      </c>
      <c r="O786" s="13" t="s">
        <v>5510</v>
      </c>
      <c r="P786" s="13" t="s">
        <v>5510</v>
      </c>
      <c r="Q786" s="13" t="s">
        <v>5510</v>
      </c>
      <c r="R786" s="13" t="s">
        <v>5510</v>
      </c>
      <c r="S786" s="13" t="s">
        <v>5510</v>
      </c>
      <c r="T786" s="13" t="s">
        <v>19414</v>
      </c>
      <c r="U786" s="13" t="s">
        <v>19415</v>
      </c>
      <c r="V786" s="13" t="s">
        <v>19416</v>
      </c>
      <c r="W786" s="13" t="s">
        <v>19417</v>
      </c>
      <c r="X786" s="13" t="s">
        <v>19418</v>
      </c>
      <c r="Y786" s="13" t="s">
        <v>19419</v>
      </c>
      <c r="Z786" s="13" t="s">
        <v>19420</v>
      </c>
      <c r="AA786" s="13" t="s">
        <v>19421</v>
      </c>
      <c r="AB786" s="13" t="s">
        <v>19422</v>
      </c>
      <c r="AC786" s="13" t="s">
        <v>5510</v>
      </c>
      <c r="AD786" s="13" t="s">
        <v>5510</v>
      </c>
      <c r="AE786" s="13" t="s">
        <v>5510</v>
      </c>
      <c r="AF786" s="13" t="s">
        <v>5510</v>
      </c>
      <c r="AG786" s="13">
        <v>36.0</v>
      </c>
      <c r="AH786" s="13">
        <v>456.0</v>
      </c>
      <c r="AI786" s="13">
        <v>533.0</v>
      </c>
      <c r="AJ786" s="13">
        <v>6.0</v>
      </c>
      <c r="AK786" s="13">
        <v>337.0</v>
      </c>
      <c r="AL786" s="13" t="s">
        <v>5527</v>
      </c>
      <c r="AM786" s="13" t="s">
        <v>5528</v>
      </c>
      <c r="AN786" s="13" t="s">
        <v>5529</v>
      </c>
      <c r="AO786" s="13" t="s">
        <v>7870</v>
      </c>
      <c r="AP786" s="13" t="s">
        <v>7871</v>
      </c>
      <c r="AQ786" s="13" t="s">
        <v>5510</v>
      </c>
      <c r="AR786" s="13" t="s">
        <v>7872</v>
      </c>
      <c r="AS786" s="13" t="s">
        <v>7873</v>
      </c>
      <c r="AT786" s="13" t="s">
        <v>6089</v>
      </c>
      <c r="AU786" s="13">
        <v>2006.0</v>
      </c>
      <c r="AV786" s="13">
        <v>12.0</v>
      </c>
      <c r="AW786" s="13">
        <v>3.0</v>
      </c>
      <c r="AX786" s="13" t="s">
        <v>5510</v>
      </c>
      <c r="AY786" s="13" t="s">
        <v>5510</v>
      </c>
      <c r="AZ786" s="13" t="s">
        <v>5510</v>
      </c>
      <c r="BA786" s="13" t="s">
        <v>5510</v>
      </c>
      <c r="BB786" s="13">
        <v>470.0</v>
      </c>
      <c r="BC786" s="13">
        <v>476.0</v>
      </c>
      <c r="BD786" s="13" t="s">
        <v>5510</v>
      </c>
      <c r="BE786" s="13" t="s">
        <v>19423</v>
      </c>
      <c r="BF786" s="52" t="str">
        <f>HYPERLINK("http://dx.doi.org/10.1111/j.1365-2486.2006.01104.x","http://dx.doi.org/10.1111/j.1365-2486.2006.01104.x")</f>
        <v>http://dx.doi.org/10.1111/j.1365-2486.2006.01104.x</v>
      </c>
      <c r="BG786" s="13" t="s">
        <v>5510</v>
      </c>
      <c r="BH786" s="13" t="s">
        <v>5510</v>
      </c>
      <c r="BI786" s="13">
        <v>7.0</v>
      </c>
      <c r="BJ786" s="13" t="s">
        <v>5698</v>
      </c>
      <c r="BK786" s="13" t="s">
        <v>5561</v>
      </c>
      <c r="BL786" s="13" t="s">
        <v>5699</v>
      </c>
      <c r="BM786" s="13" t="s">
        <v>19424</v>
      </c>
      <c r="BN786" s="13" t="s">
        <v>5510</v>
      </c>
      <c r="BO786" s="13" t="s">
        <v>5510</v>
      </c>
      <c r="BP786" s="13" t="s">
        <v>5510</v>
      </c>
      <c r="BQ786" s="13" t="s">
        <v>5510</v>
      </c>
      <c r="BR786" s="13" t="s">
        <v>5538</v>
      </c>
      <c r="BS786" s="13" t="s">
        <v>19425</v>
      </c>
      <c r="BT786" s="13">
        <v>25146.0</v>
      </c>
      <c r="BU786" s="13" t="s">
        <v>5540</v>
      </c>
      <c r="BV786" s="13" t="s">
        <v>4856</v>
      </c>
      <c r="BW786" s="13" t="str">
        <f>VLOOKUP($BT786,Enriched!$A$2:$E$1070,5,false)</f>
        <v>["Pollution"]</v>
      </c>
      <c r="BX786" s="13" t="str">
        <f>VLOOKUP($BT786,Enriched!$A$2:$E$1070,4,false)</f>
        <v>["Air-borne pollutants"]</v>
      </c>
      <c r="BY786" s="13" t="b">
        <f>VLOOKUP(BT786,Enriched!$A$1:$AA$1070,27,falsE)</f>
        <v>0</v>
      </c>
      <c r="BZ786" s="2" t="str">
        <f>VLOOKUP(BT786,Enriched!$A$1:$AA$1070,14,falsE)</f>
        <v>level2</v>
      </c>
      <c r="CA786" s="13" t="str">
        <f>HYPERLINK("https%3A%2F%2Fwww.webofscience.com%2Fwos%2Fwoscc%2Ffull-record%2FWOS:000236023000006","View Full Record in Web of Science")</f>
        <v>View Full Record in Web of Science</v>
      </c>
    </row>
    <row r="787" ht="12.75" customHeight="1">
      <c r="A787" s="13" t="s">
        <v>5508</v>
      </c>
      <c r="B787" s="13" t="s">
        <v>19426</v>
      </c>
      <c r="C787" s="13" t="s">
        <v>5510</v>
      </c>
      <c r="D787" s="13" t="s">
        <v>5510</v>
      </c>
      <c r="E787" s="13" t="s">
        <v>5510</v>
      </c>
      <c r="F787" s="13" t="s">
        <v>19427</v>
      </c>
      <c r="G787" s="13" t="s">
        <v>5510</v>
      </c>
      <c r="H787" s="13" t="s">
        <v>5510</v>
      </c>
      <c r="I787" s="13" t="s">
        <v>555</v>
      </c>
      <c r="J787" s="13" t="s">
        <v>5919</v>
      </c>
      <c r="K787" s="13" t="s">
        <v>5510</v>
      </c>
      <c r="L787" s="13" t="s">
        <v>5510</v>
      </c>
      <c r="M787" s="13" t="s">
        <v>5513</v>
      </c>
      <c r="N787" s="13" t="s">
        <v>5514</v>
      </c>
      <c r="O787" s="13" t="s">
        <v>5510</v>
      </c>
      <c r="P787" s="13" t="s">
        <v>5510</v>
      </c>
      <c r="Q787" s="13" t="s">
        <v>5510</v>
      </c>
      <c r="R787" s="13" t="s">
        <v>5510</v>
      </c>
      <c r="S787" s="13" t="s">
        <v>5510</v>
      </c>
      <c r="T787" s="13" t="s">
        <v>19428</v>
      </c>
      <c r="U787" s="13" t="s">
        <v>19429</v>
      </c>
      <c r="V787" s="13" t="s">
        <v>19430</v>
      </c>
      <c r="W787" s="13" t="s">
        <v>19431</v>
      </c>
      <c r="X787" s="13" t="s">
        <v>19432</v>
      </c>
      <c r="Y787" s="13" t="s">
        <v>19433</v>
      </c>
      <c r="Z787" s="13" t="s">
        <v>19434</v>
      </c>
      <c r="AA787" s="13" t="s">
        <v>19435</v>
      </c>
      <c r="AB787" s="13" t="s">
        <v>19436</v>
      </c>
      <c r="AC787" s="13" t="s">
        <v>19437</v>
      </c>
      <c r="AD787" s="13" t="s">
        <v>19437</v>
      </c>
      <c r="AE787" s="13" t="s">
        <v>19438</v>
      </c>
      <c r="AF787" s="13" t="s">
        <v>5510</v>
      </c>
      <c r="AG787" s="13">
        <v>40.0</v>
      </c>
      <c r="AH787" s="13">
        <v>45.0</v>
      </c>
      <c r="AI787" s="13">
        <v>49.0</v>
      </c>
      <c r="AJ787" s="13">
        <v>0.0</v>
      </c>
      <c r="AK787" s="13">
        <v>31.0</v>
      </c>
      <c r="AL787" s="13" t="s">
        <v>5931</v>
      </c>
      <c r="AM787" s="13" t="s">
        <v>5932</v>
      </c>
      <c r="AN787" s="13" t="s">
        <v>5933</v>
      </c>
      <c r="AO787" s="13" t="s">
        <v>5934</v>
      </c>
      <c r="AP787" s="13" t="s">
        <v>5935</v>
      </c>
      <c r="AQ787" s="13" t="s">
        <v>5510</v>
      </c>
      <c r="AR787" s="13" t="s">
        <v>5936</v>
      </c>
      <c r="AS787" s="13" t="s">
        <v>5937</v>
      </c>
      <c r="AT787" s="13" t="s">
        <v>5978</v>
      </c>
      <c r="AU787" s="13">
        <v>2008.0</v>
      </c>
      <c r="AV787" s="13">
        <v>141.0</v>
      </c>
      <c r="AW787" s="13">
        <v>12.0</v>
      </c>
      <c r="AX787" s="13" t="s">
        <v>5510</v>
      </c>
      <c r="AY787" s="13" t="s">
        <v>5510</v>
      </c>
      <c r="AZ787" s="13" t="s">
        <v>5510</v>
      </c>
      <c r="BA787" s="13" t="s">
        <v>5510</v>
      </c>
      <c r="BB787" s="13">
        <v>2942.0</v>
      </c>
      <c r="BC787" s="13">
        <v>2958.0</v>
      </c>
      <c r="BD787" s="13" t="s">
        <v>5510</v>
      </c>
      <c r="BE787" s="13" t="s">
        <v>19439</v>
      </c>
      <c r="BF787" s="52" t="str">
        <f>HYPERLINK("http://dx.doi.org/10.1016/j.biocon.2008.07.027","http://dx.doi.org/10.1016/j.biocon.2008.07.027")</f>
        <v>http://dx.doi.org/10.1016/j.biocon.2008.07.027</v>
      </c>
      <c r="BG787" s="13" t="s">
        <v>5510</v>
      </c>
      <c r="BH787" s="13" t="s">
        <v>5510</v>
      </c>
      <c r="BI787" s="13">
        <v>17.0</v>
      </c>
      <c r="BJ787" s="13" t="s">
        <v>5698</v>
      </c>
      <c r="BK787" s="13" t="s">
        <v>5561</v>
      </c>
      <c r="BL787" s="13" t="s">
        <v>5699</v>
      </c>
      <c r="BM787" s="13" t="s">
        <v>19440</v>
      </c>
      <c r="BN787" s="13" t="s">
        <v>5510</v>
      </c>
      <c r="BO787" s="13" t="s">
        <v>5510</v>
      </c>
      <c r="BP787" s="13" t="s">
        <v>5510</v>
      </c>
      <c r="BQ787" s="13" t="s">
        <v>5510</v>
      </c>
      <c r="BR787" s="13" t="s">
        <v>5538</v>
      </c>
      <c r="BS787" s="13" t="s">
        <v>19441</v>
      </c>
      <c r="BT787" s="13">
        <v>25805.0</v>
      </c>
      <c r="BU787" s="13" t="s">
        <v>5540</v>
      </c>
      <c r="BV787" s="13" t="s">
        <v>4864</v>
      </c>
      <c r="BW787" s="13" t="str">
        <f>VLOOKUP($BT787,Enriched!$A$2:$E$1070,5,false)</f>
        <v>["Biological resource use"]</v>
      </c>
      <c r="BX787" s="13" t="str">
        <f>VLOOKUP($BT787,Enriched!$A$2:$E$1070,4,false)</f>
        <v>["Fishing &amp; harvesting aquatic resources"]</v>
      </c>
      <c r="BY787" s="13" t="b">
        <f>VLOOKUP(BT787,Enriched!$A$1:$AA$1070,27,falsE)</f>
        <v>0</v>
      </c>
      <c r="BZ787" s="2" t="str">
        <f>VLOOKUP(BT787,Enriched!$A$1:$AA$1070,14,falsE)</f>
        <v>level2</v>
      </c>
      <c r="CA787" s="13" t="str">
        <f>HYPERLINK("https%3A%2F%2Fwww.webofscience.com%2Fwos%2Fwoscc%2Ffull-record%2FWOS:000261574900004","View Full Record in Web of Science")</f>
        <v>View Full Record in Web of Science</v>
      </c>
    </row>
    <row r="788" ht="12.75" customHeight="1">
      <c r="A788" s="13" t="s">
        <v>5508</v>
      </c>
      <c r="B788" s="13" t="s">
        <v>19442</v>
      </c>
      <c r="C788" s="13" t="s">
        <v>5510</v>
      </c>
      <c r="D788" s="13" t="s">
        <v>5510</v>
      </c>
      <c r="E788" s="13" t="s">
        <v>5510</v>
      </c>
      <c r="F788" s="13" t="s">
        <v>19443</v>
      </c>
      <c r="G788" s="13" t="s">
        <v>5510</v>
      </c>
      <c r="H788" s="13" t="s">
        <v>5510</v>
      </c>
      <c r="I788" s="13" t="s">
        <v>551</v>
      </c>
      <c r="J788" s="13" t="s">
        <v>7857</v>
      </c>
      <c r="K788" s="13" t="s">
        <v>5510</v>
      </c>
      <c r="L788" s="13" t="s">
        <v>5510</v>
      </c>
      <c r="M788" s="13" t="s">
        <v>5513</v>
      </c>
      <c r="N788" s="13" t="s">
        <v>5514</v>
      </c>
      <c r="O788" s="13" t="s">
        <v>5510</v>
      </c>
      <c r="P788" s="13" t="s">
        <v>5510</v>
      </c>
      <c r="Q788" s="13" t="s">
        <v>5510</v>
      </c>
      <c r="R788" s="13" t="s">
        <v>5510</v>
      </c>
      <c r="S788" s="13" t="s">
        <v>5510</v>
      </c>
      <c r="T788" s="13" t="s">
        <v>19444</v>
      </c>
      <c r="U788" s="13" t="s">
        <v>19445</v>
      </c>
      <c r="V788" s="13" t="s">
        <v>19446</v>
      </c>
      <c r="W788" s="13" t="s">
        <v>19447</v>
      </c>
      <c r="X788" s="13" t="s">
        <v>19448</v>
      </c>
      <c r="Y788" s="13" t="s">
        <v>19449</v>
      </c>
      <c r="Z788" s="13" t="s">
        <v>16774</v>
      </c>
      <c r="AA788" s="13" t="s">
        <v>19450</v>
      </c>
      <c r="AB788" s="13" t="s">
        <v>19451</v>
      </c>
      <c r="AC788" s="13" t="s">
        <v>19452</v>
      </c>
      <c r="AD788" s="13" t="s">
        <v>19452</v>
      </c>
      <c r="AE788" s="13" t="s">
        <v>19453</v>
      </c>
      <c r="AF788" s="13" t="s">
        <v>5510</v>
      </c>
      <c r="AG788" s="13">
        <v>48.0</v>
      </c>
      <c r="AH788" s="13">
        <v>55.0</v>
      </c>
      <c r="AI788" s="13">
        <v>57.0</v>
      </c>
      <c r="AJ788" s="13">
        <v>0.0</v>
      </c>
      <c r="AK788" s="13">
        <v>103.0</v>
      </c>
      <c r="AL788" s="13" t="s">
        <v>5527</v>
      </c>
      <c r="AM788" s="13" t="s">
        <v>5528</v>
      </c>
      <c r="AN788" s="13" t="s">
        <v>5529</v>
      </c>
      <c r="AO788" s="13" t="s">
        <v>7870</v>
      </c>
      <c r="AP788" s="13" t="s">
        <v>7871</v>
      </c>
      <c r="AQ788" s="13" t="s">
        <v>5510</v>
      </c>
      <c r="AR788" s="13" t="s">
        <v>7872</v>
      </c>
      <c r="AS788" s="13" t="s">
        <v>7873</v>
      </c>
      <c r="AT788" s="13" t="s">
        <v>5720</v>
      </c>
      <c r="AU788" s="13">
        <v>2011.0</v>
      </c>
      <c r="AV788" s="13">
        <v>17.0</v>
      </c>
      <c r="AW788" s="13">
        <v>6.0</v>
      </c>
      <c r="AX788" s="13" t="s">
        <v>5510</v>
      </c>
      <c r="AY788" s="13" t="s">
        <v>5510</v>
      </c>
      <c r="AZ788" s="13" t="s">
        <v>5510</v>
      </c>
      <c r="BA788" s="13" t="s">
        <v>5510</v>
      </c>
      <c r="BB788" s="13">
        <v>2023.0</v>
      </c>
      <c r="BC788" s="13">
        <v>2032.0</v>
      </c>
      <c r="BD788" s="13" t="s">
        <v>5510</v>
      </c>
      <c r="BE788" s="13" t="s">
        <v>19454</v>
      </c>
      <c r="BF788" s="52" t="str">
        <f>HYPERLINK("http://dx.doi.org/10.1111/j.1365-2486.2011.02395.x","http://dx.doi.org/10.1111/j.1365-2486.2011.02395.x")</f>
        <v>http://dx.doi.org/10.1111/j.1365-2486.2011.02395.x</v>
      </c>
      <c r="BG788" s="13" t="s">
        <v>5510</v>
      </c>
      <c r="BH788" s="13" t="s">
        <v>5510</v>
      </c>
      <c r="BI788" s="13">
        <v>10.0</v>
      </c>
      <c r="BJ788" s="13" t="s">
        <v>5698</v>
      </c>
      <c r="BK788" s="13" t="s">
        <v>5561</v>
      </c>
      <c r="BL788" s="13" t="s">
        <v>5699</v>
      </c>
      <c r="BM788" s="13" t="s">
        <v>19455</v>
      </c>
      <c r="BN788" s="13" t="s">
        <v>5510</v>
      </c>
      <c r="BO788" s="13" t="s">
        <v>5510</v>
      </c>
      <c r="BP788" s="13" t="s">
        <v>5510</v>
      </c>
      <c r="BQ788" s="13" t="s">
        <v>5510</v>
      </c>
      <c r="BR788" s="13" t="s">
        <v>5538</v>
      </c>
      <c r="BS788" s="13" t="s">
        <v>19456</v>
      </c>
      <c r="BT788" s="13">
        <v>24738.0</v>
      </c>
      <c r="BU788" s="13" t="s">
        <v>5540</v>
      </c>
      <c r="BV788" s="13" t="s">
        <v>4864</v>
      </c>
      <c r="BW788" s="13" t="str">
        <f>VLOOKUP($BT788,Enriched!$A$2:$E$1070,5,false)</f>
        <v>["Climate Change &amp; Severe Weather"]</v>
      </c>
      <c r="BX788" s="13" t="str">
        <f>VLOOKUP($BT788,Enriched!$A$2:$E$1070,4,false)</f>
        <v>["Temperature extremes"]</v>
      </c>
      <c r="BY788" s="13" t="b">
        <f>VLOOKUP(BT788,Enriched!$A$1:$AA$1070,27,falsE)</f>
        <v>0</v>
      </c>
      <c r="BZ788" s="2" t="str">
        <f>VLOOKUP(BT788,Enriched!$A$1:$AA$1070,14,falsE)</f>
        <v>level2</v>
      </c>
      <c r="CA788" s="13" t="str">
        <f>HYPERLINK("https%3A%2F%2Fwww.webofscience.com%2Fwos%2Fwoscc%2Ffull-record%2FWOS:000289641400002","View Full Record in Web of Science")</f>
        <v>View Full Record in Web of Science</v>
      </c>
    </row>
    <row r="789" ht="12.75" customHeight="1">
      <c r="A789" s="13" t="s">
        <v>5508</v>
      </c>
      <c r="B789" s="13" t="s">
        <v>19457</v>
      </c>
      <c r="C789" s="13" t="s">
        <v>5510</v>
      </c>
      <c r="D789" s="13" t="s">
        <v>5510</v>
      </c>
      <c r="E789" s="13" t="s">
        <v>5510</v>
      </c>
      <c r="F789" s="13" t="s">
        <v>19458</v>
      </c>
      <c r="G789" s="13" t="s">
        <v>5510</v>
      </c>
      <c r="H789" s="13" t="s">
        <v>5510</v>
      </c>
      <c r="I789" s="13" t="s">
        <v>547</v>
      </c>
      <c r="J789" s="13" t="s">
        <v>6764</v>
      </c>
      <c r="K789" s="13" t="s">
        <v>5510</v>
      </c>
      <c r="L789" s="13" t="s">
        <v>5510</v>
      </c>
      <c r="M789" s="13" t="s">
        <v>5513</v>
      </c>
      <c r="N789" s="13" t="s">
        <v>5514</v>
      </c>
      <c r="O789" s="13" t="s">
        <v>5510</v>
      </c>
      <c r="P789" s="13" t="s">
        <v>5510</v>
      </c>
      <c r="Q789" s="13" t="s">
        <v>5510</v>
      </c>
      <c r="R789" s="13" t="s">
        <v>5510</v>
      </c>
      <c r="S789" s="13" t="s">
        <v>5510</v>
      </c>
      <c r="T789" s="13" t="s">
        <v>19459</v>
      </c>
      <c r="U789" s="13" t="s">
        <v>19460</v>
      </c>
      <c r="V789" s="13" t="s">
        <v>19461</v>
      </c>
      <c r="W789" s="13" t="s">
        <v>19462</v>
      </c>
      <c r="X789" s="13" t="s">
        <v>19463</v>
      </c>
      <c r="Y789" s="13" t="s">
        <v>19464</v>
      </c>
      <c r="Z789" s="13" t="s">
        <v>19465</v>
      </c>
      <c r="AA789" s="13" t="s">
        <v>19466</v>
      </c>
      <c r="AB789" s="13" t="s">
        <v>5510</v>
      </c>
      <c r="AC789" s="13" t="s">
        <v>5510</v>
      </c>
      <c r="AD789" s="13" t="s">
        <v>5510</v>
      </c>
      <c r="AE789" s="13" t="s">
        <v>5510</v>
      </c>
      <c r="AF789" s="13" t="s">
        <v>5510</v>
      </c>
      <c r="AG789" s="13">
        <v>60.0</v>
      </c>
      <c r="AH789" s="13">
        <v>61.0</v>
      </c>
      <c r="AI789" s="13">
        <v>70.0</v>
      </c>
      <c r="AJ789" s="13">
        <v>4.0</v>
      </c>
      <c r="AK789" s="13">
        <v>257.0</v>
      </c>
      <c r="AL789" s="13" t="s">
        <v>5931</v>
      </c>
      <c r="AM789" s="13" t="s">
        <v>7486</v>
      </c>
      <c r="AN789" s="13" t="s">
        <v>7487</v>
      </c>
      <c r="AO789" s="13" t="s">
        <v>6777</v>
      </c>
      <c r="AP789" s="13" t="s">
        <v>6778</v>
      </c>
      <c r="AQ789" s="13" t="s">
        <v>5510</v>
      </c>
      <c r="AR789" s="13" t="s">
        <v>6779</v>
      </c>
      <c r="AS789" s="13" t="s">
        <v>6780</v>
      </c>
      <c r="AT789" s="13" t="s">
        <v>6175</v>
      </c>
      <c r="AU789" s="13">
        <v>2018.0</v>
      </c>
      <c r="AV789" s="13">
        <v>239.0</v>
      </c>
      <c r="AW789" s="13" t="s">
        <v>5510</v>
      </c>
      <c r="AX789" s="13" t="s">
        <v>5510</v>
      </c>
      <c r="AY789" s="13" t="s">
        <v>5510</v>
      </c>
      <c r="AZ789" s="13" t="s">
        <v>5510</v>
      </c>
      <c r="BA789" s="13" t="s">
        <v>5510</v>
      </c>
      <c r="BB789" s="13">
        <v>30.0</v>
      </c>
      <c r="BC789" s="13">
        <v>42.0</v>
      </c>
      <c r="BD789" s="13" t="s">
        <v>5510</v>
      </c>
      <c r="BE789" s="13" t="s">
        <v>19467</v>
      </c>
      <c r="BF789" s="52" t="str">
        <f>HYPERLINK("http://dx.doi.org/10.1016/j.envpol.2018.04.021","http://dx.doi.org/10.1016/j.envpol.2018.04.021")</f>
        <v>http://dx.doi.org/10.1016/j.envpol.2018.04.021</v>
      </c>
      <c r="BG789" s="13" t="s">
        <v>5510</v>
      </c>
      <c r="BH789" s="13" t="s">
        <v>5510</v>
      </c>
      <c r="BI789" s="13">
        <v>13.0</v>
      </c>
      <c r="BJ789" s="13" t="s">
        <v>5768</v>
      </c>
      <c r="BK789" s="13" t="s">
        <v>5534</v>
      </c>
      <c r="BL789" s="13" t="s">
        <v>5535</v>
      </c>
      <c r="BM789" s="13" t="s">
        <v>19468</v>
      </c>
      <c r="BN789" s="13">
        <v>2.9649758E7</v>
      </c>
      <c r="BO789" s="13" t="s">
        <v>5510</v>
      </c>
      <c r="BP789" s="13" t="s">
        <v>5510</v>
      </c>
      <c r="BQ789" s="13" t="s">
        <v>5510</v>
      </c>
      <c r="BR789" s="13" t="s">
        <v>5538</v>
      </c>
      <c r="BS789" s="13" t="s">
        <v>19469</v>
      </c>
      <c r="BT789" s="13">
        <v>24247.0</v>
      </c>
      <c r="BU789" s="13" t="s">
        <v>5540</v>
      </c>
      <c r="BV789" s="13" t="s">
        <v>4864</v>
      </c>
      <c r="BW789" s="13" t="str">
        <f>VLOOKUP($BT789,Enriched!$A$2:$E$1070,5,false)</f>
        <v>["Pollution"]</v>
      </c>
      <c r="BX789" s="13" t="str">
        <f>VLOOKUP($BT789,Enriched!$A$2:$E$1070,4,false)</f>
        <v>["Excess energy"]</v>
      </c>
      <c r="BY789" s="13" t="b">
        <f>VLOOKUP(BT789,Enriched!$A$1:$AA$1070,27,falsE)</f>
        <v>0</v>
      </c>
      <c r="BZ789" s="2" t="str">
        <f>VLOOKUP(BT789,Enriched!$A$1:$AA$1070,14,falsE)</f>
        <v>level2</v>
      </c>
      <c r="CA789" s="13" t="str">
        <f>HYPERLINK("https%3A%2F%2Fwww.webofscience.com%2Fwos%2Fwoscc%2Ffull-record%2FWOS:000434744800004","View Full Record in Web of Science")</f>
        <v>View Full Record in Web of Science</v>
      </c>
    </row>
    <row r="790" ht="12.75" customHeight="1">
      <c r="A790" s="13" t="s">
        <v>5508</v>
      </c>
      <c r="B790" s="13" t="s">
        <v>19470</v>
      </c>
      <c r="C790" s="13" t="s">
        <v>5510</v>
      </c>
      <c r="D790" s="13" t="s">
        <v>5510</v>
      </c>
      <c r="E790" s="13" t="s">
        <v>5510</v>
      </c>
      <c r="F790" s="13" t="s">
        <v>19471</v>
      </c>
      <c r="G790" s="13" t="s">
        <v>5510</v>
      </c>
      <c r="H790" s="13" t="s">
        <v>5510</v>
      </c>
      <c r="I790" s="13" t="s">
        <v>19472</v>
      </c>
      <c r="J790" s="13" t="s">
        <v>6836</v>
      </c>
      <c r="K790" s="13" t="s">
        <v>5510</v>
      </c>
      <c r="L790" s="13" t="s">
        <v>5510</v>
      </c>
      <c r="M790" s="13" t="s">
        <v>5513</v>
      </c>
      <c r="N790" s="13" t="s">
        <v>5514</v>
      </c>
      <c r="O790" s="13" t="s">
        <v>5510</v>
      </c>
      <c r="P790" s="13" t="s">
        <v>5510</v>
      </c>
      <c r="Q790" s="13" t="s">
        <v>5510</v>
      </c>
      <c r="R790" s="13" t="s">
        <v>5510</v>
      </c>
      <c r="S790" s="13" t="s">
        <v>5510</v>
      </c>
      <c r="T790" s="13" t="s">
        <v>19473</v>
      </c>
      <c r="U790" s="13" t="s">
        <v>19474</v>
      </c>
      <c r="V790" s="13" t="s">
        <v>19475</v>
      </c>
      <c r="W790" s="13" t="s">
        <v>19476</v>
      </c>
      <c r="X790" s="13" t="s">
        <v>19477</v>
      </c>
      <c r="Y790" s="13" t="s">
        <v>19478</v>
      </c>
      <c r="Z790" s="13" t="s">
        <v>19479</v>
      </c>
      <c r="AA790" s="13" t="s">
        <v>19480</v>
      </c>
      <c r="AB790" s="13" t="s">
        <v>19481</v>
      </c>
      <c r="AC790" s="13" t="s">
        <v>19482</v>
      </c>
      <c r="AD790" s="13" t="s">
        <v>19483</v>
      </c>
      <c r="AE790" s="13" t="s">
        <v>19484</v>
      </c>
      <c r="AF790" s="13" t="s">
        <v>5510</v>
      </c>
      <c r="AG790" s="13">
        <v>56.0</v>
      </c>
      <c r="AH790" s="13">
        <v>99.0</v>
      </c>
      <c r="AI790" s="13">
        <v>122.0</v>
      </c>
      <c r="AJ790" s="13">
        <v>4.0</v>
      </c>
      <c r="AK790" s="13">
        <v>125.0</v>
      </c>
      <c r="AL790" s="13" t="s">
        <v>6849</v>
      </c>
      <c r="AM790" s="13" t="s">
        <v>6850</v>
      </c>
      <c r="AN790" s="13" t="s">
        <v>6851</v>
      </c>
      <c r="AO790" s="13" t="s">
        <v>5510</v>
      </c>
      <c r="AP790" s="13" t="s">
        <v>6852</v>
      </c>
      <c r="AQ790" s="13" t="s">
        <v>5510</v>
      </c>
      <c r="AR790" s="13" t="s">
        <v>6853</v>
      </c>
      <c r="AS790" s="13" t="s">
        <v>1596</v>
      </c>
      <c r="AT790" s="13" t="s">
        <v>6175</v>
      </c>
      <c r="AU790" s="13">
        <v>2020.0</v>
      </c>
      <c r="AV790" s="13">
        <v>12.0</v>
      </c>
      <c r="AW790" s="13">
        <v>15.0</v>
      </c>
      <c r="AX790" s="13" t="s">
        <v>5510</v>
      </c>
      <c r="AY790" s="13" t="s">
        <v>5510</v>
      </c>
      <c r="AZ790" s="13" t="s">
        <v>5510</v>
      </c>
      <c r="BA790" s="13" t="s">
        <v>5510</v>
      </c>
      <c r="BB790" s="13" t="s">
        <v>5510</v>
      </c>
      <c r="BC790" s="13" t="s">
        <v>5510</v>
      </c>
      <c r="BD790" s="13">
        <v>5932.0</v>
      </c>
      <c r="BE790" s="13" t="s">
        <v>19485</v>
      </c>
      <c r="BF790" s="52" t="str">
        <f>HYPERLINK("http://dx.doi.org/10.3390/su12155932","http://dx.doi.org/10.3390/su12155932")</f>
        <v>http://dx.doi.org/10.3390/su12155932</v>
      </c>
      <c r="BG790" s="13" t="s">
        <v>5510</v>
      </c>
      <c r="BH790" s="13" t="s">
        <v>5510</v>
      </c>
      <c r="BI790" s="13">
        <v>18.0</v>
      </c>
      <c r="BJ790" s="13" t="s">
        <v>6855</v>
      </c>
      <c r="BK790" s="13" t="s">
        <v>5534</v>
      </c>
      <c r="BL790" s="13" t="s">
        <v>6488</v>
      </c>
      <c r="BM790" s="13" t="s">
        <v>19486</v>
      </c>
      <c r="BN790" s="13" t="s">
        <v>5510</v>
      </c>
      <c r="BO790" s="13" t="s">
        <v>5564</v>
      </c>
      <c r="BP790" s="13" t="s">
        <v>5510</v>
      </c>
      <c r="BQ790" s="13" t="s">
        <v>5510</v>
      </c>
      <c r="BR790" s="13" t="s">
        <v>5538</v>
      </c>
      <c r="BS790" s="13" t="s">
        <v>19487</v>
      </c>
      <c r="BT790" s="13">
        <v>23663.0</v>
      </c>
      <c r="BU790" s="13" t="s">
        <v>5540</v>
      </c>
      <c r="BV790" s="13" t="s">
        <v>4852</v>
      </c>
      <c r="BW790" s="13" t="str">
        <f>VLOOKUP($BT790,Enriched!$A$2:$E$1070,5,false)</f>
        <v>["Residential &amp; commercial development", "Transportation &amp; service corridors"]</v>
      </c>
      <c r="BX790" s="13" t="str">
        <f>VLOOKUP($BT790,Enriched!$A$2:$E$1070,4,false)</f>
        <v>["Housing &amp; urban area", "Roads &amp; railroads"]</v>
      </c>
      <c r="BY790" s="13" t="b">
        <f>VLOOKUP(BT790,Enriched!$A$1:$AA$1070,27,falsE)</f>
        <v>0</v>
      </c>
      <c r="BZ790" s="2" t="str">
        <f>VLOOKUP(BT790,Enriched!$A$1:$AA$1070,14,falsE)</f>
        <v>level2</v>
      </c>
      <c r="CA790" s="13" t="str">
        <f>HYPERLINK("https%3A%2F%2Fwww.webofscience.com%2Fwos%2Fwoscc%2Ffull-record%2FWOS:000559561200001","View Full Record in Web of Science")</f>
        <v>View Full Record in Web of Science</v>
      </c>
    </row>
    <row r="791" ht="12.75" customHeight="1">
      <c r="A791" s="13" t="s">
        <v>5508</v>
      </c>
      <c r="B791" s="13" t="s">
        <v>19488</v>
      </c>
      <c r="C791" s="13" t="s">
        <v>5510</v>
      </c>
      <c r="D791" s="13" t="s">
        <v>5510</v>
      </c>
      <c r="E791" s="13" t="s">
        <v>5510</v>
      </c>
      <c r="F791" s="13" t="s">
        <v>19489</v>
      </c>
      <c r="G791" s="13" t="s">
        <v>5510</v>
      </c>
      <c r="H791" s="13" t="s">
        <v>5510</v>
      </c>
      <c r="I791" s="13" t="s">
        <v>541</v>
      </c>
      <c r="J791" s="13" t="s">
        <v>7990</v>
      </c>
      <c r="K791" s="13" t="s">
        <v>5510</v>
      </c>
      <c r="L791" s="13" t="s">
        <v>5510</v>
      </c>
      <c r="M791" s="13" t="s">
        <v>5513</v>
      </c>
      <c r="N791" s="13" t="s">
        <v>5514</v>
      </c>
      <c r="O791" s="13" t="s">
        <v>5510</v>
      </c>
      <c r="P791" s="13" t="s">
        <v>5510</v>
      </c>
      <c r="Q791" s="13" t="s">
        <v>5510</v>
      </c>
      <c r="R791" s="13" t="s">
        <v>5510</v>
      </c>
      <c r="S791" s="13" t="s">
        <v>5510</v>
      </c>
      <c r="T791" s="13" t="s">
        <v>19490</v>
      </c>
      <c r="U791" s="13" t="s">
        <v>5510</v>
      </c>
      <c r="V791" s="13" t="s">
        <v>19491</v>
      </c>
      <c r="W791" s="13" t="s">
        <v>19492</v>
      </c>
      <c r="X791" s="13" t="s">
        <v>19493</v>
      </c>
      <c r="Y791" s="13" t="s">
        <v>19494</v>
      </c>
      <c r="Z791" s="13" t="s">
        <v>19495</v>
      </c>
      <c r="AA791" s="13" t="s">
        <v>19496</v>
      </c>
      <c r="AB791" s="13" t="s">
        <v>19497</v>
      </c>
      <c r="AC791" s="13" t="s">
        <v>5510</v>
      </c>
      <c r="AD791" s="13" t="s">
        <v>5510</v>
      </c>
      <c r="AE791" s="13" t="s">
        <v>5510</v>
      </c>
      <c r="AF791" s="13" t="s">
        <v>5510</v>
      </c>
      <c r="AG791" s="13">
        <v>19.0</v>
      </c>
      <c r="AH791" s="13">
        <v>53.0</v>
      </c>
      <c r="AI791" s="13">
        <v>65.0</v>
      </c>
      <c r="AJ791" s="13">
        <v>0.0</v>
      </c>
      <c r="AK791" s="13">
        <v>29.0</v>
      </c>
      <c r="AL791" s="13" t="s">
        <v>8003</v>
      </c>
      <c r="AM791" s="13" t="s">
        <v>8004</v>
      </c>
      <c r="AN791" s="13" t="s">
        <v>8005</v>
      </c>
      <c r="AO791" s="13" t="s">
        <v>8006</v>
      </c>
      <c r="AP791" s="13" t="s">
        <v>8007</v>
      </c>
      <c r="AQ791" s="13" t="s">
        <v>5510</v>
      </c>
      <c r="AR791" s="13" t="s">
        <v>8008</v>
      </c>
      <c r="AS791" s="13" t="s">
        <v>8009</v>
      </c>
      <c r="AT791" s="13" t="s">
        <v>6175</v>
      </c>
      <c r="AU791" s="13">
        <v>2010.0</v>
      </c>
      <c r="AV791" s="13">
        <v>18.0</v>
      </c>
      <c r="AW791" s="13">
        <v>3.0</v>
      </c>
      <c r="AX791" s="13" t="s">
        <v>5510</v>
      </c>
      <c r="AY791" s="13" t="s">
        <v>5510</v>
      </c>
      <c r="AZ791" s="13" t="s">
        <v>5510</v>
      </c>
      <c r="BA791" s="13" t="s">
        <v>5510</v>
      </c>
      <c r="BB791" s="13">
        <v>180.0</v>
      </c>
      <c r="BC791" s="13">
        <v>188.0</v>
      </c>
      <c r="BD791" s="13" t="s">
        <v>5510</v>
      </c>
      <c r="BE791" s="13" t="s">
        <v>19498</v>
      </c>
      <c r="BF791" s="52" t="str">
        <f>HYPERLINK("http://dx.doi.org/10.1016/j.jnc.2009.08.003","http://dx.doi.org/10.1016/j.jnc.2009.08.003")</f>
        <v>http://dx.doi.org/10.1016/j.jnc.2009.08.003</v>
      </c>
      <c r="BG791" s="13" t="s">
        <v>5510</v>
      </c>
      <c r="BH791" s="13" t="s">
        <v>5510</v>
      </c>
      <c r="BI791" s="13">
        <v>9.0</v>
      </c>
      <c r="BJ791" s="13" t="s">
        <v>5958</v>
      </c>
      <c r="BK791" s="13" t="s">
        <v>5561</v>
      </c>
      <c r="BL791" s="13" t="s">
        <v>5699</v>
      </c>
      <c r="BM791" s="13" t="s">
        <v>19499</v>
      </c>
      <c r="BN791" s="13" t="s">
        <v>5510</v>
      </c>
      <c r="BO791" s="13" t="s">
        <v>5510</v>
      </c>
      <c r="BP791" s="13" t="s">
        <v>5510</v>
      </c>
      <c r="BQ791" s="13" t="s">
        <v>5510</v>
      </c>
      <c r="BR791" s="13" t="s">
        <v>5538</v>
      </c>
      <c r="BS791" s="13" t="s">
        <v>19500</v>
      </c>
      <c r="BT791" s="13">
        <v>24304.0</v>
      </c>
      <c r="BU791" s="13" t="s">
        <v>5540</v>
      </c>
      <c r="BV791" s="13" t="s">
        <v>4856</v>
      </c>
      <c r="BW791" s="13" t="str">
        <f>VLOOKUP($BT791,Enriched!$A$2:$E$1070,5,false)</f>
        <v>["Residential &amp; Commercial Development", "Agriculture &amp; Aquaculture", "Transportation &amp; Service Corridors", "Natural System Modifications"]</v>
      </c>
      <c r="BX791" s="13" t="str">
        <f>VLOOKUP($BT791,Enriched!$A$2:$E$1070,4,false)</f>
        <v>["Commercial &amp; industrial areas", "Annual &amp; perennial non-timber crops", "Livestock farming &amp; ranching", "Roads &amp; railroads", "Fire &amp; fire suppression", "Dams &amp; water management/use"]</v>
      </c>
      <c r="BY791" s="13" t="b">
        <f>VLOOKUP(BT791,Enriched!$A$1:$AA$1070,27,falsE)</f>
        <v>0</v>
      </c>
      <c r="BZ791" s="2" t="str">
        <f>VLOOKUP(BT791,Enriched!$A$1:$AA$1070,14,falsE)</f>
        <v>level2</v>
      </c>
      <c r="CA791" s="13" t="str">
        <f>HYPERLINK("https%3A%2F%2Fwww.webofscience.com%2Fwos%2Fwoscc%2Ffull-record%2FWOS:000278650600004","View Full Record in Web of Science")</f>
        <v>View Full Record in Web of Science</v>
      </c>
    </row>
    <row r="792" ht="12.75" customHeight="1">
      <c r="A792" s="13" t="s">
        <v>5508</v>
      </c>
      <c r="B792" s="13" t="s">
        <v>19501</v>
      </c>
      <c r="C792" s="13" t="s">
        <v>5510</v>
      </c>
      <c r="D792" s="13" t="s">
        <v>5510</v>
      </c>
      <c r="E792" s="13" t="s">
        <v>5510</v>
      </c>
      <c r="F792" s="13" t="s">
        <v>19502</v>
      </c>
      <c r="G792" s="13" t="s">
        <v>5510</v>
      </c>
      <c r="H792" s="13" t="s">
        <v>5510</v>
      </c>
      <c r="I792" s="13" t="s">
        <v>534</v>
      </c>
      <c r="J792" s="13" t="s">
        <v>8331</v>
      </c>
      <c r="K792" s="13" t="s">
        <v>5510</v>
      </c>
      <c r="L792" s="13" t="s">
        <v>5510</v>
      </c>
      <c r="M792" s="13" t="s">
        <v>5513</v>
      </c>
      <c r="N792" s="13" t="s">
        <v>5514</v>
      </c>
      <c r="O792" s="13" t="s">
        <v>5510</v>
      </c>
      <c r="P792" s="13" t="s">
        <v>5510</v>
      </c>
      <c r="Q792" s="13" t="s">
        <v>5510</v>
      </c>
      <c r="R792" s="13" t="s">
        <v>5510</v>
      </c>
      <c r="S792" s="13" t="s">
        <v>5510</v>
      </c>
      <c r="T792" s="13" t="s">
        <v>19503</v>
      </c>
      <c r="U792" s="13" t="s">
        <v>19504</v>
      </c>
      <c r="V792" s="13" t="s">
        <v>19505</v>
      </c>
      <c r="W792" s="13" t="s">
        <v>19506</v>
      </c>
      <c r="X792" s="13" t="s">
        <v>19507</v>
      </c>
      <c r="Y792" s="13" t="s">
        <v>19508</v>
      </c>
      <c r="Z792" s="13" t="s">
        <v>19509</v>
      </c>
      <c r="AA792" s="13" t="s">
        <v>19510</v>
      </c>
      <c r="AB792" s="13" t="s">
        <v>19511</v>
      </c>
      <c r="AC792" s="13" t="s">
        <v>19512</v>
      </c>
      <c r="AD792" s="13" t="s">
        <v>19513</v>
      </c>
      <c r="AE792" s="13" t="s">
        <v>19514</v>
      </c>
      <c r="AF792" s="13" t="s">
        <v>5510</v>
      </c>
      <c r="AG792" s="13">
        <v>64.0</v>
      </c>
      <c r="AH792" s="13">
        <v>15.0</v>
      </c>
      <c r="AI792" s="13">
        <v>21.0</v>
      </c>
      <c r="AJ792" s="13">
        <v>0.0</v>
      </c>
      <c r="AK792" s="13">
        <v>38.0</v>
      </c>
      <c r="AL792" s="13" t="s">
        <v>8343</v>
      </c>
      <c r="AM792" s="13" t="s">
        <v>6293</v>
      </c>
      <c r="AN792" s="13" t="s">
        <v>8344</v>
      </c>
      <c r="AO792" s="13" t="s">
        <v>8345</v>
      </c>
      <c r="AP792" s="13" t="s">
        <v>8346</v>
      </c>
      <c r="AQ792" s="13" t="s">
        <v>5510</v>
      </c>
      <c r="AR792" s="13" t="s">
        <v>8347</v>
      </c>
      <c r="AS792" s="13" t="s">
        <v>8348</v>
      </c>
      <c r="AT792" s="13" t="s">
        <v>2738</v>
      </c>
      <c r="AU792" s="13">
        <v>2011.0</v>
      </c>
      <c r="AV792" s="13">
        <v>21.0</v>
      </c>
      <c r="AW792" s="13">
        <v>1.0</v>
      </c>
      <c r="AX792" s="13" t="s">
        <v>5510</v>
      </c>
      <c r="AY792" s="13" t="s">
        <v>5510</v>
      </c>
      <c r="AZ792" s="13" t="s">
        <v>5510</v>
      </c>
      <c r="BA792" s="13" t="s">
        <v>5510</v>
      </c>
      <c r="BB792" s="13">
        <v>176.0</v>
      </c>
      <c r="BC792" s="13">
        <v>192.0</v>
      </c>
      <c r="BD792" s="13" t="s">
        <v>5510</v>
      </c>
      <c r="BE792" s="13" t="s">
        <v>19515</v>
      </c>
      <c r="BF792" s="52" t="str">
        <f>HYPERLINK("http://dx.doi.org/10.1007/s11442-011-0837-6","http://dx.doi.org/10.1007/s11442-011-0837-6")</f>
        <v>http://dx.doi.org/10.1007/s11442-011-0837-6</v>
      </c>
      <c r="BG792" s="13" t="s">
        <v>5510</v>
      </c>
      <c r="BH792" s="13" t="s">
        <v>5510</v>
      </c>
      <c r="BI792" s="13">
        <v>17.0</v>
      </c>
      <c r="BJ792" s="13" t="s">
        <v>8350</v>
      </c>
      <c r="BK792" s="13" t="s">
        <v>5561</v>
      </c>
      <c r="BL792" s="13" t="s">
        <v>8351</v>
      </c>
      <c r="BM792" s="13" t="s">
        <v>19516</v>
      </c>
      <c r="BN792" s="13" t="s">
        <v>5510</v>
      </c>
      <c r="BO792" s="13" t="s">
        <v>5510</v>
      </c>
      <c r="BP792" s="13" t="s">
        <v>5510</v>
      </c>
      <c r="BQ792" s="13" t="s">
        <v>5510</v>
      </c>
      <c r="BR792" s="13" t="s">
        <v>5538</v>
      </c>
      <c r="BS792" s="13" t="s">
        <v>19517</v>
      </c>
      <c r="BT792" s="13">
        <v>25084.0</v>
      </c>
      <c r="BU792" s="13" t="s">
        <v>5540</v>
      </c>
      <c r="BV792" s="13" t="s">
        <v>4856</v>
      </c>
      <c r="BW792" s="13" t="str">
        <f>VLOOKUP($BT792,Enriched!$A$2:$E$1070,5,false)</f>
        <v>["Agriculture &amp; Aquaculture"]</v>
      </c>
      <c r="BX792" s="13" t="str">
        <f>VLOOKUP($BT792,Enriched!$A$2:$E$1070,4,false)</f>
        <v/>
      </c>
      <c r="BY792" s="13" t="b">
        <f>VLOOKUP(BT792,Enriched!$A$1:$AA$1070,27,falsE)</f>
        <v>1</v>
      </c>
      <c r="BZ792" s="2" t="str">
        <f>VLOOKUP(BT792,Enriched!$A$1:$AA$1070,14,falsE)</f>
        <v>level1</v>
      </c>
      <c r="CA792" s="13" t="str">
        <f>HYPERLINK("https%3A%2F%2Fwww.webofscience.com%2Fwos%2Fwoscc%2Ffull-record%2FWOS:000285985800013","View Full Record in Web of Science")</f>
        <v>View Full Record in Web of Science</v>
      </c>
    </row>
    <row r="793" ht="12.75" customHeight="1">
      <c r="A793" s="13" t="s">
        <v>5508</v>
      </c>
      <c r="B793" s="13" t="s">
        <v>19518</v>
      </c>
      <c r="C793" s="13" t="s">
        <v>5510</v>
      </c>
      <c r="D793" s="13" t="s">
        <v>5510</v>
      </c>
      <c r="E793" s="13" t="s">
        <v>5510</v>
      </c>
      <c r="F793" s="13" t="s">
        <v>19519</v>
      </c>
      <c r="G793" s="13" t="s">
        <v>5510</v>
      </c>
      <c r="H793" s="13" t="s">
        <v>5510</v>
      </c>
      <c r="I793" s="13" t="s">
        <v>530</v>
      </c>
      <c r="J793" s="13" t="s">
        <v>19520</v>
      </c>
      <c r="K793" s="13" t="s">
        <v>5510</v>
      </c>
      <c r="L793" s="13" t="s">
        <v>5510</v>
      </c>
      <c r="M793" s="13" t="s">
        <v>5513</v>
      </c>
      <c r="N793" s="13" t="s">
        <v>5514</v>
      </c>
      <c r="O793" s="13" t="s">
        <v>5510</v>
      </c>
      <c r="P793" s="13" t="s">
        <v>5510</v>
      </c>
      <c r="Q793" s="13" t="s">
        <v>5510</v>
      </c>
      <c r="R793" s="13" t="s">
        <v>5510</v>
      </c>
      <c r="S793" s="13" t="s">
        <v>5510</v>
      </c>
      <c r="T793" s="13" t="s">
        <v>19521</v>
      </c>
      <c r="U793" s="13" t="s">
        <v>19522</v>
      </c>
      <c r="V793" s="13" t="s">
        <v>19523</v>
      </c>
      <c r="W793" s="13" t="s">
        <v>19524</v>
      </c>
      <c r="X793" s="13" t="s">
        <v>19525</v>
      </c>
      <c r="Y793" s="13" t="s">
        <v>19526</v>
      </c>
      <c r="Z793" s="13" t="s">
        <v>19527</v>
      </c>
      <c r="AA793" s="13" t="s">
        <v>19528</v>
      </c>
      <c r="AB793" s="13" t="s">
        <v>19529</v>
      </c>
      <c r="AC793" s="13" t="s">
        <v>19530</v>
      </c>
      <c r="AD793" s="13" t="s">
        <v>19530</v>
      </c>
      <c r="AE793" s="13" t="s">
        <v>19531</v>
      </c>
      <c r="AF793" s="13" t="s">
        <v>5510</v>
      </c>
      <c r="AG793" s="13">
        <v>43.0</v>
      </c>
      <c r="AH793" s="13">
        <v>23.0</v>
      </c>
      <c r="AI793" s="13">
        <v>28.0</v>
      </c>
      <c r="AJ793" s="13">
        <v>0.0</v>
      </c>
      <c r="AK793" s="13">
        <v>9.0</v>
      </c>
      <c r="AL793" s="13" t="s">
        <v>19532</v>
      </c>
      <c r="AM793" s="13" t="s">
        <v>19533</v>
      </c>
      <c r="AN793" s="13" t="s">
        <v>19534</v>
      </c>
      <c r="AO793" s="13" t="s">
        <v>19535</v>
      </c>
      <c r="AP793" s="13" t="s">
        <v>19536</v>
      </c>
      <c r="AQ793" s="13" t="s">
        <v>5510</v>
      </c>
      <c r="AR793" s="13" t="s">
        <v>19537</v>
      </c>
      <c r="AS793" s="13" t="s">
        <v>19538</v>
      </c>
      <c r="AT793" s="13" t="s">
        <v>6089</v>
      </c>
      <c r="AU793" s="13">
        <v>2020.0</v>
      </c>
      <c r="AV793" s="13">
        <v>61.0</v>
      </c>
      <c r="AW793" s="13">
        <v>1.0</v>
      </c>
      <c r="AX793" s="13" t="s">
        <v>5510</v>
      </c>
      <c r="AY793" s="13" t="s">
        <v>5510</v>
      </c>
      <c r="AZ793" s="13" t="s">
        <v>5510</v>
      </c>
      <c r="BA793" s="13" t="s">
        <v>5510</v>
      </c>
      <c r="BB793" s="13">
        <v>65.0</v>
      </c>
      <c r="BC793" s="13">
        <v>75.0</v>
      </c>
      <c r="BD793" s="13" t="s">
        <v>5510</v>
      </c>
      <c r="BE793" s="13" t="s">
        <v>19539</v>
      </c>
      <c r="BF793" s="52" t="str">
        <f>HYPERLINK("http://dx.doi.org/10.1007/s42965-020-00062-0","http://dx.doi.org/10.1007/s42965-020-00062-0")</f>
        <v>http://dx.doi.org/10.1007/s42965-020-00062-0</v>
      </c>
      <c r="BG793" s="13" t="s">
        <v>5510</v>
      </c>
      <c r="BH793" s="13" t="s">
        <v>5510</v>
      </c>
      <c r="BI793" s="13">
        <v>11.0</v>
      </c>
      <c r="BJ793" s="13" t="s">
        <v>5533</v>
      </c>
      <c r="BK793" s="13" t="s">
        <v>5561</v>
      </c>
      <c r="BL793" s="13" t="s">
        <v>5535</v>
      </c>
      <c r="BM793" s="13" t="s">
        <v>19540</v>
      </c>
      <c r="BN793" s="13" t="s">
        <v>5510</v>
      </c>
      <c r="BO793" s="13" t="s">
        <v>5510</v>
      </c>
      <c r="BP793" s="13" t="s">
        <v>5510</v>
      </c>
      <c r="BQ793" s="13" t="s">
        <v>5510</v>
      </c>
      <c r="BR793" s="13" t="s">
        <v>5538</v>
      </c>
      <c r="BS793" s="13" t="s">
        <v>19541</v>
      </c>
      <c r="BT793" s="13">
        <v>25076.0</v>
      </c>
      <c r="BU793" s="13" t="s">
        <v>5540</v>
      </c>
      <c r="BV793" s="13" t="s">
        <v>4856</v>
      </c>
      <c r="BW793" s="13" t="str">
        <f>VLOOKUP($BT793,Enriched!$A$2:$E$1070,5,false)</f>
        <v>["Agriculture &amp; aquaculture"]</v>
      </c>
      <c r="BX793" s="13" t="str">
        <f>VLOOKUP($BT793,Enriched!$A$2:$E$1070,4,false)</f>
        <v>["Annual &amp; perennial non-timber crops"]</v>
      </c>
      <c r="BY793" s="13" t="b">
        <f>VLOOKUP(BT793,Enriched!$A$1:$AA$1070,27,falsE)</f>
        <v>0</v>
      </c>
      <c r="BZ793" s="2" t="str">
        <f>VLOOKUP(BT793,Enriched!$A$1:$AA$1070,14,falsE)</f>
        <v>level2</v>
      </c>
      <c r="CA793" s="13" t="str">
        <f>HYPERLINK("https%3A%2F%2Fwww.webofscience.com%2Fwos%2Fwoscc%2Ffull-record%2FWOS:000535685100008","View Full Record in Web of Science")</f>
        <v>View Full Record in Web of Science</v>
      </c>
    </row>
    <row r="794" ht="12.75" customHeight="1">
      <c r="A794" s="13" t="s">
        <v>5508</v>
      </c>
      <c r="B794" s="13" t="s">
        <v>19542</v>
      </c>
      <c r="C794" s="13" t="s">
        <v>5510</v>
      </c>
      <c r="D794" s="13" t="s">
        <v>5510</v>
      </c>
      <c r="E794" s="13" t="s">
        <v>5510</v>
      </c>
      <c r="F794" s="13" t="s">
        <v>19543</v>
      </c>
      <c r="G794" s="13" t="s">
        <v>5510</v>
      </c>
      <c r="H794" s="13" t="s">
        <v>5510</v>
      </c>
      <c r="I794" s="2" t="s">
        <v>527</v>
      </c>
      <c r="J794" s="13" t="s">
        <v>8356</v>
      </c>
      <c r="K794" s="13" t="s">
        <v>5510</v>
      </c>
      <c r="L794" s="13" t="s">
        <v>5510</v>
      </c>
      <c r="M794" s="13" t="s">
        <v>5513</v>
      </c>
      <c r="N794" s="13" t="s">
        <v>5514</v>
      </c>
      <c r="O794" s="13" t="s">
        <v>5510</v>
      </c>
      <c r="P794" s="13" t="s">
        <v>5510</v>
      </c>
      <c r="Q794" s="13" t="s">
        <v>5510</v>
      </c>
      <c r="R794" s="13" t="s">
        <v>5510</v>
      </c>
      <c r="S794" s="13" t="s">
        <v>5510</v>
      </c>
      <c r="T794" s="13" t="s">
        <v>19544</v>
      </c>
      <c r="U794" s="13" t="s">
        <v>19545</v>
      </c>
      <c r="V794" s="13" t="s">
        <v>19546</v>
      </c>
      <c r="W794" s="13" t="s">
        <v>19547</v>
      </c>
      <c r="X794" s="13" t="s">
        <v>19548</v>
      </c>
      <c r="Y794" s="13" t="s">
        <v>19549</v>
      </c>
      <c r="Z794" s="13" t="s">
        <v>19550</v>
      </c>
      <c r="AA794" s="13" t="s">
        <v>19551</v>
      </c>
      <c r="AB794" s="13" t="s">
        <v>19552</v>
      </c>
      <c r="AC794" s="13" t="s">
        <v>19553</v>
      </c>
      <c r="AD794" s="13" t="s">
        <v>19553</v>
      </c>
      <c r="AE794" s="13" t="s">
        <v>19554</v>
      </c>
      <c r="AF794" s="13" t="s">
        <v>5510</v>
      </c>
      <c r="AG794" s="13">
        <v>43.0</v>
      </c>
      <c r="AH794" s="13">
        <v>12.0</v>
      </c>
      <c r="AI794" s="13">
        <v>12.0</v>
      </c>
      <c r="AJ794" s="13">
        <v>2.0</v>
      </c>
      <c r="AK794" s="13">
        <v>22.0</v>
      </c>
      <c r="AL794" s="13" t="s">
        <v>5931</v>
      </c>
      <c r="AM794" s="13" t="s">
        <v>5932</v>
      </c>
      <c r="AN794" s="13" t="s">
        <v>5933</v>
      </c>
      <c r="AO794" s="13" t="s">
        <v>8369</v>
      </c>
      <c r="AP794" s="13" t="s">
        <v>8370</v>
      </c>
      <c r="AQ794" s="13" t="s">
        <v>5510</v>
      </c>
      <c r="AR794" s="13" t="s">
        <v>8371</v>
      </c>
      <c r="AS794" s="13" t="s">
        <v>8372</v>
      </c>
      <c r="AT794" s="13" t="s">
        <v>6828</v>
      </c>
      <c r="AU794" s="13">
        <v>2018.0</v>
      </c>
      <c r="AV794" s="13">
        <v>93.0</v>
      </c>
      <c r="AW794" s="13" t="s">
        <v>5510</v>
      </c>
      <c r="AX794" s="13" t="s">
        <v>5510</v>
      </c>
      <c r="AY794" s="13" t="s">
        <v>5510</v>
      </c>
      <c r="AZ794" s="13" t="s">
        <v>5510</v>
      </c>
      <c r="BA794" s="13" t="s">
        <v>5510</v>
      </c>
      <c r="BB794" s="13">
        <v>76.0</v>
      </c>
      <c r="BC794" s="13">
        <v>80.0</v>
      </c>
      <c r="BD794" s="13" t="s">
        <v>5510</v>
      </c>
      <c r="BE794" s="13" t="s">
        <v>19555</v>
      </c>
      <c r="BF794" s="52" t="str">
        <f>HYPERLINK("http://dx.doi.org/10.1016/j.apgeog.2018.02.015","http://dx.doi.org/10.1016/j.apgeog.2018.02.015")</f>
        <v>http://dx.doi.org/10.1016/j.apgeog.2018.02.015</v>
      </c>
      <c r="BG794" s="13" t="s">
        <v>5510</v>
      </c>
      <c r="BH794" s="13" t="s">
        <v>5510</v>
      </c>
      <c r="BI794" s="13">
        <v>5.0</v>
      </c>
      <c r="BJ794" s="13" t="s">
        <v>8374</v>
      </c>
      <c r="BK794" s="13" t="s">
        <v>8375</v>
      </c>
      <c r="BL794" s="13" t="s">
        <v>8374</v>
      </c>
      <c r="BM794" s="13" t="s">
        <v>19556</v>
      </c>
      <c r="BN794" s="13" t="s">
        <v>5510</v>
      </c>
      <c r="BO794" s="13" t="s">
        <v>5510</v>
      </c>
      <c r="BP794" s="13" t="s">
        <v>5510</v>
      </c>
      <c r="BQ794" s="13" t="s">
        <v>5510</v>
      </c>
      <c r="BR794" s="13" t="s">
        <v>5538</v>
      </c>
      <c r="BS794" s="13" t="s">
        <v>19557</v>
      </c>
      <c r="BT794" s="13">
        <v>25520.0</v>
      </c>
      <c r="BU794" s="13" t="s">
        <v>5540</v>
      </c>
      <c r="BV794" s="13" t="s">
        <v>4856</v>
      </c>
      <c r="BW794" s="13" t="str">
        <f>VLOOKUP($BT794,Enriched!$A$2:$E$1070,5,false)</f>
        <v>["Transportation &amp; Service Corridors"]</v>
      </c>
      <c r="BX794" s="13" t="str">
        <f>VLOOKUP($BT794,Enriched!$A$2:$E$1070,4,false)</f>
        <v>["Roads &amp; railroads"]</v>
      </c>
      <c r="BY794" s="13" t="b">
        <f>VLOOKUP(BT794,Enriched!$A$1:$AA$1070,27,falsE)</f>
        <v>0</v>
      </c>
      <c r="BZ794" s="2" t="str">
        <f>VLOOKUP(BT794,Enriched!$A$1:$AA$1070,14,falsE)</f>
        <v>level2</v>
      </c>
      <c r="CA794" s="13" t="str">
        <f>HYPERLINK("https%3A%2F%2Fwww.webofscience.com%2Fwos%2Fwoscc%2Ffull-record%2FWOS:000430775300007","View Full Record in Web of Science")</f>
        <v>View Full Record in Web of Science</v>
      </c>
    </row>
    <row r="795" ht="12.75" customHeight="1">
      <c r="A795" s="13" t="s">
        <v>5508</v>
      </c>
      <c r="B795" s="13" t="s">
        <v>19558</v>
      </c>
      <c r="C795" s="13" t="s">
        <v>5510</v>
      </c>
      <c r="D795" s="13" t="s">
        <v>5510</v>
      </c>
      <c r="E795" s="13" t="s">
        <v>5510</v>
      </c>
      <c r="F795" s="13" t="s">
        <v>19559</v>
      </c>
      <c r="G795" s="13" t="s">
        <v>5510</v>
      </c>
      <c r="H795" s="13" t="s">
        <v>5510</v>
      </c>
      <c r="I795" s="13" t="s">
        <v>525</v>
      </c>
      <c r="J795" s="13" t="s">
        <v>5963</v>
      </c>
      <c r="K795" s="13" t="s">
        <v>5510</v>
      </c>
      <c r="L795" s="13" t="s">
        <v>5510</v>
      </c>
      <c r="M795" s="13" t="s">
        <v>5513</v>
      </c>
      <c r="N795" s="13" t="s">
        <v>5514</v>
      </c>
      <c r="O795" s="13" t="s">
        <v>5510</v>
      </c>
      <c r="P795" s="13" t="s">
        <v>5510</v>
      </c>
      <c r="Q795" s="13" t="s">
        <v>5510</v>
      </c>
      <c r="R795" s="13" t="s">
        <v>5510</v>
      </c>
      <c r="S795" s="13" t="s">
        <v>5510</v>
      </c>
      <c r="T795" s="13" t="s">
        <v>19560</v>
      </c>
      <c r="U795" s="13" t="s">
        <v>19561</v>
      </c>
      <c r="V795" s="13" t="s">
        <v>19562</v>
      </c>
      <c r="W795" s="13" t="s">
        <v>19563</v>
      </c>
      <c r="X795" s="13" t="s">
        <v>19564</v>
      </c>
      <c r="Y795" s="13" t="s">
        <v>19565</v>
      </c>
      <c r="Z795" s="13" t="s">
        <v>19566</v>
      </c>
      <c r="AA795" s="13" t="s">
        <v>19567</v>
      </c>
      <c r="AB795" s="13" t="s">
        <v>19568</v>
      </c>
      <c r="AC795" s="13" t="s">
        <v>5510</v>
      </c>
      <c r="AD795" s="13" t="s">
        <v>5510</v>
      </c>
      <c r="AE795" s="13" t="s">
        <v>5510</v>
      </c>
      <c r="AF795" s="13" t="s">
        <v>5510</v>
      </c>
      <c r="AG795" s="13">
        <v>31.0</v>
      </c>
      <c r="AH795" s="13">
        <v>3.0</v>
      </c>
      <c r="AI795" s="13">
        <v>5.0</v>
      </c>
      <c r="AJ795" s="13">
        <v>0.0</v>
      </c>
      <c r="AK795" s="13">
        <v>17.0</v>
      </c>
      <c r="AL795" s="13" t="s">
        <v>5690</v>
      </c>
      <c r="AM795" s="13" t="s">
        <v>5691</v>
      </c>
      <c r="AN795" s="13" t="s">
        <v>5692</v>
      </c>
      <c r="AO795" s="13" t="s">
        <v>5975</v>
      </c>
      <c r="AP795" s="13" t="s">
        <v>8269</v>
      </c>
      <c r="AQ795" s="13" t="s">
        <v>5510</v>
      </c>
      <c r="AR795" s="13" t="s">
        <v>5976</v>
      </c>
      <c r="AS795" s="13" t="s">
        <v>5977</v>
      </c>
      <c r="AT795" s="13" t="s">
        <v>2738</v>
      </c>
      <c r="AU795" s="13">
        <v>2018.0</v>
      </c>
      <c r="AV795" s="13">
        <v>190.0</v>
      </c>
      <c r="AW795" s="13">
        <v>2.0</v>
      </c>
      <c r="AX795" s="13" t="s">
        <v>5510</v>
      </c>
      <c r="AY795" s="13" t="s">
        <v>5510</v>
      </c>
      <c r="AZ795" s="13" t="s">
        <v>5510</v>
      </c>
      <c r="BA795" s="13" t="s">
        <v>5510</v>
      </c>
      <c r="BB795" s="13" t="s">
        <v>5510</v>
      </c>
      <c r="BC795" s="13" t="s">
        <v>5510</v>
      </c>
      <c r="BD795" s="13">
        <v>88.0</v>
      </c>
      <c r="BE795" s="13" t="s">
        <v>19569</v>
      </c>
      <c r="BF795" s="52" t="str">
        <f>HYPERLINK("http://dx.doi.org/10.1007/s10661-018-6464-2","http://dx.doi.org/10.1007/s10661-018-6464-2")</f>
        <v>http://dx.doi.org/10.1007/s10661-018-6464-2</v>
      </c>
      <c r="BG795" s="13" t="s">
        <v>5510</v>
      </c>
      <c r="BH795" s="13" t="s">
        <v>5510</v>
      </c>
      <c r="BI795" s="13">
        <v>12.0</v>
      </c>
      <c r="BJ795" s="13" t="s">
        <v>5768</v>
      </c>
      <c r="BK795" s="13" t="s">
        <v>5561</v>
      </c>
      <c r="BL795" s="13" t="s">
        <v>5535</v>
      </c>
      <c r="BM795" s="13" t="s">
        <v>19570</v>
      </c>
      <c r="BN795" s="13">
        <v>2.9352356E7</v>
      </c>
      <c r="BO795" s="13" t="s">
        <v>5510</v>
      </c>
      <c r="BP795" s="13" t="s">
        <v>5510</v>
      </c>
      <c r="BQ795" s="13" t="s">
        <v>5510</v>
      </c>
      <c r="BR795" s="13" t="s">
        <v>5538</v>
      </c>
      <c r="BS795" s="13" t="s">
        <v>19571</v>
      </c>
      <c r="BT795" s="13">
        <v>24096.0</v>
      </c>
      <c r="BU795" s="13" t="s">
        <v>5540</v>
      </c>
      <c r="BV795" s="13" t="s">
        <v>4856</v>
      </c>
      <c r="BW795" s="13" t="str">
        <f>VLOOKUP($BT795,Enriched!$A$2:$E$1070,5,false)</f>
        <v>["Biological Resource Use", "Pollution"]</v>
      </c>
      <c r="BX795" s="13" t="str">
        <f>VLOOKUP($BT795,Enriched!$A$2:$E$1070,4,false)</f>
        <v>["Logging &amp; wood harvesting", "Excess energy"]</v>
      </c>
      <c r="BY795" s="13" t="b">
        <f>VLOOKUP(BT795,Enriched!$A$1:$AA$1070,27,falsE)</f>
        <v>0</v>
      </c>
      <c r="BZ795" s="2" t="str">
        <f>VLOOKUP(BT795,Enriched!$A$1:$AA$1070,14,falsE)</f>
        <v>cumulative</v>
      </c>
      <c r="CA795" s="13" t="str">
        <f>HYPERLINK("https%3A%2F%2Fwww.webofscience.com%2Fwos%2Fwoscc%2Ffull-record%2FWOS:000424113700034","View Full Record in Web of Science")</f>
        <v>View Full Record in Web of Science</v>
      </c>
    </row>
    <row r="796" ht="12.75" customHeight="1">
      <c r="A796" s="13" t="s">
        <v>5508</v>
      </c>
      <c r="B796" s="13" t="s">
        <v>19572</v>
      </c>
      <c r="C796" s="13" t="s">
        <v>5510</v>
      </c>
      <c r="D796" s="13" t="s">
        <v>5510</v>
      </c>
      <c r="E796" s="13" t="s">
        <v>5510</v>
      </c>
      <c r="F796" s="13" t="s">
        <v>19573</v>
      </c>
      <c r="G796" s="13" t="s">
        <v>5510</v>
      </c>
      <c r="H796" s="13" t="s">
        <v>5510</v>
      </c>
      <c r="I796" s="13" t="s">
        <v>521</v>
      </c>
      <c r="J796" s="13" t="s">
        <v>8331</v>
      </c>
      <c r="K796" s="13" t="s">
        <v>5510</v>
      </c>
      <c r="L796" s="13" t="s">
        <v>5510</v>
      </c>
      <c r="M796" s="13" t="s">
        <v>5513</v>
      </c>
      <c r="N796" s="13" t="s">
        <v>5514</v>
      </c>
      <c r="O796" s="13" t="s">
        <v>5510</v>
      </c>
      <c r="P796" s="13" t="s">
        <v>5510</v>
      </c>
      <c r="Q796" s="13" t="s">
        <v>5510</v>
      </c>
      <c r="R796" s="13" t="s">
        <v>5510</v>
      </c>
      <c r="S796" s="13" t="s">
        <v>5510</v>
      </c>
      <c r="T796" s="13" t="s">
        <v>19574</v>
      </c>
      <c r="U796" s="13" t="s">
        <v>19575</v>
      </c>
      <c r="V796" s="13" t="s">
        <v>19576</v>
      </c>
      <c r="W796" s="13" t="s">
        <v>19577</v>
      </c>
      <c r="X796" s="13" t="s">
        <v>19578</v>
      </c>
      <c r="Y796" s="13" t="s">
        <v>19579</v>
      </c>
      <c r="Z796" s="13" t="s">
        <v>19580</v>
      </c>
      <c r="AA796" s="13" t="s">
        <v>19581</v>
      </c>
      <c r="AB796" s="13" t="s">
        <v>19582</v>
      </c>
      <c r="AC796" s="13" t="s">
        <v>19583</v>
      </c>
      <c r="AD796" s="13" t="s">
        <v>19584</v>
      </c>
      <c r="AE796" s="13" t="s">
        <v>19585</v>
      </c>
      <c r="AF796" s="13" t="s">
        <v>5510</v>
      </c>
      <c r="AG796" s="13">
        <v>101.0</v>
      </c>
      <c r="AH796" s="13">
        <v>18.0</v>
      </c>
      <c r="AI796" s="13">
        <v>22.0</v>
      </c>
      <c r="AJ796" s="13">
        <v>1.0</v>
      </c>
      <c r="AK796" s="13">
        <v>41.0</v>
      </c>
      <c r="AL796" s="13" t="s">
        <v>8343</v>
      </c>
      <c r="AM796" s="13" t="s">
        <v>6293</v>
      </c>
      <c r="AN796" s="13" t="s">
        <v>8344</v>
      </c>
      <c r="AO796" s="13" t="s">
        <v>8345</v>
      </c>
      <c r="AP796" s="13" t="s">
        <v>8346</v>
      </c>
      <c r="AQ796" s="13" t="s">
        <v>5510</v>
      </c>
      <c r="AR796" s="13" t="s">
        <v>8347</v>
      </c>
      <c r="AS796" s="13" t="s">
        <v>8348</v>
      </c>
      <c r="AT796" s="13" t="s">
        <v>5866</v>
      </c>
      <c r="AU796" s="13">
        <v>2017.0</v>
      </c>
      <c r="AV796" s="13">
        <v>27.0</v>
      </c>
      <c r="AW796" s="13">
        <v>5.0</v>
      </c>
      <c r="AX796" s="13" t="s">
        <v>5510</v>
      </c>
      <c r="AY796" s="13" t="s">
        <v>5510</v>
      </c>
      <c r="AZ796" s="13" t="s">
        <v>5510</v>
      </c>
      <c r="BA796" s="13" t="s">
        <v>5510</v>
      </c>
      <c r="BB796" s="13">
        <v>579.0</v>
      </c>
      <c r="BC796" s="13">
        <v>605.0</v>
      </c>
      <c r="BD796" s="13" t="s">
        <v>5510</v>
      </c>
      <c r="BE796" s="13" t="s">
        <v>19586</v>
      </c>
      <c r="BF796" s="52" t="str">
        <f>HYPERLINK("http://dx.doi.org/10.1007/s11442-017-1394-4","http://dx.doi.org/10.1007/s11442-017-1394-4")</f>
        <v>http://dx.doi.org/10.1007/s11442-017-1394-4</v>
      </c>
      <c r="BG796" s="13" t="s">
        <v>5510</v>
      </c>
      <c r="BH796" s="13" t="s">
        <v>5510</v>
      </c>
      <c r="BI796" s="13">
        <v>27.0</v>
      </c>
      <c r="BJ796" s="13" t="s">
        <v>8350</v>
      </c>
      <c r="BK796" s="13" t="s">
        <v>5561</v>
      </c>
      <c r="BL796" s="13" t="s">
        <v>8351</v>
      </c>
      <c r="BM796" s="13" t="s">
        <v>19587</v>
      </c>
      <c r="BN796" s="13" t="s">
        <v>5510</v>
      </c>
      <c r="BO796" s="13" t="s">
        <v>5510</v>
      </c>
      <c r="BP796" s="13" t="s">
        <v>5510</v>
      </c>
      <c r="BQ796" s="13" t="s">
        <v>5510</v>
      </c>
      <c r="BR796" s="13" t="s">
        <v>5538</v>
      </c>
      <c r="BS796" s="13" t="s">
        <v>19588</v>
      </c>
      <c r="BT796" s="13">
        <v>23744.0</v>
      </c>
      <c r="BU796" s="13" t="s">
        <v>5540</v>
      </c>
      <c r="BV796" s="13" t="s">
        <v>4856</v>
      </c>
      <c r="BW796" s="13" t="str">
        <f>VLOOKUP($BT796,Enriched!$A$2:$E$1070,5,false)</f>
        <v>["Residential &amp; commercial development", "Agriculture &amp; aquaculture"]</v>
      </c>
      <c r="BX796" s="13" t="str">
        <f>VLOOKUP($BT796,Enriched!$A$2:$E$1070,4,false)</f>
        <v/>
      </c>
      <c r="BY796" s="13" t="b">
        <f>VLOOKUP(BT796,Enriched!$A$1:$AA$1070,27,falsE)</f>
        <v>1</v>
      </c>
      <c r="BZ796" s="2" t="str">
        <f>VLOOKUP(BT796,Enriched!$A$1:$AA$1070,14,falsE)</f>
        <v>level1</v>
      </c>
      <c r="CA796" s="13" t="str">
        <f>HYPERLINK("https%3A%2F%2Fwww.webofscience.com%2Fwos%2Fwoscc%2Ffull-record%2FWOS:000398211200005","View Full Record in Web of Science")</f>
        <v>View Full Record in Web of Science</v>
      </c>
    </row>
    <row r="797" ht="12.75" customHeight="1">
      <c r="A797" s="13" t="s">
        <v>5508</v>
      </c>
      <c r="B797" s="13" t="s">
        <v>19589</v>
      </c>
      <c r="C797" s="13" t="s">
        <v>5510</v>
      </c>
      <c r="D797" s="13" t="s">
        <v>5510</v>
      </c>
      <c r="E797" s="13" t="s">
        <v>5510</v>
      </c>
      <c r="F797" s="13" t="s">
        <v>19590</v>
      </c>
      <c r="G797" s="13" t="s">
        <v>5510</v>
      </c>
      <c r="H797" s="13" t="s">
        <v>5510</v>
      </c>
      <c r="I797" s="13" t="s">
        <v>514</v>
      </c>
      <c r="J797" s="13" t="s">
        <v>8356</v>
      </c>
      <c r="K797" s="13" t="s">
        <v>5510</v>
      </c>
      <c r="L797" s="13" t="s">
        <v>5510</v>
      </c>
      <c r="M797" s="13" t="s">
        <v>5513</v>
      </c>
      <c r="N797" s="13" t="s">
        <v>4904</v>
      </c>
      <c r="O797" s="13" t="s">
        <v>5510</v>
      </c>
      <c r="P797" s="13" t="s">
        <v>5510</v>
      </c>
      <c r="Q797" s="13" t="s">
        <v>5510</v>
      </c>
      <c r="R797" s="13" t="s">
        <v>5510</v>
      </c>
      <c r="S797" s="13" t="s">
        <v>5510</v>
      </c>
      <c r="T797" s="13" t="s">
        <v>19591</v>
      </c>
      <c r="U797" s="13" t="s">
        <v>19592</v>
      </c>
      <c r="V797" s="13" t="s">
        <v>19593</v>
      </c>
      <c r="W797" s="13" t="s">
        <v>19594</v>
      </c>
      <c r="X797" s="13" t="s">
        <v>8888</v>
      </c>
      <c r="Y797" s="13" t="s">
        <v>19595</v>
      </c>
      <c r="Z797" s="13" t="s">
        <v>19596</v>
      </c>
      <c r="AA797" s="13" t="s">
        <v>19597</v>
      </c>
      <c r="AB797" s="13" t="s">
        <v>19598</v>
      </c>
      <c r="AC797" s="13" t="s">
        <v>19599</v>
      </c>
      <c r="AD797" s="13" t="s">
        <v>19599</v>
      </c>
      <c r="AE797" s="13" t="s">
        <v>19600</v>
      </c>
      <c r="AF797" s="13" t="s">
        <v>5510</v>
      </c>
      <c r="AG797" s="13">
        <v>44.0</v>
      </c>
      <c r="AH797" s="13">
        <v>41.0</v>
      </c>
      <c r="AI797" s="13">
        <v>49.0</v>
      </c>
      <c r="AJ797" s="13">
        <v>3.0</v>
      </c>
      <c r="AK797" s="13">
        <v>85.0</v>
      </c>
      <c r="AL797" s="13" t="s">
        <v>5931</v>
      </c>
      <c r="AM797" s="13" t="s">
        <v>5932</v>
      </c>
      <c r="AN797" s="13" t="s">
        <v>5933</v>
      </c>
      <c r="AO797" s="13" t="s">
        <v>8369</v>
      </c>
      <c r="AP797" s="13" t="s">
        <v>8370</v>
      </c>
      <c r="AQ797" s="13" t="s">
        <v>5510</v>
      </c>
      <c r="AR797" s="13" t="s">
        <v>8371</v>
      </c>
      <c r="AS797" s="13" t="s">
        <v>8372</v>
      </c>
      <c r="AT797" s="13" t="s">
        <v>5720</v>
      </c>
      <c r="AU797" s="13">
        <v>2016.0</v>
      </c>
      <c r="AV797" s="13">
        <v>71.0</v>
      </c>
      <c r="AW797" s="13" t="s">
        <v>5510</v>
      </c>
      <c r="AX797" s="13" t="s">
        <v>5510</v>
      </c>
      <c r="AY797" s="13" t="s">
        <v>5510</v>
      </c>
      <c r="AZ797" s="13" t="s">
        <v>5510</v>
      </c>
      <c r="BA797" s="13" t="s">
        <v>5510</v>
      </c>
      <c r="BB797" s="13">
        <v>9.0</v>
      </c>
      <c r="BC797" s="13">
        <v>23.0</v>
      </c>
      <c r="BD797" s="13" t="s">
        <v>5510</v>
      </c>
      <c r="BE797" s="13" t="s">
        <v>19601</v>
      </c>
      <c r="BF797" s="52" t="str">
        <f>HYPERLINK("http://dx.doi.org/10.1016/j.apgeog.2016.04.005","http://dx.doi.org/10.1016/j.apgeog.2016.04.005")</f>
        <v>http://dx.doi.org/10.1016/j.apgeog.2016.04.005</v>
      </c>
      <c r="BG797" s="13" t="s">
        <v>5510</v>
      </c>
      <c r="BH797" s="13" t="s">
        <v>5510</v>
      </c>
      <c r="BI797" s="13">
        <v>15.0</v>
      </c>
      <c r="BJ797" s="13" t="s">
        <v>8374</v>
      </c>
      <c r="BK797" s="13" t="s">
        <v>8375</v>
      </c>
      <c r="BL797" s="13" t="s">
        <v>8374</v>
      </c>
      <c r="BM797" s="13" t="s">
        <v>19602</v>
      </c>
      <c r="BN797" s="13" t="s">
        <v>5510</v>
      </c>
      <c r="BO797" s="13" t="s">
        <v>5510</v>
      </c>
      <c r="BP797" s="13" t="s">
        <v>5510</v>
      </c>
      <c r="BQ797" s="13" t="s">
        <v>5510</v>
      </c>
      <c r="BR797" s="13" t="s">
        <v>5538</v>
      </c>
      <c r="BS797" s="13" t="s">
        <v>19603</v>
      </c>
      <c r="BT797" s="13">
        <v>25229.0</v>
      </c>
      <c r="BU797" s="13" t="s">
        <v>5540</v>
      </c>
      <c r="BV797" s="13" t="s">
        <v>4886</v>
      </c>
      <c r="BW797" s="13" t="str">
        <f>VLOOKUP($BT797,Enriched!$A$2:$E$1070,5,false)</f>
        <v>["Agriculture &amp; Aquaculture", "Transportation &amp; Service Corridors"]</v>
      </c>
      <c r="BX797" s="13" t="str">
        <f>VLOOKUP($BT797,Enriched!$A$2:$E$1070,4,false)</f>
        <v>["Housing &amp; urban area", "Annual &amp; perennial non-timber crops", "Roads &amp; railroads"]</v>
      </c>
      <c r="BY797" s="13" t="b">
        <f>VLOOKUP(BT797,Enriched!$A$1:$AA$1070,27,falsE)</f>
        <v>0</v>
      </c>
      <c r="BZ797" s="2" t="str">
        <f>VLOOKUP(BT797,Enriched!$A$1:$AA$1070,14,falsE)</f>
        <v>level2</v>
      </c>
      <c r="CA797" s="13" t="str">
        <f>HYPERLINK("https%3A%2F%2Fwww.webofscience.com%2Fwos%2Fwoscc%2Ffull-record%2FWOS:000377729400002","View Full Record in Web of Science")</f>
        <v>View Full Record in Web of Science</v>
      </c>
    </row>
    <row r="798" ht="12.75" customHeight="1">
      <c r="A798" s="13" t="s">
        <v>5508</v>
      </c>
      <c r="B798" s="13" t="s">
        <v>19604</v>
      </c>
      <c r="C798" s="13" t="s">
        <v>5510</v>
      </c>
      <c r="D798" s="13" t="s">
        <v>5510</v>
      </c>
      <c r="E798" s="13" t="s">
        <v>5510</v>
      </c>
      <c r="F798" s="13" t="s">
        <v>19605</v>
      </c>
      <c r="G798" s="13" t="s">
        <v>5510</v>
      </c>
      <c r="H798" s="13" t="s">
        <v>5510</v>
      </c>
      <c r="I798" s="13" t="s">
        <v>512</v>
      </c>
      <c r="J798" s="13" t="s">
        <v>6212</v>
      </c>
      <c r="K798" s="13" t="s">
        <v>5510</v>
      </c>
      <c r="L798" s="13" t="s">
        <v>5510</v>
      </c>
      <c r="M798" s="13" t="s">
        <v>5513</v>
      </c>
      <c r="N798" s="13" t="s">
        <v>5514</v>
      </c>
      <c r="O798" s="13" t="s">
        <v>5510</v>
      </c>
      <c r="P798" s="13" t="s">
        <v>5510</v>
      </c>
      <c r="Q798" s="13" t="s">
        <v>5510</v>
      </c>
      <c r="R798" s="13" t="s">
        <v>5510</v>
      </c>
      <c r="S798" s="13" t="s">
        <v>5510</v>
      </c>
      <c r="T798" s="13" t="s">
        <v>19606</v>
      </c>
      <c r="U798" s="13" t="s">
        <v>19607</v>
      </c>
      <c r="V798" s="13" t="s">
        <v>19608</v>
      </c>
      <c r="W798" s="13" t="s">
        <v>19609</v>
      </c>
      <c r="X798" s="13" t="s">
        <v>19610</v>
      </c>
      <c r="Y798" s="13" t="s">
        <v>19611</v>
      </c>
      <c r="Z798" s="13" t="s">
        <v>19612</v>
      </c>
      <c r="AA798" s="13" t="s">
        <v>19613</v>
      </c>
      <c r="AB798" s="13" t="s">
        <v>19614</v>
      </c>
      <c r="AC798" s="13" t="s">
        <v>5510</v>
      </c>
      <c r="AD798" s="13" t="s">
        <v>5510</v>
      </c>
      <c r="AE798" s="13" t="s">
        <v>5510</v>
      </c>
      <c r="AF798" s="13" t="s">
        <v>5510</v>
      </c>
      <c r="AG798" s="13">
        <v>63.0</v>
      </c>
      <c r="AH798" s="13">
        <v>47.0</v>
      </c>
      <c r="AI798" s="13">
        <v>58.0</v>
      </c>
      <c r="AJ798" s="13">
        <v>1.0</v>
      </c>
      <c r="AK798" s="13">
        <v>60.0</v>
      </c>
      <c r="AL798" s="13" t="s">
        <v>5759</v>
      </c>
      <c r="AM798" s="13" t="s">
        <v>5760</v>
      </c>
      <c r="AN798" s="13" t="s">
        <v>5761</v>
      </c>
      <c r="AO798" s="13" t="s">
        <v>5510</v>
      </c>
      <c r="AP798" s="13" t="s">
        <v>6225</v>
      </c>
      <c r="AQ798" s="13" t="s">
        <v>5510</v>
      </c>
      <c r="AR798" s="13" t="s">
        <v>6226</v>
      </c>
      <c r="AS798" s="13" t="s">
        <v>6227</v>
      </c>
      <c r="AT798" s="13" t="s">
        <v>2514</v>
      </c>
      <c r="AU798" s="13">
        <v>2018.0</v>
      </c>
      <c r="AV798" s="13">
        <v>16.0</v>
      </c>
      <c r="AW798" s="13" t="s">
        <v>5510</v>
      </c>
      <c r="AX798" s="13" t="s">
        <v>5510</v>
      </c>
      <c r="AY798" s="13" t="s">
        <v>5510</v>
      </c>
      <c r="AZ798" s="13" t="s">
        <v>5510</v>
      </c>
      <c r="BA798" s="13" t="s">
        <v>5510</v>
      </c>
      <c r="BB798" s="13" t="s">
        <v>5510</v>
      </c>
      <c r="BC798" s="13" t="s">
        <v>5510</v>
      </c>
      <c r="BD798" s="13" t="s">
        <v>19615</v>
      </c>
      <c r="BE798" s="13" t="s">
        <v>19616</v>
      </c>
      <c r="BF798" s="52" t="str">
        <f>HYPERLINK("http://dx.doi.org/10.1016/j.gecco.2018.e00447","http://dx.doi.org/10.1016/j.gecco.2018.e00447")</f>
        <v>http://dx.doi.org/10.1016/j.gecco.2018.e00447</v>
      </c>
      <c r="BG798" s="13" t="s">
        <v>5510</v>
      </c>
      <c r="BH798" s="13" t="s">
        <v>5510</v>
      </c>
      <c r="BI798" s="13">
        <v>17.0</v>
      </c>
      <c r="BJ798" s="13" t="s">
        <v>5958</v>
      </c>
      <c r="BK798" s="13" t="s">
        <v>5534</v>
      </c>
      <c r="BL798" s="13" t="s">
        <v>5699</v>
      </c>
      <c r="BM798" s="13" t="s">
        <v>19617</v>
      </c>
      <c r="BN798" s="13" t="s">
        <v>5510</v>
      </c>
      <c r="BO798" s="13" t="s">
        <v>5564</v>
      </c>
      <c r="BP798" s="13" t="s">
        <v>5510</v>
      </c>
      <c r="BQ798" s="13" t="s">
        <v>5510</v>
      </c>
      <c r="BR798" s="13" t="s">
        <v>5538</v>
      </c>
      <c r="BS798" s="13" t="s">
        <v>19618</v>
      </c>
      <c r="BT798" s="13">
        <v>24886.0</v>
      </c>
      <c r="BU798" s="13" t="s">
        <v>5540</v>
      </c>
      <c r="BV798" s="13" t="s">
        <v>4856</v>
      </c>
      <c r="BW798" s="13" t="str">
        <f>VLOOKUP($BT798,Enriched!$A$2:$E$1070,5,false)</f>
        <v>["Residential &amp; commercial development"]</v>
      </c>
      <c r="BX798" s="13" t="str">
        <f>VLOOKUP($BT798,Enriched!$A$2:$E$1070,4,false)</f>
        <v>["Housing &amp; urban area"]</v>
      </c>
      <c r="BY798" s="13" t="b">
        <f>VLOOKUP(BT798,Enriched!$A$1:$AA$1070,27,falsE)</f>
        <v>0</v>
      </c>
      <c r="BZ798" s="2" t="str">
        <f>VLOOKUP(BT798,Enriched!$A$1:$AA$1070,14,falsE)</f>
        <v>level2</v>
      </c>
      <c r="CA798" s="13" t="str">
        <f>HYPERLINK("https%3A%2F%2Fwww.webofscience.com%2Fwos%2Fwoscc%2Ffull-record%2FWOS:000454994500007","View Full Record in Web of Science")</f>
        <v>View Full Record in Web of Science</v>
      </c>
    </row>
    <row r="799" ht="12.75" customHeight="1">
      <c r="A799" s="13" t="s">
        <v>5508</v>
      </c>
      <c r="B799" s="13" t="s">
        <v>19619</v>
      </c>
      <c r="C799" s="13" t="s">
        <v>5510</v>
      </c>
      <c r="D799" s="13" t="s">
        <v>5510</v>
      </c>
      <c r="E799" s="13" t="s">
        <v>5510</v>
      </c>
      <c r="F799" s="13" t="s">
        <v>19620</v>
      </c>
      <c r="G799" s="13" t="s">
        <v>5510</v>
      </c>
      <c r="H799" s="13" t="s">
        <v>5510</v>
      </c>
      <c r="I799" s="13" t="s">
        <v>508</v>
      </c>
      <c r="J799" s="13" t="s">
        <v>7971</v>
      </c>
      <c r="K799" s="13" t="s">
        <v>5510</v>
      </c>
      <c r="L799" s="13" t="s">
        <v>5510</v>
      </c>
      <c r="M799" s="13" t="s">
        <v>5513</v>
      </c>
      <c r="N799" s="13" t="s">
        <v>5514</v>
      </c>
      <c r="O799" s="13" t="s">
        <v>5510</v>
      </c>
      <c r="P799" s="13" t="s">
        <v>5510</v>
      </c>
      <c r="Q799" s="13" t="s">
        <v>5510</v>
      </c>
      <c r="R799" s="13" t="s">
        <v>5510</v>
      </c>
      <c r="S799" s="13" t="s">
        <v>5510</v>
      </c>
      <c r="T799" s="13" t="s">
        <v>19621</v>
      </c>
      <c r="U799" s="13" t="s">
        <v>19622</v>
      </c>
      <c r="V799" s="13" t="s">
        <v>19623</v>
      </c>
      <c r="W799" s="13" t="s">
        <v>19624</v>
      </c>
      <c r="X799" s="13" t="s">
        <v>19625</v>
      </c>
      <c r="Y799" s="13" t="s">
        <v>19626</v>
      </c>
      <c r="Z799" s="13" t="s">
        <v>19627</v>
      </c>
      <c r="AA799" s="13" t="s">
        <v>19628</v>
      </c>
      <c r="AB799" s="13" t="s">
        <v>19629</v>
      </c>
      <c r="AC799" s="13" t="s">
        <v>5510</v>
      </c>
      <c r="AD799" s="13" t="s">
        <v>5510</v>
      </c>
      <c r="AE799" s="13" t="s">
        <v>5510</v>
      </c>
      <c r="AF799" s="13" t="s">
        <v>5510</v>
      </c>
      <c r="AG799" s="13">
        <v>74.0</v>
      </c>
      <c r="AH799" s="13">
        <v>17.0</v>
      </c>
      <c r="AI799" s="13">
        <v>19.0</v>
      </c>
      <c r="AJ799" s="13">
        <v>0.0</v>
      </c>
      <c r="AK799" s="13">
        <v>19.0</v>
      </c>
      <c r="AL799" s="13" t="s">
        <v>7505</v>
      </c>
      <c r="AM799" s="13" t="s">
        <v>7506</v>
      </c>
      <c r="AN799" s="13" t="s">
        <v>7507</v>
      </c>
      <c r="AO799" s="13" t="s">
        <v>7980</v>
      </c>
      <c r="AP799" s="13" t="s">
        <v>7981</v>
      </c>
      <c r="AQ799" s="13" t="s">
        <v>5510</v>
      </c>
      <c r="AR799" s="13" t="s">
        <v>7982</v>
      </c>
      <c r="AS799" s="13" t="s">
        <v>7983</v>
      </c>
      <c r="AT799" s="13" t="s">
        <v>6089</v>
      </c>
      <c r="AU799" s="13">
        <v>2020.0</v>
      </c>
      <c r="AV799" s="13">
        <v>6.0</v>
      </c>
      <c r="AW799" s="13">
        <v>1.0</v>
      </c>
      <c r="AX799" s="13" t="s">
        <v>5510</v>
      </c>
      <c r="AY799" s="13" t="s">
        <v>5510</v>
      </c>
      <c r="AZ799" s="13" t="s">
        <v>5510</v>
      </c>
      <c r="BA799" s="13" t="s">
        <v>5510</v>
      </c>
      <c r="BB799" s="13">
        <v>27.0</v>
      </c>
      <c r="BC799" s="13">
        <v>37.0</v>
      </c>
      <c r="BD799" s="13" t="s">
        <v>5510</v>
      </c>
      <c r="BE799" s="13" t="s">
        <v>19630</v>
      </c>
      <c r="BF799" s="52" t="str">
        <f>HYPERLINK("http://dx.doi.org/10.1007/s40808-019-00652-5","http://dx.doi.org/10.1007/s40808-019-00652-5")</f>
        <v>http://dx.doi.org/10.1007/s40808-019-00652-5</v>
      </c>
      <c r="BG799" s="13" t="s">
        <v>5510</v>
      </c>
      <c r="BH799" s="13" t="s">
        <v>5510</v>
      </c>
      <c r="BI799" s="13">
        <v>11.0</v>
      </c>
      <c r="BJ799" s="13" t="s">
        <v>5768</v>
      </c>
      <c r="BK799" s="13" t="s">
        <v>7985</v>
      </c>
      <c r="BL799" s="13" t="s">
        <v>5535</v>
      </c>
      <c r="BM799" s="13" t="s">
        <v>19631</v>
      </c>
      <c r="BN799" s="13" t="s">
        <v>5510</v>
      </c>
      <c r="BO799" s="13" t="s">
        <v>5510</v>
      </c>
      <c r="BP799" s="13" t="s">
        <v>5510</v>
      </c>
      <c r="BQ799" s="13" t="s">
        <v>5510</v>
      </c>
      <c r="BR799" s="13" t="s">
        <v>5538</v>
      </c>
      <c r="BS799" s="13" t="s">
        <v>19632</v>
      </c>
      <c r="BT799" s="13">
        <v>25724.0</v>
      </c>
      <c r="BU799" s="13" t="s">
        <v>5540</v>
      </c>
      <c r="BV799" s="13" t="s">
        <v>4856</v>
      </c>
      <c r="BW799" s="13" t="str">
        <f>VLOOKUP($BT799,Enriched!$A$2:$E$1070,5,false)</f>
        <v>["Residential &amp; commercial development", "Agriculture &amp; aquaculture"]</v>
      </c>
      <c r="BX799" s="13" t="str">
        <f>VLOOKUP($BT799,Enriched!$A$2:$E$1070,4,false)</f>
        <v/>
      </c>
      <c r="BY799" s="13" t="b">
        <f>VLOOKUP(BT799,Enriched!$A$1:$AA$1070,27,falsE)</f>
        <v>1</v>
      </c>
      <c r="BZ799" s="2" t="str">
        <f>VLOOKUP(BT799,Enriched!$A$1:$AA$1070,14,falsE)</f>
        <v>level1</v>
      </c>
      <c r="CA799" s="13" t="str">
        <f>HYPERLINK("https%3A%2F%2Fwww.webofscience.com%2Fwos%2Fwoscc%2Ffull-record%2FWOS:000513073600003","View Full Record in Web of Science")</f>
        <v>View Full Record in Web of Science</v>
      </c>
    </row>
    <row r="800" ht="12.75" customHeight="1">
      <c r="A800" s="13" t="s">
        <v>5508</v>
      </c>
      <c r="B800" s="13" t="s">
        <v>19633</v>
      </c>
      <c r="C800" s="13" t="s">
        <v>5510</v>
      </c>
      <c r="D800" s="13" t="s">
        <v>5510</v>
      </c>
      <c r="E800" s="13" t="s">
        <v>5510</v>
      </c>
      <c r="F800" s="13" t="s">
        <v>19634</v>
      </c>
      <c r="G800" s="13" t="s">
        <v>5510</v>
      </c>
      <c r="H800" s="13" t="s">
        <v>5510</v>
      </c>
      <c r="I800" s="13" t="s">
        <v>505</v>
      </c>
      <c r="J800" s="13" t="s">
        <v>5919</v>
      </c>
      <c r="K800" s="13" t="s">
        <v>5510</v>
      </c>
      <c r="L800" s="13" t="s">
        <v>5510</v>
      </c>
      <c r="M800" s="13" t="s">
        <v>5513</v>
      </c>
      <c r="N800" s="13" t="s">
        <v>5514</v>
      </c>
      <c r="O800" s="13" t="s">
        <v>5510</v>
      </c>
      <c r="P800" s="13" t="s">
        <v>5510</v>
      </c>
      <c r="Q800" s="13" t="s">
        <v>5510</v>
      </c>
      <c r="R800" s="13" t="s">
        <v>5510</v>
      </c>
      <c r="S800" s="13" t="s">
        <v>5510</v>
      </c>
      <c r="T800" s="13" t="s">
        <v>19635</v>
      </c>
      <c r="U800" s="13" t="s">
        <v>19636</v>
      </c>
      <c r="V800" s="13" t="s">
        <v>19637</v>
      </c>
      <c r="W800" s="13" t="s">
        <v>19638</v>
      </c>
      <c r="X800" s="13" t="s">
        <v>19639</v>
      </c>
      <c r="Y800" s="13" t="s">
        <v>19640</v>
      </c>
      <c r="Z800" s="13" t="s">
        <v>19641</v>
      </c>
      <c r="AA800" s="13" t="s">
        <v>19642</v>
      </c>
      <c r="AB800" s="13" t="s">
        <v>19643</v>
      </c>
      <c r="AC800" s="13" t="s">
        <v>19644</v>
      </c>
      <c r="AD800" s="13" t="s">
        <v>19645</v>
      </c>
      <c r="AE800" s="13" t="s">
        <v>19646</v>
      </c>
      <c r="AF800" s="13" t="s">
        <v>5510</v>
      </c>
      <c r="AG800" s="13">
        <v>49.0</v>
      </c>
      <c r="AH800" s="13">
        <v>60.0</v>
      </c>
      <c r="AI800" s="13">
        <v>63.0</v>
      </c>
      <c r="AJ800" s="13">
        <v>1.0</v>
      </c>
      <c r="AK800" s="13">
        <v>59.0</v>
      </c>
      <c r="AL800" s="13" t="s">
        <v>5931</v>
      </c>
      <c r="AM800" s="13" t="s">
        <v>7486</v>
      </c>
      <c r="AN800" s="13" t="s">
        <v>7487</v>
      </c>
      <c r="AO800" s="13" t="s">
        <v>5934</v>
      </c>
      <c r="AP800" s="13" t="s">
        <v>5935</v>
      </c>
      <c r="AQ800" s="13" t="s">
        <v>5510</v>
      </c>
      <c r="AR800" s="13" t="s">
        <v>5936</v>
      </c>
      <c r="AS800" s="13" t="s">
        <v>5937</v>
      </c>
      <c r="AT800" s="13" t="s">
        <v>2738</v>
      </c>
      <c r="AU800" s="13">
        <v>2018.0</v>
      </c>
      <c r="AV800" s="13">
        <v>218.0</v>
      </c>
      <c r="AW800" s="13" t="s">
        <v>5510</v>
      </c>
      <c r="AX800" s="13" t="s">
        <v>5510</v>
      </c>
      <c r="AY800" s="13" t="s">
        <v>5510</v>
      </c>
      <c r="AZ800" s="13" t="s">
        <v>5510</v>
      </c>
      <c r="BA800" s="13" t="s">
        <v>5510</v>
      </c>
      <c r="BB800" s="13">
        <v>154.0</v>
      </c>
      <c r="BC800" s="13">
        <v>162.0</v>
      </c>
      <c r="BD800" s="13" t="s">
        <v>5510</v>
      </c>
      <c r="BE800" s="13" t="s">
        <v>19647</v>
      </c>
      <c r="BF800" s="52" t="str">
        <f>HYPERLINK("http://dx.doi.org/10.1016/j.biocon.2017.11.035","http://dx.doi.org/10.1016/j.biocon.2017.11.035")</f>
        <v>http://dx.doi.org/10.1016/j.biocon.2017.11.035</v>
      </c>
      <c r="BG800" s="13" t="s">
        <v>5510</v>
      </c>
      <c r="BH800" s="13" t="s">
        <v>5510</v>
      </c>
      <c r="BI800" s="13">
        <v>9.0</v>
      </c>
      <c r="BJ800" s="13" t="s">
        <v>5698</v>
      </c>
      <c r="BK800" s="13" t="s">
        <v>5561</v>
      </c>
      <c r="BL800" s="13" t="s">
        <v>5699</v>
      </c>
      <c r="BM800" s="13" t="s">
        <v>18568</v>
      </c>
      <c r="BN800" s="13" t="s">
        <v>5510</v>
      </c>
      <c r="BO800" s="13" t="s">
        <v>5510</v>
      </c>
      <c r="BP800" s="13" t="s">
        <v>5510</v>
      </c>
      <c r="BQ800" s="13" t="s">
        <v>5510</v>
      </c>
      <c r="BR800" s="13" t="s">
        <v>5538</v>
      </c>
      <c r="BS800" s="13" t="s">
        <v>19648</v>
      </c>
      <c r="BT800" s="13">
        <v>23293.0</v>
      </c>
      <c r="BU800" s="13" t="s">
        <v>5540</v>
      </c>
      <c r="BV800" s="13" t="s">
        <v>4856</v>
      </c>
      <c r="BW800" s="13" t="str">
        <f>VLOOKUP($BT800,Enriched!$A$2:$E$1070,5,false)</f>
        <v>["Invasive &amp; other problematic species, genes &amp; diseases"]</v>
      </c>
      <c r="BX800" s="13" t="str">
        <f>VLOOKUP($BT800,Enriched!$A$2:$E$1070,4,false)</f>
        <v>["Invasive non-native/alien species/diseases"]</v>
      </c>
      <c r="BY800" s="13" t="b">
        <f>VLOOKUP(BT800,Enriched!$A$1:$AA$1070,27,falsE)</f>
        <v>0</v>
      </c>
      <c r="BZ800" s="2" t="str">
        <f>VLOOKUP(BT800,Enriched!$A$1:$AA$1070,14,falsE)</f>
        <v>level2</v>
      </c>
      <c r="CA800" s="13" t="str">
        <f>HYPERLINK("https%3A%2F%2Fwww.webofscience.com%2Fwos%2Fwoscc%2Ffull-record%2FWOS:000424177400019","View Full Record in Web of Science")</f>
        <v>View Full Record in Web of Science</v>
      </c>
    </row>
    <row r="801" ht="12.75" customHeight="1">
      <c r="A801" s="13" t="s">
        <v>5508</v>
      </c>
      <c r="B801" s="13" t="s">
        <v>19649</v>
      </c>
      <c r="C801" s="13" t="s">
        <v>5510</v>
      </c>
      <c r="D801" s="13" t="s">
        <v>5510</v>
      </c>
      <c r="E801" s="13" t="s">
        <v>5510</v>
      </c>
      <c r="F801" s="13" t="s">
        <v>19650</v>
      </c>
      <c r="G801" s="13" t="s">
        <v>5510</v>
      </c>
      <c r="H801" s="13" t="s">
        <v>5510</v>
      </c>
      <c r="I801" s="13" t="s">
        <v>503</v>
      </c>
      <c r="J801" s="13" t="s">
        <v>6114</v>
      </c>
      <c r="K801" s="13" t="s">
        <v>5510</v>
      </c>
      <c r="L801" s="13" t="s">
        <v>5510</v>
      </c>
      <c r="M801" s="13" t="s">
        <v>5513</v>
      </c>
      <c r="N801" s="13" t="s">
        <v>5514</v>
      </c>
      <c r="O801" s="13" t="s">
        <v>5510</v>
      </c>
      <c r="P801" s="13" t="s">
        <v>5510</v>
      </c>
      <c r="Q801" s="13" t="s">
        <v>5510</v>
      </c>
      <c r="R801" s="13" t="s">
        <v>5510</v>
      </c>
      <c r="S801" s="13" t="s">
        <v>5510</v>
      </c>
      <c r="T801" s="13" t="s">
        <v>19651</v>
      </c>
      <c r="U801" s="13" t="s">
        <v>19652</v>
      </c>
      <c r="V801" s="13" t="s">
        <v>19653</v>
      </c>
      <c r="W801" s="13" t="s">
        <v>19654</v>
      </c>
      <c r="X801" s="13" t="s">
        <v>19655</v>
      </c>
      <c r="Y801" s="13" t="s">
        <v>19656</v>
      </c>
      <c r="Z801" s="13" t="s">
        <v>19657</v>
      </c>
      <c r="AA801" s="13" t="s">
        <v>19658</v>
      </c>
      <c r="AB801" s="13" t="s">
        <v>19659</v>
      </c>
      <c r="AC801" s="13" t="s">
        <v>19660</v>
      </c>
      <c r="AD801" s="13" t="s">
        <v>19660</v>
      </c>
      <c r="AE801" s="13" t="s">
        <v>19661</v>
      </c>
      <c r="AF801" s="13" t="s">
        <v>5510</v>
      </c>
      <c r="AG801" s="13">
        <v>36.0</v>
      </c>
      <c r="AH801" s="13">
        <v>33.0</v>
      </c>
      <c r="AI801" s="13">
        <v>36.0</v>
      </c>
      <c r="AJ801" s="13">
        <v>1.0</v>
      </c>
      <c r="AK801" s="13">
        <v>66.0</v>
      </c>
      <c r="AL801" s="13" t="s">
        <v>5931</v>
      </c>
      <c r="AM801" s="13" t="s">
        <v>5932</v>
      </c>
      <c r="AN801" s="13" t="s">
        <v>5933</v>
      </c>
      <c r="AO801" s="13" t="s">
        <v>6127</v>
      </c>
      <c r="AP801" s="13" t="s">
        <v>6128</v>
      </c>
      <c r="AQ801" s="13" t="s">
        <v>5510</v>
      </c>
      <c r="AR801" s="13" t="s">
        <v>6129</v>
      </c>
      <c r="AS801" s="13" t="s">
        <v>6130</v>
      </c>
      <c r="AT801" s="13" t="s">
        <v>10481</v>
      </c>
      <c r="AU801" s="13">
        <v>2017.0</v>
      </c>
      <c r="AV801" s="13">
        <v>137.0</v>
      </c>
      <c r="AW801" s="13" t="s">
        <v>5510</v>
      </c>
      <c r="AX801" s="13" t="s">
        <v>5510</v>
      </c>
      <c r="AY801" s="13" t="s">
        <v>5510</v>
      </c>
      <c r="AZ801" s="13" t="s">
        <v>5510</v>
      </c>
      <c r="BA801" s="13" t="s">
        <v>5510</v>
      </c>
      <c r="BB801" s="13">
        <v>1.0</v>
      </c>
      <c r="BC801" s="13">
        <v>11.0</v>
      </c>
      <c r="BD801" s="13" t="s">
        <v>5510</v>
      </c>
      <c r="BE801" s="13" t="s">
        <v>19662</v>
      </c>
      <c r="BF801" s="52" t="str">
        <f>HYPERLINK("http://dx.doi.org/10.1016/j.ocecoaman.2016.11.028","http://dx.doi.org/10.1016/j.ocecoaman.2016.11.028")</f>
        <v>http://dx.doi.org/10.1016/j.ocecoaman.2016.11.028</v>
      </c>
      <c r="BG801" s="13" t="s">
        <v>5510</v>
      </c>
      <c r="BH801" s="13" t="s">
        <v>5510</v>
      </c>
      <c r="BI801" s="13">
        <v>11.0</v>
      </c>
      <c r="BJ801" s="13" t="s">
        <v>6133</v>
      </c>
      <c r="BK801" s="13" t="s">
        <v>5561</v>
      </c>
      <c r="BL801" s="13" t="s">
        <v>6133</v>
      </c>
      <c r="BM801" s="13" t="s">
        <v>19663</v>
      </c>
      <c r="BN801" s="13" t="s">
        <v>5510</v>
      </c>
      <c r="BO801" s="13" t="s">
        <v>5510</v>
      </c>
      <c r="BP801" s="13" t="s">
        <v>5510</v>
      </c>
      <c r="BQ801" s="13" t="s">
        <v>5510</v>
      </c>
      <c r="BR801" s="13" t="s">
        <v>5538</v>
      </c>
      <c r="BS801" s="13" t="s">
        <v>19664</v>
      </c>
      <c r="BT801" s="13">
        <v>24642.0</v>
      </c>
      <c r="BU801" s="13" t="s">
        <v>5540</v>
      </c>
      <c r="BV801" s="13" t="s">
        <v>4864</v>
      </c>
      <c r="BW801" s="13" t="str">
        <f>VLOOKUP($BT801,Enriched!$A$2:$E$1070,5,false)</f>
        <v>["Pollution", "Climate Change &amp; Severe Weather", "Residential &amp; Commercial Development", "Invasive &amp; Other Problematic Species, Genes &amp; Diseases", "Energy Production &amp; Mining", "Agriculture &amp; Aquaculture", "Transportation &amp; Service Corridors"]</v>
      </c>
      <c r="BX801" s="13" t="str">
        <f>VLOOKUP($BT801,Enriched!$A$2:$E$1070,4,false)</f>
        <v>["Air-borne pollutants", "Temperature extremes", "Industrial &amp; military effluents", "Agricultural &amp; forestry effluents", "Excess energy", "Commercial &amp; industrial areas", "Invasive non-native/alien species/diseases", "Oil &amp; gas drilling", "Marine &amp; freshwater aquaculture", "Shipping lanes", "Garbage &amp; solid waste"]</v>
      </c>
      <c r="BY801" s="13" t="b">
        <f>VLOOKUP(BT801,Enriched!$A$1:$AA$1070,27,falsE)</f>
        <v>0</v>
      </c>
      <c r="BZ801" s="2" t="str">
        <f>VLOOKUP(BT801,Enriched!$A$1:$AA$1070,14,falsE)</f>
        <v>cumulative</v>
      </c>
      <c r="CA801" s="13" t="str">
        <f>HYPERLINK("https%3A%2F%2Fwww.webofscience.com%2Fwos%2Fwoscc%2Ffull-record%2FWOS:000394077000001","View Full Record in Web of Science")</f>
        <v>View Full Record in Web of Science</v>
      </c>
    </row>
    <row r="802" ht="12.75" customHeight="1">
      <c r="A802" s="13" t="s">
        <v>5508</v>
      </c>
      <c r="B802" s="13" t="s">
        <v>19665</v>
      </c>
      <c r="C802" s="13" t="s">
        <v>5510</v>
      </c>
      <c r="D802" s="13" t="s">
        <v>5510</v>
      </c>
      <c r="E802" s="13" t="s">
        <v>5510</v>
      </c>
      <c r="F802" s="13" t="s">
        <v>19666</v>
      </c>
      <c r="G802" s="13" t="s">
        <v>5510</v>
      </c>
      <c r="H802" s="13" t="s">
        <v>5510</v>
      </c>
      <c r="I802" s="2" t="s">
        <v>500</v>
      </c>
      <c r="J802" s="13" t="s">
        <v>13251</v>
      </c>
      <c r="K802" s="13" t="s">
        <v>5510</v>
      </c>
      <c r="L802" s="13" t="s">
        <v>5510</v>
      </c>
      <c r="M802" s="13" t="s">
        <v>5513</v>
      </c>
      <c r="N802" s="13" t="s">
        <v>5514</v>
      </c>
      <c r="O802" s="13" t="s">
        <v>5510</v>
      </c>
      <c r="P802" s="13" t="s">
        <v>5510</v>
      </c>
      <c r="Q802" s="13" t="s">
        <v>5510</v>
      </c>
      <c r="R802" s="13" t="s">
        <v>5510</v>
      </c>
      <c r="S802" s="13" t="s">
        <v>5510</v>
      </c>
      <c r="T802" s="13" t="s">
        <v>19667</v>
      </c>
      <c r="U802" s="13" t="s">
        <v>19668</v>
      </c>
      <c r="V802" s="13" t="s">
        <v>19669</v>
      </c>
      <c r="W802" s="13" t="s">
        <v>19670</v>
      </c>
      <c r="X802" s="13" t="s">
        <v>19671</v>
      </c>
      <c r="Y802" s="13" t="s">
        <v>19672</v>
      </c>
      <c r="Z802" s="13" t="s">
        <v>19673</v>
      </c>
      <c r="AA802" s="13" t="s">
        <v>19674</v>
      </c>
      <c r="AB802" s="13" t="s">
        <v>19675</v>
      </c>
      <c r="AC802" s="13" t="s">
        <v>19676</v>
      </c>
      <c r="AD802" s="13" t="s">
        <v>19677</v>
      </c>
      <c r="AE802" s="13" t="s">
        <v>19678</v>
      </c>
      <c r="AF802" s="13" t="s">
        <v>5510</v>
      </c>
      <c r="AG802" s="13">
        <v>87.0</v>
      </c>
      <c r="AH802" s="13">
        <v>7.0</v>
      </c>
      <c r="AI802" s="13">
        <v>8.0</v>
      </c>
      <c r="AJ802" s="13">
        <v>0.0</v>
      </c>
      <c r="AK802" s="13">
        <v>67.0</v>
      </c>
      <c r="AL802" s="13" t="s">
        <v>5931</v>
      </c>
      <c r="AM802" s="13" t="s">
        <v>5932</v>
      </c>
      <c r="AN802" s="13" t="s">
        <v>5933</v>
      </c>
      <c r="AO802" s="13" t="s">
        <v>13263</v>
      </c>
      <c r="AP802" s="13" t="s">
        <v>13264</v>
      </c>
      <c r="AQ802" s="13" t="s">
        <v>5510</v>
      </c>
      <c r="AR802" s="13" t="s">
        <v>13251</v>
      </c>
      <c r="AS802" s="13" t="s">
        <v>13265</v>
      </c>
      <c r="AT802" s="13" t="s">
        <v>5866</v>
      </c>
      <c r="AU802" s="13">
        <v>2016.0</v>
      </c>
      <c r="AV802" s="13">
        <v>53.0</v>
      </c>
      <c r="AW802" s="13" t="s">
        <v>5510</v>
      </c>
      <c r="AX802" s="13" t="s">
        <v>5510</v>
      </c>
      <c r="AY802" s="13" t="s">
        <v>5510</v>
      </c>
      <c r="AZ802" s="13" t="s">
        <v>5510</v>
      </c>
      <c r="BA802" s="13" t="s">
        <v>5510</v>
      </c>
      <c r="BB802" s="13">
        <v>97.0</v>
      </c>
      <c r="BC802" s="13">
        <v>111.0</v>
      </c>
      <c r="BD802" s="13" t="s">
        <v>5510</v>
      </c>
      <c r="BE802" s="13" t="s">
        <v>19679</v>
      </c>
      <c r="BF802" s="52" t="str">
        <f>HYPERLINK("http://dx.doi.org/10.1016/j.landusepol.2014.08.020","http://dx.doi.org/10.1016/j.landusepol.2014.08.020")</f>
        <v>http://dx.doi.org/10.1016/j.landusepol.2014.08.020</v>
      </c>
      <c r="BG802" s="13" t="s">
        <v>5510</v>
      </c>
      <c r="BH802" s="13" t="s">
        <v>5510</v>
      </c>
      <c r="BI802" s="13">
        <v>15.0</v>
      </c>
      <c r="BJ802" s="13" t="s">
        <v>12528</v>
      </c>
      <c r="BK802" s="13" t="s">
        <v>8375</v>
      </c>
      <c r="BL802" s="13" t="s">
        <v>5535</v>
      </c>
      <c r="BM802" s="13" t="s">
        <v>19680</v>
      </c>
      <c r="BN802" s="13" t="s">
        <v>5510</v>
      </c>
      <c r="BO802" s="13" t="s">
        <v>5510</v>
      </c>
      <c r="BP802" s="13" t="s">
        <v>5510</v>
      </c>
      <c r="BQ802" s="13" t="s">
        <v>5510</v>
      </c>
      <c r="BR802" s="13" t="s">
        <v>5538</v>
      </c>
      <c r="BS802" s="13" t="s">
        <v>19681</v>
      </c>
      <c r="BT802" s="13">
        <v>25390.0</v>
      </c>
      <c r="BU802" s="13" t="s">
        <v>5540</v>
      </c>
      <c r="BV802" s="13" t="s">
        <v>4856</v>
      </c>
      <c r="BW802" s="13" t="str">
        <f>VLOOKUP($BT802,Enriched!$A$2:$E$1070,5,false)</f>
        <v>["Residential &amp; commercial development", "Agriculture &amp; aquaculture"]</v>
      </c>
      <c r="BX802" s="13" t="str">
        <f>VLOOKUP($BT802,Enriched!$A$2:$E$1070,4,false)</f>
        <v/>
      </c>
      <c r="BY802" s="13" t="b">
        <f>VLOOKUP(BT802,Enriched!$A$1:$AA$1070,27,falsE)</f>
        <v>1</v>
      </c>
      <c r="BZ802" s="2" t="str">
        <f>VLOOKUP(BT802,Enriched!$A$1:$AA$1070,14,falsE)</f>
        <v>level1</v>
      </c>
      <c r="CA802" s="13" t="str">
        <f>HYPERLINK("https%3A%2F%2Fwww.webofscience.com%2Fwos%2Fwoscc%2Ffull-record%2FWOS:000373549500011","View Full Record in Web of Science")</f>
        <v>View Full Record in Web of Science</v>
      </c>
    </row>
    <row r="803" ht="12.75" customHeight="1">
      <c r="A803" s="13" t="s">
        <v>5508</v>
      </c>
      <c r="B803" s="13" t="s">
        <v>19665</v>
      </c>
      <c r="C803" s="13" t="s">
        <v>5510</v>
      </c>
      <c r="D803" s="13" t="s">
        <v>5510</v>
      </c>
      <c r="E803" s="13" t="s">
        <v>5510</v>
      </c>
      <c r="F803" s="13" t="s">
        <v>19666</v>
      </c>
      <c r="G803" s="13" t="s">
        <v>5510</v>
      </c>
      <c r="H803" s="13" t="s">
        <v>5510</v>
      </c>
      <c r="I803" s="13" t="s">
        <v>500</v>
      </c>
      <c r="J803" s="13" t="s">
        <v>13251</v>
      </c>
      <c r="K803" s="13" t="s">
        <v>5510</v>
      </c>
      <c r="L803" s="13" t="s">
        <v>5510</v>
      </c>
      <c r="M803" s="13" t="s">
        <v>5513</v>
      </c>
      <c r="N803" s="13" t="s">
        <v>5514</v>
      </c>
      <c r="O803" s="13" t="s">
        <v>5510</v>
      </c>
      <c r="P803" s="13" t="s">
        <v>5510</v>
      </c>
      <c r="Q803" s="13" t="s">
        <v>5510</v>
      </c>
      <c r="R803" s="13" t="s">
        <v>5510</v>
      </c>
      <c r="S803" s="13" t="s">
        <v>5510</v>
      </c>
      <c r="T803" s="13" t="s">
        <v>19667</v>
      </c>
      <c r="U803" s="13" t="s">
        <v>19682</v>
      </c>
      <c r="V803" s="13" t="s">
        <v>19683</v>
      </c>
      <c r="W803" s="13" t="s">
        <v>19684</v>
      </c>
      <c r="X803" s="13" t="s">
        <v>19671</v>
      </c>
      <c r="Y803" s="13" t="s">
        <v>19672</v>
      </c>
      <c r="Z803" s="13" t="s">
        <v>19673</v>
      </c>
      <c r="AA803" s="13" t="s">
        <v>19685</v>
      </c>
      <c r="AB803" s="13" t="s">
        <v>19686</v>
      </c>
      <c r="AC803" s="13" t="s">
        <v>5510</v>
      </c>
      <c r="AD803" s="13" t="s">
        <v>5510</v>
      </c>
      <c r="AE803" s="13" t="s">
        <v>5510</v>
      </c>
      <c r="AF803" s="13" t="s">
        <v>5510</v>
      </c>
      <c r="AG803" s="13">
        <v>87.0</v>
      </c>
      <c r="AH803" s="13">
        <v>36.0</v>
      </c>
      <c r="AI803" s="13">
        <v>43.0</v>
      </c>
      <c r="AJ803" s="13">
        <v>2.0</v>
      </c>
      <c r="AK803" s="13">
        <v>132.0</v>
      </c>
      <c r="AL803" s="13" t="s">
        <v>5931</v>
      </c>
      <c r="AM803" s="13" t="s">
        <v>5932</v>
      </c>
      <c r="AN803" s="13" t="s">
        <v>5933</v>
      </c>
      <c r="AO803" s="13" t="s">
        <v>13263</v>
      </c>
      <c r="AP803" s="13" t="s">
        <v>13264</v>
      </c>
      <c r="AQ803" s="13" t="s">
        <v>5510</v>
      </c>
      <c r="AR803" s="13" t="s">
        <v>13251</v>
      </c>
      <c r="AS803" s="13" t="s">
        <v>13265</v>
      </c>
      <c r="AT803" s="13" t="s">
        <v>5582</v>
      </c>
      <c r="AU803" s="13">
        <v>2015.0</v>
      </c>
      <c r="AV803" s="13">
        <v>42.0</v>
      </c>
      <c r="AW803" s="13" t="s">
        <v>5510</v>
      </c>
      <c r="AX803" s="13" t="s">
        <v>5510</v>
      </c>
      <c r="AY803" s="13" t="s">
        <v>5510</v>
      </c>
      <c r="AZ803" s="13" t="s">
        <v>5510</v>
      </c>
      <c r="BA803" s="13" t="s">
        <v>5510</v>
      </c>
      <c r="BB803" s="13">
        <v>340.0</v>
      </c>
      <c r="BC803" s="13">
        <v>354.0</v>
      </c>
      <c r="BD803" s="13" t="s">
        <v>5510</v>
      </c>
      <c r="BE803" s="13" t="s">
        <v>19687</v>
      </c>
      <c r="BF803" s="52" t="str">
        <f>HYPERLINK("http://dx.doi.org/10.1016/j.landusepol.2014.08.008","http://dx.doi.org/10.1016/j.landusepol.2014.08.008")</f>
        <v>http://dx.doi.org/10.1016/j.landusepol.2014.08.008</v>
      </c>
      <c r="BG803" s="13" t="s">
        <v>5510</v>
      </c>
      <c r="BH803" s="13" t="s">
        <v>5510</v>
      </c>
      <c r="BI803" s="13">
        <v>15.0</v>
      </c>
      <c r="BJ803" s="13" t="s">
        <v>12528</v>
      </c>
      <c r="BK803" s="13" t="s">
        <v>8375</v>
      </c>
      <c r="BL803" s="13" t="s">
        <v>5535</v>
      </c>
      <c r="BM803" s="13" t="s">
        <v>19688</v>
      </c>
      <c r="BN803" s="13" t="s">
        <v>5510</v>
      </c>
      <c r="BO803" s="13" t="s">
        <v>5510</v>
      </c>
      <c r="BP803" s="13" t="s">
        <v>5510</v>
      </c>
      <c r="BQ803" s="13" t="s">
        <v>5510</v>
      </c>
      <c r="BR803" s="13" t="s">
        <v>5538</v>
      </c>
      <c r="BS803" s="13" t="s">
        <v>19689</v>
      </c>
      <c r="BT803" s="13">
        <v>25390.0</v>
      </c>
      <c r="BU803" s="13" t="s">
        <v>5540</v>
      </c>
      <c r="BV803" s="13" t="s">
        <v>4856</v>
      </c>
      <c r="BW803" s="13" t="str">
        <f>VLOOKUP($BT803,Enriched!$A$2:$E$1070,5,false)</f>
        <v>["Residential &amp; commercial development", "Agriculture &amp; aquaculture"]</v>
      </c>
      <c r="BX803" s="13" t="str">
        <f>VLOOKUP($BT803,Enriched!$A$2:$E$1070,4,false)</f>
        <v/>
      </c>
      <c r="BY803" s="13" t="b">
        <f>VLOOKUP(BT803,Enriched!$A$1:$AA$1070,27,falsE)</f>
        <v>1</v>
      </c>
      <c r="BZ803" s="2" t="str">
        <f>VLOOKUP(BT803,Enriched!$A$1:$AA$1070,14,falsE)</f>
        <v>level1</v>
      </c>
      <c r="CA803" s="13" t="str">
        <f>HYPERLINK("https%3A%2F%2Fwww.webofscience.com%2Fwos%2Fwoscc%2Ffull-record%2FWOS:000347018700032","View Full Record in Web of Science")</f>
        <v>View Full Record in Web of Science</v>
      </c>
    </row>
    <row r="804" ht="12.75" customHeight="1">
      <c r="A804" s="13" t="s">
        <v>5508</v>
      </c>
      <c r="B804" s="13" t="s">
        <v>19690</v>
      </c>
      <c r="C804" s="13" t="s">
        <v>5510</v>
      </c>
      <c r="D804" s="13" t="s">
        <v>5510</v>
      </c>
      <c r="E804" s="13" t="s">
        <v>5510</v>
      </c>
      <c r="F804" s="13" t="s">
        <v>19691</v>
      </c>
      <c r="G804" s="13" t="s">
        <v>5510</v>
      </c>
      <c r="H804" s="13" t="s">
        <v>5510</v>
      </c>
      <c r="I804" s="13" t="s">
        <v>497</v>
      </c>
      <c r="J804" s="13" t="s">
        <v>5919</v>
      </c>
      <c r="K804" s="13" t="s">
        <v>5510</v>
      </c>
      <c r="L804" s="13" t="s">
        <v>5510</v>
      </c>
      <c r="M804" s="13" t="s">
        <v>5513</v>
      </c>
      <c r="N804" s="13" t="s">
        <v>5514</v>
      </c>
      <c r="O804" s="13" t="s">
        <v>5510</v>
      </c>
      <c r="P804" s="13" t="s">
        <v>5510</v>
      </c>
      <c r="Q804" s="13" t="s">
        <v>5510</v>
      </c>
      <c r="R804" s="13" t="s">
        <v>5510</v>
      </c>
      <c r="S804" s="13" t="s">
        <v>5510</v>
      </c>
      <c r="T804" s="13" t="s">
        <v>19692</v>
      </c>
      <c r="U804" s="13" t="s">
        <v>19693</v>
      </c>
      <c r="V804" s="13" t="s">
        <v>19694</v>
      </c>
      <c r="W804" s="13" t="s">
        <v>19695</v>
      </c>
      <c r="X804" s="13" t="s">
        <v>8522</v>
      </c>
      <c r="Y804" s="13" t="s">
        <v>19696</v>
      </c>
      <c r="Z804" s="13" t="s">
        <v>19697</v>
      </c>
      <c r="AA804" s="13" t="s">
        <v>19698</v>
      </c>
      <c r="AB804" s="13" t="s">
        <v>19699</v>
      </c>
      <c r="AC804" s="13" t="s">
        <v>19700</v>
      </c>
      <c r="AD804" s="13" t="s">
        <v>19701</v>
      </c>
      <c r="AE804" s="13" t="s">
        <v>19702</v>
      </c>
      <c r="AF804" s="13" t="s">
        <v>5510</v>
      </c>
      <c r="AG804" s="13">
        <v>86.0</v>
      </c>
      <c r="AH804" s="13">
        <v>34.0</v>
      </c>
      <c r="AI804" s="13">
        <v>39.0</v>
      </c>
      <c r="AJ804" s="13">
        <v>11.0</v>
      </c>
      <c r="AK804" s="13">
        <v>85.0</v>
      </c>
      <c r="AL804" s="13" t="s">
        <v>5931</v>
      </c>
      <c r="AM804" s="13" t="s">
        <v>5932</v>
      </c>
      <c r="AN804" s="13" t="s">
        <v>5933</v>
      </c>
      <c r="AO804" s="13" t="s">
        <v>5934</v>
      </c>
      <c r="AP804" s="13" t="s">
        <v>5935</v>
      </c>
      <c r="AQ804" s="13" t="s">
        <v>5510</v>
      </c>
      <c r="AR804" s="13" t="s">
        <v>5936</v>
      </c>
      <c r="AS804" s="13" t="s">
        <v>5937</v>
      </c>
      <c r="AT804" s="13" t="s">
        <v>6175</v>
      </c>
      <c r="AU804" s="13">
        <v>2018.0</v>
      </c>
      <c r="AV804" s="13">
        <v>224.0</v>
      </c>
      <c r="AW804" s="13" t="s">
        <v>5510</v>
      </c>
      <c r="AX804" s="13" t="s">
        <v>5510</v>
      </c>
      <c r="AY804" s="13" t="s">
        <v>5510</v>
      </c>
      <c r="AZ804" s="13" t="s">
        <v>5510</v>
      </c>
      <c r="BA804" s="13" t="s">
        <v>5510</v>
      </c>
      <c r="BB804" s="13">
        <v>199.0</v>
      </c>
      <c r="BC804" s="13">
        <v>208.0</v>
      </c>
      <c r="BD804" s="13" t="s">
        <v>5510</v>
      </c>
      <c r="BE804" s="13" t="s">
        <v>19703</v>
      </c>
      <c r="BF804" s="52" t="str">
        <f>HYPERLINK("http://dx.doi.org/10.1016/j.biocon.2018.05.019","http://dx.doi.org/10.1016/j.biocon.2018.05.019")</f>
        <v>http://dx.doi.org/10.1016/j.biocon.2018.05.019</v>
      </c>
      <c r="BG804" s="13" t="s">
        <v>5510</v>
      </c>
      <c r="BH804" s="13" t="s">
        <v>5510</v>
      </c>
      <c r="BI804" s="13">
        <v>10.0</v>
      </c>
      <c r="BJ804" s="13" t="s">
        <v>5698</v>
      </c>
      <c r="BK804" s="13" t="s">
        <v>5561</v>
      </c>
      <c r="BL804" s="13" t="s">
        <v>5699</v>
      </c>
      <c r="BM804" s="13" t="s">
        <v>19704</v>
      </c>
      <c r="BN804" s="13">
        <v>3.0245526E7</v>
      </c>
      <c r="BO804" s="13" t="s">
        <v>6028</v>
      </c>
      <c r="BP804" s="13" t="s">
        <v>5510</v>
      </c>
      <c r="BQ804" s="13" t="s">
        <v>5510</v>
      </c>
      <c r="BR804" s="13" t="s">
        <v>5538</v>
      </c>
      <c r="BS804" s="13" t="s">
        <v>19705</v>
      </c>
      <c r="BT804" s="13">
        <v>25059.0</v>
      </c>
      <c r="BU804" s="13" t="s">
        <v>5540</v>
      </c>
      <c r="BV804" s="13" t="s">
        <v>4852</v>
      </c>
      <c r="BW804" s="13" t="str">
        <f>VLOOKUP($BT804,Enriched!$A$2:$E$1070,5,false)</f>
        <v>["Invasive &amp; other problematic species, genes &amp; diseases"]</v>
      </c>
      <c r="BX804" s="13" t="str">
        <f>VLOOKUP($BT804,Enriched!$A$2:$E$1070,4,false)</f>
        <v>["Invasive non-native/alien species/diseases"]</v>
      </c>
      <c r="BY804" s="13" t="b">
        <f>VLOOKUP(BT804,Enriched!$A$1:$AA$1070,27,falsE)</f>
        <v>0</v>
      </c>
      <c r="BZ804" s="2" t="str">
        <f>VLOOKUP(BT804,Enriched!$A$1:$AA$1070,14,falsE)</f>
        <v>level2</v>
      </c>
      <c r="CA804" s="13" t="str">
        <f>HYPERLINK("https%3A%2F%2Fwww.webofscience.com%2Fwos%2Fwoscc%2Ffull-record%2FWOS:000439537600022","View Full Record in Web of Science")</f>
        <v>View Full Record in Web of Science</v>
      </c>
    </row>
    <row r="805" ht="12.75" customHeight="1">
      <c r="A805" s="13" t="s">
        <v>5508</v>
      </c>
      <c r="B805" s="13" t="s">
        <v>19706</v>
      </c>
      <c r="C805" s="13" t="s">
        <v>5510</v>
      </c>
      <c r="D805" s="13" t="s">
        <v>5510</v>
      </c>
      <c r="E805" s="13" t="s">
        <v>5510</v>
      </c>
      <c r="F805" s="13" t="s">
        <v>19707</v>
      </c>
      <c r="G805" s="13" t="s">
        <v>5510</v>
      </c>
      <c r="H805" s="13" t="s">
        <v>5510</v>
      </c>
      <c r="I805" s="13" t="s">
        <v>19708</v>
      </c>
      <c r="J805" s="13" t="s">
        <v>19709</v>
      </c>
      <c r="K805" s="13" t="s">
        <v>5510</v>
      </c>
      <c r="L805" s="13" t="s">
        <v>5510</v>
      </c>
      <c r="M805" s="13" t="s">
        <v>5513</v>
      </c>
      <c r="N805" s="13" t="s">
        <v>5514</v>
      </c>
      <c r="O805" s="13" t="s">
        <v>5510</v>
      </c>
      <c r="P805" s="13" t="s">
        <v>5510</v>
      </c>
      <c r="Q805" s="13" t="s">
        <v>5510</v>
      </c>
      <c r="R805" s="13" t="s">
        <v>5510</v>
      </c>
      <c r="S805" s="13" t="s">
        <v>5510</v>
      </c>
      <c r="T805" s="13" t="s">
        <v>19710</v>
      </c>
      <c r="U805" s="13" t="s">
        <v>19711</v>
      </c>
      <c r="V805" s="13" t="s">
        <v>19712</v>
      </c>
      <c r="W805" s="13" t="s">
        <v>19713</v>
      </c>
      <c r="X805" s="13" t="s">
        <v>19714</v>
      </c>
      <c r="Y805" s="13" t="s">
        <v>19715</v>
      </c>
      <c r="Z805" s="13" t="s">
        <v>19716</v>
      </c>
      <c r="AA805" s="13" t="s">
        <v>19717</v>
      </c>
      <c r="AB805" s="13" t="s">
        <v>19718</v>
      </c>
      <c r="AC805" s="13" t="s">
        <v>19719</v>
      </c>
      <c r="AD805" s="13" t="s">
        <v>19720</v>
      </c>
      <c r="AE805" s="13" t="s">
        <v>19721</v>
      </c>
      <c r="AF805" s="13" t="s">
        <v>5510</v>
      </c>
      <c r="AG805" s="13">
        <v>95.0</v>
      </c>
      <c r="AH805" s="13">
        <v>5.0</v>
      </c>
      <c r="AI805" s="13">
        <v>7.0</v>
      </c>
      <c r="AJ805" s="13">
        <v>0.0</v>
      </c>
      <c r="AK805" s="13">
        <v>11.0</v>
      </c>
      <c r="AL805" s="13" t="s">
        <v>19722</v>
      </c>
      <c r="AM805" s="13" t="s">
        <v>19723</v>
      </c>
      <c r="AN805" s="13" t="s">
        <v>19724</v>
      </c>
      <c r="AO805" s="13" t="s">
        <v>19725</v>
      </c>
      <c r="AP805" s="13" t="s">
        <v>5510</v>
      </c>
      <c r="AQ805" s="13" t="s">
        <v>5510</v>
      </c>
      <c r="AR805" s="13" t="s">
        <v>19726</v>
      </c>
      <c r="AS805" s="13" t="s">
        <v>19727</v>
      </c>
      <c r="AT805" s="13" t="s">
        <v>5510</v>
      </c>
      <c r="AU805" s="13">
        <v>2016.0</v>
      </c>
      <c r="AV805" s="13">
        <v>1.0</v>
      </c>
      <c r="AW805" s="13">
        <v>4.0</v>
      </c>
      <c r="AX805" s="13" t="s">
        <v>5510</v>
      </c>
      <c r="AY805" s="13" t="s">
        <v>5510</v>
      </c>
      <c r="AZ805" s="13" t="s">
        <v>5510</v>
      </c>
      <c r="BA805" s="13" t="s">
        <v>5510</v>
      </c>
      <c r="BB805" s="13">
        <v>65.0</v>
      </c>
      <c r="BC805" s="13">
        <v>78.0</v>
      </c>
      <c r="BD805" s="13" t="s">
        <v>5510</v>
      </c>
      <c r="BE805" s="13" t="s">
        <v>19728</v>
      </c>
      <c r="BF805" s="52" t="str">
        <f>HYPERLINK("http://dx.doi.org/10.17645/up.v1i4.726","http://dx.doi.org/10.17645/up.v1i4.726")</f>
        <v>http://dx.doi.org/10.17645/up.v1i4.726</v>
      </c>
      <c r="BG805" s="13" t="s">
        <v>5510</v>
      </c>
      <c r="BH805" s="13" t="s">
        <v>5510</v>
      </c>
      <c r="BI805" s="13">
        <v>14.0</v>
      </c>
      <c r="BJ805" s="13" t="s">
        <v>19729</v>
      </c>
      <c r="BK805" s="13" t="s">
        <v>7985</v>
      </c>
      <c r="BL805" s="13" t="s">
        <v>19729</v>
      </c>
      <c r="BM805" s="13" t="s">
        <v>19730</v>
      </c>
      <c r="BN805" s="13" t="s">
        <v>5510</v>
      </c>
      <c r="BO805" s="13" t="s">
        <v>5564</v>
      </c>
      <c r="BP805" s="13" t="s">
        <v>5510</v>
      </c>
      <c r="BQ805" s="13" t="s">
        <v>5510</v>
      </c>
      <c r="BR805" s="13" t="s">
        <v>5538</v>
      </c>
      <c r="BS805" s="13" t="s">
        <v>19731</v>
      </c>
      <c r="BT805" s="13">
        <v>23795.0</v>
      </c>
      <c r="BU805" s="13" t="s">
        <v>5540</v>
      </c>
      <c r="BV805" s="13" t="s">
        <v>4856</v>
      </c>
      <c r="BW805" s="13" t="str">
        <f>VLOOKUP($BT805,Enriched!$A$2:$E$1070,5,false)</f>
        <v>["Residential &amp; commercial development"]</v>
      </c>
      <c r="BX805" s="13" t="str">
        <f>VLOOKUP($BT805,Enriched!$A$2:$E$1070,4,false)</f>
        <v>["Housing &amp; urban area"]</v>
      </c>
      <c r="BY805" s="13" t="b">
        <f>VLOOKUP(BT805,Enriched!$A$1:$AA$1070,27,falsE)</f>
        <v>0</v>
      </c>
      <c r="BZ805" s="2" t="str">
        <f>VLOOKUP(BT805,Enriched!$A$1:$AA$1070,14,falsE)</f>
        <v>level2</v>
      </c>
      <c r="CA805" s="13" t="str">
        <f>HYPERLINK("https%3A%2F%2Fwww.webofscience.com%2Fwos%2Fwoscc%2Ffull-record%2FWOS:000408826700007","View Full Record in Web of Science")</f>
        <v>View Full Record in Web of Science</v>
      </c>
    </row>
    <row r="806" ht="12.75" customHeight="1">
      <c r="A806" s="13" t="s">
        <v>5508</v>
      </c>
      <c r="B806" s="13" t="s">
        <v>19732</v>
      </c>
      <c r="C806" s="13" t="s">
        <v>5510</v>
      </c>
      <c r="D806" s="13" t="s">
        <v>5510</v>
      </c>
      <c r="E806" s="13" t="s">
        <v>5510</v>
      </c>
      <c r="F806" s="13" t="s">
        <v>19733</v>
      </c>
      <c r="G806" s="13" t="s">
        <v>5510</v>
      </c>
      <c r="H806" s="13" t="s">
        <v>5510</v>
      </c>
      <c r="I806" s="13" t="s">
        <v>490</v>
      </c>
      <c r="J806" s="13" t="s">
        <v>5919</v>
      </c>
      <c r="K806" s="13" t="s">
        <v>5510</v>
      </c>
      <c r="L806" s="13" t="s">
        <v>5510</v>
      </c>
      <c r="M806" s="13" t="s">
        <v>5513</v>
      </c>
      <c r="N806" s="13" t="s">
        <v>5514</v>
      </c>
      <c r="O806" s="13" t="s">
        <v>5510</v>
      </c>
      <c r="P806" s="13" t="s">
        <v>5510</v>
      </c>
      <c r="Q806" s="13" t="s">
        <v>5510</v>
      </c>
      <c r="R806" s="13" t="s">
        <v>5510</v>
      </c>
      <c r="S806" s="13" t="s">
        <v>5510</v>
      </c>
      <c r="T806" s="13" t="s">
        <v>19734</v>
      </c>
      <c r="U806" s="13" t="s">
        <v>19735</v>
      </c>
      <c r="V806" s="13" t="s">
        <v>19736</v>
      </c>
      <c r="W806" s="13" t="s">
        <v>19737</v>
      </c>
      <c r="X806" s="13" t="s">
        <v>19738</v>
      </c>
      <c r="Y806" s="13" t="s">
        <v>19739</v>
      </c>
      <c r="Z806" s="13" t="s">
        <v>19740</v>
      </c>
      <c r="AA806" s="13" t="s">
        <v>19741</v>
      </c>
      <c r="AB806" s="13" t="s">
        <v>19742</v>
      </c>
      <c r="AC806" s="13" t="s">
        <v>19743</v>
      </c>
      <c r="AD806" s="13" t="s">
        <v>19744</v>
      </c>
      <c r="AE806" s="13" t="s">
        <v>19745</v>
      </c>
      <c r="AF806" s="13" t="s">
        <v>5510</v>
      </c>
      <c r="AG806" s="13">
        <v>74.0</v>
      </c>
      <c r="AH806" s="13">
        <v>31.0</v>
      </c>
      <c r="AI806" s="13">
        <v>35.0</v>
      </c>
      <c r="AJ806" s="13">
        <v>1.0</v>
      </c>
      <c r="AK806" s="13">
        <v>37.0</v>
      </c>
      <c r="AL806" s="13" t="s">
        <v>5931</v>
      </c>
      <c r="AM806" s="13" t="s">
        <v>5932</v>
      </c>
      <c r="AN806" s="13" t="s">
        <v>5933</v>
      </c>
      <c r="AO806" s="13" t="s">
        <v>5934</v>
      </c>
      <c r="AP806" s="13" t="s">
        <v>5935</v>
      </c>
      <c r="AQ806" s="13" t="s">
        <v>5510</v>
      </c>
      <c r="AR806" s="13" t="s">
        <v>5936</v>
      </c>
      <c r="AS806" s="13" t="s">
        <v>5937</v>
      </c>
      <c r="AT806" s="13" t="s">
        <v>5582</v>
      </c>
      <c r="AU806" s="13">
        <v>2018.0</v>
      </c>
      <c r="AV806" s="13">
        <v>217.0</v>
      </c>
      <c r="AW806" s="13" t="s">
        <v>5510</v>
      </c>
      <c r="AX806" s="13" t="s">
        <v>5510</v>
      </c>
      <c r="AY806" s="13" t="s">
        <v>5510</v>
      </c>
      <c r="AZ806" s="13" t="s">
        <v>5510</v>
      </c>
      <c r="BA806" s="13" t="s">
        <v>5510</v>
      </c>
      <c r="BB806" s="13">
        <v>321.0</v>
      </c>
      <c r="BC806" s="13">
        <v>328.0</v>
      </c>
      <c r="BD806" s="13" t="s">
        <v>5510</v>
      </c>
      <c r="BE806" s="13" t="s">
        <v>19746</v>
      </c>
      <c r="BF806" s="52" t="str">
        <f>HYPERLINK("http://dx.doi.org/10.1016/j.biocon.2017.11.015","http://dx.doi.org/10.1016/j.biocon.2017.11.015")</f>
        <v>http://dx.doi.org/10.1016/j.biocon.2017.11.015</v>
      </c>
      <c r="BG806" s="13" t="s">
        <v>5510</v>
      </c>
      <c r="BH806" s="13" t="s">
        <v>5510</v>
      </c>
      <c r="BI806" s="13">
        <v>8.0</v>
      </c>
      <c r="BJ806" s="13" t="s">
        <v>5698</v>
      </c>
      <c r="BK806" s="13" t="s">
        <v>5534</v>
      </c>
      <c r="BL806" s="13" t="s">
        <v>5699</v>
      </c>
      <c r="BM806" s="13" t="s">
        <v>19747</v>
      </c>
      <c r="BN806" s="13" t="s">
        <v>5510</v>
      </c>
      <c r="BO806" s="13" t="s">
        <v>5510</v>
      </c>
      <c r="BP806" s="13" t="s">
        <v>5510</v>
      </c>
      <c r="BQ806" s="13" t="s">
        <v>5510</v>
      </c>
      <c r="BR806" s="13" t="s">
        <v>5538</v>
      </c>
      <c r="BS806" s="13" t="s">
        <v>19748</v>
      </c>
      <c r="BT806" s="13">
        <v>23566.0</v>
      </c>
      <c r="BU806" s="13" t="s">
        <v>5540</v>
      </c>
      <c r="BV806" s="13" t="s">
        <v>4864</v>
      </c>
      <c r="BW806" s="13" t="str">
        <f>VLOOKUP($BT806,Enriched!$A$2:$E$1070,5,false)</f>
        <v>["Biological resource use"]</v>
      </c>
      <c r="BX806" s="13" t="str">
        <f>VLOOKUP($BT806,Enriched!$A$2:$E$1070,4,false)</f>
        <v>["Fishing &amp; harvesting aquatic resources"]</v>
      </c>
      <c r="BY806" s="13" t="b">
        <f>VLOOKUP(BT806,Enriched!$A$1:$AA$1070,27,falsE)</f>
        <v>0</v>
      </c>
      <c r="BZ806" s="2" t="str">
        <f>VLOOKUP(BT806,Enriched!$A$1:$AA$1070,14,falsE)</f>
        <v>level2</v>
      </c>
      <c r="CA806" s="13" t="str">
        <f>HYPERLINK("https%3A%2F%2Fwww.webofscience.com%2Fwos%2Fwoscc%2Ffull-record%2FWOS:000423005200035","View Full Record in Web of Science")</f>
        <v>View Full Record in Web of Science</v>
      </c>
    </row>
    <row r="807" ht="12.75" customHeight="1">
      <c r="A807" s="13" t="s">
        <v>5508</v>
      </c>
      <c r="B807" s="13" t="s">
        <v>19749</v>
      </c>
      <c r="C807" s="13" t="s">
        <v>5510</v>
      </c>
      <c r="D807" s="13" t="s">
        <v>5510</v>
      </c>
      <c r="E807" s="13" t="s">
        <v>5510</v>
      </c>
      <c r="F807" s="13" t="s">
        <v>19750</v>
      </c>
      <c r="G807" s="13" t="s">
        <v>5510</v>
      </c>
      <c r="H807" s="13" t="s">
        <v>5510</v>
      </c>
      <c r="I807" s="13" t="s">
        <v>19751</v>
      </c>
      <c r="J807" s="13" t="s">
        <v>5543</v>
      </c>
      <c r="K807" s="13" t="s">
        <v>5510</v>
      </c>
      <c r="L807" s="13" t="s">
        <v>5510</v>
      </c>
      <c r="M807" s="13" t="s">
        <v>5513</v>
      </c>
      <c r="N807" s="13" t="s">
        <v>5514</v>
      </c>
      <c r="O807" s="13" t="s">
        <v>5510</v>
      </c>
      <c r="P807" s="13" t="s">
        <v>5510</v>
      </c>
      <c r="Q807" s="13" t="s">
        <v>5510</v>
      </c>
      <c r="R807" s="13" t="s">
        <v>5510</v>
      </c>
      <c r="S807" s="13" t="s">
        <v>5510</v>
      </c>
      <c r="T807" s="13" t="s">
        <v>5510</v>
      </c>
      <c r="U807" s="13" t="s">
        <v>19752</v>
      </c>
      <c r="V807" s="13" t="s">
        <v>19753</v>
      </c>
      <c r="W807" s="13" t="s">
        <v>19754</v>
      </c>
      <c r="X807" s="13" t="s">
        <v>19755</v>
      </c>
      <c r="Y807" s="13" t="s">
        <v>19756</v>
      </c>
      <c r="Z807" s="13" t="s">
        <v>19757</v>
      </c>
      <c r="AA807" s="13" t="s">
        <v>19758</v>
      </c>
      <c r="AB807" s="13" t="s">
        <v>19759</v>
      </c>
      <c r="AC807" s="13" t="s">
        <v>19760</v>
      </c>
      <c r="AD807" s="13" t="s">
        <v>19761</v>
      </c>
      <c r="AE807" s="13" t="s">
        <v>19762</v>
      </c>
      <c r="AF807" s="13" t="s">
        <v>5510</v>
      </c>
      <c r="AG807" s="13">
        <v>89.0</v>
      </c>
      <c r="AH807" s="13">
        <v>17.0</v>
      </c>
      <c r="AI807" s="13">
        <v>19.0</v>
      </c>
      <c r="AJ807" s="13">
        <v>0.0</v>
      </c>
      <c r="AK807" s="13">
        <v>58.0</v>
      </c>
      <c r="AL807" s="13" t="s">
        <v>5552</v>
      </c>
      <c r="AM807" s="13" t="s">
        <v>5553</v>
      </c>
      <c r="AN807" s="13" t="s">
        <v>5554</v>
      </c>
      <c r="AO807" s="13" t="s">
        <v>5555</v>
      </c>
      <c r="AP807" s="13" t="s">
        <v>5510</v>
      </c>
      <c r="AQ807" s="13" t="s">
        <v>5510</v>
      </c>
      <c r="AR807" s="13" t="s">
        <v>5543</v>
      </c>
      <c r="AS807" s="13" t="s">
        <v>5556</v>
      </c>
      <c r="AT807" s="13" t="s">
        <v>19763</v>
      </c>
      <c r="AU807" s="13">
        <v>2015.0</v>
      </c>
      <c r="AV807" s="13">
        <v>10.0</v>
      </c>
      <c r="AW807" s="13">
        <v>12.0</v>
      </c>
      <c r="AX807" s="13" t="s">
        <v>5510</v>
      </c>
      <c r="AY807" s="13" t="s">
        <v>5510</v>
      </c>
      <c r="AZ807" s="13" t="s">
        <v>5510</v>
      </c>
      <c r="BA807" s="13" t="s">
        <v>5510</v>
      </c>
      <c r="BB807" s="13" t="s">
        <v>5510</v>
      </c>
      <c r="BC807" s="13" t="s">
        <v>5510</v>
      </c>
      <c r="BD807" s="13" t="s">
        <v>19764</v>
      </c>
      <c r="BE807" s="13" t="s">
        <v>19765</v>
      </c>
      <c r="BF807" s="52" t="str">
        <f>HYPERLINK("http://dx.doi.org/10.1371/journal.pone.0145841","http://dx.doi.org/10.1371/journal.pone.0145841")</f>
        <v>http://dx.doi.org/10.1371/journal.pone.0145841</v>
      </c>
      <c r="BG807" s="13" t="s">
        <v>5510</v>
      </c>
      <c r="BH807" s="13" t="s">
        <v>5510</v>
      </c>
      <c r="BI807" s="13">
        <v>24.0</v>
      </c>
      <c r="BJ807" s="13" t="s">
        <v>5560</v>
      </c>
      <c r="BK807" s="13" t="s">
        <v>5561</v>
      </c>
      <c r="BL807" s="13" t="s">
        <v>5562</v>
      </c>
      <c r="BM807" s="13" t="s">
        <v>19766</v>
      </c>
      <c r="BN807" s="13">
        <v>2.6710251E7</v>
      </c>
      <c r="BO807" s="13" t="s">
        <v>5564</v>
      </c>
      <c r="BP807" s="13" t="s">
        <v>5510</v>
      </c>
      <c r="BQ807" s="13" t="s">
        <v>5510</v>
      </c>
      <c r="BR807" s="13" t="s">
        <v>5538</v>
      </c>
      <c r="BS807" s="13" t="s">
        <v>19767</v>
      </c>
      <c r="BT807" s="13">
        <v>25526.0</v>
      </c>
      <c r="BU807" s="13" t="s">
        <v>5540</v>
      </c>
      <c r="BV807" s="13" t="s">
        <v>4886</v>
      </c>
      <c r="BW807" s="13" t="str">
        <f>VLOOKUP($BT807,Enriched!$A$2:$E$1070,5,false)</f>
        <v>["Invasive &amp; other problematic species, genes &amp; diseases"]</v>
      </c>
      <c r="BX807" s="13" t="str">
        <f>VLOOKUP($BT807,Enriched!$A$2:$E$1070,4,false)</f>
        <v>["Invasive non-native/alien species/diseases"]</v>
      </c>
      <c r="BY807" s="13" t="b">
        <f>VLOOKUP(BT807,Enriched!$A$1:$AA$1070,27,falsE)</f>
        <v>0</v>
      </c>
      <c r="BZ807" s="2" t="str">
        <f>VLOOKUP(BT807,Enriched!$A$1:$AA$1070,14,falsE)</f>
        <v>level2</v>
      </c>
      <c r="CA807" s="13" t="str">
        <f>HYPERLINK("https%3A%2F%2Fwww.webofscience.com%2Fwos%2Fwoscc%2Ffull-record%2FWOS:000367451400083","View Full Record in Web of Science")</f>
        <v>View Full Record in Web of Science</v>
      </c>
    </row>
    <row r="808" ht="12.75" customHeight="1">
      <c r="A808" s="13" t="s">
        <v>5508</v>
      </c>
      <c r="B808" s="13" t="s">
        <v>19768</v>
      </c>
      <c r="C808" s="13" t="s">
        <v>5510</v>
      </c>
      <c r="D808" s="13" t="s">
        <v>5510</v>
      </c>
      <c r="E808" s="13" t="s">
        <v>5510</v>
      </c>
      <c r="F808" s="13" t="s">
        <v>19769</v>
      </c>
      <c r="G808" s="13" t="s">
        <v>5510</v>
      </c>
      <c r="H808" s="13" t="s">
        <v>5510</v>
      </c>
      <c r="I808" s="13" t="s">
        <v>484</v>
      </c>
      <c r="J808" s="13" t="s">
        <v>9906</v>
      </c>
      <c r="K808" s="13" t="s">
        <v>5510</v>
      </c>
      <c r="L808" s="13" t="s">
        <v>5510</v>
      </c>
      <c r="M808" s="13" t="s">
        <v>5513</v>
      </c>
      <c r="N808" s="13" t="s">
        <v>5514</v>
      </c>
      <c r="O808" s="13" t="s">
        <v>5510</v>
      </c>
      <c r="P808" s="13" t="s">
        <v>5510</v>
      </c>
      <c r="Q808" s="13" t="s">
        <v>5510</v>
      </c>
      <c r="R808" s="13" t="s">
        <v>5510</v>
      </c>
      <c r="S808" s="13" t="s">
        <v>5510</v>
      </c>
      <c r="T808" s="13" t="s">
        <v>19770</v>
      </c>
      <c r="U808" s="13" t="s">
        <v>19771</v>
      </c>
      <c r="V808" s="13" t="s">
        <v>19772</v>
      </c>
      <c r="W808" s="13" t="s">
        <v>19773</v>
      </c>
      <c r="X808" s="13" t="s">
        <v>9814</v>
      </c>
      <c r="Y808" s="13" t="s">
        <v>19774</v>
      </c>
      <c r="Z808" s="13" t="s">
        <v>19775</v>
      </c>
      <c r="AA808" s="13" t="s">
        <v>19776</v>
      </c>
      <c r="AB808" s="13" t="s">
        <v>5510</v>
      </c>
      <c r="AC808" s="13" t="s">
        <v>5510</v>
      </c>
      <c r="AD808" s="13" t="s">
        <v>5510</v>
      </c>
      <c r="AE808" s="13" t="s">
        <v>5510</v>
      </c>
      <c r="AF808" s="13" t="s">
        <v>5510</v>
      </c>
      <c r="AG808" s="13">
        <v>41.0</v>
      </c>
      <c r="AH808" s="13">
        <v>5.0</v>
      </c>
      <c r="AI808" s="13">
        <v>5.0</v>
      </c>
      <c r="AJ808" s="13">
        <v>0.0</v>
      </c>
      <c r="AK808" s="13">
        <v>7.0</v>
      </c>
      <c r="AL808" s="13" t="s">
        <v>9918</v>
      </c>
      <c r="AM808" s="13" t="s">
        <v>9919</v>
      </c>
      <c r="AN808" s="13" t="s">
        <v>9920</v>
      </c>
      <c r="AO808" s="13" t="s">
        <v>9921</v>
      </c>
      <c r="AP808" s="13" t="s">
        <v>5510</v>
      </c>
      <c r="AQ808" s="13" t="s">
        <v>5510</v>
      </c>
      <c r="AR808" s="13" t="s">
        <v>9922</v>
      </c>
      <c r="AS808" s="13" t="s">
        <v>9923</v>
      </c>
      <c r="AT808" s="13" t="s">
        <v>2738</v>
      </c>
      <c r="AU808" s="13">
        <v>2020.0</v>
      </c>
      <c r="AV808" s="13">
        <v>9.0</v>
      </c>
      <c r="AW808" s="13">
        <v>1.0</v>
      </c>
      <c r="AX808" s="13" t="s">
        <v>5510</v>
      </c>
      <c r="AY808" s="13" t="s">
        <v>5510</v>
      </c>
      <c r="AZ808" s="13" t="s">
        <v>5510</v>
      </c>
      <c r="BA808" s="13" t="s">
        <v>5510</v>
      </c>
      <c r="BB808" s="13">
        <v>75.0</v>
      </c>
      <c r="BC808" s="13">
        <v>88.0</v>
      </c>
      <c r="BD808" s="13" t="s">
        <v>5510</v>
      </c>
      <c r="BE808" s="13" t="s">
        <v>19777</v>
      </c>
      <c r="BF808" s="52" t="str">
        <f>HYPERLINK("http://dx.doi.org/10.4314/sajg.v9i1.6","http://dx.doi.org/10.4314/sajg.v9i1.6")</f>
        <v>http://dx.doi.org/10.4314/sajg.v9i1.6</v>
      </c>
      <c r="BG808" s="13" t="s">
        <v>5510</v>
      </c>
      <c r="BH808" s="13" t="s">
        <v>5510</v>
      </c>
      <c r="BI808" s="13">
        <v>14.0</v>
      </c>
      <c r="BJ808" s="13" t="s">
        <v>866</v>
      </c>
      <c r="BK808" s="13" t="s">
        <v>7985</v>
      </c>
      <c r="BL808" s="13" t="s">
        <v>866</v>
      </c>
      <c r="BM808" s="13" t="s">
        <v>19778</v>
      </c>
      <c r="BN808" s="13" t="s">
        <v>5510</v>
      </c>
      <c r="BO808" s="13" t="s">
        <v>5537</v>
      </c>
      <c r="BP808" s="13" t="s">
        <v>5510</v>
      </c>
      <c r="BQ808" s="13" t="s">
        <v>5510</v>
      </c>
      <c r="BR808" s="13" t="s">
        <v>5538</v>
      </c>
      <c r="BS808" s="13" t="s">
        <v>19779</v>
      </c>
      <c r="BT808" s="13">
        <v>25270.0</v>
      </c>
      <c r="BU808" s="13" t="s">
        <v>5540</v>
      </c>
      <c r="BV808" s="13" t="s">
        <v>4856</v>
      </c>
      <c r="BW808" s="13" t="str">
        <f>VLOOKUP($BT808,Enriched!$A$2:$E$1070,5,false)</f>
        <v>["Invasive &amp; other problematic species, genes &amp; diseases"]</v>
      </c>
      <c r="BX808" s="13" t="str">
        <f>VLOOKUP($BT808,Enriched!$A$2:$E$1070,4,false)</f>
        <v>["Invasive non-native/alien species/diseases"]</v>
      </c>
      <c r="BY808" s="13" t="b">
        <f>VLOOKUP(BT808,Enriched!$A$1:$AA$1070,27,falsE)</f>
        <v>0</v>
      </c>
      <c r="BZ808" s="2" t="str">
        <f>VLOOKUP(BT808,Enriched!$A$1:$AA$1070,14,falsE)</f>
        <v>level2</v>
      </c>
      <c r="CA808" s="13" t="str">
        <f>HYPERLINK("https%3A%2F%2Fwww.webofscience.com%2Fwos%2Fwoscc%2Ffull-record%2FWOS:000518407400006","View Full Record in Web of Science")</f>
        <v>View Full Record in Web of Science</v>
      </c>
    </row>
    <row r="809" ht="12.75" customHeight="1">
      <c r="A809" s="13" t="s">
        <v>5508</v>
      </c>
      <c r="B809" s="13" t="s">
        <v>19780</v>
      </c>
      <c r="C809" s="13" t="s">
        <v>5510</v>
      </c>
      <c r="D809" s="13" t="s">
        <v>5510</v>
      </c>
      <c r="E809" s="13" t="s">
        <v>5510</v>
      </c>
      <c r="F809" s="13" t="s">
        <v>19781</v>
      </c>
      <c r="G809" s="13" t="s">
        <v>5510</v>
      </c>
      <c r="H809" s="13" t="s">
        <v>5510</v>
      </c>
      <c r="I809" s="13" t="s">
        <v>481</v>
      </c>
      <c r="J809" s="13" t="s">
        <v>6333</v>
      </c>
      <c r="K809" s="13" t="s">
        <v>5510</v>
      </c>
      <c r="L809" s="13" t="s">
        <v>5510</v>
      </c>
      <c r="M809" s="13" t="s">
        <v>5513</v>
      </c>
      <c r="N809" s="13" t="s">
        <v>5514</v>
      </c>
      <c r="O809" s="13" t="s">
        <v>5510</v>
      </c>
      <c r="P809" s="13" t="s">
        <v>5510</v>
      </c>
      <c r="Q809" s="13" t="s">
        <v>5510</v>
      </c>
      <c r="R809" s="13" t="s">
        <v>5510</v>
      </c>
      <c r="S809" s="13" t="s">
        <v>5510</v>
      </c>
      <c r="T809" s="13" t="s">
        <v>19782</v>
      </c>
      <c r="U809" s="13" t="s">
        <v>19783</v>
      </c>
      <c r="V809" s="13" t="s">
        <v>19784</v>
      </c>
      <c r="W809" s="13" t="s">
        <v>19785</v>
      </c>
      <c r="X809" s="13" t="s">
        <v>7883</v>
      </c>
      <c r="Y809" s="13" t="s">
        <v>19786</v>
      </c>
      <c r="Z809" s="13" t="s">
        <v>19787</v>
      </c>
      <c r="AA809" s="13" t="s">
        <v>5510</v>
      </c>
      <c r="AB809" s="13" t="s">
        <v>5510</v>
      </c>
      <c r="AC809" s="13" t="s">
        <v>19788</v>
      </c>
      <c r="AD809" s="13" t="s">
        <v>19789</v>
      </c>
      <c r="AE809" s="13" t="s">
        <v>19790</v>
      </c>
      <c r="AF809" s="13" t="s">
        <v>5510</v>
      </c>
      <c r="AG809" s="13">
        <v>47.0</v>
      </c>
      <c r="AH809" s="13">
        <v>8.0</v>
      </c>
      <c r="AI809" s="13">
        <v>10.0</v>
      </c>
      <c r="AJ809" s="13">
        <v>0.0</v>
      </c>
      <c r="AK809" s="13">
        <v>32.0</v>
      </c>
      <c r="AL809" s="13" t="s">
        <v>5527</v>
      </c>
      <c r="AM809" s="13" t="s">
        <v>5528</v>
      </c>
      <c r="AN809" s="13" t="s">
        <v>5529</v>
      </c>
      <c r="AO809" s="13" t="s">
        <v>6342</v>
      </c>
      <c r="AP809" s="13" t="s">
        <v>6343</v>
      </c>
      <c r="AQ809" s="13" t="s">
        <v>5510</v>
      </c>
      <c r="AR809" s="13" t="s">
        <v>6344</v>
      </c>
      <c r="AS809" s="13" t="s">
        <v>6345</v>
      </c>
      <c r="AT809" s="13" t="s">
        <v>6175</v>
      </c>
      <c r="AU809" s="13">
        <v>2017.0</v>
      </c>
      <c r="AV809" s="13">
        <v>31.0</v>
      </c>
      <c r="AW809" s="13">
        <v>4.0</v>
      </c>
      <c r="AX809" s="13" t="s">
        <v>5510</v>
      </c>
      <c r="AY809" s="13" t="s">
        <v>5510</v>
      </c>
      <c r="AZ809" s="13" t="s">
        <v>5510</v>
      </c>
      <c r="BA809" s="13" t="s">
        <v>5510</v>
      </c>
      <c r="BB809" s="13">
        <v>837.0</v>
      </c>
      <c r="BC809" s="13">
        <v>847.0</v>
      </c>
      <c r="BD809" s="13" t="s">
        <v>5510</v>
      </c>
      <c r="BE809" s="13" t="s">
        <v>19791</v>
      </c>
      <c r="BF809" s="52" t="str">
        <f>HYPERLINK("http://dx.doi.org/10.1111/cobi.12886","http://dx.doi.org/10.1111/cobi.12886")</f>
        <v>http://dx.doi.org/10.1111/cobi.12886</v>
      </c>
      <c r="BG809" s="13" t="s">
        <v>5510</v>
      </c>
      <c r="BH809" s="13" t="s">
        <v>5510</v>
      </c>
      <c r="BI809" s="13">
        <v>11.0</v>
      </c>
      <c r="BJ809" s="13" t="s">
        <v>5698</v>
      </c>
      <c r="BK809" s="13" t="s">
        <v>5561</v>
      </c>
      <c r="BL809" s="13" t="s">
        <v>5699</v>
      </c>
      <c r="BM809" s="13" t="s">
        <v>19792</v>
      </c>
      <c r="BN809" s="13">
        <v>2.7991681E7</v>
      </c>
      <c r="BO809" s="13" t="s">
        <v>5510</v>
      </c>
      <c r="BP809" s="13" t="s">
        <v>5510</v>
      </c>
      <c r="BQ809" s="13" t="s">
        <v>5510</v>
      </c>
      <c r="BR809" s="13" t="s">
        <v>5538</v>
      </c>
      <c r="BS809" s="13" t="s">
        <v>19793</v>
      </c>
      <c r="BT809" s="13">
        <v>25384.0</v>
      </c>
      <c r="BU809" s="13" t="s">
        <v>5540</v>
      </c>
      <c r="BV809" s="13" t="s">
        <v>4856</v>
      </c>
      <c r="BW809" s="13" t="str">
        <f>VLOOKUP($BT809,Enriched!$A$2:$E$1070,5,false)</f>
        <v>["Agriculture &amp; Aquaculture"]</v>
      </c>
      <c r="BX809" s="13" t="str">
        <f>VLOOKUP($BT809,Enriched!$A$2:$E$1070,4,false)</f>
        <v/>
      </c>
      <c r="BY809" s="13" t="b">
        <f>VLOOKUP(BT809,Enriched!$A$1:$AA$1070,27,falsE)</f>
        <v>1</v>
      </c>
      <c r="BZ809" s="2" t="str">
        <f>VLOOKUP(BT809,Enriched!$A$1:$AA$1070,14,falsE)</f>
        <v>level2</v>
      </c>
      <c r="CA809" s="13" t="str">
        <f>HYPERLINK("https%3A%2F%2Fwww.webofscience.com%2Fwos%2Fwoscc%2Ffull-record%2FWOS:000405457000011","View Full Record in Web of Science")</f>
        <v>View Full Record in Web of Science</v>
      </c>
    </row>
    <row r="810" ht="12.75" customHeight="1">
      <c r="A810" s="13" t="s">
        <v>5508</v>
      </c>
      <c r="B810" s="13" t="s">
        <v>19794</v>
      </c>
      <c r="C810" s="13" t="s">
        <v>5510</v>
      </c>
      <c r="D810" s="13" t="s">
        <v>5510</v>
      </c>
      <c r="E810" s="13" t="s">
        <v>5510</v>
      </c>
      <c r="F810" s="13" t="s">
        <v>19795</v>
      </c>
      <c r="G810" s="13" t="s">
        <v>5510</v>
      </c>
      <c r="H810" s="13" t="s">
        <v>5510</v>
      </c>
      <c r="I810" s="13" t="s">
        <v>478</v>
      </c>
      <c r="J810" s="13" t="s">
        <v>6333</v>
      </c>
      <c r="K810" s="13" t="s">
        <v>5510</v>
      </c>
      <c r="L810" s="13" t="s">
        <v>5510</v>
      </c>
      <c r="M810" s="13" t="s">
        <v>5513</v>
      </c>
      <c r="N810" s="13" t="s">
        <v>5514</v>
      </c>
      <c r="O810" s="13" t="s">
        <v>5510</v>
      </c>
      <c r="P810" s="13" t="s">
        <v>5510</v>
      </c>
      <c r="Q810" s="13" t="s">
        <v>5510</v>
      </c>
      <c r="R810" s="13" t="s">
        <v>5510</v>
      </c>
      <c r="S810" s="13" t="s">
        <v>5510</v>
      </c>
      <c r="T810" s="13" t="s">
        <v>19796</v>
      </c>
      <c r="U810" s="13" t="s">
        <v>19797</v>
      </c>
      <c r="V810" s="13" t="s">
        <v>19798</v>
      </c>
      <c r="W810" s="13" t="s">
        <v>19799</v>
      </c>
      <c r="X810" s="13" t="s">
        <v>19800</v>
      </c>
      <c r="Y810" s="13" t="s">
        <v>19801</v>
      </c>
      <c r="Z810" s="13" t="s">
        <v>19802</v>
      </c>
      <c r="AA810" s="13" t="s">
        <v>19803</v>
      </c>
      <c r="AB810" s="13" t="s">
        <v>19804</v>
      </c>
      <c r="AC810" s="13" t="s">
        <v>5510</v>
      </c>
      <c r="AD810" s="13" t="s">
        <v>5510</v>
      </c>
      <c r="AE810" s="13" t="s">
        <v>5510</v>
      </c>
      <c r="AF810" s="13" t="s">
        <v>5510</v>
      </c>
      <c r="AG810" s="13">
        <v>33.0</v>
      </c>
      <c r="AH810" s="13">
        <v>148.0</v>
      </c>
      <c r="AI810" s="13">
        <v>180.0</v>
      </c>
      <c r="AJ810" s="13">
        <v>1.0</v>
      </c>
      <c r="AK810" s="13">
        <v>163.0</v>
      </c>
      <c r="AL810" s="13" t="s">
        <v>5527</v>
      </c>
      <c r="AM810" s="13" t="s">
        <v>5528</v>
      </c>
      <c r="AN810" s="13" t="s">
        <v>5529</v>
      </c>
      <c r="AO810" s="13" t="s">
        <v>6342</v>
      </c>
      <c r="AP810" s="13" t="s">
        <v>6343</v>
      </c>
      <c r="AQ810" s="13" t="s">
        <v>5510</v>
      </c>
      <c r="AR810" s="13" t="s">
        <v>6344</v>
      </c>
      <c r="AS810" s="13" t="s">
        <v>6345</v>
      </c>
      <c r="AT810" s="13" t="s">
        <v>6828</v>
      </c>
      <c r="AU810" s="13">
        <v>2013.0</v>
      </c>
      <c r="AV810" s="13">
        <v>27.0</v>
      </c>
      <c r="AW810" s="13">
        <v>2.0</v>
      </c>
      <c r="AX810" s="13" t="s">
        <v>5510</v>
      </c>
      <c r="AY810" s="13" t="s">
        <v>5510</v>
      </c>
      <c r="AZ810" s="13" t="s">
        <v>5510</v>
      </c>
      <c r="BA810" s="13" t="s">
        <v>5510</v>
      </c>
      <c r="BB810" s="13">
        <v>292.0</v>
      </c>
      <c r="BC810" s="13">
        <v>302.0</v>
      </c>
      <c r="BD810" s="13" t="s">
        <v>5510</v>
      </c>
      <c r="BE810" s="13" t="s">
        <v>19805</v>
      </c>
      <c r="BF810" s="52" t="str">
        <f>HYPERLINK("http://dx.doi.org/10.1111/cobi.12029","http://dx.doi.org/10.1111/cobi.12029")</f>
        <v>http://dx.doi.org/10.1111/cobi.12029</v>
      </c>
      <c r="BG810" s="13" t="s">
        <v>5510</v>
      </c>
      <c r="BH810" s="13" t="s">
        <v>5510</v>
      </c>
      <c r="BI810" s="13">
        <v>11.0</v>
      </c>
      <c r="BJ810" s="13" t="s">
        <v>5698</v>
      </c>
      <c r="BK810" s="13" t="s">
        <v>5561</v>
      </c>
      <c r="BL810" s="13" t="s">
        <v>5699</v>
      </c>
      <c r="BM810" s="13" t="s">
        <v>19806</v>
      </c>
      <c r="BN810" s="13">
        <v>2.3521668E7</v>
      </c>
      <c r="BO810" s="13" t="s">
        <v>5510</v>
      </c>
      <c r="BP810" s="13" t="s">
        <v>5510</v>
      </c>
      <c r="BQ810" s="13" t="s">
        <v>5510</v>
      </c>
      <c r="BR810" s="13" t="s">
        <v>5538</v>
      </c>
      <c r="BS810" s="13" t="s">
        <v>19807</v>
      </c>
      <c r="BT810" s="13">
        <v>25315.0</v>
      </c>
      <c r="BU810" s="13" t="s">
        <v>5540</v>
      </c>
      <c r="BV810" s="13" t="s">
        <v>4864</v>
      </c>
      <c r="BW810" s="13" t="str">
        <f>VLOOKUP($BT810,Enriched!$A$2:$E$1070,5,false)</f>
        <v>["Transportation &amp; Service Corridors"]</v>
      </c>
      <c r="BX810" s="13" t="str">
        <f>VLOOKUP($BT810,Enriched!$A$2:$E$1070,4,false)</f>
        <v>["Shipping lanes"]</v>
      </c>
      <c r="BY810" s="13" t="b">
        <f>VLOOKUP(BT810,Enriched!$A$1:$AA$1070,27,falsE)</f>
        <v>0</v>
      </c>
      <c r="BZ810" s="2" t="str">
        <f>VLOOKUP(BT810,Enriched!$A$1:$AA$1070,14,falsE)</f>
        <v>level2</v>
      </c>
      <c r="CA810" s="13" t="str">
        <f>HYPERLINK("https%3A%2F%2Fwww.webofscience.com%2Fwos%2Fwoscc%2Ffull-record%2FWOS:000316694600008","View Full Record in Web of Science")</f>
        <v>View Full Record in Web of Science</v>
      </c>
    </row>
    <row r="811" ht="12.75" customHeight="1">
      <c r="A811" s="13" t="s">
        <v>5508</v>
      </c>
      <c r="B811" s="13" t="s">
        <v>19808</v>
      </c>
      <c r="C811" s="13" t="s">
        <v>5510</v>
      </c>
      <c r="D811" s="13" t="s">
        <v>5510</v>
      </c>
      <c r="E811" s="13" t="s">
        <v>5510</v>
      </c>
      <c r="F811" s="13" t="s">
        <v>19809</v>
      </c>
      <c r="G811" s="13" t="s">
        <v>5510</v>
      </c>
      <c r="H811" s="13" t="s">
        <v>5510</v>
      </c>
      <c r="I811" s="13" t="s">
        <v>475</v>
      </c>
      <c r="J811" s="13" t="s">
        <v>7648</v>
      </c>
      <c r="K811" s="13" t="s">
        <v>5510</v>
      </c>
      <c r="L811" s="13" t="s">
        <v>5510</v>
      </c>
      <c r="M811" s="13" t="s">
        <v>5513</v>
      </c>
      <c r="N811" s="13" t="s">
        <v>5514</v>
      </c>
      <c r="O811" s="13" t="s">
        <v>5510</v>
      </c>
      <c r="P811" s="13" t="s">
        <v>5510</v>
      </c>
      <c r="Q811" s="13" t="s">
        <v>5510</v>
      </c>
      <c r="R811" s="13" t="s">
        <v>5510</v>
      </c>
      <c r="S811" s="13" t="s">
        <v>5510</v>
      </c>
      <c r="T811" s="13" t="s">
        <v>5510</v>
      </c>
      <c r="U811" s="13" t="s">
        <v>19810</v>
      </c>
      <c r="V811" s="13" t="s">
        <v>19811</v>
      </c>
      <c r="W811" s="13" t="s">
        <v>19812</v>
      </c>
      <c r="X811" s="13" t="s">
        <v>19813</v>
      </c>
      <c r="Y811" s="13" t="s">
        <v>19814</v>
      </c>
      <c r="Z811" s="13" t="s">
        <v>19815</v>
      </c>
      <c r="AA811" s="13" t="s">
        <v>19816</v>
      </c>
      <c r="AB811" s="13" t="s">
        <v>19817</v>
      </c>
      <c r="AC811" s="13" t="s">
        <v>19818</v>
      </c>
      <c r="AD811" s="13" t="s">
        <v>19819</v>
      </c>
      <c r="AE811" s="13" t="s">
        <v>5510</v>
      </c>
      <c r="AF811" s="13" t="s">
        <v>5510</v>
      </c>
      <c r="AG811" s="13">
        <v>36.0</v>
      </c>
      <c r="AH811" s="13">
        <v>11.0</v>
      </c>
      <c r="AI811" s="13">
        <v>15.0</v>
      </c>
      <c r="AJ811" s="13">
        <v>0.0</v>
      </c>
      <c r="AK811" s="13">
        <v>16.0</v>
      </c>
      <c r="AL811" s="13" t="s">
        <v>5690</v>
      </c>
      <c r="AM811" s="13" t="s">
        <v>5691</v>
      </c>
      <c r="AN811" s="13" t="s">
        <v>5692</v>
      </c>
      <c r="AO811" s="13" t="s">
        <v>7661</v>
      </c>
      <c r="AP811" s="13" t="s">
        <v>7662</v>
      </c>
      <c r="AQ811" s="13" t="s">
        <v>5510</v>
      </c>
      <c r="AR811" s="13" t="s">
        <v>7648</v>
      </c>
      <c r="AS811" s="13" t="s">
        <v>422</v>
      </c>
      <c r="AT811" s="13" t="s">
        <v>1925</v>
      </c>
      <c r="AU811" s="13">
        <v>2006.0</v>
      </c>
      <c r="AV811" s="13">
        <v>35.0</v>
      </c>
      <c r="AW811" s="13">
        <v>6.0</v>
      </c>
      <c r="AX811" s="13" t="s">
        <v>5510</v>
      </c>
      <c r="AY811" s="13" t="s">
        <v>5510</v>
      </c>
      <c r="AZ811" s="13" t="s">
        <v>5510</v>
      </c>
      <c r="BA811" s="13" t="s">
        <v>5510</v>
      </c>
      <c r="BB811" s="13">
        <v>297.0</v>
      </c>
      <c r="BC811" s="13">
        <v>303.0</v>
      </c>
      <c r="BD811" s="13" t="s">
        <v>5510</v>
      </c>
      <c r="BE811" s="13" t="s">
        <v>19820</v>
      </c>
      <c r="BF811" s="52" t="str">
        <f>HYPERLINK("http://dx.doi.org/10.1579/06-R-125R.1","http://dx.doi.org/10.1579/06-R-125R.1")</f>
        <v>http://dx.doi.org/10.1579/06-R-125R.1</v>
      </c>
      <c r="BG811" s="13" t="s">
        <v>5510</v>
      </c>
      <c r="BH811" s="13" t="s">
        <v>5510</v>
      </c>
      <c r="BI811" s="13">
        <v>7.0</v>
      </c>
      <c r="BJ811" s="13" t="s">
        <v>7664</v>
      </c>
      <c r="BK811" s="13" t="s">
        <v>5561</v>
      </c>
      <c r="BL811" s="13" t="s">
        <v>7665</v>
      </c>
      <c r="BM811" s="13" t="s">
        <v>19821</v>
      </c>
      <c r="BN811" s="13">
        <v>1.7240762E7</v>
      </c>
      <c r="BO811" s="13" t="s">
        <v>5510</v>
      </c>
      <c r="BP811" s="13" t="s">
        <v>5510</v>
      </c>
      <c r="BQ811" s="13" t="s">
        <v>5510</v>
      </c>
      <c r="BR811" s="13" t="s">
        <v>5538</v>
      </c>
      <c r="BS811" s="13" t="s">
        <v>19822</v>
      </c>
      <c r="BT811" s="13">
        <v>25133.0</v>
      </c>
      <c r="BU811" s="13" t="s">
        <v>5540</v>
      </c>
      <c r="BV811" s="13" t="s">
        <v>4856</v>
      </c>
      <c r="BW811" s="13" t="str">
        <f>VLOOKUP($BT811,Enriched!$A$2:$E$1070,5,false)</f>
        <v>["Agriculture &amp; Aquaculture", "Pollution"]</v>
      </c>
      <c r="BX811" s="13" t="str">
        <f>VLOOKUP($BT811,Enriched!$A$2:$E$1070,4,false)</f>
        <v>["Annual &amp; perennial non-timber crops", "Livestock farming &amp; ranching", "Agricultural &amp; forestry effluents"]</v>
      </c>
      <c r="BY811" s="13" t="b">
        <f>VLOOKUP(BT811,Enriched!$A$1:$AA$1070,27,falsE)</f>
        <v>0</v>
      </c>
      <c r="BZ811" s="2" t="str">
        <f>VLOOKUP(BT811,Enriched!$A$1:$AA$1070,14,falsE)</f>
        <v>level2</v>
      </c>
      <c r="CA811" s="13" t="str">
        <f>HYPERLINK("https%3A%2F%2Fwww.webofscience.com%2Fwos%2Fwoscc%2Ffull-record%2FWOS:000242038700005","View Full Record in Web of Science")</f>
        <v>View Full Record in Web of Science</v>
      </c>
    </row>
    <row r="812" ht="12.75" customHeight="1">
      <c r="A812" s="13" t="s">
        <v>5508</v>
      </c>
      <c r="B812" s="13" t="s">
        <v>19823</v>
      </c>
      <c r="C812" s="13" t="s">
        <v>5510</v>
      </c>
      <c r="D812" s="13" t="s">
        <v>5510</v>
      </c>
      <c r="E812" s="13" t="s">
        <v>5510</v>
      </c>
      <c r="F812" s="13" t="s">
        <v>19824</v>
      </c>
      <c r="G812" s="13" t="s">
        <v>5510</v>
      </c>
      <c r="H812" s="13" t="s">
        <v>5510</v>
      </c>
      <c r="I812" s="13" t="s">
        <v>472</v>
      </c>
      <c r="J812" s="13" t="s">
        <v>13251</v>
      </c>
      <c r="K812" s="13" t="s">
        <v>5510</v>
      </c>
      <c r="L812" s="13" t="s">
        <v>5510</v>
      </c>
      <c r="M812" s="13" t="s">
        <v>5513</v>
      </c>
      <c r="N812" s="13" t="s">
        <v>5514</v>
      </c>
      <c r="O812" s="13" t="s">
        <v>5510</v>
      </c>
      <c r="P812" s="13" t="s">
        <v>5510</v>
      </c>
      <c r="Q812" s="13" t="s">
        <v>5510</v>
      </c>
      <c r="R812" s="13" t="s">
        <v>5510</v>
      </c>
      <c r="S812" s="13" t="s">
        <v>5510</v>
      </c>
      <c r="T812" s="13" t="s">
        <v>19825</v>
      </c>
      <c r="U812" s="13" t="s">
        <v>19826</v>
      </c>
      <c r="V812" s="13" t="s">
        <v>19827</v>
      </c>
      <c r="W812" s="13" t="s">
        <v>19828</v>
      </c>
      <c r="X812" s="13" t="s">
        <v>19829</v>
      </c>
      <c r="Y812" s="13" t="s">
        <v>19830</v>
      </c>
      <c r="Z812" s="13" t="s">
        <v>19831</v>
      </c>
      <c r="AA812" s="13" t="s">
        <v>19832</v>
      </c>
      <c r="AB812" s="13" t="s">
        <v>19833</v>
      </c>
      <c r="AC812" s="13" t="s">
        <v>5510</v>
      </c>
      <c r="AD812" s="13" t="s">
        <v>5510</v>
      </c>
      <c r="AE812" s="13" t="s">
        <v>5510</v>
      </c>
      <c r="AF812" s="13" t="s">
        <v>5510</v>
      </c>
      <c r="AG812" s="13">
        <v>67.0</v>
      </c>
      <c r="AH812" s="13">
        <v>27.0</v>
      </c>
      <c r="AI812" s="13">
        <v>30.0</v>
      </c>
      <c r="AJ812" s="13">
        <v>1.0</v>
      </c>
      <c r="AK812" s="13">
        <v>19.0</v>
      </c>
      <c r="AL812" s="13" t="s">
        <v>5931</v>
      </c>
      <c r="AM812" s="13" t="s">
        <v>7486</v>
      </c>
      <c r="AN812" s="13" t="s">
        <v>7487</v>
      </c>
      <c r="AO812" s="13" t="s">
        <v>13263</v>
      </c>
      <c r="AP812" s="13" t="s">
        <v>13264</v>
      </c>
      <c r="AQ812" s="13" t="s">
        <v>5510</v>
      </c>
      <c r="AR812" s="13" t="s">
        <v>13251</v>
      </c>
      <c r="AS812" s="13" t="s">
        <v>13265</v>
      </c>
      <c r="AT812" s="13" t="s">
        <v>5720</v>
      </c>
      <c r="AU812" s="13">
        <v>2020.0</v>
      </c>
      <c r="AV812" s="13">
        <v>95.0</v>
      </c>
      <c r="AW812" s="13" t="s">
        <v>5510</v>
      </c>
      <c r="AX812" s="13" t="s">
        <v>5510</v>
      </c>
      <c r="AY812" s="13" t="s">
        <v>5510</v>
      </c>
      <c r="AZ812" s="13" t="s">
        <v>5510</v>
      </c>
      <c r="BA812" s="13" t="s">
        <v>5510</v>
      </c>
      <c r="BB812" s="13" t="s">
        <v>5510</v>
      </c>
      <c r="BC812" s="13" t="s">
        <v>5510</v>
      </c>
      <c r="BD812" s="13">
        <v>104625.0</v>
      </c>
      <c r="BE812" s="13" t="s">
        <v>19834</v>
      </c>
      <c r="BF812" s="52" t="str">
        <f>HYPERLINK("http://dx.doi.org/10.1016/j.landusepol.2020.104625","http://dx.doi.org/10.1016/j.landusepol.2020.104625")</f>
        <v>http://dx.doi.org/10.1016/j.landusepol.2020.104625</v>
      </c>
      <c r="BG812" s="13" t="s">
        <v>5510</v>
      </c>
      <c r="BH812" s="13" t="s">
        <v>5510</v>
      </c>
      <c r="BI812" s="13">
        <v>13.0</v>
      </c>
      <c r="BJ812" s="13" t="s">
        <v>12528</v>
      </c>
      <c r="BK812" s="13" t="s">
        <v>8375</v>
      </c>
      <c r="BL812" s="13" t="s">
        <v>5535</v>
      </c>
      <c r="BM812" s="13" t="s">
        <v>19835</v>
      </c>
      <c r="BN812" s="13" t="s">
        <v>5510</v>
      </c>
      <c r="BO812" s="13" t="s">
        <v>6586</v>
      </c>
      <c r="BP812" s="13" t="s">
        <v>5510</v>
      </c>
      <c r="BQ812" s="13" t="s">
        <v>5510</v>
      </c>
      <c r="BR812" s="13" t="s">
        <v>5538</v>
      </c>
      <c r="BS812" s="13" t="s">
        <v>19836</v>
      </c>
      <c r="BT812" s="13">
        <v>25511.0</v>
      </c>
      <c r="BU812" s="13" t="s">
        <v>5540</v>
      </c>
      <c r="BV812" s="13" t="s">
        <v>4856</v>
      </c>
      <c r="BW812" s="13" t="str">
        <f>VLOOKUP($BT812,Enriched!$A$2:$E$1070,5,false)</f>
        <v>["Agriculture &amp; Aquaculture"]</v>
      </c>
      <c r="BX812" s="13" t="str">
        <f>VLOOKUP($BT812,Enriched!$A$2:$E$1070,4,false)</f>
        <v>["Housing &amp; urban area", "Annual &amp; perennial non-timber crops", "Wood &amp; pulp plantations"]</v>
      </c>
      <c r="BY812" s="13" t="b">
        <f>VLOOKUP(BT812,Enriched!$A$1:$AA$1070,27,falsE)</f>
        <v>0</v>
      </c>
      <c r="BZ812" s="2" t="str">
        <f>VLOOKUP(BT812,Enriched!$A$1:$AA$1070,14,falsE)</f>
        <v>level2</v>
      </c>
      <c r="CA812" s="13" t="str">
        <f>HYPERLINK("https%3A%2F%2Fwww.webofscience.com%2Fwos%2Fwoscc%2Ffull-record%2FWOS:000537823200060","View Full Record in Web of Science")</f>
        <v>View Full Record in Web of Science</v>
      </c>
    </row>
    <row r="813" ht="12.75" customHeight="1">
      <c r="A813" s="13" t="s">
        <v>5508</v>
      </c>
      <c r="B813" s="13" t="s">
        <v>19837</v>
      </c>
      <c r="C813" s="13" t="s">
        <v>5510</v>
      </c>
      <c r="D813" s="13" t="s">
        <v>5510</v>
      </c>
      <c r="E813" s="13" t="s">
        <v>5510</v>
      </c>
      <c r="F813" s="13" t="s">
        <v>19838</v>
      </c>
      <c r="G813" s="13" t="s">
        <v>5510</v>
      </c>
      <c r="H813" s="13" t="s">
        <v>5510</v>
      </c>
      <c r="I813" s="13" t="s">
        <v>470</v>
      </c>
      <c r="J813" s="13" t="s">
        <v>15028</v>
      </c>
      <c r="K813" s="13" t="s">
        <v>5510</v>
      </c>
      <c r="L813" s="13" t="s">
        <v>5510</v>
      </c>
      <c r="M813" s="13" t="s">
        <v>5513</v>
      </c>
      <c r="N813" s="13" t="s">
        <v>5514</v>
      </c>
      <c r="O813" s="13" t="s">
        <v>5510</v>
      </c>
      <c r="P813" s="13" t="s">
        <v>5510</v>
      </c>
      <c r="Q813" s="13" t="s">
        <v>5510</v>
      </c>
      <c r="R813" s="13" t="s">
        <v>5510</v>
      </c>
      <c r="S813" s="13" t="s">
        <v>5510</v>
      </c>
      <c r="T813" s="13" t="s">
        <v>19839</v>
      </c>
      <c r="U813" s="13" t="s">
        <v>19840</v>
      </c>
      <c r="V813" s="13" t="s">
        <v>19841</v>
      </c>
      <c r="W813" s="13" t="s">
        <v>19842</v>
      </c>
      <c r="X813" s="13" t="s">
        <v>19843</v>
      </c>
      <c r="Y813" s="13" t="s">
        <v>19844</v>
      </c>
      <c r="Z813" s="13" t="s">
        <v>19845</v>
      </c>
      <c r="AA813" s="13" t="s">
        <v>19846</v>
      </c>
      <c r="AB813" s="13" t="s">
        <v>19847</v>
      </c>
      <c r="AC813" s="13" t="s">
        <v>5510</v>
      </c>
      <c r="AD813" s="13" t="s">
        <v>5510</v>
      </c>
      <c r="AE813" s="13" t="s">
        <v>5510</v>
      </c>
      <c r="AF813" s="13" t="s">
        <v>5510</v>
      </c>
      <c r="AG813" s="13">
        <v>76.0</v>
      </c>
      <c r="AH813" s="13">
        <v>17.0</v>
      </c>
      <c r="AI813" s="13">
        <v>18.0</v>
      </c>
      <c r="AJ813" s="13">
        <v>1.0</v>
      </c>
      <c r="AK813" s="13">
        <v>26.0</v>
      </c>
      <c r="AL813" s="13" t="s">
        <v>5690</v>
      </c>
      <c r="AM813" s="13" t="s">
        <v>6503</v>
      </c>
      <c r="AN813" s="13" t="s">
        <v>7040</v>
      </c>
      <c r="AO813" s="13" t="s">
        <v>15041</v>
      </c>
      <c r="AP813" s="13" t="s">
        <v>15042</v>
      </c>
      <c r="AQ813" s="13" t="s">
        <v>5510</v>
      </c>
      <c r="AR813" s="13" t="s">
        <v>15043</v>
      </c>
      <c r="AS813" s="13" t="s">
        <v>15044</v>
      </c>
      <c r="AT813" s="13" t="s">
        <v>5720</v>
      </c>
      <c r="AU813" s="13">
        <v>2017.0</v>
      </c>
      <c r="AV813" s="13">
        <v>63.0</v>
      </c>
      <c r="AW813" s="13">
        <v>3.0</v>
      </c>
      <c r="AX813" s="13" t="s">
        <v>5510</v>
      </c>
      <c r="AY813" s="13" t="s">
        <v>5510</v>
      </c>
      <c r="AZ813" s="13" t="s">
        <v>5510</v>
      </c>
      <c r="BA813" s="13" t="s">
        <v>5510</v>
      </c>
      <c r="BB813" s="13" t="s">
        <v>5510</v>
      </c>
      <c r="BC813" s="13" t="s">
        <v>5510</v>
      </c>
      <c r="BD813" s="13">
        <v>55.0</v>
      </c>
      <c r="BE813" s="13" t="s">
        <v>19848</v>
      </c>
      <c r="BF813" s="52" t="str">
        <f>HYPERLINK("http://dx.doi.org/10.1007/s10344-017-1111-8","http://dx.doi.org/10.1007/s10344-017-1111-8")</f>
        <v>http://dx.doi.org/10.1007/s10344-017-1111-8</v>
      </c>
      <c r="BG813" s="13" t="s">
        <v>5510</v>
      </c>
      <c r="BH813" s="13" t="s">
        <v>5510</v>
      </c>
      <c r="BI813" s="13">
        <v>13.0</v>
      </c>
      <c r="BJ813" s="13" t="s">
        <v>5584</v>
      </c>
      <c r="BK813" s="13" t="s">
        <v>5561</v>
      </c>
      <c r="BL813" s="13" t="s">
        <v>5585</v>
      </c>
      <c r="BM813" s="13" t="s">
        <v>19849</v>
      </c>
      <c r="BN813" s="13" t="s">
        <v>5510</v>
      </c>
      <c r="BO813" s="13" t="s">
        <v>5510</v>
      </c>
      <c r="BP813" s="13" t="s">
        <v>5510</v>
      </c>
      <c r="BQ813" s="13" t="s">
        <v>5510</v>
      </c>
      <c r="BR813" s="13" t="s">
        <v>5538</v>
      </c>
      <c r="BS813" s="13" t="s">
        <v>19850</v>
      </c>
      <c r="BT813" s="13">
        <v>23626.0</v>
      </c>
      <c r="BU813" s="13" t="s">
        <v>5540</v>
      </c>
      <c r="BV813" s="13" t="s">
        <v>4864</v>
      </c>
      <c r="BW813" s="13" t="str">
        <f>VLOOKUP($BT813,Enriched!$A$2:$E$1070,5,false)</f>
        <v>["Biological resource use"]</v>
      </c>
      <c r="BX813" s="13" t="str">
        <f>VLOOKUP($BT813,Enriched!$A$2:$E$1070,4,false)</f>
        <v>["Fishing &amp; harvesting aquatic resources"]</v>
      </c>
      <c r="BY813" s="13" t="b">
        <f>VLOOKUP(BT813,Enriched!$A$1:$AA$1070,27,falsE)</f>
        <v>0</v>
      </c>
      <c r="BZ813" s="2" t="str">
        <f>VLOOKUP(BT813,Enriched!$A$1:$AA$1070,14,falsE)</f>
        <v>level2</v>
      </c>
      <c r="CA813" s="13" t="str">
        <f>HYPERLINK("https%3A%2F%2Fwww.webofscience.com%2Fwos%2Fwoscc%2Ffull-record%2FWOS:000403084900014","View Full Record in Web of Science")</f>
        <v>View Full Record in Web of Science</v>
      </c>
    </row>
    <row r="814" ht="12.75" customHeight="1">
      <c r="A814" s="13" t="s">
        <v>5508</v>
      </c>
      <c r="B814" s="13" t="s">
        <v>19851</v>
      </c>
      <c r="C814" s="13" t="s">
        <v>5510</v>
      </c>
      <c r="D814" s="13" t="s">
        <v>5510</v>
      </c>
      <c r="E814" s="13" t="s">
        <v>5510</v>
      </c>
      <c r="F814" s="13" t="s">
        <v>19852</v>
      </c>
      <c r="G814" s="13" t="s">
        <v>5510</v>
      </c>
      <c r="H814" s="13" t="s">
        <v>5510</v>
      </c>
      <c r="I814" s="13" t="s">
        <v>467</v>
      </c>
      <c r="J814" s="13" t="s">
        <v>5943</v>
      </c>
      <c r="K814" s="13" t="s">
        <v>5510</v>
      </c>
      <c r="L814" s="13" t="s">
        <v>5510</v>
      </c>
      <c r="M814" s="13" t="s">
        <v>5513</v>
      </c>
      <c r="N814" s="13" t="s">
        <v>5514</v>
      </c>
      <c r="O814" s="13" t="s">
        <v>5510</v>
      </c>
      <c r="P814" s="13" t="s">
        <v>5510</v>
      </c>
      <c r="Q814" s="13" t="s">
        <v>5510</v>
      </c>
      <c r="R814" s="13" t="s">
        <v>5510</v>
      </c>
      <c r="S814" s="13" t="s">
        <v>5510</v>
      </c>
      <c r="T814" s="13" t="s">
        <v>19853</v>
      </c>
      <c r="U814" s="13" t="s">
        <v>19854</v>
      </c>
      <c r="V814" s="13" t="s">
        <v>19855</v>
      </c>
      <c r="W814" s="13" t="s">
        <v>19856</v>
      </c>
      <c r="X814" s="13" t="s">
        <v>19857</v>
      </c>
      <c r="Y814" s="13" t="s">
        <v>19858</v>
      </c>
      <c r="Z814" s="13" t="s">
        <v>19859</v>
      </c>
      <c r="AA814" s="13" t="s">
        <v>19860</v>
      </c>
      <c r="AB814" s="13" t="s">
        <v>19861</v>
      </c>
      <c r="AC814" s="13" t="s">
        <v>19862</v>
      </c>
      <c r="AD814" s="13" t="s">
        <v>19863</v>
      </c>
      <c r="AE814" s="13" t="s">
        <v>19864</v>
      </c>
      <c r="AF814" s="13" t="s">
        <v>5510</v>
      </c>
      <c r="AG814" s="13">
        <v>47.0</v>
      </c>
      <c r="AH814" s="13">
        <v>41.0</v>
      </c>
      <c r="AI814" s="13">
        <v>54.0</v>
      </c>
      <c r="AJ814" s="13">
        <v>1.0</v>
      </c>
      <c r="AK814" s="13">
        <v>64.0</v>
      </c>
      <c r="AL814" s="13" t="s">
        <v>5527</v>
      </c>
      <c r="AM814" s="13" t="s">
        <v>5528</v>
      </c>
      <c r="AN814" s="13" t="s">
        <v>5529</v>
      </c>
      <c r="AO814" s="13" t="s">
        <v>5953</v>
      </c>
      <c r="AP814" s="13" t="s">
        <v>5954</v>
      </c>
      <c r="AQ814" s="13" t="s">
        <v>5510</v>
      </c>
      <c r="AR814" s="13" t="s">
        <v>5955</v>
      </c>
      <c r="AS814" s="13" t="s">
        <v>5956</v>
      </c>
      <c r="AT814" s="13" t="s">
        <v>5720</v>
      </c>
      <c r="AU814" s="13">
        <v>2010.0</v>
      </c>
      <c r="AV814" s="13">
        <v>47.0</v>
      </c>
      <c r="AW814" s="13">
        <v>3.0</v>
      </c>
      <c r="AX814" s="13" t="s">
        <v>5510</v>
      </c>
      <c r="AY814" s="13" t="s">
        <v>5510</v>
      </c>
      <c r="AZ814" s="13" t="s">
        <v>5510</v>
      </c>
      <c r="BA814" s="13" t="s">
        <v>5510</v>
      </c>
      <c r="BB814" s="13">
        <v>549.0</v>
      </c>
      <c r="BC814" s="13">
        <v>557.0</v>
      </c>
      <c r="BD814" s="13" t="s">
        <v>5510</v>
      </c>
      <c r="BE814" s="13" t="s">
        <v>19865</v>
      </c>
      <c r="BF814" s="52" t="str">
        <f>HYPERLINK("http://dx.doi.org/10.1111/j.1365-2664.2010.01808.x","http://dx.doi.org/10.1111/j.1365-2664.2010.01808.x")</f>
        <v>http://dx.doi.org/10.1111/j.1365-2664.2010.01808.x</v>
      </c>
      <c r="BG814" s="13" t="s">
        <v>5510</v>
      </c>
      <c r="BH814" s="13" t="s">
        <v>5510</v>
      </c>
      <c r="BI814" s="13">
        <v>9.0</v>
      </c>
      <c r="BJ814" s="13" t="s">
        <v>5958</v>
      </c>
      <c r="BK814" s="13" t="s">
        <v>5561</v>
      </c>
      <c r="BL814" s="13" t="s">
        <v>5699</v>
      </c>
      <c r="BM814" s="13" t="s">
        <v>19866</v>
      </c>
      <c r="BN814" s="13" t="s">
        <v>5510</v>
      </c>
      <c r="BO814" s="13" t="s">
        <v>5510</v>
      </c>
      <c r="BP814" s="13" t="s">
        <v>5510</v>
      </c>
      <c r="BQ814" s="13" t="s">
        <v>5510</v>
      </c>
      <c r="BR814" s="13" t="s">
        <v>5538</v>
      </c>
      <c r="BS814" s="13" t="s">
        <v>19867</v>
      </c>
      <c r="BT814" s="13">
        <v>25696.0</v>
      </c>
      <c r="BU814" s="13" t="s">
        <v>5540</v>
      </c>
      <c r="BV814" s="13" t="s">
        <v>4856</v>
      </c>
      <c r="BW814" s="13" t="str">
        <f>VLOOKUP($BT814,Enriched!$A$2:$E$1070,5,false)</f>
        <v>["Invasive &amp; other problematic species, genes &amp; diseases"]</v>
      </c>
      <c r="BX814" s="13" t="str">
        <f>VLOOKUP($BT814,Enriched!$A$2:$E$1070,4,false)</f>
        <v>["Invasive non-native/alien species/diseases"]</v>
      </c>
      <c r="BY814" s="13" t="b">
        <f>VLOOKUP(BT814,Enriched!$A$1:$AA$1070,27,falsE)</f>
        <v>0</v>
      </c>
      <c r="BZ814" s="2" t="str">
        <f>VLOOKUP(BT814,Enriched!$A$1:$AA$1070,14,falsE)</f>
        <v>level2</v>
      </c>
      <c r="CA814" s="13" t="str">
        <f>HYPERLINK("https%3A%2F%2Fwww.webofscience.com%2Fwos%2Fwoscc%2Ffull-record%2FWOS:000277168000006","View Full Record in Web of Science")</f>
        <v>View Full Record in Web of Science</v>
      </c>
    </row>
    <row r="815" ht="12.75" customHeight="1">
      <c r="A815" s="13" t="s">
        <v>5508</v>
      </c>
      <c r="B815" s="13" t="s">
        <v>19868</v>
      </c>
      <c r="C815" s="13" t="s">
        <v>5510</v>
      </c>
      <c r="D815" s="13" t="s">
        <v>5510</v>
      </c>
      <c r="E815" s="13" t="s">
        <v>5510</v>
      </c>
      <c r="F815" s="13" t="s">
        <v>19868</v>
      </c>
      <c r="G815" s="13" t="s">
        <v>5510</v>
      </c>
      <c r="H815" s="13" t="s">
        <v>5510</v>
      </c>
      <c r="I815" s="13" t="s">
        <v>464</v>
      </c>
      <c r="J815" s="13" t="s">
        <v>5919</v>
      </c>
      <c r="K815" s="13" t="s">
        <v>5510</v>
      </c>
      <c r="L815" s="13" t="s">
        <v>5510</v>
      </c>
      <c r="M815" s="13" t="s">
        <v>5513</v>
      </c>
      <c r="N815" s="13" t="s">
        <v>5514</v>
      </c>
      <c r="O815" s="13" t="s">
        <v>5510</v>
      </c>
      <c r="P815" s="13" t="s">
        <v>5510</v>
      </c>
      <c r="Q815" s="13" t="s">
        <v>5510</v>
      </c>
      <c r="R815" s="13" t="s">
        <v>5510</v>
      </c>
      <c r="S815" s="13" t="s">
        <v>5510</v>
      </c>
      <c r="T815" s="13" t="s">
        <v>19869</v>
      </c>
      <c r="U815" s="13" t="s">
        <v>19870</v>
      </c>
      <c r="V815" s="13" t="s">
        <v>19871</v>
      </c>
      <c r="W815" s="13" t="s">
        <v>19872</v>
      </c>
      <c r="X815" s="13" t="s">
        <v>9616</v>
      </c>
      <c r="Y815" s="13" t="s">
        <v>19873</v>
      </c>
      <c r="Z815" s="13" t="s">
        <v>19874</v>
      </c>
      <c r="AA815" s="13" t="s">
        <v>19875</v>
      </c>
      <c r="AB815" s="13" t="s">
        <v>19876</v>
      </c>
      <c r="AC815" s="13" t="s">
        <v>5510</v>
      </c>
      <c r="AD815" s="13" t="s">
        <v>5510</v>
      </c>
      <c r="AE815" s="13" t="s">
        <v>5510</v>
      </c>
      <c r="AF815" s="13" t="s">
        <v>5510</v>
      </c>
      <c r="AG815" s="13">
        <v>66.0</v>
      </c>
      <c r="AH815" s="13">
        <v>118.0</v>
      </c>
      <c r="AI815" s="13">
        <v>149.0</v>
      </c>
      <c r="AJ815" s="13">
        <v>0.0</v>
      </c>
      <c r="AK815" s="13">
        <v>82.0</v>
      </c>
      <c r="AL815" s="13" t="s">
        <v>5931</v>
      </c>
      <c r="AM815" s="13" t="s">
        <v>7486</v>
      </c>
      <c r="AN815" s="13" t="s">
        <v>7487</v>
      </c>
      <c r="AO815" s="13" t="s">
        <v>5934</v>
      </c>
      <c r="AP815" s="13" t="s">
        <v>5935</v>
      </c>
      <c r="AQ815" s="13" t="s">
        <v>5510</v>
      </c>
      <c r="AR815" s="13" t="s">
        <v>5936</v>
      </c>
      <c r="AS815" s="13" t="s">
        <v>5937</v>
      </c>
      <c r="AT815" s="13" t="s">
        <v>5866</v>
      </c>
      <c r="AU815" s="13">
        <v>2006.0</v>
      </c>
      <c r="AV815" s="13">
        <v>129.0</v>
      </c>
      <c r="AW815" s="13">
        <v>3.0</v>
      </c>
      <c r="AX815" s="13" t="s">
        <v>5510</v>
      </c>
      <c r="AY815" s="13" t="s">
        <v>5510</v>
      </c>
      <c r="AZ815" s="13" t="s">
        <v>5510</v>
      </c>
      <c r="BA815" s="13" t="s">
        <v>5510</v>
      </c>
      <c r="BB815" s="13">
        <v>348.0</v>
      </c>
      <c r="BC815" s="13">
        <v>359.0</v>
      </c>
      <c r="BD815" s="13" t="s">
        <v>5510</v>
      </c>
      <c r="BE815" s="13" t="s">
        <v>19877</v>
      </c>
      <c r="BF815" s="52" t="str">
        <f>HYPERLINK("http://dx.doi.org/10.1016/j.biocon.2005.11.002","http://dx.doi.org/10.1016/j.biocon.2005.11.002")</f>
        <v>http://dx.doi.org/10.1016/j.biocon.2005.11.002</v>
      </c>
      <c r="BG815" s="13" t="s">
        <v>5510</v>
      </c>
      <c r="BH815" s="13" t="s">
        <v>5510</v>
      </c>
      <c r="BI815" s="13">
        <v>12.0</v>
      </c>
      <c r="BJ815" s="13" t="s">
        <v>5698</v>
      </c>
      <c r="BK815" s="13" t="s">
        <v>5561</v>
      </c>
      <c r="BL815" s="13" t="s">
        <v>5699</v>
      </c>
      <c r="BM815" s="13" t="s">
        <v>19878</v>
      </c>
      <c r="BN815" s="13" t="s">
        <v>5510</v>
      </c>
      <c r="BO815" s="13" t="s">
        <v>5510</v>
      </c>
      <c r="BP815" s="13" t="s">
        <v>5510</v>
      </c>
      <c r="BQ815" s="13" t="s">
        <v>5510</v>
      </c>
      <c r="BR815" s="13" t="s">
        <v>5538</v>
      </c>
      <c r="BS815" s="13" t="s">
        <v>19879</v>
      </c>
      <c r="BT815" s="13">
        <v>25287.0</v>
      </c>
      <c r="BU815" s="13" t="s">
        <v>5540</v>
      </c>
      <c r="BV815" s="13" t="s">
        <v>4856</v>
      </c>
      <c r="BW815" s="13" t="str">
        <f>VLOOKUP($BT815,Enriched!$A$2:$E$1070,5,false)</f>
        <v>["Transportation &amp; Service Corridors"]</v>
      </c>
      <c r="BX815" s="13" t="str">
        <f>VLOOKUP($BT815,Enriched!$A$2:$E$1070,4,false)</f>
        <v>["Roads &amp; railroads"]</v>
      </c>
      <c r="BY815" s="13" t="b">
        <f>VLOOKUP(BT815,Enriched!$A$1:$AA$1070,27,falsE)</f>
        <v>0</v>
      </c>
      <c r="BZ815" s="2" t="str">
        <f>VLOOKUP(BT815,Enriched!$A$1:$AA$1070,14,falsE)</f>
        <v>level2</v>
      </c>
      <c r="CA815" s="13" t="str">
        <f>HYPERLINK("https%3A%2F%2Fwww.webofscience.com%2Fwos%2Fwoscc%2Ffull-record%2FWOS:000236959600006","View Full Record in Web of Science")</f>
        <v>View Full Record in Web of Science</v>
      </c>
    </row>
    <row r="816" ht="12.75" customHeight="1">
      <c r="A816" s="13" t="s">
        <v>5508</v>
      </c>
      <c r="B816" s="13" t="s">
        <v>19880</v>
      </c>
      <c r="C816" s="13" t="s">
        <v>5510</v>
      </c>
      <c r="D816" s="13" t="s">
        <v>5510</v>
      </c>
      <c r="E816" s="13" t="s">
        <v>5510</v>
      </c>
      <c r="F816" s="13" t="s">
        <v>19881</v>
      </c>
      <c r="G816" s="13" t="s">
        <v>5510</v>
      </c>
      <c r="H816" s="13" t="s">
        <v>5510</v>
      </c>
      <c r="I816" s="13" t="s">
        <v>19882</v>
      </c>
      <c r="J816" s="13" t="s">
        <v>12511</v>
      </c>
      <c r="K816" s="13" t="s">
        <v>5510</v>
      </c>
      <c r="L816" s="13" t="s">
        <v>5510</v>
      </c>
      <c r="M816" s="13" t="s">
        <v>5513</v>
      </c>
      <c r="N816" s="13" t="s">
        <v>5514</v>
      </c>
      <c r="O816" s="13" t="s">
        <v>5510</v>
      </c>
      <c r="P816" s="13" t="s">
        <v>5510</v>
      </c>
      <c r="Q816" s="13" t="s">
        <v>5510</v>
      </c>
      <c r="R816" s="13" t="s">
        <v>5510</v>
      </c>
      <c r="S816" s="13" t="s">
        <v>5510</v>
      </c>
      <c r="T816" s="13" t="s">
        <v>19883</v>
      </c>
      <c r="U816" s="13" t="s">
        <v>19884</v>
      </c>
      <c r="V816" s="13" t="s">
        <v>19885</v>
      </c>
      <c r="W816" s="13" t="s">
        <v>19886</v>
      </c>
      <c r="X816" s="13" t="s">
        <v>19887</v>
      </c>
      <c r="Y816" s="13" t="s">
        <v>19888</v>
      </c>
      <c r="Z816" s="13" t="s">
        <v>19889</v>
      </c>
      <c r="AA816" s="13" t="s">
        <v>19890</v>
      </c>
      <c r="AB816" s="13" t="s">
        <v>19891</v>
      </c>
      <c r="AC816" s="13" t="s">
        <v>19892</v>
      </c>
      <c r="AD816" s="13" t="s">
        <v>19893</v>
      </c>
      <c r="AE816" s="13" t="s">
        <v>19894</v>
      </c>
      <c r="AF816" s="13" t="s">
        <v>5510</v>
      </c>
      <c r="AG816" s="13">
        <v>65.0</v>
      </c>
      <c r="AH816" s="13">
        <v>9.0</v>
      </c>
      <c r="AI816" s="13">
        <v>15.0</v>
      </c>
      <c r="AJ816" s="13">
        <v>3.0</v>
      </c>
      <c r="AK816" s="13">
        <v>46.0</v>
      </c>
      <c r="AL816" s="13" t="s">
        <v>6849</v>
      </c>
      <c r="AM816" s="13" t="s">
        <v>6850</v>
      </c>
      <c r="AN816" s="13" t="s">
        <v>7349</v>
      </c>
      <c r="AO816" s="13" t="s">
        <v>5510</v>
      </c>
      <c r="AP816" s="13" t="s">
        <v>12524</v>
      </c>
      <c r="AQ816" s="13" t="s">
        <v>5510</v>
      </c>
      <c r="AR816" s="13" t="s">
        <v>12525</v>
      </c>
      <c r="AS816" s="13" t="s">
        <v>805</v>
      </c>
      <c r="AT816" s="13" t="s">
        <v>1453</v>
      </c>
      <c r="AU816" s="13">
        <v>2020.0</v>
      </c>
      <c r="AV816" s="13">
        <v>9.0</v>
      </c>
      <c r="AW816" s="13">
        <v>11.0</v>
      </c>
      <c r="AX816" s="13" t="s">
        <v>5510</v>
      </c>
      <c r="AY816" s="13" t="s">
        <v>5510</v>
      </c>
      <c r="AZ816" s="13" t="s">
        <v>5510</v>
      </c>
      <c r="BA816" s="13" t="s">
        <v>5510</v>
      </c>
      <c r="BB816" s="13" t="s">
        <v>5510</v>
      </c>
      <c r="BC816" s="13" t="s">
        <v>5510</v>
      </c>
      <c r="BD816" s="13">
        <v>403.0</v>
      </c>
      <c r="BE816" s="13" t="s">
        <v>19895</v>
      </c>
      <c r="BF816" s="52" t="str">
        <f>HYPERLINK("http://dx.doi.org/10.3390/land9110403","http://dx.doi.org/10.3390/land9110403")</f>
        <v>http://dx.doi.org/10.3390/land9110403</v>
      </c>
      <c r="BG816" s="13" t="s">
        <v>5510</v>
      </c>
      <c r="BH816" s="13" t="s">
        <v>5510</v>
      </c>
      <c r="BI816" s="13">
        <v>22.0</v>
      </c>
      <c r="BJ816" s="13" t="s">
        <v>12528</v>
      </c>
      <c r="BK816" s="13" t="s">
        <v>8375</v>
      </c>
      <c r="BL816" s="13" t="s">
        <v>5535</v>
      </c>
      <c r="BM816" s="13" t="s">
        <v>19896</v>
      </c>
      <c r="BN816" s="13" t="s">
        <v>5510</v>
      </c>
      <c r="BO816" s="13" t="s">
        <v>5564</v>
      </c>
      <c r="BP816" s="13" t="s">
        <v>5510</v>
      </c>
      <c r="BQ816" s="13" t="s">
        <v>5510</v>
      </c>
      <c r="BR816" s="13" t="s">
        <v>5538</v>
      </c>
      <c r="BS816" s="13" t="s">
        <v>19897</v>
      </c>
      <c r="BT816" s="13">
        <v>25037.0</v>
      </c>
      <c r="BU816" s="13" t="s">
        <v>5540</v>
      </c>
      <c r="BV816" s="13" t="s">
        <v>4856</v>
      </c>
      <c r="BW816" s="13" t="str">
        <f>VLOOKUP($BT816,Enriched!$A$2:$E$1070,5,false)</f>
        <v>["Agriculture &amp; aquaculture"]</v>
      </c>
      <c r="BX816" s="13" t="str">
        <f>VLOOKUP($BT816,Enriched!$A$2:$E$1070,4,false)</f>
        <v>["Annual &amp; perennial non-timber crops"]</v>
      </c>
      <c r="BY816" s="13" t="b">
        <f>VLOOKUP(BT816,Enriched!$A$1:$AA$1070,27,falsE)</f>
        <v>0</v>
      </c>
      <c r="BZ816" s="2" t="str">
        <f>VLOOKUP(BT816,Enriched!$A$1:$AA$1070,14,falsE)</f>
        <v>level2</v>
      </c>
      <c r="CA816" s="13" t="str">
        <f>HYPERLINK("https%3A%2F%2Fwww.webofscience.com%2Fwos%2Fwoscc%2Ffull-record%2FWOS:000593368100001","View Full Record in Web of Science")</f>
        <v>View Full Record in Web of Science</v>
      </c>
    </row>
    <row r="817" ht="12.75" customHeight="1">
      <c r="A817" s="13" t="s">
        <v>5508</v>
      </c>
      <c r="B817" s="13" t="s">
        <v>19898</v>
      </c>
      <c r="C817" s="13" t="s">
        <v>5510</v>
      </c>
      <c r="D817" s="13" t="s">
        <v>5510</v>
      </c>
      <c r="E817" s="13" t="s">
        <v>5510</v>
      </c>
      <c r="F817" s="13" t="s">
        <v>19899</v>
      </c>
      <c r="G817" s="13" t="s">
        <v>5510</v>
      </c>
      <c r="H817" s="13" t="s">
        <v>5510</v>
      </c>
      <c r="I817" s="13" t="s">
        <v>457</v>
      </c>
      <c r="J817" s="13" t="s">
        <v>7741</v>
      </c>
      <c r="K817" s="13" t="s">
        <v>5510</v>
      </c>
      <c r="L817" s="13" t="s">
        <v>5510</v>
      </c>
      <c r="M817" s="13" t="s">
        <v>5513</v>
      </c>
      <c r="N817" s="13" t="s">
        <v>5514</v>
      </c>
      <c r="O817" s="13" t="s">
        <v>5510</v>
      </c>
      <c r="P817" s="13" t="s">
        <v>5510</v>
      </c>
      <c r="Q817" s="13" t="s">
        <v>5510</v>
      </c>
      <c r="R817" s="13" t="s">
        <v>5510</v>
      </c>
      <c r="S817" s="13" t="s">
        <v>5510</v>
      </c>
      <c r="T817" s="13" t="s">
        <v>19900</v>
      </c>
      <c r="U817" s="13" t="s">
        <v>19901</v>
      </c>
      <c r="V817" s="13" t="s">
        <v>19902</v>
      </c>
      <c r="W817" s="13" t="s">
        <v>19903</v>
      </c>
      <c r="X817" s="13" t="s">
        <v>19904</v>
      </c>
      <c r="Y817" s="13" t="s">
        <v>19905</v>
      </c>
      <c r="Z817" s="13" t="s">
        <v>19906</v>
      </c>
      <c r="AA817" s="13" t="s">
        <v>19907</v>
      </c>
      <c r="AB817" s="13" t="s">
        <v>19908</v>
      </c>
      <c r="AC817" s="13" t="s">
        <v>19909</v>
      </c>
      <c r="AD817" s="13" t="s">
        <v>19909</v>
      </c>
      <c r="AE817" s="13" t="s">
        <v>19910</v>
      </c>
      <c r="AF817" s="13" t="s">
        <v>5510</v>
      </c>
      <c r="AG817" s="13">
        <v>66.0</v>
      </c>
      <c r="AH817" s="13">
        <v>9.0</v>
      </c>
      <c r="AI817" s="13">
        <v>10.0</v>
      </c>
      <c r="AJ817" s="13">
        <v>0.0</v>
      </c>
      <c r="AK817" s="13">
        <v>37.0</v>
      </c>
      <c r="AL817" s="13" t="s">
        <v>6717</v>
      </c>
      <c r="AM817" s="13" t="s">
        <v>5932</v>
      </c>
      <c r="AN817" s="13" t="s">
        <v>6718</v>
      </c>
      <c r="AO817" s="13" t="s">
        <v>7752</v>
      </c>
      <c r="AP817" s="13" t="s">
        <v>7753</v>
      </c>
      <c r="AQ817" s="13" t="s">
        <v>5510</v>
      </c>
      <c r="AR817" s="13" t="s">
        <v>7754</v>
      </c>
      <c r="AS817" s="13" t="s">
        <v>7755</v>
      </c>
      <c r="AT817" s="13" t="s">
        <v>7093</v>
      </c>
      <c r="AU817" s="13">
        <v>2013.0</v>
      </c>
      <c r="AV817" s="13">
        <v>76.0</v>
      </c>
      <c r="AW817" s="13" t="s">
        <v>12302</v>
      </c>
      <c r="AX817" s="13" t="s">
        <v>5510</v>
      </c>
      <c r="AY817" s="13" t="s">
        <v>5510</v>
      </c>
      <c r="AZ817" s="13" t="s">
        <v>5510</v>
      </c>
      <c r="BA817" s="13" t="s">
        <v>5510</v>
      </c>
      <c r="BB817" s="13">
        <v>203.0</v>
      </c>
      <c r="BC817" s="13">
        <v>213.0</v>
      </c>
      <c r="BD817" s="13" t="s">
        <v>5510</v>
      </c>
      <c r="BE817" s="13" t="s">
        <v>19911</v>
      </c>
      <c r="BF817" s="52" t="str">
        <f>HYPERLINK("http://dx.doi.org/10.1016/j.marpolbul.2013.08.041","http://dx.doi.org/10.1016/j.marpolbul.2013.08.041")</f>
        <v>http://dx.doi.org/10.1016/j.marpolbul.2013.08.041</v>
      </c>
      <c r="BG817" s="13" t="s">
        <v>5510</v>
      </c>
      <c r="BH817" s="13" t="s">
        <v>5510</v>
      </c>
      <c r="BI817" s="13">
        <v>11.0</v>
      </c>
      <c r="BJ817" s="13" t="s">
        <v>6327</v>
      </c>
      <c r="BK817" s="13" t="s">
        <v>5561</v>
      </c>
      <c r="BL817" s="13" t="s">
        <v>6328</v>
      </c>
      <c r="BM817" s="13" t="s">
        <v>19912</v>
      </c>
      <c r="BN817" s="13">
        <v>2.4045124E7</v>
      </c>
      <c r="BO817" s="13" t="s">
        <v>5510</v>
      </c>
      <c r="BP817" s="13" t="s">
        <v>5510</v>
      </c>
      <c r="BQ817" s="13" t="s">
        <v>5510</v>
      </c>
      <c r="BR817" s="13" t="s">
        <v>5538</v>
      </c>
      <c r="BS817" s="13" t="s">
        <v>19913</v>
      </c>
      <c r="BT817" s="13">
        <v>25464.0</v>
      </c>
      <c r="BU817" s="13" t="s">
        <v>5540</v>
      </c>
      <c r="BV817" s="13" t="s">
        <v>4864</v>
      </c>
      <c r="BW817" s="13" t="str">
        <f>VLOOKUP($BT817,Enriched!$A$2:$E$1070,5,false)</f>
        <v>["Biological resource use"]</v>
      </c>
      <c r="BX817" s="13" t="str">
        <f>VLOOKUP($BT817,Enriched!$A$2:$E$1070,4,false)</f>
        <v>["Fishing &amp; harvesting aquatic resources"]</v>
      </c>
      <c r="BY817" s="13" t="b">
        <f>VLOOKUP(BT817,Enriched!$A$1:$AA$1070,27,falsE)</f>
        <v>0</v>
      </c>
      <c r="BZ817" s="2" t="str">
        <f>VLOOKUP(BT817,Enriched!$A$1:$AA$1070,14,falsE)</f>
        <v>level2</v>
      </c>
      <c r="CA817" s="13" t="str">
        <f>HYPERLINK("https%3A%2F%2Fwww.webofscience.com%2Fwos%2Fwoscc%2Ffull-record%2FWOS:000328005800037","View Full Record in Web of Science")</f>
        <v>View Full Record in Web of Science</v>
      </c>
    </row>
    <row r="818" ht="12.75" customHeight="1">
      <c r="A818" s="13" t="s">
        <v>5508</v>
      </c>
      <c r="B818" s="13" t="s">
        <v>19914</v>
      </c>
      <c r="C818" s="13" t="s">
        <v>5510</v>
      </c>
      <c r="D818" s="13" t="s">
        <v>5510</v>
      </c>
      <c r="E818" s="13" t="s">
        <v>5510</v>
      </c>
      <c r="F818" s="13" t="s">
        <v>19915</v>
      </c>
      <c r="G818" s="13" t="s">
        <v>5510</v>
      </c>
      <c r="H818" s="13" t="s">
        <v>5510</v>
      </c>
      <c r="I818" s="13" t="s">
        <v>454</v>
      </c>
      <c r="J818" s="13" t="s">
        <v>6212</v>
      </c>
      <c r="K818" s="13" t="s">
        <v>5510</v>
      </c>
      <c r="L818" s="13" t="s">
        <v>5510</v>
      </c>
      <c r="M818" s="13" t="s">
        <v>5513</v>
      </c>
      <c r="N818" s="13" t="s">
        <v>5514</v>
      </c>
      <c r="O818" s="13" t="s">
        <v>5510</v>
      </c>
      <c r="P818" s="13" t="s">
        <v>5510</v>
      </c>
      <c r="Q818" s="13" t="s">
        <v>5510</v>
      </c>
      <c r="R818" s="13" t="s">
        <v>5510</v>
      </c>
      <c r="S818" s="13" t="s">
        <v>5510</v>
      </c>
      <c r="T818" s="13" t="s">
        <v>19916</v>
      </c>
      <c r="U818" s="13" t="s">
        <v>19917</v>
      </c>
      <c r="V818" s="13" t="s">
        <v>19918</v>
      </c>
      <c r="W818" s="13" t="s">
        <v>19919</v>
      </c>
      <c r="X818" s="13" t="s">
        <v>19920</v>
      </c>
      <c r="Y818" s="13" t="s">
        <v>19921</v>
      </c>
      <c r="Z818" s="13" t="s">
        <v>19922</v>
      </c>
      <c r="AA818" s="13" t="s">
        <v>5510</v>
      </c>
      <c r="AB818" s="13" t="s">
        <v>5510</v>
      </c>
      <c r="AC818" s="13" t="s">
        <v>19923</v>
      </c>
      <c r="AD818" s="13" t="s">
        <v>19924</v>
      </c>
      <c r="AE818" s="13" t="s">
        <v>19925</v>
      </c>
      <c r="AF818" s="13" t="s">
        <v>5510</v>
      </c>
      <c r="AG818" s="13">
        <v>75.0</v>
      </c>
      <c r="AH818" s="13">
        <v>13.0</v>
      </c>
      <c r="AI818" s="13">
        <v>14.0</v>
      </c>
      <c r="AJ818" s="13">
        <v>4.0</v>
      </c>
      <c r="AK818" s="13">
        <v>37.0</v>
      </c>
      <c r="AL818" s="13" t="s">
        <v>5759</v>
      </c>
      <c r="AM818" s="13" t="s">
        <v>5760</v>
      </c>
      <c r="AN818" s="13" t="s">
        <v>5761</v>
      </c>
      <c r="AO818" s="13" t="s">
        <v>5510</v>
      </c>
      <c r="AP818" s="13" t="s">
        <v>6225</v>
      </c>
      <c r="AQ818" s="13" t="s">
        <v>5510</v>
      </c>
      <c r="AR818" s="13" t="s">
        <v>6226</v>
      </c>
      <c r="AS818" s="13" t="s">
        <v>6227</v>
      </c>
      <c r="AT818" s="13" t="s">
        <v>1925</v>
      </c>
      <c r="AU818" s="13">
        <v>2020.0</v>
      </c>
      <c r="AV818" s="13">
        <v>23.0</v>
      </c>
      <c r="AW818" s="13" t="s">
        <v>5510</v>
      </c>
      <c r="AX818" s="13" t="s">
        <v>5510</v>
      </c>
      <c r="AY818" s="13" t="s">
        <v>5510</v>
      </c>
      <c r="AZ818" s="13" t="s">
        <v>5510</v>
      </c>
      <c r="BA818" s="13" t="s">
        <v>5510</v>
      </c>
      <c r="BB818" s="13" t="s">
        <v>5510</v>
      </c>
      <c r="BC818" s="13" t="s">
        <v>5510</v>
      </c>
      <c r="BD818" s="13" t="s">
        <v>19926</v>
      </c>
      <c r="BE818" s="13" t="s">
        <v>19927</v>
      </c>
      <c r="BF818" s="52" t="str">
        <f>HYPERLINK("http://dx.doi.org/10.1016/j.gecco.2020.e01176","http://dx.doi.org/10.1016/j.gecco.2020.e01176")</f>
        <v>http://dx.doi.org/10.1016/j.gecco.2020.e01176</v>
      </c>
      <c r="BG818" s="13" t="s">
        <v>5510</v>
      </c>
      <c r="BH818" s="13" t="s">
        <v>5510</v>
      </c>
      <c r="BI818" s="13">
        <v>12.0</v>
      </c>
      <c r="BJ818" s="13" t="s">
        <v>5958</v>
      </c>
      <c r="BK818" s="13" t="s">
        <v>5561</v>
      </c>
      <c r="BL818" s="13" t="s">
        <v>5699</v>
      </c>
      <c r="BM818" s="13" t="s">
        <v>19928</v>
      </c>
      <c r="BN818" s="13" t="s">
        <v>5510</v>
      </c>
      <c r="BO818" s="13" t="s">
        <v>5564</v>
      </c>
      <c r="BP818" s="13" t="s">
        <v>5510</v>
      </c>
      <c r="BQ818" s="13" t="s">
        <v>5510</v>
      </c>
      <c r="BR818" s="13" t="s">
        <v>5538</v>
      </c>
      <c r="BS818" s="13" t="s">
        <v>19929</v>
      </c>
      <c r="BT818" s="13">
        <v>24315.0</v>
      </c>
      <c r="BU818" s="13" t="s">
        <v>5540</v>
      </c>
      <c r="BV818" s="13" t="s">
        <v>4856</v>
      </c>
      <c r="BW818" s="13" t="str">
        <f>VLOOKUP($BT818,Enriched!$A$2:$E$1070,5,false)</f>
        <v>["Invasive &amp; Other Problematic Species, Genes &amp; Diseases", "Climate Change &amp; Severe Weather"]</v>
      </c>
      <c r="BX818" s="13" t="str">
        <f>VLOOKUP($BT818,Enriched!$A$2:$E$1070,4,false)</f>
        <v>["Problematic native species/diseases", "Habitat shifting &amp; alteration"]</v>
      </c>
      <c r="BY818" s="13" t="b">
        <f>VLOOKUP(BT818,Enriched!$A$1:$AA$1070,27,falsE)</f>
        <v>0</v>
      </c>
      <c r="BZ818" s="2" t="str">
        <f>VLOOKUP(BT818,Enriched!$A$1:$AA$1070,14,falsE)</f>
        <v>cumulative</v>
      </c>
      <c r="CA818" s="13" t="str">
        <f>HYPERLINK("https%3A%2F%2Fwww.webofscience.com%2Fwos%2Fwoscc%2Ffull-record%2FWOS:000568729100009","View Full Record in Web of Science")</f>
        <v>View Full Record in Web of Science</v>
      </c>
    </row>
    <row r="819" ht="12.75" customHeight="1">
      <c r="A819" s="13" t="s">
        <v>5508</v>
      </c>
      <c r="B819" s="13" t="s">
        <v>19930</v>
      </c>
      <c r="C819" s="13" t="s">
        <v>5510</v>
      </c>
      <c r="D819" s="13" t="s">
        <v>5510</v>
      </c>
      <c r="E819" s="13" t="s">
        <v>5510</v>
      </c>
      <c r="F819" s="13" t="s">
        <v>19931</v>
      </c>
      <c r="G819" s="13" t="s">
        <v>5510</v>
      </c>
      <c r="H819" s="13" t="s">
        <v>5510</v>
      </c>
      <c r="I819" s="13" t="s">
        <v>451</v>
      </c>
      <c r="J819" s="13" t="s">
        <v>6407</v>
      </c>
      <c r="K819" s="13" t="s">
        <v>5510</v>
      </c>
      <c r="L819" s="13" t="s">
        <v>5510</v>
      </c>
      <c r="M819" s="13" t="s">
        <v>5513</v>
      </c>
      <c r="N819" s="13" t="s">
        <v>5514</v>
      </c>
      <c r="O819" s="13" t="s">
        <v>5510</v>
      </c>
      <c r="P819" s="13" t="s">
        <v>5510</v>
      </c>
      <c r="Q819" s="13" t="s">
        <v>5510</v>
      </c>
      <c r="R819" s="13" t="s">
        <v>5510</v>
      </c>
      <c r="S819" s="13" t="s">
        <v>5510</v>
      </c>
      <c r="T819" s="13" t="s">
        <v>19932</v>
      </c>
      <c r="U819" s="13" t="s">
        <v>19933</v>
      </c>
      <c r="V819" s="13" t="s">
        <v>19934</v>
      </c>
      <c r="W819" s="13" t="s">
        <v>19935</v>
      </c>
      <c r="X819" s="13" t="s">
        <v>19936</v>
      </c>
      <c r="Y819" s="13" t="s">
        <v>19937</v>
      </c>
      <c r="Z819" s="13" t="s">
        <v>19938</v>
      </c>
      <c r="AA819" s="13" t="s">
        <v>19939</v>
      </c>
      <c r="AB819" s="13" t="s">
        <v>19940</v>
      </c>
      <c r="AC819" s="13" t="s">
        <v>19941</v>
      </c>
      <c r="AD819" s="13" t="s">
        <v>19941</v>
      </c>
      <c r="AE819" s="13" t="s">
        <v>19942</v>
      </c>
      <c r="AF819" s="13" t="s">
        <v>5510</v>
      </c>
      <c r="AG819" s="13">
        <v>60.0</v>
      </c>
      <c r="AH819" s="13">
        <v>51.0</v>
      </c>
      <c r="AI819" s="13">
        <v>56.0</v>
      </c>
      <c r="AJ819" s="13">
        <v>0.0</v>
      </c>
      <c r="AK819" s="13">
        <v>30.0</v>
      </c>
      <c r="AL819" s="13" t="s">
        <v>7714</v>
      </c>
      <c r="AM819" s="13" t="s">
        <v>5760</v>
      </c>
      <c r="AN819" s="13" t="s">
        <v>7715</v>
      </c>
      <c r="AO819" s="13" t="s">
        <v>6417</v>
      </c>
      <c r="AP819" s="13" t="s">
        <v>6418</v>
      </c>
      <c r="AQ819" s="13" t="s">
        <v>5510</v>
      </c>
      <c r="AR819" s="13" t="s">
        <v>6419</v>
      </c>
      <c r="AS819" s="13" t="s">
        <v>6420</v>
      </c>
      <c r="AT819" s="13" t="s">
        <v>5667</v>
      </c>
      <c r="AU819" s="13">
        <v>2019.0</v>
      </c>
      <c r="AV819" s="13">
        <v>102.0</v>
      </c>
      <c r="AW819" s="13" t="s">
        <v>5510</v>
      </c>
      <c r="AX819" s="13" t="s">
        <v>5510</v>
      </c>
      <c r="AY819" s="13" t="s">
        <v>5510</v>
      </c>
      <c r="AZ819" s="13" t="s">
        <v>5510</v>
      </c>
      <c r="BA819" s="13" t="s">
        <v>5510</v>
      </c>
      <c r="BB819" s="13">
        <v>218.0</v>
      </c>
      <c r="BC819" s="13">
        <v>229.0</v>
      </c>
      <c r="BD819" s="13" t="s">
        <v>5510</v>
      </c>
      <c r="BE819" s="13" t="s">
        <v>19943</v>
      </c>
      <c r="BF819" s="52" t="str">
        <f>HYPERLINK("http://dx.doi.org/10.1016/j.ecolind.2019.02.028","http://dx.doi.org/10.1016/j.ecolind.2019.02.028")</f>
        <v>http://dx.doi.org/10.1016/j.ecolind.2019.02.028</v>
      </c>
      <c r="BG819" s="13" t="s">
        <v>5510</v>
      </c>
      <c r="BH819" s="13" t="s">
        <v>5510</v>
      </c>
      <c r="BI819" s="13">
        <v>12.0</v>
      </c>
      <c r="BJ819" s="13" t="s">
        <v>6422</v>
      </c>
      <c r="BK819" s="13" t="s">
        <v>5561</v>
      </c>
      <c r="BL819" s="13" t="s">
        <v>5699</v>
      </c>
      <c r="BM819" s="13" t="s">
        <v>19944</v>
      </c>
      <c r="BN819" s="13" t="s">
        <v>5510</v>
      </c>
      <c r="BO819" s="13" t="s">
        <v>6623</v>
      </c>
      <c r="BP819" s="13" t="s">
        <v>5510</v>
      </c>
      <c r="BQ819" s="13" t="s">
        <v>5510</v>
      </c>
      <c r="BR819" s="13" t="s">
        <v>5538</v>
      </c>
      <c r="BS819" s="13" t="s">
        <v>19945</v>
      </c>
      <c r="BT819" s="13">
        <v>23823.0</v>
      </c>
      <c r="BU819" s="13" t="s">
        <v>5540</v>
      </c>
      <c r="BV819" s="13" t="s">
        <v>4864</v>
      </c>
      <c r="BW819" s="13" t="str">
        <f>VLOOKUP($BT819,Enriched!$A$2:$E$1070,5,false)</f>
        <v>["Transportation &amp; Service Corridors", "Biological Resource Use", "Pollution"]</v>
      </c>
      <c r="BX819" s="13" t="str">
        <f>VLOOKUP($BT819,Enriched!$A$2:$E$1070,4,false)</f>
        <v>["Shipping lanes", "Fishing &amp; harvesting aquatic resources"]</v>
      </c>
      <c r="BY819" s="13" t="b">
        <f>VLOOKUP(BT819,Enriched!$A$1:$AA$1070,27,falsE)</f>
        <v>1</v>
      </c>
      <c r="BZ819" s="2" t="str">
        <f>VLOOKUP(BT819,Enriched!$A$1:$AA$1070,14,falsE)</f>
        <v>cumulative</v>
      </c>
      <c r="CA819" s="13" t="str">
        <f>HYPERLINK("https%3A%2F%2Fwww.webofscience.com%2Fwos%2Fwoscc%2Ffull-record%2FWOS:000470964500021","View Full Record in Web of Science")</f>
        <v>View Full Record in Web of Science</v>
      </c>
    </row>
    <row r="820" ht="12.75" customHeight="1">
      <c r="A820" s="13" t="s">
        <v>5508</v>
      </c>
      <c r="B820" s="13" t="s">
        <v>19946</v>
      </c>
      <c r="C820" s="13" t="s">
        <v>5510</v>
      </c>
      <c r="D820" s="13" t="s">
        <v>5510</v>
      </c>
      <c r="E820" s="13" t="s">
        <v>5510</v>
      </c>
      <c r="F820" s="13" t="s">
        <v>19947</v>
      </c>
      <c r="G820" s="13" t="s">
        <v>5510</v>
      </c>
      <c r="H820" s="13" t="s">
        <v>5510</v>
      </c>
      <c r="I820" s="13" t="s">
        <v>448</v>
      </c>
      <c r="J820" s="13" t="s">
        <v>14561</v>
      </c>
      <c r="K820" s="13" t="s">
        <v>5510</v>
      </c>
      <c r="L820" s="13" t="s">
        <v>5510</v>
      </c>
      <c r="M820" s="13" t="s">
        <v>5513</v>
      </c>
      <c r="N820" s="13" t="s">
        <v>5514</v>
      </c>
      <c r="O820" s="13" t="s">
        <v>5510</v>
      </c>
      <c r="P820" s="13" t="s">
        <v>5510</v>
      </c>
      <c r="Q820" s="13" t="s">
        <v>5510</v>
      </c>
      <c r="R820" s="13" t="s">
        <v>5510</v>
      </c>
      <c r="S820" s="13" t="s">
        <v>5510</v>
      </c>
      <c r="T820" s="13" t="s">
        <v>19948</v>
      </c>
      <c r="U820" s="13" t="s">
        <v>19949</v>
      </c>
      <c r="V820" s="13" t="s">
        <v>19950</v>
      </c>
      <c r="W820" s="13" t="s">
        <v>19951</v>
      </c>
      <c r="X820" s="13" t="s">
        <v>19952</v>
      </c>
      <c r="Y820" s="13" t="s">
        <v>19953</v>
      </c>
      <c r="Z820" s="13" t="s">
        <v>19954</v>
      </c>
      <c r="AA820" s="13" t="s">
        <v>5510</v>
      </c>
      <c r="AB820" s="13" t="s">
        <v>19955</v>
      </c>
      <c r="AC820" s="13" t="s">
        <v>19956</v>
      </c>
      <c r="AD820" s="13" t="s">
        <v>19957</v>
      </c>
      <c r="AE820" s="13" t="s">
        <v>19958</v>
      </c>
      <c r="AF820" s="13" t="s">
        <v>5510</v>
      </c>
      <c r="AG820" s="13">
        <v>79.0</v>
      </c>
      <c r="AH820" s="13">
        <v>52.0</v>
      </c>
      <c r="AI820" s="13">
        <v>59.0</v>
      </c>
      <c r="AJ820" s="13">
        <v>4.0</v>
      </c>
      <c r="AK820" s="13">
        <v>82.0</v>
      </c>
      <c r="AL820" s="13" t="s">
        <v>5759</v>
      </c>
      <c r="AM820" s="13" t="s">
        <v>5760</v>
      </c>
      <c r="AN820" s="13" t="s">
        <v>5761</v>
      </c>
      <c r="AO820" s="13" t="s">
        <v>14574</v>
      </c>
      <c r="AP820" s="13" t="s">
        <v>14575</v>
      </c>
      <c r="AQ820" s="13" t="s">
        <v>5510</v>
      </c>
      <c r="AR820" s="13" t="s">
        <v>14576</v>
      </c>
      <c r="AS820" s="13" t="s">
        <v>14577</v>
      </c>
      <c r="AT820" s="13" t="s">
        <v>2738</v>
      </c>
      <c r="AU820" s="13">
        <v>2020.0</v>
      </c>
      <c r="AV820" s="13">
        <v>84.0</v>
      </c>
      <c r="AW820" s="13" t="s">
        <v>5510</v>
      </c>
      <c r="AX820" s="13" t="s">
        <v>5510</v>
      </c>
      <c r="AY820" s="13" t="s">
        <v>5510</v>
      </c>
      <c r="AZ820" s="13" t="s">
        <v>5510</v>
      </c>
      <c r="BA820" s="13" t="s">
        <v>5510</v>
      </c>
      <c r="BB820" s="13" t="s">
        <v>5510</v>
      </c>
      <c r="BC820" s="13" t="s">
        <v>5510</v>
      </c>
      <c r="BD820" s="13">
        <v>101958.0</v>
      </c>
      <c r="BE820" s="13" t="s">
        <v>19959</v>
      </c>
      <c r="BF820" s="52" t="str">
        <f>HYPERLINK("http://dx.doi.org/10.1016/j.jag.2019.101958","http://dx.doi.org/10.1016/j.jag.2019.101958")</f>
        <v>http://dx.doi.org/10.1016/j.jag.2019.101958</v>
      </c>
      <c r="BG820" s="13" t="s">
        <v>5510</v>
      </c>
      <c r="BH820" s="13" t="s">
        <v>5510</v>
      </c>
      <c r="BI820" s="13">
        <v>13.0</v>
      </c>
      <c r="BJ820" s="13" t="s">
        <v>866</v>
      </c>
      <c r="BK820" s="13" t="s">
        <v>5534</v>
      </c>
      <c r="BL820" s="13" t="s">
        <v>866</v>
      </c>
      <c r="BM820" s="13" t="s">
        <v>19960</v>
      </c>
      <c r="BN820" s="13" t="s">
        <v>5510</v>
      </c>
      <c r="BO820" s="13" t="s">
        <v>6028</v>
      </c>
      <c r="BP820" s="13" t="s">
        <v>5510</v>
      </c>
      <c r="BQ820" s="13" t="s">
        <v>5510</v>
      </c>
      <c r="BR820" s="13" t="s">
        <v>5538</v>
      </c>
      <c r="BS820" s="13" t="s">
        <v>19961</v>
      </c>
      <c r="BT820" s="13">
        <v>23355.0</v>
      </c>
      <c r="BU820" s="13" t="s">
        <v>5540</v>
      </c>
      <c r="BV820" s="13" t="s">
        <v>4856</v>
      </c>
      <c r="BW820" s="13" t="str">
        <f>VLOOKUP($BT820,Enriched!$A$2:$E$1070,5,false)</f>
        <v>["Agriculture &amp; Aquaculture"]</v>
      </c>
      <c r="BX820" s="13" t="str">
        <f>VLOOKUP($BT820,Enriched!$A$2:$E$1070,4,false)</f>
        <v>["Annual &amp; perennial non-timber crops", "Livestock farming &amp; ranching", "Wood &amp; pulp plantations"]</v>
      </c>
      <c r="BY820" s="13" t="b">
        <f>VLOOKUP(BT820,Enriched!$A$1:$AA$1070,27,falsE)</f>
        <v>0</v>
      </c>
      <c r="BZ820" s="2" t="str">
        <f>VLOOKUP(BT820,Enriched!$A$1:$AA$1070,14,falsE)</f>
        <v>level1</v>
      </c>
      <c r="CA820" s="13" t="str">
        <f>HYPERLINK("https%3A%2F%2Fwww.webofscience.com%2Fwos%2Fwoscc%2Ffull-record%2FWOS:000501404500006","View Full Record in Web of Science")</f>
        <v>View Full Record in Web of Science</v>
      </c>
    </row>
    <row r="821" ht="12.75" customHeight="1">
      <c r="A821" s="13" t="s">
        <v>5508</v>
      </c>
      <c r="B821" s="13" t="s">
        <v>19962</v>
      </c>
      <c r="C821" s="13" t="s">
        <v>5510</v>
      </c>
      <c r="D821" s="13" t="s">
        <v>5510</v>
      </c>
      <c r="E821" s="13" t="s">
        <v>5510</v>
      </c>
      <c r="F821" s="13" t="s">
        <v>19963</v>
      </c>
      <c r="G821" s="13" t="s">
        <v>5510</v>
      </c>
      <c r="H821" s="13" t="s">
        <v>5510</v>
      </c>
      <c r="I821" s="13" t="s">
        <v>444</v>
      </c>
      <c r="J821" s="13" t="s">
        <v>19964</v>
      </c>
      <c r="K821" s="13" t="s">
        <v>5510</v>
      </c>
      <c r="L821" s="13" t="s">
        <v>5510</v>
      </c>
      <c r="M821" s="13" t="s">
        <v>5513</v>
      </c>
      <c r="N821" s="13" t="s">
        <v>5514</v>
      </c>
      <c r="O821" s="13" t="s">
        <v>5510</v>
      </c>
      <c r="P821" s="13" t="s">
        <v>5510</v>
      </c>
      <c r="Q821" s="13" t="s">
        <v>5510</v>
      </c>
      <c r="R821" s="13" t="s">
        <v>5510</v>
      </c>
      <c r="S821" s="13" t="s">
        <v>5510</v>
      </c>
      <c r="T821" s="13" t="s">
        <v>19965</v>
      </c>
      <c r="U821" s="13" t="s">
        <v>19966</v>
      </c>
      <c r="V821" s="13" t="s">
        <v>19967</v>
      </c>
      <c r="W821" s="13" t="s">
        <v>19968</v>
      </c>
      <c r="X821" s="13" t="s">
        <v>19969</v>
      </c>
      <c r="Y821" s="13" t="s">
        <v>19970</v>
      </c>
      <c r="Z821" s="13" t="s">
        <v>19971</v>
      </c>
      <c r="AA821" s="13" t="s">
        <v>19972</v>
      </c>
      <c r="AB821" s="13" t="s">
        <v>19973</v>
      </c>
      <c r="AC821" s="13" t="s">
        <v>19974</v>
      </c>
      <c r="AD821" s="13" t="s">
        <v>19975</v>
      </c>
      <c r="AE821" s="13" t="s">
        <v>19976</v>
      </c>
      <c r="AF821" s="13" t="s">
        <v>5510</v>
      </c>
      <c r="AG821" s="13">
        <v>46.0</v>
      </c>
      <c r="AH821" s="13">
        <v>51.0</v>
      </c>
      <c r="AI821" s="13">
        <v>58.0</v>
      </c>
      <c r="AJ821" s="13">
        <v>0.0</v>
      </c>
      <c r="AK821" s="13">
        <v>43.0</v>
      </c>
      <c r="AL821" s="13" t="s">
        <v>19977</v>
      </c>
      <c r="AM821" s="13" t="s">
        <v>19978</v>
      </c>
      <c r="AN821" s="13" t="s">
        <v>19979</v>
      </c>
      <c r="AO821" s="13" t="s">
        <v>19980</v>
      </c>
      <c r="AP821" s="13" t="s">
        <v>19981</v>
      </c>
      <c r="AQ821" s="13" t="s">
        <v>5510</v>
      </c>
      <c r="AR821" s="13" t="s">
        <v>19982</v>
      </c>
      <c r="AS821" s="13" t="s">
        <v>19983</v>
      </c>
      <c r="AT821" s="13" t="s">
        <v>5510</v>
      </c>
      <c r="AU821" s="13">
        <v>2016.0</v>
      </c>
      <c r="AV821" s="13">
        <v>22.0</v>
      </c>
      <c r="AW821" s="13">
        <v>7.0</v>
      </c>
      <c r="AX821" s="13" t="s">
        <v>5510</v>
      </c>
      <c r="AY821" s="13" t="s">
        <v>5510</v>
      </c>
      <c r="AZ821" s="13" t="s">
        <v>5510</v>
      </c>
      <c r="BA821" s="13" t="s">
        <v>5510</v>
      </c>
      <c r="BB821" s="13">
        <v>1519.0</v>
      </c>
      <c r="BC821" s="13">
        <v>1541.0</v>
      </c>
      <c r="BD821" s="13" t="s">
        <v>5510</v>
      </c>
      <c r="BE821" s="13" t="s">
        <v>19984</v>
      </c>
      <c r="BF821" s="52" t="str">
        <f>HYPERLINK("http://dx.doi.org/10.1080/10807039.2016.1190636","http://dx.doi.org/10.1080/10807039.2016.1190636")</f>
        <v>http://dx.doi.org/10.1080/10807039.2016.1190636</v>
      </c>
      <c r="BG821" s="13" t="s">
        <v>5510</v>
      </c>
      <c r="BH821" s="13" t="s">
        <v>5510</v>
      </c>
      <c r="BI821" s="13">
        <v>23.0</v>
      </c>
      <c r="BJ821" s="13" t="s">
        <v>6422</v>
      </c>
      <c r="BK821" s="13" t="s">
        <v>5561</v>
      </c>
      <c r="BL821" s="13" t="s">
        <v>5699</v>
      </c>
      <c r="BM821" s="13" t="s">
        <v>19985</v>
      </c>
      <c r="BN821" s="13" t="s">
        <v>5510</v>
      </c>
      <c r="BO821" s="13" t="s">
        <v>5510</v>
      </c>
      <c r="BP821" s="13" t="s">
        <v>5510</v>
      </c>
      <c r="BQ821" s="13" t="s">
        <v>5510</v>
      </c>
      <c r="BR821" s="13" t="s">
        <v>5538</v>
      </c>
      <c r="BS821" s="13" t="s">
        <v>19986</v>
      </c>
      <c r="BT821" s="13">
        <v>23537.0</v>
      </c>
      <c r="BU821" s="13" t="s">
        <v>5540</v>
      </c>
      <c r="BV821" s="13" t="s">
        <v>4852</v>
      </c>
      <c r="BW821" s="13" t="str">
        <f>VLOOKUP($BT821,Enriched!$A$2:$E$1070,5,false)</f>
        <v>["Pollution"]</v>
      </c>
      <c r="BX821" s="13" t="str">
        <f>VLOOKUP($BT821,Enriched!$A$2:$E$1070,4,false)</f>
        <v>["Housing &amp; urban area", "Domestic &amp; urban waste water"]</v>
      </c>
      <c r="BY821" s="13" t="b">
        <f>VLOOKUP(BT821,Enriched!$A$1:$AA$1070,27,falsE)</f>
        <v>0</v>
      </c>
      <c r="BZ821" s="2" t="str">
        <f>VLOOKUP(BT821,Enriched!$A$1:$AA$1070,14,falsE)</f>
        <v>level2</v>
      </c>
      <c r="CA821" s="13" t="str">
        <f>HYPERLINK("https%3A%2F%2Fwww.webofscience.com%2Fwos%2Fwoscc%2Ffull-record%2FWOS:000382789700006","View Full Record in Web of Science")</f>
        <v>View Full Record in Web of Science</v>
      </c>
    </row>
    <row r="822" ht="12.75" customHeight="1">
      <c r="A822" s="13" t="s">
        <v>5508</v>
      </c>
      <c r="B822" s="13" t="s">
        <v>19987</v>
      </c>
      <c r="C822" s="13" t="s">
        <v>5510</v>
      </c>
      <c r="D822" s="13" t="s">
        <v>5510</v>
      </c>
      <c r="E822" s="13" t="s">
        <v>5510</v>
      </c>
      <c r="F822" s="13" t="s">
        <v>19988</v>
      </c>
      <c r="G822" s="13" t="s">
        <v>5510</v>
      </c>
      <c r="H822" s="13" t="s">
        <v>5510</v>
      </c>
      <c r="I822" s="13" t="s">
        <v>19989</v>
      </c>
      <c r="J822" s="13" t="s">
        <v>5943</v>
      </c>
      <c r="K822" s="13" t="s">
        <v>5510</v>
      </c>
      <c r="L822" s="13" t="s">
        <v>5510</v>
      </c>
      <c r="M822" s="13" t="s">
        <v>5513</v>
      </c>
      <c r="N822" s="13" t="s">
        <v>5514</v>
      </c>
      <c r="O822" s="13" t="s">
        <v>5510</v>
      </c>
      <c r="P822" s="13" t="s">
        <v>5510</v>
      </c>
      <c r="Q822" s="13" t="s">
        <v>5510</v>
      </c>
      <c r="R822" s="13" t="s">
        <v>5510</v>
      </c>
      <c r="S822" s="13" t="s">
        <v>5510</v>
      </c>
      <c r="T822" s="13" t="s">
        <v>19990</v>
      </c>
      <c r="U822" s="13" t="s">
        <v>19991</v>
      </c>
      <c r="V822" s="13" t="s">
        <v>19992</v>
      </c>
      <c r="W822" s="13" t="s">
        <v>19993</v>
      </c>
      <c r="X822" s="13" t="s">
        <v>19994</v>
      </c>
      <c r="Y822" s="13" t="s">
        <v>19995</v>
      </c>
      <c r="Z822" s="13" t="s">
        <v>19996</v>
      </c>
      <c r="AA822" s="13" t="s">
        <v>19997</v>
      </c>
      <c r="AB822" s="13" t="s">
        <v>19998</v>
      </c>
      <c r="AC822" s="13" t="s">
        <v>19999</v>
      </c>
      <c r="AD822" s="13" t="s">
        <v>20000</v>
      </c>
      <c r="AE822" s="13" t="s">
        <v>20001</v>
      </c>
      <c r="AF822" s="13" t="s">
        <v>5510</v>
      </c>
      <c r="AG822" s="13">
        <v>78.0</v>
      </c>
      <c r="AH822" s="13">
        <v>143.0</v>
      </c>
      <c r="AI822" s="13">
        <v>162.0</v>
      </c>
      <c r="AJ822" s="13">
        <v>0.0</v>
      </c>
      <c r="AK822" s="13">
        <v>123.0</v>
      </c>
      <c r="AL822" s="13" t="s">
        <v>5527</v>
      </c>
      <c r="AM822" s="13" t="s">
        <v>5528</v>
      </c>
      <c r="AN822" s="13" t="s">
        <v>5529</v>
      </c>
      <c r="AO822" s="13" t="s">
        <v>5953</v>
      </c>
      <c r="AP822" s="13" t="s">
        <v>5954</v>
      </c>
      <c r="AQ822" s="13" t="s">
        <v>5510</v>
      </c>
      <c r="AR822" s="13" t="s">
        <v>5955</v>
      </c>
      <c r="AS822" s="13" t="s">
        <v>5956</v>
      </c>
      <c r="AT822" s="13" t="s">
        <v>2738</v>
      </c>
      <c r="AU822" s="13">
        <v>2011.0</v>
      </c>
      <c r="AV822" s="13">
        <v>48.0</v>
      </c>
      <c r="AW822" s="13">
        <v>1.0</v>
      </c>
      <c r="AX822" s="13" t="s">
        <v>5510</v>
      </c>
      <c r="AY822" s="13" t="s">
        <v>5510</v>
      </c>
      <c r="AZ822" s="13" t="s">
        <v>5510</v>
      </c>
      <c r="BA822" s="13" t="s">
        <v>5510</v>
      </c>
      <c r="BB822" s="13">
        <v>163.0</v>
      </c>
      <c r="BC822" s="13">
        <v>173.0</v>
      </c>
      <c r="BD822" s="13" t="s">
        <v>5510</v>
      </c>
      <c r="BE822" s="13" t="s">
        <v>20002</v>
      </c>
      <c r="BF822" s="52" t="str">
        <f>HYPERLINK("http://dx.doi.org/10.1111/j.1365-2664.2010.01890.x","http://dx.doi.org/10.1111/j.1365-2664.2010.01890.x")</f>
        <v>http://dx.doi.org/10.1111/j.1365-2664.2010.01890.x</v>
      </c>
      <c r="BG822" s="13" t="s">
        <v>5510</v>
      </c>
      <c r="BH822" s="13" t="s">
        <v>5510</v>
      </c>
      <c r="BI822" s="13">
        <v>11.0</v>
      </c>
      <c r="BJ822" s="13" t="s">
        <v>5958</v>
      </c>
      <c r="BK822" s="13" t="s">
        <v>5561</v>
      </c>
      <c r="BL822" s="13" t="s">
        <v>5699</v>
      </c>
      <c r="BM822" s="13" t="s">
        <v>20003</v>
      </c>
      <c r="BN822" s="13" t="s">
        <v>5510</v>
      </c>
      <c r="BO822" s="13" t="s">
        <v>5809</v>
      </c>
      <c r="BP822" s="13" t="s">
        <v>5510</v>
      </c>
      <c r="BQ822" s="13" t="s">
        <v>5510</v>
      </c>
      <c r="BR822" s="13" t="s">
        <v>5538</v>
      </c>
      <c r="BS822" s="13" t="s">
        <v>20004</v>
      </c>
      <c r="BT822" s="13">
        <v>24903.0</v>
      </c>
      <c r="BU822" s="13" t="s">
        <v>5540</v>
      </c>
      <c r="BV822" s="13" t="s">
        <v>4886</v>
      </c>
      <c r="BW822" s="13" t="str">
        <f>VLOOKUP($BT822,Enriched!$A$2:$E$1070,5,false)</f>
        <v>["Invasive &amp; other problematic species, genes &amp; diseases"]</v>
      </c>
      <c r="BX822" s="13" t="str">
        <f>VLOOKUP($BT822,Enriched!$A$2:$E$1070,4,false)</f>
        <v>["Invasive non-native/alien species/diseases"]</v>
      </c>
      <c r="BY822" s="13" t="b">
        <f>VLOOKUP(BT822,Enriched!$A$1:$AA$1070,27,falsE)</f>
        <v>0</v>
      </c>
      <c r="BZ822" s="2" t="str">
        <f>VLOOKUP(BT822,Enriched!$A$1:$AA$1070,14,falsE)</f>
        <v>level2</v>
      </c>
      <c r="CA822" s="13" t="str">
        <f>HYPERLINK("https%3A%2F%2Fwww.webofscience.com%2Fwos%2Fwoscc%2Ffull-record%2FWOS:000286000100019","View Full Record in Web of Science")</f>
        <v>View Full Record in Web of Science</v>
      </c>
    </row>
    <row r="823" ht="12.75" customHeight="1">
      <c r="A823" s="13" t="s">
        <v>5508</v>
      </c>
      <c r="B823" s="13" t="s">
        <v>20005</v>
      </c>
      <c r="C823" s="13" t="s">
        <v>5510</v>
      </c>
      <c r="D823" s="13" t="s">
        <v>5510</v>
      </c>
      <c r="E823" s="13" t="s">
        <v>5510</v>
      </c>
      <c r="F823" s="13" t="s">
        <v>20006</v>
      </c>
      <c r="G823" s="13" t="s">
        <v>5510</v>
      </c>
      <c r="H823" s="13" t="s">
        <v>5510</v>
      </c>
      <c r="I823" s="13" t="s">
        <v>437</v>
      </c>
      <c r="J823" s="13" t="s">
        <v>9455</v>
      </c>
      <c r="K823" s="13" t="s">
        <v>5510</v>
      </c>
      <c r="L823" s="13" t="s">
        <v>5510</v>
      </c>
      <c r="M823" s="13" t="s">
        <v>5513</v>
      </c>
      <c r="N823" s="13" t="s">
        <v>5514</v>
      </c>
      <c r="O823" s="13" t="s">
        <v>5510</v>
      </c>
      <c r="P823" s="13" t="s">
        <v>5510</v>
      </c>
      <c r="Q823" s="13" t="s">
        <v>5510</v>
      </c>
      <c r="R823" s="13" t="s">
        <v>5510</v>
      </c>
      <c r="S823" s="13" t="s">
        <v>5510</v>
      </c>
      <c r="T823" s="13" t="s">
        <v>20007</v>
      </c>
      <c r="U823" s="13" t="s">
        <v>20008</v>
      </c>
      <c r="V823" s="13" t="s">
        <v>20009</v>
      </c>
      <c r="W823" s="13" t="s">
        <v>20010</v>
      </c>
      <c r="X823" s="13" t="s">
        <v>20011</v>
      </c>
      <c r="Y823" s="13" t="s">
        <v>20012</v>
      </c>
      <c r="Z823" s="13" t="s">
        <v>20013</v>
      </c>
      <c r="AA823" s="13" t="s">
        <v>20014</v>
      </c>
      <c r="AB823" s="13" t="s">
        <v>20015</v>
      </c>
      <c r="AC823" s="13" t="s">
        <v>5510</v>
      </c>
      <c r="AD823" s="13" t="s">
        <v>5510</v>
      </c>
      <c r="AE823" s="13" t="s">
        <v>5510</v>
      </c>
      <c r="AF823" s="13" t="s">
        <v>5510</v>
      </c>
      <c r="AG823" s="13">
        <v>48.0</v>
      </c>
      <c r="AH823" s="13">
        <v>7.0</v>
      </c>
      <c r="AI823" s="13">
        <v>7.0</v>
      </c>
      <c r="AJ823" s="13">
        <v>0.0</v>
      </c>
      <c r="AK823" s="13">
        <v>40.0</v>
      </c>
      <c r="AL823" s="13" t="s">
        <v>5759</v>
      </c>
      <c r="AM823" s="13" t="s">
        <v>5760</v>
      </c>
      <c r="AN823" s="13" t="s">
        <v>5761</v>
      </c>
      <c r="AO823" s="13" t="s">
        <v>9464</v>
      </c>
      <c r="AP823" s="13" t="s">
        <v>9465</v>
      </c>
      <c r="AQ823" s="13" t="s">
        <v>5510</v>
      </c>
      <c r="AR823" s="13" t="s">
        <v>9466</v>
      </c>
      <c r="AS823" s="13" t="s">
        <v>9467</v>
      </c>
      <c r="AT823" s="13" t="s">
        <v>1925</v>
      </c>
      <c r="AU823" s="13">
        <v>2018.0</v>
      </c>
      <c r="AV823" s="13">
        <v>177.0</v>
      </c>
      <c r="AW823" s="13" t="s">
        <v>5510</v>
      </c>
      <c r="AX823" s="13" t="s">
        <v>5510</v>
      </c>
      <c r="AY823" s="13" t="s">
        <v>5510</v>
      </c>
      <c r="AZ823" s="13" t="s">
        <v>5510</v>
      </c>
      <c r="BA823" s="13" t="s">
        <v>5510</v>
      </c>
      <c r="BB823" s="13">
        <v>251.0</v>
      </c>
      <c r="BC823" s="13">
        <v>258.0</v>
      </c>
      <c r="BD823" s="13" t="s">
        <v>5510</v>
      </c>
      <c r="BE823" s="13" t="s">
        <v>20016</v>
      </c>
      <c r="BF823" s="52" t="str">
        <f>HYPERLINK("http://dx.doi.org/10.1016/j.landurbplan.2018.05.012","http://dx.doi.org/10.1016/j.landurbplan.2018.05.012")</f>
        <v>http://dx.doi.org/10.1016/j.landurbplan.2018.05.012</v>
      </c>
      <c r="BG823" s="13" t="s">
        <v>5510</v>
      </c>
      <c r="BH823" s="13" t="s">
        <v>5510</v>
      </c>
      <c r="BI823" s="13">
        <v>8.0</v>
      </c>
      <c r="BJ823" s="13" t="s">
        <v>9469</v>
      </c>
      <c r="BK823" s="13" t="s">
        <v>5534</v>
      </c>
      <c r="BL823" s="13" t="s">
        <v>9470</v>
      </c>
      <c r="BM823" s="13" t="s">
        <v>20017</v>
      </c>
      <c r="BN823" s="13" t="s">
        <v>5510</v>
      </c>
      <c r="BO823" s="13" t="s">
        <v>6623</v>
      </c>
      <c r="BP823" s="13" t="s">
        <v>5510</v>
      </c>
      <c r="BQ823" s="13" t="s">
        <v>5510</v>
      </c>
      <c r="BR823" s="13" t="s">
        <v>5538</v>
      </c>
      <c r="BS823" s="13" t="s">
        <v>20018</v>
      </c>
      <c r="BT823" s="13">
        <v>23200.0</v>
      </c>
      <c r="BU823" s="13" t="s">
        <v>5540</v>
      </c>
      <c r="BV823" s="13" t="s">
        <v>4856</v>
      </c>
      <c r="BW823" s="13" t="str">
        <f>VLOOKUP($BT823,Enriched!$A$2:$E$1070,5,false)</f>
        <v>["Energy Production &amp; Mining"]</v>
      </c>
      <c r="BX823" s="13" t="str">
        <f>VLOOKUP($BT823,Enriched!$A$2:$E$1070,4,false)</f>
        <v>["Renewable energy"]</v>
      </c>
      <c r="BY823" s="13" t="b">
        <f>VLOOKUP(BT823,Enriched!$A$1:$AA$1070,27,falsE)</f>
        <v>0</v>
      </c>
      <c r="BZ823" s="2" t="str">
        <f>VLOOKUP(BT823,Enriched!$A$1:$AA$1070,14,falsE)</f>
        <v>level2</v>
      </c>
      <c r="CA823" s="13" t="str">
        <f>HYPERLINK("https%3A%2F%2Fwww.webofscience.com%2Fwos%2Fwoscc%2Ffull-record%2FWOS:000437967500023","View Full Record in Web of Science")</f>
        <v>View Full Record in Web of Science</v>
      </c>
    </row>
    <row r="824" ht="12.75" customHeight="1">
      <c r="A824" s="13" t="s">
        <v>5508</v>
      </c>
      <c r="B824" s="13" t="s">
        <v>20019</v>
      </c>
      <c r="C824" s="13" t="s">
        <v>5510</v>
      </c>
      <c r="D824" s="13" t="s">
        <v>5510</v>
      </c>
      <c r="E824" s="13" t="s">
        <v>5510</v>
      </c>
      <c r="F824" s="13" t="s">
        <v>20020</v>
      </c>
      <c r="G824" s="13" t="s">
        <v>5510</v>
      </c>
      <c r="H824" s="13" t="s">
        <v>5510</v>
      </c>
      <c r="I824" s="13" t="s">
        <v>434</v>
      </c>
      <c r="J824" s="13" t="s">
        <v>6333</v>
      </c>
      <c r="K824" s="13" t="s">
        <v>5510</v>
      </c>
      <c r="L824" s="13" t="s">
        <v>5510</v>
      </c>
      <c r="M824" s="13" t="s">
        <v>5513</v>
      </c>
      <c r="N824" s="13" t="s">
        <v>5514</v>
      </c>
      <c r="O824" s="13" t="s">
        <v>5510</v>
      </c>
      <c r="P824" s="13" t="s">
        <v>5510</v>
      </c>
      <c r="Q824" s="13" t="s">
        <v>5510</v>
      </c>
      <c r="R824" s="13" t="s">
        <v>5510</v>
      </c>
      <c r="S824" s="13" t="s">
        <v>5510</v>
      </c>
      <c r="T824" s="13" t="s">
        <v>20021</v>
      </c>
      <c r="U824" s="13" t="s">
        <v>20022</v>
      </c>
      <c r="V824" s="13" t="s">
        <v>20023</v>
      </c>
      <c r="W824" s="13" t="s">
        <v>20024</v>
      </c>
      <c r="X824" s="13" t="s">
        <v>20025</v>
      </c>
      <c r="Y824" s="13" t="s">
        <v>20026</v>
      </c>
      <c r="Z824" s="13" t="s">
        <v>20027</v>
      </c>
      <c r="AA824" s="13" t="s">
        <v>20028</v>
      </c>
      <c r="AB824" s="13" t="s">
        <v>20029</v>
      </c>
      <c r="AC824" s="13" t="s">
        <v>20030</v>
      </c>
      <c r="AD824" s="13" t="s">
        <v>20031</v>
      </c>
      <c r="AE824" s="13" t="s">
        <v>20032</v>
      </c>
      <c r="AF824" s="13" t="s">
        <v>5510</v>
      </c>
      <c r="AG824" s="13">
        <v>48.0</v>
      </c>
      <c r="AH824" s="13">
        <v>56.0</v>
      </c>
      <c r="AI824" s="13">
        <v>60.0</v>
      </c>
      <c r="AJ824" s="13">
        <v>0.0</v>
      </c>
      <c r="AK824" s="13">
        <v>73.0</v>
      </c>
      <c r="AL824" s="13" t="s">
        <v>5527</v>
      </c>
      <c r="AM824" s="13" t="s">
        <v>5528</v>
      </c>
      <c r="AN824" s="13" t="s">
        <v>5529</v>
      </c>
      <c r="AO824" s="13" t="s">
        <v>6342</v>
      </c>
      <c r="AP824" s="13" t="s">
        <v>6343</v>
      </c>
      <c r="AQ824" s="13" t="s">
        <v>5510</v>
      </c>
      <c r="AR824" s="13" t="s">
        <v>6344</v>
      </c>
      <c r="AS824" s="13" t="s">
        <v>6345</v>
      </c>
      <c r="AT824" s="13" t="s">
        <v>2738</v>
      </c>
      <c r="AU824" s="13">
        <v>2014.0</v>
      </c>
      <c r="AV824" s="13">
        <v>28.0</v>
      </c>
      <c r="AW824" s="13">
        <v>1.0</v>
      </c>
      <c r="AX824" s="13" t="s">
        <v>5510</v>
      </c>
      <c r="AY824" s="13" t="s">
        <v>5510</v>
      </c>
      <c r="AZ824" s="13" t="s">
        <v>5510</v>
      </c>
      <c r="BA824" s="13" t="s">
        <v>5510</v>
      </c>
      <c r="BB824" s="13">
        <v>213.0</v>
      </c>
      <c r="BC824" s="13">
        <v>223.0</v>
      </c>
      <c r="BD824" s="13" t="s">
        <v>5510</v>
      </c>
      <c r="BE824" s="13" t="s">
        <v>20033</v>
      </c>
      <c r="BF824" s="52" t="str">
        <f>HYPERLINK("http://dx.doi.org/10.1111/cobi.12128","http://dx.doi.org/10.1111/cobi.12128")</f>
        <v>http://dx.doi.org/10.1111/cobi.12128</v>
      </c>
      <c r="BG824" s="13" t="s">
        <v>5510</v>
      </c>
      <c r="BH824" s="13" t="s">
        <v>5510</v>
      </c>
      <c r="BI824" s="13">
        <v>11.0</v>
      </c>
      <c r="BJ824" s="13" t="s">
        <v>5698</v>
      </c>
      <c r="BK824" s="13" t="s">
        <v>5561</v>
      </c>
      <c r="BL824" s="13" t="s">
        <v>5699</v>
      </c>
      <c r="BM824" s="13" t="s">
        <v>12689</v>
      </c>
      <c r="BN824" s="13">
        <v>2.4033675E7</v>
      </c>
      <c r="BO824" s="13" t="s">
        <v>5587</v>
      </c>
      <c r="BP824" s="13" t="s">
        <v>5510</v>
      </c>
      <c r="BQ824" s="13" t="s">
        <v>5510</v>
      </c>
      <c r="BR824" s="13" t="s">
        <v>5538</v>
      </c>
      <c r="BS824" s="13" t="s">
        <v>20034</v>
      </c>
      <c r="BT824" s="13">
        <v>23197.0</v>
      </c>
      <c r="BU824" s="13" t="s">
        <v>5540</v>
      </c>
      <c r="BV824" s="13" t="s">
        <v>4852</v>
      </c>
      <c r="BW824" s="13" t="str">
        <f>VLOOKUP($BT824,Enriched!$A$2:$E$1070,5,false)</f>
        <v>["Invasive &amp; other problematic species, genes &amp; diseases"]</v>
      </c>
      <c r="BX824" s="13" t="str">
        <f>VLOOKUP($BT824,Enriched!$A$2:$E$1070,4,false)</f>
        <v>["Invasive non-native/alien species/diseases"]</v>
      </c>
      <c r="BY824" s="13" t="b">
        <f>VLOOKUP(BT824,Enriched!$A$1:$AA$1070,27,falsE)</f>
        <v>0</v>
      </c>
      <c r="BZ824" s="2" t="str">
        <f>VLOOKUP(BT824,Enriched!$A$1:$AA$1070,14,falsE)</f>
        <v>level2</v>
      </c>
      <c r="CA824" s="13" t="str">
        <f>HYPERLINK("https%3A%2F%2Fwww.webofscience.com%2Fwos%2Fwoscc%2Ffull-record%2FWOS:000330265900022","View Full Record in Web of Science")</f>
        <v>View Full Record in Web of Science</v>
      </c>
    </row>
    <row r="825" ht="12.75" customHeight="1">
      <c r="A825" s="13" t="s">
        <v>5508</v>
      </c>
      <c r="B825" s="13" t="s">
        <v>20035</v>
      </c>
      <c r="C825" s="13" t="s">
        <v>5510</v>
      </c>
      <c r="D825" s="13" t="s">
        <v>5510</v>
      </c>
      <c r="E825" s="13" t="s">
        <v>5510</v>
      </c>
      <c r="F825" s="13" t="s">
        <v>20036</v>
      </c>
      <c r="G825" s="13" t="s">
        <v>5510</v>
      </c>
      <c r="H825" s="13" t="s">
        <v>5510</v>
      </c>
      <c r="I825" s="13" t="s">
        <v>20037</v>
      </c>
      <c r="J825" s="13" t="s">
        <v>8582</v>
      </c>
      <c r="K825" s="13" t="s">
        <v>5510</v>
      </c>
      <c r="L825" s="13" t="s">
        <v>5510</v>
      </c>
      <c r="M825" s="13" t="s">
        <v>5513</v>
      </c>
      <c r="N825" s="13" t="s">
        <v>5514</v>
      </c>
      <c r="O825" s="13" t="s">
        <v>5510</v>
      </c>
      <c r="P825" s="13" t="s">
        <v>5510</v>
      </c>
      <c r="Q825" s="13" t="s">
        <v>5510</v>
      </c>
      <c r="R825" s="13" t="s">
        <v>5510</v>
      </c>
      <c r="S825" s="13" t="s">
        <v>5510</v>
      </c>
      <c r="T825" s="13" t="s">
        <v>20038</v>
      </c>
      <c r="U825" s="13" t="s">
        <v>20039</v>
      </c>
      <c r="V825" s="13" t="s">
        <v>20040</v>
      </c>
      <c r="W825" s="13" t="s">
        <v>20041</v>
      </c>
      <c r="X825" s="13" t="s">
        <v>20042</v>
      </c>
      <c r="Y825" s="13" t="s">
        <v>20043</v>
      </c>
      <c r="Z825" s="13" t="s">
        <v>20044</v>
      </c>
      <c r="AA825" s="13" t="s">
        <v>20045</v>
      </c>
      <c r="AB825" s="13" t="s">
        <v>20046</v>
      </c>
      <c r="AC825" s="13" t="s">
        <v>20047</v>
      </c>
      <c r="AD825" s="13" t="s">
        <v>20047</v>
      </c>
      <c r="AE825" s="13" t="s">
        <v>20048</v>
      </c>
      <c r="AF825" s="13" t="s">
        <v>5510</v>
      </c>
      <c r="AG825" s="13">
        <v>59.0</v>
      </c>
      <c r="AH825" s="13">
        <v>10.0</v>
      </c>
      <c r="AI825" s="13">
        <v>13.0</v>
      </c>
      <c r="AJ825" s="13">
        <v>0.0</v>
      </c>
      <c r="AK825" s="13">
        <v>45.0</v>
      </c>
      <c r="AL825" s="13" t="s">
        <v>5690</v>
      </c>
      <c r="AM825" s="13" t="s">
        <v>6503</v>
      </c>
      <c r="AN825" s="13" t="s">
        <v>7040</v>
      </c>
      <c r="AO825" s="13" t="s">
        <v>8592</v>
      </c>
      <c r="AP825" s="13" t="s">
        <v>8593</v>
      </c>
      <c r="AQ825" s="13" t="s">
        <v>5510</v>
      </c>
      <c r="AR825" s="13" t="s">
        <v>8594</v>
      </c>
      <c r="AS825" s="13" t="s">
        <v>8595</v>
      </c>
      <c r="AT825" s="13" t="s">
        <v>5866</v>
      </c>
      <c r="AU825" s="13">
        <v>2016.0</v>
      </c>
      <c r="AV825" s="13">
        <v>57.0</v>
      </c>
      <c r="AW825" s="13">
        <v>5.0</v>
      </c>
      <c r="AX825" s="13" t="s">
        <v>5510</v>
      </c>
      <c r="AY825" s="13" t="s">
        <v>5510</v>
      </c>
      <c r="AZ825" s="13" t="s">
        <v>5510</v>
      </c>
      <c r="BA825" s="13" t="s">
        <v>5510</v>
      </c>
      <c r="BB825" s="13">
        <v>1098.0</v>
      </c>
      <c r="BC825" s="13">
        <v>1111.0</v>
      </c>
      <c r="BD825" s="13" t="s">
        <v>5510</v>
      </c>
      <c r="BE825" s="13" t="s">
        <v>20049</v>
      </c>
      <c r="BF825" s="52" t="str">
        <f>HYPERLINK("http://dx.doi.org/10.1007/s00267-016-0670-x","http://dx.doi.org/10.1007/s00267-016-0670-x")</f>
        <v>http://dx.doi.org/10.1007/s00267-016-0670-x</v>
      </c>
      <c r="BG825" s="13" t="s">
        <v>5510</v>
      </c>
      <c r="BH825" s="13" t="s">
        <v>5510</v>
      </c>
      <c r="BI825" s="13">
        <v>14.0</v>
      </c>
      <c r="BJ825" s="13" t="s">
        <v>5768</v>
      </c>
      <c r="BK825" s="13" t="s">
        <v>5561</v>
      </c>
      <c r="BL825" s="13" t="s">
        <v>5535</v>
      </c>
      <c r="BM825" s="13" t="s">
        <v>20050</v>
      </c>
      <c r="BN825" s="13">
        <v>2.6872885E7</v>
      </c>
      <c r="BO825" s="13" t="s">
        <v>5510</v>
      </c>
      <c r="BP825" s="13" t="s">
        <v>5510</v>
      </c>
      <c r="BQ825" s="13" t="s">
        <v>5510</v>
      </c>
      <c r="BR825" s="13" t="s">
        <v>5538</v>
      </c>
      <c r="BS825" s="13" t="s">
        <v>20051</v>
      </c>
      <c r="BT825" s="13">
        <v>23303.0</v>
      </c>
      <c r="BU825" s="13" t="s">
        <v>5540</v>
      </c>
      <c r="BV825" s="13" t="s">
        <v>4852</v>
      </c>
      <c r="BW825" s="13" t="str">
        <f>VLOOKUP($BT825,Enriched!$A$2:$E$1070,5,false)</f>
        <v>["Invasive &amp; Other Problematic Species, Genes &amp; Diseases", "Agriculture &amp; aquaculture"]</v>
      </c>
      <c r="BX825" s="13" t="str">
        <f>VLOOKUP($BT825,Enriched!$A$2:$E$1070,4,false)</f>
        <v>["Housing &amp; urban area",  "Invasive non-native/alien species/diseases"]</v>
      </c>
      <c r="BY825" s="13" t="b">
        <f>VLOOKUP(BT825,Enriched!$A$1:$AA$1070,27,falsE)</f>
        <v>1</v>
      </c>
      <c r="BZ825" s="2" t="str">
        <f>VLOOKUP(BT825,Enriched!$A$1:$AA$1070,14,falsE)</f>
        <v>cumulative</v>
      </c>
      <c r="CA825" s="13" t="str">
        <f>HYPERLINK("https%3A%2F%2Fwww.webofscience.com%2Fwos%2Fwoscc%2Ffull-record%2FWOS:000374174800013","View Full Record in Web of Science")</f>
        <v>View Full Record in Web of Science</v>
      </c>
    </row>
    <row r="826" ht="12.75" customHeight="1">
      <c r="A826" s="13" t="s">
        <v>5508</v>
      </c>
      <c r="B826" s="13" t="s">
        <v>20052</v>
      </c>
      <c r="C826" s="13" t="s">
        <v>5510</v>
      </c>
      <c r="D826" s="13" t="s">
        <v>5510</v>
      </c>
      <c r="E826" s="13" t="s">
        <v>5510</v>
      </c>
      <c r="F826" s="13" t="s">
        <v>20053</v>
      </c>
      <c r="G826" s="13" t="s">
        <v>5510</v>
      </c>
      <c r="H826" s="13" t="s">
        <v>5510</v>
      </c>
      <c r="I826" s="13" t="s">
        <v>429</v>
      </c>
      <c r="J826" s="13" t="s">
        <v>5512</v>
      </c>
      <c r="K826" s="13" t="s">
        <v>5510</v>
      </c>
      <c r="L826" s="13" t="s">
        <v>5510</v>
      </c>
      <c r="M826" s="13" t="s">
        <v>5513</v>
      </c>
      <c r="N826" s="13" t="s">
        <v>5514</v>
      </c>
      <c r="O826" s="13" t="s">
        <v>5510</v>
      </c>
      <c r="P826" s="13" t="s">
        <v>5510</v>
      </c>
      <c r="Q826" s="13" t="s">
        <v>5510</v>
      </c>
      <c r="R826" s="13" t="s">
        <v>5510</v>
      </c>
      <c r="S826" s="13" t="s">
        <v>5510</v>
      </c>
      <c r="T826" s="13" t="s">
        <v>20054</v>
      </c>
      <c r="U826" s="13" t="s">
        <v>20055</v>
      </c>
      <c r="V826" s="13" t="s">
        <v>20056</v>
      </c>
      <c r="W826" s="13" t="s">
        <v>20057</v>
      </c>
      <c r="X826" s="13" t="s">
        <v>20058</v>
      </c>
      <c r="Y826" s="13" t="s">
        <v>20059</v>
      </c>
      <c r="Z826" s="13" t="s">
        <v>20060</v>
      </c>
      <c r="AA826" s="13" t="s">
        <v>20061</v>
      </c>
      <c r="AB826" s="13" t="s">
        <v>20062</v>
      </c>
      <c r="AC826" s="13" t="s">
        <v>20063</v>
      </c>
      <c r="AD826" s="13" t="s">
        <v>20064</v>
      </c>
      <c r="AE826" s="13" t="s">
        <v>20065</v>
      </c>
      <c r="AF826" s="13" t="s">
        <v>5510</v>
      </c>
      <c r="AG826" s="13">
        <v>111.0</v>
      </c>
      <c r="AH826" s="13">
        <v>21.0</v>
      </c>
      <c r="AI826" s="13">
        <v>22.0</v>
      </c>
      <c r="AJ826" s="13">
        <v>1.0</v>
      </c>
      <c r="AK826" s="13">
        <v>21.0</v>
      </c>
      <c r="AL826" s="13" t="s">
        <v>5527</v>
      </c>
      <c r="AM826" s="13" t="s">
        <v>5528</v>
      </c>
      <c r="AN826" s="13" t="s">
        <v>5529</v>
      </c>
      <c r="AO826" s="13" t="s">
        <v>5530</v>
      </c>
      <c r="AP826" s="13" t="s">
        <v>5510</v>
      </c>
      <c r="AQ826" s="13" t="s">
        <v>5510</v>
      </c>
      <c r="AR826" s="13" t="s">
        <v>5512</v>
      </c>
      <c r="AS826" s="13" t="s">
        <v>53</v>
      </c>
      <c r="AT826" s="13" t="s">
        <v>6089</v>
      </c>
      <c r="AU826" s="13">
        <v>2020.0</v>
      </c>
      <c r="AV826" s="13">
        <v>11.0</v>
      </c>
      <c r="AW826" s="13">
        <v>3.0</v>
      </c>
      <c r="AX826" s="13" t="s">
        <v>5510</v>
      </c>
      <c r="AY826" s="13" t="s">
        <v>5510</v>
      </c>
      <c r="AZ826" s="13" t="s">
        <v>5510</v>
      </c>
      <c r="BA826" s="13" t="s">
        <v>5510</v>
      </c>
      <c r="BB826" s="13" t="s">
        <v>5510</v>
      </c>
      <c r="BC826" s="13" t="s">
        <v>5510</v>
      </c>
      <c r="BD826" s="13" t="s">
        <v>20066</v>
      </c>
      <c r="BE826" s="13" t="s">
        <v>20067</v>
      </c>
      <c r="BF826" s="52" t="str">
        <f>HYPERLINK("http://dx.doi.org/10.1002/ecs2.3046","http://dx.doi.org/10.1002/ecs2.3046")</f>
        <v>http://dx.doi.org/10.1002/ecs2.3046</v>
      </c>
      <c r="BG826" s="13" t="s">
        <v>5510</v>
      </c>
      <c r="BH826" s="13" t="s">
        <v>5510</v>
      </c>
      <c r="BI826" s="13">
        <v>23.0</v>
      </c>
      <c r="BJ826" s="13" t="s">
        <v>5533</v>
      </c>
      <c r="BK826" s="13" t="s">
        <v>5561</v>
      </c>
      <c r="BL826" s="13" t="s">
        <v>5535</v>
      </c>
      <c r="BM826" s="13" t="s">
        <v>20068</v>
      </c>
      <c r="BN826" s="13" t="s">
        <v>5510</v>
      </c>
      <c r="BO826" s="13" t="s">
        <v>5564</v>
      </c>
      <c r="BP826" s="13" t="s">
        <v>5510</v>
      </c>
      <c r="BQ826" s="13" t="s">
        <v>5510</v>
      </c>
      <c r="BR826" s="13" t="s">
        <v>5538</v>
      </c>
      <c r="BS826" s="13" t="s">
        <v>20069</v>
      </c>
      <c r="BT826" s="13">
        <v>24365.0</v>
      </c>
      <c r="BU826" s="13" t="s">
        <v>5540</v>
      </c>
      <c r="BV826" s="13" t="s">
        <v>4856</v>
      </c>
      <c r="BW826" s="13" t="str">
        <f>VLOOKUP($BT826,Enriched!$A$2:$E$1070,5,false)</f>
        <v>["Energy Production &amp; Mining"]</v>
      </c>
      <c r="BX826" s="13" t="str">
        <f>VLOOKUP($BT826,Enriched!$A$2:$E$1070,4,false)</f>
        <v>["Renewable energy"]</v>
      </c>
      <c r="BY826" s="13" t="b">
        <f>VLOOKUP(BT826,Enriched!$A$1:$AA$1070,27,falsE)</f>
        <v>0</v>
      </c>
      <c r="BZ826" s="2" t="str">
        <f>VLOOKUP(BT826,Enriched!$A$1:$AA$1070,14,falsE)</f>
        <v>level2</v>
      </c>
      <c r="CA826" s="13" t="str">
        <f>HYPERLINK("https%3A%2F%2Fwww.webofscience.com%2Fwos%2Fwoscc%2Ffull-record%2FWOS:000530422900014","View Full Record in Web of Science")</f>
        <v>View Full Record in Web of Science</v>
      </c>
    </row>
    <row r="827" ht="12.75" customHeight="1">
      <c r="A827" s="13" t="s">
        <v>5508</v>
      </c>
      <c r="B827" s="13" t="s">
        <v>20070</v>
      </c>
      <c r="C827" s="13" t="s">
        <v>5510</v>
      </c>
      <c r="D827" s="13" t="s">
        <v>5510</v>
      </c>
      <c r="E827" s="13" t="s">
        <v>5510</v>
      </c>
      <c r="F827" s="13" t="s">
        <v>20071</v>
      </c>
      <c r="G827" s="13" t="s">
        <v>5510</v>
      </c>
      <c r="H827" s="13" t="s">
        <v>5510</v>
      </c>
      <c r="I827" s="13" t="s">
        <v>425</v>
      </c>
      <c r="J827" s="13" t="s">
        <v>20072</v>
      </c>
      <c r="K827" s="13" t="s">
        <v>5510</v>
      </c>
      <c r="L827" s="13" t="s">
        <v>5510</v>
      </c>
      <c r="M827" s="13" t="s">
        <v>5513</v>
      </c>
      <c r="N827" s="13" t="s">
        <v>5514</v>
      </c>
      <c r="O827" s="13" t="s">
        <v>5510</v>
      </c>
      <c r="P827" s="13" t="s">
        <v>5510</v>
      </c>
      <c r="Q827" s="13" t="s">
        <v>5510</v>
      </c>
      <c r="R827" s="13" t="s">
        <v>5510</v>
      </c>
      <c r="S827" s="13" t="s">
        <v>5510</v>
      </c>
      <c r="T827" s="13" t="s">
        <v>20073</v>
      </c>
      <c r="U827" s="13" t="s">
        <v>20074</v>
      </c>
      <c r="V827" s="13" t="s">
        <v>20075</v>
      </c>
      <c r="W827" s="13" t="s">
        <v>20076</v>
      </c>
      <c r="X827" s="13" t="s">
        <v>20077</v>
      </c>
      <c r="Y827" s="13" t="s">
        <v>20078</v>
      </c>
      <c r="Z827" s="13" t="s">
        <v>20079</v>
      </c>
      <c r="AA827" s="13" t="s">
        <v>20080</v>
      </c>
      <c r="AB827" s="13" t="s">
        <v>20081</v>
      </c>
      <c r="AC827" s="13" t="s">
        <v>20082</v>
      </c>
      <c r="AD827" s="13" t="s">
        <v>20083</v>
      </c>
      <c r="AE827" s="13" t="s">
        <v>20084</v>
      </c>
      <c r="AF827" s="13" t="s">
        <v>5510</v>
      </c>
      <c r="AG827" s="13">
        <v>41.0</v>
      </c>
      <c r="AH827" s="13">
        <v>11.0</v>
      </c>
      <c r="AI827" s="13">
        <v>13.0</v>
      </c>
      <c r="AJ827" s="13">
        <v>0.0</v>
      </c>
      <c r="AK827" s="13">
        <v>27.0</v>
      </c>
      <c r="AL827" s="13" t="s">
        <v>5690</v>
      </c>
      <c r="AM827" s="13" t="s">
        <v>6503</v>
      </c>
      <c r="AN827" s="13" t="s">
        <v>7040</v>
      </c>
      <c r="AO827" s="13" t="s">
        <v>20085</v>
      </c>
      <c r="AP827" s="13" t="s">
        <v>20086</v>
      </c>
      <c r="AQ827" s="13" t="s">
        <v>5510</v>
      </c>
      <c r="AR827" s="13" t="s">
        <v>20087</v>
      </c>
      <c r="AS827" s="13" t="s">
        <v>20088</v>
      </c>
      <c r="AT827" s="13" t="s">
        <v>5582</v>
      </c>
      <c r="AU827" s="13">
        <v>2015.0</v>
      </c>
      <c r="AV827" s="13">
        <v>98.0</v>
      </c>
      <c r="AW827" s="13">
        <v>1.0</v>
      </c>
      <c r="AX827" s="13" t="s">
        <v>5510</v>
      </c>
      <c r="AY827" s="13" t="s">
        <v>5510</v>
      </c>
      <c r="AZ827" s="13" t="s">
        <v>5510</v>
      </c>
      <c r="BA827" s="13" t="s">
        <v>5510</v>
      </c>
      <c r="BB827" s="13">
        <v>443.0</v>
      </c>
      <c r="BC827" s="13">
        <v>455.0</v>
      </c>
      <c r="BD827" s="13" t="s">
        <v>5510</v>
      </c>
      <c r="BE827" s="13" t="s">
        <v>20089</v>
      </c>
      <c r="BF827" s="52" t="str">
        <f>HYPERLINK("http://dx.doi.org/10.1007/s10641-014-0274-3","http://dx.doi.org/10.1007/s10641-014-0274-3")</f>
        <v>http://dx.doi.org/10.1007/s10641-014-0274-3</v>
      </c>
      <c r="BG827" s="13" t="s">
        <v>5510</v>
      </c>
      <c r="BH827" s="13" t="s">
        <v>5510</v>
      </c>
      <c r="BI827" s="13">
        <v>13.0</v>
      </c>
      <c r="BJ827" s="13" t="s">
        <v>17343</v>
      </c>
      <c r="BK827" s="13" t="s">
        <v>5561</v>
      </c>
      <c r="BL827" s="13" t="s">
        <v>6328</v>
      </c>
      <c r="BM827" s="13" t="s">
        <v>20090</v>
      </c>
      <c r="BN827" s="13" t="s">
        <v>5510</v>
      </c>
      <c r="BO827" s="13" t="s">
        <v>5510</v>
      </c>
      <c r="BP827" s="13" t="s">
        <v>5510</v>
      </c>
      <c r="BQ827" s="13" t="s">
        <v>5510</v>
      </c>
      <c r="BR827" s="13" t="s">
        <v>5538</v>
      </c>
      <c r="BS827" s="13" t="s">
        <v>20091</v>
      </c>
      <c r="BT827" s="13">
        <v>23063.0</v>
      </c>
      <c r="BU827" s="13" t="s">
        <v>5540</v>
      </c>
      <c r="BV827" s="13" t="s">
        <v>4852</v>
      </c>
      <c r="BW827" s="13" t="str">
        <f>VLOOKUP($BT827,Enriched!$A$2:$E$1070,5,false)</f>
        <v>["Invasive &amp; other problematic species, genes &amp; diseases"]</v>
      </c>
      <c r="BX827" s="13" t="str">
        <f>VLOOKUP($BT827,Enriched!$A$2:$E$1070,4,false)</f>
        <v>["Invasive non-native/alien species/diseases"]</v>
      </c>
      <c r="BY827" s="13" t="b">
        <f>VLOOKUP(BT827,Enriched!$A$1:$AA$1070,27,falsE)</f>
        <v>0</v>
      </c>
      <c r="BZ827" s="2" t="str">
        <f>VLOOKUP(BT827,Enriched!$A$1:$AA$1070,14,falsE)</f>
        <v>level2</v>
      </c>
      <c r="CA827" s="13" t="str">
        <f>HYPERLINK("https%3A%2F%2Fwww.webofscience.com%2Fwos%2Fwoscc%2Ffull-record%2FWOS:000345625400038","View Full Record in Web of Science")</f>
        <v>View Full Record in Web of Science</v>
      </c>
    </row>
    <row r="828" ht="12.75" customHeight="1">
      <c r="A828" s="13" t="s">
        <v>5508</v>
      </c>
      <c r="B828" s="13" t="s">
        <v>20092</v>
      </c>
      <c r="C828" s="13" t="s">
        <v>5510</v>
      </c>
      <c r="D828" s="13" t="s">
        <v>5510</v>
      </c>
      <c r="E828" s="13" t="s">
        <v>5510</v>
      </c>
      <c r="F828" s="13" t="s">
        <v>20093</v>
      </c>
      <c r="G828" s="13" t="s">
        <v>5510</v>
      </c>
      <c r="H828" s="13" t="s">
        <v>5510</v>
      </c>
      <c r="I828" s="13" t="s">
        <v>421</v>
      </c>
      <c r="J828" s="13" t="s">
        <v>7648</v>
      </c>
      <c r="K828" s="13" t="s">
        <v>5510</v>
      </c>
      <c r="L828" s="13" t="s">
        <v>5510</v>
      </c>
      <c r="M828" s="13" t="s">
        <v>5513</v>
      </c>
      <c r="N828" s="13" t="s">
        <v>5514</v>
      </c>
      <c r="O828" s="13" t="s">
        <v>5510</v>
      </c>
      <c r="P828" s="13" t="s">
        <v>5510</v>
      </c>
      <c r="Q828" s="13" t="s">
        <v>5510</v>
      </c>
      <c r="R828" s="13" t="s">
        <v>5510</v>
      </c>
      <c r="S828" s="13" t="s">
        <v>5510</v>
      </c>
      <c r="T828" s="13" t="s">
        <v>20094</v>
      </c>
      <c r="U828" s="13" t="s">
        <v>20095</v>
      </c>
      <c r="V828" s="13" t="s">
        <v>20096</v>
      </c>
      <c r="W828" s="13" t="s">
        <v>20097</v>
      </c>
      <c r="X828" s="13" t="s">
        <v>20098</v>
      </c>
      <c r="Y828" s="13" t="s">
        <v>20099</v>
      </c>
      <c r="Z828" s="13" t="s">
        <v>20100</v>
      </c>
      <c r="AA828" s="13" t="s">
        <v>20101</v>
      </c>
      <c r="AB828" s="13" t="s">
        <v>20102</v>
      </c>
      <c r="AC828" s="13" t="s">
        <v>5510</v>
      </c>
      <c r="AD828" s="13" t="s">
        <v>5510</v>
      </c>
      <c r="AE828" s="13" t="s">
        <v>5510</v>
      </c>
      <c r="AF828" s="13" t="s">
        <v>5510</v>
      </c>
      <c r="AG828" s="13">
        <v>46.0</v>
      </c>
      <c r="AH828" s="13">
        <v>32.0</v>
      </c>
      <c r="AI828" s="13">
        <v>36.0</v>
      </c>
      <c r="AJ828" s="13">
        <v>2.0</v>
      </c>
      <c r="AK828" s="13">
        <v>46.0</v>
      </c>
      <c r="AL828" s="13" t="s">
        <v>5690</v>
      </c>
      <c r="AM828" s="13" t="s">
        <v>5691</v>
      </c>
      <c r="AN828" s="13" t="s">
        <v>5692</v>
      </c>
      <c r="AO828" s="13" t="s">
        <v>7661</v>
      </c>
      <c r="AP828" s="13" t="s">
        <v>7662</v>
      </c>
      <c r="AQ828" s="13" t="s">
        <v>5510</v>
      </c>
      <c r="AR828" s="13" t="s">
        <v>7648</v>
      </c>
      <c r="AS828" s="13" t="s">
        <v>422</v>
      </c>
      <c r="AT828" s="13" t="s">
        <v>1925</v>
      </c>
      <c r="AU828" s="13">
        <v>2020.0</v>
      </c>
      <c r="AV828" s="13">
        <v>49.0</v>
      </c>
      <c r="AW828" s="13">
        <v>9.0</v>
      </c>
      <c r="AX828" s="13" t="s">
        <v>5510</v>
      </c>
      <c r="AY828" s="13" t="s">
        <v>5510</v>
      </c>
      <c r="AZ828" s="13" t="s">
        <v>5510</v>
      </c>
      <c r="BA828" s="13" t="s">
        <v>5510</v>
      </c>
      <c r="BB828" s="13">
        <v>1506.0</v>
      </c>
      <c r="BC828" s="13">
        <v>1518.0</v>
      </c>
      <c r="BD828" s="13" t="s">
        <v>5510</v>
      </c>
      <c r="BE828" s="13" t="s">
        <v>20103</v>
      </c>
      <c r="BF828" s="52" t="str">
        <f>HYPERLINK("http://dx.doi.org/10.1007/s13280-019-01305-8","http://dx.doi.org/10.1007/s13280-019-01305-8")</f>
        <v>http://dx.doi.org/10.1007/s13280-019-01305-8</v>
      </c>
      <c r="BG828" s="13" t="s">
        <v>5510</v>
      </c>
      <c r="BH828" s="13" t="s">
        <v>5510</v>
      </c>
      <c r="BI828" s="13">
        <v>13.0</v>
      </c>
      <c r="BJ828" s="13" t="s">
        <v>7664</v>
      </c>
      <c r="BK828" s="13" t="s">
        <v>5561</v>
      </c>
      <c r="BL828" s="13" t="s">
        <v>7665</v>
      </c>
      <c r="BM828" s="13" t="s">
        <v>20104</v>
      </c>
      <c r="BN828" s="13">
        <v>3.19554E7</v>
      </c>
      <c r="BO828" s="13" t="s">
        <v>6623</v>
      </c>
      <c r="BP828" s="13" t="s">
        <v>5510</v>
      </c>
      <c r="BQ828" s="13" t="s">
        <v>5510</v>
      </c>
      <c r="BR828" s="13" t="s">
        <v>5538</v>
      </c>
      <c r="BS828" s="13" t="s">
        <v>20105</v>
      </c>
      <c r="BT828" s="13">
        <v>24358.0</v>
      </c>
      <c r="BU828" s="13" t="s">
        <v>5540</v>
      </c>
      <c r="BV828" s="13" t="s">
        <v>4856</v>
      </c>
      <c r="BW828" s="13" t="str">
        <f>VLOOKUP($BT828,Enriched!$A$2:$E$1070,5,false)</f>
        <v>["Residential &amp; Commercial Development", "Agriculture &amp; Aquaculture", "Transportation &amp; Service Corridors", "Pollution"]</v>
      </c>
      <c r="BX828" s="13" t="str">
        <f>VLOOKUP($BT828,Enriched!$A$2:$E$1070,4,false)</f>
        <v>["Annual &amp; perennial non-timber crops", "Livestock farming &amp; ranching", "Roads &amp; railroads", "Excess energy"]</v>
      </c>
      <c r="BY828" s="13" t="b">
        <f>VLOOKUP(BT828,Enriched!$A$1:$AA$1070,27,falsE)</f>
        <v>1</v>
      </c>
      <c r="BZ828" s="2" t="str">
        <f>VLOOKUP(BT828,Enriched!$A$1:$AA$1070,14,falsE)</f>
        <v>cumulative</v>
      </c>
      <c r="CA828" s="13" t="str">
        <f>HYPERLINK("https%3A%2F%2Fwww.webofscience.com%2Fwos%2Fwoscc%2Ffull-record%2FWOS:000543444600005","View Full Record in Web of Science")</f>
        <v>View Full Record in Web of Science</v>
      </c>
    </row>
    <row r="829" ht="12.75" customHeight="1">
      <c r="A829" s="13" t="s">
        <v>5508</v>
      </c>
      <c r="B829" s="13" t="s">
        <v>20106</v>
      </c>
      <c r="C829" s="13" t="s">
        <v>5510</v>
      </c>
      <c r="D829" s="13" t="s">
        <v>5510</v>
      </c>
      <c r="E829" s="13" t="s">
        <v>5510</v>
      </c>
      <c r="F829" s="13" t="s">
        <v>20107</v>
      </c>
      <c r="G829" s="13" t="s">
        <v>5510</v>
      </c>
      <c r="H829" s="13" t="s">
        <v>5510</v>
      </c>
      <c r="I829" s="13" t="s">
        <v>20108</v>
      </c>
      <c r="J829" s="13" t="s">
        <v>5543</v>
      </c>
      <c r="K829" s="13" t="s">
        <v>5510</v>
      </c>
      <c r="L829" s="13" t="s">
        <v>5510</v>
      </c>
      <c r="M829" s="13" t="s">
        <v>5513</v>
      </c>
      <c r="N829" s="13" t="s">
        <v>5514</v>
      </c>
      <c r="O829" s="13" t="s">
        <v>5510</v>
      </c>
      <c r="P829" s="13" t="s">
        <v>5510</v>
      </c>
      <c r="Q829" s="13" t="s">
        <v>5510</v>
      </c>
      <c r="R829" s="13" t="s">
        <v>5510</v>
      </c>
      <c r="S829" s="13" t="s">
        <v>5510</v>
      </c>
      <c r="T829" s="13" t="s">
        <v>5510</v>
      </c>
      <c r="U829" s="13" t="s">
        <v>20109</v>
      </c>
      <c r="V829" s="13" t="s">
        <v>20110</v>
      </c>
      <c r="W829" s="13" t="s">
        <v>20111</v>
      </c>
      <c r="X829" s="13" t="s">
        <v>20112</v>
      </c>
      <c r="Y829" s="13" t="s">
        <v>20113</v>
      </c>
      <c r="Z829" s="13" t="s">
        <v>20114</v>
      </c>
      <c r="AA829" s="13" t="s">
        <v>5510</v>
      </c>
      <c r="AB829" s="13" t="s">
        <v>5510</v>
      </c>
      <c r="AC829" s="13" t="s">
        <v>20115</v>
      </c>
      <c r="AD829" s="13" t="s">
        <v>20116</v>
      </c>
      <c r="AE829" s="13" t="s">
        <v>20117</v>
      </c>
      <c r="AF829" s="13" t="s">
        <v>5510</v>
      </c>
      <c r="AG829" s="13">
        <v>67.0</v>
      </c>
      <c r="AH829" s="13">
        <v>21.0</v>
      </c>
      <c r="AI829" s="13">
        <v>23.0</v>
      </c>
      <c r="AJ829" s="13">
        <v>1.0</v>
      </c>
      <c r="AK829" s="13">
        <v>79.0</v>
      </c>
      <c r="AL829" s="13" t="s">
        <v>5552</v>
      </c>
      <c r="AM829" s="13" t="s">
        <v>5553</v>
      </c>
      <c r="AN829" s="13" t="s">
        <v>5554</v>
      </c>
      <c r="AO829" s="13" t="s">
        <v>5555</v>
      </c>
      <c r="AP829" s="13" t="s">
        <v>5510</v>
      </c>
      <c r="AQ829" s="13" t="s">
        <v>5510</v>
      </c>
      <c r="AR829" s="13" t="s">
        <v>5543</v>
      </c>
      <c r="AS829" s="13" t="s">
        <v>5556</v>
      </c>
      <c r="AT829" s="13" t="s">
        <v>20118</v>
      </c>
      <c r="AU829" s="13">
        <v>2015.0</v>
      </c>
      <c r="AV829" s="13">
        <v>10.0</v>
      </c>
      <c r="AW829" s="13">
        <v>9.0</v>
      </c>
      <c r="AX829" s="13" t="s">
        <v>5510</v>
      </c>
      <c r="AY829" s="13" t="s">
        <v>5510</v>
      </c>
      <c r="AZ829" s="13" t="s">
        <v>5510</v>
      </c>
      <c r="BA829" s="13" t="s">
        <v>5510</v>
      </c>
      <c r="BB829" s="13" t="s">
        <v>5510</v>
      </c>
      <c r="BC829" s="13" t="s">
        <v>5510</v>
      </c>
      <c r="BD829" s="13" t="s">
        <v>20119</v>
      </c>
      <c r="BE829" s="13" t="s">
        <v>20120</v>
      </c>
      <c r="BF829" s="52" t="str">
        <f>HYPERLINK("http://dx.doi.org/10.1371/journal.pone.0138533","http://dx.doi.org/10.1371/journal.pone.0138533")</f>
        <v>http://dx.doi.org/10.1371/journal.pone.0138533</v>
      </c>
      <c r="BG829" s="13" t="s">
        <v>5510</v>
      </c>
      <c r="BH829" s="13" t="s">
        <v>5510</v>
      </c>
      <c r="BI829" s="13">
        <v>19.0</v>
      </c>
      <c r="BJ829" s="13" t="s">
        <v>5560</v>
      </c>
      <c r="BK829" s="13" t="s">
        <v>5561</v>
      </c>
      <c r="BL829" s="13" t="s">
        <v>5562</v>
      </c>
      <c r="BM829" s="13" t="s">
        <v>20121</v>
      </c>
      <c r="BN829" s="13">
        <v>2.6382763E7</v>
      </c>
      <c r="BO829" s="13" t="s">
        <v>5564</v>
      </c>
      <c r="BP829" s="13" t="s">
        <v>5510</v>
      </c>
      <c r="BQ829" s="13" t="s">
        <v>5510</v>
      </c>
      <c r="BR829" s="13" t="s">
        <v>5538</v>
      </c>
      <c r="BS829" s="13" t="s">
        <v>20122</v>
      </c>
      <c r="BT829" s="13">
        <v>26089.0</v>
      </c>
      <c r="BU829" s="13" t="s">
        <v>5540</v>
      </c>
      <c r="BV829" s="13" t="s">
        <v>4856</v>
      </c>
      <c r="BW829" s="13" t="str">
        <f>VLOOKUP($BT829,Enriched!$A$2:$E$1070,5,false)</f>
        <v>["Agriculture &amp; Aquaculture", "Energy Production &amp; Mining"]</v>
      </c>
      <c r="BX829" s="13" t="str">
        <f>VLOOKUP($BT829,Enriched!$A$2:$E$1070,4,false)</f>
        <v>["Housing &amp; urban area", "Mining &amp; quarrying"]</v>
      </c>
      <c r="BY829" s="13" t="b">
        <f>VLOOKUP(BT829,Enriched!$A$1:$AA$1070,27,falsE)</f>
        <v>1</v>
      </c>
      <c r="BZ829" s="2" t="str">
        <f>VLOOKUP(BT829,Enriched!$A$1:$AA$1070,14,falsE)</f>
        <v>cumulative</v>
      </c>
      <c r="CA829" s="13" t="str">
        <f>HYPERLINK("https%3A%2F%2Fwww.webofscience.com%2Fwos%2Fwoscc%2Ffull-record%2FWOS:000361790200121","View Full Record in Web of Science")</f>
        <v>View Full Record in Web of Science</v>
      </c>
    </row>
    <row r="830" ht="12.75" customHeight="1">
      <c r="A830" s="13" t="s">
        <v>5508</v>
      </c>
      <c r="B830" s="13" t="s">
        <v>20123</v>
      </c>
      <c r="C830" s="13" t="s">
        <v>5510</v>
      </c>
      <c r="D830" s="13" t="s">
        <v>5510</v>
      </c>
      <c r="E830" s="13" t="s">
        <v>5510</v>
      </c>
      <c r="F830" s="13" t="s">
        <v>20124</v>
      </c>
      <c r="G830" s="13" t="s">
        <v>5510</v>
      </c>
      <c r="H830" s="13" t="s">
        <v>5510</v>
      </c>
      <c r="I830" s="13" t="s">
        <v>417</v>
      </c>
      <c r="J830" s="13" t="s">
        <v>5746</v>
      </c>
      <c r="K830" s="13" t="s">
        <v>5510</v>
      </c>
      <c r="L830" s="13" t="s">
        <v>5510</v>
      </c>
      <c r="M830" s="13" t="s">
        <v>5513</v>
      </c>
      <c r="N830" s="13" t="s">
        <v>5514</v>
      </c>
      <c r="O830" s="13" t="s">
        <v>5510</v>
      </c>
      <c r="P830" s="13" t="s">
        <v>5510</v>
      </c>
      <c r="Q830" s="13" t="s">
        <v>5510</v>
      </c>
      <c r="R830" s="13" t="s">
        <v>5510</v>
      </c>
      <c r="S830" s="13" t="s">
        <v>5510</v>
      </c>
      <c r="T830" s="13" t="s">
        <v>20125</v>
      </c>
      <c r="U830" s="13" t="s">
        <v>20126</v>
      </c>
      <c r="V830" s="13" t="s">
        <v>20127</v>
      </c>
      <c r="W830" s="13" t="s">
        <v>20128</v>
      </c>
      <c r="X830" s="13" t="s">
        <v>20129</v>
      </c>
      <c r="Y830" s="13" t="s">
        <v>20130</v>
      </c>
      <c r="Z830" s="13" t="s">
        <v>20131</v>
      </c>
      <c r="AA830" s="13" t="s">
        <v>20132</v>
      </c>
      <c r="AB830" s="13" t="s">
        <v>20133</v>
      </c>
      <c r="AC830" s="13" t="s">
        <v>20134</v>
      </c>
      <c r="AD830" s="13" t="s">
        <v>20135</v>
      </c>
      <c r="AE830" s="13" t="s">
        <v>20136</v>
      </c>
      <c r="AF830" s="13" t="s">
        <v>5510</v>
      </c>
      <c r="AG830" s="13">
        <v>69.0</v>
      </c>
      <c r="AH830" s="13">
        <v>25.0</v>
      </c>
      <c r="AI830" s="13">
        <v>27.0</v>
      </c>
      <c r="AJ830" s="13">
        <v>0.0</v>
      </c>
      <c r="AK830" s="13">
        <v>32.0</v>
      </c>
      <c r="AL830" s="13" t="s">
        <v>5759</v>
      </c>
      <c r="AM830" s="13" t="s">
        <v>5760</v>
      </c>
      <c r="AN830" s="13" t="s">
        <v>5761</v>
      </c>
      <c r="AO830" s="13" t="s">
        <v>5762</v>
      </c>
      <c r="AP830" s="13" t="s">
        <v>5763</v>
      </c>
      <c r="AQ830" s="13" t="s">
        <v>5510</v>
      </c>
      <c r="AR830" s="13" t="s">
        <v>5764</v>
      </c>
      <c r="AS830" s="13" t="s">
        <v>5765</v>
      </c>
      <c r="AT830" s="13" t="s">
        <v>20137</v>
      </c>
      <c r="AU830" s="13">
        <v>2020.0</v>
      </c>
      <c r="AV830" s="13">
        <v>732.0</v>
      </c>
      <c r="AW830" s="13" t="s">
        <v>5510</v>
      </c>
      <c r="AX830" s="13" t="s">
        <v>5510</v>
      </c>
      <c r="AY830" s="13" t="s">
        <v>5510</v>
      </c>
      <c r="AZ830" s="13" t="s">
        <v>5510</v>
      </c>
      <c r="BA830" s="13" t="s">
        <v>5510</v>
      </c>
      <c r="BB830" s="13" t="s">
        <v>5510</v>
      </c>
      <c r="BC830" s="13" t="s">
        <v>5510</v>
      </c>
      <c r="BD830" s="13">
        <v>138677.0</v>
      </c>
      <c r="BE830" s="13" t="s">
        <v>20138</v>
      </c>
      <c r="BF830" s="52" t="str">
        <f>HYPERLINK("http://dx.doi.org/10.1016/j.scitotenv.2020.138677","http://dx.doi.org/10.1016/j.scitotenv.2020.138677")</f>
        <v>http://dx.doi.org/10.1016/j.scitotenv.2020.138677</v>
      </c>
      <c r="BG830" s="13" t="s">
        <v>5510</v>
      </c>
      <c r="BH830" s="13" t="s">
        <v>5510</v>
      </c>
      <c r="BI830" s="13">
        <v>12.0</v>
      </c>
      <c r="BJ830" s="13" t="s">
        <v>5768</v>
      </c>
      <c r="BK830" s="13" t="s">
        <v>5561</v>
      </c>
      <c r="BL830" s="13" t="s">
        <v>5535</v>
      </c>
      <c r="BM830" s="13" t="s">
        <v>20139</v>
      </c>
      <c r="BN830" s="13">
        <v>3.2422476E7</v>
      </c>
      <c r="BO830" s="13" t="s">
        <v>6586</v>
      </c>
      <c r="BP830" s="13" t="s">
        <v>5510</v>
      </c>
      <c r="BQ830" s="13" t="s">
        <v>5510</v>
      </c>
      <c r="BR830" s="13" t="s">
        <v>5538</v>
      </c>
      <c r="BS830" s="13" t="s">
        <v>20140</v>
      </c>
      <c r="BT830" s="13">
        <v>24655.0</v>
      </c>
      <c r="BU830" s="13" t="s">
        <v>5540</v>
      </c>
      <c r="BV830" s="13" t="s">
        <v>4852</v>
      </c>
      <c r="BW830" s="13" t="str">
        <f>VLOOKUP($BT830,Enriched!$A$2:$E$1070,5,false)</f>
        <v>["Invasive &amp; other problematic species, genes &amp; diseases"]</v>
      </c>
      <c r="BX830" s="13" t="str">
        <f>VLOOKUP($BT830,Enriched!$A$2:$E$1070,4,false)</f>
        <v>["Invasive non-native/alien species/diseases"]</v>
      </c>
      <c r="BY830" s="13" t="b">
        <f>VLOOKUP(BT830,Enriched!$A$1:$AA$1070,27,falsE)</f>
        <v>0</v>
      </c>
      <c r="BZ830" s="2" t="str">
        <f>VLOOKUP(BT830,Enriched!$A$1:$AA$1070,14,falsE)</f>
        <v>level2</v>
      </c>
      <c r="CA830" s="13" t="str">
        <f>HYPERLINK("https%3A%2F%2Fwww.webofscience.com%2Fwos%2Fwoscc%2Ffull-record%2FWOS:000540001800006","View Full Record in Web of Science")</f>
        <v>View Full Record in Web of Science</v>
      </c>
    </row>
    <row r="831" ht="12.75" customHeight="1">
      <c r="A831" s="13" t="s">
        <v>5508</v>
      </c>
      <c r="B831" s="13" t="s">
        <v>20141</v>
      </c>
      <c r="C831" s="13" t="s">
        <v>5510</v>
      </c>
      <c r="D831" s="13" t="s">
        <v>5510</v>
      </c>
      <c r="E831" s="13" t="s">
        <v>5510</v>
      </c>
      <c r="F831" s="13" t="s">
        <v>20142</v>
      </c>
      <c r="G831" s="13" t="s">
        <v>5510</v>
      </c>
      <c r="H831" s="13" t="s">
        <v>5510</v>
      </c>
      <c r="I831" s="13" t="s">
        <v>20143</v>
      </c>
      <c r="J831" s="13" t="s">
        <v>13906</v>
      </c>
      <c r="K831" s="13" t="s">
        <v>5510</v>
      </c>
      <c r="L831" s="13" t="s">
        <v>5510</v>
      </c>
      <c r="M831" s="13" t="s">
        <v>5513</v>
      </c>
      <c r="N831" s="13" t="s">
        <v>5514</v>
      </c>
      <c r="O831" s="13" t="s">
        <v>5510</v>
      </c>
      <c r="P831" s="13" t="s">
        <v>5510</v>
      </c>
      <c r="Q831" s="13" t="s">
        <v>5510</v>
      </c>
      <c r="R831" s="13" t="s">
        <v>5510</v>
      </c>
      <c r="S831" s="13" t="s">
        <v>5510</v>
      </c>
      <c r="T831" s="13" t="s">
        <v>20144</v>
      </c>
      <c r="U831" s="13" t="s">
        <v>20145</v>
      </c>
      <c r="V831" s="13" t="s">
        <v>20146</v>
      </c>
      <c r="W831" s="13" t="s">
        <v>20147</v>
      </c>
      <c r="X831" s="13" t="s">
        <v>20148</v>
      </c>
      <c r="Y831" s="13" t="s">
        <v>20149</v>
      </c>
      <c r="Z831" s="13" t="s">
        <v>20150</v>
      </c>
      <c r="AA831" s="13" t="s">
        <v>20151</v>
      </c>
      <c r="AB831" s="13" t="s">
        <v>20152</v>
      </c>
      <c r="AC831" s="13" t="s">
        <v>20153</v>
      </c>
      <c r="AD831" s="13" t="s">
        <v>20154</v>
      </c>
      <c r="AE831" s="13" t="s">
        <v>20155</v>
      </c>
      <c r="AF831" s="13" t="s">
        <v>5510</v>
      </c>
      <c r="AG831" s="13">
        <v>41.0</v>
      </c>
      <c r="AH831" s="13">
        <v>76.0</v>
      </c>
      <c r="AI831" s="13">
        <v>95.0</v>
      </c>
      <c r="AJ831" s="13">
        <v>5.0</v>
      </c>
      <c r="AK831" s="13">
        <v>121.0</v>
      </c>
      <c r="AL831" s="13" t="s">
        <v>15439</v>
      </c>
      <c r="AM831" s="13" t="s">
        <v>13920</v>
      </c>
      <c r="AN831" s="13" t="s">
        <v>13921</v>
      </c>
      <c r="AO831" s="13" t="s">
        <v>13922</v>
      </c>
      <c r="AP831" s="13" t="s">
        <v>5510</v>
      </c>
      <c r="AQ831" s="13" t="s">
        <v>5510</v>
      </c>
      <c r="AR831" s="13" t="s">
        <v>13923</v>
      </c>
      <c r="AS831" s="13" t="s">
        <v>13924</v>
      </c>
      <c r="AT831" s="13" t="s">
        <v>1453</v>
      </c>
      <c r="AU831" s="13">
        <v>2014.0</v>
      </c>
      <c r="AV831" s="13">
        <v>9.0</v>
      </c>
      <c r="AW831" s="13">
        <v>11.0</v>
      </c>
      <c r="AX831" s="13" t="s">
        <v>5510</v>
      </c>
      <c r="AY831" s="13" t="s">
        <v>5510</v>
      </c>
      <c r="AZ831" s="13" t="s">
        <v>5510</v>
      </c>
      <c r="BA831" s="13" t="s">
        <v>5510</v>
      </c>
      <c r="BB831" s="13" t="s">
        <v>5510</v>
      </c>
      <c r="BC831" s="13" t="s">
        <v>5510</v>
      </c>
      <c r="BD831" s="13">
        <v>114016.0</v>
      </c>
      <c r="BE831" s="13" t="s">
        <v>20156</v>
      </c>
      <c r="BF831" s="52" t="str">
        <f>HYPERLINK("http://dx.doi.org/10.1088/1748-9326/9/11/114016","http://dx.doi.org/10.1088/1748-9326/9/11/114016")</f>
        <v>http://dx.doi.org/10.1088/1748-9326/9/11/114016</v>
      </c>
      <c r="BG831" s="13" t="s">
        <v>5510</v>
      </c>
      <c r="BH831" s="13" t="s">
        <v>5510</v>
      </c>
      <c r="BI831" s="13">
        <v>11.0</v>
      </c>
      <c r="BJ831" s="13" t="s">
        <v>13926</v>
      </c>
      <c r="BK831" s="13" t="s">
        <v>5561</v>
      </c>
      <c r="BL831" s="13" t="s">
        <v>9790</v>
      </c>
      <c r="BM831" s="13" t="s">
        <v>20157</v>
      </c>
      <c r="BN831" s="13" t="s">
        <v>5510</v>
      </c>
      <c r="BO831" s="13" t="s">
        <v>5537</v>
      </c>
      <c r="BP831" s="13" t="s">
        <v>5510</v>
      </c>
      <c r="BQ831" s="13" t="s">
        <v>5510</v>
      </c>
      <c r="BR831" s="13" t="s">
        <v>5538</v>
      </c>
      <c r="BS831" s="13" t="s">
        <v>20158</v>
      </c>
      <c r="BT831" s="13">
        <v>23135.0</v>
      </c>
      <c r="BU831" s="13" t="s">
        <v>5540</v>
      </c>
      <c r="BV831" s="13" t="s">
        <v>4864</v>
      </c>
      <c r="BW831" s="13" t="str">
        <f>VLOOKUP($BT831,Enriched!$A$2:$E$1070,5,false)</f>
        <v>["Residential &amp; Commercial Development", "Agriculture &amp; Aquaculture", "Energy Production &amp; Mining", "Transportation &amp; Service Corridors", "Biological Resource Use", "Pollution", "Human Intrusions &amp; Disturbance"]</v>
      </c>
      <c r="BX831" s="13" t="str">
        <f>VLOOKUP($BT831,Enriched!$A$2:$E$1070,4,false)</f>
        <v>["Housing &amp; urban area", "Commercial &amp; industrial areas", "Tourism &amp; recreation areas", "Marine &amp; freshwater aquaculture", "Oil &amp; gas drilling", "Shipping lanes", "Fishing &amp; harvesting aquatic resources", "Agricultural &amp; forestry effluents", "Mining &amp; quarrying", "Recreational activities"]</v>
      </c>
      <c r="BY831" s="13" t="b">
        <f>VLOOKUP(BT831,Enriched!$A$1:$AA$1070,27,falsE)</f>
        <v>0</v>
      </c>
      <c r="BZ831" s="2" t="str">
        <f>VLOOKUP(BT831,Enriched!$A$1:$AA$1070,14,falsE)</f>
        <v>level2</v>
      </c>
      <c r="CA831" s="13" t="str">
        <f>HYPERLINK("https%3A%2F%2Fwww.webofscience.com%2Fwos%2Fwoscc%2Ffull-record%2FWOS:000346573900022","View Full Record in Web of Science")</f>
        <v>View Full Record in Web of Science</v>
      </c>
    </row>
    <row r="832" ht="12.75" customHeight="1">
      <c r="A832" s="13" t="s">
        <v>5508</v>
      </c>
      <c r="B832" s="13" t="s">
        <v>20159</v>
      </c>
      <c r="C832" s="13" t="s">
        <v>5510</v>
      </c>
      <c r="D832" s="13" t="s">
        <v>5510</v>
      </c>
      <c r="E832" s="13" t="s">
        <v>5510</v>
      </c>
      <c r="F832" s="13" t="s">
        <v>20160</v>
      </c>
      <c r="G832" s="13" t="s">
        <v>5510</v>
      </c>
      <c r="H832" s="13" t="s">
        <v>5510</v>
      </c>
      <c r="I832" s="13" t="s">
        <v>411</v>
      </c>
      <c r="J832" s="13" t="s">
        <v>5746</v>
      </c>
      <c r="K832" s="13" t="s">
        <v>5510</v>
      </c>
      <c r="L832" s="13" t="s">
        <v>5510</v>
      </c>
      <c r="M832" s="13" t="s">
        <v>5513</v>
      </c>
      <c r="N832" s="13" t="s">
        <v>5514</v>
      </c>
      <c r="O832" s="13" t="s">
        <v>5510</v>
      </c>
      <c r="P832" s="13" t="s">
        <v>5510</v>
      </c>
      <c r="Q832" s="13" t="s">
        <v>5510</v>
      </c>
      <c r="R832" s="13" t="s">
        <v>5510</v>
      </c>
      <c r="S832" s="13" t="s">
        <v>5510</v>
      </c>
      <c r="T832" s="13" t="s">
        <v>20161</v>
      </c>
      <c r="U832" s="13" t="s">
        <v>20162</v>
      </c>
      <c r="V832" s="13" t="s">
        <v>20163</v>
      </c>
      <c r="W832" s="13" t="s">
        <v>20164</v>
      </c>
      <c r="X832" s="13" t="s">
        <v>20165</v>
      </c>
      <c r="Y832" s="13" t="s">
        <v>20166</v>
      </c>
      <c r="Z832" s="13" t="s">
        <v>20167</v>
      </c>
      <c r="AA832" s="13" t="s">
        <v>20168</v>
      </c>
      <c r="AB832" s="13" t="s">
        <v>20169</v>
      </c>
      <c r="AC832" s="13" t="s">
        <v>20170</v>
      </c>
      <c r="AD832" s="13" t="s">
        <v>20171</v>
      </c>
      <c r="AE832" s="13" t="s">
        <v>20172</v>
      </c>
      <c r="AF832" s="13" t="s">
        <v>5510</v>
      </c>
      <c r="AG832" s="13">
        <v>51.0</v>
      </c>
      <c r="AH832" s="13">
        <v>46.0</v>
      </c>
      <c r="AI832" s="13">
        <v>54.0</v>
      </c>
      <c r="AJ832" s="13">
        <v>2.0</v>
      </c>
      <c r="AK832" s="13">
        <v>52.0</v>
      </c>
      <c r="AL832" s="13" t="s">
        <v>5759</v>
      </c>
      <c r="AM832" s="13" t="s">
        <v>5760</v>
      </c>
      <c r="AN832" s="13" t="s">
        <v>5761</v>
      </c>
      <c r="AO832" s="13" t="s">
        <v>5762</v>
      </c>
      <c r="AP832" s="13" t="s">
        <v>5763</v>
      </c>
      <c r="AQ832" s="13" t="s">
        <v>5510</v>
      </c>
      <c r="AR832" s="13" t="s">
        <v>5764</v>
      </c>
      <c r="AS832" s="13" t="s">
        <v>5765</v>
      </c>
      <c r="AT832" s="13" t="s">
        <v>12301</v>
      </c>
      <c r="AU832" s="13">
        <v>2019.0</v>
      </c>
      <c r="AV832" s="13">
        <v>683.0</v>
      </c>
      <c r="AW832" s="13" t="s">
        <v>5510</v>
      </c>
      <c r="AX832" s="13" t="s">
        <v>5510</v>
      </c>
      <c r="AY832" s="13" t="s">
        <v>5510</v>
      </c>
      <c r="AZ832" s="13" t="s">
        <v>5510</v>
      </c>
      <c r="BA832" s="13" t="s">
        <v>5510</v>
      </c>
      <c r="BB832" s="13">
        <v>617.0</v>
      </c>
      <c r="BC832" s="13">
        <v>623.0</v>
      </c>
      <c r="BD832" s="13" t="s">
        <v>5510</v>
      </c>
      <c r="BE832" s="13" t="s">
        <v>20173</v>
      </c>
      <c r="BF832" s="52" t="str">
        <f>HYPERLINK("http://dx.doi.org/10.1016/j.scitotenv.2019.05.268","http://dx.doi.org/10.1016/j.scitotenv.2019.05.268")</f>
        <v>http://dx.doi.org/10.1016/j.scitotenv.2019.05.268</v>
      </c>
      <c r="BG832" s="13" t="s">
        <v>5510</v>
      </c>
      <c r="BH832" s="13" t="s">
        <v>5510</v>
      </c>
      <c r="BI832" s="13">
        <v>7.0</v>
      </c>
      <c r="BJ832" s="13" t="s">
        <v>5768</v>
      </c>
      <c r="BK832" s="13" t="s">
        <v>5534</v>
      </c>
      <c r="BL832" s="13" t="s">
        <v>5535</v>
      </c>
      <c r="BM832" s="13" t="s">
        <v>20174</v>
      </c>
      <c r="BN832" s="13">
        <v>3.1150882E7</v>
      </c>
      <c r="BO832" s="13" t="s">
        <v>6028</v>
      </c>
      <c r="BP832" s="13" t="s">
        <v>5510</v>
      </c>
      <c r="BQ832" s="13" t="s">
        <v>5510</v>
      </c>
      <c r="BR832" s="13" t="s">
        <v>5538</v>
      </c>
      <c r="BS832" s="13" t="s">
        <v>20175</v>
      </c>
      <c r="BT832" s="13">
        <v>24163.0</v>
      </c>
      <c r="BU832" s="13" t="s">
        <v>5540</v>
      </c>
      <c r="BV832" s="13" t="s">
        <v>4856</v>
      </c>
      <c r="BW832" s="13" t="str">
        <f>VLOOKUP($BT832,Enriched!$A$2:$E$1070,5,false)</f>
        <v>["Human Intrusions &amp; Disturbance"]</v>
      </c>
      <c r="BX832" s="13" t="str">
        <f>VLOOKUP($BT832,Enriched!$A$2:$E$1070,4,false)</f>
        <v>["Recreational activities"]</v>
      </c>
      <c r="BY832" s="13" t="b">
        <f>VLOOKUP(BT832,Enriched!$A$1:$AA$1070,27,falsE)</f>
        <v>0</v>
      </c>
      <c r="BZ832" s="2" t="str">
        <f>VLOOKUP(BT832,Enriched!$A$1:$AA$1070,14,falsE)</f>
        <v>level2</v>
      </c>
      <c r="CA832" s="13" t="str">
        <f>HYPERLINK("https%3A%2F%2Fwww.webofscience.com%2Fwos%2Fwoscc%2Ffull-record%2FWOS:000471657600063","View Full Record in Web of Science")</f>
        <v>View Full Record in Web of Science</v>
      </c>
    </row>
    <row r="833" ht="12.75" customHeight="1">
      <c r="A833" s="13" t="s">
        <v>5508</v>
      </c>
      <c r="B833" s="13" t="s">
        <v>20176</v>
      </c>
      <c r="C833" s="13" t="s">
        <v>5510</v>
      </c>
      <c r="D833" s="13" t="s">
        <v>5510</v>
      </c>
      <c r="E833" s="13" t="s">
        <v>5510</v>
      </c>
      <c r="F833" s="13" t="s">
        <v>20177</v>
      </c>
      <c r="G833" s="13" t="s">
        <v>5510</v>
      </c>
      <c r="H833" s="13" t="s">
        <v>5510</v>
      </c>
      <c r="I833" s="13" t="s">
        <v>407</v>
      </c>
      <c r="J833" s="13" t="s">
        <v>20178</v>
      </c>
      <c r="K833" s="13" t="s">
        <v>5510</v>
      </c>
      <c r="L833" s="13" t="s">
        <v>5510</v>
      </c>
      <c r="M833" s="13" t="s">
        <v>5513</v>
      </c>
      <c r="N833" s="13" t="s">
        <v>5626</v>
      </c>
      <c r="O833" s="13" t="s">
        <v>20179</v>
      </c>
      <c r="P833" s="13" t="s">
        <v>20180</v>
      </c>
      <c r="Q833" s="13" t="s">
        <v>20181</v>
      </c>
      <c r="R833" s="13" t="s">
        <v>5510</v>
      </c>
      <c r="S833" s="13" t="s">
        <v>5510</v>
      </c>
      <c r="T833" s="13" t="s">
        <v>20182</v>
      </c>
      <c r="U833" s="13" t="s">
        <v>20183</v>
      </c>
      <c r="V833" s="13" t="s">
        <v>20184</v>
      </c>
      <c r="W833" s="13" t="s">
        <v>20185</v>
      </c>
      <c r="X833" s="13" t="s">
        <v>20186</v>
      </c>
      <c r="Y833" s="13" t="s">
        <v>20187</v>
      </c>
      <c r="Z833" s="13" t="s">
        <v>20188</v>
      </c>
      <c r="AA833" s="13" t="s">
        <v>20189</v>
      </c>
      <c r="AB833" s="13" t="s">
        <v>20190</v>
      </c>
      <c r="AC833" s="13" t="s">
        <v>5510</v>
      </c>
      <c r="AD833" s="13" t="s">
        <v>5510</v>
      </c>
      <c r="AE833" s="13" t="s">
        <v>5510</v>
      </c>
      <c r="AF833" s="13" t="s">
        <v>5510</v>
      </c>
      <c r="AG833" s="13">
        <v>22.0</v>
      </c>
      <c r="AH833" s="13">
        <v>9.0</v>
      </c>
      <c r="AI833" s="13">
        <v>14.0</v>
      </c>
      <c r="AJ833" s="13">
        <v>0.0</v>
      </c>
      <c r="AK833" s="13">
        <v>38.0</v>
      </c>
      <c r="AL833" s="13" t="s">
        <v>19977</v>
      </c>
      <c r="AM833" s="13" t="s">
        <v>19978</v>
      </c>
      <c r="AN833" s="13" t="s">
        <v>19979</v>
      </c>
      <c r="AO833" s="13" t="s">
        <v>20191</v>
      </c>
      <c r="AP833" s="13" t="s">
        <v>20192</v>
      </c>
      <c r="AQ833" s="13" t="s">
        <v>5510</v>
      </c>
      <c r="AR833" s="13" t="s">
        <v>20193</v>
      </c>
      <c r="AS833" s="13" t="s">
        <v>20194</v>
      </c>
      <c r="AT833" s="13" t="s">
        <v>6175</v>
      </c>
      <c r="AU833" s="13">
        <v>2008.0</v>
      </c>
      <c r="AV833" s="13">
        <v>15.0</v>
      </c>
      <c r="AW833" s="13">
        <v>4.0</v>
      </c>
      <c r="AX833" s="13" t="s">
        <v>5510</v>
      </c>
      <c r="AY833" s="13" t="s">
        <v>5510</v>
      </c>
      <c r="AZ833" s="13" t="s">
        <v>5510</v>
      </c>
      <c r="BA833" s="13" t="s">
        <v>5510</v>
      </c>
      <c r="BB833" s="13">
        <v>383.0</v>
      </c>
      <c r="BC833" s="13">
        <v>388.0</v>
      </c>
      <c r="BD833" s="13" t="s">
        <v>5510</v>
      </c>
      <c r="BE833" s="13" t="s">
        <v>20195</v>
      </c>
      <c r="BF833" s="52" t="str">
        <f>HYPERLINK("http://dx.doi.org/10.3843/SusDev.15.4:15","http://dx.doi.org/10.3843/SusDev.15.4:15")</f>
        <v>http://dx.doi.org/10.3843/SusDev.15.4:15</v>
      </c>
      <c r="BG833" s="13" t="s">
        <v>5510</v>
      </c>
      <c r="BH833" s="13" t="s">
        <v>5510</v>
      </c>
      <c r="BI833" s="13">
        <v>6.0</v>
      </c>
      <c r="BJ833" s="13" t="s">
        <v>20196</v>
      </c>
      <c r="BK833" s="13" t="s">
        <v>5649</v>
      </c>
      <c r="BL833" s="13" t="s">
        <v>6488</v>
      </c>
      <c r="BM833" s="13" t="s">
        <v>20197</v>
      </c>
      <c r="BN833" s="13" t="s">
        <v>5510</v>
      </c>
      <c r="BO833" s="13" t="s">
        <v>5510</v>
      </c>
      <c r="BP833" s="13" t="s">
        <v>5510</v>
      </c>
      <c r="BQ833" s="13" t="s">
        <v>5510</v>
      </c>
      <c r="BR833" s="13" t="s">
        <v>5538</v>
      </c>
      <c r="BS833" s="13" t="s">
        <v>20198</v>
      </c>
      <c r="BT833" s="13">
        <v>24565.0</v>
      </c>
      <c r="BU833" s="13" t="s">
        <v>5540</v>
      </c>
      <c r="BV833" s="13" t="s">
        <v>4856</v>
      </c>
      <c r="BW833" s="13" t="str">
        <f>VLOOKUP($BT833,Enriched!$A$2:$E$1070,5,false)</f>
        <v>["Residential &amp; commercial development"]</v>
      </c>
      <c r="BX833" s="13" t="str">
        <f>VLOOKUP($BT833,Enriched!$A$2:$E$1070,4,false)</f>
        <v>["Housing &amp; urban area"]</v>
      </c>
      <c r="BY833" s="13" t="b">
        <f>VLOOKUP(BT833,Enriched!$A$1:$AA$1070,27,falsE)</f>
        <v>0</v>
      </c>
      <c r="BZ833" s="2" t="str">
        <f>VLOOKUP(BT833,Enriched!$A$1:$AA$1070,14,falsE)</f>
        <v>level2</v>
      </c>
      <c r="CA833" s="13" t="str">
        <f>HYPERLINK("https%3A%2F%2Fwww.webofscience.com%2Fwos%2Fwoscc%2Ffull-record%2FWOS:000259156800015","View Full Record in Web of Science")</f>
        <v>View Full Record in Web of Science</v>
      </c>
    </row>
    <row r="834" ht="12.75" customHeight="1">
      <c r="A834" s="13" t="s">
        <v>5508</v>
      </c>
      <c r="B834" s="13" t="s">
        <v>20199</v>
      </c>
      <c r="C834" s="13" t="s">
        <v>5510</v>
      </c>
      <c r="D834" s="13" t="s">
        <v>5510</v>
      </c>
      <c r="E834" s="13" t="s">
        <v>5510</v>
      </c>
      <c r="F834" s="13" t="s">
        <v>20200</v>
      </c>
      <c r="G834" s="13" t="s">
        <v>5510</v>
      </c>
      <c r="H834" s="13" t="s">
        <v>5510</v>
      </c>
      <c r="I834" s="13" t="s">
        <v>20201</v>
      </c>
      <c r="J834" s="13" t="s">
        <v>11494</v>
      </c>
      <c r="K834" s="13" t="s">
        <v>5510</v>
      </c>
      <c r="L834" s="13" t="s">
        <v>5510</v>
      </c>
      <c r="M834" s="13" t="s">
        <v>5513</v>
      </c>
      <c r="N834" s="13" t="s">
        <v>5514</v>
      </c>
      <c r="O834" s="13" t="s">
        <v>5510</v>
      </c>
      <c r="P834" s="13" t="s">
        <v>5510</v>
      </c>
      <c r="Q834" s="13" t="s">
        <v>5510</v>
      </c>
      <c r="R834" s="13" t="s">
        <v>5510</v>
      </c>
      <c r="S834" s="13" t="s">
        <v>5510</v>
      </c>
      <c r="T834" s="13" t="s">
        <v>5510</v>
      </c>
      <c r="U834" s="13" t="s">
        <v>20202</v>
      </c>
      <c r="V834" s="13" t="s">
        <v>20203</v>
      </c>
      <c r="W834" s="13" t="s">
        <v>20204</v>
      </c>
      <c r="X834" s="13" t="s">
        <v>20205</v>
      </c>
      <c r="Y834" s="13" t="s">
        <v>20206</v>
      </c>
      <c r="Z834" s="13" t="s">
        <v>20207</v>
      </c>
      <c r="AA834" s="13" t="s">
        <v>20208</v>
      </c>
      <c r="AB834" s="13" t="s">
        <v>20209</v>
      </c>
      <c r="AC834" s="13" t="s">
        <v>20210</v>
      </c>
      <c r="AD834" s="13" t="s">
        <v>20211</v>
      </c>
      <c r="AE834" s="13" t="s">
        <v>20212</v>
      </c>
      <c r="AF834" s="13" t="s">
        <v>5510</v>
      </c>
      <c r="AG834" s="13">
        <v>62.0</v>
      </c>
      <c r="AH834" s="13">
        <v>106.0</v>
      </c>
      <c r="AI834" s="13">
        <v>138.0</v>
      </c>
      <c r="AJ834" s="13">
        <v>2.0</v>
      </c>
      <c r="AK834" s="13">
        <v>116.0</v>
      </c>
      <c r="AL834" s="13" t="s">
        <v>5527</v>
      </c>
      <c r="AM834" s="13" t="s">
        <v>5528</v>
      </c>
      <c r="AN834" s="13" t="s">
        <v>5529</v>
      </c>
      <c r="AO834" s="13" t="s">
        <v>11506</v>
      </c>
      <c r="AP834" s="13" t="s">
        <v>11507</v>
      </c>
      <c r="AQ834" s="13" t="s">
        <v>5510</v>
      </c>
      <c r="AR834" s="13" t="s">
        <v>11494</v>
      </c>
      <c r="AS834" s="13" t="s">
        <v>404</v>
      </c>
      <c r="AT834" s="13" t="s">
        <v>2738</v>
      </c>
      <c r="AU834" s="13">
        <v>2010.0</v>
      </c>
      <c r="AV834" s="13">
        <v>33.0</v>
      </c>
      <c r="AW834" s="13">
        <v>1.0</v>
      </c>
      <c r="AX834" s="13" t="s">
        <v>5510</v>
      </c>
      <c r="AY834" s="13" t="s">
        <v>5510</v>
      </c>
      <c r="AZ834" s="13" t="s">
        <v>5510</v>
      </c>
      <c r="BA834" s="13" t="s">
        <v>5510</v>
      </c>
      <c r="BB834" s="13">
        <v>198.0</v>
      </c>
      <c r="BC834" s="13">
        <v>208.0</v>
      </c>
      <c r="BD834" s="13" t="s">
        <v>5510</v>
      </c>
      <c r="BE834" s="13" t="s">
        <v>20213</v>
      </c>
      <c r="BF834" s="52" t="str">
        <f>HYPERLINK("http://dx.doi.org/10.1111/j.1600-0587.2009.05684.x","http://dx.doi.org/10.1111/j.1600-0587.2009.05684.x")</f>
        <v>http://dx.doi.org/10.1111/j.1600-0587.2009.05684.x</v>
      </c>
      <c r="BG834" s="13" t="s">
        <v>5510</v>
      </c>
      <c r="BH834" s="13" t="s">
        <v>5510</v>
      </c>
      <c r="BI834" s="13">
        <v>11.0</v>
      </c>
      <c r="BJ834" s="13" t="s">
        <v>5958</v>
      </c>
      <c r="BK834" s="13" t="s">
        <v>5561</v>
      </c>
      <c r="BL834" s="13" t="s">
        <v>5699</v>
      </c>
      <c r="BM834" s="13" t="s">
        <v>20214</v>
      </c>
      <c r="BN834" s="13" t="s">
        <v>5510</v>
      </c>
      <c r="BO834" s="13" t="s">
        <v>5510</v>
      </c>
      <c r="BP834" s="13" t="s">
        <v>5510</v>
      </c>
      <c r="BQ834" s="13" t="s">
        <v>5510</v>
      </c>
      <c r="BR834" s="13" t="s">
        <v>5538</v>
      </c>
      <c r="BS834" s="13" t="s">
        <v>20215</v>
      </c>
      <c r="BT834" s="13">
        <v>23361.0</v>
      </c>
      <c r="BU834" s="13" t="s">
        <v>5540</v>
      </c>
      <c r="BV834" s="13" t="s">
        <v>4856</v>
      </c>
      <c r="BW834" s="13" t="str">
        <f>VLOOKUP($BT834,Enriched!$A$2:$E$1070,5,false)</f>
        <v>["Climate Change &amp; Severe Weather", "Agriculture &amp; Aquaculture", "Invasive &amp; Other Problematic Species, Genes &amp; Diseases", "Transportation &amp; Service Corridors"]</v>
      </c>
      <c r="BX834" s="13" t="str">
        <f>VLOOKUP($BT834,Enriched!$A$2:$E$1070,4,false)</f>
        <v>["Temperature extremes", "Invasive non-native/alien species/diseases", "Roads &amp; railroads"]</v>
      </c>
      <c r="BY834" s="13" t="b">
        <f>VLOOKUP(BT834,Enriched!$A$1:$AA$1070,27,falsE)</f>
        <v>1</v>
      </c>
      <c r="BZ834" s="2" t="str">
        <f>VLOOKUP(BT834,Enriched!$A$1:$AA$1070,14,falsE)</f>
        <v>level2</v>
      </c>
      <c r="CA834" s="13" t="str">
        <f>HYPERLINK("https%3A%2F%2Fwww.webofscience.com%2Fwos%2Fwoscc%2Ffull-record%2FWOS:000275205200020","View Full Record in Web of Science")</f>
        <v>View Full Record in Web of Science</v>
      </c>
    </row>
    <row r="835" ht="12.75" customHeight="1">
      <c r="A835" s="13" t="s">
        <v>5508</v>
      </c>
      <c r="B835" s="13" t="s">
        <v>20216</v>
      </c>
      <c r="C835" s="13" t="s">
        <v>5510</v>
      </c>
      <c r="D835" s="13" t="s">
        <v>5510</v>
      </c>
      <c r="E835" s="13" t="s">
        <v>5510</v>
      </c>
      <c r="F835" s="13" t="s">
        <v>20217</v>
      </c>
      <c r="G835" s="13" t="s">
        <v>5510</v>
      </c>
      <c r="H835" s="13" t="s">
        <v>5510</v>
      </c>
      <c r="I835" s="13" t="s">
        <v>399</v>
      </c>
      <c r="J835" s="13" t="s">
        <v>13492</v>
      </c>
      <c r="K835" s="13" t="s">
        <v>5510</v>
      </c>
      <c r="L835" s="13" t="s">
        <v>5510</v>
      </c>
      <c r="M835" s="13" t="s">
        <v>5513</v>
      </c>
      <c r="N835" s="13" t="s">
        <v>5514</v>
      </c>
      <c r="O835" s="13" t="s">
        <v>5510</v>
      </c>
      <c r="P835" s="13" t="s">
        <v>5510</v>
      </c>
      <c r="Q835" s="13" t="s">
        <v>5510</v>
      </c>
      <c r="R835" s="13" t="s">
        <v>5510</v>
      </c>
      <c r="S835" s="13" t="s">
        <v>5510</v>
      </c>
      <c r="T835" s="13" t="s">
        <v>20218</v>
      </c>
      <c r="U835" s="13" t="s">
        <v>20219</v>
      </c>
      <c r="V835" s="13" t="s">
        <v>20220</v>
      </c>
      <c r="W835" s="13" t="s">
        <v>20221</v>
      </c>
      <c r="X835" s="13" t="s">
        <v>20222</v>
      </c>
      <c r="Y835" s="13" t="s">
        <v>20223</v>
      </c>
      <c r="Z835" s="13" t="s">
        <v>20224</v>
      </c>
      <c r="AA835" s="13" t="s">
        <v>20225</v>
      </c>
      <c r="AB835" s="13" t="s">
        <v>20226</v>
      </c>
      <c r="AC835" s="13" t="s">
        <v>20227</v>
      </c>
      <c r="AD835" s="13" t="s">
        <v>20228</v>
      </c>
      <c r="AE835" s="13" t="s">
        <v>20229</v>
      </c>
      <c r="AF835" s="13" t="s">
        <v>5510</v>
      </c>
      <c r="AG835" s="13">
        <v>50.0</v>
      </c>
      <c r="AH835" s="13">
        <v>51.0</v>
      </c>
      <c r="AI835" s="13">
        <v>66.0</v>
      </c>
      <c r="AJ835" s="13">
        <v>7.0</v>
      </c>
      <c r="AK835" s="13">
        <v>111.0</v>
      </c>
      <c r="AL835" s="13" t="s">
        <v>5690</v>
      </c>
      <c r="AM835" s="13" t="s">
        <v>5691</v>
      </c>
      <c r="AN835" s="13" t="s">
        <v>5692</v>
      </c>
      <c r="AO835" s="13" t="s">
        <v>13504</v>
      </c>
      <c r="AP835" s="13" t="s">
        <v>13505</v>
      </c>
      <c r="AQ835" s="13" t="s">
        <v>5510</v>
      </c>
      <c r="AR835" s="13" t="s">
        <v>13492</v>
      </c>
      <c r="AS835" s="13" t="s">
        <v>400</v>
      </c>
      <c r="AT835" s="13" t="s">
        <v>2738</v>
      </c>
      <c r="AU835" s="13">
        <v>2019.0</v>
      </c>
      <c r="AV835" s="13">
        <v>39.0</v>
      </c>
      <c r="AW835" s="13">
        <v>1.0</v>
      </c>
      <c r="AX835" s="13" t="s">
        <v>5510</v>
      </c>
      <c r="AY835" s="13" t="s">
        <v>5510</v>
      </c>
      <c r="AZ835" s="13" t="s">
        <v>5510</v>
      </c>
      <c r="BA835" s="13" t="s">
        <v>5510</v>
      </c>
      <c r="BB835" s="13">
        <v>67.0</v>
      </c>
      <c r="BC835" s="13">
        <v>77.0</v>
      </c>
      <c r="BD835" s="13" t="s">
        <v>5510</v>
      </c>
      <c r="BE835" s="13" t="s">
        <v>20230</v>
      </c>
      <c r="BF835" s="52" t="str">
        <f>HYPERLINK("http://dx.doi.org/10.1007/s13157-018-1075-9","http://dx.doi.org/10.1007/s13157-018-1075-9")</f>
        <v>http://dx.doi.org/10.1007/s13157-018-1075-9</v>
      </c>
      <c r="BG835" s="13" t="s">
        <v>5510</v>
      </c>
      <c r="BH835" s="13" t="s">
        <v>5510</v>
      </c>
      <c r="BI835" s="13">
        <v>11.0</v>
      </c>
      <c r="BJ835" s="13" t="s">
        <v>6026</v>
      </c>
      <c r="BK835" s="13" t="s">
        <v>5561</v>
      </c>
      <c r="BL835" s="13" t="s">
        <v>5535</v>
      </c>
      <c r="BM835" s="13" t="s">
        <v>20231</v>
      </c>
      <c r="BN835" s="13" t="s">
        <v>5510</v>
      </c>
      <c r="BO835" s="13" t="s">
        <v>6623</v>
      </c>
      <c r="BP835" s="13" t="s">
        <v>5510</v>
      </c>
      <c r="BQ835" s="13" t="s">
        <v>5510</v>
      </c>
      <c r="BR835" s="13" t="s">
        <v>5538</v>
      </c>
      <c r="BS835" s="13" t="s">
        <v>20232</v>
      </c>
      <c r="BT835" s="13">
        <v>24551.0</v>
      </c>
      <c r="BU835" s="13" t="s">
        <v>5540</v>
      </c>
      <c r="BV835" s="13" t="s">
        <v>4856</v>
      </c>
      <c r="BW835" s="13" t="str">
        <f>VLOOKUP($BT835,Enriched!$A$2:$E$1070,5,false)</f>
        <v>["Agriculture &amp; Aquaculture", "Residential &amp; Commercial Development", "Energy Production &amp; Mining", "Transportation &amp; Service Corridors"]</v>
      </c>
      <c r="BX835" s="13" t="str">
        <f>VLOOKUP($BT835,Enriched!$A$2:$E$1070,4,false)</f>
        <v>["Annual &amp; perennial non-timber crops", "Housing &amp; urban area", "Commercial &amp; industrial areas", "Mining &amp; quarrying", "Roads &amp; railroads", "Marine &amp; freshwater aquaculture"]</v>
      </c>
      <c r="BY835" s="13" t="b">
        <f>VLOOKUP(BT835,Enriched!$A$1:$AA$1070,27,falsE)</f>
        <v>0</v>
      </c>
      <c r="BZ835" s="2" t="str">
        <f>VLOOKUP(BT835,Enriched!$A$1:$AA$1070,14,falsE)</f>
        <v>level2</v>
      </c>
      <c r="CA835" s="13" t="str">
        <f>HYPERLINK("https%3A%2F%2Fwww.webofscience.com%2Fwos%2Fwoscc%2Ffull-record%2FWOS:000461965200007","View Full Record in Web of Science")</f>
        <v>View Full Record in Web of Science</v>
      </c>
    </row>
    <row r="836" ht="12.75" customHeight="1">
      <c r="A836" s="13" t="s">
        <v>5508</v>
      </c>
      <c r="B836" s="13" t="s">
        <v>20233</v>
      </c>
      <c r="C836" s="13" t="s">
        <v>5510</v>
      </c>
      <c r="D836" s="13" t="s">
        <v>5510</v>
      </c>
      <c r="E836" s="13" t="s">
        <v>5510</v>
      </c>
      <c r="F836" s="13" t="s">
        <v>20234</v>
      </c>
      <c r="G836" s="13" t="s">
        <v>5510</v>
      </c>
      <c r="H836" s="13" t="s">
        <v>5510</v>
      </c>
      <c r="I836" s="13" t="s">
        <v>396</v>
      </c>
      <c r="J836" s="13" t="s">
        <v>12220</v>
      </c>
      <c r="K836" s="13" t="s">
        <v>5510</v>
      </c>
      <c r="L836" s="13" t="s">
        <v>5510</v>
      </c>
      <c r="M836" s="13" t="s">
        <v>5513</v>
      </c>
      <c r="N836" s="13" t="s">
        <v>5514</v>
      </c>
      <c r="O836" s="13" t="s">
        <v>5510</v>
      </c>
      <c r="P836" s="13" t="s">
        <v>5510</v>
      </c>
      <c r="Q836" s="13" t="s">
        <v>5510</v>
      </c>
      <c r="R836" s="13" t="s">
        <v>5510</v>
      </c>
      <c r="S836" s="13" t="s">
        <v>5510</v>
      </c>
      <c r="T836" s="13" t="s">
        <v>20235</v>
      </c>
      <c r="U836" s="13" t="s">
        <v>20236</v>
      </c>
      <c r="V836" s="13" t="s">
        <v>20237</v>
      </c>
      <c r="W836" s="13" t="s">
        <v>20238</v>
      </c>
      <c r="X836" s="13" t="s">
        <v>20239</v>
      </c>
      <c r="Y836" s="13" t="s">
        <v>20240</v>
      </c>
      <c r="Z836" s="13" t="s">
        <v>20241</v>
      </c>
      <c r="AA836" s="13" t="s">
        <v>20242</v>
      </c>
      <c r="AB836" s="13" t="s">
        <v>20243</v>
      </c>
      <c r="AC836" s="13" t="s">
        <v>20244</v>
      </c>
      <c r="AD836" s="13" t="s">
        <v>20245</v>
      </c>
      <c r="AE836" s="13" t="s">
        <v>20246</v>
      </c>
      <c r="AF836" s="13" t="s">
        <v>5510</v>
      </c>
      <c r="AG836" s="13">
        <v>93.0</v>
      </c>
      <c r="AH836" s="13">
        <v>20.0</v>
      </c>
      <c r="AI836" s="13">
        <v>22.0</v>
      </c>
      <c r="AJ836" s="13">
        <v>1.0</v>
      </c>
      <c r="AK836" s="13">
        <v>125.0</v>
      </c>
      <c r="AL836" s="13" t="s">
        <v>5931</v>
      </c>
      <c r="AM836" s="13" t="s">
        <v>5932</v>
      </c>
      <c r="AN836" s="13" t="s">
        <v>5933</v>
      </c>
      <c r="AO836" s="13" t="s">
        <v>12233</v>
      </c>
      <c r="AP836" s="13" t="s">
        <v>12234</v>
      </c>
      <c r="AQ836" s="13" t="s">
        <v>5510</v>
      </c>
      <c r="AR836" s="13" t="s">
        <v>12235</v>
      </c>
      <c r="AS836" s="13" t="s">
        <v>12236</v>
      </c>
      <c r="AT836" s="13" t="s">
        <v>2738</v>
      </c>
      <c r="AU836" s="13">
        <v>2015.0</v>
      </c>
      <c r="AV836" s="13">
        <v>103.0</v>
      </c>
      <c r="AW836" s="13" t="s">
        <v>5510</v>
      </c>
      <c r="AX836" s="13" t="s">
        <v>5510</v>
      </c>
      <c r="AY836" s="13" t="s">
        <v>5510</v>
      </c>
      <c r="AZ836" s="13" t="s">
        <v>5510</v>
      </c>
      <c r="BA836" s="13" t="s">
        <v>5510</v>
      </c>
      <c r="BB836" s="13">
        <v>56.0</v>
      </c>
      <c r="BC836" s="13">
        <v>65.0</v>
      </c>
      <c r="BD836" s="13" t="s">
        <v>5510</v>
      </c>
      <c r="BE836" s="13" t="s">
        <v>20247</v>
      </c>
      <c r="BF836" s="52" t="str">
        <f>HYPERLINK("http://dx.doi.org/10.1016/j.marenvres.2014.11.008","http://dx.doi.org/10.1016/j.marenvres.2014.11.008")</f>
        <v>http://dx.doi.org/10.1016/j.marenvres.2014.11.008</v>
      </c>
      <c r="BG836" s="13" t="s">
        <v>5510</v>
      </c>
      <c r="BH836" s="13" t="s">
        <v>5510</v>
      </c>
      <c r="BI836" s="13">
        <v>10.0</v>
      </c>
      <c r="BJ836" s="13" t="s">
        <v>12238</v>
      </c>
      <c r="BK836" s="13" t="s">
        <v>5561</v>
      </c>
      <c r="BL836" s="13" t="s">
        <v>12239</v>
      </c>
      <c r="BM836" s="13" t="s">
        <v>20248</v>
      </c>
      <c r="BN836" s="13">
        <v>2.5460062E7</v>
      </c>
      <c r="BO836" s="13" t="s">
        <v>5510</v>
      </c>
      <c r="BP836" s="13" t="s">
        <v>5510</v>
      </c>
      <c r="BQ836" s="13" t="s">
        <v>5510</v>
      </c>
      <c r="BR836" s="13" t="s">
        <v>5538</v>
      </c>
      <c r="BS836" s="13" t="s">
        <v>20249</v>
      </c>
      <c r="BT836" s="13">
        <v>24184.0</v>
      </c>
      <c r="BU836" s="13" t="s">
        <v>5540</v>
      </c>
      <c r="BV836" s="13" t="s">
        <v>4864</v>
      </c>
      <c r="BW836" s="13" t="str">
        <f>VLOOKUP($BT836,Enriched!$A$2:$E$1070,5,false)</f>
        <v>["Human Intrusions &amp; Disturbance"]</v>
      </c>
      <c r="BX836" s="13" t="str">
        <f>VLOOKUP($BT836,Enriched!$A$2:$E$1070,4,false)</f>
        <v>["Recreational activities"]</v>
      </c>
      <c r="BY836" s="13" t="b">
        <f>VLOOKUP(BT836,Enriched!$A$1:$AA$1070,27,falsE)</f>
        <v>0</v>
      </c>
      <c r="BZ836" s="2" t="str">
        <f>VLOOKUP(BT836,Enriched!$A$1:$AA$1070,14,falsE)</f>
        <v>level2</v>
      </c>
      <c r="CA836" s="13" t="str">
        <f>HYPERLINK("https%3A%2F%2Fwww.webofscience.com%2Fwos%2Fwoscc%2Ffull-record%2FWOS:000348258300007","View Full Record in Web of Science")</f>
        <v>View Full Record in Web of Science</v>
      </c>
    </row>
    <row r="837" ht="12.75" customHeight="1">
      <c r="A837" s="13" t="s">
        <v>5508</v>
      </c>
      <c r="B837" s="13" t="s">
        <v>20250</v>
      </c>
      <c r="C837" s="13" t="s">
        <v>5510</v>
      </c>
      <c r="D837" s="13" t="s">
        <v>5510</v>
      </c>
      <c r="E837" s="13" t="s">
        <v>5510</v>
      </c>
      <c r="F837" s="13" t="s">
        <v>20251</v>
      </c>
      <c r="G837" s="13" t="s">
        <v>5510</v>
      </c>
      <c r="H837" s="13" t="s">
        <v>5510</v>
      </c>
      <c r="I837" s="13" t="s">
        <v>392</v>
      </c>
      <c r="J837" s="13" t="s">
        <v>20252</v>
      </c>
      <c r="K837" s="13" t="s">
        <v>5510</v>
      </c>
      <c r="L837" s="13" t="s">
        <v>5510</v>
      </c>
      <c r="M837" s="13" t="s">
        <v>5513</v>
      </c>
      <c r="N837" s="13" t="s">
        <v>5514</v>
      </c>
      <c r="O837" s="13" t="s">
        <v>5510</v>
      </c>
      <c r="P837" s="13" t="s">
        <v>5510</v>
      </c>
      <c r="Q837" s="13" t="s">
        <v>5510</v>
      </c>
      <c r="R837" s="13" t="s">
        <v>5510</v>
      </c>
      <c r="S837" s="13" t="s">
        <v>5510</v>
      </c>
      <c r="T837" s="13" t="s">
        <v>20253</v>
      </c>
      <c r="U837" s="13" t="s">
        <v>20254</v>
      </c>
      <c r="V837" s="13" t="s">
        <v>20255</v>
      </c>
      <c r="W837" s="13" t="s">
        <v>20256</v>
      </c>
      <c r="X837" s="13" t="s">
        <v>20257</v>
      </c>
      <c r="Y837" s="13" t="s">
        <v>20258</v>
      </c>
      <c r="Z837" s="13" t="s">
        <v>20259</v>
      </c>
      <c r="AA837" s="13" t="s">
        <v>20260</v>
      </c>
      <c r="AB837" s="13" t="s">
        <v>20261</v>
      </c>
      <c r="AC837" s="13" t="s">
        <v>5510</v>
      </c>
      <c r="AD837" s="13" t="s">
        <v>5510</v>
      </c>
      <c r="AE837" s="13" t="s">
        <v>5510</v>
      </c>
      <c r="AF837" s="13" t="s">
        <v>5510</v>
      </c>
      <c r="AG837" s="13">
        <v>49.0</v>
      </c>
      <c r="AH837" s="13">
        <v>19.0</v>
      </c>
      <c r="AI837" s="13">
        <v>25.0</v>
      </c>
      <c r="AJ837" s="13">
        <v>0.0</v>
      </c>
      <c r="AK837" s="13">
        <v>4.0</v>
      </c>
      <c r="AL837" s="13" t="s">
        <v>20262</v>
      </c>
      <c r="AM837" s="13" t="s">
        <v>20263</v>
      </c>
      <c r="AN837" s="13" t="s">
        <v>20264</v>
      </c>
      <c r="AO837" s="13" t="s">
        <v>20265</v>
      </c>
      <c r="AP837" s="13" t="s">
        <v>20266</v>
      </c>
      <c r="AQ837" s="13" t="s">
        <v>5510</v>
      </c>
      <c r="AR837" s="13" t="s">
        <v>20267</v>
      </c>
      <c r="AS837" s="13" t="s">
        <v>20268</v>
      </c>
      <c r="AT837" s="13" t="s">
        <v>5720</v>
      </c>
      <c r="AU837" s="13">
        <v>2017.0</v>
      </c>
      <c r="AV837" s="13">
        <v>25.0</v>
      </c>
      <c r="AW837" s="13">
        <v>3.0</v>
      </c>
      <c r="AX837" s="13" t="s">
        <v>5510</v>
      </c>
      <c r="AY837" s="13" t="s">
        <v>5510</v>
      </c>
      <c r="AZ837" s="13" t="s">
        <v>5510</v>
      </c>
      <c r="BA837" s="13" t="s">
        <v>5510</v>
      </c>
      <c r="BB837" s="13">
        <v>501.0</v>
      </c>
      <c r="BC837" s="13">
        <v>512.0</v>
      </c>
      <c r="BD837" s="13" t="s">
        <v>5510</v>
      </c>
      <c r="BE837" s="13" t="s">
        <v>20269</v>
      </c>
      <c r="BF837" s="52" t="str">
        <f>HYPERLINK("http://dx.doi.org/10.1007/s41324-017-0117-3","http://dx.doi.org/10.1007/s41324-017-0117-3")</f>
        <v>http://dx.doi.org/10.1007/s41324-017-0117-3</v>
      </c>
      <c r="BG837" s="13" t="s">
        <v>5510</v>
      </c>
      <c r="BH837" s="13" t="s">
        <v>5510</v>
      </c>
      <c r="BI837" s="13">
        <v>12.0</v>
      </c>
      <c r="BJ837" s="13" t="s">
        <v>866</v>
      </c>
      <c r="BK837" s="13" t="s">
        <v>7985</v>
      </c>
      <c r="BL837" s="13" t="s">
        <v>866</v>
      </c>
      <c r="BM837" s="13" t="s">
        <v>20270</v>
      </c>
      <c r="BN837" s="13" t="s">
        <v>5510</v>
      </c>
      <c r="BO837" s="13" t="s">
        <v>5510</v>
      </c>
      <c r="BP837" s="13" t="s">
        <v>5510</v>
      </c>
      <c r="BQ837" s="13" t="s">
        <v>5510</v>
      </c>
      <c r="BR837" s="13" t="s">
        <v>5538</v>
      </c>
      <c r="BS837" s="13" t="s">
        <v>20271</v>
      </c>
      <c r="BT837" s="13">
        <v>23788.0</v>
      </c>
      <c r="BU837" s="13" t="s">
        <v>5540</v>
      </c>
      <c r="BV837" s="13" t="s">
        <v>4856</v>
      </c>
      <c r="BW837" s="13" t="str">
        <f>VLOOKUP($BT837,Enriched!$A$2:$E$1070,5,false)</f>
        <v>["Residential &amp; commercial development", "Transportation &amp; service corridors"]</v>
      </c>
      <c r="BX837" s="13" t="str">
        <f>VLOOKUP($BT837,Enriched!$A$2:$E$1070,4,false)</f>
        <v>["Housing &amp; urban area", "Roads &amp; railroads"]</v>
      </c>
      <c r="BY837" s="13" t="b">
        <f>VLOOKUP(BT837,Enriched!$A$1:$AA$1070,27,falsE)</f>
        <v>0</v>
      </c>
      <c r="BZ837" s="2" t="str">
        <f>VLOOKUP(BT837,Enriched!$A$1:$AA$1070,14,falsE)</f>
        <v>level2</v>
      </c>
      <c r="CA837" s="13" t="str">
        <f>HYPERLINK("https%3A%2F%2Fwww.webofscience.com%2Fwos%2Fwoscc%2Ffull-record%2FWOS:000413301600017","View Full Record in Web of Science")</f>
        <v>View Full Record in Web of Science</v>
      </c>
    </row>
    <row r="838" ht="12.75" customHeight="1">
      <c r="A838" s="13" t="s">
        <v>5508</v>
      </c>
      <c r="B838" s="13" t="s">
        <v>20272</v>
      </c>
      <c r="C838" s="13" t="s">
        <v>5510</v>
      </c>
      <c r="D838" s="13" t="s">
        <v>5510</v>
      </c>
      <c r="E838" s="13" t="s">
        <v>5510</v>
      </c>
      <c r="F838" s="13" t="s">
        <v>20273</v>
      </c>
      <c r="G838" s="13" t="s">
        <v>5510</v>
      </c>
      <c r="H838" s="13" t="s">
        <v>5510</v>
      </c>
      <c r="I838" s="13" t="s">
        <v>388</v>
      </c>
      <c r="J838" s="13" t="s">
        <v>13185</v>
      </c>
      <c r="K838" s="13" t="s">
        <v>5510</v>
      </c>
      <c r="L838" s="13" t="s">
        <v>5510</v>
      </c>
      <c r="M838" s="13" t="s">
        <v>5513</v>
      </c>
      <c r="N838" s="13" t="s">
        <v>5514</v>
      </c>
      <c r="O838" s="13" t="s">
        <v>5510</v>
      </c>
      <c r="P838" s="13" t="s">
        <v>5510</v>
      </c>
      <c r="Q838" s="13" t="s">
        <v>5510</v>
      </c>
      <c r="R838" s="13" t="s">
        <v>5510</v>
      </c>
      <c r="S838" s="13" t="s">
        <v>5510</v>
      </c>
      <c r="T838" s="13" t="s">
        <v>20274</v>
      </c>
      <c r="U838" s="13" t="s">
        <v>20275</v>
      </c>
      <c r="V838" s="13" t="s">
        <v>20276</v>
      </c>
      <c r="W838" s="13" t="s">
        <v>20277</v>
      </c>
      <c r="X838" s="13" t="s">
        <v>20278</v>
      </c>
      <c r="Y838" s="13" t="s">
        <v>20279</v>
      </c>
      <c r="Z838" s="13" t="s">
        <v>20280</v>
      </c>
      <c r="AA838" s="13" t="s">
        <v>20281</v>
      </c>
      <c r="AB838" s="13" t="s">
        <v>20282</v>
      </c>
      <c r="AC838" s="13" t="s">
        <v>5510</v>
      </c>
      <c r="AD838" s="13" t="s">
        <v>5510</v>
      </c>
      <c r="AE838" s="13" t="s">
        <v>5510</v>
      </c>
      <c r="AF838" s="13" t="s">
        <v>5510</v>
      </c>
      <c r="AG838" s="13">
        <v>63.0</v>
      </c>
      <c r="AH838" s="13">
        <v>123.0</v>
      </c>
      <c r="AI838" s="13">
        <v>147.0</v>
      </c>
      <c r="AJ838" s="13">
        <v>2.0</v>
      </c>
      <c r="AK838" s="13">
        <v>169.0</v>
      </c>
      <c r="AL838" s="13" t="s">
        <v>13198</v>
      </c>
      <c r="AM838" s="13" t="s">
        <v>6503</v>
      </c>
      <c r="AN838" s="13" t="s">
        <v>13199</v>
      </c>
      <c r="AO838" s="13" t="s">
        <v>13200</v>
      </c>
      <c r="AP838" s="13" t="s">
        <v>13201</v>
      </c>
      <c r="AQ838" s="13" t="s">
        <v>5510</v>
      </c>
      <c r="AR838" s="13" t="s">
        <v>13202</v>
      </c>
      <c r="AS838" s="13" t="s">
        <v>13203</v>
      </c>
      <c r="AT838" s="13" t="s">
        <v>10628</v>
      </c>
      <c r="AU838" s="13">
        <v>2008.0</v>
      </c>
      <c r="AV838" s="13">
        <v>112.0</v>
      </c>
      <c r="AW838" s="13">
        <v>5.0</v>
      </c>
      <c r="AX838" s="13" t="s">
        <v>5510</v>
      </c>
      <c r="AY838" s="13" t="s">
        <v>5510</v>
      </c>
      <c r="AZ838" s="13" t="s">
        <v>5510</v>
      </c>
      <c r="BA838" s="13" t="s">
        <v>5510</v>
      </c>
      <c r="BB838" s="13">
        <v>2665.0</v>
      </c>
      <c r="BC838" s="13">
        <v>2676.0</v>
      </c>
      <c r="BD838" s="13" t="s">
        <v>5510</v>
      </c>
      <c r="BE838" s="13" t="s">
        <v>20283</v>
      </c>
      <c r="BF838" s="52" t="str">
        <f>HYPERLINK("http://dx.doi.org/10.1016/j.rse.2007.12.011","http://dx.doi.org/10.1016/j.rse.2007.12.011")</f>
        <v>http://dx.doi.org/10.1016/j.rse.2007.12.011</v>
      </c>
      <c r="BG838" s="13" t="s">
        <v>5510</v>
      </c>
      <c r="BH838" s="13" t="s">
        <v>5510</v>
      </c>
      <c r="BI838" s="13">
        <v>12.0</v>
      </c>
      <c r="BJ838" s="13" t="s">
        <v>13206</v>
      </c>
      <c r="BK838" s="13" t="s">
        <v>5561</v>
      </c>
      <c r="BL838" s="13" t="s">
        <v>13207</v>
      </c>
      <c r="BM838" s="13" t="s">
        <v>13521</v>
      </c>
      <c r="BN838" s="13" t="s">
        <v>5510</v>
      </c>
      <c r="BO838" s="13" t="s">
        <v>5510</v>
      </c>
      <c r="BP838" s="13" t="s">
        <v>5510</v>
      </c>
      <c r="BQ838" s="13" t="s">
        <v>5510</v>
      </c>
      <c r="BR838" s="13" t="s">
        <v>5538</v>
      </c>
      <c r="BS838" s="13" t="s">
        <v>20284</v>
      </c>
      <c r="BT838" s="13">
        <v>25189.0</v>
      </c>
      <c r="BU838" s="13" t="s">
        <v>5540</v>
      </c>
      <c r="BV838" s="13" t="s">
        <v>4856</v>
      </c>
      <c r="BW838" s="13" t="str">
        <f>VLOOKUP($BT838,Enriched!$A$2:$E$1070,5,false)</f>
        <v>["Invasive &amp; other problematic species, genes &amp; diseases"]</v>
      </c>
      <c r="BX838" s="13" t="str">
        <f>VLOOKUP($BT838,Enriched!$A$2:$E$1070,4,false)</f>
        <v>["Invasive non-native/alien species/diseases"]</v>
      </c>
      <c r="BY838" s="13" t="b">
        <f>VLOOKUP(BT838,Enriched!$A$1:$AA$1070,27,falsE)</f>
        <v>0</v>
      </c>
      <c r="BZ838" s="2" t="str">
        <f>VLOOKUP(BT838,Enriched!$A$1:$AA$1070,14,falsE)</f>
        <v>level2</v>
      </c>
      <c r="CA838" s="13" t="str">
        <f>HYPERLINK("https%3A%2F%2Fwww.webofscience.com%2Fwos%2Fwoscc%2Ffull-record%2FWOS:000255370700057","View Full Record in Web of Science")</f>
        <v>View Full Record in Web of Science</v>
      </c>
    </row>
    <row r="839" ht="12.75" customHeight="1">
      <c r="A839" s="13" t="s">
        <v>5508</v>
      </c>
      <c r="B839" s="13" t="s">
        <v>20285</v>
      </c>
      <c r="C839" s="13" t="s">
        <v>5510</v>
      </c>
      <c r="D839" s="13" t="s">
        <v>5510</v>
      </c>
      <c r="E839" s="13" t="s">
        <v>5510</v>
      </c>
      <c r="F839" s="13" t="s">
        <v>20286</v>
      </c>
      <c r="G839" s="13" t="s">
        <v>5510</v>
      </c>
      <c r="H839" s="13" t="s">
        <v>5510</v>
      </c>
      <c r="I839" s="13" t="s">
        <v>385</v>
      </c>
      <c r="J839" s="13" t="s">
        <v>12753</v>
      </c>
      <c r="K839" s="13" t="s">
        <v>5510</v>
      </c>
      <c r="L839" s="13" t="s">
        <v>5510</v>
      </c>
      <c r="M839" s="13" t="s">
        <v>5513</v>
      </c>
      <c r="N839" s="13" t="s">
        <v>5514</v>
      </c>
      <c r="O839" s="13" t="s">
        <v>5510</v>
      </c>
      <c r="P839" s="13" t="s">
        <v>5510</v>
      </c>
      <c r="Q839" s="13" t="s">
        <v>5510</v>
      </c>
      <c r="R839" s="13" t="s">
        <v>5510</v>
      </c>
      <c r="S839" s="13" t="s">
        <v>5510</v>
      </c>
      <c r="T839" s="13" t="s">
        <v>20287</v>
      </c>
      <c r="U839" s="13" t="s">
        <v>5510</v>
      </c>
      <c r="V839" s="13" t="s">
        <v>20288</v>
      </c>
      <c r="W839" s="13" t="s">
        <v>20289</v>
      </c>
      <c r="X839" s="13" t="s">
        <v>20290</v>
      </c>
      <c r="Y839" s="13" t="s">
        <v>20291</v>
      </c>
      <c r="Z839" s="13" t="s">
        <v>20292</v>
      </c>
      <c r="AA839" s="13" t="s">
        <v>20293</v>
      </c>
      <c r="AB839" s="13" t="s">
        <v>20294</v>
      </c>
      <c r="AC839" s="13" t="s">
        <v>20295</v>
      </c>
      <c r="AD839" s="13" t="s">
        <v>20296</v>
      </c>
      <c r="AE839" s="13" t="s">
        <v>20297</v>
      </c>
      <c r="AF839" s="13" t="s">
        <v>5510</v>
      </c>
      <c r="AG839" s="13">
        <v>40.0</v>
      </c>
      <c r="AH839" s="13">
        <v>69.0</v>
      </c>
      <c r="AI839" s="13">
        <v>78.0</v>
      </c>
      <c r="AJ839" s="13">
        <v>0.0</v>
      </c>
      <c r="AK839" s="13">
        <v>36.0</v>
      </c>
      <c r="AL839" s="13" t="s">
        <v>5527</v>
      </c>
      <c r="AM839" s="13" t="s">
        <v>5528</v>
      </c>
      <c r="AN839" s="13" t="s">
        <v>5529</v>
      </c>
      <c r="AO839" s="13" t="s">
        <v>12766</v>
      </c>
      <c r="AP839" s="13" t="s">
        <v>5510</v>
      </c>
      <c r="AQ839" s="13" t="s">
        <v>5510</v>
      </c>
      <c r="AR839" s="13" t="s">
        <v>12767</v>
      </c>
      <c r="AS839" s="13" t="s">
        <v>12768</v>
      </c>
      <c r="AT839" s="13" t="s">
        <v>8918</v>
      </c>
      <c r="AU839" s="13">
        <v>2018.0</v>
      </c>
      <c r="AV839" s="13">
        <v>11.0</v>
      </c>
      <c r="AW839" s="13">
        <v>5.0</v>
      </c>
      <c r="AX839" s="13" t="s">
        <v>5510</v>
      </c>
      <c r="AY839" s="13" t="s">
        <v>5510</v>
      </c>
      <c r="AZ839" s="13" t="s">
        <v>5510</v>
      </c>
      <c r="BA839" s="13" t="s">
        <v>5510</v>
      </c>
      <c r="BB839" s="13" t="s">
        <v>5510</v>
      </c>
      <c r="BC839" s="13" t="s">
        <v>5510</v>
      </c>
      <c r="BD839" s="13" t="s">
        <v>20298</v>
      </c>
      <c r="BE839" s="13" t="s">
        <v>20299</v>
      </c>
      <c r="BF839" s="52" t="str">
        <f>HYPERLINK("http://dx.doi.org/10.1111/conl.12446","http://dx.doi.org/10.1111/conl.12446")</f>
        <v>http://dx.doi.org/10.1111/conl.12446</v>
      </c>
      <c r="BG839" s="13" t="s">
        <v>5510</v>
      </c>
      <c r="BH839" s="13" t="s">
        <v>5510</v>
      </c>
      <c r="BI839" s="13">
        <v>13.0</v>
      </c>
      <c r="BJ839" s="13" t="s">
        <v>5648</v>
      </c>
      <c r="BK839" s="13" t="s">
        <v>5561</v>
      </c>
      <c r="BL839" s="13" t="s">
        <v>5650</v>
      </c>
      <c r="BM839" s="13" t="s">
        <v>20300</v>
      </c>
      <c r="BN839" s="13" t="s">
        <v>5510</v>
      </c>
      <c r="BO839" s="13" t="s">
        <v>5564</v>
      </c>
      <c r="BP839" s="13" t="s">
        <v>5510</v>
      </c>
      <c r="BQ839" s="13" t="s">
        <v>5510</v>
      </c>
      <c r="BR839" s="13" t="s">
        <v>5538</v>
      </c>
      <c r="BS839" s="13" t="s">
        <v>20301</v>
      </c>
      <c r="BT839" s="13">
        <v>23374.0</v>
      </c>
      <c r="BU839" s="13" t="s">
        <v>5540</v>
      </c>
      <c r="BV839" s="13" t="s">
        <v>4856</v>
      </c>
      <c r="BW839" s="13" t="str">
        <f>VLOOKUP($BT839,Enriched!$A$2:$E$1070,5,false)</f>
        <v>["Energy Production &amp; Mining", "Transportation &amp; Service Corridors", "Biological Resource Use", "Human Intrusions &amp; Disturbance"]</v>
      </c>
      <c r="BX839" s="13" t="str">
        <f>VLOOKUP($BT839,Enriched!$A$2:$E$1070,4,false)</f>
        <v>["Oil &amp; gas drilling", "Mining &amp; quarrying", "Roads &amp; railroads", "Hunting &amp; collecting terrestrial animals", "War, civil unrest &amp; military exercises", "Work &amp; other activities"]</v>
      </c>
      <c r="BY839" s="13" t="b">
        <f>VLOOKUP(BT839,Enriched!$A$1:$AA$1070,27,falsE)</f>
        <v>0</v>
      </c>
      <c r="BZ839" s="2" t="str">
        <f>VLOOKUP(BT839,Enriched!$A$1:$AA$1070,14,falsE)</f>
        <v>level2</v>
      </c>
      <c r="CA839" s="13" t="str">
        <f>HYPERLINK("https%3A%2F%2Fwww.webofscience.com%2Fwos%2Fwoscc%2Ffull-record%2FWOS:000446827300003","View Full Record in Web of Science")</f>
        <v>View Full Record in Web of Science</v>
      </c>
    </row>
    <row r="840" ht="12.75" customHeight="1">
      <c r="A840" s="13" t="s">
        <v>5508</v>
      </c>
      <c r="B840" s="13" t="s">
        <v>20302</v>
      </c>
      <c r="C840" s="13" t="s">
        <v>5510</v>
      </c>
      <c r="D840" s="13" t="s">
        <v>5510</v>
      </c>
      <c r="E840" s="13" t="s">
        <v>5510</v>
      </c>
      <c r="F840" s="13" t="s">
        <v>20303</v>
      </c>
      <c r="G840" s="13" t="s">
        <v>5510</v>
      </c>
      <c r="H840" s="13" t="s">
        <v>5510</v>
      </c>
      <c r="I840" s="13" t="s">
        <v>371</v>
      </c>
      <c r="J840" s="13" t="s">
        <v>18501</v>
      </c>
      <c r="K840" s="13" t="s">
        <v>5510</v>
      </c>
      <c r="L840" s="13" t="s">
        <v>5510</v>
      </c>
      <c r="M840" s="13" t="s">
        <v>5513</v>
      </c>
      <c r="N840" s="13" t="s">
        <v>5514</v>
      </c>
      <c r="O840" s="13" t="s">
        <v>5510</v>
      </c>
      <c r="P840" s="13" t="s">
        <v>5510</v>
      </c>
      <c r="Q840" s="13" t="s">
        <v>5510</v>
      </c>
      <c r="R840" s="13" t="s">
        <v>5510</v>
      </c>
      <c r="S840" s="13" t="s">
        <v>5510</v>
      </c>
      <c r="T840" s="13" t="s">
        <v>5510</v>
      </c>
      <c r="U840" s="13" t="s">
        <v>20304</v>
      </c>
      <c r="V840" s="13" t="s">
        <v>20305</v>
      </c>
      <c r="W840" s="13" t="s">
        <v>20306</v>
      </c>
      <c r="X840" s="13" t="s">
        <v>20307</v>
      </c>
      <c r="Y840" s="13" t="s">
        <v>20308</v>
      </c>
      <c r="Z840" s="13" t="s">
        <v>20309</v>
      </c>
      <c r="AA840" s="13" t="s">
        <v>20310</v>
      </c>
      <c r="AB840" s="13" t="s">
        <v>20311</v>
      </c>
      <c r="AC840" s="13" t="s">
        <v>20312</v>
      </c>
      <c r="AD840" s="13" t="s">
        <v>20313</v>
      </c>
      <c r="AE840" s="13" t="s">
        <v>20314</v>
      </c>
      <c r="AF840" s="13" t="s">
        <v>5510</v>
      </c>
      <c r="AG840" s="13">
        <v>76.0</v>
      </c>
      <c r="AH840" s="13">
        <v>108.0</v>
      </c>
      <c r="AI840" s="13">
        <v>114.0</v>
      </c>
      <c r="AJ840" s="13">
        <v>2.0</v>
      </c>
      <c r="AK840" s="13">
        <v>66.0</v>
      </c>
      <c r="AL840" s="13" t="s">
        <v>20315</v>
      </c>
      <c r="AM840" s="13" t="s">
        <v>18511</v>
      </c>
      <c r="AN840" s="13" t="s">
        <v>20316</v>
      </c>
      <c r="AO840" s="13" t="s">
        <v>18513</v>
      </c>
      <c r="AP840" s="13" t="s">
        <v>18514</v>
      </c>
      <c r="AQ840" s="13" t="s">
        <v>5510</v>
      </c>
      <c r="AR840" s="13" t="s">
        <v>18515</v>
      </c>
      <c r="AS840" s="13" t="s">
        <v>18516</v>
      </c>
      <c r="AT840" s="13" t="s">
        <v>2738</v>
      </c>
      <c r="AU840" s="13">
        <v>2015.0</v>
      </c>
      <c r="AV840" s="13">
        <v>72.0</v>
      </c>
      <c r="AW840" s="13">
        <v>2.0</v>
      </c>
      <c r="AX840" s="13" t="s">
        <v>5510</v>
      </c>
      <c r="AY840" s="13" t="s">
        <v>5510</v>
      </c>
      <c r="AZ840" s="13" t="s">
        <v>5510</v>
      </c>
      <c r="BA840" s="13" t="s">
        <v>5510</v>
      </c>
      <c r="BB840" s="13">
        <v>186.0</v>
      </c>
      <c r="BC840" s="13">
        <v>197.0</v>
      </c>
      <c r="BD840" s="13" t="s">
        <v>5510</v>
      </c>
      <c r="BE840" s="13" t="s">
        <v>20317</v>
      </c>
      <c r="BF840" s="52" t="str">
        <f>HYPERLINK("http://dx.doi.org/10.1139/cjfas-2014-0159","http://dx.doi.org/10.1139/cjfas-2014-0159")</f>
        <v>http://dx.doi.org/10.1139/cjfas-2014-0159</v>
      </c>
      <c r="BG840" s="13" t="s">
        <v>5510</v>
      </c>
      <c r="BH840" s="13" t="s">
        <v>5510</v>
      </c>
      <c r="BI840" s="13">
        <v>12.0</v>
      </c>
      <c r="BJ840" s="13" t="s">
        <v>7797</v>
      </c>
      <c r="BK840" s="13" t="s">
        <v>5561</v>
      </c>
      <c r="BL840" s="13" t="s">
        <v>7797</v>
      </c>
      <c r="BM840" s="13" t="s">
        <v>20318</v>
      </c>
      <c r="BN840" s="13" t="s">
        <v>5510</v>
      </c>
      <c r="BO840" s="13" t="s">
        <v>5510</v>
      </c>
      <c r="BP840" s="13" t="s">
        <v>5510</v>
      </c>
      <c r="BQ840" s="13" t="s">
        <v>5510</v>
      </c>
      <c r="BR840" s="13" t="s">
        <v>5538</v>
      </c>
      <c r="BS840" s="13" t="s">
        <v>20319</v>
      </c>
      <c r="BT840" s="13">
        <v>23603.0</v>
      </c>
      <c r="BU840" s="13" t="s">
        <v>5540</v>
      </c>
      <c r="BV840" s="13" t="s">
        <v>4864</v>
      </c>
      <c r="BW840" s="13" t="str">
        <f>VLOOKUP($BT840,Enriched!$A$2:$E$1070,5,false)</f>
        <v>["Biological resource use"]</v>
      </c>
      <c r="BX840" s="13" t="str">
        <f>VLOOKUP($BT840,Enriched!$A$2:$E$1070,4,false)</f>
        <v>["Fishing &amp; harvesting aquatic resources"]</v>
      </c>
      <c r="BY840" s="13" t="b">
        <f>VLOOKUP(BT840,Enriched!$A$1:$AA$1070,27,falsE)</f>
        <v>0</v>
      </c>
      <c r="BZ840" s="2" t="str">
        <f>VLOOKUP(BT840,Enriched!$A$1:$AA$1070,14,falsE)</f>
        <v>level2</v>
      </c>
      <c r="CA840" s="13" t="str">
        <f>HYPERLINK("https%3A%2F%2Fwww.webofscience.com%2Fwos%2Fwoscc%2Ffull-record%2FWOS:000348795800004","View Full Record in Web of Science")</f>
        <v>View Full Record in Web of Science</v>
      </c>
    </row>
    <row r="841" ht="12.75" customHeight="1">
      <c r="A841" s="13" t="s">
        <v>5508</v>
      </c>
      <c r="B841" s="13" t="s">
        <v>20320</v>
      </c>
      <c r="C841" s="13" t="s">
        <v>5510</v>
      </c>
      <c r="D841" s="13" t="s">
        <v>5510</v>
      </c>
      <c r="E841" s="13" t="s">
        <v>5510</v>
      </c>
      <c r="F841" s="13" t="s">
        <v>20321</v>
      </c>
      <c r="G841" s="13" t="s">
        <v>5510</v>
      </c>
      <c r="H841" s="13" t="s">
        <v>5510</v>
      </c>
      <c r="I841" s="13" t="s">
        <v>367</v>
      </c>
      <c r="J841" s="13" t="s">
        <v>17326</v>
      </c>
      <c r="K841" s="13" t="s">
        <v>5510</v>
      </c>
      <c r="L841" s="13" t="s">
        <v>5510</v>
      </c>
      <c r="M841" s="13" t="s">
        <v>5513</v>
      </c>
      <c r="N841" s="13" t="s">
        <v>5514</v>
      </c>
      <c r="O841" s="13" t="s">
        <v>5510</v>
      </c>
      <c r="P841" s="13" t="s">
        <v>5510</v>
      </c>
      <c r="Q841" s="13" t="s">
        <v>5510</v>
      </c>
      <c r="R841" s="13" t="s">
        <v>5510</v>
      </c>
      <c r="S841" s="13" t="s">
        <v>5510</v>
      </c>
      <c r="T841" s="13" t="s">
        <v>20322</v>
      </c>
      <c r="U841" s="13" t="s">
        <v>20323</v>
      </c>
      <c r="V841" s="13" t="s">
        <v>20324</v>
      </c>
      <c r="W841" s="13" t="s">
        <v>20325</v>
      </c>
      <c r="X841" s="13" t="s">
        <v>20326</v>
      </c>
      <c r="Y841" s="13" t="s">
        <v>20327</v>
      </c>
      <c r="Z841" s="13" t="s">
        <v>20328</v>
      </c>
      <c r="AA841" s="13" t="s">
        <v>5510</v>
      </c>
      <c r="AB841" s="13" t="s">
        <v>20329</v>
      </c>
      <c r="AC841" s="13" t="s">
        <v>20330</v>
      </c>
      <c r="AD841" s="13" t="s">
        <v>20330</v>
      </c>
      <c r="AE841" s="13" t="s">
        <v>20331</v>
      </c>
      <c r="AF841" s="13" t="s">
        <v>5510</v>
      </c>
      <c r="AG841" s="13">
        <v>79.0</v>
      </c>
      <c r="AH841" s="13">
        <v>77.0</v>
      </c>
      <c r="AI841" s="13">
        <v>89.0</v>
      </c>
      <c r="AJ841" s="13">
        <v>2.0</v>
      </c>
      <c r="AK841" s="13">
        <v>104.0</v>
      </c>
      <c r="AL841" s="13" t="s">
        <v>5527</v>
      </c>
      <c r="AM841" s="13" t="s">
        <v>5528</v>
      </c>
      <c r="AN841" s="13" t="s">
        <v>5529</v>
      </c>
      <c r="AO841" s="13" t="s">
        <v>17338</v>
      </c>
      <c r="AP841" s="13" t="s">
        <v>17339</v>
      </c>
      <c r="AQ841" s="13" t="s">
        <v>5510</v>
      </c>
      <c r="AR841" s="13" t="s">
        <v>17340</v>
      </c>
      <c r="AS841" s="13" t="s">
        <v>17341</v>
      </c>
      <c r="AT841" s="13" t="s">
        <v>5582</v>
      </c>
      <c r="AU841" s="13">
        <v>2011.0</v>
      </c>
      <c r="AV841" s="13">
        <v>56.0</v>
      </c>
      <c r="AW841" s="13">
        <v>1.0</v>
      </c>
      <c r="AX841" s="13" t="s">
        <v>5510</v>
      </c>
      <c r="AY841" s="13" t="s">
        <v>5510</v>
      </c>
      <c r="AZ841" s="13" t="s">
        <v>5510</v>
      </c>
      <c r="BA841" s="13" t="s">
        <v>5510</v>
      </c>
      <c r="BB841" s="13">
        <v>71.0</v>
      </c>
      <c r="BC841" s="13">
        <v>88.0</v>
      </c>
      <c r="BD841" s="13" t="s">
        <v>5510</v>
      </c>
      <c r="BE841" s="13" t="s">
        <v>20332</v>
      </c>
      <c r="BF841" s="52" t="str">
        <f>HYPERLINK("http://dx.doi.org/10.1111/j.1365-2427.2010.02417.x","http://dx.doi.org/10.1111/j.1365-2427.2010.02417.x")</f>
        <v>http://dx.doi.org/10.1111/j.1365-2427.2010.02417.x</v>
      </c>
      <c r="BG841" s="13" t="s">
        <v>5510</v>
      </c>
      <c r="BH841" s="13" t="s">
        <v>5510</v>
      </c>
      <c r="BI841" s="13">
        <v>18.0</v>
      </c>
      <c r="BJ841" s="13" t="s">
        <v>17343</v>
      </c>
      <c r="BK841" s="13" t="s">
        <v>5561</v>
      </c>
      <c r="BL841" s="13" t="s">
        <v>6328</v>
      </c>
      <c r="BM841" s="13" t="s">
        <v>20333</v>
      </c>
      <c r="BN841" s="13" t="s">
        <v>5510</v>
      </c>
      <c r="BO841" s="13" t="s">
        <v>5510</v>
      </c>
      <c r="BP841" s="13" t="s">
        <v>5510</v>
      </c>
      <c r="BQ841" s="13" t="s">
        <v>5510</v>
      </c>
      <c r="BR841" s="13" t="s">
        <v>5538</v>
      </c>
      <c r="BS841" s="13" t="s">
        <v>20334</v>
      </c>
      <c r="BT841" s="13">
        <v>23838.0</v>
      </c>
      <c r="BU841" s="13" t="s">
        <v>5540</v>
      </c>
      <c r="BV841" s="13" t="s">
        <v>4852</v>
      </c>
      <c r="BW841" s="13" t="str">
        <f>VLOOKUP($BT841,Enriched!$A$2:$E$1070,5,false)</f>
        <v>["Agriculture &amp; Aquaculture", "Transportation &amp; Service Corridors"]</v>
      </c>
      <c r="BX841" s="13" t="str">
        <f>VLOOKUP($BT841,Enriched!$A$2:$E$1070,4,false)</f>
        <v>["Housing &amp; urban area", "Annual &amp; perennial non-timber crops", "Wood &amp; pulp plantations", "Livestock farming &amp; ranching", "Roads &amp; railroads"]</v>
      </c>
      <c r="BY841" s="13" t="b">
        <f>VLOOKUP(BT841,Enriched!$A$1:$AA$1070,27,falsE)</f>
        <v>0</v>
      </c>
      <c r="BZ841" s="2" t="str">
        <f>VLOOKUP(BT841,Enriched!$A$1:$AA$1070,14,falsE)</f>
        <v>cumulative</v>
      </c>
      <c r="CA841" s="13" t="str">
        <f>HYPERLINK("https%3A%2F%2Fwww.webofscience.com%2Fwos%2Fwoscc%2Ffull-record%2FWOS:000285301600006","View Full Record in Web of Science")</f>
        <v>View Full Record in Web of Science</v>
      </c>
    </row>
    <row r="842" ht="12.75" customHeight="1">
      <c r="A842" s="13" t="s">
        <v>5508</v>
      </c>
      <c r="B842" s="13" t="s">
        <v>20335</v>
      </c>
      <c r="C842" s="13" t="s">
        <v>5510</v>
      </c>
      <c r="D842" s="13" t="s">
        <v>5510</v>
      </c>
      <c r="E842" s="13" t="s">
        <v>5510</v>
      </c>
      <c r="F842" s="13" t="s">
        <v>20336</v>
      </c>
      <c r="G842" s="13" t="s">
        <v>5510</v>
      </c>
      <c r="H842" s="13" t="s">
        <v>5510</v>
      </c>
      <c r="I842" s="13" t="s">
        <v>364</v>
      </c>
      <c r="J842" s="13" t="s">
        <v>15028</v>
      </c>
      <c r="K842" s="13" t="s">
        <v>5510</v>
      </c>
      <c r="L842" s="13" t="s">
        <v>5510</v>
      </c>
      <c r="M842" s="13" t="s">
        <v>5513</v>
      </c>
      <c r="N842" s="13" t="s">
        <v>5514</v>
      </c>
      <c r="O842" s="13" t="s">
        <v>5510</v>
      </c>
      <c r="P842" s="13" t="s">
        <v>5510</v>
      </c>
      <c r="Q842" s="13" t="s">
        <v>5510</v>
      </c>
      <c r="R842" s="13" t="s">
        <v>5510</v>
      </c>
      <c r="S842" s="13" t="s">
        <v>5510</v>
      </c>
      <c r="T842" s="13" t="s">
        <v>20337</v>
      </c>
      <c r="U842" s="13" t="s">
        <v>20338</v>
      </c>
      <c r="V842" s="13" t="s">
        <v>20339</v>
      </c>
      <c r="W842" s="13" t="s">
        <v>20340</v>
      </c>
      <c r="X842" s="13" t="s">
        <v>20341</v>
      </c>
      <c r="Y842" s="13" t="s">
        <v>20342</v>
      </c>
      <c r="Z842" s="13" t="s">
        <v>20343</v>
      </c>
      <c r="AA842" s="13" t="s">
        <v>20344</v>
      </c>
      <c r="AB842" s="13" t="s">
        <v>20345</v>
      </c>
      <c r="AC842" s="13" t="s">
        <v>20346</v>
      </c>
      <c r="AD842" s="13" t="s">
        <v>20347</v>
      </c>
      <c r="AE842" s="13" t="s">
        <v>20348</v>
      </c>
      <c r="AF842" s="13" t="s">
        <v>5510</v>
      </c>
      <c r="AG842" s="13">
        <v>92.0</v>
      </c>
      <c r="AH842" s="13">
        <v>29.0</v>
      </c>
      <c r="AI842" s="13">
        <v>29.0</v>
      </c>
      <c r="AJ842" s="13">
        <v>0.0</v>
      </c>
      <c r="AK842" s="13">
        <v>16.0</v>
      </c>
      <c r="AL842" s="13" t="s">
        <v>5690</v>
      </c>
      <c r="AM842" s="13" t="s">
        <v>6503</v>
      </c>
      <c r="AN842" s="13" t="s">
        <v>6504</v>
      </c>
      <c r="AO842" s="13" t="s">
        <v>15041</v>
      </c>
      <c r="AP842" s="13" t="s">
        <v>15042</v>
      </c>
      <c r="AQ842" s="13" t="s">
        <v>5510</v>
      </c>
      <c r="AR842" s="13" t="s">
        <v>15043</v>
      </c>
      <c r="AS842" s="13" t="s">
        <v>15044</v>
      </c>
      <c r="AT842" s="13" t="s">
        <v>2514</v>
      </c>
      <c r="AU842" s="13">
        <v>2018.0</v>
      </c>
      <c r="AV842" s="13">
        <v>64.0</v>
      </c>
      <c r="AW842" s="13">
        <v>5.0</v>
      </c>
      <c r="AX842" s="13" t="s">
        <v>5510</v>
      </c>
      <c r="AY842" s="13" t="s">
        <v>5510</v>
      </c>
      <c r="AZ842" s="13" t="s">
        <v>5510</v>
      </c>
      <c r="BA842" s="13" t="s">
        <v>5510</v>
      </c>
      <c r="BB842" s="13" t="s">
        <v>5510</v>
      </c>
      <c r="BC842" s="13" t="s">
        <v>5510</v>
      </c>
      <c r="BD842" s="13">
        <v>59.0</v>
      </c>
      <c r="BE842" s="13" t="s">
        <v>20349</v>
      </c>
      <c r="BF842" s="52" t="str">
        <f>HYPERLINK("http://dx.doi.org/10.1007/s10344-018-1214-x","http://dx.doi.org/10.1007/s10344-018-1214-x")</f>
        <v>http://dx.doi.org/10.1007/s10344-018-1214-x</v>
      </c>
      <c r="BG842" s="13" t="s">
        <v>5510</v>
      </c>
      <c r="BH842" s="13" t="s">
        <v>5510</v>
      </c>
      <c r="BI842" s="13">
        <v>12.0</v>
      </c>
      <c r="BJ842" s="13" t="s">
        <v>5584</v>
      </c>
      <c r="BK842" s="13" t="s">
        <v>5534</v>
      </c>
      <c r="BL842" s="13" t="s">
        <v>5585</v>
      </c>
      <c r="BM842" s="13" t="s">
        <v>20350</v>
      </c>
      <c r="BN842" s="13" t="s">
        <v>5510</v>
      </c>
      <c r="BO842" s="13" t="s">
        <v>5510</v>
      </c>
      <c r="BP842" s="13" t="s">
        <v>5510</v>
      </c>
      <c r="BQ842" s="13" t="s">
        <v>5510</v>
      </c>
      <c r="BR842" s="13" t="s">
        <v>5538</v>
      </c>
      <c r="BS842" s="13" t="s">
        <v>20351</v>
      </c>
      <c r="BT842" s="13">
        <v>23871.0</v>
      </c>
      <c r="BU842" s="13" t="s">
        <v>5540</v>
      </c>
      <c r="BV842" s="13" t="s">
        <v>4856</v>
      </c>
      <c r="BW842" s="13" t="str">
        <f>VLOOKUP($BT842,Enriched!$A$2:$E$1070,5,false)</f>
        <v>["Transportation &amp; Service Corridors"]</v>
      </c>
      <c r="BX842" s="13" t="str">
        <f>VLOOKUP($BT842,Enriched!$A$2:$E$1070,4,false)</f>
        <v>["Roads &amp; railroads"]</v>
      </c>
      <c r="BY842" s="13" t="b">
        <f>VLOOKUP(BT842,Enriched!$A$1:$AA$1070,27,falsE)</f>
        <v>0</v>
      </c>
      <c r="BZ842" s="2" t="str">
        <f>VLOOKUP(BT842,Enriched!$A$1:$AA$1070,14,falsE)</f>
        <v>level2</v>
      </c>
      <c r="CA842" s="13" t="str">
        <f>HYPERLINK("https%3A%2F%2Fwww.webofscience.com%2Fwos%2Fwoscc%2Ffull-record%2FWOS:000445753000001","View Full Record in Web of Science")</f>
        <v>View Full Record in Web of Science</v>
      </c>
    </row>
    <row r="843" ht="12.75" customHeight="1">
      <c r="A843" s="13" t="s">
        <v>5508</v>
      </c>
      <c r="B843" s="13" t="s">
        <v>20352</v>
      </c>
      <c r="C843" s="13" t="s">
        <v>5510</v>
      </c>
      <c r="D843" s="13" t="s">
        <v>5510</v>
      </c>
      <c r="E843" s="13" t="s">
        <v>5510</v>
      </c>
      <c r="F843" s="13" t="s">
        <v>20353</v>
      </c>
      <c r="G843" s="13" t="s">
        <v>5510</v>
      </c>
      <c r="H843" s="13" t="s">
        <v>5510</v>
      </c>
      <c r="I843" s="13" t="s">
        <v>362</v>
      </c>
      <c r="J843" s="13" t="s">
        <v>5963</v>
      </c>
      <c r="K843" s="13" t="s">
        <v>5510</v>
      </c>
      <c r="L843" s="13" t="s">
        <v>5510</v>
      </c>
      <c r="M843" s="13" t="s">
        <v>5513</v>
      </c>
      <c r="N843" s="13" t="s">
        <v>5514</v>
      </c>
      <c r="O843" s="13" t="s">
        <v>5510</v>
      </c>
      <c r="P843" s="13" t="s">
        <v>5510</v>
      </c>
      <c r="Q843" s="13" t="s">
        <v>5510</v>
      </c>
      <c r="R843" s="13" t="s">
        <v>5510</v>
      </c>
      <c r="S843" s="13" t="s">
        <v>5510</v>
      </c>
      <c r="T843" s="13" t="s">
        <v>20354</v>
      </c>
      <c r="U843" s="13" t="s">
        <v>20355</v>
      </c>
      <c r="V843" s="13" t="s">
        <v>20356</v>
      </c>
      <c r="W843" s="13" t="s">
        <v>20357</v>
      </c>
      <c r="X843" s="13" t="s">
        <v>20358</v>
      </c>
      <c r="Y843" s="13" t="s">
        <v>20359</v>
      </c>
      <c r="Z843" s="13" t="s">
        <v>20360</v>
      </c>
      <c r="AA843" s="13" t="s">
        <v>20361</v>
      </c>
      <c r="AB843" s="13" t="s">
        <v>20362</v>
      </c>
      <c r="AC843" s="13" t="s">
        <v>5510</v>
      </c>
      <c r="AD843" s="13" t="s">
        <v>5510</v>
      </c>
      <c r="AE843" s="13" t="s">
        <v>5510</v>
      </c>
      <c r="AF843" s="13" t="s">
        <v>5510</v>
      </c>
      <c r="AG843" s="13">
        <v>70.0</v>
      </c>
      <c r="AH843" s="13">
        <v>80.0</v>
      </c>
      <c r="AI843" s="13">
        <v>85.0</v>
      </c>
      <c r="AJ843" s="13">
        <v>5.0</v>
      </c>
      <c r="AK843" s="13">
        <v>159.0</v>
      </c>
      <c r="AL843" s="13" t="s">
        <v>5690</v>
      </c>
      <c r="AM843" s="13" t="s">
        <v>5691</v>
      </c>
      <c r="AN843" s="13" t="s">
        <v>5692</v>
      </c>
      <c r="AO843" s="13" t="s">
        <v>5975</v>
      </c>
      <c r="AP843" s="13" t="s">
        <v>8269</v>
      </c>
      <c r="AQ843" s="13" t="s">
        <v>5510</v>
      </c>
      <c r="AR843" s="13" t="s">
        <v>5976</v>
      </c>
      <c r="AS843" s="13" t="s">
        <v>5977</v>
      </c>
      <c r="AT843" s="13" t="s">
        <v>11901</v>
      </c>
      <c r="AU843" s="13">
        <v>2020.0</v>
      </c>
      <c r="AV843" s="13">
        <v>192.0</v>
      </c>
      <c r="AW843" s="13">
        <v>8.0</v>
      </c>
      <c r="AX843" s="13" t="s">
        <v>5510</v>
      </c>
      <c r="AY843" s="13" t="s">
        <v>5510</v>
      </c>
      <c r="AZ843" s="13" t="s">
        <v>5510</v>
      </c>
      <c r="BA843" s="13" t="s">
        <v>5510</v>
      </c>
      <c r="BB843" s="13" t="s">
        <v>5510</v>
      </c>
      <c r="BC843" s="13" t="s">
        <v>5510</v>
      </c>
      <c r="BD843" s="13">
        <v>487.0</v>
      </c>
      <c r="BE843" s="13" t="s">
        <v>20363</v>
      </c>
      <c r="BF843" s="52" t="str">
        <f>HYPERLINK("http://dx.doi.org/10.1007/s10661-020-08460-6","http://dx.doi.org/10.1007/s10661-020-08460-6")</f>
        <v>http://dx.doi.org/10.1007/s10661-020-08460-6</v>
      </c>
      <c r="BG843" s="13" t="s">
        <v>5510</v>
      </c>
      <c r="BH843" s="13" t="s">
        <v>5510</v>
      </c>
      <c r="BI843" s="13">
        <v>17.0</v>
      </c>
      <c r="BJ843" s="13" t="s">
        <v>5768</v>
      </c>
      <c r="BK843" s="13" t="s">
        <v>5561</v>
      </c>
      <c r="BL843" s="13" t="s">
        <v>5535</v>
      </c>
      <c r="BM843" s="13" t="s">
        <v>20364</v>
      </c>
      <c r="BN843" s="13">
        <v>3.2621254E7</v>
      </c>
      <c r="BO843" s="13" t="s">
        <v>5510</v>
      </c>
      <c r="BP843" s="13" t="s">
        <v>5510</v>
      </c>
      <c r="BQ843" s="13" t="s">
        <v>5510</v>
      </c>
      <c r="BR843" s="13" t="s">
        <v>5538</v>
      </c>
      <c r="BS843" s="13" t="s">
        <v>20365</v>
      </c>
      <c r="BT843" s="13">
        <v>24945.0</v>
      </c>
      <c r="BU843" s="13" t="s">
        <v>5540</v>
      </c>
      <c r="BV843" s="13" t="s">
        <v>4856</v>
      </c>
      <c r="BW843" s="13" t="str">
        <f>VLOOKUP($BT843,Enriched!$A$2:$E$1070,5,false)</f>
        <v>["Agriculture &amp; Aquaculture", "Energy Production &amp; Mining", "Transportation &amp; Service Corridors"]</v>
      </c>
      <c r="BX843" s="13" t="str">
        <f>VLOOKUP($BT843,Enriched!$A$2:$E$1070,4,false)</f>
        <v>["Housing &amp; urban area", "Mining &amp; quarrying", "Roads &amp; railroads"]</v>
      </c>
      <c r="BY843" s="13" t="b">
        <f>VLOOKUP(BT843,Enriched!$A$1:$AA$1070,27,falsE)</f>
        <v>1</v>
      </c>
      <c r="BZ843" s="2" t="str">
        <f>VLOOKUP(BT843,Enriched!$A$1:$AA$1070,14,falsE)</f>
        <v>level2</v>
      </c>
      <c r="CA843" s="13" t="str">
        <f>HYPERLINK("https%3A%2F%2Fwww.webofscience.com%2Fwos%2Fwoscc%2Ffull-record%2FWOS:000549881600002","View Full Record in Web of Science")</f>
        <v>View Full Record in Web of Science</v>
      </c>
    </row>
    <row r="844" ht="12.75" customHeight="1">
      <c r="A844" s="13" t="s">
        <v>6232</v>
      </c>
      <c r="B844" s="13" t="s">
        <v>20366</v>
      </c>
      <c r="C844" s="13" t="s">
        <v>5510</v>
      </c>
      <c r="D844" s="13" t="s">
        <v>20367</v>
      </c>
      <c r="E844" s="13" t="s">
        <v>5510</v>
      </c>
      <c r="F844" s="13" t="s">
        <v>20368</v>
      </c>
      <c r="G844" s="13" t="s">
        <v>5510</v>
      </c>
      <c r="H844" s="13" t="s">
        <v>5510</v>
      </c>
      <c r="I844" s="13" t="s">
        <v>20369</v>
      </c>
      <c r="J844" s="13" t="s">
        <v>20370</v>
      </c>
      <c r="K844" s="13" t="s">
        <v>105</v>
      </c>
      <c r="L844" s="13" t="s">
        <v>5510</v>
      </c>
      <c r="M844" s="13" t="s">
        <v>5513</v>
      </c>
      <c r="N844" s="13" t="s">
        <v>6238</v>
      </c>
      <c r="O844" s="13" t="s">
        <v>20371</v>
      </c>
      <c r="P844" s="13" t="s">
        <v>20372</v>
      </c>
      <c r="Q844" s="13" t="s">
        <v>20373</v>
      </c>
      <c r="R844" s="13" t="s">
        <v>20374</v>
      </c>
      <c r="S844" s="13" t="s">
        <v>5510</v>
      </c>
      <c r="T844" s="13" t="s">
        <v>5510</v>
      </c>
      <c r="U844" s="13" t="s">
        <v>20375</v>
      </c>
      <c r="V844" s="13" t="s">
        <v>20376</v>
      </c>
      <c r="W844" s="13" t="s">
        <v>20377</v>
      </c>
      <c r="X844" s="13" t="s">
        <v>20378</v>
      </c>
      <c r="Y844" s="13" t="s">
        <v>20379</v>
      </c>
      <c r="Z844" s="13" t="s">
        <v>20380</v>
      </c>
      <c r="AA844" s="13" t="s">
        <v>5510</v>
      </c>
      <c r="AB844" s="13" t="s">
        <v>5510</v>
      </c>
      <c r="AC844" s="13" t="s">
        <v>5510</v>
      </c>
      <c r="AD844" s="13" t="s">
        <v>5510</v>
      </c>
      <c r="AE844" s="13" t="s">
        <v>5510</v>
      </c>
      <c r="AF844" s="13" t="s">
        <v>5510</v>
      </c>
      <c r="AG844" s="13">
        <v>12.0</v>
      </c>
      <c r="AH844" s="13">
        <v>1.0</v>
      </c>
      <c r="AI844" s="13">
        <v>1.0</v>
      </c>
      <c r="AJ844" s="13">
        <v>0.0</v>
      </c>
      <c r="AK844" s="13">
        <v>3.0</v>
      </c>
      <c r="AL844" s="13" t="s">
        <v>6247</v>
      </c>
      <c r="AM844" s="13" t="s">
        <v>5908</v>
      </c>
      <c r="AN844" s="13" t="s">
        <v>6248</v>
      </c>
      <c r="AO844" s="13" t="s">
        <v>6249</v>
      </c>
      <c r="AP844" s="13" t="s">
        <v>6250</v>
      </c>
      <c r="AQ844" s="13" t="s">
        <v>20381</v>
      </c>
      <c r="AR844" s="13" t="s">
        <v>6252</v>
      </c>
      <c r="AS844" s="13" t="s">
        <v>6253</v>
      </c>
      <c r="AT844" s="13" t="s">
        <v>5510</v>
      </c>
      <c r="AU844" s="13">
        <v>2014.0</v>
      </c>
      <c r="AV844" s="13">
        <v>1168.0</v>
      </c>
      <c r="AW844" s="13" t="s">
        <v>5510</v>
      </c>
      <c r="AX844" s="13" t="s">
        <v>5510</v>
      </c>
      <c r="AY844" s="13" t="s">
        <v>5510</v>
      </c>
      <c r="AZ844" s="13" t="s">
        <v>5510</v>
      </c>
      <c r="BA844" s="13" t="s">
        <v>5510</v>
      </c>
      <c r="BB844" s="13">
        <v>315.0</v>
      </c>
      <c r="BC844" s="13" t="s">
        <v>9408</v>
      </c>
      <c r="BD844" s="13" t="s">
        <v>5510</v>
      </c>
      <c r="BE844" s="13" t="str">
        <f>#REF!</f>
        <v>#REF!</v>
      </c>
      <c r="BF844" s="13" t="s">
        <v>5510</v>
      </c>
      <c r="BG844" s="13" t="s">
        <v>5510</v>
      </c>
      <c r="BH844" s="13" t="s">
        <v>5510</v>
      </c>
      <c r="BI844" s="13">
        <v>3.0</v>
      </c>
      <c r="BJ844" s="13" t="s">
        <v>20382</v>
      </c>
      <c r="BK844" s="13" t="s">
        <v>6255</v>
      </c>
      <c r="BL844" s="13" t="s">
        <v>20383</v>
      </c>
      <c r="BM844" s="13" t="s">
        <v>20384</v>
      </c>
      <c r="BN844" s="13" t="s">
        <v>5510</v>
      </c>
      <c r="BO844" s="13" t="s">
        <v>5510</v>
      </c>
      <c r="BP844" s="13" t="s">
        <v>5510</v>
      </c>
      <c r="BQ844" s="13" t="s">
        <v>5510</v>
      </c>
      <c r="BR844" s="13" t="s">
        <v>5538</v>
      </c>
      <c r="BS844" s="13" t="s">
        <v>20385</v>
      </c>
      <c r="BT844" s="13">
        <v>26033.0</v>
      </c>
      <c r="BU844" s="13" t="s">
        <v>5540</v>
      </c>
      <c r="BV844" s="13" t="s">
        <v>4852</v>
      </c>
      <c r="BW844" s="13" t="str">
        <f>VLOOKUP($BT844,Enriched!$A$2:$E$1070,5,false)</f>
        <v>["Agriculture &amp; Aquaculture", "Pollution"]</v>
      </c>
      <c r="BX844" s="13" t="str">
        <f>VLOOKUP($BT844,Enriched!$A$2:$E$1070,4,false)</f>
        <v>["Annual &amp; perennial non-timber crops", "Agricultural &amp; forestry effluents"]</v>
      </c>
      <c r="BY844" s="13" t="b">
        <f>VLOOKUP(BT844,Enriched!$A$1:$AA$1070,27,falsE)</f>
        <v>0</v>
      </c>
      <c r="BZ844" s="2" t="str">
        <f>VLOOKUP(BT844,Enriched!$A$1:$AA$1070,14,falsE)</f>
        <v>level2</v>
      </c>
      <c r="CA844" s="13" t="str">
        <f>HYPERLINK("https%3A%2F%2Fwww.webofscience.com%2Fwos%2Fwoscc%2Ffull-record%2FWOS:000344904500013","View Full Record in Web of Science")</f>
        <v>View Full Record in Web of Science</v>
      </c>
    </row>
    <row r="845" ht="12.75" customHeight="1">
      <c r="A845" s="13" t="s">
        <v>5508</v>
      </c>
      <c r="B845" s="13" t="s">
        <v>20386</v>
      </c>
      <c r="C845" s="13" t="s">
        <v>5510</v>
      </c>
      <c r="D845" s="13" t="s">
        <v>5510</v>
      </c>
      <c r="E845" s="13" t="s">
        <v>5510</v>
      </c>
      <c r="F845" s="13" t="s">
        <v>20387</v>
      </c>
      <c r="G845" s="13" t="s">
        <v>5510</v>
      </c>
      <c r="H845" s="13" t="s">
        <v>5510</v>
      </c>
      <c r="I845" s="13" t="s">
        <v>356</v>
      </c>
      <c r="J845" s="13" t="s">
        <v>11395</v>
      </c>
      <c r="K845" s="13" t="s">
        <v>5510</v>
      </c>
      <c r="L845" s="13" t="s">
        <v>5510</v>
      </c>
      <c r="M845" s="13" t="s">
        <v>5513</v>
      </c>
      <c r="N845" s="13" t="s">
        <v>5514</v>
      </c>
      <c r="O845" s="13" t="s">
        <v>5510</v>
      </c>
      <c r="P845" s="13" t="s">
        <v>5510</v>
      </c>
      <c r="Q845" s="13" t="s">
        <v>5510</v>
      </c>
      <c r="R845" s="13" t="s">
        <v>5510</v>
      </c>
      <c r="S845" s="13" t="s">
        <v>5510</v>
      </c>
      <c r="T845" s="13" t="s">
        <v>20388</v>
      </c>
      <c r="U845" s="13" t="s">
        <v>20389</v>
      </c>
      <c r="V845" s="13" t="s">
        <v>20390</v>
      </c>
      <c r="W845" s="13" t="s">
        <v>20391</v>
      </c>
      <c r="X845" s="13" t="s">
        <v>20392</v>
      </c>
      <c r="Y845" s="13" t="s">
        <v>20393</v>
      </c>
      <c r="Z845" s="13" t="s">
        <v>20394</v>
      </c>
      <c r="AA845" s="13" t="s">
        <v>20395</v>
      </c>
      <c r="AB845" s="13" t="s">
        <v>20396</v>
      </c>
      <c r="AC845" s="13" t="s">
        <v>20397</v>
      </c>
      <c r="AD845" s="13" t="s">
        <v>20398</v>
      </c>
      <c r="AE845" s="13" t="s">
        <v>20399</v>
      </c>
      <c r="AF845" s="13" t="s">
        <v>5510</v>
      </c>
      <c r="AG845" s="13">
        <v>71.0</v>
      </c>
      <c r="AH845" s="13">
        <v>15.0</v>
      </c>
      <c r="AI845" s="13">
        <v>16.0</v>
      </c>
      <c r="AJ845" s="13">
        <v>1.0</v>
      </c>
      <c r="AK845" s="13">
        <v>20.0</v>
      </c>
      <c r="AL845" s="13" t="s">
        <v>5690</v>
      </c>
      <c r="AM845" s="13" t="s">
        <v>5691</v>
      </c>
      <c r="AN845" s="13" t="s">
        <v>5692</v>
      </c>
      <c r="AO845" s="13" t="s">
        <v>11407</v>
      </c>
      <c r="AP845" s="13" t="s">
        <v>11408</v>
      </c>
      <c r="AQ845" s="13" t="s">
        <v>5510</v>
      </c>
      <c r="AR845" s="13" t="s">
        <v>11409</v>
      </c>
      <c r="AS845" s="13" t="s">
        <v>11410</v>
      </c>
      <c r="AT845" s="13" t="s">
        <v>6828</v>
      </c>
      <c r="AU845" s="13">
        <v>2020.0</v>
      </c>
      <c r="AV845" s="13">
        <v>28.0</v>
      </c>
      <c r="AW845" s="13">
        <v>2.0</v>
      </c>
      <c r="AX845" s="13" t="s">
        <v>5510</v>
      </c>
      <c r="AY845" s="13" t="s">
        <v>5510</v>
      </c>
      <c r="AZ845" s="13" t="s">
        <v>5510</v>
      </c>
      <c r="BA845" s="13" t="s">
        <v>5510</v>
      </c>
      <c r="BB845" s="13">
        <v>357.0</v>
      </c>
      <c r="BC845" s="13">
        <v>373.0</v>
      </c>
      <c r="BD845" s="13" t="s">
        <v>5510</v>
      </c>
      <c r="BE845" s="13" t="s">
        <v>20400</v>
      </c>
      <c r="BF845" s="52" t="str">
        <f>HYPERLINK("http://dx.doi.org/10.1007/s11273-020-09719-y","http://dx.doi.org/10.1007/s11273-020-09719-y")</f>
        <v>http://dx.doi.org/10.1007/s11273-020-09719-y</v>
      </c>
      <c r="BG845" s="13" t="s">
        <v>5510</v>
      </c>
      <c r="BH845" s="13" t="s">
        <v>6462</v>
      </c>
      <c r="BI845" s="13">
        <v>17.0</v>
      </c>
      <c r="BJ845" s="13" t="s">
        <v>11412</v>
      </c>
      <c r="BK845" s="13" t="s">
        <v>5561</v>
      </c>
      <c r="BL845" s="13" t="s">
        <v>6092</v>
      </c>
      <c r="BM845" s="13" t="s">
        <v>20401</v>
      </c>
      <c r="BN845" s="13" t="s">
        <v>5510</v>
      </c>
      <c r="BO845" s="13" t="s">
        <v>6586</v>
      </c>
      <c r="BP845" s="13" t="s">
        <v>5510</v>
      </c>
      <c r="BQ845" s="13" t="s">
        <v>5510</v>
      </c>
      <c r="BR845" s="13" t="s">
        <v>5538</v>
      </c>
      <c r="BS845" s="13" t="s">
        <v>20402</v>
      </c>
      <c r="BT845" s="13">
        <v>24423.0</v>
      </c>
      <c r="BU845" s="13" t="s">
        <v>5540</v>
      </c>
      <c r="BV845" s="13" t="s">
        <v>4856</v>
      </c>
      <c r="BW845" s="13" t="str">
        <f>VLOOKUP($BT845,Enriched!$A$2:$E$1070,5,false)</f>
        <v>["Invasive &amp; other problematic species, genes &amp; diseases"]</v>
      </c>
      <c r="BX845" s="13" t="str">
        <f>VLOOKUP($BT845,Enriched!$A$2:$E$1070,4,false)</f>
        <v>["Invasive non-native/alien species/diseases"]</v>
      </c>
      <c r="BY845" s="13" t="b">
        <f>VLOOKUP(BT845,Enriched!$A$1:$AA$1070,27,falsE)</f>
        <v>0</v>
      </c>
      <c r="BZ845" s="2" t="str">
        <f>VLOOKUP(BT845,Enriched!$A$1:$AA$1070,14,falsE)</f>
        <v>level2</v>
      </c>
      <c r="CA845" s="13" t="str">
        <f>HYPERLINK("https%3A%2F%2Fwww.webofscience.com%2Fwos%2Fwoscc%2Ffull-record%2FWOS:000521924500001","View Full Record in Web of Science")</f>
        <v>View Full Record in Web of Science</v>
      </c>
    </row>
    <row r="846" ht="12.75" customHeight="1">
      <c r="A846" s="13" t="s">
        <v>5508</v>
      </c>
      <c r="B846" s="13" t="s">
        <v>20403</v>
      </c>
      <c r="C846" s="13" t="s">
        <v>5510</v>
      </c>
      <c r="D846" s="13" t="s">
        <v>5510</v>
      </c>
      <c r="E846" s="13" t="s">
        <v>5510</v>
      </c>
      <c r="F846" s="13" t="s">
        <v>20404</v>
      </c>
      <c r="G846" s="13" t="s">
        <v>5510</v>
      </c>
      <c r="H846" s="13" t="s">
        <v>5510</v>
      </c>
      <c r="I846" s="13" t="s">
        <v>20405</v>
      </c>
      <c r="J846" s="13" t="s">
        <v>20406</v>
      </c>
      <c r="K846" s="13" t="s">
        <v>5510</v>
      </c>
      <c r="L846" s="13" t="s">
        <v>5510</v>
      </c>
      <c r="M846" s="13" t="s">
        <v>5513</v>
      </c>
      <c r="N846" s="13" t="s">
        <v>5514</v>
      </c>
      <c r="O846" s="13" t="s">
        <v>5510</v>
      </c>
      <c r="P846" s="13" t="s">
        <v>5510</v>
      </c>
      <c r="Q846" s="13" t="s">
        <v>5510</v>
      </c>
      <c r="R846" s="13" t="s">
        <v>5510</v>
      </c>
      <c r="S846" s="13" t="s">
        <v>5510</v>
      </c>
      <c r="T846" s="13" t="s">
        <v>20407</v>
      </c>
      <c r="U846" s="13" t="s">
        <v>20408</v>
      </c>
      <c r="V846" s="13" t="s">
        <v>20409</v>
      </c>
      <c r="W846" s="13" t="s">
        <v>20410</v>
      </c>
      <c r="X846" s="13" t="s">
        <v>20411</v>
      </c>
      <c r="Y846" s="13" t="s">
        <v>20412</v>
      </c>
      <c r="Z846" s="13" t="s">
        <v>20413</v>
      </c>
      <c r="AA846" s="13" t="s">
        <v>5510</v>
      </c>
      <c r="AB846" s="13" t="s">
        <v>5510</v>
      </c>
      <c r="AC846" s="13" t="s">
        <v>20414</v>
      </c>
      <c r="AD846" s="13" t="s">
        <v>20415</v>
      </c>
      <c r="AE846" s="13" t="s">
        <v>20416</v>
      </c>
      <c r="AF846" s="13" t="s">
        <v>5510</v>
      </c>
      <c r="AG846" s="13">
        <v>26.0</v>
      </c>
      <c r="AH846" s="13">
        <v>17.0</v>
      </c>
      <c r="AI846" s="13">
        <v>26.0</v>
      </c>
      <c r="AJ846" s="13">
        <v>0.0</v>
      </c>
      <c r="AK846" s="13">
        <v>26.0</v>
      </c>
      <c r="AL846" s="13" t="s">
        <v>5690</v>
      </c>
      <c r="AM846" s="13" t="s">
        <v>6503</v>
      </c>
      <c r="AN846" s="13" t="s">
        <v>7040</v>
      </c>
      <c r="AO846" s="13" t="s">
        <v>20417</v>
      </c>
      <c r="AP846" s="13" t="s">
        <v>20418</v>
      </c>
      <c r="AQ846" s="13" t="s">
        <v>5510</v>
      </c>
      <c r="AR846" s="13" t="s">
        <v>20419</v>
      </c>
      <c r="AS846" s="13" t="s">
        <v>20420</v>
      </c>
      <c r="AT846" s="13" t="s">
        <v>1453</v>
      </c>
      <c r="AU846" s="13">
        <v>2011.0</v>
      </c>
      <c r="AV846" s="13">
        <v>15.0</v>
      </c>
      <c r="AW846" s="13">
        <v>4.0</v>
      </c>
      <c r="AX846" s="13" t="s">
        <v>5510</v>
      </c>
      <c r="AY846" s="13" t="s">
        <v>5510</v>
      </c>
      <c r="AZ846" s="13" t="s">
        <v>5510</v>
      </c>
      <c r="BA846" s="13" t="s">
        <v>5510</v>
      </c>
      <c r="BB846" s="13">
        <v>417.0</v>
      </c>
      <c r="BC846" s="13">
        <v>431.0</v>
      </c>
      <c r="BD846" s="13" t="s">
        <v>5510</v>
      </c>
      <c r="BE846" s="13" t="s">
        <v>20421</v>
      </c>
      <c r="BF846" s="52" t="str">
        <f>HYPERLINK("http://dx.doi.org/10.1007/s11852-010-0101-8","http://dx.doi.org/10.1007/s11852-010-0101-8")</f>
        <v>http://dx.doi.org/10.1007/s11852-010-0101-8</v>
      </c>
      <c r="BG846" s="13" t="s">
        <v>5510</v>
      </c>
      <c r="BH846" s="13" t="s">
        <v>5510</v>
      </c>
      <c r="BI846" s="13">
        <v>15.0</v>
      </c>
      <c r="BJ846" s="13" t="s">
        <v>20422</v>
      </c>
      <c r="BK846" s="13" t="s">
        <v>5561</v>
      </c>
      <c r="BL846" s="13" t="s">
        <v>20423</v>
      </c>
      <c r="BM846" s="13" t="s">
        <v>20424</v>
      </c>
      <c r="BN846" s="13" t="s">
        <v>5510</v>
      </c>
      <c r="BO846" s="13" t="s">
        <v>5510</v>
      </c>
      <c r="BP846" s="13" t="s">
        <v>5510</v>
      </c>
      <c r="BQ846" s="13" t="s">
        <v>5510</v>
      </c>
      <c r="BR846" s="13" t="s">
        <v>5538</v>
      </c>
      <c r="BS846" s="13" t="s">
        <v>20425</v>
      </c>
      <c r="BT846" s="13">
        <v>23282.0</v>
      </c>
      <c r="BU846" s="13" t="s">
        <v>5540</v>
      </c>
      <c r="BV846" s="13" t="s">
        <v>4864</v>
      </c>
      <c r="BW846" s="13" t="str">
        <f>VLOOKUP($BT846,Enriched!$A$2:$E$1070,5,false)</f>
        <v>["Agriculture &amp; Aquaculture"]</v>
      </c>
      <c r="BX846" s="13" t="str">
        <f>VLOOKUP($BT846,Enriched!$A$2:$E$1070,4,false)</f>
        <v>["Marine &amp; freshwater aquaculture"]</v>
      </c>
      <c r="BY846" s="13" t="b">
        <f>VLOOKUP(BT846,Enriched!$A$1:$AA$1070,27,falsE)</f>
        <v>0</v>
      </c>
      <c r="BZ846" s="2" t="str">
        <f>VLOOKUP(BT846,Enriched!$A$1:$AA$1070,14,falsE)</f>
        <v>level2</v>
      </c>
      <c r="CA846" s="13" t="str">
        <f>HYPERLINK("https%3A%2F%2Fwww.webofscience.com%2Fwos%2Fwoscc%2Ffull-record%2FWOS:000295940200002","View Full Record in Web of Science")</f>
        <v>View Full Record in Web of Science</v>
      </c>
    </row>
    <row r="847" ht="12.75" customHeight="1">
      <c r="A847" s="13" t="s">
        <v>5508</v>
      </c>
      <c r="B847" s="13" t="s">
        <v>20426</v>
      </c>
      <c r="C847" s="13" t="s">
        <v>5510</v>
      </c>
      <c r="D847" s="13" t="s">
        <v>5510</v>
      </c>
      <c r="E847" s="13" t="s">
        <v>5510</v>
      </c>
      <c r="F847" s="13" t="s">
        <v>20427</v>
      </c>
      <c r="G847" s="13" t="s">
        <v>5510</v>
      </c>
      <c r="H847" s="13" t="s">
        <v>5510</v>
      </c>
      <c r="I847" s="13" t="s">
        <v>351</v>
      </c>
      <c r="J847" s="13" t="s">
        <v>6333</v>
      </c>
      <c r="K847" s="13" t="s">
        <v>5510</v>
      </c>
      <c r="L847" s="13" t="s">
        <v>5510</v>
      </c>
      <c r="M847" s="13" t="s">
        <v>5513</v>
      </c>
      <c r="N847" s="13" t="s">
        <v>5514</v>
      </c>
      <c r="O847" s="13" t="s">
        <v>5510</v>
      </c>
      <c r="P847" s="13" t="s">
        <v>5510</v>
      </c>
      <c r="Q847" s="13" t="s">
        <v>5510</v>
      </c>
      <c r="R847" s="13" t="s">
        <v>5510</v>
      </c>
      <c r="S847" s="13" t="s">
        <v>5510</v>
      </c>
      <c r="T847" s="13" t="s">
        <v>20428</v>
      </c>
      <c r="U847" s="13" t="s">
        <v>20429</v>
      </c>
      <c r="V847" s="13" t="s">
        <v>20430</v>
      </c>
      <c r="W847" s="13" t="s">
        <v>20431</v>
      </c>
      <c r="X847" s="13" t="s">
        <v>20432</v>
      </c>
      <c r="Y847" s="13" t="s">
        <v>20433</v>
      </c>
      <c r="Z847" s="13" t="s">
        <v>20434</v>
      </c>
      <c r="AA847" s="13" t="s">
        <v>20435</v>
      </c>
      <c r="AB847" s="13" t="s">
        <v>20436</v>
      </c>
      <c r="AC847" s="13" t="s">
        <v>20437</v>
      </c>
      <c r="AD847" s="13" t="s">
        <v>20438</v>
      </c>
      <c r="AE847" s="13" t="s">
        <v>20439</v>
      </c>
      <c r="AF847" s="13" t="s">
        <v>5510</v>
      </c>
      <c r="AG847" s="13">
        <v>33.0</v>
      </c>
      <c r="AH847" s="13">
        <v>5.0</v>
      </c>
      <c r="AI847" s="13">
        <v>5.0</v>
      </c>
      <c r="AJ847" s="13">
        <v>1.0</v>
      </c>
      <c r="AK847" s="13">
        <v>18.0</v>
      </c>
      <c r="AL847" s="13" t="s">
        <v>5527</v>
      </c>
      <c r="AM847" s="13" t="s">
        <v>5528</v>
      </c>
      <c r="AN847" s="13" t="s">
        <v>5529</v>
      </c>
      <c r="AO847" s="13" t="s">
        <v>6342</v>
      </c>
      <c r="AP847" s="13" t="s">
        <v>6343</v>
      </c>
      <c r="AQ847" s="13" t="s">
        <v>5510</v>
      </c>
      <c r="AR847" s="13" t="s">
        <v>6344</v>
      </c>
      <c r="AS847" s="13" t="s">
        <v>6345</v>
      </c>
      <c r="AT847" s="13" t="s">
        <v>5720</v>
      </c>
      <c r="AU847" s="13">
        <v>2017.0</v>
      </c>
      <c r="AV847" s="13">
        <v>31.0</v>
      </c>
      <c r="AW847" s="13">
        <v>3.0</v>
      </c>
      <c r="AX847" s="13" t="s">
        <v>5510</v>
      </c>
      <c r="AY847" s="13" t="s">
        <v>5510</v>
      </c>
      <c r="AZ847" s="13" t="s">
        <v>5510</v>
      </c>
      <c r="BA847" s="13" t="s">
        <v>5510</v>
      </c>
      <c r="BB847" s="13">
        <v>696.0</v>
      </c>
      <c r="BC847" s="13">
        <v>706.0</v>
      </c>
      <c r="BD847" s="13" t="s">
        <v>5510</v>
      </c>
      <c r="BE847" s="13" t="s">
        <v>20440</v>
      </c>
      <c r="BF847" s="52" t="str">
        <f>HYPERLINK("http://dx.doi.org/10.1111/cobi.12854","http://dx.doi.org/10.1111/cobi.12854")</f>
        <v>http://dx.doi.org/10.1111/cobi.12854</v>
      </c>
      <c r="BG847" s="13" t="s">
        <v>5510</v>
      </c>
      <c r="BH847" s="13" t="s">
        <v>5510</v>
      </c>
      <c r="BI847" s="13">
        <v>11.0</v>
      </c>
      <c r="BJ847" s="13" t="s">
        <v>5698</v>
      </c>
      <c r="BK847" s="13" t="s">
        <v>5561</v>
      </c>
      <c r="BL847" s="13" t="s">
        <v>5699</v>
      </c>
      <c r="BM847" s="13" t="s">
        <v>20441</v>
      </c>
      <c r="BN847" s="13">
        <v>2.7730677E7</v>
      </c>
      <c r="BO847" s="13" t="s">
        <v>6586</v>
      </c>
      <c r="BP847" s="13" t="s">
        <v>5510</v>
      </c>
      <c r="BQ847" s="13" t="s">
        <v>5510</v>
      </c>
      <c r="BR847" s="13" t="s">
        <v>5538</v>
      </c>
      <c r="BS847" s="13" t="s">
        <v>20442</v>
      </c>
      <c r="BT847" s="13">
        <v>25879.0</v>
      </c>
      <c r="BU847" s="13" t="s">
        <v>5540</v>
      </c>
      <c r="BV847" s="13" t="s">
        <v>4856</v>
      </c>
      <c r="BW847" s="13" t="str">
        <f>VLOOKUP($BT847,Enriched!$A$2:$E$1070,5,false)</f>
        <v>["Energy Production &amp; Mining", "Biological Resource Use"]</v>
      </c>
      <c r="BX847" s="13" t="str">
        <f>VLOOKUP($BT847,Enriched!$A$2:$E$1070,4,false)</f>
        <v>["Oil &amp; gas drilling", "Hunting &amp; collecting terrestrial animals"]</v>
      </c>
      <c r="BY847" s="13" t="b">
        <f>VLOOKUP(BT847,Enriched!$A$1:$AA$1070,27,falsE)</f>
        <v>0</v>
      </c>
      <c r="BZ847" s="2" t="str">
        <f>VLOOKUP(BT847,Enriched!$A$1:$AA$1070,14,falsE)</f>
        <v>level2</v>
      </c>
      <c r="CA847" s="13" t="str">
        <f>HYPERLINK("https%3A%2F%2Fwww.webofscience.com%2Fwos%2Fwoscc%2Ffull-record%2FWOS:000400962000021","View Full Record in Web of Science")</f>
        <v>View Full Record in Web of Science</v>
      </c>
    </row>
    <row r="848" ht="12.75" customHeight="1">
      <c r="A848" s="13" t="s">
        <v>5508</v>
      </c>
      <c r="B848" s="13" t="s">
        <v>20443</v>
      </c>
      <c r="C848" s="13" t="s">
        <v>5510</v>
      </c>
      <c r="D848" s="13" t="s">
        <v>5510</v>
      </c>
      <c r="E848" s="13" t="s">
        <v>5510</v>
      </c>
      <c r="F848" s="13" t="s">
        <v>20444</v>
      </c>
      <c r="G848" s="13" t="s">
        <v>5510</v>
      </c>
      <c r="H848" s="13" t="s">
        <v>5510</v>
      </c>
      <c r="I848" s="13" t="s">
        <v>20445</v>
      </c>
      <c r="J848" s="13" t="s">
        <v>5543</v>
      </c>
      <c r="K848" s="13" t="s">
        <v>5510</v>
      </c>
      <c r="L848" s="13" t="s">
        <v>5510</v>
      </c>
      <c r="M848" s="13" t="s">
        <v>5513</v>
      </c>
      <c r="N848" s="13" t="s">
        <v>5514</v>
      </c>
      <c r="O848" s="13" t="s">
        <v>5510</v>
      </c>
      <c r="P848" s="13" t="s">
        <v>5510</v>
      </c>
      <c r="Q848" s="13" t="s">
        <v>5510</v>
      </c>
      <c r="R848" s="13" t="s">
        <v>5510</v>
      </c>
      <c r="S848" s="13" t="s">
        <v>5510</v>
      </c>
      <c r="T848" s="13" t="s">
        <v>5510</v>
      </c>
      <c r="U848" s="13" t="s">
        <v>20446</v>
      </c>
      <c r="V848" s="13" t="s">
        <v>20447</v>
      </c>
      <c r="W848" s="13" t="s">
        <v>20448</v>
      </c>
      <c r="X848" s="13" t="s">
        <v>20449</v>
      </c>
      <c r="Y848" s="13" t="s">
        <v>20450</v>
      </c>
      <c r="Z848" s="13" t="s">
        <v>20451</v>
      </c>
      <c r="AA848" s="13" t="s">
        <v>20452</v>
      </c>
      <c r="AB848" s="13" t="s">
        <v>20453</v>
      </c>
      <c r="AC848" s="13" t="s">
        <v>5510</v>
      </c>
      <c r="AD848" s="13" t="s">
        <v>5510</v>
      </c>
      <c r="AE848" s="13" t="s">
        <v>5510</v>
      </c>
      <c r="AF848" s="13" t="s">
        <v>5510</v>
      </c>
      <c r="AG848" s="13">
        <v>65.0</v>
      </c>
      <c r="AH848" s="13">
        <v>105.0</v>
      </c>
      <c r="AI848" s="13">
        <v>128.0</v>
      </c>
      <c r="AJ848" s="13">
        <v>0.0</v>
      </c>
      <c r="AK848" s="13">
        <v>73.0</v>
      </c>
      <c r="AL848" s="13" t="s">
        <v>5552</v>
      </c>
      <c r="AM848" s="13" t="s">
        <v>5553</v>
      </c>
      <c r="AN848" s="13" t="s">
        <v>5554</v>
      </c>
      <c r="AO848" s="13" t="s">
        <v>5555</v>
      </c>
      <c r="AP848" s="13" t="s">
        <v>5510</v>
      </c>
      <c r="AQ848" s="13" t="s">
        <v>5510</v>
      </c>
      <c r="AR848" s="13" t="s">
        <v>5543</v>
      </c>
      <c r="AS848" s="13" t="s">
        <v>5556</v>
      </c>
      <c r="AT848" s="13" t="s">
        <v>20454</v>
      </c>
      <c r="AU848" s="13">
        <v>2012.0</v>
      </c>
      <c r="AV848" s="13">
        <v>7.0</v>
      </c>
      <c r="AW848" s="13">
        <v>7.0</v>
      </c>
      <c r="AX848" s="13" t="s">
        <v>5510</v>
      </c>
      <c r="AY848" s="13" t="s">
        <v>5510</v>
      </c>
      <c r="AZ848" s="13" t="s">
        <v>5510</v>
      </c>
      <c r="BA848" s="13" t="s">
        <v>5510</v>
      </c>
      <c r="BB848" s="13" t="s">
        <v>5510</v>
      </c>
      <c r="BC848" s="13" t="s">
        <v>5510</v>
      </c>
      <c r="BD848" s="13" t="s">
        <v>20455</v>
      </c>
      <c r="BE848" s="13" t="s">
        <v>20456</v>
      </c>
      <c r="BF848" s="52" t="str">
        <f>HYPERLINK("http://dx.doi.org/10.1371/journal.pone.0040163","http://dx.doi.org/10.1371/journal.pone.0040163")</f>
        <v>http://dx.doi.org/10.1371/journal.pone.0040163</v>
      </c>
      <c r="BG848" s="13" t="s">
        <v>5510</v>
      </c>
      <c r="BH848" s="13" t="s">
        <v>5510</v>
      </c>
      <c r="BI848" s="13">
        <v>15.0</v>
      </c>
      <c r="BJ848" s="13" t="s">
        <v>5560</v>
      </c>
      <c r="BK848" s="13" t="s">
        <v>5561</v>
      </c>
      <c r="BL848" s="13" t="s">
        <v>5562</v>
      </c>
      <c r="BM848" s="13" t="s">
        <v>20457</v>
      </c>
      <c r="BN848" s="13">
        <v>2.280811E7</v>
      </c>
      <c r="BO848" s="13" t="s">
        <v>5564</v>
      </c>
      <c r="BP848" s="13" t="s">
        <v>5510</v>
      </c>
      <c r="BQ848" s="13" t="s">
        <v>5510</v>
      </c>
      <c r="BR848" s="13" t="s">
        <v>5538</v>
      </c>
      <c r="BS848" s="13" t="s">
        <v>20458</v>
      </c>
      <c r="BT848" s="13">
        <v>23960.0</v>
      </c>
      <c r="BU848" s="13" t="s">
        <v>5540</v>
      </c>
      <c r="BV848" s="13" t="s">
        <v>4856</v>
      </c>
      <c r="BW848" s="13" t="str">
        <f>VLOOKUP($BT848,Enriched!$A$2:$E$1070,5,false)</f>
        <v>["Biological resource use"]</v>
      </c>
      <c r="BX848" s="13" t="str">
        <f>VLOOKUP($BT848,Enriched!$A$2:$E$1070,4,false)</f>
        <v>["Hunting &amp; collecting terrestrial animals"]</v>
      </c>
      <c r="BY848" s="13" t="b">
        <f>VLOOKUP(BT848,Enriched!$A$1:$AA$1070,27,falsE)</f>
        <v>0</v>
      </c>
      <c r="BZ848" s="2" t="str">
        <f>VLOOKUP(BT848,Enriched!$A$1:$AA$1070,14,falsE)</f>
        <v>level2</v>
      </c>
      <c r="CA848" s="13" t="str">
        <f>HYPERLINK("https%3A%2F%2Fwww.webofscience.com%2Fwos%2Fwoscc%2Ffull-record%2FWOS:000306406700023","View Full Record in Web of Science")</f>
        <v>View Full Record in Web of Science</v>
      </c>
    </row>
    <row r="849" ht="12.75" customHeight="1">
      <c r="A849" s="13" t="s">
        <v>5508</v>
      </c>
      <c r="B849" s="13" t="s">
        <v>20459</v>
      </c>
      <c r="C849" s="13" t="s">
        <v>5510</v>
      </c>
      <c r="D849" s="13" t="s">
        <v>5510</v>
      </c>
      <c r="E849" s="13" t="s">
        <v>5510</v>
      </c>
      <c r="F849" s="13" t="s">
        <v>20460</v>
      </c>
      <c r="G849" s="13" t="s">
        <v>5510</v>
      </c>
      <c r="H849" s="13" t="s">
        <v>5510</v>
      </c>
      <c r="I849" s="13" t="s">
        <v>345</v>
      </c>
      <c r="J849" s="13" t="s">
        <v>20461</v>
      </c>
      <c r="K849" s="13" t="s">
        <v>5510</v>
      </c>
      <c r="L849" s="13" t="s">
        <v>5510</v>
      </c>
      <c r="M849" s="13" t="s">
        <v>5513</v>
      </c>
      <c r="N849" s="13" t="s">
        <v>5514</v>
      </c>
      <c r="O849" s="13" t="s">
        <v>5510</v>
      </c>
      <c r="P849" s="13" t="s">
        <v>5510</v>
      </c>
      <c r="Q849" s="13" t="s">
        <v>5510</v>
      </c>
      <c r="R849" s="13" t="s">
        <v>5510</v>
      </c>
      <c r="S849" s="13" t="s">
        <v>5510</v>
      </c>
      <c r="T849" s="13" t="s">
        <v>20462</v>
      </c>
      <c r="U849" s="13" t="s">
        <v>20463</v>
      </c>
      <c r="V849" s="13" t="s">
        <v>20464</v>
      </c>
      <c r="W849" s="13" t="s">
        <v>20465</v>
      </c>
      <c r="X849" s="13" t="s">
        <v>20466</v>
      </c>
      <c r="Y849" s="13" t="s">
        <v>20467</v>
      </c>
      <c r="Z849" s="13" t="s">
        <v>20468</v>
      </c>
      <c r="AA849" s="13" t="s">
        <v>20469</v>
      </c>
      <c r="AB849" s="13" t="s">
        <v>20470</v>
      </c>
      <c r="AC849" s="13" t="s">
        <v>20471</v>
      </c>
      <c r="AD849" s="13" t="s">
        <v>20471</v>
      </c>
      <c r="AE849" s="13" t="s">
        <v>20472</v>
      </c>
      <c r="AF849" s="13" t="s">
        <v>5510</v>
      </c>
      <c r="AG849" s="13">
        <v>99.0</v>
      </c>
      <c r="AH849" s="13">
        <v>30.0</v>
      </c>
      <c r="AI849" s="13">
        <v>32.0</v>
      </c>
      <c r="AJ849" s="13">
        <v>0.0</v>
      </c>
      <c r="AK849" s="13">
        <v>32.0</v>
      </c>
      <c r="AL849" s="13" t="s">
        <v>5690</v>
      </c>
      <c r="AM849" s="13" t="s">
        <v>5691</v>
      </c>
      <c r="AN849" s="13" t="s">
        <v>5692</v>
      </c>
      <c r="AO849" s="13" t="s">
        <v>20473</v>
      </c>
      <c r="AP849" s="13" t="s">
        <v>20474</v>
      </c>
      <c r="AQ849" s="13" t="s">
        <v>5510</v>
      </c>
      <c r="AR849" s="13" t="s">
        <v>20475</v>
      </c>
      <c r="AS849" s="13" t="s">
        <v>20476</v>
      </c>
      <c r="AT849" s="13" t="s">
        <v>5720</v>
      </c>
      <c r="AU849" s="13">
        <v>2019.0</v>
      </c>
      <c r="AV849" s="13">
        <v>23.0</v>
      </c>
      <c r="AW849" s="13">
        <v>3.0</v>
      </c>
      <c r="AX849" s="13" t="s">
        <v>5510</v>
      </c>
      <c r="AY849" s="13" t="s">
        <v>5510</v>
      </c>
      <c r="AZ849" s="13" t="s">
        <v>5510</v>
      </c>
      <c r="BA849" s="13" t="s">
        <v>5510</v>
      </c>
      <c r="BB849" s="13">
        <v>475.0</v>
      </c>
      <c r="BC849" s="13">
        <v>488.0</v>
      </c>
      <c r="BD849" s="13" t="s">
        <v>5510</v>
      </c>
      <c r="BE849" s="13" t="s">
        <v>20477</v>
      </c>
      <c r="BF849" s="52" t="str">
        <f>HYPERLINK("http://dx.doi.org/10.1007/s10841-019-00133-1","http://dx.doi.org/10.1007/s10841-019-00133-1")</f>
        <v>http://dx.doi.org/10.1007/s10841-019-00133-1</v>
      </c>
      <c r="BG849" s="13" t="s">
        <v>5510</v>
      </c>
      <c r="BH849" s="13" t="s">
        <v>5510</v>
      </c>
      <c r="BI849" s="13">
        <v>14.0</v>
      </c>
      <c r="BJ849" s="13" t="s">
        <v>20478</v>
      </c>
      <c r="BK849" s="13" t="s">
        <v>5561</v>
      </c>
      <c r="BL849" s="13" t="s">
        <v>20479</v>
      </c>
      <c r="BM849" s="13" t="s">
        <v>20480</v>
      </c>
      <c r="BN849" s="13" t="s">
        <v>5510</v>
      </c>
      <c r="BO849" s="13" t="s">
        <v>6623</v>
      </c>
      <c r="BP849" s="13" t="s">
        <v>5510</v>
      </c>
      <c r="BQ849" s="13" t="s">
        <v>5510</v>
      </c>
      <c r="BR849" s="13" t="s">
        <v>5538</v>
      </c>
      <c r="BS849" s="13" t="s">
        <v>20481</v>
      </c>
      <c r="BT849" s="13">
        <v>23290.0</v>
      </c>
      <c r="BU849" s="13" t="s">
        <v>5540</v>
      </c>
      <c r="BV849" s="13" t="s">
        <v>4852</v>
      </c>
      <c r="BW849" s="13" t="str">
        <f>VLOOKUP($BT849,Enriched!$A$2:$E$1070,5,false)</f>
        <v>["Agriculture &amp; Aquaculture", "Transportation &amp; Service Corridors", "Residential &amp; Commercial Development", "Natural System Modifications"]</v>
      </c>
      <c r="BX849" s="13" t="str">
        <f>VLOOKUP($BT849,Enriched!$A$2:$E$1070,4,false)</f>
        <v>["Roads &amp; railroads", "Dams &amp; water management/use"]</v>
      </c>
      <c r="BY849" s="13" t="b">
        <f>VLOOKUP(BT849,Enriched!$A$1:$AA$1070,27,falsE)</f>
        <v>1</v>
      </c>
      <c r="BZ849" s="2" t="str">
        <f>VLOOKUP(BT849,Enriched!$A$1:$AA$1070,14,falsE)</f>
        <v>level1</v>
      </c>
      <c r="CA849" s="13" t="str">
        <f>HYPERLINK("https%3A%2F%2Fwww.webofscience.com%2Fwos%2Fwoscc%2Ffull-record%2FWOS:000468797900004","View Full Record in Web of Science")</f>
        <v>View Full Record in Web of Science</v>
      </c>
    </row>
    <row r="850" ht="12.75" customHeight="1">
      <c r="A850" s="13" t="s">
        <v>5508</v>
      </c>
      <c r="B850" s="13" t="s">
        <v>20482</v>
      </c>
      <c r="C850" s="13" t="s">
        <v>5510</v>
      </c>
      <c r="D850" s="13" t="s">
        <v>5510</v>
      </c>
      <c r="E850" s="13" t="s">
        <v>5510</v>
      </c>
      <c r="F850" s="13" t="s">
        <v>20483</v>
      </c>
      <c r="G850" s="13" t="s">
        <v>5510</v>
      </c>
      <c r="H850" s="13" t="s">
        <v>5510</v>
      </c>
      <c r="I850" s="13" t="s">
        <v>342</v>
      </c>
      <c r="J850" s="13" t="s">
        <v>8185</v>
      </c>
      <c r="K850" s="13" t="s">
        <v>5510</v>
      </c>
      <c r="L850" s="13" t="s">
        <v>5510</v>
      </c>
      <c r="M850" s="13" t="s">
        <v>5513</v>
      </c>
      <c r="N850" s="13" t="s">
        <v>5514</v>
      </c>
      <c r="O850" s="13" t="s">
        <v>5510</v>
      </c>
      <c r="P850" s="13" t="s">
        <v>5510</v>
      </c>
      <c r="Q850" s="13" t="s">
        <v>5510</v>
      </c>
      <c r="R850" s="13" t="s">
        <v>5510</v>
      </c>
      <c r="S850" s="13" t="s">
        <v>5510</v>
      </c>
      <c r="T850" s="13" t="s">
        <v>20484</v>
      </c>
      <c r="U850" s="13" t="s">
        <v>20485</v>
      </c>
      <c r="V850" s="13" t="s">
        <v>20486</v>
      </c>
      <c r="W850" s="13" t="s">
        <v>20487</v>
      </c>
      <c r="X850" s="13" t="s">
        <v>20488</v>
      </c>
      <c r="Y850" s="13" t="s">
        <v>20489</v>
      </c>
      <c r="Z850" s="13" t="s">
        <v>20490</v>
      </c>
      <c r="AA850" s="13" t="s">
        <v>20491</v>
      </c>
      <c r="AB850" s="13" t="s">
        <v>20492</v>
      </c>
      <c r="AC850" s="13" t="s">
        <v>20493</v>
      </c>
      <c r="AD850" s="13" t="s">
        <v>20494</v>
      </c>
      <c r="AE850" s="13" t="s">
        <v>20495</v>
      </c>
      <c r="AF850" s="13" t="s">
        <v>5510</v>
      </c>
      <c r="AG850" s="13">
        <v>76.0</v>
      </c>
      <c r="AH850" s="13">
        <v>51.0</v>
      </c>
      <c r="AI850" s="13">
        <v>53.0</v>
      </c>
      <c r="AJ850" s="13">
        <v>6.0</v>
      </c>
      <c r="AK850" s="13">
        <v>80.0</v>
      </c>
      <c r="AL850" s="13" t="s">
        <v>5527</v>
      </c>
      <c r="AM850" s="13" t="s">
        <v>5528</v>
      </c>
      <c r="AN850" s="13" t="s">
        <v>5529</v>
      </c>
      <c r="AO850" s="13" t="s">
        <v>8194</v>
      </c>
      <c r="AP850" s="13" t="s">
        <v>8195</v>
      </c>
      <c r="AQ850" s="13" t="s">
        <v>5510</v>
      </c>
      <c r="AR850" s="13" t="s">
        <v>8196</v>
      </c>
      <c r="AS850" s="13" t="s">
        <v>8197</v>
      </c>
      <c r="AT850" s="13" t="s">
        <v>5866</v>
      </c>
      <c r="AU850" s="13">
        <v>2020.0</v>
      </c>
      <c r="AV850" s="13">
        <v>84.0</v>
      </c>
      <c r="AW850" s="13">
        <v>4.0</v>
      </c>
      <c r="AX850" s="13" t="s">
        <v>5510</v>
      </c>
      <c r="AY850" s="13" t="s">
        <v>5510</v>
      </c>
      <c r="AZ850" s="13" t="s">
        <v>5510</v>
      </c>
      <c r="BA850" s="13" t="s">
        <v>5510</v>
      </c>
      <c r="BB850" s="13">
        <v>636.0</v>
      </c>
      <c r="BC850" s="13">
        <v>650.0</v>
      </c>
      <c r="BD850" s="13" t="s">
        <v>5510</v>
      </c>
      <c r="BE850" s="13" t="s">
        <v>20496</v>
      </c>
      <c r="BF850" s="52" t="str">
        <f>HYPERLINK("http://dx.doi.org/10.1002/jwmg.21829","http://dx.doi.org/10.1002/jwmg.21829")</f>
        <v>http://dx.doi.org/10.1002/jwmg.21829</v>
      </c>
      <c r="BG850" s="13" t="s">
        <v>5510</v>
      </c>
      <c r="BH850" s="13" t="s">
        <v>9245</v>
      </c>
      <c r="BI850" s="13">
        <v>15.0</v>
      </c>
      <c r="BJ850" s="13" t="s">
        <v>5584</v>
      </c>
      <c r="BK850" s="13" t="s">
        <v>5561</v>
      </c>
      <c r="BL850" s="13" t="s">
        <v>5585</v>
      </c>
      <c r="BM850" s="13" t="s">
        <v>20497</v>
      </c>
      <c r="BN850" s="13" t="s">
        <v>5510</v>
      </c>
      <c r="BO850" s="13" t="s">
        <v>6586</v>
      </c>
      <c r="BP850" s="13" t="s">
        <v>5510</v>
      </c>
      <c r="BQ850" s="13" t="s">
        <v>5510</v>
      </c>
      <c r="BR850" s="13" t="s">
        <v>5538</v>
      </c>
      <c r="BS850" s="13" t="s">
        <v>20498</v>
      </c>
      <c r="BT850" s="13">
        <v>23951.0</v>
      </c>
      <c r="BU850" s="13" t="s">
        <v>5540</v>
      </c>
      <c r="BV850" s="13" t="s">
        <v>4856</v>
      </c>
      <c r="BW850" s="13" t="str">
        <f>VLOOKUP($BT850,Enriched!$A$2:$E$1070,5,false)</f>
        <v>["Agriculture &amp; Aquaculture"]</v>
      </c>
      <c r="BX850" s="13" t="str">
        <f>VLOOKUP($BT850,Enriched!$A$2:$E$1070,4,false)</f>
        <v>["Wood &amp; pulp plantations"]</v>
      </c>
      <c r="BY850" s="13" t="b">
        <f>VLOOKUP(BT850,Enriched!$A$1:$AA$1070,27,falsE)</f>
        <v>0</v>
      </c>
      <c r="BZ850" s="2" t="str">
        <f>VLOOKUP(BT850,Enriched!$A$1:$AA$1070,14,falsE)</f>
        <v>level2</v>
      </c>
      <c r="CA850" s="13" t="str">
        <f>HYPERLINK("https%3A%2F%2Fwww.webofscience.com%2Fwos%2Fwoscc%2Ffull-record%2FWOS:000512135800001","View Full Record in Web of Science")</f>
        <v>View Full Record in Web of Science</v>
      </c>
    </row>
    <row r="851" ht="12.75" customHeight="1">
      <c r="A851" s="13" t="s">
        <v>5508</v>
      </c>
      <c r="B851" s="13" t="s">
        <v>20499</v>
      </c>
      <c r="C851" s="13" t="s">
        <v>5510</v>
      </c>
      <c r="D851" s="13" t="s">
        <v>5510</v>
      </c>
      <c r="E851" s="13" t="s">
        <v>5510</v>
      </c>
      <c r="F851" s="13" t="s">
        <v>20500</v>
      </c>
      <c r="G851" s="13" t="s">
        <v>5510</v>
      </c>
      <c r="H851" s="13" t="s">
        <v>5510</v>
      </c>
      <c r="I851" s="13" t="s">
        <v>339</v>
      </c>
      <c r="J851" s="13" t="s">
        <v>5919</v>
      </c>
      <c r="K851" s="13" t="s">
        <v>5510</v>
      </c>
      <c r="L851" s="13" t="s">
        <v>5510</v>
      </c>
      <c r="M851" s="13" t="s">
        <v>5513</v>
      </c>
      <c r="N851" s="13" t="s">
        <v>5514</v>
      </c>
      <c r="O851" s="13" t="s">
        <v>5510</v>
      </c>
      <c r="P851" s="13" t="s">
        <v>5510</v>
      </c>
      <c r="Q851" s="13" t="s">
        <v>5510</v>
      </c>
      <c r="R851" s="13" t="s">
        <v>5510</v>
      </c>
      <c r="S851" s="13" t="s">
        <v>5510</v>
      </c>
      <c r="T851" s="13" t="s">
        <v>20501</v>
      </c>
      <c r="U851" s="13" t="s">
        <v>20502</v>
      </c>
      <c r="V851" s="13" t="s">
        <v>20503</v>
      </c>
      <c r="W851" s="13" t="s">
        <v>20504</v>
      </c>
      <c r="X851" s="13" t="s">
        <v>20505</v>
      </c>
      <c r="Y851" s="13" t="s">
        <v>20506</v>
      </c>
      <c r="Z851" s="13" t="s">
        <v>20507</v>
      </c>
      <c r="AA851" s="13" t="s">
        <v>20508</v>
      </c>
      <c r="AB851" s="13" t="s">
        <v>20509</v>
      </c>
      <c r="AC851" s="13" t="s">
        <v>20510</v>
      </c>
      <c r="AD851" s="13" t="s">
        <v>20511</v>
      </c>
      <c r="AE851" s="13" t="s">
        <v>20512</v>
      </c>
      <c r="AF851" s="13" t="s">
        <v>5510</v>
      </c>
      <c r="AG851" s="13">
        <v>51.0</v>
      </c>
      <c r="AH851" s="13">
        <v>50.0</v>
      </c>
      <c r="AI851" s="13">
        <v>58.0</v>
      </c>
      <c r="AJ851" s="13">
        <v>4.0</v>
      </c>
      <c r="AK851" s="13">
        <v>117.0</v>
      </c>
      <c r="AL851" s="13" t="s">
        <v>5931</v>
      </c>
      <c r="AM851" s="13" t="s">
        <v>5932</v>
      </c>
      <c r="AN851" s="13" t="s">
        <v>5933</v>
      </c>
      <c r="AO851" s="13" t="s">
        <v>5934</v>
      </c>
      <c r="AP851" s="13" t="s">
        <v>5935</v>
      </c>
      <c r="AQ851" s="13" t="s">
        <v>5510</v>
      </c>
      <c r="AR851" s="13" t="s">
        <v>5936</v>
      </c>
      <c r="AS851" s="13" t="s">
        <v>5937</v>
      </c>
      <c r="AT851" s="13" t="s">
        <v>1453</v>
      </c>
      <c r="AU851" s="13">
        <v>2015.0</v>
      </c>
      <c r="AV851" s="13">
        <v>191.0</v>
      </c>
      <c r="AW851" s="13" t="s">
        <v>5510</v>
      </c>
      <c r="AX851" s="13" t="s">
        <v>5510</v>
      </c>
      <c r="AY851" s="13" t="s">
        <v>5510</v>
      </c>
      <c r="AZ851" s="13" t="s">
        <v>5510</v>
      </c>
      <c r="BA851" s="13" t="s">
        <v>5510</v>
      </c>
      <c r="BB851" s="13">
        <v>400.0</v>
      </c>
      <c r="BC851" s="13">
        <v>407.0</v>
      </c>
      <c r="BD851" s="13" t="s">
        <v>5510</v>
      </c>
      <c r="BE851" s="13" t="s">
        <v>20513</v>
      </c>
      <c r="BF851" s="52" t="str">
        <f>HYPERLINK("http://dx.doi.org/10.1016/j.biocon.2015.06.040","http://dx.doi.org/10.1016/j.biocon.2015.06.040")</f>
        <v>http://dx.doi.org/10.1016/j.biocon.2015.06.040</v>
      </c>
      <c r="BG851" s="13" t="s">
        <v>5510</v>
      </c>
      <c r="BH851" s="13" t="s">
        <v>5510</v>
      </c>
      <c r="BI851" s="13">
        <v>8.0</v>
      </c>
      <c r="BJ851" s="13" t="s">
        <v>5698</v>
      </c>
      <c r="BK851" s="13" t="s">
        <v>5561</v>
      </c>
      <c r="BL851" s="13" t="s">
        <v>5699</v>
      </c>
      <c r="BM851" s="13" t="s">
        <v>5939</v>
      </c>
      <c r="BN851" s="13" t="s">
        <v>5510</v>
      </c>
      <c r="BO851" s="13" t="s">
        <v>5510</v>
      </c>
      <c r="BP851" s="13" t="s">
        <v>5510</v>
      </c>
      <c r="BQ851" s="13" t="s">
        <v>5510</v>
      </c>
      <c r="BR851" s="13" t="s">
        <v>5538</v>
      </c>
      <c r="BS851" s="13" t="s">
        <v>20514</v>
      </c>
      <c r="BT851" s="13">
        <v>23832.0</v>
      </c>
      <c r="BU851" s="13" t="s">
        <v>5540</v>
      </c>
      <c r="BV851" s="13" t="s">
        <v>4856</v>
      </c>
      <c r="BW851" s="13" t="str">
        <f>VLOOKUP($BT851,Enriched!$A$2:$E$1070,5,false)</f>
        <v>["Residential &amp; commercial development"]</v>
      </c>
      <c r="BX851" s="13" t="str">
        <f>VLOOKUP($BT851,Enriched!$A$2:$E$1070,4,false)</f>
        <v>["Housing &amp; urban area"]</v>
      </c>
      <c r="BY851" s="13" t="b">
        <f>VLOOKUP(BT851,Enriched!$A$1:$AA$1070,27,falsE)</f>
        <v>0</v>
      </c>
      <c r="BZ851" s="2" t="str">
        <f>VLOOKUP(BT851,Enriched!$A$1:$AA$1070,14,falsE)</f>
        <v>level2</v>
      </c>
      <c r="CA851" s="13" t="str">
        <f>HYPERLINK("https%3A%2F%2Fwww.webofscience.com%2Fwos%2Fwoscc%2Ffull-record%2FWOS:000364257100046","View Full Record in Web of Science")</f>
        <v>View Full Record in Web of Science</v>
      </c>
    </row>
    <row r="852" ht="12.75" customHeight="1">
      <c r="A852" s="13" t="s">
        <v>5508</v>
      </c>
      <c r="B852" s="13" t="s">
        <v>20515</v>
      </c>
      <c r="C852" s="13" t="s">
        <v>5510</v>
      </c>
      <c r="D852" s="13" t="s">
        <v>5510</v>
      </c>
      <c r="E852" s="13" t="s">
        <v>5510</v>
      </c>
      <c r="F852" s="13" t="s">
        <v>20516</v>
      </c>
      <c r="G852" s="13" t="s">
        <v>5510</v>
      </c>
      <c r="H852" s="13" t="s">
        <v>5510</v>
      </c>
      <c r="I852" s="13" t="s">
        <v>335</v>
      </c>
      <c r="J852" s="13" t="s">
        <v>5895</v>
      </c>
      <c r="K852" s="13" t="s">
        <v>5510</v>
      </c>
      <c r="L852" s="13" t="s">
        <v>5510</v>
      </c>
      <c r="M852" s="13" t="s">
        <v>5513</v>
      </c>
      <c r="N852" s="13" t="s">
        <v>5514</v>
      </c>
      <c r="O852" s="13" t="s">
        <v>5510</v>
      </c>
      <c r="P852" s="13" t="s">
        <v>5510</v>
      </c>
      <c r="Q852" s="13" t="s">
        <v>5510</v>
      </c>
      <c r="R852" s="13" t="s">
        <v>5510</v>
      </c>
      <c r="S852" s="13" t="s">
        <v>5510</v>
      </c>
      <c r="T852" s="13" t="s">
        <v>5510</v>
      </c>
      <c r="U852" s="13" t="s">
        <v>20517</v>
      </c>
      <c r="V852" s="13" t="s">
        <v>20518</v>
      </c>
      <c r="W852" s="13" t="s">
        <v>20519</v>
      </c>
      <c r="X852" s="13" t="s">
        <v>20520</v>
      </c>
      <c r="Y852" s="13" t="s">
        <v>20521</v>
      </c>
      <c r="Z852" s="13" t="s">
        <v>20522</v>
      </c>
      <c r="AA852" s="13" t="s">
        <v>20523</v>
      </c>
      <c r="AB852" s="13" t="s">
        <v>20524</v>
      </c>
      <c r="AC852" s="13" t="s">
        <v>5510</v>
      </c>
      <c r="AD852" s="13" t="s">
        <v>5510</v>
      </c>
      <c r="AE852" s="13" t="s">
        <v>5510</v>
      </c>
      <c r="AF852" s="13" t="s">
        <v>5510</v>
      </c>
      <c r="AG852" s="13">
        <v>69.0</v>
      </c>
      <c r="AH852" s="13">
        <v>97.0</v>
      </c>
      <c r="AI852" s="13">
        <v>112.0</v>
      </c>
      <c r="AJ852" s="13">
        <v>0.0</v>
      </c>
      <c r="AK852" s="13">
        <v>69.0</v>
      </c>
      <c r="AL852" s="13" t="s">
        <v>5907</v>
      </c>
      <c r="AM852" s="13" t="s">
        <v>5908</v>
      </c>
      <c r="AN852" s="13" t="s">
        <v>5909</v>
      </c>
      <c r="AO852" s="13" t="s">
        <v>5910</v>
      </c>
      <c r="AP852" s="13" t="s">
        <v>5510</v>
      </c>
      <c r="AQ852" s="13" t="s">
        <v>5510</v>
      </c>
      <c r="AR852" s="13" t="s">
        <v>5911</v>
      </c>
      <c r="AS852" s="13" t="s">
        <v>5912</v>
      </c>
      <c r="AT852" s="13" t="s">
        <v>20525</v>
      </c>
      <c r="AU852" s="13">
        <v>2011.0</v>
      </c>
      <c r="AV852" s="13">
        <v>108.0</v>
      </c>
      <c r="AW852" s="13">
        <v>10.0</v>
      </c>
      <c r="AX852" s="13" t="s">
        <v>5510</v>
      </c>
      <c r="AY852" s="13" t="s">
        <v>5510</v>
      </c>
      <c r="AZ852" s="13" t="s">
        <v>5510</v>
      </c>
      <c r="BA852" s="13" t="s">
        <v>5510</v>
      </c>
      <c r="BB852" s="13">
        <v>4024.0</v>
      </c>
      <c r="BC852" s="13">
        <v>4029.0</v>
      </c>
      <c r="BD852" s="13" t="s">
        <v>5510</v>
      </c>
      <c r="BE852" s="13" t="s">
        <v>20526</v>
      </c>
      <c r="BF852" s="52" t="str">
        <f>HYPERLINK("http://dx.doi.org/10.1073/pnas.1015097108","http://dx.doi.org/10.1073/pnas.1015097108")</f>
        <v>http://dx.doi.org/10.1073/pnas.1015097108</v>
      </c>
      <c r="BG852" s="13" t="s">
        <v>5510</v>
      </c>
      <c r="BH852" s="13" t="s">
        <v>5510</v>
      </c>
      <c r="BI852" s="13">
        <v>6.0</v>
      </c>
      <c r="BJ852" s="13" t="s">
        <v>5560</v>
      </c>
      <c r="BK852" s="13" t="s">
        <v>5561</v>
      </c>
      <c r="BL852" s="13" t="s">
        <v>5562</v>
      </c>
      <c r="BM852" s="13" t="s">
        <v>20527</v>
      </c>
      <c r="BN852" s="13">
        <v>2.136812E7</v>
      </c>
      <c r="BO852" s="13" t="s">
        <v>5809</v>
      </c>
      <c r="BP852" s="13" t="s">
        <v>5510</v>
      </c>
      <c r="BQ852" s="13" t="s">
        <v>5510</v>
      </c>
      <c r="BR852" s="13" t="s">
        <v>5538</v>
      </c>
      <c r="BS852" s="13" t="s">
        <v>20528</v>
      </c>
      <c r="BT852" s="13">
        <v>26080.0</v>
      </c>
      <c r="BU852" s="13" t="s">
        <v>5540</v>
      </c>
      <c r="BV852" s="13" t="s">
        <v>4856</v>
      </c>
      <c r="BW852" s="13" t="str">
        <f>VLOOKUP($BT852,Enriched!$A$2:$E$1070,5,false)</f>
        <v>["Residential &amp; Commercial Development", "Energy Production &amp; Mining", "Transportation &amp; Service Corridors", "Biological Resource Use", "Invasive &amp; Other Problematic Species, Genes &amp; Diseases", "Pollution", "Climate Change &amp; Severe Weather"]</v>
      </c>
      <c r="BX852" s="13" t="str">
        <f>VLOOKUP($BT852,Enriched!$A$2:$E$1070,4,false)</f>
        <v>["Commercial &amp; industrial areas", "Oil &amp; gas drilling", "Shipping lanes", "Fishing &amp; harvesting aquatic resources", "Invasive non-native/alien species/diseases", "Agricultural &amp; forestry effluents", "Habitat shifting &amp; alteration", "Temperature extremes", "Other impacts"]</v>
      </c>
      <c r="BY852" s="13" t="b">
        <f>VLOOKUP(BT852,Enriched!$A$1:$AA$1070,27,falsE)</f>
        <v>1</v>
      </c>
      <c r="BZ852" s="2" t="str">
        <f>VLOOKUP(BT852,Enriched!$A$1:$AA$1070,14,falsE)</f>
        <v>cumulative</v>
      </c>
      <c r="CA852" s="13" t="str">
        <f>HYPERLINK("https%3A%2F%2Fwww.webofscience.com%2Fwos%2Fwoscc%2Ffull-record%2FWOS:000288120400041","View Full Record in Web of Science")</f>
        <v>View Full Record in Web of Science</v>
      </c>
    </row>
    <row r="853" ht="12.75" customHeight="1">
      <c r="A853" s="13" t="s">
        <v>5508</v>
      </c>
      <c r="B853" s="13" t="s">
        <v>20529</v>
      </c>
      <c r="C853" s="13" t="s">
        <v>5510</v>
      </c>
      <c r="D853" s="13" t="s">
        <v>5510</v>
      </c>
      <c r="E853" s="13" t="s">
        <v>5510</v>
      </c>
      <c r="F853" s="13" t="s">
        <v>20530</v>
      </c>
      <c r="G853" s="13" t="s">
        <v>5510</v>
      </c>
      <c r="H853" s="13" t="s">
        <v>5510</v>
      </c>
      <c r="I853" s="13" t="s">
        <v>20531</v>
      </c>
      <c r="J853" s="13" t="s">
        <v>20532</v>
      </c>
      <c r="K853" s="13" t="s">
        <v>5510</v>
      </c>
      <c r="L853" s="13" t="s">
        <v>5510</v>
      </c>
      <c r="M853" s="13" t="s">
        <v>5513</v>
      </c>
      <c r="N853" s="13" t="s">
        <v>5514</v>
      </c>
      <c r="O853" s="13" t="s">
        <v>5510</v>
      </c>
      <c r="P853" s="13" t="s">
        <v>5510</v>
      </c>
      <c r="Q853" s="13" t="s">
        <v>5510</v>
      </c>
      <c r="R853" s="13" t="s">
        <v>5510</v>
      </c>
      <c r="S853" s="13" t="s">
        <v>5510</v>
      </c>
      <c r="T853" s="13" t="s">
        <v>20533</v>
      </c>
      <c r="U853" s="13" t="s">
        <v>20534</v>
      </c>
      <c r="V853" s="13" t="s">
        <v>20535</v>
      </c>
      <c r="W853" s="13" t="s">
        <v>20536</v>
      </c>
      <c r="X853" s="13" t="s">
        <v>20537</v>
      </c>
      <c r="Y853" s="13" t="s">
        <v>20538</v>
      </c>
      <c r="Z853" s="13" t="s">
        <v>20539</v>
      </c>
      <c r="AA853" s="13" t="s">
        <v>20540</v>
      </c>
      <c r="AB853" s="13" t="s">
        <v>20541</v>
      </c>
      <c r="AC853" s="13" t="s">
        <v>20542</v>
      </c>
      <c r="AD853" s="13" t="s">
        <v>20543</v>
      </c>
      <c r="AE853" s="13" t="s">
        <v>20544</v>
      </c>
      <c r="AF853" s="13" t="s">
        <v>5510</v>
      </c>
      <c r="AG853" s="13">
        <v>37.0</v>
      </c>
      <c r="AH853" s="13">
        <v>7.0</v>
      </c>
      <c r="AI853" s="13">
        <v>8.0</v>
      </c>
      <c r="AJ853" s="13">
        <v>0.0</v>
      </c>
      <c r="AK853" s="13">
        <v>6.0</v>
      </c>
      <c r="AL853" s="13" t="s">
        <v>20545</v>
      </c>
      <c r="AM853" s="13" t="s">
        <v>20546</v>
      </c>
      <c r="AN853" s="13" t="s">
        <v>20547</v>
      </c>
      <c r="AO853" s="13" t="s">
        <v>20548</v>
      </c>
      <c r="AP853" s="13" t="s">
        <v>20549</v>
      </c>
      <c r="AQ853" s="13" t="s">
        <v>5510</v>
      </c>
      <c r="AR853" s="13" t="s">
        <v>20532</v>
      </c>
      <c r="AS853" s="13" t="s">
        <v>332</v>
      </c>
      <c r="AT853" s="13" t="s">
        <v>6175</v>
      </c>
      <c r="AU853" s="13">
        <v>2018.0</v>
      </c>
      <c r="AV853" s="13" t="s">
        <v>5510</v>
      </c>
      <c r="AW853" s="13">
        <v>24.0</v>
      </c>
      <c r="AX853" s="13" t="s">
        <v>5510</v>
      </c>
      <c r="AY853" s="13" t="s">
        <v>5510</v>
      </c>
      <c r="AZ853" s="13" t="s">
        <v>5510</v>
      </c>
      <c r="BA853" s="13" t="s">
        <v>5510</v>
      </c>
      <c r="BB853" s="13">
        <v>28.0</v>
      </c>
      <c r="BC853" s="13">
        <v>35.0</v>
      </c>
      <c r="BD853" s="13" t="s">
        <v>5510</v>
      </c>
      <c r="BE853" s="13" t="s">
        <v>20550</v>
      </c>
      <c r="BF853" s="52" t="str">
        <f>HYPERLINK("http://dx.doi.org/10.2985/026.024.0105","http://dx.doi.org/10.2985/026.024.0105")</f>
        <v>http://dx.doi.org/10.2985/026.024.0105</v>
      </c>
      <c r="BG853" s="13" t="s">
        <v>5510</v>
      </c>
      <c r="BH853" s="13" t="s">
        <v>5510</v>
      </c>
      <c r="BI853" s="13">
        <v>8.0</v>
      </c>
      <c r="BJ853" s="13" t="s">
        <v>7394</v>
      </c>
      <c r="BK853" s="13" t="s">
        <v>5561</v>
      </c>
      <c r="BL853" s="13" t="s">
        <v>7394</v>
      </c>
      <c r="BM853" s="13" t="s">
        <v>20551</v>
      </c>
      <c r="BN853" s="13" t="s">
        <v>5510</v>
      </c>
      <c r="BO853" s="13" t="s">
        <v>5510</v>
      </c>
      <c r="BP853" s="13" t="s">
        <v>5510</v>
      </c>
      <c r="BQ853" s="13" t="s">
        <v>5510</v>
      </c>
      <c r="BR853" s="13" t="s">
        <v>5538</v>
      </c>
      <c r="BS853" s="13" t="s">
        <v>20552</v>
      </c>
      <c r="BT853" s="13">
        <v>23454.0</v>
      </c>
      <c r="BU853" s="13" t="s">
        <v>5540</v>
      </c>
      <c r="BV853" s="13" t="s">
        <v>4856</v>
      </c>
      <c r="BW853" s="13" t="str">
        <f>VLOOKUP($BT853,Enriched!$A$2:$E$1070,5,false)</f>
        <v>["Residential &amp; Commercial Development", "Energy Production &amp; Mining", "Agriculture &amp; Aquaculture"]</v>
      </c>
      <c r="BX853" s="13" t="str">
        <f>VLOOKUP($BT853,Enriched!$A$2:$E$1070,4,false)</f>
        <v>["Commercial &amp; industrial areas", "Mining &amp; quarrying", "Annual &amp; perennial non-timber crops"]</v>
      </c>
      <c r="BY853" s="13" t="b">
        <f>VLOOKUP(BT853,Enriched!$A$1:$AA$1070,27,falsE)</f>
        <v>0</v>
      </c>
      <c r="BZ853" s="2" t="str">
        <f>VLOOKUP(BT853,Enriched!$A$1:$AA$1070,14,falsE)</f>
        <v>level2</v>
      </c>
      <c r="CA853" s="13" t="str">
        <f>HYPERLINK("https%3A%2F%2Fwww.webofscience.com%2Fwos%2Fwoscc%2Ffull-record%2FWOS:000468996700004","View Full Record in Web of Science")</f>
        <v>View Full Record in Web of Science</v>
      </c>
    </row>
    <row r="854" ht="12.75" customHeight="1">
      <c r="A854" s="13" t="s">
        <v>5508</v>
      </c>
      <c r="B854" s="13" t="s">
        <v>20553</v>
      </c>
      <c r="C854" s="13" t="s">
        <v>5510</v>
      </c>
      <c r="D854" s="13" t="s">
        <v>5510</v>
      </c>
      <c r="E854" s="13" t="s">
        <v>5510</v>
      </c>
      <c r="F854" s="13" t="s">
        <v>20554</v>
      </c>
      <c r="G854" s="13" t="s">
        <v>5510</v>
      </c>
      <c r="H854" s="13" t="s">
        <v>5510</v>
      </c>
      <c r="I854" s="13" t="s">
        <v>328</v>
      </c>
      <c r="J854" s="13" t="s">
        <v>5919</v>
      </c>
      <c r="K854" s="13" t="s">
        <v>5510</v>
      </c>
      <c r="L854" s="13" t="s">
        <v>5510</v>
      </c>
      <c r="M854" s="13" t="s">
        <v>5513</v>
      </c>
      <c r="N854" s="13" t="s">
        <v>5514</v>
      </c>
      <c r="O854" s="13" t="s">
        <v>5510</v>
      </c>
      <c r="P854" s="13" t="s">
        <v>5510</v>
      </c>
      <c r="Q854" s="13" t="s">
        <v>5510</v>
      </c>
      <c r="R854" s="13" t="s">
        <v>5510</v>
      </c>
      <c r="S854" s="13" t="s">
        <v>5510</v>
      </c>
      <c r="T854" s="13" t="s">
        <v>20555</v>
      </c>
      <c r="U854" s="13" t="s">
        <v>20556</v>
      </c>
      <c r="V854" s="13" t="s">
        <v>20557</v>
      </c>
      <c r="W854" s="13" t="s">
        <v>20558</v>
      </c>
      <c r="X854" s="13" t="s">
        <v>20559</v>
      </c>
      <c r="Y854" s="13" t="s">
        <v>20560</v>
      </c>
      <c r="Z854" s="13" t="s">
        <v>20561</v>
      </c>
      <c r="AA854" s="13" t="s">
        <v>5510</v>
      </c>
      <c r="AB854" s="13" t="s">
        <v>20562</v>
      </c>
      <c r="AC854" s="13" t="s">
        <v>20563</v>
      </c>
      <c r="AD854" s="13" t="s">
        <v>20563</v>
      </c>
      <c r="AE854" s="13" t="s">
        <v>20564</v>
      </c>
      <c r="AF854" s="13" t="s">
        <v>5510</v>
      </c>
      <c r="AG854" s="13">
        <v>80.0</v>
      </c>
      <c r="AH854" s="13">
        <v>34.0</v>
      </c>
      <c r="AI854" s="13">
        <v>41.0</v>
      </c>
      <c r="AJ854" s="13">
        <v>2.0</v>
      </c>
      <c r="AK854" s="13">
        <v>158.0</v>
      </c>
      <c r="AL854" s="13" t="s">
        <v>5931</v>
      </c>
      <c r="AM854" s="13" t="s">
        <v>5932</v>
      </c>
      <c r="AN854" s="13" t="s">
        <v>5933</v>
      </c>
      <c r="AO854" s="13" t="s">
        <v>5934</v>
      </c>
      <c r="AP854" s="13" t="s">
        <v>5935</v>
      </c>
      <c r="AQ854" s="13" t="s">
        <v>5510</v>
      </c>
      <c r="AR854" s="13" t="s">
        <v>5936</v>
      </c>
      <c r="AS854" s="13" t="s">
        <v>5937</v>
      </c>
      <c r="AT854" s="13" t="s">
        <v>5978</v>
      </c>
      <c r="AU854" s="13">
        <v>2015.0</v>
      </c>
      <c r="AV854" s="13">
        <v>192.0</v>
      </c>
      <c r="AW854" s="13" t="s">
        <v>5510</v>
      </c>
      <c r="AX854" s="13" t="s">
        <v>5510</v>
      </c>
      <c r="AY854" s="13" t="s">
        <v>5510</v>
      </c>
      <c r="AZ854" s="13" t="s">
        <v>5510</v>
      </c>
      <c r="BA854" s="13" t="s">
        <v>5510</v>
      </c>
      <c r="BB854" s="13">
        <v>315.0</v>
      </c>
      <c r="BC854" s="13">
        <v>322.0</v>
      </c>
      <c r="BD854" s="13" t="s">
        <v>5510</v>
      </c>
      <c r="BE854" s="13" t="s">
        <v>20565</v>
      </c>
      <c r="BF854" s="52" t="str">
        <f>HYPERLINK("http://dx.doi.org/10.1016/j.biocon.2015.10.003","http://dx.doi.org/10.1016/j.biocon.2015.10.003")</f>
        <v>http://dx.doi.org/10.1016/j.biocon.2015.10.003</v>
      </c>
      <c r="BG854" s="13" t="s">
        <v>5510</v>
      </c>
      <c r="BH854" s="13" t="s">
        <v>5510</v>
      </c>
      <c r="BI854" s="13">
        <v>8.0</v>
      </c>
      <c r="BJ854" s="13" t="s">
        <v>5698</v>
      </c>
      <c r="BK854" s="13" t="s">
        <v>5561</v>
      </c>
      <c r="BL854" s="13" t="s">
        <v>5699</v>
      </c>
      <c r="BM854" s="13" t="s">
        <v>20566</v>
      </c>
      <c r="BN854" s="13" t="s">
        <v>5510</v>
      </c>
      <c r="BO854" s="13" t="s">
        <v>5510</v>
      </c>
      <c r="BP854" s="13" t="s">
        <v>5510</v>
      </c>
      <c r="BQ854" s="13" t="s">
        <v>5510</v>
      </c>
      <c r="BR854" s="13" t="s">
        <v>5538</v>
      </c>
      <c r="BS854" s="13" t="s">
        <v>20567</v>
      </c>
      <c r="BT854" s="13">
        <v>23518.0</v>
      </c>
      <c r="BU854" s="13" t="s">
        <v>5540</v>
      </c>
      <c r="BV854" s="13" t="s">
        <v>4856</v>
      </c>
      <c r="BW854" s="13" t="str">
        <f>VLOOKUP($BT854,Enriched!$A$2:$E$1070,5,false)</f>
        <v>["Transportation &amp; Service Corridors", "Pollution"]</v>
      </c>
      <c r="BX854" s="13" t="str">
        <f>VLOOKUP($BT854,Enriched!$A$2:$E$1070,4,false)</f>
        <v>["Roads &amp; railroads", "Excess energy"]</v>
      </c>
      <c r="BY854" s="13" t="b">
        <f>VLOOKUP(BT854,Enriched!$A$1:$AA$1070,27,falsE)</f>
        <v>0</v>
      </c>
      <c r="BZ854" s="2" t="str">
        <f>VLOOKUP(BT854,Enriched!$A$1:$AA$1070,14,falsE)</f>
        <v>level2</v>
      </c>
      <c r="CA854" s="13" t="str">
        <f>HYPERLINK("https%3A%2F%2Fwww.webofscience.com%2Fwos%2Fwoscc%2Ffull-record%2FWOS:000366540600035","View Full Record in Web of Science")</f>
        <v>View Full Record in Web of Science</v>
      </c>
    </row>
    <row r="855" ht="12.75" customHeight="1">
      <c r="A855" s="13" t="s">
        <v>5508</v>
      </c>
      <c r="B855" s="13" t="s">
        <v>20568</v>
      </c>
      <c r="C855" s="13" t="s">
        <v>5510</v>
      </c>
      <c r="D855" s="13" t="s">
        <v>5510</v>
      </c>
      <c r="E855" s="13" t="s">
        <v>5510</v>
      </c>
      <c r="F855" s="13" t="s">
        <v>20569</v>
      </c>
      <c r="G855" s="13" t="s">
        <v>5510</v>
      </c>
      <c r="H855" s="13" t="s">
        <v>5510</v>
      </c>
      <c r="I855" s="13" t="s">
        <v>325</v>
      </c>
      <c r="J855" s="13" t="s">
        <v>7990</v>
      </c>
      <c r="K855" s="13" t="s">
        <v>5510</v>
      </c>
      <c r="L855" s="13" t="s">
        <v>5510</v>
      </c>
      <c r="M855" s="13" t="s">
        <v>5513</v>
      </c>
      <c r="N855" s="13" t="s">
        <v>5514</v>
      </c>
      <c r="O855" s="13" t="s">
        <v>5510</v>
      </c>
      <c r="P855" s="13" t="s">
        <v>5510</v>
      </c>
      <c r="Q855" s="13" t="s">
        <v>5510</v>
      </c>
      <c r="R855" s="13" t="s">
        <v>5510</v>
      </c>
      <c r="S855" s="13" t="s">
        <v>5510</v>
      </c>
      <c r="T855" s="13" t="s">
        <v>20570</v>
      </c>
      <c r="U855" s="13" t="s">
        <v>20571</v>
      </c>
      <c r="V855" s="13" t="s">
        <v>20572</v>
      </c>
      <c r="W855" s="13" t="s">
        <v>20573</v>
      </c>
      <c r="X855" s="13" t="s">
        <v>20574</v>
      </c>
      <c r="Y855" s="13" t="s">
        <v>20575</v>
      </c>
      <c r="Z855" s="13" t="s">
        <v>20576</v>
      </c>
      <c r="AA855" s="13" t="s">
        <v>20577</v>
      </c>
      <c r="AB855" s="13" t="s">
        <v>20578</v>
      </c>
      <c r="AC855" s="13" t="s">
        <v>20579</v>
      </c>
      <c r="AD855" s="13" t="s">
        <v>20579</v>
      </c>
      <c r="AE855" s="13" t="s">
        <v>20580</v>
      </c>
      <c r="AF855" s="13" t="s">
        <v>5510</v>
      </c>
      <c r="AG855" s="13">
        <v>78.0</v>
      </c>
      <c r="AH855" s="13">
        <v>16.0</v>
      </c>
      <c r="AI855" s="13">
        <v>21.0</v>
      </c>
      <c r="AJ855" s="13">
        <v>1.0</v>
      </c>
      <c r="AK855" s="13">
        <v>67.0</v>
      </c>
      <c r="AL855" s="13" t="s">
        <v>8003</v>
      </c>
      <c r="AM855" s="13" t="s">
        <v>8004</v>
      </c>
      <c r="AN855" s="13" t="s">
        <v>8005</v>
      </c>
      <c r="AO855" s="13" t="s">
        <v>8006</v>
      </c>
      <c r="AP855" s="13" t="s">
        <v>8007</v>
      </c>
      <c r="AQ855" s="13" t="s">
        <v>5510</v>
      </c>
      <c r="AR855" s="13" t="s">
        <v>8008</v>
      </c>
      <c r="AS855" s="13" t="s">
        <v>8009</v>
      </c>
      <c r="AT855" s="13" t="s">
        <v>5978</v>
      </c>
      <c r="AU855" s="13">
        <v>2012.0</v>
      </c>
      <c r="AV855" s="13">
        <v>20.0</v>
      </c>
      <c r="AW855" s="13">
        <v>6.0</v>
      </c>
      <c r="AX855" s="13" t="s">
        <v>5510</v>
      </c>
      <c r="AY855" s="13" t="s">
        <v>5510</v>
      </c>
      <c r="AZ855" s="13" t="s">
        <v>5510</v>
      </c>
      <c r="BA855" s="13" t="s">
        <v>5510</v>
      </c>
      <c r="BB855" s="13">
        <v>337.0</v>
      </c>
      <c r="BC855" s="13">
        <v>348.0</v>
      </c>
      <c r="BD855" s="13" t="s">
        <v>5510</v>
      </c>
      <c r="BE855" s="13" t="s">
        <v>20581</v>
      </c>
      <c r="BF855" s="52" t="str">
        <f>HYPERLINK("http://dx.doi.org/10.1016/j.jnc.2012.07.006","http://dx.doi.org/10.1016/j.jnc.2012.07.006")</f>
        <v>http://dx.doi.org/10.1016/j.jnc.2012.07.006</v>
      </c>
      <c r="BG855" s="13" t="s">
        <v>5510</v>
      </c>
      <c r="BH855" s="13" t="s">
        <v>5510</v>
      </c>
      <c r="BI855" s="13">
        <v>12.0</v>
      </c>
      <c r="BJ855" s="13" t="s">
        <v>5958</v>
      </c>
      <c r="BK855" s="13" t="s">
        <v>5561</v>
      </c>
      <c r="BL855" s="13" t="s">
        <v>5699</v>
      </c>
      <c r="BM855" s="13" t="s">
        <v>20582</v>
      </c>
      <c r="BN855" s="13" t="s">
        <v>5510</v>
      </c>
      <c r="BO855" s="13" t="s">
        <v>5510</v>
      </c>
      <c r="BP855" s="13" t="s">
        <v>5510</v>
      </c>
      <c r="BQ855" s="13" t="s">
        <v>5510</v>
      </c>
      <c r="BR855" s="13" t="s">
        <v>5538</v>
      </c>
      <c r="BS855" s="13" t="s">
        <v>20583</v>
      </c>
      <c r="BT855" s="13">
        <v>25283.0</v>
      </c>
      <c r="BU855" s="13" t="s">
        <v>5540</v>
      </c>
      <c r="BV855" s="13" t="s">
        <v>4856</v>
      </c>
      <c r="BW855" s="13" t="str">
        <f>VLOOKUP($BT855,Enriched!$A$2:$E$1070,5,false)</f>
        <v>["Residential &amp; Commercial Development", "Agriculture &amp; Aquaculture", "Energy Production &amp; Mining", "Natural System Modifications"]</v>
      </c>
      <c r="BX855" s="13" t="str">
        <f>VLOOKUP($BT855,Enriched!$A$2:$E$1070,4,false)</f>
        <v>["Annual &amp; perennial non-timber crops", "Livestock farming &amp; ranching", "Oil &amp; gas drilling", "Fire &amp; fire suppression"]</v>
      </c>
      <c r="BY855" s="13" t="b">
        <f>VLOOKUP(BT855,Enriched!$A$1:$AA$1070,27,falsE)</f>
        <v>1</v>
      </c>
      <c r="BZ855" s="2" t="str">
        <f>VLOOKUP(BT855,Enriched!$A$1:$AA$1070,14,falsE)</f>
        <v>cumulative</v>
      </c>
      <c r="CA855" s="13" t="str">
        <f>HYPERLINK("https%3A%2F%2Fwww.webofscience.com%2Fwos%2Fwoscc%2Ffull-record%2FWOS:000310696300003","View Full Record in Web of Science")</f>
        <v>View Full Record in Web of Science</v>
      </c>
    </row>
    <row r="856" ht="12.75" customHeight="1">
      <c r="A856" s="13" t="s">
        <v>5508</v>
      </c>
      <c r="B856" s="13" t="s">
        <v>20584</v>
      </c>
      <c r="C856" s="13" t="s">
        <v>5510</v>
      </c>
      <c r="D856" s="13" t="s">
        <v>5510</v>
      </c>
      <c r="E856" s="13" t="s">
        <v>5510</v>
      </c>
      <c r="F856" s="13" t="s">
        <v>20585</v>
      </c>
      <c r="G856" s="13" t="s">
        <v>5510</v>
      </c>
      <c r="H856" s="13" t="s">
        <v>5510</v>
      </c>
      <c r="I856" s="13" t="s">
        <v>20586</v>
      </c>
      <c r="J856" s="13" t="s">
        <v>20587</v>
      </c>
      <c r="K856" s="13" t="s">
        <v>5510</v>
      </c>
      <c r="L856" s="13" t="s">
        <v>5510</v>
      </c>
      <c r="M856" s="13" t="s">
        <v>5513</v>
      </c>
      <c r="N856" s="13" t="s">
        <v>5514</v>
      </c>
      <c r="O856" s="13" t="s">
        <v>5510</v>
      </c>
      <c r="P856" s="13" t="s">
        <v>5510</v>
      </c>
      <c r="Q856" s="13" t="s">
        <v>5510</v>
      </c>
      <c r="R856" s="13" t="s">
        <v>5510</v>
      </c>
      <c r="S856" s="13" t="s">
        <v>5510</v>
      </c>
      <c r="T856" s="13" t="s">
        <v>20588</v>
      </c>
      <c r="U856" s="13" t="s">
        <v>20589</v>
      </c>
      <c r="V856" s="13" t="s">
        <v>20590</v>
      </c>
      <c r="W856" s="13" t="s">
        <v>20591</v>
      </c>
      <c r="X856" s="13" t="s">
        <v>20592</v>
      </c>
      <c r="Y856" s="13" t="s">
        <v>20593</v>
      </c>
      <c r="Z856" s="13" t="s">
        <v>20594</v>
      </c>
      <c r="AA856" s="13" t="s">
        <v>5510</v>
      </c>
      <c r="AB856" s="13" t="s">
        <v>20595</v>
      </c>
      <c r="AC856" s="13" t="s">
        <v>5510</v>
      </c>
      <c r="AD856" s="13" t="s">
        <v>5510</v>
      </c>
      <c r="AE856" s="13" t="s">
        <v>5510</v>
      </c>
      <c r="AF856" s="13" t="s">
        <v>5510</v>
      </c>
      <c r="AG856" s="13">
        <v>11.0</v>
      </c>
      <c r="AH856" s="13">
        <v>1.0</v>
      </c>
      <c r="AI856" s="13">
        <v>2.0</v>
      </c>
      <c r="AJ856" s="13">
        <v>0.0</v>
      </c>
      <c r="AK856" s="13">
        <v>14.0</v>
      </c>
      <c r="AL856" s="13" t="s">
        <v>20596</v>
      </c>
      <c r="AM856" s="13" t="s">
        <v>5640</v>
      </c>
      <c r="AN856" s="13" t="s">
        <v>20597</v>
      </c>
      <c r="AO856" s="13" t="s">
        <v>20598</v>
      </c>
      <c r="AP856" s="13" t="s">
        <v>5510</v>
      </c>
      <c r="AQ856" s="13" t="s">
        <v>5510</v>
      </c>
      <c r="AR856" s="13" t="s">
        <v>20599</v>
      </c>
      <c r="AS856" s="13" t="s">
        <v>20600</v>
      </c>
      <c r="AT856" s="13" t="s">
        <v>5720</v>
      </c>
      <c r="AU856" s="13">
        <v>2012.0</v>
      </c>
      <c r="AV856" s="13">
        <v>18.0</v>
      </c>
      <c r="AW856" s="13">
        <v>3.0</v>
      </c>
      <c r="AX856" s="13" t="s">
        <v>5510</v>
      </c>
      <c r="AY856" s="13" t="s">
        <v>5510</v>
      </c>
      <c r="AZ856" s="13" t="s">
        <v>5510</v>
      </c>
      <c r="BA856" s="13" t="s">
        <v>5510</v>
      </c>
      <c r="BB856" s="13">
        <v>403.0</v>
      </c>
      <c r="BC856" s="13">
        <v>409.0</v>
      </c>
      <c r="BD856" s="13" t="s">
        <v>5510</v>
      </c>
      <c r="BE856" s="13" t="str">
        <f>#REF!</f>
        <v>#REF!</v>
      </c>
      <c r="BF856" s="13" t="s">
        <v>5510</v>
      </c>
      <c r="BG856" s="13" t="s">
        <v>5510</v>
      </c>
      <c r="BH856" s="13" t="s">
        <v>5510</v>
      </c>
      <c r="BI856" s="13">
        <v>7.0</v>
      </c>
      <c r="BJ856" s="13" t="s">
        <v>5768</v>
      </c>
      <c r="BK856" s="13" t="s">
        <v>5561</v>
      </c>
      <c r="BL856" s="13" t="s">
        <v>5535</v>
      </c>
      <c r="BM856" s="13" t="s">
        <v>20601</v>
      </c>
      <c r="BN856" s="13" t="s">
        <v>5510</v>
      </c>
      <c r="BO856" s="13" t="s">
        <v>5510</v>
      </c>
      <c r="BP856" s="13" t="s">
        <v>5510</v>
      </c>
      <c r="BQ856" s="13" t="s">
        <v>5510</v>
      </c>
      <c r="BR856" s="13" t="s">
        <v>5538</v>
      </c>
      <c r="BS856" s="13" t="s">
        <v>20602</v>
      </c>
      <c r="BT856" s="13">
        <v>23188.0</v>
      </c>
      <c r="BU856" s="13" t="s">
        <v>5540</v>
      </c>
      <c r="BV856" s="13" t="s">
        <v>4856</v>
      </c>
      <c r="BW856" s="13" t="str">
        <f>VLOOKUP($BT856,Enriched!$A$2:$E$1070,5,false)</f>
        <v>["Residential &amp; commercial development"]</v>
      </c>
      <c r="BX856" s="13" t="str">
        <f>VLOOKUP($BT856,Enriched!$A$2:$E$1070,4,false)</f>
        <v/>
      </c>
      <c r="BY856" s="13" t="b">
        <f>VLOOKUP(BT856,Enriched!$A$1:$AA$1070,27,falsE)</f>
        <v>1</v>
      </c>
      <c r="BZ856" s="2" t="str">
        <f>VLOOKUP(BT856,Enriched!$A$1:$AA$1070,14,falsE)</f>
        <v>level1</v>
      </c>
      <c r="CA856" s="13" t="str">
        <f>HYPERLINK("https%3A%2F%2Fwww.webofscience.com%2Fwos%2Fwoscc%2Ffull-record%2FWOS:000309631600013","View Full Record in Web of Science")</f>
        <v>View Full Record in Web of Science</v>
      </c>
    </row>
    <row r="857" ht="12.75" customHeight="1">
      <c r="A857" s="13" t="s">
        <v>5508</v>
      </c>
      <c r="B857" s="13" t="s">
        <v>20603</v>
      </c>
      <c r="C857" s="13" t="s">
        <v>5510</v>
      </c>
      <c r="D857" s="13" t="s">
        <v>5510</v>
      </c>
      <c r="E857" s="13" t="s">
        <v>5510</v>
      </c>
      <c r="F857" s="13" t="s">
        <v>20604</v>
      </c>
      <c r="G857" s="13" t="s">
        <v>5510</v>
      </c>
      <c r="H857" s="13" t="s">
        <v>5510</v>
      </c>
      <c r="I857" s="13" t="s">
        <v>310</v>
      </c>
      <c r="J857" s="13" t="s">
        <v>20605</v>
      </c>
      <c r="K857" s="13" t="s">
        <v>5510</v>
      </c>
      <c r="L857" s="13" t="s">
        <v>5510</v>
      </c>
      <c r="M857" s="13" t="s">
        <v>5513</v>
      </c>
      <c r="N857" s="13" t="s">
        <v>5514</v>
      </c>
      <c r="O857" s="13" t="s">
        <v>5510</v>
      </c>
      <c r="P857" s="13" t="s">
        <v>5510</v>
      </c>
      <c r="Q857" s="13" t="s">
        <v>5510</v>
      </c>
      <c r="R857" s="13" t="s">
        <v>5510</v>
      </c>
      <c r="S857" s="13" t="s">
        <v>5510</v>
      </c>
      <c r="T857" s="13" t="s">
        <v>20606</v>
      </c>
      <c r="U857" s="13" t="s">
        <v>20607</v>
      </c>
      <c r="V857" s="13" t="s">
        <v>20608</v>
      </c>
      <c r="W857" s="13" t="s">
        <v>20609</v>
      </c>
      <c r="X857" s="13" t="s">
        <v>20610</v>
      </c>
      <c r="Y857" s="13" t="s">
        <v>20611</v>
      </c>
      <c r="Z857" s="13" t="s">
        <v>20612</v>
      </c>
      <c r="AA857" s="13" t="s">
        <v>20613</v>
      </c>
      <c r="AB857" s="13" t="s">
        <v>20614</v>
      </c>
      <c r="AC857" s="13" t="s">
        <v>5510</v>
      </c>
      <c r="AD857" s="13" t="s">
        <v>5510</v>
      </c>
      <c r="AE857" s="13" t="s">
        <v>5510</v>
      </c>
      <c r="AF857" s="13" t="s">
        <v>5510</v>
      </c>
      <c r="AG857" s="13">
        <v>87.0</v>
      </c>
      <c r="AH857" s="13">
        <v>14.0</v>
      </c>
      <c r="AI857" s="13">
        <v>19.0</v>
      </c>
      <c r="AJ857" s="13">
        <v>0.0</v>
      </c>
      <c r="AK857" s="13">
        <v>22.0</v>
      </c>
      <c r="AL857" s="13" t="s">
        <v>8873</v>
      </c>
      <c r="AM857" s="13" t="s">
        <v>8874</v>
      </c>
      <c r="AN857" s="13" t="s">
        <v>8875</v>
      </c>
      <c r="AO857" s="13" t="s">
        <v>20615</v>
      </c>
      <c r="AP857" s="13" t="s">
        <v>20616</v>
      </c>
      <c r="AQ857" s="13" t="s">
        <v>5510</v>
      </c>
      <c r="AR857" s="13" t="s">
        <v>20617</v>
      </c>
      <c r="AS857" s="13" t="s">
        <v>20618</v>
      </c>
      <c r="AT857" s="13" t="s">
        <v>5510</v>
      </c>
      <c r="AU857" s="13">
        <v>2017.0</v>
      </c>
      <c r="AV857" s="13">
        <v>74.0</v>
      </c>
      <c r="AW857" s="13">
        <v>1.0</v>
      </c>
      <c r="AX857" s="13" t="s">
        <v>5510</v>
      </c>
      <c r="AY857" s="13" t="s">
        <v>5510</v>
      </c>
      <c r="AZ857" s="13" t="s">
        <v>5510</v>
      </c>
      <c r="BA857" s="13" t="s">
        <v>5510</v>
      </c>
      <c r="BB857" s="13" t="s">
        <v>5510</v>
      </c>
      <c r="BC857" s="13" t="s">
        <v>5510</v>
      </c>
      <c r="BD857" s="13" t="s">
        <v>20619</v>
      </c>
      <c r="BE857" s="13" t="s">
        <v>20620</v>
      </c>
      <c r="BF857" s="52" t="str">
        <f>HYPERLINK("http://dx.doi.org/10.3989/ajbm.2452","http://dx.doi.org/10.3989/ajbm.2452")</f>
        <v>http://dx.doi.org/10.3989/ajbm.2452</v>
      </c>
      <c r="BG857" s="13" t="s">
        <v>5510</v>
      </c>
      <c r="BH857" s="13" t="s">
        <v>5510</v>
      </c>
      <c r="BI857" s="13">
        <v>10.0</v>
      </c>
      <c r="BJ857" s="13" t="s">
        <v>7394</v>
      </c>
      <c r="BK857" s="13" t="s">
        <v>5561</v>
      </c>
      <c r="BL857" s="13" t="s">
        <v>7394</v>
      </c>
      <c r="BM857" s="13" t="s">
        <v>20621</v>
      </c>
      <c r="BN857" s="13" t="s">
        <v>5510</v>
      </c>
      <c r="BO857" s="13" t="s">
        <v>5564</v>
      </c>
      <c r="BP857" s="13" t="s">
        <v>5510</v>
      </c>
      <c r="BQ857" s="13" t="s">
        <v>5510</v>
      </c>
      <c r="BR857" s="13" t="s">
        <v>5538</v>
      </c>
      <c r="BS857" s="13" t="s">
        <v>20622</v>
      </c>
      <c r="BT857" s="13">
        <v>25400.0</v>
      </c>
      <c r="BU857" s="13" t="s">
        <v>5540</v>
      </c>
      <c r="BV857" s="13" t="s">
        <v>4852</v>
      </c>
      <c r="BW857" s="13" t="str">
        <f>VLOOKUP($BT857,Enriched!$A$2:$E$1070,5,false)</f>
        <v>["Invasive &amp; other problematic species, genes &amp; diseases"]</v>
      </c>
      <c r="BX857" s="13" t="str">
        <f>VLOOKUP($BT857,Enriched!$A$2:$E$1070,4,false)</f>
        <v>["Invasive non-native/alien species/diseases"]</v>
      </c>
      <c r="BY857" s="13" t="b">
        <f>VLOOKUP(BT857,Enriched!$A$1:$AA$1070,27,falsE)</f>
        <v>0</v>
      </c>
      <c r="BZ857" s="2" t="str">
        <f>VLOOKUP(BT857,Enriched!$A$1:$AA$1070,14,falsE)</f>
        <v>level2</v>
      </c>
      <c r="CA857" s="13" t="str">
        <f>HYPERLINK("https%3A%2F%2Fwww.webofscience.com%2Fwos%2Fwoscc%2Ffull-record%2FWOS:000408455300009","View Full Record in Web of Science")</f>
        <v>View Full Record in Web of Science</v>
      </c>
    </row>
    <row r="858" ht="12.75" customHeight="1">
      <c r="A858" s="13" t="s">
        <v>5508</v>
      </c>
      <c r="B858" s="13" t="s">
        <v>20623</v>
      </c>
      <c r="C858" s="13" t="s">
        <v>5510</v>
      </c>
      <c r="D858" s="13" t="s">
        <v>5510</v>
      </c>
      <c r="E858" s="13" t="s">
        <v>5510</v>
      </c>
      <c r="F858" s="13" t="s">
        <v>20624</v>
      </c>
      <c r="G858" s="13" t="s">
        <v>5510</v>
      </c>
      <c r="H858" s="13" t="s">
        <v>5510</v>
      </c>
      <c r="I858" s="13" t="s">
        <v>306</v>
      </c>
      <c r="J858" s="13" t="s">
        <v>20625</v>
      </c>
      <c r="K858" s="13" t="s">
        <v>5510</v>
      </c>
      <c r="L858" s="13" t="s">
        <v>5510</v>
      </c>
      <c r="M858" s="13" t="s">
        <v>5513</v>
      </c>
      <c r="N858" s="13" t="s">
        <v>5514</v>
      </c>
      <c r="O858" s="13" t="s">
        <v>5510</v>
      </c>
      <c r="P858" s="13" t="s">
        <v>5510</v>
      </c>
      <c r="Q858" s="13" t="s">
        <v>5510</v>
      </c>
      <c r="R858" s="13" t="s">
        <v>5510</v>
      </c>
      <c r="S858" s="13" t="s">
        <v>5510</v>
      </c>
      <c r="T858" s="13" t="s">
        <v>20626</v>
      </c>
      <c r="U858" s="13" t="s">
        <v>20627</v>
      </c>
      <c r="V858" s="13" t="s">
        <v>20628</v>
      </c>
      <c r="W858" s="13" t="s">
        <v>20629</v>
      </c>
      <c r="X858" s="13" t="s">
        <v>20630</v>
      </c>
      <c r="Y858" s="13" t="s">
        <v>20631</v>
      </c>
      <c r="Z858" s="13" t="s">
        <v>20632</v>
      </c>
      <c r="AA858" s="13" t="s">
        <v>20633</v>
      </c>
      <c r="AB858" s="13" t="s">
        <v>20634</v>
      </c>
      <c r="AC858" s="13" t="s">
        <v>20635</v>
      </c>
      <c r="AD858" s="13" t="s">
        <v>20636</v>
      </c>
      <c r="AE858" s="13" t="s">
        <v>20637</v>
      </c>
      <c r="AF858" s="13" t="s">
        <v>5510</v>
      </c>
      <c r="AG858" s="13">
        <v>78.0</v>
      </c>
      <c r="AH858" s="13">
        <v>72.0</v>
      </c>
      <c r="AI858" s="13">
        <v>78.0</v>
      </c>
      <c r="AJ858" s="13">
        <v>2.0</v>
      </c>
      <c r="AK858" s="13">
        <v>78.0</v>
      </c>
      <c r="AL858" s="13" t="s">
        <v>5527</v>
      </c>
      <c r="AM858" s="13" t="s">
        <v>5528</v>
      </c>
      <c r="AN858" s="13" t="s">
        <v>5529</v>
      </c>
      <c r="AO858" s="13" t="s">
        <v>20638</v>
      </c>
      <c r="AP858" s="13" t="s">
        <v>20639</v>
      </c>
      <c r="AQ858" s="13" t="s">
        <v>5510</v>
      </c>
      <c r="AR858" s="13" t="s">
        <v>20640</v>
      </c>
      <c r="AS858" s="13" t="s">
        <v>20641</v>
      </c>
      <c r="AT858" s="13" t="s">
        <v>5582</v>
      </c>
      <c r="AU858" s="13">
        <v>2018.0</v>
      </c>
      <c r="AV858" s="13">
        <v>18.0</v>
      </c>
      <c r="AW858" s="13">
        <v>1.0</v>
      </c>
      <c r="AX858" s="13" t="s">
        <v>5510</v>
      </c>
      <c r="AY858" s="13" t="s">
        <v>5510</v>
      </c>
      <c r="AZ858" s="13" t="s">
        <v>5510</v>
      </c>
      <c r="BA858" s="13" t="s">
        <v>5510</v>
      </c>
      <c r="BB858" s="13">
        <v>18.0</v>
      </c>
      <c r="BC858" s="13">
        <v>31.0</v>
      </c>
      <c r="BD858" s="13" t="s">
        <v>5510</v>
      </c>
      <c r="BE858" s="13" t="s">
        <v>20642</v>
      </c>
      <c r="BF858" s="52" t="str">
        <f>HYPERLINK("http://dx.doi.org/10.1111/1755-0998.12694","http://dx.doi.org/10.1111/1755-0998.12694")</f>
        <v>http://dx.doi.org/10.1111/1755-0998.12694</v>
      </c>
      <c r="BG858" s="13" t="s">
        <v>5510</v>
      </c>
      <c r="BH858" s="13" t="s">
        <v>5510</v>
      </c>
      <c r="BI858" s="13">
        <v>14.0</v>
      </c>
      <c r="BJ858" s="13" t="s">
        <v>16838</v>
      </c>
      <c r="BK858" s="13" t="s">
        <v>5561</v>
      </c>
      <c r="BL858" s="13" t="s">
        <v>16839</v>
      </c>
      <c r="BM858" s="13" t="s">
        <v>20643</v>
      </c>
      <c r="BN858" s="13">
        <v>2.8649779E7</v>
      </c>
      <c r="BO858" s="13" t="s">
        <v>5872</v>
      </c>
      <c r="BP858" s="13" t="s">
        <v>5510</v>
      </c>
      <c r="BQ858" s="13" t="s">
        <v>5510</v>
      </c>
      <c r="BR858" s="13" t="s">
        <v>5538</v>
      </c>
      <c r="BS858" s="13" t="s">
        <v>20644</v>
      </c>
      <c r="BT858" s="13">
        <v>25309.0</v>
      </c>
      <c r="BU858" s="13" t="s">
        <v>5540</v>
      </c>
      <c r="BV858" s="13" t="s">
        <v>4856</v>
      </c>
      <c r="BW858" s="13" t="str">
        <f>VLOOKUP($BT858,Enriched!$A$2:$E$1070,5,false)</f>
        <v>["Climate change &amp; severe weather"]</v>
      </c>
      <c r="BX858" s="13" t="str">
        <f>VLOOKUP($BT858,Enriched!$A$2:$E$1070,4,false)</f>
        <v>["Habitat shifting &amp; alteration"]</v>
      </c>
      <c r="BY858" s="13" t="b">
        <f>VLOOKUP(BT858,Enriched!$A$1:$AA$1070,27,falsE)</f>
        <v>0</v>
      </c>
      <c r="BZ858" s="2" t="str">
        <f>VLOOKUP(BT858,Enriched!$A$1:$AA$1070,14,falsE)</f>
        <v>level2</v>
      </c>
      <c r="CA858" s="13" t="str">
        <f>HYPERLINK("https%3A%2F%2Fwww.webofscience.com%2Fwos%2Fwoscc%2Ffull-record%2FWOS:000424112000003","View Full Record in Web of Science")</f>
        <v>View Full Record in Web of Science</v>
      </c>
    </row>
    <row r="859" ht="12.75" customHeight="1">
      <c r="A859" s="13" t="s">
        <v>5508</v>
      </c>
      <c r="B859" s="13" t="s">
        <v>20645</v>
      </c>
      <c r="C859" s="13" t="s">
        <v>5510</v>
      </c>
      <c r="D859" s="13" t="s">
        <v>5510</v>
      </c>
      <c r="E859" s="13" t="s">
        <v>5510</v>
      </c>
      <c r="F859" s="13" t="s">
        <v>20646</v>
      </c>
      <c r="G859" s="13" t="s">
        <v>5510</v>
      </c>
      <c r="H859" s="13" t="s">
        <v>5510</v>
      </c>
      <c r="I859" s="13" t="s">
        <v>301</v>
      </c>
      <c r="J859" s="13" t="s">
        <v>17761</v>
      </c>
      <c r="K859" s="13" t="s">
        <v>5510</v>
      </c>
      <c r="L859" s="13" t="s">
        <v>5510</v>
      </c>
      <c r="M859" s="13" t="s">
        <v>5513</v>
      </c>
      <c r="N859" s="13" t="s">
        <v>5514</v>
      </c>
      <c r="O859" s="13" t="s">
        <v>5510</v>
      </c>
      <c r="P859" s="13" t="s">
        <v>5510</v>
      </c>
      <c r="Q859" s="13" t="s">
        <v>5510</v>
      </c>
      <c r="R859" s="13" t="s">
        <v>5510</v>
      </c>
      <c r="S859" s="13" t="s">
        <v>5510</v>
      </c>
      <c r="T859" s="13" t="s">
        <v>20647</v>
      </c>
      <c r="U859" s="13" t="s">
        <v>20648</v>
      </c>
      <c r="V859" s="13" t="s">
        <v>20649</v>
      </c>
      <c r="W859" s="13" t="s">
        <v>20650</v>
      </c>
      <c r="X859" s="13" t="s">
        <v>20651</v>
      </c>
      <c r="Y859" s="13" t="s">
        <v>20652</v>
      </c>
      <c r="Z859" s="13" t="s">
        <v>20653</v>
      </c>
      <c r="AA859" s="13" t="s">
        <v>20654</v>
      </c>
      <c r="AB859" s="13" t="s">
        <v>20655</v>
      </c>
      <c r="AC859" s="13" t="s">
        <v>20656</v>
      </c>
      <c r="AD859" s="13" t="s">
        <v>20657</v>
      </c>
      <c r="AE859" s="13" t="s">
        <v>20658</v>
      </c>
      <c r="AF859" s="13" t="s">
        <v>5510</v>
      </c>
      <c r="AG859" s="13">
        <v>35.0</v>
      </c>
      <c r="AH859" s="13">
        <v>47.0</v>
      </c>
      <c r="AI859" s="13">
        <v>50.0</v>
      </c>
      <c r="AJ859" s="13">
        <v>0.0</v>
      </c>
      <c r="AK859" s="13">
        <v>30.0</v>
      </c>
      <c r="AL859" s="13" t="s">
        <v>5527</v>
      </c>
      <c r="AM859" s="13" t="s">
        <v>5528</v>
      </c>
      <c r="AN859" s="13" t="s">
        <v>5529</v>
      </c>
      <c r="AO859" s="13" t="s">
        <v>17774</v>
      </c>
      <c r="AP859" s="13" t="s">
        <v>17775</v>
      </c>
      <c r="AQ859" s="13" t="s">
        <v>5510</v>
      </c>
      <c r="AR859" s="13" t="s">
        <v>17776</v>
      </c>
      <c r="AS859" s="13" t="s">
        <v>17777</v>
      </c>
      <c r="AT859" s="13" t="s">
        <v>1925</v>
      </c>
      <c r="AU859" s="13">
        <v>2010.0</v>
      </c>
      <c r="AV859" s="13">
        <v>31.0</v>
      </c>
      <c r="AW859" s="13" t="s">
        <v>5510</v>
      </c>
      <c r="AX859" s="13" t="s">
        <v>5510</v>
      </c>
      <c r="AY859" s="13">
        <v>1.0</v>
      </c>
      <c r="AZ859" s="13" t="s">
        <v>5510</v>
      </c>
      <c r="BA859" s="13" t="s">
        <v>5510</v>
      </c>
      <c r="BB859" s="13">
        <v>200.0</v>
      </c>
      <c r="BC859" s="13">
        <v>211.0</v>
      </c>
      <c r="BD859" s="13" t="s">
        <v>5510</v>
      </c>
      <c r="BE859" s="13" t="s">
        <v>20659</v>
      </c>
      <c r="BF859" s="52" t="str">
        <f>HYPERLINK("http://dx.doi.org/10.1111/j.1439-0485.2010.00392.x","http://dx.doi.org/10.1111/j.1439-0485.2010.00392.x")</f>
        <v>http://dx.doi.org/10.1111/j.1439-0485.2010.00392.x</v>
      </c>
      <c r="BG859" s="13" t="s">
        <v>5510</v>
      </c>
      <c r="BH859" s="13" t="s">
        <v>5510</v>
      </c>
      <c r="BI859" s="13">
        <v>12.0</v>
      </c>
      <c r="BJ859" s="13" t="s">
        <v>6508</v>
      </c>
      <c r="BK859" s="13" t="s">
        <v>5561</v>
      </c>
      <c r="BL859" s="13" t="s">
        <v>6508</v>
      </c>
      <c r="BM859" s="13" t="s">
        <v>20660</v>
      </c>
      <c r="BN859" s="13" t="s">
        <v>5510</v>
      </c>
      <c r="BO859" s="13" t="s">
        <v>5809</v>
      </c>
      <c r="BP859" s="13" t="s">
        <v>5510</v>
      </c>
      <c r="BQ859" s="13" t="s">
        <v>5510</v>
      </c>
      <c r="BR859" s="13" t="s">
        <v>5538</v>
      </c>
      <c r="BS859" s="13" t="s">
        <v>20661</v>
      </c>
      <c r="BT859" s="13">
        <v>23560.0</v>
      </c>
      <c r="BU859" s="13" t="s">
        <v>5540</v>
      </c>
      <c r="BV859" s="13" t="s">
        <v>4864</v>
      </c>
      <c r="BW859" s="13" t="str">
        <f>VLOOKUP($BT859,Enriched!$A$2:$E$1070,5,false)</f>
        <v>["Biological resource use"]</v>
      </c>
      <c r="BX859" s="13" t="str">
        <f>VLOOKUP($BT859,Enriched!$A$2:$E$1070,4,false)</f>
        <v>["Fishing &amp; harvesting aquatic resources"]</v>
      </c>
      <c r="BY859" s="13" t="b">
        <f>VLOOKUP(BT859,Enriched!$A$1:$AA$1070,27,falsE)</f>
        <v>0</v>
      </c>
      <c r="BZ859" s="2" t="str">
        <f>VLOOKUP(BT859,Enriched!$A$1:$AA$1070,14,falsE)</f>
        <v>level2</v>
      </c>
      <c r="CA859" s="13" t="str">
        <f>HYPERLINK("https%3A%2F%2Fwww.webofscience.com%2Fwos%2Fwoscc%2Ffull-record%2FWOS:000281797000015","View Full Record in Web of Science")</f>
        <v>View Full Record in Web of Science</v>
      </c>
    </row>
    <row r="860" ht="12.75" customHeight="1">
      <c r="A860" s="13" t="s">
        <v>6232</v>
      </c>
      <c r="B860" s="13" t="s">
        <v>20662</v>
      </c>
      <c r="C860" s="13" t="s">
        <v>5510</v>
      </c>
      <c r="D860" s="13" t="s">
        <v>20663</v>
      </c>
      <c r="E860" s="13" t="s">
        <v>5510</v>
      </c>
      <c r="F860" s="13" t="s">
        <v>20664</v>
      </c>
      <c r="G860" s="13" t="s">
        <v>5510</v>
      </c>
      <c r="H860" s="13" t="s">
        <v>5510</v>
      </c>
      <c r="I860" s="13" t="s">
        <v>20665</v>
      </c>
      <c r="J860" s="13" t="s">
        <v>20666</v>
      </c>
      <c r="K860" s="13" t="s">
        <v>298</v>
      </c>
      <c r="L860" s="13" t="s">
        <v>5510</v>
      </c>
      <c r="M860" s="13" t="s">
        <v>5513</v>
      </c>
      <c r="N860" s="13" t="s">
        <v>6238</v>
      </c>
      <c r="O860" s="13" t="s">
        <v>20667</v>
      </c>
      <c r="P860" s="13" t="s">
        <v>20668</v>
      </c>
      <c r="Q860" s="13" t="s">
        <v>20669</v>
      </c>
      <c r="R860" s="13" t="s">
        <v>5510</v>
      </c>
      <c r="S860" s="13" t="s">
        <v>5510</v>
      </c>
      <c r="T860" s="13" t="s">
        <v>5510</v>
      </c>
      <c r="U860" s="13" t="s">
        <v>5510</v>
      </c>
      <c r="V860" s="13" t="s">
        <v>20670</v>
      </c>
      <c r="W860" s="13" t="s">
        <v>20671</v>
      </c>
      <c r="X860" s="13" t="s">
        <v>18542</v>
      </c>
      <c r="Y860" s="13" t="s">
        <v>20672</v>
      </c>
      <c r="Z860" s="13" t="s">
        <v>20673</v>
      </c>
      <c r="AA860" s="13" t="s">
        <v>20674</v>
      </c>
      <c r="AB860" s="13" t="s">
        <v>20675</v>
      </c>
      <c r="AC860" s="13" t="s">
        <v>5510</v>
      </c>
      <c r="AD860" s="13" t="s">
        <v>5510</v>
      </c>
      <c r="AE860" s="13" t="s">
        <v>5510</v>
      </c>
      <c r="AF860" s="13" t="s">
        <v>5510</v>
      </c>
      <c r="AG860" s="13">
        <v>15.0</v>
      </c>
      <c r="AH860" s="13">
        <v>25.0</v>
      </c>
      <c r="AI860" s="13">
        <v>28.0</v>
      </c>
      <c r="AJ860" s="13">
        <v>2.0</v>
      </c>
      <c r="AK860" s="13">
        <v>16.0</v>
      </c>
      <c r="AL860" s="13" t="s">
        <v>20676</v>
      </c>
      <c r="AM860" s="13" t="s">
        <v>20677</v>
      </c>
      <c r="AN860" s="13" t="s">
        <v>20678</v>
      </c>
      <c r="AO860" s="13" t="s">
        <v>20679</v>
      </c>
      <c r="AP860" s="13" t="s">
        <v>5510</v>
      </c>
      <c r="AQ860" s="13" t="s">
        <v>20680</v>
      </c>
      <c r="AR860" s="13" t="s">
        <v>20681</v>
      </c>
      <c r="AS860" s="13" t="s">
        <v>5510</v>
      </c>
      <c r="AT860" s="13" t="s">
        <v>5510</v>
      </c>
      <c r="AU860" s="13">
        <v>2013.0</v>
      </c>
      <c r="AV860" s="13">
        <v>32.0</v>
      </c>
      <c r="AW860" s="13" t="s">
        <v>5510</v>
      </c>
      <c r="AX860" s="13" t="s">
        <v>5510</v>
      </c>
      <c r="AY860" s="13" t="s">
        <v>5510</v>
      </c>
      <c r="AZ860" s="13" t="s">
        <v>5510</v>
      </c>
      <c r="BA860" s="13" t="s">
        <v>5510</v>
      </c>
      <c r="BB860" s="13">
        <v>49.0</v>
      </c>
      <c r="BC860" s="13">
        <v>54.0</v>
      </c>
      <c r="BD860" s="13" t="s">
        <v>5510</v>
      </c>
      <c r="BE860" s="13" t="s">
        <v>20682</v>
      </c>
      <c r="BF860" s="52" t="str">
        <f>HYPERLINK("http://dx.doi.org/10.3303/CET1332009","http://dx.doi.org/10.3303/CET1332009")</f>
        <v>http://dx.doi.org/10.3303/CET1332009</v>
      </c>
      <c r="BG860" s="13" t="s">
        <v>5510</v>
      </c>
      <c r="BH860" s="13" t="s">
        <v>5510</v>
      </c>
      <c r="BI860" s="13">
        <v>6.0</v>
      </c>
      <c r="BJ860" s="13" t="s">
        <v>20683</v>
      </c>
      <c r="BK860" s="13" t="s">
        <v>6255</v>
      </c>
      <c r="BL860" s="13" t="s">
        <v>20684</v>
      </c>
      <c r="BM860" s="13" t="s">
        <v>20685</v>
      </c>
      <c r="BN860" s="13" t="s">
        <v>5510</v>
      </c>
      <c r="BO860" s="13" t="s">
        <v>5510</v>
      </c>
      <c r="BP860" s="13" t="s">
        <v>5510</v>
      </c>
      <c r="BQ860" s="13" t="s">
        <v>5510</v>
      </c>
      <c r="BR860" s="13" t="s">
        <v>5538</v>
      </c>
      <c r="BS860" s="13" t="s">
        <v>20686</v>
      </c>
      <c r="BT860" s="13">
        <v>23155.0</v>
      </c>
      <c r="BU860" s="13" t="s">
        <v>5540</v>
      </c>
      <c r="BV860" s="13" t="s">
        <v>4856</v>
      </c>
      <c r="BW860" s="13" t="str">
        <f>VLOOKUP($BT860,Enriched!$A$2:$E$1070,5,false)</f>
        <v>["Residential &amp; Commercial Development"]</v>
      </c>
      <c r="BX860" s="13" t="str">
        <f>VLOOKUP($BT860,Enriched!$A$2:$E$1070,4,false)</f>
        <v>["Housing &amp; urban area", "Commercial &amp; industrial areas"]</v>
      </c>
      <c r="BY860" s="13" t="b">
        <f>VLOOKUP(BT860,Enriched!$A$1:$AA$1070,27,falsE)</f>
        <v>0</v>
      </c>
      <c r="BZ860" s="2" t="str">
        <f>VLOOKUP(BT860,Enriched!$A$1:$AA$1070,14,falsE)</f>
        <v>level1</v>
      </c>
      <c r="CA860" s="13" t="str">
        <f>HYPERLINK("https%3A%2F%2Fwww.webofscience.com%2Fwos%2Fwoscc%2Ffull-record%2FWOS:000335952100009","View Full Record in Web of Science")</f>
        <v>View Full Record in Web of Science</v>
      </c>
    </row>
    <row r="861" ht="12.75" customHeight="1">
      <c r="A861" s="13" t="s">
        <v>5508</v>
      </c>
      <c r="B861" s="13" t="s">
        <v>20687</v>
      </c>
      <c r="C861" s="13" t="s">
        <v>5510</v>
      </c>
      <c r="D861" s="13" t="s">
        <v>5510</v>
      </c>
      <c r="E861" s="13" t="s">
        <v>5510</v>
      </c>
      <c r="F861" s="13" t="s">
        <v>20688</v>
      </c>
      <c r="G861" s="13" t="s">
        <v>5510</v>
      </c>
      <c r="H861" s="13" t="s">
        <v>5510</v>
      </c>
      <c r="I861" s="13" t="s">
        <v>294</v>
      </c>
      <c r="J861" s="13" t="s">
        <v>20689</v>
      </c>
      <c r="K861" s="13" t="s">
        <v>5510</v>
      </c>
      <c r="L861" s="13" t="s">
        <v>5510</v>
      </c>
      <c r="M861" s="13" t="s">
        <v>5513</v>
      </c>
      <c r="N861" s="13" t="s">
        <v>5514</v>
      </c>
      <c r="O861" s="13" t="s">
        <v>5510</v>
      </c>
      <c r="P861" s="13" t="s">
        <v>5510</v>
      </c>
      <c r="Q861" s="13" t="s">
        <v>5510</v>
      </c>
      <c r="R861" s="13" t="s">
        <v>5510</v>
      </c>
      <c r="S861" s="13" t="s">
        <v>5510</v>
      </c>
      <c r="T861" s="13" t="s">
        <v>20690</v>
      </c>
      <c r="U861" s="13" t="s">
        <v>20691</v>
      </c>
      <c r="V861" s="13" t="s">
        <v>20692</v>
      </c>
      <c r="W861" s="13" t="s">
        <v>20693</v>
      </c>
      <c r="X861" s="13" t="s">
        <v>18428</v>
      </c>
      <c r="Y861" s="13" t="s">
        <v>20694</v>
      </c>
      <c r="Z861" s="13" t="s">
        <v>20695</v>
      </c>
      <c r="AA861" s="13" t="s">
        <v>20696</v>
      </c>
      <c r="AB861" s="13" t="s">
        <v>20697</v>
      </c>
      <c r="AC861" s="13" t="s">
        <v>20698</v>
      </c>
      <c r="AD861" s="13" t="s">
        <v>20699</v>
      </c>
      <c r="AE861" s="13" t="s">
        <v>20700</v>
      </c>
      <c r="AF861" s="13" t="s">
        <v>5510</v>
      </c>
      <c r="AG861" s="13">
        <v>81.0</v>
      </c>
      <c r="AH861" s="13">
        <v>24.0</v>
      </c>
      <c r="AI861" s="13">
        <v>27.0</v>
      </c>
      <c r="AJ861" s="13">
        <v>2.0</v>
      </c>
      <c r="AK861" s="13">
        <v>38.0</v>
      </c>
      <c r="AL861" s="13" t="s">
        <v>5690</v>
      </c>
      <c r="AM861" s="13" t="s">
        <v>6503</v>
      </c>
      <c r="AN861" s="13" t="s">
        <v>6504</v>
      </c>
      <c r="AO861" s="13" t="s">
        <v>20701</v>
      </c>
      <c r="AP861" s="13" t="s">
        <v>20702</v>
      </c>
      <c r="AQ861" s="13" t="s">
        <v>5510</v>
      </c>
      <c r="AR861" s="13" t="s">
        <v>20703</v>
      </c>
      <c r="AS861" s="13" t="s">
        <v>20704</v>
      </c>
      <c r="AT861" s="13" t="s">
        <v>6089</v>
      </c>
      <c r="AU861" s="13">
        <v>2018.0</v>
      </c>
      <c r="AV861" s="13">
        <v>77.0</v>
      </c>
      <c r="AW861" s="13">
        <v>5.0</v>
      </c>
      <c r="AX861" s="13" t="s">
        <v>5510</v>
      </c>
      <c r="AY861" s="13" t="s">
        <v>5510</v>
      </c>
      <c r="AZ861" s="13" t="s">
        <v>5510</v>
      </c>
      <c r="BA861" s="13" t="s">
        <v>5510</v>
      </c>
      <c r="BB861" s="13" t="s">
        <v>5510</v>
      </c>
      <c r="BC861" s="13" t="s">
        <v>5510</v>
      </c>
      <c r="BD861" s="13">
        <v>171.0</v>
      </c>
      <c r="BE861" s="13" t="s">
        <v>20705</v>
      </c>
      <c r="BF861" s="52" t="str">
        <f>HYPERLINK("http://dx.doi.org/10.1007/s12665-018-7323-8","http://dx.doi.org/10.1007/s12665-018-7323-8")</f>
        <v>http://dx.doi.org/10.1007/s12665-018-7323-8</v>
      </c>
      <c r="BG861" s="13" t="s">
        <v>5510</v>
      </c>
      <c r="BH861" s="13" t="s">
        <v>5510</v>
      </c>
      <c r="BI861" s="13">
        <v>14.0</v>
      </c>
      <c r="BJ861" s="13" t="s">
        <v>20706</v>
      </c>
      <c r="BK861" s="13" t="s">
        <v>5561</v>
      </c>
      <c r="BL861" s="13" t="s">
        <v>20707</v>
      </c>
      <c r="BM861" s="13" t="s">
        <v>20708</v>
      </c>
      <c r="BN861" s="13" t="s">
        <v>5510</v>
      </c>
      <c r="BO861" s="13" t="s">
        <v>6623</v>
      </c>
      <c r="BP861" s="13" t="s">
        <v>5510</v>
      </c>
      <c r="BQ861" s="13" t="s">
        <v>5510</v>
      </c>
      <c r="BR861" s="13" t="s">
        <v>5538</v>
      </c>
      <c r="BS861" s="13" t="s">
        <v>20709</v>
      </c>
      <c r="BT861" s="13">
        <v>26050.0</v>
      </c>
      <c r="BU861" s="13" t="s">
        <v>5540</v>
      </c>
      <c r="BV861" s="13" t="s">
        <v>4856</v>
      </c>
      <c r="BW861" s="13" t="str">
        <f>VLOOKUP($BT861,Enriched!$A$2:$E$1070,5,false)</f>
        <v>["Agriculture &amp; Aquaculture", "Energy Production &amp; Mining", "Transportation &amp; Service Corridors"]</v>
      </c>
      <c r="BX861" s="13" t="str">
        <f>VLOOKUP($BT861,Enriched!$A$2:$E$1070,4,false)</f>
        <v>["Housing &amp; urban area", "Annual &amp; perennial non-timber crops", "Oil &amp; gas drilling", "Renewable energy", "Utility &amp; service lines"]</v>
      </c>
      <c r="BY861" s="13" t="b">
        <f>VLOOKUP(BT861,Enriched!$A$1:$AA$1070,27,falsE)</f>
        <v>0</v>
      </c>
      <c r="BZ861" s="2" t="str">
        <f>VLOOKUP(BT861,Enriched!$A$1:$AA$1070,14,falsE)</f>
        <v>level2</v>
      </c>
      <c r="CA861" s="13" t="str">
        <f>HYPERLINK("https%3A%2F%2Fwww.webofscience.com%2Fwos%2Fwoscc%2Ffull-record%2FWOS:000427354000005","View Full Record in Web of Science")</f>
        <v>View Full Record in Web of Science</v>
      </c>
    </row>
    <row r="862" ht="12.75" customHeight="1">
      <c r="A862" s="13" t="s">
        <v>5508</v>
      </c>
      <c r="B862" s="13" t="s">
        <v>20710</v>
      </c>
      <c r="C862" s="13" t="s">
        <v>5510</v>
      </c>
      <c r="D862" s="13" t="s">
        <v>5510</v>
      </c>
      <c r="E862" s="13" t="s">
        <v>5510</v>
      </c>
      <c r="F862" s="13" t="s">
        <v>20711</v>
      </c>
      <c r="G862" s="13" t="s">
        <v>5510</v>
      </c>
      <c r="H862" s="13" t="s">
        <v>5510</v>
      </c>
      <c r="I862" s="2" t="s">
        <v>292</v>
      </c>
      <c r="J862" s="13" t="s">
        <v>5543</v>
      </c>
      <c r="K862" s="13" t="s">
        <v>5510</v>
      </c>
      <c r="L862" s="13" t="s">
        <v>5510</v>
      </c>
      <c r="M862" s="13" t="s">
        <v>5513</v>
      </c>
      <c r="N862" s="13" t="s">
        <v>6168</v>
      </c>
      <c r="O862" s="13" t="s">
        <v>5510</v>
      </c>
      <c r="P862" s="13" t="s">
        <v>5510</v>
      </c>
      <c r="Q862" s="13" t="s">
        <v>5510</v>
      </c>
      <c r="R862" s="13" t="s">
        <v>5510</v>
      </c>
      <c r="S862" s="13" t="s">
        <v>5510</v>
      </c>
      <c r="T862" s="13" t="s">
        <v>5510</v>
      </c>
      <c r="U862" s="13" t="s">
        <v>5510</v>
      </c>
      <c r="V862" s="13" t="s">
        <v>5510</v>
      </c>
      <c r="W862" s="13" t="s">
        <v>5510</v>
      </c>
      <c r="X862" s="13" t="s">
        <v>5510</v>
      </c>
      <c r="Y862" s="13" t="s">
        <v>5510</v>
      </c>
      <c r="Z862" s="13" t="s">
        <v>5510</v>
      </c>
      <c r="AA862" s="13" t="s">
        <v>20712</v>
      </c>
      <c r="AB862" s="13" t="s">
        <v>5510</v>
      </c>
      <c r="AC862" s="13" t="s">
        <v>5510</v>
      </c>
      <c r="AD862" s="13" t="s">
        <v>5510</v>
      </c>
      <c r="AE862" s="13" t="s">
        <v>5510</v>
      </c>
      <c r="AF862" s="13" t="s">
        <v>5510</v>
      </c>
      <c r="AG862" s="13">
        <v>1.0</v>
      </c>
      <c r="AH862" s="13">
        <v>0.0</v>
      </c>
      <c r="AI862" s="13">
        <v>0.0</v>
      </c>
      <c r="AJ862" s="13">
        <v>0.0</v>
      </c>
      <c r="AK862" s="13">
        <v>3.0</v>
      </c>
      <c r="AL862" s="13" t="s">
        <v>5552</v>
      </c>
      <c r="AM862" s="13" t="s">
        <v>5553</v>
      </c>
      <c r="AN862" s="13" t="s">
        <v>5554</v>
      </c>
      <c r="AO862" s="13" t="s">
        <v>5555</v>
      </c>
      <c r="AP862" s="13" t="s">
        <v>5510</v>
      </c>
      <c r="AQ862" s="13" t="s">
        <v>5510</v>
      </c>
      <c r="AR862" s="13" t="s">
        <v>5543</v>
      </c>
      <c r="AS862" s="13" t="s">
        <v>5556</v>
      </c>
      <c r="AT862" s="13" t="s">
        <v>9212</v>
      </c>
      <c r="AU862" s="13">
        <v>2019.0</v>
      </c>
      <c r="AV862" s="13">
        <v>14.0</v>
      </c>
      <c r="AW862" s="13">
        <v>2.0</v>
      </c>
      <c r="AX862" s="13" t="s">
        <v>5510</v>
      </c>
      <c r="AY862" s="13" t="s">
        <v>5510</v>
      </c>
      <c r="AZ862" s="13" t="s">
        <v>5510</v>
      </c>
      <c r="BA862" s="13" t="s">
        <v>5510</v>
      </c>
      <c r="BB862" s="13" t="s">
        <v>5510</v>
      </c>
      <c r="BC862" s="13" t="s">
        <v>5510</v>
      </c>
      <c r="BD862" s="13" t="s">
        <v>20713</v>
      </c>
      <c r="BE862" s="13" t="s">
        <v>20714</v>
      </c>
      <c r="BF862" s="52" t="str">
        <f>HYPERLINK("http://dx.doi.org/10.1371/journal.pone.0212596","http://dx.doi.org/10.1371/journal.pone.0212596")</f>
        <v>http://dx.doi.org/10.1371/journal.pone.0212596</v>
      </c>
      <c r="BG862" s="13" t="s">
        <v>5510</v>
      </c>
      <c r="BH862" s="13" t="s">
        <v>5510</v>
      </c>
      <c r="BI862" s="13">
        <v>1.0</v>
      </c>
      <c r="BJ862" s="13" t="s">
        <v>5560</v>
      </c>
      <c r="BK862" s="13" t="s">
        <v>5561</v>
      </c>
      <c r="BL862" s="13" t="s">
        <v>5562</v>
      </c>
      <c r="BM862" s="13" t="s">
        <v>20715</v>
      </c>
      <c r="BN862" s="13" t="s">
        <v>5510</v>
      </c>
      <c r="BO862" s="13" t="s">
        <v>5564</v>
      </c>
      <c r="BP862" s="13" t="s">
        <v>5510</v>
      </c>
      <c r="BQ862" s="13" t="s">
        <v>5510</v>
      </c>
      <c r="BR862" s="13" t="s">
        <v>5538</v>
      </c>
      <c r="BS862" s="13" t="s">
        <v>20716</v>
      </c>
      <c r="BT862" s="13">
        <v>23656.0</v>
      </c>
      <c r="BU862" s="13" t="s">
        <v>5540</v>
      </c>
      <c r="BV862" s="13" t="s">
        <v>4856</v>
      </c>
      <c r="BW862" s="13" t="str">
        <f>VLOOKUP($BT862,Enriched!$A$2:$E$1070,5,false)</f>
        <v>["Agriculture &amp; Aquaculture"]</v>
      </c>
      <c r="BX862" s="13" t="str">
        <f>VLOOKUP($BT862,Enriched!$A$2:$E$1070,4,false)</f>
        <v/>
      </c>
      <c r="BY862" s="13" t="b">
        <f>VLOOKUP(BT862,Enriched!$A$1:$AA$1070,27,falsE)</f>
        <v>1</v>
      </c>
      <c r="BZ862" s="2" t="str">
        <f>VLOOKUP(BT862,Enriched!$A$1:$AA$1070,14,falsE)</f>
        <v>level1</v>
      </c>
      <c r="CA862" s="13" t="str">
        <f>HYPERLINK("https%3A%2F%2Fwww.webofscience.com%2Fwos%2Fwoscc%2Ffull-record%2FWOS:000458763900085","View Full Record in Web of Science")</f>
        <v>View Full Record in Web of Science</v>
      </c>
    </row>
    <row r="863" ht="12.75" customHeight="1">
      <c r="A863" s="13" t="s">
        <v>5508</v>
      </c>
      <c r="B863" s="13" t="s">
        <v>20710</v>
      </c>
      <c r="C863" s="13" t="s">
        <v>5510</v>
      </c>
      <c r="D863" s="13" t="s">
        <v>5510</v>
      </c>
      <c r="E863" s="13" t="s">
        <v>5510</v>
      </c>
      <c r="F863" s="13" t="s">
        <v>20717</v>
      </c>
      <c r="G863" s="13" t="s">
        <v>5510</v>
      </c>
      <c r="H863" s="13" t="s">
        <v>5510</v>
      </c>
      <c r="I863" s="13" t="s">
        <v>292</v>
      </c>
      <c r="J863" s="13" t="s">
        <v>5543</v>
      </c>
      <c r="K863" s="13" t="s">
        <v>5510</v>
      </c>
      <c r="L863" s="13" t="s">
        <v>5510</v>
      </c>
      <c r="M863" s="13" t="s">
        <v>5513</v>
      </c>
      <c r="N863" s="13" t="s">
        <v>5514</v>
      </c>
      <c r="O863" s="13" t="s">
        <v>5510</v>
      </c>
      <c r="P863" s="13" t="s">
        <v>5510</v>
      </c>
      <c r="Q863" s="13" t="s">
        <v>5510</v>
      </c>
      <c r="R863" s="13" t="s">
        <v>5510</v>
      </c>
      <c r="S863" s="13" t="s">
        <v>5510</v>
      </c>
      <c r="T863" s="13" t="s">
        <v>5510</v>
      </c>
      <c r="U863" s="13" t="s">
        <v>20718</v>
      </c>
      <c r="V863" s="13" t="s">
        <v>20719</v>
      </c>
      <c r="W863" s="13" t="s">
        <v>20720</v>
      </c>
      <c r="X863" s="13" t="s">
        <v>13911</v>
      </c>
      <c r="Y863" s="13" t="s">
        <v>20721</v>
      </c>
      <c r="Z863" s="13" t="s">
        <v>20722</v>
      </c>
      <c r="AA863" s="13" t="s">
        <v>20723</v>
      </c>
      <c r="AB863" s="13" t="s">
        <v>20724</v>
      </c>
      <c r="AC863" s="13" t="s">
        <v>20725</v>
      </c>
      <c r="AD863" s="13" t="s">
        <v>8788</v>
      </c>
      <c r="AE863" s="13" t="s">
        <v>20726</v>
      </c>
      <c r="AF863" s="13" t="s">
        <v>5510</v>
      </c>
      <c r="AG863" s="13">
        <v>49.0</v>
      </c>
      <c r="AH863" s="13">
        <v>16.0</v>
      </c>
      <c r="AI863" s="13">
        <v>18.0</v>
      </c>
      <c r="AJ863" s="13">
        <v>0.0</v>
      </c>
      <c r="AK863" s="13">
        <v>20.0</v>
      </c>
      <c r="AL863" s="13" t="s">
        <v>5552</v>
      </c>
      <c r="AM863" s="13" t="s">
        <v>5553</v>
      </c>
      <c r="AN863" s="13" t="s">
        <v>5554</v>
      </c>
      <c r="AO863" s="13" t="s">
        <v>5555</v>
      </c>
      <c r="AP863" s="13" t="s">
        <v>5510</v>
      </c>
      <c r="AQ863" s="13" t="s">
        <v>5510</v>
      </c>
      <c r="AR863" s="13" t="s">
        <v>5543</v>
      </c>
      <c r="AS863" s="13" t="s">
        <v>5556</v>
      </c>
      <c r="AT863" s="13" t="s">
        <v>13138</v>
      </c>
      <c r="AU863" s="13">
        <v>2019.0</v>
      </c>
      <c r="AV863" s="13">
        <v>14.0</v>
      </c>
      <c r="AW863" s="13">
        <v>1.0</v>
      </c>
      <c r="AX863" s="13" t="s">
        <v>5510</v>
      </c>
      <c r="AY863" s="13" t="s">
        <v>5510</v>
      </c>
      <c r="AZ863" s="13" t="s">
        <v>5510</v>
      </c>
      <c r="BA863" s="13" t="s">
        <v>5510</v>
      </c>
      <c r="BB863" s="13" t="s">
        <v>5510</v>
      </c>
      <c r="BC863" s="13" t="s">
        <v>5510</v>
      </c>
      <c r="BD863" s="13" t="s">
        <v>20727</v>
      </c>
      <c r="BE863" s="13" t="s">
        <v>20728</v>
      </c>
      <c r="BF863" s="52" t="str">
        <f>HYPERLINK("http://dx.doi.org/10.1371/journal.pone.0209918","http://dx.doi.org/10.1371/journal.pone.0209918")</f>
        <v>http://dx.doi.org/10.1371/journal.pone.0209918</v>
      </c>
      <c r="BG863" s="13" t="s">
        <v>5510</v>
      </c>
      <c r="BH863" s="13" t="s">
        <v>5510</v>
      </c>
      <c r="BI863" s="13">
        <v>14.0</v>
      </c>
      <c r="BJ863" s="13" t="s">
        <v>5560</v>
      </c>
      <c r="BK863" s="13" t="s">
        <v>5534</v>
      </c>
      <c r="BL863" s="13" t="s">
        <v>5562</v>
      </c>
      <c r="BM863" s="13" t="s">
        <v>20729</v>
      </c>
      <c r="BN863" s="13">
        <v>3.0699139E7</v>
      </c>
      <c r="BO863" s="13" t="s">
        <v>5564</v>
      </c>
      <c r="BP863" s="13" t="s">
        <v>5510</v>
      </c>
      <c r="BQ863" s="13" t="s">
        <v>5510</v>
      </c>
      <c r="BR863" s="13" t="s">
        <v>5538</v>
      </c>
      <c r="BS863" s="13" t="s">
        <v>20730</v>
      </c>
      <c r="BT863" s="13">
        <v>23656.0</v>
      </c>
      <c r="BU863" s="13" t="s">
        <v>5540</v>
      </c>
      <c r="BV863" s="13" t="s">
        <v>4856</v>
      </c>
      <c r="BW863" s="13" t="str">
        <f>VLOOKUP($BT863,Enriched!$A$2:$E$1070,5,false)</f>
        <v>["Agriculture &amp; Aquaculture"]</v>
      </c>
      <c r="BX863" s="13" t="str">
        <f>VLOOKUP($BT863,Enriched!$A$2:$E$1070,4,false)</f>
        <v/>
      </c>
      <c r="BY863" s="13" t="b">
        <f>VLOOKUP(BT863,Enriched!$A$1:$AA$1070,27,falsE)</f>
        <v>1</v>
      </c>
      <c r="BZ863" s="2" t="str">
        <f>VLOOKUP(BT863,Enriched!$A$1:$AA$1070,14,falsE)</f>
        <v>level1</v>
      </c>
      <c r="CA863" s="13" t="str">
        <f>HYPERLINK("https%3A%2F%2Fwww.webofscience.com%2Fwos%2Fwoscc%2Ffull-record%2FWOS:000457155600015","View Full Record in Web of Science")</f>
        <v>View Full Record in Web of Science</v>
      </c>
    </row>
    <row r="864" ht="12.75" customHeight="1">
      <c r="A864" s="13" t="s">
        <v>5508</v>
      </c>
      <c r="B864" s="13" t="s">
        <v>20731</v>
      </c>
      <c r="C864" s="13" t="s">
        <v>5510</v>
      </c>
      <c r="D864" s="13" t="s">
        <v>5510</v>
      </c>
      <c r="E864" s="13" t="s">
        <v>5510</v>
      </c>
      <c r="F864" s="13" t="s">
        <v>20731</v>
      </c>
      <c r="G864" s="13" t="s">
        <v>5510</v>
      </c>
      <c r="H864" s="13" t="s">
        <v>5510</v>
      </c>
      <c r="I864" s="13" t="s">
        <v>289</v>
      </c>
      <c r="J864" s="13" t="s">
        <v>6114</v>
      </c>
      <c r="K864" s="13" t="s">
        <v>5510</v>
      </c>
      <c r="L864" s="13" t="s">
        <v>5510</v>
      </c>
      <c r="M864" s="13" t="s">
        <v>5513</v>
      </c>
      <c r="N864" s="13" t="s">
        <v>5514</v>
      </c>
      <c r="O864" s="13" t="s">
        <v>5510</v>
      </c>
      <c r="P864" s="13" t="s">
        <v>5510</v>
      </c>
      <c r="Q864" s="13" t="s">
        <v>5510</v>
      </c>
      <c r="R864" s="13" t="s">
        <v>5510</v>
      </c>
      <c r="S864" s="13" t="s">
        <v>5510</v>
      </c>
      <c r="T864" s="13" t="s">
        <v>5510</v>
      </c>
      <c r="U864" s="13" t="s">
        <v>5510</v>
      </c>
      <c r="V864" s="13" t="s">
        <v>20732</v>
      </c>
      <c r="W864" s="13" t="s">
        <v>20733</v>
      </c>
      <c r="X864" s="13" t="s">
        <v>20734</v>
      </c>
      <c r="Y864" s="13" t="s">
        <v>20735</v>
      </c>
      <c r="Z864" s="13" t="s">
        <v>20736</v>
      </c>
      <c r="AA864" s="13" t="s">
        <v>20737</v>
      </c>
      <c r="AB864" s="13" t="s">
        <v>20738</v>
      </c>
      <c r="AC864" s="13" t="s">
        <v>5510</v>
      </c>
      <c r="AD864" s="13" t="s">
        <v>5510</v>
      </c>
      <c r="AE864" s="13" t="s">
        <v>5510</v>
      </c>
      <c r="AF864" s="13" t="s">
        <v>5510</v>
      </c>
      <c r="AG864" s="13">
        <v>15.0</v>
      </c>
      <c r="AH864" s="13">
        <v>70.0</v>
      </c>
      <c r="AI864" s="13">
        <v>83.0</v>
      </c>
      <c r="AJ864" s="13">
        <v>0.0</v>
      </c>
      <c r="AK864" s="13">
        <v>12.0</v>
      </c>
      <c r="AL864" s="13" t="s">
        <v>5931</v>
      </c>
      <c r="AM864" s="13" t="s">
        <v>7486</v>
      </c>
      <c r="AN864" s="13" t="s">
        <v>7487</v>
      </c>
      <c r="AO864" s="13" t="s">
        <v>6127</v>
      </c>
      <c r="AP864" s="13" t="s">
        <v>6128</v>
      </c>
      <c r="AQ864" s="13" t="s">
        <v>5510</v>
      </c>
      <c r="AR864" s="13" t="s">
        <v>6129</v>
      </c>
      <c r="AS864" s="13" t="s">
        <v>6130</v>
      </c>
      <c r="AT864" s="13" t="s">
        <v>5510</v>
      </c>
      <c r="AU864" s="13">
        <v>2005.0</v>
      </c>
      <c r="AV864" s="13">
        <v>48.0</v>
      </c>
      <c r="AW864" s="13">
        <v>1.0</v>
      </c>
      <c r="AX864" s="13" t="s">
        <v>5510</v>
      </c>
      <c r="AY864" s="13" t="s">
        <v>5510</v>
      </c>
      <c r="AZ864" s="13" t="s">
        <v>5510</v>
      </c>
      <c r="BA864" s="13" t="s">
        <v>5510</v>
      </c>
      <c r="BB864" s="13">
        <v>31.0</v>
      </c>
      <c r="BC864" s="13">
        <v>50.0</v>
      </c>
      <c r="BD864" s="13" t="s">
        <v>5510</v>
      </c>
      <c r="BE864" s="13" t="s">
        <v>20739</v>
      </c>
      <c r="BF864" s="52" t="str">
        <f>HYPERLINK("http://dx.doi.org/10.1016/j.ocecoaman.2004.11.002","http://dx.doi.org/10.1016/j.ocecoaman.2004.11.002")</f>
        <v>http://dx.doi.org/10.1016/j.ocecoaman.2004.11.002</v>
      </c>
      <c r="BG864" s="13" t="s">
        <v>5510</v>
      </c>
      <c r="BH864" s="13" t="s">
        <v>5510</v>
      </c>
      <c r="BI864" s="13">
        <v>20.0</v>
      </c>
      <c r="BJ864" s="13" t="s">
        <v>6133</v>
      </c>
      <c r="BK864" s="13" t="s">
        <v>5561</v>
      </c>
      <c r="BL864" s="13" t="s">
        <v>6133</v>
      </c>
      <c r="BM864" s="13" t="s">
        <v>20740</v>
      </c>
      <c r="BN864" s="13" t="s">
        <v>5510</v>
      </c>
      <c r="BO864" s="13" t="s">
        <v>5510</v>
      </c>
      <c r="BP864" s="13" t="s">
        <v>5510</v>
      </c>
      <c r="BQ864" s="13" t="s">
        <v>5510</v>
      </c>
      <c r="BR864" s="13" t="s">
        <v>5538</v>
      </c>
      <c r="BS864" s="13" t="s">
        <v>20741</v>
      </c>
      <c r="BT864" s="13">
        <v>23824.0</v>
      </c>
      <c r="BU864" s="13" t="s">
        <v>5540</v>
      </c>
      <c r="BV864" s="13" t="s">
        <v>4864</v>
      </c>
      <c r="BW864" s="13" t="str">
        <f>VLOOKUP($BT864,Enriched!$A$2:$E$1070,5,false)</f>
        <v>["Agriculture &amp; Aquaculture", "Residential &amp; Commercial Development", "Biological Resource Use", "Human Intrusions &amp; Disturbance"]</v>
      </c>
      <c r="BX864" s="13" t="str">
        <f>VLOOKUP($BT864,Enriched!$A$2:$E$1070,4,false)</f>
        <v>["Marine &amp; freshwater aquaculture", "Tourism &amp; recreation areas", "Fishing &amp; harvesting aquatic resources", "Recreational activities"]</v>
      </c>
      <c r="BY864" s="13" t="b">
        <f>VLOOKUP(BT864,Enriched!$A$1:$AA$1070,27,falsE)</f>
        <v>1</v>
      </c>
      <c r="BZ864" s="2" t="str">
        <f>VLOOKUP(BT864,Enriched!$A$1:$AA$1070,14,falsE)</f>
        <v>cumulative</v>
      </c>
      <c r="CA864" s="13" t="str">
        <f>HYPERLINK("https%3A%2F%2Fwww.webofscience.com%2Fwos%2Fwoscc%2Ffull-record%2FWOS:000228788800003","View Full Record in Web of Science")</f>
        <v>View Full Record in Web of Science</v>
      </c>
    </row>
    <row r="865" ht="12.75" customHeight="1">
      <c r="A865" s="13" t="s">
        <v>5508</v>
      </c>
      <c r="B865" s="13" t="s">
        <v>20742</v>
      </c>
      <c r="C865" s="13" t="s">
        <v>5510</v>
      </c>
      <c r="D865" s="13" t="s">
        <v>5510</v>
      </c>
      <c r="E865" s="13" t="s">
        <v>5510</v>
      </c>
      <c r="F865" s="13" t="s">
        <v>20743</v>
      </c>
      <c r="G865" s="13" t="s">
        <v>5510</v>
      </c>
      <c r="H865" s="13" t="s">
        <v>5510</v>
      </c>
      <c r="I865" s="13" t="s">
        <v>285</v>
      </c>
      <c r="J865" s="13" t="s">
        <v>5963</v>
      </c>
      <c r="K865" s="13" t="s">
        <v>5510</v>
      </c>
      <c r="L865" s="13" t="s">
        <v>5510</v>
      </c>
      <c r="M865" s="13" t="s">
        <v>5513</v>
      </c>
      <c r="N865" s="13" t="s">
        <v>5514</v>
      </c>
      <c r="O865" s="13" t="s">
        <v>5510</v>
      </c>
      <c r="P865" s="13" t="s">
        <v>5510</v>
      </c>
      <c r="Q865" s="13" t="s">
        <v>5510</v>
      </c>
      <c r="R865" s="13" t="s">
        <v>5510</v>
      </c>
      <c r="S865" s="13" t="s">
        <v>5510</v>
      </c>
      <c r="T865" s="13" t="s">
        <v>20744</v>
      </c>
      <c r="U865" s="13" t="s">
        <v>20745</v>
      </c>
      <c r="V865" s="13" t="s">
        <v>20746</v>
      </c>
      <c r="W865" s="13" t="s">
        <v>20747</v>
      </c>
      <c r="X865" s="13" t="s">
        <v>20748</v>
      </c>
      <c r="Y865" s="13" t="s">
        <v>20749</v>
      </c>
      <c r="Z865" s="13" t="s">
        <v>20750</v>
      </c>
      <c r="AA865" s="13" t="s">
        <v>20751</v>
      </c>
      <c r="AB865" s="13" t="s">
        <v>20752</v>
      </c>
      <c r="AC865" s="13" t="s">
        <v>5510</v>
      </c>
      <c r="AD865" s="13" t="s">
        <v>5510</v>
      </c>
      <c r="AE865" s="13" t="s">
        <v>5510</v>
      </c>
      <c r="AF865" s="13" t="s">
        <v>5510</v>
      </c>
      <c r="AG865" s="13">
        <v>30.0</v>
      </c>
      <c r="AH865" s="13">
        <v>10.0</v>
      </c>
      <c r="AI865" s="13">
        <v>12.0</v>
      </c>
      <c r="AJ865" s="13">
        <v>0.0</v>
      </c>
      <c r="AK865" s="13">
        <v>38.0</v>
      </c>
      <c r="AL865" s="13" t="s">
        <v>5690</v>
      </c>
      <c r="AM865" s="13" t="s">
        <v>5691</v>
      </c>
      <c r="AN865" s="13" t="s">
        <v>5692</v>
      </c>
      <c r="AO865" s="13" t="s">
        <v>5975</v>
      </c>
      <c r="AP865" s="13" t="s">
        <v>8269</v>
      </c>
      <c r="AQ865" s="13" t="s">
        <v>5510</v>
      </c>
      <c r="AR865" s="13" t="s">
        <v>5976</v>
      </c>
      <c r="AS865" s="13" t="s">
        <v>5977</v>
      </c>
      <c r="AT865" s="13" t="s">
        <v>6828</v>
      </c>
      <c r="AU865" s="13">
        <v>2014.0</v>
      </c>
      <c r="AV865" s="13">
        <v>186.0</v>
      </c>
      <c r="AW865" s="13">
        <v>4.0</v>
      </c>
      <c r="AX865" s="13" t="s">
        <v>5510</v>
      </c>
      <c r="AY865" s="13" t="s">
        <v>5510</v>
      </c>
      <c r="AZ865" s="13" t="s">
        <v>5510</v>
      </c>
      <c r="BA865" s="13" t="s">
        <v>5510</v>
      </c>
      <c r="BB865" s="13">
        <v>2641.0</v>
      </c>
      <c r="BC865" s="13">
        <v>2651.0</v>
      </c>
      <c r="BD865" s="13" t="s">
        <v>5510</v>
      </c>
      <c r="BE865" s="13" t="s">
        <v>20753</v>
      </c>
      <c r="BF865" s="52" t="str">
        <f>HYPERLINK("http://dx.doi.org/10.1007/s10661-013-3567-7","http://dx.doi.org/10.1007/s10661-013-3567-7")</f>
        <v>http://dx.doi.org/10.1007/s10661-013-3567-7</v>
      </c>
      <c r="BG865" s="13" t="s">
        <v>5510</v>
      </c>
      <c r="BH865" s="13" t="s">
        <v>5510</v>
      </c>
      <c r="BI865" s="13">
        <v>11.0</v>
      </c>
      <c r="BJ865" s="13" t="s">
        <v>5768</v>
      </c>
      <c r="BK865" s="13" t="s">
        <v>5561</v>
      </c>
      <c r="BL865" s="13" t="s">
        <v>5535</v>
      </c>
      <c r="BM865" s="13" t="s">
        <v>20754</v>
      </c>
      <c r="BN865" s="13">
        <v>2.4338098E7</v>
      </c>
      <c r="BO865" s="13" t="s">
        <v>5510</v>
      </c>
      <c r="BP865" s="13" t="s">
        <v>5510</v>
      </c>
      <c r="BQ865" s="13" t="s">
        <v>5510</v>
      </c>
      <c r="BR865" s="13" t="s">
        <v>5538</v>
      </c>
      <c r="BS865" s="13" t="s">
        <v>20755</v>
      </c>
      <c r="BT865" s="13">
        <v>23699.0</v>
      </c>
      <c r="BU865" s="13" t="s">
        <v>5540</v>
      </c>
      <c r="BV865" s="13" t="s">
        <v>4856</v>
      </c>
      <c r="BW865" s="13" t="str">
        <f>VLOOKUP($BT865,Enriched!$A$2:$E$1070,5,false)</f>
        <v>["Residential &amp; commercial development"]</v>
      </c>
      <c r="BX865" s="13" t="str">
        <f>VLOOKUP($BT865,Enriched!$A$2:$E$1070,4,false)</f>
        <v/>
      </c>
      <c r="BY865" s="13" t="b">
        <f>VLOOKUP(BT865,Enriched!$A$1:$AA$1070,27,falsE)</f>
        <v>1</v>
      </c>
      <c r="BZ865" s="2" t="str">
        <f>VLOOKUP(BT865,Enriched!$A$1:$AA$1070,14,falsE)</f>
        <v>level1</v>
      </c>
      <c r="CA865" s="13" t="str">
        <f>HYPERLINK("https%3A%2F%2Fwww.webofscience.com%2Fwos%2Fwoscc%2Ffull-record%2FWOS:000332150800053","View Full Record in Web of Science")</f>
        <v>View Full Record in Web of Science</v>
      </c>
    </row>
    <row r="866" ht="12.75" customHeight="1">
      <c r="A866" s="13" t="s">
        <v>5508</v>
      </c>
      <c r="B866" s="13" t="s">
        <v>20756</v>
      </c>
      <c r="C866" s="13" t="s">
        <v>5510</v>
      </c>
      <c r="D866" s="13" t="s">
        <v>5510</v>
      </c>
      <c r="E866" s="13" t="s">
        <v>5510</v>
      </c>
      <c r="F866" s="13" t="s">
        <v>20757</v>
      </c>
      <c r="G866" s="13" t="s">
        <v>5510</v>
      </c>
      <c r="H866" s="13" t="s">
        <v>5510</v>
      </c>
      <c r="I866" s="13" t="s">
        <v>284</v>
      </c>
      <c r="J866" s="13" t="s">
        <v>6333</v>
      </c>
      <c r="K866" s="13" t="s">
        <v>5510</v>
      </c>
      <c r="L866" s="13" t="s">
        <v>5510</v>
      </c>
      <c r="M866" s="13" t="s">
        <v>5513</v>
      </c>
      <c r="N866" s="13" t="s">
        <v>5514</v>
      </c>
      <c r="O866" s="13" t="s">
        <v>5510</v>
      </c>
      <c r="P866" s="13" t="s">
        <v>5510</v>
      </c>
      <c r="Q866" s="13" t="s">
        <v>5510</v>
      </c>
      <c r="R866" s="13" t="s">
        <v>5510</v>
      </c>
      <c r="S866" s="13" t="s">
        <v>5510</v>
      </c>
      <c r="T866" s="13" t="s">
        <v>20758</v>
      </c>
      <c r="U866" s="13" t="s">
        <v>20759</v>
      </c>
      <c r="V866" s="13" t="s">
        <v>20760</v>
      </c>
      <c r="W866" s="13" t="s">
        <v>20761</v>
      </c>
      <c r="X866" s="13" t="s">
        <v>20762</v>
      </c>
      <c r="Y866" s="13" t="s">
        <v>20763</v>
      </c>
      <c r="Z866" s="13" t="s">
        <v>20764</v>
      </c>
      <c r="AA866" s="13" t="s">
        <v>20765</v>
      </c>
      <c r="AB866" s="13" t="s">
        <v>20766</v>
      </c>
      <c r="AC866" s="13" t="s">
        <v>20767</v>
      </c>
      <c r="AD866" s="13" t="s">
        <v>20767</v>
      </c>
      <c r="AE866" s="13" t="s">
        <v>20768</v>
      </c>
      <c r="AF866" s="13" t="s">
        <v>5510</v>
      </c>
      <c r="AG866" s="13">
        <v>42.0</v>
      </c>
      <c r="AH866" s="13">
        <v>39.0</v>
      </c>
      <c r="AI866" s="13">
        <v>42.0</v>
      </c>
      <c r="AJ866" s="13">
        <v>2.0</v>
      </c>
      <c r="AK866" s="13">
        <v>48.0</v>
      </c>
      <c r="AL866" s="13" t="s">
        <v>5527</v>
      </c>
      <c r="AM866" s="13" t="s">
        <v>5528</v>
      </c>
      <c r="AN866" s="13" t="s">
        <v>5529</v>
      </c>
      <c r="AO866" s="13" t="s">
        <v>6342</v>
      </c>
      <c r="AP866" s="13" t="s">
        <v>6343</v>
      </c>
      <c r="AQ866" s="13" t="s">
        <v>5510</v>
      </c>
      <c r="AR866" s="13" t="s">
        <v>6344</v>
      </c>
      <c r="AS866" s="13" t="s">
        <v>6345</v>
      </c>
      <c r="AT866" s="13" t="s">
        <v>2514</v>
      </c>
      <c r="AU866" s="13">
        <v>2020.0</v>
      </c>
      <c r="AV866" s="13">
        <v>34.0</v>
      </c>
      <c r="AW866" s="13">
        <v>5.0</v>
      </c>
      <c r="AX866" s="13" t="s">
        <v>5510</v>
      </c>
      <c r="AY866" s="13" t="s">
        <v>5510</v>
      </c>
      <c r="AZ866" s="13" t="s">
        <v>5510</v>
      </c>
      <c r="BA866" s="13" t="s">
        <v>5510</v>
      </c>
      <c r="BB866" s="13">
        <v>1210.0</v>
      </c>
      <c r="BC866" s="13">
        <v>1220.0</v>
      </c>
      <c r="BD866" s="13" t="s">
        <v>5510</v>
      </c>
      <c r="BE866" s="13" t="s">
        <v>20769</v>
      </c>
      <c r="BF866" s="52" t="str">
        <f>HYPERLINK("http://dx.doi.org/10.1111/cobi.13502","http://dx.doi.org/10.1111/cobi.13502")</f>
        <v>http://dx.doi.org/10.1111/cobi.13502</v>
      </c>
      <c r="BG866" s="13" t="s">
        <v>5510</v>
      </c>
      <c r="BH866" s="13" t="s">
        <v>5669</v>
      </c>
      <c r="BI866" s="13">
        <v>11.0</v>
      </c>
      <c r="BJ866" s="13" t="s">
        <v>5698</v>
      </c>
      <c r="BK866" s="13" t="s">
        <v>5561</v>
      </c>
      <c r="BL866" s="13" t="s">
        <v>5699</v>
      </c>
      <c r="BM866" s="13" t="s">
        <v>18618</v>
      </c>
      <c r="BN866" s="13">
        <v>3.2227646E7</v>
      </c>
      <c r="BO866" s="13" t="s">
        <v>5510</v>
      </c>
      <c r="BP866" s="13" t="s">
        <v>5510</v>
      </c>
      <c r="BQ866" s="13" t="s">
        <v>5510</v>
      </c>
      <c r="BR866" s="13" t="s">
        <v>5538</v>
      </c>
      <c r="BS866" s="13" t="s">
        <v>20770</v>
      </c>
      <c r="BT866" s="13">
        <v>25654.0</v>
      </c>
      <c r="BU866" s="13" t="s">
        <v>5540</v>
      </c>
      <c r="BV866" s="13" t="s">
        <v>4856</v>
      </c>
      <c r="BW866" s="13" t="str">
        <f>VLOOKUP($BT866,Enriched!$A$2:$E$1070,5,false)</f>
        <v>["Transportation &amp; Service Corridors"]</v>
      </c>
      <c r="BX866" s="13" t="str">
        <f>VLOOKUP($BT866,Enriched!$A$2:$E$1070,4,false)</f>
        <v>["Roads &amp; railroads"]</v>
      </c>
      <c r="BY866" s="13" t="b">
        <f>VLOOKUP(BT866,Enriched!$A$1:$AA$1070,27,falsE)</f>
        <v>0</v>
      </c>
      <c r="BZ866" s="2" t="str">
        <f>VLOOKUP(BT866,Enriched!$A$1:$AA$1070,14,falsE)</f>
        <v>level2</v>
      </c>
      <c r="CA866" s="13" t="str">
        <f>HYPERLINK("https%3A%2F%2Fwww.webofscience.com%2Fwos%2Fwoscc%2Ffull-record%2FWOS:000539834400001","View Full Record in Web of Science")</f>
        <v>View Full Record in Web of Science</v>
      </c>
    </row>
    <row r="867" ht="12.75" customHeight="1">
      <c r="A867" s="13" t="s">
        <v>5508</v>
      </c>
      <c r="B867" s="13" t="s">
        <v>20771</v>
      </c>
      <c r="C867" s="13" t="s">
        <v>5510</v>
      </c>
      <c r="D867" s="13" t="s">
        <v>5510</v>
      </c>
      <c r="E867" s="13" t="s">
        <v>5510</v>
      </c>
      <c r="F867" s="13" t="s">
        <v>20772</v>
      </c>
      <c r="G867" s="13" t="s">
        <v>5510</v>
      </c>
      <c r="H867" s="13" t="s">
        <v>5510</v>
      </c>
      <c r="I867" s="13" t="s">
        <v>281</v>
      </c>
      <c r="J867" s="13" t="s">
        <v>11947</v>
      </c>
      <c r="K867" s="13" t="s">
        <v>5510</v>
      </c>
      <c r="L867" s="13" t="s">
        <v>5510</v>
      </c>
      <c r="M867" s="13" t="s">
        <v>5513</v>
      </c>
      <c r="N867" s="13" t="s">
        <v>5514</v>
      </c>
      <c r="O867" s="13" t="s">
        <v>5510</v>
      </c>
      <c r="P867" s="13" t="s">
        <v>5510</v>
      </c>
      <c r="Q867" s="13" t="s">
        <v>5510</v>
      </c>
      <c r="R867" s="13" t="s">
        <v>5510</v>
      </c>
      <c r="S867" s="13" t="s">
        <v>5510</v>
      </c>
      <c r="T867" s="13" t="s">
        <v>5510</v>
      </c>
      <c r="U867" s="13" t="s">
        <v>20773</v>
      </c>
      <c r="V867" s="13" t="s">
        <v>20774</v>
      </c>
      <c r="W867" s="13" t="s">
        <v>20775</v>
      </c>
      <c r="X867" s="13" t="s">
        <v>20776</v>
      </c>
      <c r="Y867" s="13" t="s">
        <v>20777</v>
      </c>
      <c r="Z867" s="13" t="s">
        <v>13170</v>
      </c>
      <c r="AA867" s="13" t="s">
        <v>20778</v>
      </c>
      <c r="AB867" s="13" t="s">
        <v>20779</v>
      </c>
      <c r="AC867" s="13" t="s">
        <v>20780</v>
      </c>
      <c r="AD867" s="13" t="s">
        <v>20781</v>
      </c>
      <c r="AE867" s="13" t="s">
        <v>20782</v>
      </c>
      <c r="AF867" s="13" t="s">
        <v>5510</v>
      </c>
      <c r="AG867" s="13">
        <v>45.0</v>
      </c>
      <c r="AH867" s="13">
        <v>965.0</v>
      </c>
      <c r="AI867" s="13">
        <v>1104.0</v>
      </c>
      <c r="AJ867" s="13">
        <v>18.0</v>
      </c>
      <c r="AK867" s="13">
        <v>514.0</v>
      </c>
      <c r="AL867" s="13" t="s">
        <v>11959</v>
      </c>
      <c r="AM867" s="13" t="s">
        <v>5908</v>
      </c>
      <c r="AN867" s="13" t="s">
        <v>11960</v>
      </c>
      <c r="AO867" s="13" t="s">
        <v>11961</v>
      </c>
      <c r="AP867" s="13" t="s">
        <v>11962</v>
      </c>
      <c r="AQ867" s="13" t="s">
        <v>5510</v>
      </c>
      <c r="AR867" s="13" t="s">
        <v>11947</v>
      </c>
      <c r="AS867" s="13" t="s">
        <v>117</v>
      </c>
      <c r="AT867" s="13" t="s">
        <v>20783</v>
      </c>
      <c r="AU867" s="13">
        <v>2019.0</v>
      </c>
      <c r="AV867" s="13">
        <v>363.0</v>
      </c>
      <c r="AW867" s="13">
        <v>6434.0</v>
      </c>
      <c r="AX867" s="13" t="s">
        <v>5510</v>
      </c>
      <c r="AY867" s="13" t="s">
        <v>5510</v>
      </c>
      <c r="AZ867" s="13" t="s">
        <v>5510</v>
      </c>
      <c r="BA867" s="13" t="s">
        <v>5510</v>
      </c>
      <c r="BB867" s="13">
        <v>1459.0</v>
      </c>
      <c r="BC867" s="13" t="s">
        <v>9408</v>
      </c>
      <c r="BD867" s="13" t="s">
        <v>5510</v>
      </c>
      <c r="BE867" s="13" t="s">
        <v>20784</v>
      </c>
      <c r="BF867" s="52" t="str">
        <f>HYPERLINK("http://dx.doi.org/10.1126/science.aav0379","http://dx.doi.org/10.1126/science.aav0379")</f>
        <v>http://dx.doi.org/10.1126/science.aav0379</v>
      </c>
      <c r="BG867" s="13" t="s">
        <v>5510</v>
      </c>
      <c r="BH867" s="13" t="s">
        <v>5510</v>
      </c>
      <c r="BI867" s="13">
        <v>46.0</v>
      </c>
      <c r="BJ867" s="13" t="s">
        <v>5560</v>
      </c>
      <c r="BK867" s="13" t="s">
        <v>5561</v>
      </c>
      <c r="BL867" s="13" t="s">
        <v>5562</v>
      </c>
      <c r="BM867" s="13" t="s">
        <v>20785</v>
      </c>
      <c r="BN867" s="13">
        <v>3.0923224E7</v>
      </c>
      <c r="BO867" s="13" t="s">
        <v>5587</v>
      </c>
      <c r="BP867" s="13" t="s">
        <v>5510</v>
      </c>
      <c r="BQ867" s="13" t="s">
        <v>5510</v>
      </c>
      <c r="BR867" s="13" t="s">
        <v>5538</v>
      </c>
      <c r="BS867" s="13" t="s">
        <v>20786</v>
      </c>
      <c r="BT867" s="13">
        <v>25488.0</v>
      </c>
      <c r="BU867" s="13" t="s">
        <v>5540</v>
      </c>
      <c r="BV867" s="13" t="s">
        <v>4886</v>
      </c>
      <c r="BW867" s="13" t="str">
        <f>VLOOKUP($BT867,Enriched!$A$2:$E$1070,5,false)</f>
        <v>["Invasive &amp; other problematic species, genes &amp; diseases"]</v>
      </c>
      <c r="BX867" s="13" t="str">
        <f>VLOOKUP($BT867,Enriched!$A$2:$E$1070,4,false)</f>
        <v>["Invasive non-native/alien species/diseases"]</v>
      </c>
      <c r="BY867" s="13" t="b">
        <f>VLOOKUP(BT867,Enriched!$A$1:$AA$1070,27,falsE)</f>
        <v>0</v>
      </c>
      <c r="BZ867" s="2" t="str">
        <f>VLOOKUP(BT867,Enriched!$A$1:$AA$1070,14,falsE)</f>
        <v>level2</v>
      </c>
      <c r="CA867" s="13" t="str">
        <f>HYPERLINK("https%3A%2F%2Fwww.webofscience.com%2Fwos%2Fwoscc%2Ffull-record%2FWOS:000462738000038","View Full Record in Web of Science")</f>
        <v>View Full Record in Web of Science</v>
      </c>
    </row>
    <row r="868" ht="12.75" customHeight="1">
      <c r="A868" s="13" t="s">
        <v>5508</v>
      </c>
      <c r="B868" s="13" t="s">
        <v>20787</v>
      </c>
      <c r="C868" s="13" t="s">
        <v>5510</v>
      </c>
      <c r="D868" s="13" t="s">
        <v>5510</v>
      </c>
      <c r="E868" s="13" t="s">
        <v>5510</v>
      </c>
      <c r="F868" s="13" t="s">
        <v>20788</v>
      </c>
      <c r="G868" s="13" t="s">
        <v>5510</v>
      </c>
      <c r="H868" s="13" t="s">
        <v>5510</v>
      </c>
      <c r="I868" s="13" t="s">
        <v>277</v>
      </c>
      <c r="J868" s="13" t="s">
        <v>20789</v>
      </c>
      <c r="K868" s="13" t="s">
        <v>5510</v>
      </c>
      <c r="L868" s="13" t="s">
        <v>5510</v>
      </c>
      <c r="M868" s="13" t="s">
        <v>5513</v>
      </c>
      <c r="N868" s="13" t="s">
        <v>5514</v>
      </c>
      <c r="O868" s="13" t="s">
        <v>5510</v>
      </c>
      <c r="P868" s="13" t="s">
        <v>5510</v>
      </c>
      <c r="Q868" s="13" t="s">
        <v>5510</v>
      </c>
      <c r="R868" s="13" t="s">
        <v>5510</v>
      </c>
      <c r="S868" s="13" t="s">
        <v>5510</v>
      </c>
      <c r="T868" s="13" t="s">
        <v>20790</v>
      </c>
      <c r="U868" s="13" t="s">
        <v>20791</v>
      </c>
      <c r="V868" s="13" t="s">
        <v>20792</v>
      </c>
      <c r="W868" s="13" t="s">
        <v>20793</v>
      </c>
      <c r="X868" s="13" t="s">
        <v>20794</v>
      </c>
      <c r="Y868" s="13" t="s">
        <v>20795</v>
      </c>
      <c r="Z868" s="13" t="s">
        <v>20796</v>
      </c>
      <c r="AA868" s="13" t="s">
        <v>20797</v>
      </c>
      <c r="AB868" s="13" t="s">
        <v>20798</v>
      </c>
      <c r="AC868" s="13" t="s">
        <v>20799</v>
      </c>
      <c r="AD868" s="13" t="s">
        <v>20800</v>
      </c>
      <c r="AE868" s="13" t="s">
        <v>20801</v>
      </c>
      <c r="AF868" s="13" t="s">
        <v>5510</v>
      </c>
      <c r="AG868" s="13">
        <v>37.0</v>
      </c>
      <c r="AH868" s="13">
        <v>8.0</v>
      </c>
      <c r="AI868" s="13">
        <v>8.0</v>
      </c>
      <c r="AJ868" s="13">
        <v>1.0</v>
      </c>
      <c r="AK868" s="13">
        <v>42.0</v>
      </c>
      <c r="AL868" s="13" t="s">
        <v>7505</v>
      </c>
      <c r="AM868" s="13" t="s">
        <v>7506</v>
      </c>
      <c r="AN868" s="13" t="s">
        <v>7507</v>
      </c>
      <c r="AO868" s="13" t="s">
        <v>20802</v>
      </c>
      <c r="AP868" s="13" t="s">
        <v>20803</v>
      </c>
      <c r="AQ868" s="13" t="s">
        <v>5510</v>
      </c>
      <c r="AR868" s="13" t="s">
        <v>20804</v>
      </c>
      <c r="AS868" s="13" t="s">
        <v>20805</v>
      </c>
      <c r="AT868" s="13" t="s">
        <v>6175</v>
      </c>
      <c r="AU868" s="13">
        <v>2012.0</v>
      </c>
      <c r="AV868" s="13">
        <v>12.0</v>
      </c>
      <c r="AW868" s="13">
        <v>7.0</v>
      </c>
      <c r="AX868" s="13" t="s">
        <v>5510</v>
      </c>
      <c r="AY868" s="13" t="s">
        <v>5510</v>
      </c>
      <c r="AZ868" s="13" t="s">
        <v>5510</v>
      </c>
      <c r="BA868" s="13" t="s">
        <v>5510</v>
      </c>
      <c r="BB868" s="13">
        <v>1066.0</v>
      </c>
      <c r="BC868" s="13">
        <v>1078.0</v>
      </c>
      <c r="BD868" s="13" t="s">
        <v>5510</v>
      </c>
      <c r="BE868" s="13" t="s">
        <v>20806</v>
      </c>
      <c r="BF868" s="52" t="str">
        <f>HYPERLINK("http://dx.doi.org/10.1007/s11368-012-0519-8","http://dx.doi.org/10.1007/s11368-012-0519-8")</f>
        <v>http://dx.doi.org/10.1007/s11368-012-0519-8</v>
      </c>
      <c r="BG868" s="13" t="s">
        <v>5510</v>
      </c>
      <c r="BH868" s="13" t="s">
        <v>5510</v>
      </c>
      <c r="BI868" s="13">
        <v>13.0</v>
      </c>
      <c r="BJ868" s="13" t="s">
        <v>20807</v>
      </c>
      <c r="BK868" s="13" t="s">
        <v>5561</v>
      </c>
      <c r="BL868" s="13" t="s">
        <v>20808</v>
      </c>
      <c r="BM868" s="13" t="s">
        <v>20809</v>
      </c>
      <c r="BN868" s="13" t="s">
        <v>5510</v>
      </c>
      <c r="BO868" s="13" t="s">
        <v>5510</v>
      </c>
      <c r="BP868" s="13" t="s">
        <v>5510</v>
      </c>
      <c r="BQ868" s="13" t="s">
        <v>5510</v>
      </c>
      <c r="BR868" s="13" t="s">
        <v>5538</v>
      </c>
      <c r="BS868" s="13" t="s">
        <v>20810</v>
      </c>
      <c r="BT868" s="13">
        <v>24585.0</v>
      </c>
      <c r="BU868" s="13" t="s">
        <v>5540</v>
      </c>
      <c r="BV868" s="13" t="s">
        <v>4856</v>
      </c>
      <c r="BW868" s="13" t="str">
        <f>VLOOKUP($BT868,Enriched!$A$2:$E$1070,5,false)</f>
        <v>["Pollution"]</v>
      </c>
      <c r="BX868" s="13" t="str">
        <f>VLOOKUP($BT868,Enriched!$A$2:$E$1070,4,false)</f>
        <v>["Agricultural &amp; forestry effluents"]</v>
      </c>
      <c r="BY868" s="13" t="b">
        <f>VLOOKUP(BT868,Enriched!$A$1:$AA$1070,27,falsE)</f>
        <v>0</v>
      </c>
      <c r="BZ868" s="2" t="str">
        <f>VLOOKUP(BT868,Enriched!$A$1:$AA$1070,14,falsE)</f>
        <v>level2</v>
      </c>
      <c r="CA868" s="13" t="str">
        <f>HYPERLINK("https%3A%2F%2Fwww.webofscience.com%2Fwos%2Fwoscc%2Ffull-record%2FWOS:000306218200006","View Full Record in Web of Science")</f>
        <v>View Full Record in Web of Science</v>
      </c>
    </row>
    <row r="869" ht="12.75" customHeight="1">
      <c r="A869" s="13" t="s">
        <v>5508</v>
      </c>
      <c r="B869" s="13" t="s">
        <v>20811</v>
      </c>
      <c r="C869" s="13" t="s">
        <v>5510</v>
      </c>
      <c r="D869" s="13" t="s">
        <v>5510</v>
      </c>
      <c r="E869" s="13" t="s">
        <v>5510</v>
      </c>
      <c r="F869" s="13" t="s">
        <v>20812</v>
      </c>
      <c r="G869" s="13" t="s">
        <v>5510</v>
      </c>
      <c r="H869" s="13" t="s">
        <v>5510</v>
      </c>
      <c r="I869" s="13" t="s">
        <v>274</v>
      </c>
      <c r="J869" s="13" t="s">
        <v>5919</v>
      </c>
      <c r="K869" s="13" t="s">
        <v>5510</v>
      </c>
      <c r="L869" s="13" t="s">
        <v>5510</v>
      </c>
      <c r="M869" s="13" t="s">
        <v>5513</v>
      </c>
      <c r="N869" s="13" t="s">
        <v>5514</v>
      </c>
      <c r="O869" s="13" t="s">
        <v>5510</v>
      </c>
      <c r="P869" s="13" t="s">
        <v>5510</v>
      </c>
      <c r="Q869" s="13" t="s">
        <v>5510</v>
      </c>
      <c r="R869" s="13" t="s">
        <v>5510</v>
      </c>
      <c r="S869" s="13" t="s">
        <v>5510</v>
      </c>
      <c r="T869" s="13" t="s">
        <v>20813</v>
      </c>
      <c r="U869" s="13" t="s">
        <v>20814</v>
      </c>
      <c r="V869" s="13" t="s">
        <v>20815</v>
      </c>
      <c r="W869" s="13" t="s">
        <v>20816</v>
      </c>
      <c r="X869" s="13" t="s">
        <v>20817</v>
      </c>
      <c r="Y869" s="13" t="s">
        <v>20818</v>
      </c>
      <c r="Z869" s="13" t="s">
        <v>20819</v>
      </c>
      <c r="AA869" s="13" t="s">
        <v>20820</v>
      </c>
      <c r="AB869" s="13" t="s">
        <v>20821</v>
      </c>
      <c r="AC869" s="13" t="s">
        <v>20822</v>
      </c>
      <c r="AD869" s="13" t="s">
        <v>20823</v>
      </c>
      <c r="AE869" s="13" t="s">
        <v>20824</v>
      </c>
      <c r="AF869" s="13" t="s">
        <v>5510</v>
      </c>
      <c r="AG869" s="13">
        <v>63.0</v>
      </c>
      <c r="AH869" s="13">
        <v>66.0</v>
      </c>
      <c r="AI869" s="13">
        <v>77.0</v>
      </c>
      <c r="AJ869" s="13">
        <v>1.0</v>
      </c>
      <c r="AK869" s="13">
        <v>53.0</v>
      </c>
      <c r="AL869" s="13" t="s">
        <v>5931</v>
      </c>
      <c r="AM869" s="13" t="s">
        <v>5932</v>
      </c>
      <c r="AN869" s="13" t="s">
        <v>5933</v>
      </c>
      <c r="AO869" s="13" t="s">
        <v>5934</v>
      </c>
      <c r="AP869" s="13" t="s">
        <v>5510</v>
      </c>
      <c r="AQ869" s="13" t="s">
        <v>5510</v>
      </c>
      <c r="AR869" s="13" t="s">
        <v>5936</v>
      </c>
      <c r="AS869" s="13" t="s">
        <v>5937</v>
      </c>
      <c r="AT869" s="13" t="s">
        <v>6175</v>
      </c>
      <c r="AU869" s="13">
        <v>2009.0</v>
      </c>
      <c r="AV869" s="13">
        <v>142.0</v>
      </c>
      <c r="AW869" s="13">
        <v>8.0</v>
      </c>
      <c r="AX869" s="13" t="s">
        <v>5510</v>
      </c>
      <c r="AY869" s="13" t="s">
        <v>5510</v>
      </c>
      <c r="AZ869" s="13" t="s">
        <v>5510</v>
      </c>
      <c r="BA869" s="13" t="s">
        <v>5510</v>
      </c>
      <c r="BB869" s="13">
        <v>1777.0</v>
      </c>
      <c r="BC869" s="13">
        <v>1786.0</v>
      </c>
      <c r="BD869" s="13" t="s">
        <v>5510</v>
      </c>
      <c r="BE869" s="13" t="s">
        <v>20825</v>
      </c>
      <c r="BF869" s="52" t="str">
        <f>HYPERLINK("http://dx.doi.org/10.1016/j.biocon.2009.03.018","http://dx.doi.org/10.1016/j.biocon.2009.03.018")</f>
        <v>http://dx.doi.org/10.1016/j.biocon.2009.03.018</v>
      </c>
      <c r="BG869" s="13" t="s">
        <v>5510</v>
      </c>
      <c r="BH869" s="13" t="s">
        <v>5510</v>
      </c>
      <c r="BI869" s="13">
        <v>10.0</v>
      </c>
      <c r="BJ869" s="13" t="s">
        <v>5698</v>
      </c>
      <c r="BK869" s="13" t="s">
        <v>5534</v>
      </c>
      <c r="BL869" s="13" t="s">
        <v>5699</v>
      </c>
      <c r="BM869" s="13" t="s">
        <v>20826</v>
      </c>
      <c r="BN869" s="13" t="s">
        <v>5510</v>
      </c>
      <c r="BO869" s="13" t="s">
        <v>5510</v>
      </c>
      <c r="BP869" s="13" t="s">
        <v>5510</v>
      </c>
      <c r="BQ869" s="13" t="s">
        <v>5510</v>
      </c>
      <c r="BR869" s="13" t="s">
        <v>5538</v>
      </c>
      <c r="BS869" s="13" t="s">
        <v>20827</v>
      </c>
      <c r="BT869" s="13">
        <v>25068.0</v>
      </c>
      <c r="BU869" s="13" t="s">
        <v>5540</v>
      </c>
      <c r="BV869" s="13" t="s">
        <v>4856</v>
      </c>
      <c r="BW869" s="13" t="str">
        <f>VLOOKUP($BT869,Enriched!$A$2:$E$1070,5,false)</f>
        <v>["Biological resource use"]</v>
      </c>
      <c r="BX869" s="13" t="str">
        <f>VLOOKUP($BT869,Enriched!$A$2:$E$1070,4,false)</f>
        <v>["Hunting &amp; collecting terrestrial animals"]</v>
      </c>
      <c r="BY869" s="13" t="b">
        <f>VLOOKUP(BT869,Enriched!$A$1:$AA$1070,27,falsE)</f>
        <v>0</v>
      </c>
      <c r="BZ869" s="2" t="str">
        <f>VLOOKUP(BT869,Enriched!$A$1:$AA$1070,14,falsE)</f>
        <v>level2</v>
      </c>
      <c r="CA869" s="13" t="str">
        <f>HYPERLINK("https%3A%2F%2Fwww.webofscience.com%2Fwos%2Fwoscc%2Ffull-record%2FWOS:000267409300025","View Full Record in Web of Science")</f>
        <v>View Full Record in Web of Science</v>
      </c>
    </row>
    <row r="870" ht="12.75" customHeight="1">
      <c r="A870" s="13" t="s">
        <v>5508</v>
      </c>
      <c r="B870" s="13" t="s">
        <v>20828</v>
      </c>
      <c r="C870" s="13" t="s">
        <v>5510</v>
      </c>
      <c r="D870" s="13" t="s">
        <v>5510</v>
      </c>
      <c r="E870" s="13" t="s">
        <v>5510</v>
      </c>
      <c r="F870" s="13" t="s">
        <v>20829</v>
      </c>
      <c r="G870" s="13" t="s">
        <v>5510</v>
      </c>
      <c r="H870" s="13" t="s">
        <v>5510</v>
      </c>
      <c r="I870" s="13" t="s">
        <v>20830</v>
      </c>
      <c r="J870" s="13" t="s">
        <v>5943</v>
      </c>
      <c r="K870" s="13" t="s">
        <v>5510</v>
      </c>
      <c r="L870" s="13" t="s">
        <v>5510</v>
      </c>
      <c r="M870" s="13" t="s">
        <v>5513</v>
      </c>
      <c r="N870" s="13" t="s">
        <v>5514</v>
      </c>
      <c r="O870" s="13" t="s">
        <v>5510</v>
      </c>
      <c r="P870" s="13" t="s">
        <v>5510</v>
      </c>
      <c r="Q870" s="13" t="s">
        <v>5510</v>
      </c>
      <c r="R870" s="13" t="s">
        <v>5510</v>
      </c>
      <c r="S870" s="13" t="s">
        <v>5510</v>
      </c>
      <c r="T870" s="13" t="s">
        <v>20831</v>
      </c>
      <c r="U870" s="13" t="s">
        <v>20832</v>
      </c>
      <c r="V870" s="13" t="s">
        <v>20833</v>
      </c>
      <c r="W870" s="13" t="s">
        <v>20834</v>
      </c>
      <c r="X870" s="13" t="s">
        <v>20835</v>
      </c>
      <c r="Y870" s="13" t="s">
        <v>20836</v>
      </c>
      <c r="Z870" s="13" t="s">
        <v>20837</v>
      </c>
      <c r="AA870" s="13" t="s">
        <v>20838</v>
      </c>
      <c r="AB870" s="13" t="s">
        <v>20839</v>
      </c>
      <c r="AC870" s="13" t="s">
        <v>20840</v>
      </c>
      <c r="AD870" s="13" t="s">
        <v>20841</v>
      </c>
      <c r="AE870" s="13" t="s">
        <v>20842</v>
      </c>
      <c r="AF870" s="13" t="s">
        <v>5510</v>
      </c>
      <c r="AG870" s="13">
        <v>50.0</v>
      </c>
      <c r="AH870" s="13">
        <v>127.0</v>
      </c>
      <c r="AI870" s="13">
        <v>141.0</v>
      </c>
      <c r="AJ870" s="13">
        <v>2.0</v>
      </c>
      <c r="AK870" s="13">
        <v>102.0</v>
      </c>
      <c r="AL870" s="13" t="s">
        <v>5527</v>
      </c>
      <c r="AM870" s="13" t="s">
        <v>5528</v>
      </c>
      <c r="AN870" s="13" t="s">
        <v>5529</v>
      </c>
      <c r="AO870" s="13" t="s">
        <v>5953</v>
      </c>
      <c r="AP870" s="13" t="s">
        <v>5954</v>
      </c>
      <c r="AQ870" s="13" t="s">
        <v>5510</v>
      </c>
      <c r="AR870" s="13" t="s">
        <v>5955</v>
      </c>
      <c r="AS870" s="13" t="s">
        <v>5956</v>
      </c>
      <c r="AT870" s="13" t="s">
        <v>6828</v>
      </c>
      <c r="AU870" s="13">
        <v>2012.0</v>
      </c>
      <c r="AV870" s="13">
        <v>49.0</v>
      </c>
      <c r="AW870" s="13">
        <v>2.0</v>
      </c>
      <c r="AX870" s="13" t="s">
        <v>5510</v>
      </c>
      <c r="AY870" s="13" t="s">
        <v>5510</v>
      </c>
      <c r="AZ870" s="13" t="s">
        <v>5510</v>
      </c>
      <c r="BA870" s="13" t="s">
        <v>5510</v>
      </c>
      <c r="BB870" s="13">
        <v>376.0</v>
      </c>
      <c r="BC870" s="13">
        <v>385.0</v>
      </c>
      <c r="BD870" s="13" t="s">
        <v>5510</v>
      </c>
      <c r="BE870" s="13" t="s">
        <v>20843</v>
      </c>
      <c r="BF870" s="52" t="str">
        <f>HYPERLINK("http://dx.doi.org/10.1111/j.1365-2664.2012.02119.x","http://dx.doi.org/10.1111/j.1365-2664.2012.02119.x")</f>
        <v>http://dx.doi.org/10.1111/j.1365-2664.2012.02119.x</v>
      </c>
      <c r="BG870" s="13" t="s">
        <v>5510</v>
      </c>
      <c r="BH870" s="13" t="s">
        <v>5510</v>
      </c>
      <c r="BI870" s="13">
        <v>10.0</v>
      </c>
      <c r="BJ870" s="13" t="s">
        <v>5958</v>
      </c>
      <c r="BK870" s="13" t="s">
        <v>5561</v>
      </c>
      <c r="BL870" s="13" t="s">
        <v>5699</v>
      </c>
      <c r="BM870" s="13" t="s">
        <v>20844</v>
      </c>
      <c r="BN870" s="13" t="s">
        <v>5510</v>
      </c>
      <c r="BO870" s="13" t="s">
        <v>5809</v>
      </c>
      <c r="BP870" s="13" t="s">
        <v>5510</v>
      </c>
      <c r="BQ870" s="13" t="s">
        <v>5510</v>
      </c>
      <c r="BR870" s="13" t="s">
        <v>5538</v>
      </c>
      <c r="BS870" s="13" t="s">
        <v>20845</v>
      </c>
      <c r="BT870" s="13">
        <v>24720.0</v>
      </c>
      <c r="BU870" s="13" t="s">
        <v>5540</v>
      </c>
      <c r="BV870" s="13" t="s">
        <v>4856</v>
      </c>
      <c r="BW870" s="13" t="str">
        <f>VLOOKUP($BT870,Enriched!$A$2:$E$1070,5,false)</f>
        <v>["Biological resource use"]</v>
      </c>
      <c r="BX870" s="13" t="str">
        <f>VLOOKUP($BT870,Enriched!$A$2:$E$1070,4,false)</f>
        <v>["Hunting &amp; collecting terrestrial animals"]</v>
      </c>
      <c r="BY870" s="13" t="b">
        <f>VLOOKUP(BT870,Enriched!$A$1:$AA$1070,27,falsE)</f>
        <v>0</v>
      </c>
      <c r="BZ870" s="2" t="str">
        <f>VLOOKUP(BT870,Enriched!$A$1:$AA$1070,14,falsE)</f>
        <v>level2</v>
      </c>
      <c r="CA870" s="13" t="str">
        <f>HYPERLINK("https%3A%2F%2Fwww.webofscience.com%2Fwos%2Fwoscc%2Ffull-record%2FWOS:000302070900009","View Full Record in Web of Science")</f>
        <v>View Full Record in Web of Science</v>
      </c>
    </row>
    <row r="871" ht="12.75" customHeight="1">
      <c r="A871" s="13" t="s">
        <v>5508</v>
      </c>
      <c r="B871" s="13" t="s">
        <v>20846</v>
      </c>
      <c r="C871" s="13" t="s">
        <v>5510</v>
      </c>
      <c r="D871" s="13" t="s">
        <v>5510</v>
      </c>
      <c r="E871" s="13" t="s">
        <v>5510</v>
      </c>
      <c r="F871" s="13" t="s">
        <v>20847</v>
      </c>
      <c r="G871" s="13" t="s">
        <v>5510</v>
      </c>
      <c r="H871" s="13" t="s">
        <v>5510</v>
      </c>
      <c r="I871" s="13" t="s">
        <v>20848</v>
      </c>
      <c r="J871" s="13" t="s">
        <v>46</v>
      </c>
      <c r="K871" s="13" t="s">
        <v>5510</v>
      </c>
      <c r="L871" s="13" t="s">
        <v>5510</v>
      </c>
      <c r="M871" s="13" t="s">
        <v>5513</v>
      </c>
      <c r="N871" s="13" t="s">
        <v>5514</v>
      </c>
      <c r="O871" s="13" t="s">
        <v>5510</v>
      </c>
      <c r="P871" s="13" t="s">
        <v>5510</v>
      </c>
      <c r="Q871" s="13" t="s">
        <v>5510</v>
      </c>
      <c r="R871" s="13" t="s">
        <v>5510</v>
      </c>
      <c r="S871" s="13" t="s">
        <v>5510</v>
      </c>
      <c r="T871" s="13" t="s">
        <v>20849</v>
      </c>
      <c r="U871" s="13" t="s">
        <v>20850</v>
      </c>
      <c r="V871" s="13" t="s">
        <v>20851</v>
      </c>
      <c r="W871" s="13" t="s">
        <v>20852</v>
      </c>
      <c r="X871" s="13" t="s">
        <v>20853</v>
      </c>
      <c r="Y871" s="13" t="s">
        <v>20854</v>
      </c>
      <c r="Z871" s="13" t="s">
        <v>20855</v>
      </c>
      <c r="AA871" s="13" t="s">
        <v>20856</v>
      </c>
      <c r="AB871" s="13" t="s">
        <v>20857</v>
      </c>
      <c r="AC871" s="13" t="s">
        <v>20858</v>
      </c>
      <c r="AD871" s="13" t="s">
        <v>20858</v>
      </c>
      <c r="AE871" s="13" t="s">
        <v>20859</v>
      </c>
      <c r="AF871" s="13" t="s">
        <v>5510</v>
      </c>
      <c r="AG871" s="13">
        <v>55.0</v>
      </c>
      <c r="AH871" s="13">
        <v>28.0</v>
      </c>
      <c r="AI871" s="13">
        <v>33.0</v>
      </c>
      <c r="AJ871" s="13">
        <v>2.0</v>
      </c>
      <c r="AK871" s="13">
        <v>97.0</v>
      </c>
      <c r="AL871" s="13" t="s">
        <v>7065</v>
      </c>
      <c r="AM871" s="13" t="s">
        <v>6503</v>
      </c>
      <c r="AN871" s="13" t="s">
        <v>7066</v>
      </c>
      <c r="AO871" s="13" t="s">
        <v>7734</v>
      </c>
      <c r="AP871" s="13" t="s">
        <v>7735</v>
      </c>
      <c r="AQ871" s="13" t="s">
        <v>5510</v>
      </c>
      <c r="AR871" s="13" t="s">
        <v>46</v>
      </c>
      <c r="AS871" s="13" t="s">
        <v>1196</v>
      </c>
      <c r="AT871" s="13" t="s">
        <v>2514</v>
      </c>
      <c r="AU871" s="13">
        <v>2015.0</v>
      </c>
      <c r="AV871" s="13">
        <v>49.0</v>
      </c>
      <c r="AW871" s="13">
        <v>4.0</v>
      </c>
      <c r="AX871" s="13" t="s">
        <v>5510</v>
      </c>
      <c r="AY871" s="13" t="s">
        <v>5510</v>
      </c>
      <c r="AZ871" s="13" t="s">
        <v>5510</v>
      </c>
      <c r="BA871" s="13" t="s">
        <v>5510</v>
      </c>
      <c r="BB871" s="13">
        <v>743.0</v>
      </c>
      <c r="BC871" s="13">
        <v>749.0</v>
      </c>
      <c r="BD871" s="13" t="s">
        <v>5510</v>
      </c>
      <c r="BE871" s="13" t="s">
        <v>20860</v>
      </c>
      <c r="BF871" s="52" t="str">
        <f>HYPERLINK("http://dx.doi.org/10.1017/S0030605313001580","http://dx.doi.org/10.1017/S0030605313001580")</f>
        <v>http://dx.doi.org/10.1017/S0030605313001580</v>
      </c>
      <c r="BG871" s="13" t="s">
        <v>5510</v>
      </c>
      <c r="BH871" s="13" t="s">
        <v>5510</v>
      </c>
      <c r="BI871" s="13">
        <v>7.0</v>
      </c>
      <c r="BJ871" s="13" t="s">
        <v>5958</v>
      </c>
      <c r="BK871" s="13" t="s">
        <v>5561</v>
      </c>
      <c r="BL871" s="13" t="s">
        <v>5699</v>
      </c>
      <c r="BM871" s="13" t="s">
        <v>20861</v>
      </c>
      <c r="BN871" s="13" t="s">
        <v>5510</v>
      </c>
      <c r="BO871" s="13" t="s">
        <v>5809</v>
      </c>
      <c r="BP871" s="13" t="s">
        <v>5510</v>
      </c>
      <c r="BQ871" s="13" t="s">
        <v>5510</v>
      </c>
      <c r="BR871" s="13" t="s">
        <v>5538</v>
      </c>
      <c r="BS871" s="13" t="s">
        <v>20862</v>
      </c>
      <c r="BT871" s="13">
        <v>25188.0</v>
      </c>
      <c r="BU871" s="13" t="s">
        <v>5540</v>
      </c>
      <c r="BV871" s="13" t="s">
        <v>4864</v>
      </c>
      <c r="BW871" s="13" t="str">
        <f>VLOOKUP($BT871,Enriched!$A$2:$E$1070,5,false)</f>
        <v>["Transportation &amp; Service Corridors"]</v>
      </c>
      <c r="BX871" s="13" t="str">
        <f>VLOOKUP($BT871,Enriched!$A$2:$E$1070,4,false)</f>
        <v>["Shipping lanes"]</v>
      </c>
      <c r="BY871" s="13" t="b">
        <f>VLOOKUP(BT871,Enriched!$A$1:$AA$1070,27,falsE)</f>
        <v>0</v>
      </c>
      <c r="BZ871" s="2" t="str">
        <f>VLOOKUP(BT871,Enriched!$A$1:$AA$1070,14,falsE)</f>
        <v>level2</v>
      </c>
      <c r="CA871" s="13" t="str">
        <f>HYPERLINK("https%3A%2F%2Fwww.webofscience.com%2Fwos%2Fwoscc%2Ffull-record%2FWOS:000361383100030","View Full Record in Web of Science")</f>
        <v>View Full Record in Web of Science</v>
      </c>
    </row>
    <row r="872" ht="12.75" customHeight="1">
      <c r="A872" s="13" t="s">
        <v>5508</v>
      </c>
      <c r="B872" s="13" t="s">
        <v>20863</v>
      </c>
      <c r="C872" s="13" t="s">
        <v>5510</v>
      </c>
      <c r="D872" s="13" t="s">
        <v>5510</v>
      </c>
      <c r="E872" s="13" t="s">
        <v>5510</v>
      </c>
      <c r="F872" s="13" t="s">
        <v>20864</v>
      </c>
      <c r="G872" s="13" t="s">
        <v>5510</v>
      </c>
      <c r="H872" s="13" t="s">
        <v>5510</v>
      </c>
      <c r="I872" s="2" t="s">
        <v>262</v>
      </c>
      <c r="J872" s="13" t="s">
        <v>20865</v>
      </c>
      <c r="K872" s="13" t="s">
        <v>5510</v>
      </c>
      <c r="L872" s="13" t="s">
        <v>5510</v>
      </c>
      <c r="M872" s="13" t="s">
        <v>5513</v>
      </c>
      <c r="N872" s="13" t="s">
        <v>5514</v>
      </c>
      <c r="O872" s="13" t="s">
        <v>5510</v>
      </c>
      <c r="P872" s="13" t="s">
        <v>5510</v>
      </c>
      <c r="Q872" s="13" t="s">
        <v>5510</v>
      </c>
      <c r="R872" s="13" t="s">
        <v>5510</v>
      </c>
      <c r="S872" s="13" t="s">
        <v>5510</v>
      </c>
      <c r="T872" s="13" t="s">
        <v>20866</v>
      </c>
      <c r="U872" s="13" t="s">
        <v>20867</v>
      </c>
      <c r="V872" s="13" t="s">
        <v>20868</v>
      </c>
      <c r="W872" s="13" t="s">
        <v>20869</v>
      </c>
      <c r="X872" s="13" t="s">
        <v>20870</v>
      </c>
      <c r="Y872" s="13" t="s">
        <v>20871</v>
      </c>
      <c r="Z872" s="13" t="s">
        <v>20872</v>
      </c>
      <c r="AA872" s="13" t="s">
        <v>20873</v>
      </c>
      <c r="AB872" s="13" t="s">
        <v>20874</v>
      </c>
      <c r="AC872" s="13" t="s">
        <v>20875</v>
      </c>
      <c r="AD872" s="13" t="s">
        <v>20876</v>
      </c>
      <c r="AE872" s="13" t="s">
        <v>20877</v>
      </c>
      <c r="AF872" s="13" t="s">
        <v>5510</v>
      </c>
      <c r="AG872" s="13">
        <v>79.0</v>
      </c>
      <c r="AH872" s="13">
        <v>41.0</v>
      </c>
      <c r="AI872" s="13">
        <v>55.0</v>
      </c>
      <c r="AJ872" s="13">
        <v>2.0</v>
      </c>
      <c r="AK872" s="13">
        <v>49.0</v>
      </c>
      <c r="AL872" s="13" t="s">
        <v>7129</v>
      </c>
      <c r="AM872" s="13" t="s">
        <v>7130</v>
      </c>
      <c r="AN872" s="13" t="s">
        <v>20878</v>
      </c>
      <c r="AO872" s="13" t="s">
        <v>20879</v>
      </c>
      <c r="AP872" s="13" t="s">
        <v>20880</v>
      </c>
      <c r="AQ872" s="13" t="s">
        <v>5510</v>
      </c>
      <c r="AR872" s="13" t="s">
        <v>20881</v>
      </c>
      <c r="AS872" s="13" t="s">
        <v>20882</v>
      </c>
      <c r="AT872" s="13" t="s">
        <v>1453</v>
      </c>
      <c r="AU872" s="13">
        <v>2012.0</v>
      </c>
      <c r="AV872" s="13">
        <v>7.0</v>
      </c>
      <c r="AW872" s="13">
        <v>4.0</v>
      </c>
      <c r="AX872" s="13" t="s">
        <v>5510</v>
      </c>
      <c r="AY872" s="13" t="s">
        <v>5510</v>
      </c>
      <c r="AZ872" s="13" t="s">
        <v>5510</v>
      </c>
      <c r="BA872" s="13" t="s">
        <v>5510</v>
      </c>
      <c r="BB872" s="13">
        <v>521.0</v>
      </c>
      <c r="BC872" s="13">
        <v>535.0</v>
      </c>
      <c r="BD872" s="13" t="s">
        <v>5510</v>
      </c>
      <c r="BE872" s="13" t="s">
        <v>20883</v>
      </c>
      <c r="BF872" s="52" t="str">
        <f>HYPERLINK("http://dx.doi.org/10.3391/ai.2012.7.4.009","http://dx.doi.org/10.3391/ai.2012.7.4.009")</f>
        <v>http://dx.doi.org/10.3391/ai.2012.7.4.009</v>
      </c>
      <c r="BG872" s="13" t="s">
        <v>5510</v>
      </c>
      <c r="BH872" s="13" t="s">
        <v>5510</v>
      </c>
      <c r="BI872" s="13">
        <v>15.0</v>
      </c>
      <c r="BJ872" s="13" t="s">
        <v>17343</v>
      </c>
      <c r="BK872" s="13" t="s">
        <v>5561</v>
      </c>
      <c r="BL872" s="13" t="s">
        <v>6328</v>
      </c>
      <c r="BM872" s="13" t="s">
        <v>20884</v>
      </c>
      <c r="BN872" s="13" t="s">
        <v>5510</v>
      </c>
      <c r="BO872" s="13" t="s">
        <v>5537</v>
      </c>
      <c r="BP872" s="13" t="s">
        <v>5510</v>
      </c>
      <c r="BQ872" s="13" t="s">
        <v>5510</v>
      </c>
      <c r="BR872" s="13" t="s">
        <v>5538</v>
      </c>
      <c r="BS872" s="13" t="s">
        <v>20885</v>
      </c>
      <c r="BT872" s="13">
        <v>24197.0</v>
      </c>
      <c r="BU872" s="13" t="s">
        <v>5540</v>
      </c>
      <c r="BV872" s="13" t="s">
        <v>4852</v>
      </c>
      <c r="BW872" s="13" t="str">
        <f>VLOOKUP($BT872,Enriched!$A$2:$E$1070,5,false)</f>
        <v>["Invasive &amp; other problematic species, genes &amp; diseases"]</v>
      </c>
      <c r="BX872" s="13" t="str">
        <f>VLOOKUP($BT872,Enriched!$A$2:$E$1070,4,false)</f>
        <v>["Invasive non-native/alien species/diseases"]</v>
      </c>
      <c r="BY872" s="13" t="b">
        <f>VLOOKUP(BT872,Enriched!$A$1:$AA$1070,27,falsE)</f>
        <v>0</v>
      </c>
      <c r="BZ872" s="2" t="str">
        <f>VLOOKUP(BT872,Enriched!$A$1:$AA$1070,14,falsE)</f>
        <v>level2</v>
      </c>
      <c r="CA872" s="13" t="str">
        <f>HYPERLINK("https%3A%2F%2Fwww.webofscience.com%2Fwos%2Fwoscc%2Ffull-record%2FWOS:000310725000009","View Full Record in Web of Science")</f>
        <v>View Full Record in Web of Science</v>
      </c>
    </row>
    <row r="873" ht="12.75" customHeight="1">
      <c r="A873" s="13" t="s">
        <v>5508</v>
      </c>
      <c r="B873" s="13" t="s">
        <v>20886</v>
      </c>
      <c r="C873" s="13" t="s">
        <v>5510</v>
      </c>
      <c r="D873" s="13" t="s">
        <v>5510</v>
      </c>
      <c r="E873" s="13" t="s">
        <v>5510</v>
      </c>
      <c r="F873" s="13" t="s">
        <v>20887</v>
      </c>
      <c r="G873" s="13" t="s">
        <v>5510</v>
      </c>
      <c r="H873" s="13" t="s">
        <v>5510</v>
      </c>
      <c r="I873" s="13" t="s">
        <v>259</v>
      </c>
      <c r="J873" s="13" t="s">
        <v>8925</v>
      </c>
      <c r="K873" s="13" t="s">
        <v>5510</v>
      </c>
      <c r="L873" s="13" t="s">
        <v>5510</v>
      </c>
      <c r="M873" s="13" t="s">
        <v>5513</v>
      </c>
      <c r="N873" s="13" t="s">
        <v>5514</v>
      </c>
      <c r="O873" s="13" t="s">
        <v>5510</v>
      </c>
      <c r="P873" s="13" t="s">
        <v>5510</v>
      </c>
      <c r="Q873" s="13" t="s">
        <v>5510</v>
      </c>
      <c r="R873" s="13" t="s">
        <v>5510</v>
      </c>
      <c r="S873" s="13" t="s">
        <v>5510</v>
      </c>
      <c r="T873" s="13" t="s">
        <v>5510</v>
      </c>
      <c r="U873" s="13" t="s">
        <v>20888</v>
      </c>
      <c r="V873" s="13" t="s">
        <v>20889</v>
      </c>
      <c r="W873" s="13" t="s">
        <v>20890</v>
      </c>
      <c r="X873" s="13" t="s">
        <v>20891</v>
      </c>
      <c r="Y873" s="13" t="s">
        <v>20892</v>
      </c>
      <c r="Z873" s="13" t="s">
        <v>20893</v>
      </c>
      <c r="AA873" s="13" t="s">
        <v>20894</v>
      </c>
      <c r="AB873" s="13" t="s">
        <v>20895</v>
      </c>
      <c r="AC873" s="13" t="s">
        <v>20896</v>
      </c>
      <c r="AD873" s="13" t="s">
        <v>20897</v>
      </c>
      <c r="AE873" s="13" t="s">
        <v>20898</v>
      </c>
      <c r="AF873" s="13" t="s">
        <v>5510</v>
      </c>
      <c r="AG873" s="13">
        <v>53.0</v>
      </c>
      <c r="AH873" s="13">
        <v>73.0</v>
      </c>
      <c r="AI873" s="13">
        <v>98.0</v>
      </c>
      <c r="AJ873" s="13">
        <v>6.0</v>
      </c>
      <c r="AK873" s="13">
        <v>98.0</v>
      </c>
      <c r="AL873" s="13" t="s">
        <v>8937</v>
      </c>
      <c r="AM873" s="13" t="s">
        <v>6046</v>
      </c>
      <c r="AN873" s="13" t="s">
        <v>8938</v>
      </c>
      <c r="AO873" s="13" t="s">
        <v>8939</v>
      </c>
      <c r="AP873" s="13" t="s">
        <v>5510</v>
      </c>
      <c r="AQ873" s="13" t="s">
        <v>5510</v>
      </c>
      <c r="AR873" s="13" t="s">
        <v>8940</v>
      </c>
      <c r="AS873" s="13" t="s">
        <v>8941</v>
      </c>
      <c r="AT873" s="13" t="s">
        <v>9659</v>
      </c>
      <c r="AU873" s="13">
        <v>2018.0</v>
      </c>
      <c r="AV873" s="13">
        <v>9.0</v>
      </c>
      <c r="AW873" s="13" t="s">
        <v>5510</v>
      </c>
      <c r="AX873" s="13" t="s">
        <v>5510</v>
      </c>
      <c r="AY873" s="13" t="s">
        <v>5510</v>
      </c>
      <c r="AZ873" s="13" t="s">
        <v>5510</v>
      </c>
      <c r="BA873" s="13" t="s">
        <v>5510</v>
      </c>
      <c r="BB873" s="13" t="s">
        <v>5510</v>
      </c>
      <c r="BC873" s="13" t="s">
        <v>5510</v>
      </c>
      <c r="BD873" s="13">
        <v>3455.0</v>
      </c>
      <c r="BE873" s="13" t="s">
        <v>20899</v>
      </c>
      <c r="BF873" s="52" t="str">
        <f>HYPERLINK("http://dx.doi.org/10.1038/s41467-018-05983-y","http://dx.doi.org/10.1038/s41467-018-05983-y")</f>
        <v>http://dx.doi.org/10.1038/s41467-018-05983-y</v>
      </c>
      <c r="BG873" s="13" t="s">
        <v>5510</v>
      </c>
      <c r="BH873" s="13" t="s">
        <v>5510</v>
      </c>
      <c r="BI873" s="13">
        <v>9.0</v>
      </c>
      <c r="BJ873" s="13" t="s">
        <v>5560</v>
      </c>
      <c r="BK873" s="13" t="s">
        <v>5534</v>
      </c>
      <c r="BL873" s="13" t="s">
        <v>5562</v>
      </c>
      <c r="BM873" s="13" t="s">
        <v>20900</v>
      </c>
      <c r="BN873" s="13">
        <v>3.0150649E7</v>
      </c>
      <c r="BO873" s="13" t="s">
        <v>5564</v>
      </c>
      <c r="BP873" s="13" t="s">
        <v>5510</v>
      </c>
      <c r="BQ873" s="13" t="s">
        <v>5510</v>
      </c>
      <c r="BR873" s="13" t="s">
        <v>5538</v>
      </c>
      <c r="BS873" s="13" t="s">
        <v>20901</v>
      </c>
      <c r="BT873" s="13">
        <v>25697.0</v>
      </c>
      <c r="BU873" s="13" t="s">
        <v>5540</v>
      </c>
      <c r="BV873" s="13" t="s">
        <v>4856</v>
      </c>
      <c r="BW873" s="13" t="str">
        <f>VLOOKUP($BT873,Enriched!$A$2:$E$1070,5,false)</f>
        <v>["Biological resource use"]</v>
      </c>
      <c r="BX873" s="13" t="str">
        <f>VLOOKUP($BT873,Enriched!$A$2:$E$1070,4,false)</f>
        <v>["Hunting &amp; collecting terrestrial animals"]</v>
      </c>
      <c r="BY873" s="13" t="b">
        <f>VLOOKUP(BT873,Enriched!$A$1:$AA$1070,27,falsE)</f>
        <v>0</v>
      </c>
      <c r="BZ873" s="2" t="str">
        <f>VLOOKUP(BT873,Enriched!$A$1:$AA$1070,14,falsE)</f>
        <v>level2</v>
      </c>
      <c r="CA873" s="13" t="str">
        <f>HYPERLINK("https%3A%2F%2Fwww.webofscience.com%2Fwos%2Fwoscc%2Ffull-record%2FWOS:000442790100006","View Full Record in Web of Science")</f>
        <v>View Full Record in Web of Science</v>
      </c>
    </row>
    <row r="874" ht="12.75" customHeight="1">
      <c r="A874" s="13" t="s">
        <v>5508</v>
      </c>
      <c r="B874" s="13" t="s">
        <v>20902</v>
      </c>
      <c r="C874" s="13" t="s">
        <v>5510</v>
      </c>
      <c r="D874" s="13" t="s">
        <v>5510</v>
      </c>
      <c r="E874" s="13" t="s">
        <v>5510</v>
      </c>
      <c r="F874" s="13" t="s">
        <v>20903</v>
      </c>
      <c r="G874" s="13" t="s">
        <v>5510</v>
      </c>
      <c r="H874" s="13" t="s">
        <v>5510</v>
      </c>
      <c r="I874" s="13" t="s">
        <v>255</v>
      </c>
      <c r="J874" s="13" t="s">
        <v>6114</v>
      </c>
      <c r="K874" s="13" t="s">
        <v>5510</v>
      </c>
      <c r="L874" s="13" t="s">
        <v>5510</v>
      </c>
      <c r="M874" s="13" t="s">
        <v>5513</v>
      </c>
      <c r="N874" s="13" t="s">
        <v>5514</v>
      </c>
      <c r="O874" s="13" t="s">
        <v>5510</v>
      </c>
      <c r="P874" s="13" t="s">
        <v>5510</v>
      </c>
      <c r="Q874" s="13" t="s">
        <v>5510</v>
      </c>
      <c r="R874" s="13" t="s">
        <v>5510</v>
      </c>
      <c r="S874" s="13" t="s">
        <v>5510</v>
      </c>
      <c r="T874" s="13" t="s">
        <v>20904</v>
      </c>
      <c r="U874" s="13" t="s">
        <v>20905</v>
      </c>
      <c r="V874" s="13" t="s">
        <v>20906</v>
      </c>
      <c r="W874" s="13" t="s">
        <v>20907</v>
      </c>
      <c r="X874" s="13" t="s">
        <v>20908</v>
      </c>
      <c r="Y874" s="13" t="s">
        <v>20909</v>
      </c>
      <c r="Z874" s="13" t="s">
        <v>20910</v>
      </c>
      <c r="AA874" s="13" t="s">
        <v>20911</v>
      </c>
      <c r="AB874" s="13" t="s">
        <v>20912</v>
      </c>
      <c r="AC874" s="13" t="s">
        <v>13865</v>
      </c>
      <c r="AD874" s="13" t="s">
        <v>13866</v>
      </c>
      <c r="AE874" s="13" t="s">
        <v>20913</v>
      </c>
      <c r="AF874" s="13" t="s">
        <v>5510</v>
      </c>
      <c r="AG874" s="13">
        <v>92.0</v>
      </c>
      <c r="AH874" s="13">
        <v>54.0</v>
      </c>
      <c r="AI874" s="13">
        <v>59.0</v>
      </c>
      <c r="AJ874" s="13">
        <v>2.0</v>
      </c>
      <c r="AK874" s="13">
        <v>55.0</v>
      </c>
      <c r="AL874" s="13" t="s">
        <v>5931</v>
      </c>
      <c r="AM874" s="13" t="s">
        <v>5932</v>
      </c>
      <c r="AN874" s="13" t="s">
        <v>5933</v>
      </c>
      <c r="AO874" s="13" t="s">
        <v>6127</v>
      </c>
      <c r="AP874" s="13" t="s">
        <v>6128</v>
      </c>
      <c r="AQ874" s="13" t="s">
        <v>5510</v>
      </c>
      <c r="AR874" s="13" t="s">
        <v>6129</v>
      </c>
      <c r="AS874" s="13" t="s">
        <v>6130</v>
      </c>
      <c r="AT874" s="13" t="s">
        <v>9296</v>
      </c>
      <c r="AU874" s="13">
        <v>2018.0</v>
      </c>
      <c r="AV874" s="13">
        <v>163.0</v>
      </c>
      <c r="AW874" s="13" t="s">
        <v>5510</v>
      </c>
      <c r="AX874" s="13" t="s">
        <v>5510</v>
      </c>
      <c r="AY874" s="13" t="s">
        <v>5510</v>
      </c>
      <c r="AZ874" s="13" t="s">
        <v>5510</v>
      </c>
      <c r="BA874" s="13" t="s">
        <v>5510</v>
      </c>
      <c r="BB874" s="13">
        <v>417.0</v>
      </c>
      <c r="BC874" s="13">
        <v>436.0</v>
      </c>
      <c r="BD874" s="13" t="s">
        <v>5510</v>
      </c>
      <c r="BE874" s="13" t="s">
        <v>20914</v>
      </c>
      <c r="BF874" s="52" t="str">
        <f>HYPERLINK("http://dx.doi.org/10.1016/j.ocecoaman.2018.07.009","http://dx.doi.org/10.1016/j.ocecoaman.2018.07.009")</f>
        <v>http://dx.doi.org/10.1016/j.ocecoaman.2018.07.009</v>
      </c>
      <c r="BG874" s="13" t="s">
        <v>5510</v>
      </c>
      <c r="BH874" s="13" t="s">
        <v>5510</v>
      </c>
      <c r="BI874" s="13">
        <v>20.0</v>
      </c>
      <c r="BJ874" s="13" t="s">
        <v>6133</v>
      </c>
      <c r="BK874" s="13" t="s">
        <v>5561</v>
      </c>
      <c r="BL874" s="13" t="s">
        <v>6133</v>
      </c>
      <c r="BM874" s="13" t="s">
        <v>9298</v>
      </c>
      <c r="BN874" s="13" t="s">
        <v>5510</v>
      </c>
      <c r="BO874" s="13" t="s">
        <v>5510</v>
      </c>
      <c r="BP874" s="13" t="s">
        <v>5510</v>
      </c>
      <c r="BQ874" s="13" t="s">
        <v>5510</v>
      </c>
      <c r="BR874" s="13" t="s">
        <v>5538</v>
      </c>
      <c r="BS874" s="13" t="s">
        <v>20915</v>
      </c>
      <c r="BT874" s="13">
        <v>24776.0</v>
      </c>
      <c r="BU874" s="13" t="s">
        <v>5540</v>
      </c>
      <c r="BV874" s="13" t="s">
        <v>4864</v>
      </c>
      <c r="BW874" s="13" t="str">
        <f>VLOOKUP($BT874,Enriched!$A$2:$E$1070,5,false)</f>
        <v>["Agriculture &amp; Aquaculture", "Transportation &amp; Service Corridors", "Residential &amp; Commercial Development", "Energy Production &amp; Mining", "Human Intrusions &amp; Disturbance", "Biological Resource Use"]</v>
      </c>
      <c r="BX874" s="13" t="str">
        <f>VLOOKUP($BT874,Enriched!$A$2:$E$1070,4,false)</f>
        <v>["Marine &amp; freshwater aquaculture", "Utility &amp; service lines", "Commercial &amp; industrial areas", "Mining &amp; quarrying", "Shipping lanes", "Recreational activities", "War, civil unrest &amp; military exercises", "Fishing &amp; harvesting aquatic resources", "Housing &amp; urban area"]</v>
      </c>
      <c r="BY874" s="13" t="b">
        <f>VLOOKUP(BT874,Enriched!$A$1:$AA$1070,27,falsE)</f>
        <v>1</v>
      </c>
      <c r="BZ874" s="2" t="str">
        <f>VLOOKUP(BT874,Enriched!$A$1:$AA$1070,14,falsE)</f>
        <v>cumulative</v>
      </c>
      <c r="CA874" s="13" t="str">
        <f>HYPERLINK("https%3A%2F%2Fwww.webofscience.com%2Fwos%2Fwoscc%2Ffull-record%2FWOS:000444793600038","View Full Record in Web of Science")</f>
        <v>View Full Record in Web of Science</v>
      </c>
    </row>
    <row r="875" ht="12.75" customHeight="1">
      <c r="A875" s="13" t="s">
        <v>5508</v>
      </c>
      <c r="B875" s="13" t="s">
        <v>20916</v>
      </c>
      <c r="C875" s="13" t="s">
        <v>5510</v>
      </c>
      <c r="D875" s="13" t="s">
        <v>5510</v>
      </c>
      <c r="E875" s="13" t="s">
        <v>5510</v>
      </c>
      <c r="F875" s="13" t="s">
        <v>20917</v>
      </c>
      <c r="G875" s="13" t="s">
        <v>5510</v>
      </c>
      <c r="H875" s="13" t="s">
        <v>5510</v>
      </c>
      <c r="I875" s="13" t="s">
        <v>20918</v>
      </c>
      <c r="J875" s="13" t="s">
        <v>20919</v>
      </c>
      <c r="K875" s="13" t="s">
        <v>5510</v>
      </c>
      <c r="L875" s="13" t="s">
        <v>5510</v>
      </c>
      <c r="M875" s="13" t="s">
        <v>5513</v>
      </c>
      <c r="N875" s="13" t="s">
        <v>5514</v>
      </c>
      <c r="O875" s="13" t="s">
        <v>5510</v>
      </c>
      <c r="P875" s="13" t="s">
        <v>5510</v>
      </c>
      <c r="Q875" s="13" t="s">
        <v>5510</v>
      </c>
      <c r="R875" s="13" t="s">
        <v>5510</v>
      </c>
      <c r="S875" s="13" t="s">
        <v>5510</v>
      </c>
      <c r="T875" s="13" t="s">
        <v>20920</v>
      </c>
      <c r="U875" s="13" t="s">
        <v>20921</v>
      </c>
      <c r="V875" s="13" t="s">
        <v>20922</v>
      </c>
      <c r="W875" s="13" t="s">
        <v>20923</v>
      </c>
      <c r="X875" s="13" t="s">
        <v>20924</v>
      </c>
      <c r="Y875" s="13" t="s">
        <v>20925</v>
      </c>
      <c r="Z875" s="13" t="s">
        <v>20926</v>
      </c>
      <c r="AA875" s="13" t="s">
        <v>20927</v>
      </c>
      <c r="AB875" s="13" t="s">
        <v>20928</v>
      </c>
      <c r="AC875" s="13" t="s">
        <v>20929</v>
      </c>
      <c r="AD875" s="13" t="s">
        <v>20929</v>
      </c>
      <c r="AE875" s="13" t="s">
        <v>20930</v>
      </c>
      <c r="AF875" s="13" t="s">
        <v>5510</v>
      </c>
      <c r="AG875" s="13">
        <v>38.0</v>
      </c>
      <c r="AH875" s="13">
        <v>8.0</v>
      </c>
      <c r="AI875" s="13">
        <v>8.0</v>
      </c>
      <c r="AJ875" s="13">
        <v>0.0</v>
      </c>
      <c r="AK875" s="13">
        <v>36.0</v>
      </c>
      <c r="AL875" s="13" t="s">
        <v>7065</v>
      </c>
      <c r="AM875" s="13" t="s">
        <v>13281</v>
      </c>
      <c r="AN875" s="13" t="s">
        <v>13282</v>
      </c>
      <c r="AO875" s="13" t="s">
        <v>20931</v>
      </c>
      <c r="AP875" s="13" t="s">
        <v>20932</v>
      </c>
      <c r="AQ875" s="13" t="s">
        <v>5510</v>
      </c>
      <c r="AR875" s="13" t="s">
        <v>20933</v>
      </c>
      <c r="AS875" s="13" t="s">
        <v>20934</v>
      </c>
      <c r="AT875" s="13" t="s">
        <v>2738</v>
      </c>
      <c r="AU875" s="13">
        <v>2016.0</v>
      </c>
      <c r="AV875" s="13">
        <v>106.0</v>
      </c>
      <c r="AW875" s="13">
        <v>1.0</v>
      </c>
      <c r="AX875" s="13" t="s">
        <v>5510</v>
      </c>
      <c r="AY875" s="13" t="s">
        <v>5510</v>
      </c>
      <c r="AZ875" s="13" t="s">
        <v>5510</v>
      </c>
      <c r="BA875" s="13" t="s">
        <v>5510</v>
      </c>
      <c r="BB875" s="13">
        <v>9.0</v>
      </c>
      <c r="BC875" s="13">
        <v>18.0</v>
      </c>
      <c r="BD875" s="13" t="s">
        <v>5510</v>
      </c>
      <c r="BE875" s="13" t="s">
        <v>20935</v>
      </c>
      <c r="BF875" s="52" t="str">
        <f>HYPERLINK("http://dx.doi.org/10.1017/S0007485315000851","http://dx.doi.org/10.1017/S0007485315000851")</f>
        <v>http://dx.doi.org/10.1017/S0007485315000851</v>
      </c>
      <c r="BG875" s="13" t="s">
        <v>5510</v>
      </c>
      <c r="BH875" s="13" t="s">
        <v>5510</v>
      </c>
      <c r="BI875" s="13">
        <v>10.0</v>
      </c>
      <c r="BJ875" s="13" t="s">
        <v>20936</v>
      </c>
      <c r="BK875" s="13" t="s">
        <v>5561</v>
      </c>
      <c r="BL875" s="13" t="s">
        <v>20936</v>
      </c>
      <c r="BM875" s="13" t="s">
        <v>20937</v>
      </c>
      <c r="BN875" s="13">
        <v>2.6521882E7</v>
      </c>
      <c r="BO875" s="13" t="s">
        <v>5510</v>
      </c>
      <c r="BP875" s="13" t="s">
        <v>5510</v>
      </c>
      <c r="BQ875" s="13" t="s">
        <v>5510</v>
      </c>
      <c r="BR875" s="13" t="s">
        <v>5538</v>
      </c>
      <c r="BS875" s="13" t="s">
        <v>20938</v>
      </c>
      <c r="BT875" s="13">
        <v>25515.0</v>
      </c>
      <c r="BU875" s="13" t="s">
        <v>5540</v>
      </c>
      <c r="BV875" s="13" t="s">
        <v>4856</v>
      </c>
      <c r="BW875" s="13" t="str">
        <f>VLOOKUP($BT875,Enriched!$A$2:$E$1070,5,false)</f>
        <v>["Invasive &amp; other problematic species, genes &amp; diseases"]</v>
      </c>
      <c r="BX875" s="13" t="str">
        <f>VLOOKUP($BT875,Enriched!$A$2:$E$1070,4,false)</f>
        <v>["Invasive non-native/alien species/diseases"]</v>
      </c>
      <c r="BY875" s="13" t="b">
        <f>VLOOKUP(BT875,Enriched!$A$1:$AA$1070,27,falsE)</f>
        <v>0</v>
      </c>
      <c r="BZ875" s="2" t="str">
        <f>VLOOKUP(BT875,Enriched!$A$1:$AA$1070,14,falsE)</f>
        <v>level2</v>
      </c>
      <c r="CA875" s="13" t="str">
        <f>HYPERLINK("https%3A%2F%2Fwww.webofscience.com%2Fwos%2Fwoscc%2Ffull-record%2FWOS:000371157000002","View Full Record in Web of Science")</f>
        <v>View Full Record in Web of Science</v>
      </c>
    </row>
    <row r="876" ht="12.75" customHeight="1">
      <c r="A876" s="13" t="s">
        <v>5508</v>
      </c>
      <c r="B876" s="13" t="s">
        <v>20939</v>
      </c>
      <c r="C876" s="13" t="s">
        <v>5510</v>
      </c>
      <c r="D876" s="13" t="s">
        <v>5510</v>
      </c>
      <c r="E876" s="13" t="s">
        <v>5510</v>
      </c>
      <c r="F876" s="13" t="s">
        <v>20940</v>
      </c>
      <c r="G876" s="13" t="s">
        <v>5510</v>
      </c>
      <c r="H876" s="13" t="s">
        <v>5510</v>
      </c>
      <c r="I876" s="13" t="s">
        <v>249</v>
      </c>
      <c r="J876" s="13" t="s">
        <v>20941</v>
      </c>
      <c r="K876" s="13" t="s">
        <v>5510</v>
      </c>
      <c r="L876" s="13" t="s">
        <v>5510</v>
      </c>
      <c r="M876" s="13" t="s">
        <v>5513</v>
      </c>
      <c r="N876" s="13" t="s">
        <v>5514</v>
      </c>
      <c r="O876" s="13" t="s">
        <v>5510</v>
      </c>
      <c r="P876" s="13" t="s">
        <v>5510</v>
      </c>
      <c r="Q876" s="13" t="s">
        <v>5510</v>
      </c>
      <c r="R876" s="13" t="s">
        <v>5510</v>
      </c>
      <c r="S876" s="13" t="s">
        <v>5510</v>
      </c>
      <c r="T876" s="13" t="s">
        <v>20942</v>
      </c>
      <c r="U876" s="13" t="s">
        <v>20943</v>
      </c>
      <c r="V876" s="13" t="s">
        <v>20944</v>
      </c>
      <c r="W876" s="13" t="s">
        <v>20945</v>
      </c>
      <c r="X876" s="13" t="s">
        <v>20946</v>
      </c>
      <c r="Y876" s="13" t="s">
        <v>20947</v>
      </c>
      <c r="Z876" s="13" t="s">
        <v>20948</v>
      </c>
      <c r="AA876" s="13" t="s">
        <v>20949</v>
      </c>
      <c r="AB876" s="13" t="s">
        <v>20950</v>
      </c>
      <c r="AC876" s="13" t="s">
        <v>20951</v>
      </c>
      <c r="AD876" s="13" t="s">
        <v>20952</v>
      </c>
      <c r="AE876" s="13" t="s">
        <v>20953</v>
      </c>
      <c r="AF876" s="13" t="s">
        <v>5510</v>
      </c>
      <c r="AG876" s="13">
        <v>80.0</v>
      </c>
      <c r="AH876" s="13">
        <v>28.0</v>
      </c>
      <c r="AI876" s="13">
        <v>28.0</v>
      </c>
      <c r="AJ876" s="13">
        <v>3.0</v>
      </c>
      <c r="AK876" s="13">
        <v>96.0</v>
      </c>
      <c r="AL876" s="13" t="s">
        <v>5690</v>
      </c>
      <c r="AM876" s="13" t="s">
        <v>5691</v>
      </c>
      <c r="AN876" s="13" t="s">
        <v>5692</v>
      </c>
      <c r="AO876" s="13" t="s">
        <v>20954</v>
      </c>
      <c r="AP876" s="13" t="s">
        <v>20955</v>
      </c>
      <c r="AQ876" s="13" t="s">
        <v>5510</v>
      </c>
      <c r="AR876" s="13" t="s">
        <v>20956</v>
      </c>
      <c r="AS876" s="13" t="s">
        <v>20957</v>
      </c>
      <c r="AT876" s="13" t="s">
        <v>2738</v>
      </c>
      <c r="AU876" s="13">
        <v>2019.0</v>
      </c>
      <c r="AV876" s="13">
        <v>24.0</v>
      </c>
      <c r="AW876" s="13">
        <v>2.0</v>
      </c>
      <c r="AX876" s="13" t="s">
        <v>5510</v>
      </c>
      <c r="AY876" s="13" t="s">
        <v>5510</v>
      </c>
      <c r="AZ876" s="13" t="s">
        <v>5510</v>
      </c>
      <c r="BA876" s="13" t="s">
        <v>5510</v>
      </c>
      <c r="BB876" s="13">
        <v>259.0</v>
      </c>
      <c r="BC876" s="13">
        <v>280.0</v>
      </c>
      <c r="BD876" s="13" t="s">
        <v>5510</v>
      </c>
      <c r="BE876" s="13" t="s">
        <v>20958</v>
      </c>
      <c r="BF876" s="52" t="str">
        <f>HYPERLINK("http://dx.doi.org/10.1007/s11027-018-9810-3","http://dx.doi.org/10.1007/s11027-018-9810-3")</f>
        <v>http://dx.doi.org/10.1007/s11027-018-9810-3</v>
      </c>
      <c r="BG876" s="13" t="s">
        <v>5510</v>
      </c>
      <c r="BH876" s="13" t="s">
        <v>5510</v>
      </c>
      <c r="BI876" s="13">
        <v>22.0</v>
      </c>
      <c r="BJ876" s="13" t="s">
        <v>5768</v>
      </c>
      <c r="BK876" s="13" t="s">
        <v>5561</v>
      </c>
      <c r="BL876" s="13" t="s">
        <v>5535</v>
      </c>
      <c r="BM876" s="13" t="s">
        <v>20959</v>
      </c>
      <c r="BN876" s="13" t="s">
        <v>5510</v>
      </c>
      <c r="BO876" s="13" t="s">
        <v>5510</v>
      </c>
      <c r="BP876" s="13" t="s">
        <v>5510</v>
      </c>
      <c r="BQ876" s="13" t="s">
        <v>5510</v>
      </c>
      <c r="BR876" s="13" t="s">
        <v>5538</v>
      </c>
      <c r="BS876" s="13" t="s">
        <v>20960</v>
      </c>
      <c r="BT876" s="13">
        <v>23700.0</v>
      </c>
      <c r="BU876" s="13" t="s">
        <v>5540</v>
      </c>
      <c r="BV876" s="13" t="s">
        <v>4856</v>
      </c>
      <c r="BW876" s="13" t="str">
        <f>VLOOKUP($BT876,Enriched!$A$2:$E$1070,5,false)</f>
        <v>["Climate change &amp; severe weather"]</v>
      </c>
      <c r="BX876" s="13" t="str">
        <f>VLOOKUP($BT876,Enriched!$A$2:$E$1070,4,false)</f>
        <v>["Habitat shifting &amp; alteration", "Temperature extremes"]</v>
      </c>
      <c r="BY876" s="13" t="b">
        <f>VLOOKUP(BT876,Enriched!$A$1:$AA$1070,27,falsE)</f>
        <v>0</v>
      </c>
      <c r="BZ876" s="2" t="str">
        <f>VLOOKUP(BT876,Enriched!$A$1:$AA$1070,14,falsE)</f>
        <v>level1</v>
      </c>
      <c r="CA876" s="13" t="str">
        <f>HYPERLINK("https%3A%2F%2Fwww.webofscience.com%2Fwos%2Fwoscc%2Ffull-record%2FWOS:000456729200005","View Full Record in Web of Science")</f>
        <v>View Full Record in Web of Science</v>
      </c>
    </row>
    <row r="877" ht="12.75" customHeight="1">
      <c r="A877" s="13" t="s">
        <v>5508</v>
      </c>
      <c r="B877" s="13" t="s">
        <v>20961</v>
      </c>
      <c r="C877" s="13" t="s">
        <v>5510</v>
      </c>
      <c r="D877" s="13" t="s">
        <v>5510</v>
      </c>
      <c r="E877" s="13" t="s">
        <v>5510</v>
      </c>
      <c r="F877" s="13" t="s">
        <v>20962</v>
      </c>
      <c r="G877" s="13" t="s">
        <v>5510</v>
      </c>
      <c r="H877" s="13" t="s">
        <v>5510</v>
      </c>
      <c r="I877" s="13" t="s">
        <v>245</v>
      </c>
      <c r="J877" s="13" t="s">
        <v>17736</v>
      </c>
      <c r="K877" s="13" t="s">
        <v>5510</v>
      </c>
      <c r="L877" s="13" t="s">
        <v>5510</v>
      </c>
      <c r="M877" s="13" t="s">
        <v>5513</v>
      </c>
      <c r="N877" s="13" t="s">
        <v>5514</v>
      </c>
      <c r="O877" s="13" t="s">
        <v>5510</v>
      </c>
      <c r="P877" s="13" t="s">
        <v>5510</v>
      </c>
      <c r="Q877" s="13" t="s">
        <v>5510</v>
      </c>
      <c r="R877" s="13" t="s">
        <v>5510</v>
      </c>
      <c r="S877" s="13" t="s">
        <v>5510</v>
      </c>
      <c r="T877" s="13" t="s">
        <v>20963</v>
      </c>
      <c r="U877" s="13" t="s">
        <v>20964</v>
      </c>
      <c r="V877" s="13" t="s">
        <v>20965</v>
      </c>
      <c r="W877" s="13" t="s">
        <v>20966</v>
      </c>
      <c r="X877" s="13" t="s">
        <v>20967</v>
      </c>
      <c r="Y877" s="13" t="s">
        <v>20968</v>
      </c>
      <c r="Z877" s="13" t="s">
        <v>20969</v>
      </c>
      <c r="AA877" s="13" t="s">
        <v>20970</v>
      </c>
      <c r="AB877" s="13" t="s">
        <v>20971</v>
      </c>
      <c r="AC877" s="13" t="s">
        <v>20972</v>
      </c>
      <c r="AD877" s="13" t="s">
        <v>20973</v>
      </c>
      <c r="AE877" s="13" t="s">
        <v>20974</v>
      </c>
      <c r="AF877" s="13" t="s">
        <v>5510</v>
      </c>
      <c r="AG877" s="13">
        <v>83.0</v>
      </c>
      <c r="AH877" s="13">
        <v>15.0</v>
      </c>
      <c r="AI877" s="13">
        <v>17.0</v>
      </c>
      <c r="AJ877" s="13">
        <v>0.0</v>
      </c>
      <c r="AK877" s="13">
        <v>26.0</v>
      </c>
      <c r="AL877" s="13" t="s">
        <v>17747</v>
      </c>
      <c r="AM877" s="13" t="s">
        <v>17748</v>
      </c>
      <c r="AN877" s="13" t="s">
        <v>17749</v>
      </c>
      <c r="AO877" s="13" t="s">
        <v>17750</v>
      </c>
      <c r="AP877" s="13" t="s">
        <v>17751</v>
      </c>
      <c r="AQ877" s="13" t="s">
        <v>5510</v>
      </c>
      <c r="AR877" s="13" t="s">
        <v>17752</v>
      </c>
      <c r="AS877" s="13" t="s">
        <v>17753</v>
      </c>
      <c r="AT877" s="13" t="s">
        <v>5667</v>
      </c>
      <c r="AU877" s="13">
        <v>2017.0</v>
      </c>
      <c r="AV877" s="13">
        <v>37.0</v>
      </c>
      <c r="AW877" s="13">
        <v>3.0</v>
      </c>
      <c r="AX877" s="13" t="s">
        <v>5510</v>
      </c>
      <c r="AY877" s="13" t="s">
        <v>5510</v>
      </c>
      <c r="AZ877" s="13" t="s">
        <v>5510</v>
      </c>
      <c r="BA877" s="13" t="s">
        <v>5510</v>
      </c>
      <c r="BB877" s="13">
        <v>332.0</v>
      </c>
      <c r="BC877" s="13">
        <v>349.0</v>
      </c>
      <c r="BD877" s="13" t="s">
        <v>5510</v>
      </c>
      <c r="BE877" s="13" t="s">
        <v>20975</v>
      </c>
      <c r="BF877" s="52" t="str">
        <f>HYPERLINK("http://dx.doi.org/10.3375/043.037.0308","http://dx.doi.org/10.3375/043.037.0308")</f>
        <v>http://dx.doi.org/10.3375/043.037.0308</v>
      </c>
      <c r="BG877" s="13" t="s">
        <v>5510</v>
      </c>
      <c r="BH877" s="13" t="s">
        <v>5510</v>
      </c>
      <c r="BI877" s="13">
        <v>18.0</v>
      </c>
      <c r="BJ877" s="13" t="s">
        <v>17755</v>
      </c>
      <c r="BK877" s="13" t="s">
        <v>5534</v>
      </c>
      <c r="BL877" s="13" t="s">
        <v>17756</v>
      </c>
      <c r="BM877" s="13" t="s">
        <v>20976</v>
      </c>
      <c r="BN877" s="13" t="s">
        <v>5510</v>
      </c>
      <c r="BO877" s="13" t="s">
        <v>5510</v>
      </c>
      <c r="BP877" s="13" t="s">
        <v>5510</v>
      </c>
      <c r="BQ877" s="13" t="s">
        <v>5510</v>
      </c>
      <c r="BR877" s="13" t="s">
        <v>5538</v>
      </c>
      <c r="BS877" s="13" t="s">
        <v>20977</v>
      </c>
      <c r="BT877" s="13">
        <v>24892.0</v>
      </c>
      <c r="BU877" s="13" t="s">
        <v>5540</v>
      </c>
      <c r="BV877" s="13" t="s">
        <v>4856</v>
      </c>
      <c r="BW877" s="13" t="str">
        <f>VLOOKUP($BT877,Enriched!$A$2:$E$1070,5,false)</f>
        <v>["Pollution"]</v>
      </c>
      <c r="BX877" s="13" t="str">
        <f>VLOOKUP($BT877,Enriched!$A$2:$E$1070,4,false)</f>
        <v>["Excess energy"]</v>
      </c>
      <c r="BY877" s="13" t="b">
        <f>VLOOKUP(BT877,Enriched!$A$1:$AA$1070,27,falsE)</f>
        <v>0</v>
      </c>
      <c r="BZ877" s="2" t="str">
        <f>VLOOKUP(BT877,Enriched!$A$1:$AA$1070,14,falsE)</f>
        <v>level2</v>
      </c>
      <c r="CA877" s="13" t="str">
        <f>HYPERLINK("https%3A%2F%2Fwww.webofscience.com%2Fwos%2Fwoscc%2Ffull-record%2FWOS:000405270000007","View Full Record in Web of Science")</f>
        <v>View Full Record in Web of Science</v>
      </c>
    </row>
    <row r="878" ht="12.75" customHeight="1">
      <c r="A878" s="13" t="s">
        <v>5508</v>
      </c>
      <c r="B878" s="13" t="s">
        <v>20978</v>
      </c>
      <c r="C878" s="13" t="s">
        <v>5510</v>
      </c>
      <c r="D878" s="13" t="s">
        <v>5510</v>
      </c>
      <c r="E878" s="13" t="s">
        <v>5510</v>
      </c>
      <c r="F878" s="13" t="s">
        <v>20979</v>
      </c>
      <c r="G878" s="13" t="s">
        <v>5510</v>
      </c>
      <c r="H878" s="13" t="s">
        <v>5510</v>
      </c>
      <c r="I878" s="13" t="s">
        <v>241</v>
      </c>
      <c r="J878" s="13" t="s">
        <v>7193</v>
      </c>
      <c r="K878" s="13" t="s">
        <v>5510</v>
      </c>
      <c r="L878" s="13" t="s">
        <v>5510</v>
      </c>
      <c r="M878" s="13" t="s">
        <v>5513</v>
      </c>
      <c r="N878" s="13" t="s">
        <v>5514</v>
      </c>
      <c r="O878" s="13" t="s">
        <v>5510</v>
      </c>
      <c r="P878" s="13" t="s">
        <v>5510</v>
      </c>
      <c r="Q878" s="13" t="s">
        <v>5510</v>
      </c>
      <c r="R878" s="13" t="s">
        <v>5510</v>
      </c>
      <c r="S878" s="13" t="s">
        <v>5510</v>
      </c>
      <c r="T878" s="13" t="s">
        <v>20980</v>
      </c>
      <c r="U878" s="13" t="s">
        <v>20981</v>
      </c>
      <c r="V878" s="13" t="s">
        <v>20982</v>
      </c>
      <c r="W878" s="13" t="s">
        <v>20983</v>
      </c>
      <c r="X878" s="13" t="s">
        <v>20984</v>
      </c>
      <c r="Y878" s="13" t="s">
        <v>20985</v>
      </c>
      <c r="Z878" s="13" t="s">
        <v>20986</v>
      </c>
      <c r="AA878" s="13" t="s">
        <v>20987</v>
      </c>
      <c r="AB878" s="13" t="s">
        <v>20988</v>
      </c>
      <c r="AC878" s="13" t="s">
        <v>20989</v>
      </c>
      <c r="AD878" s="13" t="s">
        <v>20990</v>
      </c>
      <c r="AE878" s="13" t="s">
        <v>20991</v>
      </c>
      <c r="AF878" s="13" t="s">
        <v>5510</v>
      </c>
      <c r="AG878" s="13">
        <v>72.0</v>
      </c>
      <c r="AH878" s="13">
        <v>22.0</v>
      </c>
      <c r="AI878" s="13">
        <v>23.0</v>
      </c>
      <c r="AJ878" s="13">
        <v>1.0</v>
      </c>
      <c r="AK878" s="13">
        <v>40.0</v>
      </c>
      <c r="AL878" s="13" t="s">
        <v>5690</v>
      </c>
      <c r="AM878" s="13" t="s">
        <v>5691</v>
      </c>
      <c r="AN878" s="13" t="s">
        <v>5692</v>
      </c>
      <c r="AO878" s="13" t="s">
        <v>7203</v>
      </c>
      <c r="AP878" s="13" t="s">
        <v>7204</v>
      </c>
      <c r="AQ878" s="13" t="s">
        <v>5510</v>
      </c>
      <c r="AR878" s="13" t="s">
        <v>7205</v>
      </c>
      <c r="AS878" s="13" t="s">
        <v>7206</v>
      </c>
      <c r="AT878" s="13" t="s">
        <v>5866</v>
      </c>
      <c r="AU878" s="13">
        <v>2019.0</v>
      </c>
      <c r="AV878" s="13">
        <v>21.0</v>
      </c>
      <c r="AW878" s="13">
        <v>5.0</v>
      </c>
      <c r="AX878" s="13" t="s">
        <v>5510</v>
      </c>
      <c r="AY878" s="13" t="s">
        <v>5510</v>
      </c>
      <c r="AZ878" s="13" t="s">
        <v>5510</v>
      </c>
      <c r="BA878" s="13" t="s">
        <v>5510</v>
      </c>
      <c r="BB878" s="13">
        <v>1615.0</v>
      </c>
      <c r="BC878" s="13">
        <v>1626.0</v>
      </c>
      <c r="BD878" s="13" t="s">
        <v>5510</v>
      </c>
      <c r="BE878" s="13" t="s">
        <v>20992</v>
      </c>
      <c r="BF878" s="52" t="str">
        <f>HYPERLINK("http://dx.doi.org/10.1007/s10530-019-01920-2","http://dx.doi.org/10.1007/s10530-019-01920-2")</f>
        <v>http://dx.doi.org/10.1007/s10530-019-01920-2</v>
      </c>
      <c r="BG878" s="13" t="s">
        <v>5510</v>
      </c>
      <c r="BH878" s="13" t="s">
        <v>5510</v>
      </c>
      <c r="BI878" s="13">
        <v>12.0</v>
      </c>
      <c r="BJ878" s="13" t="s">
        <v>5958</v>
      </c>
      <c r="BK878" s="13" t="s">
        <v>5561</v>
      </c>
      <c r="BL878" s="13" t="s">
        <v>5699</v>
      </c>
      <c r="BM878" s="13" t="s">
        <v>20993</v>
      </c>
      <c r="BN878" s="13" t="s">
        <v>5510</v>
      </c>
      <c r="BO878" s="13" t="s">
        <v>6623</v>
      </c>
      <c r="BP878" s="13" t="s">
        <v>5510</v>
      </c>
      <c r="BQ878" s="13" t="s">
        <v>5510</v>
      </c>
      <c r="BR878" s="13" t="s">
        <v>5538</v>
      </c>
      <c r="BS878" s="13" t="s">
        <v>20994</v>
      </c>
      <c r="BT878" s="13">
        <v>24553.0</v>
      </c>
      <c r="BU878" s="13" t="s">
        <v>5540</v>
      </c>
      <c r="BV878" s="13" t="s">
        <v>4856</v>
      </c>
      <c r="BW878" s="13" t="str">
        <f>VLOOKUP($BT878,Enriched!$A$2:$E$1070,5,false)</f>
        <v>["Invasive &amp; other problematic species, genes &amp; diseases"]</v>
      </c>
      <c r="BX878" s="13" t="str">
        <f>VLOOKUP($BT878,Enriched!$A$2:$E$1070,4,false)</f>
        <v>["Invasive non-native/alien species/diseases"]</v>
      </c>
      <c r="BY878" s="13" t="b">
        <f>VLOOKUP(BT878,Enriched!$A$1:$AA$1070,27,falsE)</f>
        <v>0</v>
      </c>
      <c r="BZ878" s="2" t="str">
        <f>VLOOKUP(BT878,Enriched!$A$1:$AA$1070,14,falsE)</f>
        <v>level2</v>
      </c>
      <c r="CA878" s="13" t="str">
        <f>HYPERLINK("https%3A%2F%2Fwww.webofscience.com%2Fwos%2Fwoscc%2Ffull-record%2FWOS:000465867500014","View Full Record in Web of Science")</f>
        <v>View Full Record in Web of Science</v>
      </c>
    </row>
    <row r="879" ht="12.75" customHeight="1">
      <c r="A879" s="13" t="s">
        <v>5508</v>
      </c>
      <c r="B879" s="13" t="s">
        <v>20995</v>
      </c>
      <c r="C879" s="13" t="s">
        <v>5510</v>
      </c>
      <c r="D879" s="13" t="s">
        <v>5510</v>
      </c>
      <c r="E879" s="13" t="s">
        <v>5510</v>
      </c>
      <c r="F879" s="13" t="s">
        <v>20996</v>
      </c>
      <c r="G879" s="13" t="s">
        <v>5510</v>
      </c>
      <c r="H879" s="13" t="s">
        <v>5510</v>
      </c>
      <c r="I879" s="13" t="s">
        <v>237</v>
      </c>
      <c r="J879" s="13" t="s">
        <v>20997</v>
      </c>
      <c r="K879" s="13" t="s">
        <v>5510</v>
      </c>
      <c r="L879" s="13" t="s">
        <v>5510</v>
      </c>
      <c r="M879" s="13" t="s">
        <v>5513</v>
      </c>
      <c r="N879" s="13" t="s">
        <v>5514</v>
      </c>
      <c r="O879" s="13" t="s">
        <v>5510</v>
      </c>
      <c r="P879" s="13" t="s">
        <v>5510</v>
      </c>
      <c r="Q879" s="13" t="s">
        <v>5510</v>
      </c>
      <c r="R879" s="13" t="s">
        <v>5510</v>
      </c>
      <c r="S879" s="13" t="s">
        <v>5510</v>
      </c>
      <c r="T879" s="13" t="s">
        <v>5510</v>
      </c>
      <c r="U879" s="13" t="s">
        <v>20998</v>
      </c>
      <c r="V879" s="13" t="s">
        <v>20999</v>
      </c>
      <c r="W879" s="13" t="s">
        <v>21000</v>
      </c>
      <c r="X879" s="13" t="s">
        <v>21001</v>
      </c>
      <c r="Y879" s="13" t="s">
        <v>21002</v>
      </c>
      <c r="Z879" s="13" t="s">
        <v>21003</v>
      </c>
      <c r="AA879" s="13" t="s">
        <v>5510</v>
      </c>
      <c r="AB879" s="13" t="s">
        <v>5510</v>
      </c>
      <c r="AC879" s="13" t="s">
        <v>5510</v>
      </c>
      <c r="AD879" s="13" t="s">
        <v>5510</v>
      </c>
      <c r="AE879" s="13" t="s">
        <v>5510</v>
      </c>
      <c r="AF879" s="13" t="s">
        <v>5510</v>
      </c>
      <c r="AG879" s="13">
        <v>32.0</v>
      </c>
      <c r="AH879" s="13">
        <v>26.0</v>
      </c>
      <c r="AI879" s="13">
        <v>28.0</v>
      </c>
      <c r="AJ879" s="13">
        <v>1.0</v>
      </c>
      <c r="AK879" s="13">
        <v>5.0</v>
      </c>
      <c r="AL879" s="13" t="s">
        <v>7065</v>
      </c>
      <c r="AM879" s="13" t="s">
        <v>6503</v>
      </c>
      <c r="AN879" s="13" t="s">
        <v>7066</v>
      </c>
      <c r="AO879" s="13" t="s">
        <v>21004</v>
      </c>
      <c r="AP879" s="13" t="s">
        <v>21005</v>
      </c>
      <c r="AQ879" s="13" t="s">
        <v>5510</v>
      </c>
      <c r="AR879" s="13" t="s">
        <v>21006</v>
      </c>
      <c r="AS879" s="13" t="s">
        <v>21007</v>
      </c>
      <c r="AT879" s="13" t="s">
        <v>6089</v>
      </c>
      <c r="AU879" s="13">
        <v>2008.0</v>
      </c>
      <c r="AV879" s="13">
        <v>18.0</v>
      </c>
      <c r="AW879" s="13">
        <v>1.0</v>
      </c>
      <c r="AX879" s="13" t="s">
        <v>5510</v>
      </c>
      <c r="AY879" s="13" t="s">
        <v>5510</v>
      </c>
      <c r="AZ879" s="13" t="s">
        <v>5510</v>
      </c>
      <c r="BA879" s="13" t="s">
        <v>5510</v>
      </c>
      <c r="BB879" s="13">
        <v>63.0</v>
      </c>
      <c r="BC879" s="13">
        <v>70.0</v>
      </c>
      <c r="BD879" s="13" t="s">
        <v>5510</v>
      </c>
      <c r="BE879" s="13" t="s">
        <v>21008</v>
      </c>
      <c r="BF879" s="52" t="str">
        <f>HYPERLINK("http://dx.doi.org/10.1017/S0959270908000075","http://dx.doi.org/10.1017/S0959270908000075")</f>
        <v>http://dx.doi.org/10.1017/S0959270908000075</v>
      </c>
      <c r="BG879" s="13" t="s">
        <v>5510</v>
      </c>
      <c r="BH879" s="13" t="s">
        <v>5510</v>
      </c>
      <c r="BI879" s="13">
        <v>8.0</v>
      </c>
      <c r="BJ879" s="13" t="s">
        <v>21009</v>
      </c>
      <c r="BK879" s="13" t="s">
        <v>5561</v>
      </c>
      <c r="BL879" s="13" t="s">
        <v>21010</v>
      </c>
      <c r="BM879" s="13" t="s">
        <v>21011</v>
      </c>
      <c r="BN879" s="13" t="s">
        <v>5510</v>
      </c>
      <c r="BO879" s="13" t="s">
        <v>5809</v>
      </c>
      <c r="BP879" s="13" t="s">
        <v>5510</v>
      </c>
      <c r="BQ879" s="13" t="s">
        <v>5510</v>
      </c>
      <c r="BR879" s="13" t="s">
        <v>5538</v>
      </c>
      <c r="BS879" s="13" t="s">
        <v>21012</v>
      </c>
      <c r="BT879" s="13">
        <v>24039.0</v>
      </c>
      <c r="BU879" s="13" t="s">
        <v>5540</v>
      </c>
      <c r="BV879" s="13" t="s">
        <v>4856</v>
      </c>
      <c r="BW879" s="13" t="str">
        <f>VLOOKUP($BT879,Enriched!$A$2:$E$1070,5,false)</f>
        <v>["Agriculture &amp; Aquaculture"]</v>
      </c>
      <c r="BX879" s="13" t="str">
        <f>VLOOKUP($BT879,Enriched!$A$2:$E$1070,4,false)</f>
        <v>["Annual &amp; perennial non-timber crops", "Livestock farming &amp; ranching"]</v>
      </c>
      <c r="BY879" s="13" t="b">
        <f>VLOOKUP(BT879,Enriched!$A$1:$AA$1070,27,falsE)</f>
        <v>0</v>
      </c>
      <c r="BZ879" s="2" t="str">
        <f>VLOOKUP(BT879,Enriched!$A$1:$AA$1070,14,falsE)</f>
        <v>level1</v>
      </c>
      <c r="CA879" s="13" t="str">
        <f>HYPERLINK("https%3A%2F%2Fwww.webofscience.com%2Fwos%2Fwoscc%2Ffull-record%2FWOS:000255100100007","View Full Record in Web of Science")</f>
        <v>View Full Record in Web of Science</v>
      </c>
    </row>
    <row r="880" ht="12.75" customHeight="1">
      <c r="A880" s="13" t="s">
        <v>5508</v>
      </c>
      <c r="B880" s="13" t="s">
        <v>21013</v>
      </c>
      <c r="C880" s="13" t="s">
        <v>5510</v>
      </c>
      <c r="D880" s="13" t="s">
        <v>5510</v>
      </c>
      <c r="E880" s="13" t="s">
        <v>5510</v>
      </c>
      <c r="F880" s="13" t="s">
        <v>21014</v>
      </c>
      <c r="G880" s="13" t="s">
        <v>5510</v>
      </c>
      <c r="H880" s="13" t="s">
        <v>5510</v>
      </c>
      <c r="I880" s="13" t="s">
        <v>234</v>
      </c>
      <c r="J880" s="13" t="s">
        <v>5746</v>
      </c>
      <c r="K880" s="13" t="s">
        <v>5510</v>
      </c>
      <c r="L880" s="13" t="s">
        <v>5510</v>
      </c>
      <c r="M880" s="13" t="s">
        <v>5513</v>
      </c>
      <c r="N880" s="13" t="s">
        <v>5514</v>
      </c>
      <c r="O880" s="13" t="s">
        <v>5510</v>
      </c>
      <c r="P880" s="13" t="s">
        <v>5510</v>
      </c>
      <c r="Q880" s="13" t="s">
        <v>5510</v>
      </c>
      <c r="R880" s="13" t="s">
        <v>5510</v>
      </c>
      <c r="S880" s="13" t="s">
        <v>5510</v>
      </c>
      <c r="T880" s="13" t="s">
        <v>21015</v>
      </c>
      <c r="U880" s="13" t="s">
        <v>21016</v>
      </c>
      <c r="V880" s="13" t="s">
        <v>21017</v>
      </c>
      <c r="W880" s="13" t="s">
        <v>21018</v>
      </c>
      <c r="X880" s="13" t="s">
        <v>21019</v>
      </c>
      <c r="Y880" s="13" t="s">
        <v>21020</v>
      </c>
      <c r="Z880" s="13" t="s">
        <v>21021</v>
      </c>
      <c r="AA880" s="13" t="s">
        <v>21022</v>
      </c>
      <c r="AB880" s="13" t="s">
        <v>21023</v>
      </c>
      <c r="AC880" s="13" t="s">
        <v>21024</v>
      </c>
      <c r="AD880" s="13" t="s">
        <v>21025</v>
      </c>
      <c r="AE880" s="13" t="s">
        <v>21026</v>
      </c>
      <c r="AF880" s="13" t="s">
        <v>5510</v>
      </c>
      <c r="AG880" s="13">
        <v>83.0</v>
      </c>
      <c r="AH880" s="13">
        <v>8.0</v>
      </c>
      <c r="AI880" s="13">
        <v>11.0</v>
      </c>
      <c r="AJ880" s="13">
        <v>1.0</v>
      </c>
      <c r="AK880" s="13">
        <v>52.0</v>
      </c>
      <c r="AL880" s="13" t="s">
        <v>5759</v>
      </c>
      <c r="AM880" s="13" t="s">
        <v>5760</v>
      </c>
      <c r="AN880" s="13" t="s">
        <v>5761</v>
      </c>
      <c r="AO880" s="13" t="s">
        <v>5762</v>
      </c>
      <c r="AP880" s="13" t="s">
        <v>5763</v>
      </c>
      <c r="AQ880" s="13" t="s">
        <v>5510</v>
      </c>
      <c r="AR880" s="13" t="s">
        <v>5764</v>
      </c>
      <c r="AS880" s="13" t="s">
        <v>5765</v>
      </c>
      <c r="AT880" s="13" t="s">
        <v>12545</v>
      </c>
      <c r="AU880" s="13">
        <v>2019.0</v>
      </c>
      <c r="AV880" s="13">
        <v>663.0</v>
      </c>
      <c r="AW880" s="13" t="s">
        <v>5510</v>
      </c>
      <c r="AX880" s="13" t="s">
        <v>5510</v>
      </c>
      <c r="AY880" s="13" t="s">
        <v>5510</v>
      </c>
      <c r="AZ880" s="13" t="s">
        <v>5510</v>
      </c>
      <c r="BA880" s="13" t="s">
        <v>5510</v>
      </c>
      <c r="BB880" s="13">
        <v>465.0</v>
      </c>
      <c r="BC880" s="13">
        <v>478.0</v>
      </c>
      <c r="BD880" s="13" t="s">
        <v>5510</v>
      </c>
      <c r="BE880" s="13" t="s">
        <v>21027</v>
      </c>
      <c r="BF880" s="52" t="str">
        <f>HYPERLINK("http://dx.doi.org/10.1016/j.scitotenv.2019.01.153","http://dx.doi.org/10.1016/j.scitotenv.2019.01.153")</f>
        <v>http://dx.doi.org/10.1016/j.scitotenv.2019.01.153</v>
      </c>
      <c r="BG880" s="13" t="s">
        <v>5510</v>
      </c>
      <c r="BH880" s="13" t="s">
        <v>5510</v>
      </c>
      <c r="BI880" s="13">
        <v>14.0</v>
      </c>
      <c r="BJ880" s="13" t="s">
        <v>5768</v>
      </c>
      <c r="BK880" s="13" t="s">
        <v>5561</v>
      </c>
      <c r="BL880" s="13" t="s">
        <v>5535</v>
      </c>
      <c r="BM880" s="13" t="s">
        <v>21028</v>
      </c>
      <c r="BN880" s="13">
        <v>3.0716638E7</v>
      </c>
      <c r="BO880" s="13" t="s">
        <v>6623</v>
      </c>
      <c r="BP880" s="13" t="s">
        <v>5510</v>
      </c>
      <c r="BQ880" s="13" t="s">
        <v>5510</v>
      </c>
      <c r="BR880" s="13" t="s">
        <v>5538</v>
      </c>
      <c r="BS880" s="13" t="s">
        <v>21029</v>
      </c>
      <c r="BT880" s="13">
        <v>25268.0</v>
      </c>
      <c r="BU880" s="13" t="s">
        <v>5540</v>
      </c>
      <c r="BV880" s="13" t="s">
        <v>4886</v>
      </c>
      <c r="BW880" s="13" t="str">
        <f>VLOOKUP($BT880,Enriched!$A$2:$E$1070,5,false)</f>
        <v>["Agriculture &amp; aquaculture"]</v>
      </c>
      <c r="BX880" s="13" t="str">
        <f>VLOOKUP($BT880,Enriched!$A$2:$E$1070,4,false)</f>
        <v>["Annual &amp; perennial non-timber crops"]</v>
      </c>
      <c r="BY880" s="13" t="b">
        <f>VLOOKUP(BT880,Enriched!$A$1:$AA$1070,27,falsE)</f>
        <v>0</v>
      </c>
      <c r="BZ880" s="2" t="str">
        <f>VLOOKUP(BT880,Enriched!$A$1:$AA$1070,14,falsE)</f>
        <v>level2</v>
      </c>
      <c r="CA880" s="13" t="str">
        <f>HYPERLINK("https%3A%2F%2Fwww.webofscience.com%2Fwos%2Fwoscc%2Ffull-record%2FWOS:000459858500047","View Full Record in Web of Science")</f>
        <v>View Full Record in Web of Science</v>
      </c>
    </row>
    <row r="881" ht="12.75" customHeight="1">
      <c r="A881" s="13" t="s">
        <v>5508</v>
      </c>
      <c r="B881" s="13" t="s">
        <v>21030</v>
      </c>
      <c r="C881" s="13" t="s">
        <v>5510</v>
      </c>
      <c r="D881" s="13" t="s">
        <v>5510</v>
      </c>
      <c r="E881" s="13" t="s">
        <v>5510</v>
      </c>
      <c r="F881" s="13" t="s">
        <v>21031</v>
      </c>
      <c r="G881" s="13" t="s">
        <v>5510</v>
      </c>
      <c r="H881" s="13" t="s">
        <v>5510</v>
      </c>
      <c r="I881" s="13" t="s">
        <v>21032</v>
      </c>
      <c r="J881" s="13" t="s">
        <v>6627</v>
      </c>
      <c r="K881" s="13" t="s">
        <v>5510</v>
      </c>
      <c r="L881" s="13" t="s">
        <v>5510</v>
      </c>
      <c r="M881" s="13" t="s">
        <v>5513</v>
      </c>
      <c r="N881" s="13" t="s">
        <v>5514</v>
      </c>
      <c r="O881" s="13" t="s">
        <v>5510</v>
      </c>
      <c r="P881" s="13" t="s">
        <v>5510</v>
      </c>
      <c r="Q881" s="13" t="s">
        <v>5510</v>
      </c>
      <c r="R881" s="13" t="s">
        <v>5510</v>
      </c>
      <c r="S881" s="13" t="s">
        <v>5510</v>
      </c>
      <c r="T881" s="13" t="s">
        <v>21033</v>
      </c>
      <c r="U881" s="13" t="s">
        <v>21034</v>
      </c>
      <c r="V881" s="13" t="s">
        <v>21035</v>
      </c>
      <c r="W881" s="13" t="s">
        <v>21036</v>
      </c>
      <c r="X881" s="13" t="s">
        <v>21037</v>
      </c>
      <c r="Y881" s="13" t="s">
        <v>21038</v>
      </c>
      <c r="Z881" s="13" t="s">
        <v>21039</v>
      </c>
      <c r="AA881" s="13" t="s">
        <v>21040</v>
      </c>
      <c r="AB881" s="13" t="s">
        <v>21041</v>
      </c>
      <c r="AC881" s="13" t="s">
        <v>21042</v>
      </c>
      <c r="AD881" s="13" t="s">
        <v>21043</v>
      </c>
      <c r="AE881" s="13" t="s">
        <v>21044</v>
      </c>
      <c r="AF881" s="13" t="s">
        <v>5510</v>
      </c>
      <c r="AG881" s="13">
        <v>71.0</v>
      </c>
      <c r="AH881" s="13">
        <v>26.0</v>
      </c>
      <c r="AI881" s="13">
        <v>26.0</v>
      </c>
      <c r="AJ881" s="13">
        <v>1.0</v>
      </c>
      <c r="AK881" s="13">
        <v>88.0</v>
      </c>
      <c r="AL881" s="13" t="s">
        <v>5527</v>
      </c>
      <c r="AM881" s="13" t="s">
        <v>5528</v>
      </c>
      <c r="AN881" s="13" t="s">
        <v>5529</v>
      </c>
      <c r="AO881" s="13" t="s">
        <v>6640</v>
      </c>
      <c r="AP881" s="13" t="s">
        <v>6641</v>
      </c>
      <c r="AQ881" s="13" t="s">
        <v>5510</v>
      </c>
      <c r="AR881" s="13" t="s">
        <v>6642</v>
      </c>
      <c r="AS881" s="13" t="s">
        <v>6643</v>
      </c>
      <c r="AT881" s="13" t="s">
        <v>1453</v>
      </c>
      <c r="AU881" s="13">
        <v>2014.0</v>
      </c>
      <c r="AV881" s="13">
        <v>20.0</v>
      </c>
      <c r="AW881" s="13">
        <v>11.0</v>
      </c>
      <c r="AX881" s="13" t="s">
        <v>5510</v>
      </c>
      <c r="AY881" s="13" t="s">
        <v>5510</v>
      </c>
      <c r="AZ881" s="13" t="s">
        <v>5510</v>
      </c>
      <c r="BA881" s="13" t="s">
        <v>5510</v>
      </c>
      <c r="BB881" s="13">
        <v>1333.0</v>
      </c>
      <c r="BC881" s="13">
        <v>1344.0</v>
      </c>
      <c r="BD881" s="13" t="s">
        <v>5510</v>
      </c>
      <c r="BE881" s="13" t="s">
        <v>21045</v>
      </c>
      <c r="BF881" s="52" t="str">
        <f>HYPERLINK("http://dx.doi.org/10.1111/ddi.12235","http://dx.doi.org/10.1111/ddi.12235")</f>
        <v>http://dx.doi.org/10.1111/ddi.12235</v>
      </c>
      <c r="BG881" s="13" t="s">
        <v>5510</v>
      </c>
      <c r="BH881" s="13" t="s">
        <v>5510</v>
      </c>
      <c r="BI881" s="13">
        <v>12.0</v>
      </c>
      <c r="BJ881" s="13" t="s">
        <v>5958</v>
      </c>
      <c r="BK881" s="13" t="s">
        <v>5561</v>
      </c>
      <c r="BL881" s="13" t="s">
        <v>5699</v>
      </c>
      <c r="BM881" s="13" t="s">
        <v>21046</v>
      </c>
      <c r="BN881" s="13" t="s">
        <v>5510</v>
      </c>
      <c r="BO881" s="13" t="s">
        <v>5809</v>
      </c>
      <c r="BP881" s="13" t="s">
        <v>5510</v>
      </c>
      <c r="BQ881" s="13" t="s">
        <v>5510</v>
      </c>
      <c r="BR881" s="13" t="s">
        <v>5538</v>
      </c>
      <c r="BS881" s="13" t="s">
        <v>21047</v>
      </c>
      <c r="BT881" s="13">
        <v>23816.0</v>
      </c>
      <c r="BU881" s="13" t="s">
        <v>5540</v>
      </c>
      <c r="BV881" s="13" t="s">
        <v>4864</v>
      </c>
      <c r="BW881" s="13" t="str">
        <f>VLOOKUP($BT881,Enriched!$A$2:$E$1070,5,false)</f>
        <v>["Invasive &amp; other problematic species, genes &amp; diseases"]</v>
      </c>
      <c r="BX881" s="13" t="str">
        <f>VLOOKUP($BT881,Enriched!$A$2:$E$1070,4,false)</f>
        <v>["Invasive non-native/alien species/diseases"]</v>
      </c>
      <c r="BY881" s="13" t="b">
        <f>VLOOKUP(BT881,Enriched!$A$1:$AA$1070,27,falsE)</f>
        <v>0</v>
      </c>
      <c r="BZ881" s="2" t="str">
        <f>VLOOKUP(BT881,Enriched!$A$1:$AA$1070,14,falsE)</f>
        <v>level2</v>
      </c>
      <c r="CA881" s="13" t="str">
        <f>HYPERLINK("https%3A%2F%2Fwww.webofscience.com%2Fwos%2Fwoscc%2Ffull-record%2FWOS:000343865200010","View Full Record in Web of Science")</f>
        <v>View Full Record in Web of Science</v>
      </c>
    </row>
    <row r="882" ht="12.75" customHeight="1">
      <c r="A882" s="13" t="s">
        <v>5508</v>
      </c>
      <c r="B882" s="13" t="s">
        <v>21048</v>
      </c>
      <c r="C882" s="13" t="s">
        <v>5510</v>
      </c>
      <c r="D882" s="13" t="s">
        <v>5510</v>
      </c>
      <c r="E882" s="13" t="s">
        <v>5510</v>
      </c>
      <c r="F882" s="13" t="s">
        <v>21049</v>
      </c>
      <c r="G882" s="13" t="s">
        <v>5510</v>
      </c>
      <c r="H882" s="13" t="s">
        <v>5510</v>
      </c>
      <c r="I882" s="13" t="s">
        <v>227</v>
      </c>
      <c r="J882" s="13" t="s">
        <v>21050</v>
      </c>
      <c r="K882" s="13" t="s">
        <v>5510</v>
      </c>
      <c r="L882" s="13" t="s">
        <v>5510</v>
      </c>
      <c r="M882" s="13" t="s">
        <v>5513</v>
      </c>
      <c r="N882" s="13" t="s">
        <v>5626</v>
      </c>
      <c r="O882" s="13" t="s">
        <v>21051</v>
      </c>
      <c r="P882" s="13" t="s">
        <v>21052</v>
      </c>
      <c r="Q882" s="13" t="s">
        <v>21053</v>
      </c>
      <c r="R882" s="13" t="s">
        <v>21054</v>
      </c>
      <c r="S882" s="13" t="s">
        <v>5510</v>
      </c>
      <c r="T882" s="13" t="s">
        <v>21055</v>
      </c>
      <c r="U882" s="13" t="s">
        <v>21056</v>
      </c>
      <c r="V882" s="13" t="s">
        <v>21057</v>
      </c>
      <c r="W882" s="13" t="s">
        <v>21058</v>
      </c>
      <c r="X882" s="13" t="s">
        <v>21059</v>
      </c>
      <c r="Y882" s="13" t="s">
        <v>21060</v>
      </c>
      <c r="Z882" s="13" t="s">
        <v>21061</v>
      </c>
      <c r="AA882" s="13" t="s">
        <v>21062</v>
      </c>
      <c r="AB882" s="13" t="s">
        <v>5510</v>
      </c>
      <c r="AC882" s="13" t="s">
        <v>5510</v>
      </c>
      <c r="AD882" s="13" t="s">
        <v>5510</v>
      </c>
      <c r="AE882" s="13" t="s">
        <v>5510</v>
      </c>
      <c r="AF882" s="13" t="s">
        <v>5510</v>
      </c>
      <c r="AG882" s="13">
        <v>38.0</v>
      </c>
      <c r="AH882" s="13">
        <v>17.0</v>
      </c>
      <c r="AI882" s="13">
        <v>21.0</v>
      </c>
      <c r="AJ882" s="13">
        <v>2.0</v>
      </c>
      <c r="AK882" s="13">
        <v>86.0</v>
      </c>
      <c r="AL882" s="13" t="s">
        <v>21063</v>
      </c>
      <c r="AM882" s="13" t="s">
        <v>21064</v>
      </c>
      <c r="AN882" s="13" t="s">
        <v>21065</v>
      </c>
      <c r="AO882" s="13" t="s">
        <v>21066</v>
      </c>
      <c r="AP882" s="13" t="s">
        <v>21067</v>
      </c>
      <c r="AQ882" s="13" t="s">
        <v>5510</v>
      </c>
      <c r="AR882" s="13" t="s">
        <v>21068</v>
      </c>
      <c r="AS882" s="13" t="s">
        <v>21069</v>
      </c>
      <c r="AT882" s="13" t="s">
        <v>5978</v>
      </c>
      <c r="AU882" s="13">
        <v>2012.0</v>
      </c>
      <c r="AV882" s="13">
        <v>8.0</v>
      </c>
      <c r="AW882" s="13">
        <v>2.0</v>
      </c>
      <c r="AX882" s="13" t="s">
        <v>5510</v>
      </c>
      <c r="AY882" s="13" t="s">
        <v>5510</v>
      </c>
      <c r="AZ882" s="13" t="s">
        <v>5510</v>
      </c>
      <c r="BA882" s="13" t="s">
        <v>5510</v>
      </c>
      <c r="BB882" s="13">
        <v>409.0</v>
      </c>
      <c r="BC882" s="13">
        <v>413.0</v>
      </c>
      <c r="BD882" s="13">
        <v>121401.0</v>
      </c>
      <c r="BE882" s="13" t="str">
        <f>#REF!</f>
        <v>#REF!</v>
      </c>
      <c r="BF882" s="13" t="s">
        <v>5510</v>
      </c>
      <c r="BG882" s="13" t="s">
        <v>5510</v>
      </c>
      <c r="BH882" s="13" t="s">
        <v>5510</v>
      </c>
      <c r="BI882" s="13">
        <v>5.0</v>
      </c>
      <c r="BJ882" s="13" t="s">
        <v>6899</v>
      </c>
      <c r="BK882" s="13" t="s">
        <v>5649</v>
      </c>
      <c r="BL882" s="13" t="s">
        <v>6899</v>
      </c>
      <c r="BM882" s="13" t="s">
        <v>21070</v>
      </c>
      <c r="BN882" s="13" t="s">
        <v>5510</v>
      </c>
      <c r="BO882" s="13" t="s">
        <v>5510</v>
      </c>
      <c r="BP882" s="13" t="s">
        <v>5510</v>
      </c>
      <c r="BQ882" s="13" t="s">
        <v>5510</v>
      </c>
      <c r="BR882" s="13" t="s">
        <v>5538</v>
      </c>
      <c r="BS882" s="13" t="s">
        <v>21071</v>
      </c>
      <c r="BT882" s="13">
        <v>24110.0</v>
      </c>
      <c r="BU882" s="13" t="s">
        <v>5540</v>
      </c>
      <c r="BV882" s="13" t="s">
        <v>4856</v>
      </c>
      <c r="BW882" s="13" t="str">
        <f>VLOOKUP($BT882,Enriched!$A$2:$E$1070,5,false)</f>
        <v>["Transportation &amp; Service Corridors"]</v>
      </c>
      <c r="BX882" s="13" t="str">
        <f>VLOOKUP($BT882,Enriched!$A$2:$E$1070,4,false)</f>
        <v>["Roads &amp; railroads"]</v>
      </c>
      <c r="BY882" s="13" t="b">
        <f>VLOOKUP(BT882,Enriched!$A$1:$AA$1070,27,falsE)</f>
        <v>0</v>
      </c>
      <c r="BZ882" s="2" t="str">
        <f>VLOOKUP(BT882,Enriched!$A$1:$AA$1070,14,falsE)</f>
        <v>level2</v>
      </c>
      <c r="CA882" s="13" t="str">
        <f>HYPERLINK("https%3A%2F%2Fwww.webofscience.com%2Fwos%2Fwoscc%2Ffull-record%2FWOS:000313763700032","View Full Record in Web of Science")</f>
        <v>View Full Record in Web of Science</v>
      </c>
    </row>
    <row r="883" ht="12.75" customHeight="1">
      <c r="A883" s="13" t="s">
        <v>5508</v>
      </c>
      <c r="B883" s="13" t="s">
        <v>21072</v>
      </c>
      <c r="C883" s="13" t="s">
        <v>5510</v>
      </c>
      <c r="D883" s="13" t="s">
        <v>5510</v>
      </c>
      <c r="E883" s="13" t="s">
        <v>5510</v>
      </c>
      <c r="F883" s="13" t="s">
        <v>21073</v>
      </c>
      <c r="G883" s="13" t="s">
        <v>5510</v>
      </c>
      <c r="H883" s="13" t="s">
        <v>5510</v>
      </c>
      <c r="I883" s="13" t="s">
        <v>219</v>
      </c>
      <c r="J883" s="13" t="s">
        <v>21074</v>
      </c>
      <c r="K883" s="13" t="s">
        <v>5510</v>
      </c>
      <c r="L883" s="13" t="s">
        <v>5510</v>
      </c>
      <c r="M883" s="13" t="s">
        <v>5513</v>
      </c>
      <c r="N883" s="13" t="s">
        <v>5514</v>
      </c>
      <c r="O883" s="13" t="s">
        <v>5510</v>
      </c>
      <c r="P883" s="13" t="s">
        <v>5510</v>
      </c>
      <c r="Q883" s="13" t="s">
        <v>5510</v>
      </c>
      <c r="R883" s="13" t="s">
        <v>5510</v>
      </c>
      <c r="S883" s="13" t="s">
        <v>5510</v>
      </c>
      <c r="T883" s="13" t="s">
        <v>21075</v>
      </c>
      <c r="U883" s="13" t="s">
        <v>21076</v>
      </c>
      <c r="V883" s="13" t="s">
        <v>21077</v>
      </c>
      <c r="W883" s="13" t="s">
        <v>21078</v>
      </c>
      <c r="X883" s="13" t="s">
        <v>21079</v>
      </c>
      <c r="Y883" s="13" t="s">
        <v>21080</v>
      </c>
      <c r="Z883" s="13" t="s">
        <v>21081</v>
      </c>
      <c r="AA883" s="13" t="s">
        <v>21082</v>
      </c>
      <c r="AB883" s="13" t="s">
        <v>21083</v>
      </c>
      <c r="AC883" s="13" t="s">
        <v>5510</v>
      </c>
      <c r="AD883" s="13" t="s">
        <v>5510</v>
      </c>
      <c r="AE883" s="13" t="s">
        <v>5510</v>
      </c>
      <c r="AF883" s="13" t="s">
        <v>5510</v>
      </c>
      <c r="AG883" s="13">
        <v>43.0</v>
      </c>
      <c r="AH883" s="13">
        <v>69.0</v>
      </c>
      <c r="AI883" s="13">
        <v>78.0</v>
      </c>
      <c r="AJ883" s="13">
        <v>2.0</v>
      </c>
      <c r="AK883" s="13">
        <v>68.0</v>
      </c>
      <c r="AL883" s="13" t="s">
        <v>7505</v>
      </c>
      <c r="AM883" s="13" t="s">
        <v>7506</v>
      </c>
      <c r="AN883" s="13" t="s">
        <v>7507</v>
      </c>
      <c r="AO883" s="13" t="s">
        <v>21084</v>
      </c>
      <c r="AP883" s="13" t="s">
        <v>21085</v>
      </c>
      <c r="AQ883" s="13" t="s">
        <v>5510</v>
      </c>
      <c r="AR883" s="13" t="s">
        <v>21086</v>
      </c>
      <c r="AS883" s="13" t="s">
        <v>21087</v>
      </c>
      <c r="AT883" s="13" t="s">
        <v>5866</v>
      </c>
      <c r="AU883" s="13">
        <v>2007.0</v>
      </c>
      <c r="AV883" s="13">
        <v>14.0</v>
      </c>
      <c r="AW883" s="13">
        <v>3.0</v>
      </c>
      <c r="AX883" s="13" t="s">
        <v>5510</v>
      </c>
      <c r="AY883" s="13" t="s">
        <v>5510</v>
      </c>
      <c r="AZ883" s="13" t="s">
        <v>5510</v>
      </c>
      <c r="BA883" s="13" t="s">
        <v>5510</v>
      </c>
      <c r="BB883" s="13">
        <v>182.0</v>
      </c>
      <c r="BC883" s="13">
        <v>189.0</v>
      </c>
      <c r="BD883" s="13" t="s">
        <v>5510</v>
      </c>
      <c r="BE883" s="13" t="s">
        <v>21088</v>
      </c>
      <c r="BF883" s="52" t="str">
        <f>HYPERLINK("http://dx.doi.org/10.1065/espr2007.02.388","http://dx.doi.org/10.1065/espr2007.02.388")</f>
        <v>http://dx.doi.org/10.1065/espr2007.02.388</v>
      </c>
      <c r="BG883" s="13" t="s">
        <v>5510</v>
      </c>
      <c r="BH883" s="13" t="s">
        <v>5510</v>
      </c>
      <c r="BI883" s="13">
        <v>8.0</v>
      </c>
      <c r="BJ883" s="13" t="s">
        <v>5768</v>
      </c>
      <c r="BK883" s="13" t="s">
        <v>5561</v>
      </c>
      <c r="BL883" s="13" t="s">
        <v>5535</v>
      </c>
      <c r="BM883" s="13" t="s">
        <v>21089</v>
      </c>
      <c r="BN883" s="13">
        <v>1.7561777E7</v>
      </c>
      <c r="BO883" s="13" t="s">
        <v>5510</v>
      </c>
      <c r="BP883" s="13" t="s">
        <v>5510</v>
      </c>
      <c r="BQ883" s="13" t="s">
        <v>5510</v>
      </c>
      <c r="BR883" s="13" t="s">
        <v>5538</v>
      </c>
      <c r="BS883" s="13" t="s">
        <v>21090</v>
      </c>
      <c r="BT883" s="13">
        <v>26047.0</v>
      </c>
      <c r="BU883" s="13" t="s">
        <v>5540</v>
      </c>
      <c r="BV883" s="13" t="s">
        <v>4856</v>
      </c>
      <c r="BW883" s="13" t="str">
        <f>VLOOKUP($BT883,Enriched!$A$2:$E$1070,5,false)</f>
        <v>["Climate Change &amp; Severe Weather", "Agriculture &amp; Aquaculture"]</v>
      </c>
      <c r="BX883" s="13" t="str">
        <f>VLOOKUP($BT883,Enriched!$A$2:$E$1070,4,false)</f>
        <v>["Habitat shifting &amp; alteration", "Housing &amp; urban area"]</v>
      </c>
      <c r="BY883" s="13" t="b">
        <f>VLOOKUP(BT883,Enriched!$A$1:$AA$1070,27,falsE)</f>
        <v>1</v>
      </c>
      <c r="BZ883" s="2" t="str">
        <f>VLOOKUP(BT883,Enriched!$A$1:$AA$1070,14,falsE)</f>
        <v>level2</v>
      </c>
      <c r="CA883" s="13" t="str">
        <f>HYPERLINK("https%3A%2F%2Fwww.webofscience.com%2Fwos%2Fwoscc%2Ffull-record%2FWOS:000246559700007","View Full Record in Web of Science")</f>
        <v>View Full Record in Web of Science</v>
      </c>
    </row>
    <row r="884" ht="12.75" customHeight="1">
      <c r="A884" s="13" t="s">
        <v>5508</v>
      </c>
      <c r="B884" s="13" t="s">
        <v>21091</v>
      </c>
      <c r="C884" s="13" t="s">
        <v>5510</v>
      </c>
      <c r="D884" s="13" t="s">
        <v>5510</v>
      </c>
      <c r="E884" s="13" t="s">
        <v>5510</v>
      </c>
      <c r="F884" s="13" t="s">
        <v>21092</v>
      </c>
      <c r="G884" s="13" t="s">
        <v>5510</v>
      </c>
      <c r="H884" s="13" t="s">
        <v>5510</v>
      </c>
      <c r="I884" s="13" t="s">
        <v>21093</v>
      </c>
      <c r="J884" s="13" t="s">
        <v>5543</v>
      </c>
      <c r="K884" s="13" t="s">
        <v>5510</v>
      </c>
      <c r="L884" s="13" t="s">
        <v>5510</v>
      </c>
      <c r="M884" s="13" t="s">
        <v>5513</v>
      </c>
      <c r="N884" s="13" t="s">
        <v>5514</v>
      </c>
      <c r="O884" s="13" t="s">
        <v>5510</v>
      </c>
      <c r="P884" s="13" t="s">
        <v>5510</v>
      </c>
      <c r="Q884" s="13" t="s">
        <v>5510</v>
      </c>
      <c r="R884" s="13" t="s">
        <v>5510</v>
      </c>
      <c r="S884" s="13" t="s">
        <v>5510</v>
      </c>
      <c r="T884" s="13" t="s">
        <v>5510</v>
      </c>
      <c r="U884" s="13" t="s">
        <v>5510</v>
      </c>
      <c r="V884" s="13" t="s">
        <v>21094</v>
      </c>
      <c r="W884" s="13" t="s">
        <v>21095</v>
      </c>
      <c r="X884" s="13" t="s">
        <v>8384</v>
      </c>
      <c r="Y884" s="13" t="s">
        <v>21096</v>
      </c>
      <c r="Z884" s="13" t="s">
        <v>21097</v>
      </c>
      <c r="AA884" s="13" t="s">
        <v>21098</v>
      </c>
      <c r="AB884" s="13" t="s">
        <v>11220</v>
      </c>
      <c r="AC884" s="13" t="s">
        <v>21099</v>
      </c>
      <c r="AD884" s="13" t="s">
        <v>21100</v>
      </c>
      <c r="AE884" s="13" t="s">
        <v>21101</v>
      </c>
      <c r="AF884" s="13" t="s">
        <v>5510</v>
      </c>
      <c r="AG884" s="13">
        <v>34.0</v>
      </c>
      <c r="AH884" s="13">
        <v>133.0</v>
      </c>
      <c r="AI884" s="13">
        <v>154.0</v>
      </c>
      <c r="AJ884" s="13">
        <v>0.0</v>
      </c>
      <c r="AK884" s="13">
        <v>46.0</v>
      </c>
      <c r="AL884" s="13" t="s">
        <v>5552</v>
      </c>
      <c r="AM884" s="13" t="s">
        <v>5553</v>
      </c>
      <c r="AN884" s="13" t="s">
        <v>5554</v>
      </c>
      <c r="AO884" s="13" t="s">
        <v>5555</v>
      </c>
      <c r="AP884" s="13" t="s">
        <v>5510</v>
      </c>
      <c r="AQ884" s="13" t="s">
        <v>5510</v>
      </c>
      <c r="AR884" s="13" t="s">
        <v>5543</v>
      </c>
      <c r="AS884" s="13" t="s">
        <v>5556</v>
      </c>
      <c r="AT884" s="13" t="s">
        <v>21102</v>
      </c>
      <c r="AU884" s="13">
        <v>2007.0</v>
      </c>
      <c r="AV884" s="13">
        <v>2.0</v>
      </c>
      <c r="AW884" s="13">
        <v>10.0</v>
      </c>
      <c r="AX884" s="13" t="s">
        <v>5510</v>
      </c>
      <c r="AY884" s="13" t="s">
        <v>5510</v>
      </c>
      <c r="AZ884" s="13" t="s">
        <v>5510</v>
      </c>
      <c r="BA884" s="13" t="s">
        <v>5510</v>
      </c>
      <c r="BB884" s="13" t="s">
        <v>5510</v>
      </c>
      <c r="BC884" s="13" t="s">
        <v>5510</v>
      </c>
      <c r="BD884" s="13" t="s">
        <v>21103</v>
      </c>
      <c r="BE884" s="13" t="s">
        <v>21104</v>
      </c>
      <c r="BF884" s="52" t="str">
        <f>HYPERLINK("http://dx.doi.org/10.1371/journal.pone.0001111","http://dx.doi.org/10.1371/journal.pone.0001111")</f>
        <v>http://dx.doi.org/10.1371/journal.pone.0001111</v>
      </c>
      <c r="BG884" s="13" t="s">
        <v>5510</v>
      </c>
      <c r="BH884" s="13" t="s">
        <v>5510</v>
      </c>
      <c r="BI884" s="13">
        <v>5.0</v>
      </c>
      <c r="BJ884" s="13" t="s">
        <v>5560</v>
      </c>
      <c r="BK884" s="13" t="s">
        <v>5561</v>
      </c>
      <c r="BL884" s="13" t="s">
        <v>5562</v>
      </c>
      <c r="BM884" s="13" t="s">
        <v>21105</v>
      </c>
      <c r="BN884" s="13">
        <v>1.7971874E7</v>
      </c>
      <c r="BO884" s="13" t="s">
        <v>5564</v>
      </c>
      <c r="BP884" s="13" t="s">
        <v>5510</v>
      </c>
      <c r="BQ884" s="13" t="s">
        <v>5510</v>
      </c>
      <c r="BR884" s="13" t="s">
        <v>5538</v>
      </c>
      <c r="BS884" s="13" t="s">
        <v>21106</v>
      </c>
      <c r="BT884" s="13">
        <v>26044.0</v>
      </c>
      <c r="BU884" s="13" t="s">
        <v>5540</v>
      </c>
      <c r="BV884" s="13" t="s">
        <v>4864</v>
      </c>
      <c r="BW884" s="13" t="str">
        <f>VLOOKUP($BT884,Enriched!$A$2:$E$1070,5,false)</f>
        <v>["Biological resource use"]</v>
      </c>
      <c r="BX884" s="13" t="str">
        <f>VLOOKUP($BT884,Enriched!$A$2:$E$1070,4,false)</f>
        <v>["Fishing &amp; harvesting aquatic resources"]</v>
      </c>
      <c r="BY884" s="13" t="b">
        <f>VLOOKUP(BT884,Enriched!$A$1:$AA$1070,27,falsE)</f>
        <v>0</v>
      </c>
      <c r="BZ884" s="2" t="str">
        <f>VLOOKUP(BT884,Enriched!$A$1:$AA$1070,14,falsE)</f>
        <v>level2</v>
      </c>
      <c r="CA884" s="13" t="str">
        <f>HYPERLINK("https%3A%2F%2Fwww.webofscience.com%2Fwos%2Fwoscc%2Ffull-record%2FWOS:000207458700028","View Full Record in Web of Science")</f>
        <v>View Full Record in Web of Science</v>
      </c>
    </row>
    <row r="885" ht="12.75" customHeight="1">
      <c r="A885" s="13" t="s">
        <v>5508</v>
      </c>
      <c r="B885" s="13" t="s">
        <v>21107</v>
      </c>
      <c r="C885" s="13" t="s">
        <v>5510</v>
      </c>
      <c r="D885" s="13" t="s">
        <v>5510</v>
      </c>
      <c r="E885" s="13" t="s">
        <v>5510</v>
      </c>
      <c r="F885" s="13" t="s">
        <v>21108</v>
      </c>
      <c r="G885" s="13" t="s">
        <v>5510</v>
      </c>
      <c r="H885" s="13" t="s">
        <v>5510</v>
      </c>
      <c r="I885" s="13" t="s">
        <v>214</v>
      </c>
      <c r="J885" s="13" t="s">
        <v>21109</v>
      </c>
      <c r="K885" s="13" t="s">
        <v>5510</v>
      </c>
      <c r="L885" s="13" t="s">
        <v>5510</v>
      </c>
      <c r="M885" s="13" t="s">
        <v>5513</v>
      </c>
      <c r="N885" s="13" t="s">
        <v>21110</v>
      </c>
      <c r="O885" s="13" t="s">
        <v>5510</v>
      </c>
      <c r="P885" s="13" t="s">
        <v>5510</v>
      </c>
      <c r="Q885" s="13" t="s">
        <v>5510</v>
      </c>
      <c r="R885" s="13" t="s">
        <v>5510</v>
      </c>
      <c r="S885" s="13" t="s">
        <v>5510</v>
      </c>
      <c r="T885" s="13" t="s">
        <v>5510</v>
      </c>
      <c r="U885" s="13" t="s">
        <v>21111</v>
      </c>
      <c r="V885" s="13" t="s">
        <v>21112</v>
      </c>
      <c r="W885" s="13" t="s">
        <v>21113</v>
      </c>
      <c r="X885" s="13" t="s">
        <v>21114</v>
      </c>
      <c r="Y885" s="13" t="s">
        <v>21115</v>
      </c>
      <c r="Z885" s="13" t="s">
        <v>21116</v>
      </c>
      <c r="AA885" s="13" t="s">
        <v>21117</v>
      </c>
      <c r="AB885" s="13" t="s">
        <v>21118</v>
      </c>
      <c r="AC885" s="13" t="s">
        <v>21119</v>
      </c>
      <c r="AD885" s="13" t="s">
        <v>21120</v>
      </c>
      <c r="AE885" s="13" t="s">
        <v>21121</v>
      </c>
      <c r="AF885" s="13" t="s">
        <v>5510</v>
      </c>
      <c r="AG885" s="13">
        <v>69.0</v>
      </c>
      <c r="AH885" s="13">
        <v>7.0</v>
      </c>
      <c r="AI885" s="13">
        <v>9.0</v>
      </c>
      <c r="AJ885" s="13">
        <v>2.0</v>
      </c>
      <c r="AK885" s="13">
        <v>20.0</v>
      </c>
      <c r="AL885" s="13" t="s">
        <v>8807</v>
      </c>
      <c r="AM885" s="13" t="s">
        <v>8808</v>
      </c>
      <c r="AN885" s="13" t="s">
        <v>8809</v>
      </c>
      <c r="AO885" s="13" t="s">
        <v>5510</v>
      </c>
      <c r="AP885" s="13" t="s">
        <v>21122</v>
      </c>
      <c r="AQ885" s="13" t="s">
        <v>5510</v>
      </c>
      <c r="AR885" s="13" t="s">
        <v>21123</v>
      </c>
      <c r="AS885" s="13" t="s">
        <v>21124</v>
      </c>
      <c r="AT885" s="13" t="s">
        <v>21125</v>
      </c>
      <c r="AU885" s="13">
        <v>2019.0</v>
      </c>
      <c r="AV885" s="13">
        <v>6.0</v>
      </c>
      <c r="AW885" s="13" t="s">
        <v>5510</v>
      </c>
      <c r="AX885" s="13" t="s">
        <v>5510</v>
      </c>
      <c r="AY885" s="13" t="s">
        <v>5510</v>
      </c>
      <c r="AZ885" s="13" t="s">
        <v>5510</v>
      </c>
      <c r="BA885" s="13" t="s">
        <v>5510</v>
      </c>
      <c r="BB885" s="13" t="s">
        <v>5510</v>
      </c>
      <c r="BC885" s="13" t="s">
        <v>5510</v>
      </c>
      <c r="BD885" s="13">
        <v>93.0</v>
      </c>
      <c r="BE885" s="13" t="s">
        <v>21126</v>
      </c>
      <c r="BF885" s="52" t="str">
        <f>HYPERLINK("http://dx.doi.org/10.1038/s41597-019-0093-7","http://dx.doi.org/10.1038/s41597-019-0093-7")</f>
        <v>http://dx.doi.org/10.1038/s41597-019-0093-7</v>
      </c>
      <c r="BG885" s="13" t="s">
        <v>5510</v>
      </c>
      <c r="BH885" s="13" t="s">
        <v>5510</v>
      </c>
      <c r="BI885" s="13">
        <v>12.0</v>
      </c>
      <c r="BJ885" s="13" t="s">
        <v>5560</v>
      </c>
      <c r="BK885" s="13" t="s">
        <v>5561</v>
      </c>
      <c r="BL885" s="13" t="s">
        <v>5562</v>
      </c>
      <c r="BM885" s="13" t="s">
        <v>21127</v>
      </c>
      <c r="BN885" s="13">
        <v>3.1209221E7</v>
      </c>
      <c r="BO885" s="13" t="s">
        <v>5564</v>
      </c>
      <c r="BP885" s="13" t="s">
        <v>5510</v>
      </c>
      <c r="BQ885" s="13" t="s">
        <v>5510</v>
      </c>
      <c r="BR885" s="13" t="s">
        <v>5538</v>
      </c>
      <c r="BS885" s="13" t="s">
        <v>21128</v>
      </c>
      <c r="BT885" s="13">
        <v>24404.0</v>
      </c>
      <c r="BU885" s="13" t="s">
        <v>5540</v>
      </c>
      <c r="BV885" s="13" t="s">
        <v>4886</v>
      </c>
      <c r="BW885" s="13" t="str">
        <f>VLOOKUP($BT885,Enriched!$A$2:$E$1070,5,false)</f>
        <v>["Transportation &amp; Service Corridors"]</v>
      </c>
      <c r="BX885" s="13" t="str">
        <f>VLOOKUP($BT885,Enriched!$A$2:$E$1070,4,false)</f>
        <v>["Roads &amp; railroads"]</v>
      </c>
      <c r="BY885" s="13" t="b">
        <f>VLOOKUP(BT885,Enriched!$A$1:$AA$1070,27,falsE)</f>
        <v>0</v>
      </c>
      <c r="BZ885" s="2" t="str">
        <f>VLOOKUP(BT885,Enriched!$A$1:$AA$1070,14,falsE)</f>
        <v>level2</v>
      </c>
      <c r="CA885" s="13" t="str">
        <f>HYPERLINK("https%3A%2F%2Fwww.webofscience.com%2Fwos%2Fwoscc%2Ffull-record%2FWOS:000472446000001","View Full Record in Web of Science")</f>
        <v>View Full Record in Web of Science</v>
      </c>
    </row>
    <row r="886" ht="12.75" customHeight="1">
      <c r="A886" s="13" t="s">
        <v>5508</v>
      </c>
      <c r="B886" s="13" t="s">
        <v>21129</v>
      </c>
      <c r="C886" s="13" t="s">
        <v>5510</v>
      </c>
      <c r="D886" s="13" t="s">
        <v>5510</v>
      </c>
      <c r="E886" s="13" t="s">
        <v>5510</v>
      </c>
      <c r="F886" s="13" t="s">
        <v>21130</v>
      </c>
      <c r="G886" s="13" t="s">
        <v>5510</v>
      </c>
      <c r="H886" s="13" t="s">
        <v>5510</v>
      </c>
      <c r="I886" s="13" t="s">
        <v>212</v>
      </c>
      <c r="J886" s="13" t="s">
        <v>5543</v>
      </c>
      <c r="K886" s="13" t="s">
        <v>5510</v>
      </c>
      <c r="L886" s="13" t="s">
        <v>5510</v>
      </c>
      <c r="M886" s="13" t="s">
        <v>5513</v>
      </c>
      <c r="N886" s="13" t="s">
        <v>5514</v>
      </c>
      <c r="O886" s="13" t="s">
        <v>5510</v>
      </c>
      <c r="P886" s="13" t="s">
        <v>5510</v>
      </c>
      <c r="Q886" s="13" t="s">
        <v>5510</v>
      </c>
      <c r="R886" s="13" t="s">
        <v>5510</v>
      </c>
      <c r="S886" s="13" t="s">
        <v>5510</v>
      </c>
      <c r="T886" s="13" t="s">
        <v>5510</v>
      </c>
      <c r="U886" s="13" t="s">
        <v>21131</v>
      </c>
      <c r="V886" s="13" t="s">
        <v>21132</v>
      </c>
      <c r="W886" s="13" t="s">
        <v>21133</v>
      </c>
      <c r="X886" s="13" t="s">
        <v>21134</v>
      </c>
      <c r="Y886" s="13" t="s">
        <v>21135</v>
      </c>
      <c r="Z886" s="13" t="s">
        <v>21136</v>
      </c>
      <c r="AA886" s="13" t="s">
        <v>21137</v>
      </c>
      <c r="AB886" s="13" t="s">
        <v>21138</v>
      </c>
      <c r="AC886" s="13" t="s">
        <v>21139</v>
      </c>
      <c r="AD886" s="13" t="s">
        <v>21140</v>
      </c>
      <c r="AE886" s="13" t="s">
        <v>21141</v>
      </c>
      <c r="AF886" s="13" t="s">
        <v>5510</v>
      </c>
      <c r="AG886" s="13">
        <v>44.0</v>
      </c>
      <c r="AH886" s="13">
        <v>46.0</v>
      </c>
      <c r="AI886" s="13">
        <v>48.0</v>
      </c>
      <c r="AJ886" s="13">
        <v>3.0</v>
      </c>
      <c r="AK886" s="13">
        <v>28.0</v>
      </c>
      <c r="AL886" s="13" t="s">
        <v>5552</v>
      </c>
      <c r="AM886" s="13" t="s">
        <v>5553</v>
      </c>
      <c r="AN886" s="13" t="s">
        <v>5554</v>
      </c>
      <c r="AO886" s="13" t="s">
        <v>5555</v>
      </c>
      <c r="AP886" s="13" t="s">
        <v>5510</v>
      </c>
      <c r="AQ886" s="13" t="s">
        <v>5510</v>
      </c>
      <c r="AR886" s="13" t="s">
        <v>5543</v>
      </c>
      <c r="AS886" s="13" t="s">
        <v>5556</v>
      </c>
      <c r="AT886" s="13" t="s">
        <v>6068</v>
      </c>
      <c r="AU886" s="13">
        <v>2017.0</v>
      </c>
      <c r="AV886" s="13">
        <v>12.0</v>
      </c>
      <c r="AW886" s="13">
        <v>6.0</v>
      </c>
      <c r="AX886" s="13" t="s">
        <v>5510</v>
      </c>
      <c r="AY886" s="13" t="s">
        <v>5510</v>
      </c>
      <c r="AZ886" s="13" t="s">
        <v>5510</v>
      </c>
      <c r="BA886" s="13" t="s">
        <v>5510</v>
      </c>
      <c r="BB886" s="13" t="s">
        <v>5510</v>
      </c>
      <c r="BC886" s="13" t="s">
        <v>5510</v>
      </c>
      <c r="BD886" s="13" t="s">
        <v>21142</v>
      </c>
      <c r="BE886" s="13" t="s">
        <v>21143</v>
      </c>
      <c r="BF886" s="52" t="str">
        <f>HYPERLINK("http://dx.doi.org/10.1371/journal.pone.0179686","http://dx.doi.org/10.1371/journal.pone.0179686")</f>
        <v>http://dx.doi.org/10.1371/journal.pone.0179686</v>
      </c>
      <c r="BG886" s="13" t="s">
        <v>5510</v>
      </c>
      <c r="BH886" s="13" t="s">
        <v>5510</v>
      </c>
      <c r="BI886" s="13">
        <v>15.0</v>
      </c>
      <c r="BJ886" s="13" t="s">
        <v>5560</v>
      </c>
      <c r="BK886" s="13" t="s">
        <v>5561</v>
      </c>
      <c r="BL886" s="13" t="s">
        <v>5562</v>
      </c>
      <c r="BM886" s="13" t="s">
        <v>21144</v>
      </c>
      <c r="BN886" s="13">
        <v>2.8644882E7</v>
      </c>
      <c r="BO886" s="13" t="s">
        <v>5564</v>
      </c>
      <c r="BP886" s="13" t="s">
        <v>5510</v>
      </c>
      <c r="BQ886" s="13" t="s">
        <v>5510</v>
      </c>
      <c r="BR886" s="13" t="s">
        <v>5538</v>
      </c>
      <c r="BS886" s="13" t="s">
        <v>21145</v>
      </c>
      <c r="BT886" s="13">
        <v>25114.0</v>
      </c>
      <c r="BU886" s="13" t="s">
        <v>5540</v>
      </c>
      <c r="BV886" s="13" t="s">
        <v>4864</v>
      </c>
      <c r="BW886" s="13" t="str">
        <f>VLOOKUP($BT886,Enriched!$A$2:$E$1070,5,false)</f>
        <v>["Transportation &amp; Service Corridors"]</v>
      </c>
      <c r="BX886" s="13" t="str">
        <f>VLOOKUP($BT886,Enriched!$A$2:$E$1070,4,false)</f>
        <v>["Shipping lanes"]</v>
      </c>
      <c r="BY886" s="13" t="b">
        <f>VLOOKUP(BT886,Enriched!$A$1:$AA$1070,27,falsE)</f>
        <v>0</v>
      </c>
      <c r="BZ886" s="2" t="str">
        <f>VLOOKUP(BT886,Enriched!$A$1:$AA$1070,14,falsE)</f>
        <v>level2</v>
      </c>
      <c r="CA886" s="13" t="str">
        <f>HYPERLINK("https%3A%2F%2Fwww.webofscience.com%2Fwos%2Fwoscc%2Ffull-record%2FWOS:000404145100034","View Full Record in Web of Science")</f>
        <v>View Full Record in Web of Science</v>
      </c>
    </row>
    <row r="887" ht="12.75" customHeight="1">
      <c r="A887" s="13" t="s">
        <v>5508</v>
      </c>
      <c r="B887" s="13" t="s">
        <v>21146</v>
      </c>
      <c r="C887" s="13" t="s">
        <v>5510</v>
      </c>
      <c r="D887" s="13" t="s">
        <v>5510</v>
      </c>
      <c r="E887" s="13" t="s">
        <v>5510</v>
      </c>
      <c r="F887" s="13" t="s">
        <v>21147</v>
      </c>
      <c r="G887" s="13" t="s">
        <v>5510</v>
      </c>
      <c r="H887" s="13" t="s">
        <v>5510</v>
      </c>
      <c r="I887" s="13" t="s">
        <v>209</v>
      </c>
      <c r="J887" s="13" t="s">
        <v>12220</v>
      </c>
      <c r="K887" s="13" t="s">
        <v>5510</v>
      </c>
      <c r="L887" s="13" t="s">
        <v>5510</v>
      </c>
      <c r="M887" s="13" t="s">
        <v>5513</v>
      </c>
      <c r="N887" s="13" t="s">
        <v>5514</v>
      </c>
      <c r="O887" s="13" t="s">
        <v>5510</v>
      </c>
      <c r="P887" s="13" t="s">
        <v>5510</v>
      </c>
      <c r="Q887" s="13" t="s">
        <v>5510</v>
      </c>
      <c r="R887" s="13" t="s">
        <v>5510</v>
      </c>
      <c r="S887" s="13" t="s">
        <v>5510</v>
      </c>
      <c r="T887" s="13" t="s">
        <v>21148</v>
      </c>
      <c r="U887" s="13" t="s">
        <v>21149</v>
      </c>
      <c r="V887" s="13" t="s">
        <v>21150</v>
      </c>
      <c r="W887" s="13" t="s">
        <v>21151</v>
      </c>
      <c r="X887" s="13" t="s">
        <v>21152</v>
      </c>
      <c r="Y887" s="13" t="s">
        <v>21153</v>
      </c>
      <c r="Z887" s="13" t="s">
        <v>21154</v>
      </c>
      <c r="AA887" s="13" t="s">
        <v>5510</v>
      </c>
      <c r="AB887" s="13" t="s">
        <v>21155</v>
      </c>
      <c r="AC887" s="13" t="s">
        <v>21156</v>
      </c>
      <c r="AD887" s="13" t="s">
        <v>21156</v>
      </c>
      <c r="AE887" s="13" t="s">
        <v>21157</v>
      </c>
      <c r="AF887" s="13" t="s">
        <v>5510</v>
      </c>
      <c r="AG887" s="13">
        <v>53.0</v>
      </c>
      <c r="AH887" s="13">
        <v>33.0</v>
      </c>
      <c r="AI887" s="13">
        <v>35.0</v>
      </c>
      <c r="AJ887" s="13">
        <v>0.0</v>
      </c>
      <c r="AK887" s="13">
        <v>75.0</v>
      </c>
      <c r="AL887" s="13" t="s">
        <v>5931</v>
      </c>
      <c r="AM887" s="13" t="s">
        <v>5932</v>
      </c>
      <c r="AN887" s="13" t="s">
        <v>5933</v>
      </c>
      <c r="AO887" s="13" t="s">
        <v>12233</v>
      </c>
      <c r="AP887" s="13" t="s">
        <v>12234</v>
      </c>
      <c r="AQ887" s="13" t="s">
        <v>5510</v>
      </c>
      <c r="AR887" s="13" t="s">
        <v>12235</v>
      </c>
      <c r="AS887" s="13" t="s">
        <v>12236</v>
      </c>
      <c r="AT887" s="13" t="s">
        <v>5866</v>
      </c>
      <c r="AU887" s="13">
        <v>2013.0</v>
      </c>
      <c r="AV887" s="13">
        <v>86.0</v>
      </c>
      <c r="AW887" s="13" t="s">
        <v>5510</v>
      </c>
      <c r="AX887" s="13" t="s">
        <v>5510</v>
      </c>
      <c r="AY887" s="13" t="s">
        <v>5510</v>
      </c>
      <c r="AZ887" s="13" t="s">
        <v>5510</v>
      </c>
      <c r="BA887" s="13" t="s">
        <v>5510</v>
      </c>
      <c r="BB887" s="13">
        <v>56.0</v>
      </c>
      <c r="BC887" s="13">
        <v>69.0</v>
      </c>
      <c r="BD887" s="13" t="s">
        <v>5510</v>
      </c>
      <c r="BE887" s="13" t="s">
        <v>21158</v>
      </c>
      <c r="BF887" s="52" t="str">
        <f>HYPERLINK("http://dx.doi.org/10.1016/j.marenvres.2013.02.013","http://dx.doi.org/10.1016/j.marenvres.2013.02.013")</f>
        <v>http://dx.doi.org/10.1016/j.marenvres.2013.02.013</v>
      </c>
      <c r="BG887" s="13" t="s">
        <v>5510</v>
      </c>
      <c r="BH887" s="13" t="s">
        <v>5510</v>
      </c>
      <c r="BI887" s="13">
        <v>14.0</v>
      </c>
      <c r="BJ887" s="13" t="s">
        <v>12238</v>
      </c>
      <c r="BK887" s="13" t="s">
        <v>5561</v>
      </c>
      <c r="BL887" s="13" t="s">
        <v>12239</v>
      </c>
      <c r="BM887" s="13" t="s">
        <v>21159</v>
      </c>
      <c r="BN887" s="13">
        <v>2.3535014E7</v>
      </c>
      <c r="BO887" s="13" t="s">
        <v>5510</v>
      </c>
      <c r="BP887" s="13" t="s">
        <v>5510</v>
      </c>
      <c r="BQ887" s="13" t="s">
        <v>5510</v>
      </c>
      <c r="BR887" s="13" t="s">
        <v>5538</v>
      </c>
      <c r="BS887" s="13" t="s">
        <v>21160</v>
      </c>
      <c r="BT887" s="13">
        <v>24038.0</v>
      </c>
      <c r="BU887" s="13" t="s">
        <v>5540</v>
      </c>
      <c r="BV887" s="13" t="s">
        <v>4864</v>
      </c>
      <c r="BW887" s="13" t="str">
        <f>VLOOKUP($BT887,Enriched!$A$2:$E$1070,5,false)</f>
        <v>["Energy Production &amp; Mining", "Biological Resource Use"]</v>
      </c>
      <c r="BX887" s="13" t="str">
        <f>VLOOKUP($BT887,Enriched!$A$2:$E$1070,4,false)</f>
        <v>["Mining &amp; quarrying", "Renewable energy", "Fishing &amp; harvesting aquatic resources"]</v>
      </c>
      <c r="BY887" s="13" t="b">
        <f>VLOOKUP(BT887,Enriched!$A$1:$AA$1070,27,falsE)</f>
        <v>0</v>
      </c>
      <c r="BZ887" s="2" t="str">
        <f>VLOOKUP(BT887,Enriched!$A$1:$AA$1070,14,falsE)</f>
        <v>level2</v>
      </c>
      <c r="CA887" s="13" t="str">
        <f>HYPERLINK("https%3A%2F%2Fwww.webofscience.com%2Fwos%2Fwoscc%2Ffull-record%2FWOS:000318138500007","View Full Record in Web of Science")</f>
        <v>View Full Record in Web of Science</v>
      </c>
    </row>
    <row r="888" ht="12.75" customHeight="1">
      <c r="A888" s="13" t="s">
        <v>5508</v>
      </c>
      <c r="B888" s="13" t="s">
        <v>21161</v>
      </c>
      <c r="C888" s="13" t="s">
        <v>5510</v>
      </c>
      <c r="D888" s="13" t="s">
        <v>5510</v>
      </c>
      <c r="E888" s="13" t="s">
        <v>5510</v>
      </c>
      <c r="F888" s="13" t="s">
        <v>21162</v>
      </c>
      <c r="G888" s="13" t="s">
        <v>5510</v>
      </c>
      <c r="H888" s="13" t="s">
        <v>5510</v>
      </c>
      <c r="I888" s="13" t="s">
        <v>21163</v>
      </c>
      <c r="J888" s="13" t="s">
        <v>21164</v>
      </c>
      <c r="K888" s="13" t="s">
        <v>5510</v>
      </c>
      <c r="L888" s="13" t="s">
        <v>5510</v>
      </c>
      <c r="M888" s="13" t="s">
        <v>5513</v>
      </c>
      <c r="N888" s="13" t="s">
        <v>5514</v>
      </c>
      <c r="O888" s="13" t="s">
        <v>5510</v>
      </c>
      <c r="P888" s="13" t="s">
        <v>5510</v>
      </c>
      <c r="Q888" s="13" t="s">
        <v>5510</v>
      </c>
      <c r="R888" s="13" t="s">
        <v>5510</v>
      </c>
      <c r="S888" s="13" t="s">
        <v>5510</v>
      </c>
      <c r="T888" s="13" t="s">
        <v>21165</v>
      </c>
      <c r="U888" s="13" t="s">
        <v>21166</v>
      </c>
      <c r="V888" s="13" t="s">
        <v>21167</v>
      </c>
      <c r="W888" s="13" t="s">
        <v>21168</v>
      </c>
      <c r="X888" s="13" t="s">
        <v>21169</v>
      </c>
      <c r="Y888" s="13" t="s">
        <v>21170</v>
      </c>
      <c r="Z888" s="13" t="s">
        <v>21171</v>
      </c>
      <c r="AA888" s="13" t="s">
        <v>6063</v>
      </c>
      <c r="AB888" s="13" t="s">
        <v>5510</v>
      </c>
      <c r="AC888" s="13" t="s">
        <v>21172</v>
      </c>
      <c r="AD888" s="13" t="s">
        <v>21173</v>
      </c>
      <c r="AE888" s="13" t="s">
        <v>21174</v>
      </c>
      <c r="AF888" s="13" t="s">
        <v>5510</v>
      </c>
      <c r="AG888" s="13">
        <v>54.0</v>
      </c>
      <c r="AH888" s="13">
        <v>16.0</v>
      </c>
      <c r="AI888" s="13">
        <v>18.0</v>
      </c>
      <c r="AJ888" s="13">
        <v>1.0</v>
      </c>
      <c r="AK888" s="13">
        <v>5.0</v>
      </c>
      <c r="AL888" s="13" t="s">
        <v>21175</v>
      </c>
      <c r="AM888" s="13" t="s">
        <v>21176</v>
      </c>
      <c r="AN888" s="13" t="s">
        <v>21177</v>
      </c>
      <c r="AO888" s="13" t="s">
        <v>21178</v>
      </c>
      <c r="AP888" s="13" t="s">
        <v>21179</v>
      </c>
      <c r="AQ888" s="13" t="s">
        <v>5510</v>
      </c>
      <c r="AR888" s="13" t="s">
        <v>21180</v>
      </c>
      <c r="AS888" s="13" t="s">
        <v>21181</v>
      </c>
      <c r="AT888" s="13" t="s">
        <v>5720</v>
      </c>
      <c r="AU888" s="13">
        <v>2020.0</v>
      </c>
      <c r="AV888" s="13">
        <v>54.0</v>
      </c>
      <c r="AW888" s="13">
        <v>2.0</v>
      </c>
      <c r="AX888" s="13" t="s">
        <v>5510</v>
      </c>
      <c r="AY888" s="13" t="s">
        <v>5510</v>
      </c>
      <c r="AZ888" s="13" t="s">
        <v>5510</v>
      </c>
      <c r="BA888" s="13" t="s">
        <v>5510</v>
      </c>
      <c r="BB888" s="13">
        <v>110.0</v>
      </c>
      <c r="BC888" s="13">
        <v>125.0</v>
      </c>
      <c r="BD888" s="13" t="s">
        <v>5510</v>
      </c>
      <c r="BE888" s="13" t="s">
        <v>21182</v>
      </c>
      <c r="BF888" s="52" t="str">
        <f>HYPERLINK("http://dx.doi.org/10.3356/0892-1016-54.2.110","http://dx.doi.org/10.3356/0892-1016-54.2.110")</f>
        <v>http://dx.doi.org/10.3356/0892-1016-54.2.110</v>
      </c>
      <c r="BG888" s="13" t="s">
        <v>5510</v>
      </c>
      <c r="BH888" s="13" t="s">
        <v>5510</v>
      </c>
      <c r="BI888" s="13">
        <v>16.0</v>
      </c>
      <c r="BJ888" s="13" t="s">
        <v>7513</v>
      </c>
      <c r="BK888" s="13" t="s">
        <v>5561</v>
      </c>
      <c r="BL888" s="13" t="s">
        <v>6899</v>
      </c>
      <c r="BM888" s="13" t="s">
        <v>21183</v>
      </c>
      <c r="BN888" s="13" t="s">
        <v>5510</v>
      </c>
      <c r="BO888" s="13" t="s">
        <v>5809</v>
      </c>
      <c r="BP888" s="13" t="s">
        <v>5510</v>
      </c>
      <c r="BQ888" s="13" t="s">
        <v>5510</v>
      </c>
      <c r="BR888" s="13" t="s">
        <v>5538</v>
      </c>
      <c r="BS888" s="13" t="s">
        <v>21184</v>
      </c>
      <c r="BT888" s="13">
        <v>23262.0</v>
      </c>
      <c r="BU888" s="13" t="s">
        <v>5540</v>
      </c>
      <c r="BV888" s="13" t="s">
        <v>4856</v>
      </c>
      <c r="BW888" s="13" t="str">
        <f>VLOOKUP($BT888,Enriched!$A$2:$E$1070,5,false)</f>
        <v>["Transportation &amp; Service Corridors"]</v>
      </c>
      <c r="BX888" s="13" t="str">
        <f>VLOOKUP($BT888,Enriched!$A$2:$E$1070,4,false)</f>
        <v>["Utility &amp; service lines"]</v>
      </c>
      <c r="BY888" s="13" t="b">
        <f>VLOOKUP(BT888,Enriched!$A$1:$AA$1070,27,falsE)</f>
        <v>0</v>
      </c>
      <c r="BZ888" s="2" t="str">
        <f>VLOOKUP(BT888,Enriched!$A$1:$AA$1070,14,falsE)</f>
        <v>level2</v>
      </c>
      <c r="CA888" s="13" t="str">
        <f>HYPERLINK("https%3A%2F%2Fwww.webofscience.com%2Fwos%2Fwoscc%2Ffull-record%2FWOS:000537022100003","View Full Record in Web of Science")</f>
        <v>View Full Record in Web of Science</v>
      </c>
    </row>
    <row r="889" ht="12.75" customHeight="1">
      <c r="A889" s="13" t="s">
        <v>5508</v>
      </c>
      <c r="B889" s="13" t="s">
        <v>21185</v>
      </c>
      <c r="C889" s="13" t="s">
        <v>5510</v>
      </c>
      <c r="D889" s="13" t="s">
        <v>5510</v>
      </c>
      <c r="E889" s="13" t="s">
        <v>5510</v>
      </c>
      <c r="F889" s="13" t="s">
        <v>21186</v>
      </c>
      <c r="G889" s="13" t="s">
        <v>5510</v>
      </c>
      <c r="H889" s="13" t="s">
        <v>5510</v>
      </c>
      <c r="I889" s="13" t="s">
        <v>198</v>
      </c>
      <c r="J889" s="13" t="s">
        <v>5919</v>
      </c>
      <c r="K889" s="13" t="s">
        <v>5510</v>
      </c>
      <c r="L889" s="13" t="s">
        <v>5510</v>
      </c>
      <c r="M889" s="13" t="s">
        <v>5513</v>
      </c>
      <c r="N889" s="13" t="s">
        <v>5514</v>
      </c>
      <c r="O889" s="13" t="s">
        <v>5510</v>
      </c>
      <c r="P889" s="13" t="s">
        <v>5510</v>
      </c>
      <c r="Q889" s="13" t="s">
        <v>5510</v>
      </c>
      <c r="R889" s="13" t="s">
        <v>5510</v>
      </c>
      <c r="S889" s="13" t="s">
        <v>5510</v>
      </c>
      <c r="T889" s="13" t="s">
        <v>21187</v>
      </c>
      <c r="U889" s="13" t="s">
        <v>21188</v>
      </c>
      <c r="V889" s="13" t="s">
        <v>21189</v>
      </c>
      <c r="W889" s="13" t="s">
        <v>21190</v>
      </c>
      <c r="X889" s="13" t="s">
        <v>21191</v>
      </c>
      <c r="Y889" s="13" t="s">
        <v>21192</v>
      </c>
      <c r="Z889" s="13" t="s">
        <v>21193</v>
      </c>
      <c r="AA889" s="13" t="s">
        <v>21194</v>
      </c>
      <c r="AB889" s="13" t="s">
        <v>21195</v>
      </c>
      <c r="AC889" s="13" t="s">
        <v>21196</v>
      </c>
      <c r="AD889" s="13" t="s">
        <v>21197</v>
      </c>
      <c r="AE889" s="13" t="s">
        <v>21198</v>
      </c>
      <c r="AF889" s="13" t="s">
        <v>5510</v>
      </c>
      <c r="AG889" s="13">
        <v>54.0</v>
      </c>
      <c r="AH889" s="13">
        <v>32.0</v>
      </c>
      <c r="AI889" s="13">
        <v>37.0</v>
      </c>
      <c r="AJ889" s="13">
        <v>2.0</v>
      </c>
      <c r="AK889" s="13">
        <v>58.0</v>
      </c>
      <c r="AL889" s="13" t="s">
        <v>5931</v>
      </c>
      <c r="AM889" s="13" t="s">
        <v>5932</v>
      </c>
      <c r="AN889" s="13" t="s">
        <v>5933</v>
      </c>
      <c r="AO889" s="13" t="s">
        <v>5934</v>
      </c>
      <c r="AP889" s="13" t="s">
        <v>5935</v>
      </c>
      <c r="AQ889" s="13" t="s">
        <v>5510</v>
      </c>
      <c r="AR889" s="13" t="s">
        <v>5936</v>
      </c>
      <c r="AS889" s="13" t="s">
        <v>5937</v>
      </c>
      <c r="AT889" s="13" t="s">
        <v>2738</v>
      </c>
      <c r="AU889" s="13">
        <v>2014.0</v>
      </c>
      <c r="AV889" s="13">
        <v>170.0</v>
      </c>
      <c r="AW889" s="13" t="s">
        <v>5510</v>
      </c>
      <c r="AX889" s="13" t="s">
        <v>5510</v>
      </c>
      <c r="AY889" s="13" t="s">
        <v>5510</v>
      </c>
      <c r="AZ889" s="13" t="s">
        <v>5510</v>
      </c>
      <c r="BA889" s="13" t="s">
        <v>5510</v>
      </c>
      <c r="BB889" s="13">
        <v>256.0</v>
      </c>
      <c r="BC889" s="13">
        <v>263.0</v>
      </c>
      <c r="BD889" s="13" t="s">
        <v>5510</v>
      </c>
      <c r="BE889" s="13" t="s">
        <v>21199</v>
      </c>
      <c r="BF889" s="52" t="str">
        <f>HYPERLINK("http://dx.doi.org/10.1016/j.biocon.2013.12.026","http://dx.doi.org/10.1016/j.biocon.2013.12.026")</f>
        <v>http://dx.doi.org/10.1016/j.biocon.2013.12.026</v>
      </c>
      <c r="BG889" s="13" t="s">
        <v>5510</v>
      </c>
      <c r="BH889" s="13" t="s">
        <v>5510</v>
      </c>
      <c r="BI889" s="13">
        <v>8.0</v>
      </c>
      <c r="BJ889" s="13" t="s">
        <v>5698</v>
      </c>
      <c r="BK889" s="13" t="s">
        <v>5561</v>
      </c>
      <c r="BL889" s="13" t="s">
        <v>5699</v>
      </c>
      <c r="BM889" s="13" t="s">
        <v>16798</v>
      </c>
      <c r="BN889" s="13" t="s">
        <v>5510</v>
      </c>
      <c r="BO889" s="13" t="s">
        <v>5510</v>
      </c>
      <c r="BP889" s="13" t="s">
        <v>5510</v>
      </c>
      <c r="BQ889" s="13" t="s">
        <v>5510</v>
      </c>
      <c r="BR889" s="13" t="s">
        <v>5538</v>
      </c>
      <c r="BS889" s="13" t="s">
        <v>21200</v>
      </c>
      <c r="BT889" s="13">
        <v>25588.0</v>
      </c>
      <c r="BU889" s="13" t="s">
        <v>5540</v>
      </c>
      <c r="BV889" s="13" t="s">
        <v>4856</v>
      </c>
      <c r="BW889" s="13" t="str">
        <f>VLOOKUP($BT889,Enriched!$A$2:$E$1070,5,false)</f>
        <v>["Transportation &amp; Service Corridors"]</v>
      </c>
      <c r="BX889" s="13" t="str">
        <f>VLOOKUP($BT889,Enriched!$A$2:$E$1070,4,false)</f>
        <v>["Utility &amp; service lines"]</v>
      </c>
      <c r="BY889" s="13" t="b">
        <f>VLOOKUP(BT889,Enriched!$A$1:$AA$1070,27,falsE)</f>
        <v>0</v>
      </c>
      <c r="BZ889" s="2" t="str">
        <f>VLOOKUP(BT889,Enriched!$A$1:$AA$1070,14,falsE)</f>
        <v>level2</v>
      </c>
      <c r="CA889" s="13" t="str">
        <f>HYPERLINK("https%3A%2F%2Fwww.webofscience.com%2Fwos%2Fwoscc%2Ffull-record%2FWOS:000333774500029","View Full Record in Web of Science")</f>
        <v>View Full Record in Web of Science</v>
      </c>
    </row>
    <row r="890" ht="12.75" customHeight="1">
      <c r="A890" s="13" t="s">
        <v>5508</v>
      </c>
      <c r="B890" s="13" t="s">
        <v>21201</v>
      </c>
      <c r="C890" s="13" t="s">
        <v>5510</v>
      </c>
      <c r="D890" s="13" t="s">
        <v>5510</v>
      </c>
      <c r="E890" s="13" t="s">
        <v>5510</v>
      </c>
      <c r="F890" s="13" t="s">
        <v>21202</v>
      </c>
      <c r="G890" s="13" t="s">
        <v>5510</v>
      </c>
      <c r="H890" s="13" t="s">
        <v>5510</v>
      </c>
      <c r="I890" s="13" t="s">
        <v>194</v>
      </c>
      <c r="J890" s="13" t="s">
        <v>12220</v>
      </c>
      <c r="K890" s="13" t="s">
        <v>5510</v>
      </c>
      <c r="L890" s="13" t="s">
        <v>5510</v>
      </c>
      <c r="M890" s="13" t="s">
        <v>5513</v>
      </c>
      <c r="N890" s="13" t="s">
        <v>5514</v>
      </c>
      <c r="O890" s="13" t="s">
        <v>5510</v>
      </c>
      <c r="P890" s="13" t="s">
        <v>5510</v>
      </c>
      <c r="Q890" s="13" t="s">
        <v>5510</v>
      </c>
      <c r="R890" s="13" t="s">
        <v>5510</v>
      </c>
      <c r="S890" s="13" t="s">
        <v>5510</v>
      </c>
      <c r="T890" s="13" t="s">
        <v>21203</v>
      </c>
      <c r="U890" s="13" t="s">
        <v>21204</v>
      </c>
      <c r="V890" s="13" t="s">
        <v>21205</v>
      </c>
      <c r="W890" s="13" t="s">
        <v>21206</v>
      </c>
      <c r="X890" s="13" t="s">
        <v>21207</v>
      </c>
      <c r="Y890" s="13" t="s">
        <v>21208</v>
      </c>
      <c r="Z890" s="13" t="s">
        <v>21209</v>
      </c>
      <c r="AA890" s="13" t="s">
        <v>21210</v>
      </c>
      <c r="AB890" s="13" t="s">
        <v>21211</v>
      </c>
      <c r="AC890" s="13" t="s">
        <v>5510</v>
      </c>
      <c r="AD890" s="13" t="s">
        <v>5510</v>
      </c>
      <c r="AE890" s="13" t="s">
        <v>5510</v>
      </c>
      <c r="AF890" s="13" t="s">
        <v>5510</v>
      </c>
      <c r="AG890" s="13">
        <v>84.0</v>
      </c>
      <c r="AH890" s="13">
        <v>13.0</v>
      </c>
      <c r="AI890" s="13">
        <v>15.0</v>
      </c>
      <c r="AJ890" s="13">
        <v>2.0</v>
      </c>
      <c r="AK890" s="13">
        <v>44.0</v>
      </c>
      <c r="AL890" s="13" t="s">
        <v>5931</v>
      </c>
      <c r="AM890" s="13" t="s">
        <v>5932</v>
      </c>
      <c r="AN890" s="13" t="s">
        <v>5933</v>
      </c>
      <c r="AO890" s="13" t="s">
        <v>12233</v>
      </c>
      <c r="AP890" s="13" t="s">
        <v>12234</v>
      </c>
      <c r="AQ890" s="13" t="s">
        <v>5510</v>
      </c>
      <c r="AR890" s="13" t="s">
        <v>12235</v>
      </c>
      <c r="AS890" s="13" t="s">
        <v>12236</v>
      </c>
      <c r="AT890" s="13" t="s">
        <v>1453</v>
      </c>
      <c r="AU890" s="13">
        <v>2018.0</v>
      </c>
      <c r="AV890" s="13">
        <v>142.0</v>
      </c>
      <c r="AW890" s="13" t="s">
        <v>5510</v>
      </c>
      <c r="AX890" s="13" t="s">
        <v>5510</v>
      </c>
      <c r="AY890" s="13" t="s">
        <v>5510</v>
      </c>
      <c r="AZ890" s="13" t="s">
        <v>5510</v>
      </c>
      <c r="BA890" s="13" t="s">
        <v>5510</v>
      </c>
      <c r="BB890" s="13">
        <v>190.0</v>
      </c>
      <c r="BC890" s="13">
        <v>207.0</v>
      </c>
      <c r="BD890" s="13" t="s">
        <v>5510</v>
      </c>
      <c r="BE890" s="13" t="s">
        <v>21212</v>
      </c>
      <c r="BF890" s="52" t="str">
        <f>HYPERLINK("http://dx.doi.org/10.1016/j.marenvres.2018.10.008","http://dx.doi.org/10.1016/j.marenvres.2018.10.008")</f>
        <v>http://dx.doi.org/10.1016/j.marenvres.2018.10.008</v>
      </c>
      <c r="BG890" s="13" t="s">
        <v>5510</v>
      </c>
      <c r="BH890" s="13" t="s">
        <v>5510</v>
      </c>
      <c r="BI890" s="13">
        <v>18.0</v>
      </c>
      <c r="BJ890" s="13" t="s">
        <v>12238</v>
      </c>
      <c r="BK890" s="13" t="s">
        <v>5561</v>
      </c>
      <c r="BL890" s="13" t="s">
        <v>12239</v>
      </c>
      <c r="BM890" s="13" t="s">
        <v>21213</v>
      </c>
      <c r="BN890" s="13">
        <v>3.0361105E7</v>
      </c>
      <c r="BO890" s="13" t="s">
        <v>5510</v>
      </c>
      <c r="BP890" s="13" t="s">
        <v>5510</v>
      </c>
      <c r="BQ890" s="13" t="s">
        <v>5510</v>
      </c>
      <c r="BR890" s="13" t="s">
        <v>5538</v>
      </c>
      <c r="BS890" s="13" t="s">
        <v>21214</v>
      </c>
      <c r="BT890" s="13">
        <v>24897.0</v>
      </c>
      <c r="BU890" s="13" t="s">
        <v>5540</v>
      </c>
      <c r="BV890" s="13" t="s">
        <v>4864</v>
      </c>
      <c r="BW890" s="13" t="str">
        <f>VLOOKUP($BT890,Enriched!$A$2:$E$1070,5,false)</f>
        <v>["Biological Resource Use", "Transportation &amp; Service Corridors", "Energy Production &amp; Mining", "Agriculture &amp; Aquaculture"]</v>
      </c>
      <c r="BX890" s="13" t="str">
        <f>VLOOKUP($BT890,Enriched!$A$2:$E$1070,4,false)</f>
        <v>["Fishing &amp; harvesting aquatic resources", "Shipping lanes", "Oil &amp; gas drilling", "Marine &amp; freshwater aquaculture", "Utility &amp; service lines"]</v>
      </c>
      <c r="BY890" s="13" t="b">
        <f>VLOOKUP(BT890,Enriched!$A$1:$AA$1070,27,falsE)</f>
        <v>0</v>
      </c>
      <c r="BZ890" s="2" t="str">
        <f>VLOOKUP(BT890,Enriched!$A$1:$AA$1070,14,falsE)</f>
        <v>level2</v>
      </c>
      <c r="CA890" s="13" t="str">
        <f>HYPERLINK("https%3A%2F%2Fwww.webofscience.com%2Fwos%2Fwoscc%2Ffull-record%2FWOS:000452943500021","View Full Record in Web of Science")</f>
        <v>View Full Record in Web of Science</v>
      </c>
    </row>
    <row r="891" ht="12.75" customHeight="1">
      <c r="A891" s="13" t="s">
        <v>5508</v>
      </c>
      <c r="B891" s="13" t="s">
        <v>21215</v>
      </c>
      <c r="C891" s="13" t="s">
        <v>5510</v>
      </c>
      <c r="D891" s="13" t="s">
        <v>5510</v>
      </c>
      <c r="E891" s="13" t="s">
        <v>5510</v>
      </c>
      <c r="F891" s="13" t="s">
        <v>21216</v>
      </c>
      <c r="G891" s="13" t="s">
        <v>5510</v>
      </c>
      <c r="H891" s="13" t="s">
        <v>5510</v>
      </c>
      <c r="I891" s="13" t="s">
        <v>191</v>
      </c>
      <c r="J891" s="13" t="s">
        <v>8418</v>
      </c>
      <c r="K891" s="13" t="s">
        <v>5510</v>
      </c>
      <c r="L891" s="13" t="s">
        <v>5510</v>
      </c>
      <c r="M891" s="13" t="s">
        <v>5513</v>
      </c>
      <c r="N891" s="13" t="s">
        <v>5514</v>
      </c>
      <c r="O891" s="13" t="s">
        <v>5510</v>
      </c>
      <c r="P891" s="13" t="s">
        <v>5510</v>
      </c>
      <c r="Q891" s="13" t="s">
        <v>5510</v>
      </c>
      <c r="R891" s="13" t="s">
        <v>5510</v>
      </c>
      <c r="S891" s="13" t="s">
        <v>5510</v>
      </c>
      <c r="T891" s="13" t="s">
        <v>21217</v>
      </c>
      <c r="U891" s="13" t="s">
        <v>21218</v>
      </c>
      <c r="V891" s="13" t="s">
        <v>21219</v>
      </c>
      <c r="W891" s="13" t="s">
        <v>21220</v>
      </c>
      <c r="X891" s="13" t="s">
        <v>5510</v>
      </c>
      <c r="Y891" s="13" t="s">
        <v>21221</v>
      </c>
      <c r="Z891" s="13" t="s">
        <v>21222</v>
      </c>
      <c r="AA891" s="13" t="s">
        <v>5510</v>
      </c>
      <c r="AB891" s="13" t="s">
        <v>5510</v>
      </c>
      <c r="AC891" s="13" t="s">
        <v>21223</v>
      </c>
      <c r="AD891" s="13" t="s">
        <v>21223</v>
      </c>
      <c r="AE891" s="13" t="s">
        <v>21224</v>
      </c>
      <c r="AF891" s="13" t="s">
        <v>5510</v>
      </c>
      <c r="AG891" s="13">
        <v>74.0</v>
      </c>
      <c r="AH891" s="13">
        <v>5.0</v>
      </c>
      <c r="AI891" s="13">
        <v>5.0</v>
      </c>
      <c r="AJ891" s="13">
        <v>0.0</v>
      </c>
      <c r="AK891" s="13">
        <v>38.0</v>
      </c>
      <c r="AL891" s="13" t="s">
        <v>5690</v>
      </c>
      <c r="AM891" s="13" t="s">
        <v>6503</v>
      </c>
      <c r="AN891" s="13" t="s">
        <v>6504</v>
      </c>
      <c r="AO891" s="13" t="s">
        <v>5510</v>
      </c>
      <c r="AP891" s="13" t="s">
        <v>8428</v>
      </c>
      <c r="AQ891" s="13" t="s">
        <v>5510</v>
      </c>
      <c r="AR891" s="13" t="s">
        <v>8429</v>
      </c>
      <c r="AS891" s="13" t="s">
        <v>8430</v>
      </c>
      <c r="AT891" s="13" t="s">
        <v>21225</v>
      </c>
      <c r="AU891" s="13">
        <v>2018.0</v>
      </c>
      <c r="AV891" s="13">
        <v>7.0</v>
      </c>
      <c r="AW891" s="13" t="s">
        <v>5510</v>
      </c>
      <c r="AX891" s="13" t="s">
        <v>5510</v>
      </c>
      <c r="AY891" s="13" t="s">
        <v>5510</v>
      </c>
      <c r="AZ891" s="13" t="s">
        <v>5510</v>
      </c>
      <c r="BA891" s="13" t="s">
        <v>5510</v>
      </c>
      <c r="BB891" s="13" t="s">
        <v>5510</v>
      </c>
      <c r="BC891" s="13" t="s">
        <v>5510</v>
      </c>
      <c r="BD891" s="13">
        <v>35.0</v>
      </c>
      <c r="BE891" s="13" t="s">
        <v>21226</v>
      </c>
      <c r="BF891" s="52" t="str">
        <f>HYPERLINK("http://dx.doi.org/10.1186/s13717-018-0146-4","http://dx.doi.org/10.1186/s13717-018-0146-4")</f>
        <v>http://dx.doi.org/10.1186/s13717-018-0146-4</v>
      </c>
      <c r="BG891" s="13" t="s">
        <v>5510</v>
      </c>
      <c r="BH891" s="13" t="s">
        <v>5510</v>
      </c>
      <c r="BI891" s="13">
        <v>17.0</v>
      </c>
      <c r="BJ891" s="13" t="s">
        <v>6026</v>
      </c>
      <c r="BK891" s="13" t="s">
        <v>5561</v>
      </c>
      <c r="BL891" s="13" t="s">
        <v>5535</v>
      </c>
      <c r="BM891" s="13" t="s">
        <v>21227</v>
      </c>
      <c r="BN891" s="13" t="s">
        <v>5510</v>
      </c>
      <c r="BO891" s="13" t="s">
        <v>5564</v>
      </c>
      <c r="BP891" s="13" t="s">
        <v>5510</v>
      </c>
      <c r="BQ891" s="13" t="s">
        <v>5510</v>
      </c>
      <c r="BR891" s="13" t="s">
        <v>5538</v>
      </c>
      <c r="BS891" s="13" t="s">
        <v>21228</v>
      </c>
      <c r="BT891" s="13">
        <v>24856.0</v>
      </c>
      <c r="BU891" s="13" t="s">
        <v>5540</v>
      </c>
      <c r="BV891" s="13" t="s">
        <v>4856</v>
      </c>
      <c r="BW891" s="13" t="str">
        <f>VLOOKUP($BT891,Enriched!$A$2:$E$1070,5,false)</f>
        <v>["Transportation &amp; Service Corridors", "Agriculture &amp; Aquaculture", "Residential &amp; Commercial Development"]</v>
      </c>
      <c r="BX891" s="13" t="str">
        <f>VLOOKUP($BT891,Enriched!$A$2:$E$1070,4,false)</f>
        <v>["Housing &amp; urban area", "Roads &amp; railroads", "Annual &amp; perennial non-timber crops", "Livestock farming &amp; ranching", "Commercial &amp; industrial areas"]</v>
      </c>
      <c r="BY891" s="13" t="b">
        <f>VLOOKUP(BT891,Enriched!$A$1:$AA$1070,27,falsE)</f>
        <v>0</v>
      </c>
      <c r="BZ891" s="2" t="str">
        <f>VLOOKUP(BT891,Enriched!$A$1:$AA$1070,14,falsE)</f>
        <v>level2</v>
      </c>
      <c r="CA891" s="13" t="str">
        <f>HYPERLINK("https%3A%2F%2Fwww.webofscience.com%2Fwos%2Fwoscc%2Ffull-record%2FWOS:000449377400001","View Full Record in Web of Science")</f>
        <v>View Full Record in Web of Science</v>
      </c>
    </row>
    <row r="892" ht="12.75" customHeight="1">
      <c r="A892" s="13" t="s">
        <v>5508</v>
      </c>
      <c r="B892" s="13" t="s">
        <v>21229</v>
      </c>
      <c r="C892" s="13" t="s">
        <v>5510</v>
      </c>
      <c r="D892" s="13" t="s">
        <v>5510</v>
      </c>
      <c r="E892" s="13" t="s">
        <v>5510</v>
      </c>
      <c r="F892" s="13" t="s">
        <v>21230</v>
      </c>
      <c r="G892" s="13" t="s">
        <v>5510</v>
      </c>
      <c r="H892" s="13" t="s">
        <v>5510</v>
      </c>
      <c r="I892" s="13" t="s">
        <v>188</v>
      </c>
      <c r="J892" s="13" t="s">
        <v>5849</v>
      </c>
      <c r="K892" s="13" t="s">
        <v>5510</v>
      </c>
      <c r="L892" s="13" t="s">
        <v>5510</v>
      </c>
      <c r="M892" s="13" t="s">
        <v>5513</v>
      </c>
      <c r="N892" s="13" t="s">
        <v>5514</v>
      </c>
      <c r="O892" s="13" t="s">
        <v>5510</v>
      </c>
      <c r="P892" s="13" t="s">
        <v>5510</v>
      </c>
      <c r="Q892" s="13" t="s">
        <v>5510</v>
      </c>
      <c r="R892" s="13" t="s">
        <v>5510</v>
      </c>
      <c r="S892" s="13" t="s">
        <v>5510</v>
      </c>
      <c r="T892" s="13" t="s">
        <v>21231</v>
      </c>
      <c r="U892" s="13" t="s">
        <v>21232</v>
      </c>
      <c r="V892" s="13" t="s">
        <v>21233</v>
      </c>
      <c r="W892" s="13" t="s">
        <v>21234</v>
      </c>
      <c r="X892" s="13" t="s">
        <v>21235</v>
      </c>
      <c r="Y892" s="13" t="s">
        <v>10251</v>
      </c>
      <c r="Z892" s="13" t="s">
        <v>10252</v>
      </c>
      <c r="AA892" s="13" t="s">
        <v>21236</v>
      </c>
      <c r="AB892" s="13" t="s">
        <v>21237</v>
      </c>
      <c r="AC892" s="13" t="s">
        <v>21238</v>
      </c>
      <c r="AD892" s="13" t="s">
        <v>21239</v>
      </c>
      <c r="AE892" s="13" t="s">
        <v>21240</v>
      </c>
      <c r="AF892" s="13" t="s">
        <v>5510</v>
      </c>
      <c r="AG892" s="13">
        <v>47.0</v>
      </c>
      <c r="AH892" s="13">
        <v>25.0</v>
      </c>
      <c r="AI892" s="13">
        <v>28.0</v>
      </c>
      <c r="AJ892" s="13">
        <v>1.0</v>
      </c>
      <c r="AK892" s="13">
        <v>49.0</v>
      </c>
      <c r="AL892" s="13" t="s">
        <v>21241</v>
      </c>
      <c r="AM892" s="13" t="s">
        <v>21242</v>
      </c>
      <c r="AN892" s="13" t="s">
        <v>21243</v>
      </c>
      <c r="AO892" s="13" t="s">
        <v>5862</v>
      </c>
      <c r="AP892" s="13" t="s">
        <v>5510</v>
      </c>
      <c r="AQ892" s="13" t="s">
        <v>5510</v>
      </c>
      <c r="AR892" s="13" t="s">
        <v>5864</v>
      </c>
      <c r="AS892" s="13" t="s">
        <v>5865</v>
      </c>
      <c r="AT892" s="13" t="s">
        <v>6758</v>
      </c>
      <c r="AU892" s="13">
        <v>2008.0</v>
      </c>
      <c r="AV892" s="13">
        <v>18.0</v>
      </c>
      <c r="AW892" s="13">
        <v>7.0</v>
      </c>
      <c r="AX892" s="13" t="s">
        <v>5510</v>
      </c>
      <c r="AY892" s="13" t="s">
        <v>5510</v>
      </c>
      <c r="AZ892" s="13" t="s">
        <v>5510</v>
      </c>
      <c r="BA892" s="13" t="s">
        <v>5510</v>
      </c>
      <c r="BB892" s="13">
        <v>1127.0</v>
      </c>
      <c r="BC892" s="13">
        <v>1139.0</v>
      </c>
      <c r="BD892" s="13" t="s">
        <v>5510</v>
      </c>
      <c r="BE892" s="13" t="s">
        <v>21244</v>
      </c>
      <c r="BF892" s="52" t="str">
        <f>HYPERLINK("http://dx.doi.org/10.1002/aqc.943","http://dx.doi.org/10.1002/aqc.943")</f>
        <v>http://dx.doi.org/10.1002/aqc.943</v>
      </c>
      <c r="BG892" s="13" t="s">
        <v>5510</v>
      </c>
      <c r="BH892" s="13" t="s">
        <v>5510</v>
      </c>
      <c r="BI892" s="13">
        <v>13.0</v>
      </c>
      <c r="BJ892" s="13" t="s">
        <v>5869</v>
      </c>
      <c r="BK892" s="13" t="s">
        <v>5561</v>
      </c>
      <c r="BL892" s="13" t="s">
        <v>5870</v>
      </c>
      <c r="BM892" s="13" t="s">
        <v>21245</v>
      </c>
      <c r="BN892" s="13" t="s">
        <v>5510</v>
      </c>
      <c r="BO892" s="13" t="s">
        <v>5510</v>
      </c>
      <c r="BP892" s="13" t="s">
        <v>5510</v>
      </c>
      <c r="BQ892" s="13" t="s">
        <v>5510</v>
      </c>
      <c r="BR892" s="13" t="s">
        <v>5538</v>
      </c>
      <c r="BS892" s="13" t="s">
        <v>21246</v>
      </c>
      <c r="BT892" s="13">
        <v>24087.0</v>
      </c>
      <c r="BU892" s="13" t="s">
        <v>5540</v>
      </c>
      <c r="BV892" s="13" t="s">
        <v>4864</v>
      </c>
      <c r="BW892" s="13" t="str">
        <f>VLOOKUP($BT892,Enriched!$A$2:$E$1070,5,false)</f>
        <v>["Biological resource use"]</v>
      </c>
      <c r="BX892" s="13" t="str">
        <f>VLOOKUP($BT892,Enriched!$A$2:$E$1070,4,false)</f>
        <v>["Fishing &amp; harvesting aquatic resources"]</v>
      </c>
      <c r="BY892" s="13" t="b">
        <f>VLOOKUP(BT892,Enriched!$A$1:$AA$1070,27,falsE)</f>
        <v>0</v>
      </c>
      <c r="BZ892" s="2" t="str">
        <f>VLOOKUP(BT892,Enriched!$A$1:$AA$1070,14,falsE)</f>
        <v>level2</v>
      </c>
      <c r="CA892" s="13" t="str">
        <f>HYPERLINK("https%3A%2F%2Fwww.webofscience.com%2Fwos%2Fwoscc%2Ffull-record%2FWOS:000261581200005","View Full Record in Web of Science")</f>
        <v>View Full Record in Web of Science</v>
      </c>
    </row>
    <row r="893" ht="12.75" customHeight="1">
      <c r="A893" s="13" t="s">
        <v>5508</v>
      </c>
      <c r="B893" s="13" t="s">
        <v>21247</v>
      </c>
      <c r="C893" s="13" t="s">
        <v>5510</v>
      </c>
      <c r="D893" s="13" t="s">
        <v>5510</v>
      </c>
      <c r="E893" s="13" t="s">
        <v>5510</v>
      </c>
      <c r="F893" s="13" t="s">
        <v>21247</v>
      </c>
      <c r="G893" s="13" t="s">
        <v>5510</v>
      </c>
      <c r="H893" s="13" t="s">
        <v>5510</v>
      </c>
      <c r="I893" s="13" t="s">
        <v>21248</v>
      </c>
      <c r="J893" s="13" t="s">
        <v>21249</v>
      </c>
      <c r="K893" s="13" t="s">
        <v>5510</v>
      </c>
      <c r="L893" s="13" t="s">
        <v>5510</v>
      </c>
      <c r="M893" s="13" t="s">
        <v>5513</v>
      </c>
      <c r="N893" s="13" t="s">
        <v>5514</v>
      </c>
      <c r="O893" s="13" t="s">
        <v>5510</v>
      </c>
      <c r="P893" s="13" t="s">
        <v>5510</v>
      </c>
      <c r="Q893" s="13" t="s">
        <v>5510</v>
      </c>
      <c r="R893" s="13" t="s">
        <v>5510</v>
      </c>
      <c r="S893" s="13" t="s">
        <v>5510</v>
      </c>
      <c r="T893" s="13" t="s">
        <v>21250</v>
      </c>
      <c r="U893" s="13" t="s">
        <v>21251</v>
      </c>
      <c r="V893" s="13" t="s">
        <v>21252</v>
      </c>
      <c r="W893" s="13" t="s">
        <v>21253</v>
      </c>
      <c r="X893" s="13" t="s">
        <v>21254</v>
      </c>
      <c r="Y893" s="13" t="s">
        <v>21255</v>
      </c>
      <c r="Z893" s="13" t="s">
        <v>5510</v>
      </c>
      <c r="AA893" s="13" t="s">
        <v>5510</v>
      </c>
      <c r="AB893" s="13" t="s">
        <v>5510</v>
      </c>
      <c r="AC893" s="13" t="s">
        <v>5510</v>
      </c>
      <c r="AD893" s="13" t="s">
        <v>5510</v>
      </c>
      <c r="AE893" s="13" t="s">
        <v>5510</v>
      </c>
      <c r="AF893" s="13" t="s">
        <v>5510</v>
      </c>
      <c r="AG893" s="13">
        <v>52.0</v>
      </c>
      <c r="AH893" s="13">
        <v>33.0</v>
      </c>
      <c r="AI893" s="13">
        <v>41.0</v>
      </c>
      <c r="AJ893" s="13">
        <v>2.0</v>
      </c>
      <c r="AK893" s="13">
        <v>29.0</v>
      </c>
      <c r="AL893" s="13" t="s">
        <v>21256</v>
      </c>
      <c r="AM893" s="13" t="s">
        <v>21257</v>
      </c>
      <c r="AN893" s="13" t="s">
        <v>21258</v>
      </c>
      <c r="AO893" s="13" t="s">
        <v>21259</v>
      </c>
      <c r="AP893" s="13" t="s">
        <v>5510</v>
      </c>
      <c r="AQ893" s="13" t="s">
        <v>5510</v>
      </c>
      <c r="AR893" s="13" t="s">
        <v>21260</v>
      </c>
      <c r="AS893" s="13" t="s">
        <v>21261</v>
      </c>
      <c r="AT893" s="13" t="s">
        <v>1453</v>
      </c>
      <c r="AU893" s="13">
        <v>2000.0</v>
      </c>
      <c r="AV893" s="13">
        <v>47.0</v>
      </c>
      <c r="AW893" s="13">
        <v>3.0</v>
      </c>
      <c r="AX893" s="13" t="s">
        <v>5510</v>
      </c>
      <c r="AY893" s="13" t="s">
        <v>5510</v>
      </c>
      <c r="AZ893" s="13" t="s">
        <v>5510</v>
      </c>
      <c r="BA893" s="13" t="s">
        <v>5510</v>
      </c>
      <c r="BB893" s="13">
        <v>298.0</v>
      </c>
      <c r="BC893" s="13">
        <v>305.0</v>
      </c>
      <c r="BD893" s="13" t="s">
        <v>5510</v>
      </c>
      <c r="BE893" s="13" t="s">
        <v>21262</v>
      </c>
      <c r="BF893" s="52" t="str">
        <f>HYPERLINK("http://dx.doi.org/10.1006/eesa.2000.1949","http://dx.doi.org/10.1006/eesa.2000.1949")</f>
        <v>http://dx.doi.org/10.1006/eesa.2000.1949</v>
      </c>
      <c r="BG893" s="13" t="s">
        <v>5510</v>
      </c>
      <c r="BH893" s="13" t="s">
        <v>5510</v>
      </c>
      <c r="BI893" s="13">
        <v>8.0</v>
      </c>
      <c r="BJ893" s="13" t="s">
        <v>21263</v>
      </c>
      <c r="BK893" s="13" t="s">
        <v>5561</v>
      </c>
      <c r="BL893" s="13" t="s">
        <v>17172</v>
      </c>
      <c r="BM893" s="13" t="s">
        <v>21264</v>
      </c>
      <c r="BN893" s="13">
        <v>1.1139184E7</v>
      </c>
      <c r="BO893" s="13" t="s">
        <v>5510</v>
      </c>
      <c r="BP893" s="13" t="s">
        <v>5510</v>
      </c>
      <c r="BQ893" s="13" t="s">
        <v>5510</v>
      </c>
      <c r="BR893" s="13" t="s">
        <v>5538</v>
      </c>
      <c r="BS893" s="13" t="s">
        <v>21265</v>
      </c>
      <c r="BT893" s="13">
        <v>23790.0</v>
      </c>
      <c r="BU893" s="13" t="s">
        <v>11683</v>
      </c>
      <c r="BV893" s="13" t="s">
        <v>4886</v>
      </c>
      <c r="BW893" s="13" t="str">
        <f>VLOOKUP($BT893,Enriched!$A$2:$E$1070,5,false)</f>
        <v>["Pollution"]</v>
      </c>
      <c r="BX893" s="13" t="str">
        <f>VLOOKUP($BT893,Enriched!$A$2:$E$1070,4,false)</f>
        <v>["Industrial &amp; military effluents"]</v>
      </c>
      <c r="BY893" s="13" t="b">
        <f>VLOOKUP(BT893,Enriched!$A$1:$AA$1070,27,falsE)</f>
        <v>0</v>
      </c>
      <c r="BZ893" s="2" t="str">
        <f>VLOOKUP(BT893,Enriched!$A$1:$AA$1070,14,falsE)</f>
        <v>level2</v>
      </c>
      <c r="CA893" s="13" t="str">
        <f>HYPERLINK("https%3A%2F%2Fwww.webofscience.com%2Fwos%2Fwoscc%2Ffull-record%2FWOS:000165358700011","View Full Record in Web of Science")</f>
        <v>View Full Record in Web of Science</v>
      </c>
    </row>
    <row r="894" ht="12.75" customHeight="1">
      <c r="A894" s="13" t="s">
        <v>5508</v>
      </c>
      <c r="B894" s="13" t="s">
        <v>21266</v>
      </c>
      <c r="C894" s="13" t="s">
        <v>5510</v>
      </c>
      <c r="D894" s="13" t="s">
        <v>5510</v>
      </c>
      <c r="E894" s="13" t="s">
        <v>5510</v>
      </c>
      <c r="F894" s="13" t="s">
        <v>21267</v>
      </c>
      <c r="G894" s="13" t="s">
        <v>5510</v>
      </c>
      <c r="H894" s="13" t="s">
        <v>5510</v>
      </c>
      <c r="I894" s="13" t="s">
        <v>173</v>
      </c>
      <c r="J894" s="13" t="s">
        <v>6032</v>
      </c>
      <c r="K894" s="13" t="s">
        <v>5510</v>
      </c>
      <c r="L894" s="13" t="s">
        <v>5510</v>
      </c>
      <c r="M894" s="13" t="s">
        <v>5513</v>
      </c>
      <c r="N894" s="13" t="s">
        <v>5514</v>
      </c>
      <c r="O894" s="13" t="s">
        <v>5510</v>
      </c>
      <c r="P894" s="13" t="s">
        <v>5510</v>
      </c>
      <c r="Q894" s="13" t="s">
        <v>5510</v>
      </c>
      <c r="R894" s="13" t="s">
        <v>5510</v>
      </c>
      <c r="S894" s="13" t="s">
        <v>5510</v>
      </c>
      <c r="T894" s="13" t="s">
        <v>21268</v>
      </c>
      <c r="U894" s="13" t="s">
        <v>21269</v>
      </c>
      <c r="V894" s="13" t="s">
        <v>21270</v>
      </c>
      <c r="W894" s="13" t="s">
        <v>21271</v>
      </c>
      <c r="X894" s="13" t="s">
        <v>21272</v>
      </c>
      <c r="Y894" s="13" t="s">
        <v>21273</v>
      </c>
      <c r="Z894" s="13" t="s">
        <v>21274</v>
      </c>
      <c r="AA894" s="13" t="s">
        <v>21275</v>
      </c>
      <c r="AB894" s="13" t="s">
        <v>21276</v>
      </c>
      <c r="AC894" s="13" t="s">
        <v>21277</v>
      </c>
      <c r="AD894" s="13" t="s">
        <v>21278</v>
      </c>
      <c r="AE894" s="13" t="s">
        <v>21279</v>
      </c>
      <c r="AF894" s="13" t="s">
        <v>5510</v>
      </c>
      <c r="AG894" s="13">
        <v>51.0</v>
      </c>
      <c r="AH894" s="13">
        <v>145.0</v>
      </c>
      <c r="AI894" s="13">
        <v>167.0</v>
      </c>
      <c r="AJ894" s="13">
        <v>0.0</v>
      </c>
      <c r="AK894" s="13">
        <v>39.0</v>
      </c>
      <c r="AL894" s="13" t="s">
        <v>6045</v>
      </c>
      <c r="AM894" s="13" t="s">
        <v>6046</v>
      </c>
      <c r="AN894" s="13" t="s">
        <v>6047</v>
      </c>
      <c r="AO894" s="13" t="s">
        <v>6048</v>
      </c>
      <c r="AP894" s="13" t="s">
        <v>5510</v>
      </c>
      <c r="AQ894" s="13" t="s">
        <v>5510</v>
      </c>
      <c r="AR894" s="13" t="s">
        <v>6032</v>
      </c>
      <c r="AS894" s="13" t="s">
        <v>174</v>
      </c>
      <c r="AT894" s="13" t="s">
        <v>6325</v>
      </c>
      <c r="AU894" s="13">
        <v>2019.0</v>
      </c>
      <c r="AV894" s="13">
        <v>7.0</v>
      </c>
      <c r="AW894" s="13" t="s">
        <v>5510</v>
      </c>
      <c r="AX894" s="13" t="s">
        <v>5510</v>
      </c>
      <c r="AY894" s="13" t="s">
        <v>5510</v>
      </c>
      <c r="AZ894" s="13" t="s">
        <v>5510</v>
      </c>
      <c r="BA894" s="13" t="s">
        <v>5510</v>
      </c>
      <c r="BB894" s="13" t="s">
        <v>5510</v>
      </c>
      <c r="BC894" s="13" t="s">
        <v>5510</v>
      </c>
      <c r="BD894" s="13" t="s">
        <v>21280</v>
      </c>
      <c r="BE894" s="13" t="s">
        <v>21281</v>
      </c>
      <c r="BF894" s="52" t="str">
        <f>HYPERLINK("http://dx.doi.org/10.7717/peerj.8069","http://dx.doi.org/10.7717/peerj.8069")</f>
        <v>http://dx.doi.org/10.7717/peerj.8069</v>
      </c>
      <c r="BG894" s="13" t="s">
        <v>5510</v>
      </c>
      <c r="BH894" s="13" t="s">
        <v>5510</v>
      </c>
      <c r="BI894" s="13">
        <v>17.0</v>
      </c>
      <c r="BJ894" s="13" t="s">
        <v>5560</v>
      </c>
      <c r="BK894" s="13" t="s">
        <v>5561</v>
      </c>
      <c r="BL894" s="13" t="s">
        <v>5562</v>
      </c>
      <c r="BM894" s="13" t="s">
        <v>21282</v>
      </c>
      <c r="BN894" s="13">
        <v>3.1788355E7</v>
      </c>
      <c r="BO894" s="13" t="s">
        <v>5564</v>
      </c>
      <c r="BP894" s="13" t="s">
        <v>5510</v>
      </c>
      <c r="BQ894" s="13" t="s">
        <v>5510</v>
      </c>
      <c r="BR894" s="13" t="s">
        <v>5538</v>
      </c>
      <c r="BS894" s="13" t="s">
        <v>21283</v>
      </c>
      <c r="BT894" s="13">
        <v>23085.0</v>
      </c>
      <c r="BU894" s="13" t="s">
        <v>5540</v>
      </c>
      <c r="BV894" s="13" t="s">
        <v>4864</v>
      </c>
      <c r="BW894" s="13" t="str">
        <f>VLOOKUP($BT894,Enriched!$A$2:$E$1070,5,false)</f>
        <v>["Invasive &amp; other problematic species, genes &amp; diseases"]</v>
      </c>
      <c r="BX894" s="13" t="str">
        <f>VLOOKUP($BT894,Enriched!$A$2:$E$1070,4,false)</f>
        <v>["Diseases of unknown cause"]</v>
      </c>
      <c r="BY894" s="13" t="b">
        <f>VLOOKUP(BT894,Enriched!$A$1:$AA$1070,27,falsE)</f>
        <v>0</v>
      </c>
      <c r="BZ894" s="2" t="str">
        <f>VLOOKUP(BT894,Enriched!$A$1:$AA$1070,14,falsE)</f>
        <v>level2</v>
      </c>
      <c r="CA894" s="13" t="str">
        <f>HYPERLINK("https%3A%2F%2Fwww.webofscience.com%2Fwos%2Fwoscc%2Ffull-record%2FWOS:000498840000002","View Full Record in Web of Science")</f>
        <v>View Full Record in Web of Science</v>
      </c>
    </row>
    <row r="895" ht="12.75" customHeight="1">
      <c r="A895" s="13" t="s">
        <v>5508</v>
      </c>
      <c r="B895" s="13" t="s">
        <v>21284</v>
      </c>
      <c r="C895" s="13" t="s">
        <v>5510</v>
      </c>
      <c r="D895" s="13" t="s">
        <v>5510</v>
      </c>
      <c r="E895" s="13" t="s">
        <v>5510</v>
      </c>
      <c r="F895" s="13" t="s">
        <v>21285</v>
      </c>
      <c r="G895" s="13" t="s">
        <v>5510</v>
      </c>
      <c r="H895" s="13" t="s">
        <v>5510</v>
      </c>
      <c r="I895" s="13" t="s">
        <v>169</v>
      </c>
      <c r="J895" s="13" t="s">
        <v>8275</v>
      </c>
      <c r="K895" s="13" t="s">
        <v>5510</v>
      </c>
      <c r="L895" s="13" t="s">
        <v>5510</v>
      </c>
      <c r="M895" s="13" t="s">
        <v>5513</v>
      </c>
      <c r="N895" s="13" t="s">
        <v>5514</v>
      </c>
      <c r="O895" s="13" t="s">
        <v>5510</v>
      </c>
      <c r="P895" s="13" t="s">
        <v>5510</v>
      </c>
      <c r="Q895" s="13" t="s">
        <v>5510</v>
      </c>
      <c r="R895" s="13" t="s">
        <v>5510</v>
      </c>
      <c r="S895" s="13" t="s">
        <v>5510</v>
      </c>
      <c r="T895" s="13" t="s">
        <v>21286</v>
      </c>
      <c r="U895" s="13" t="s">
        <v>21287</v>
      </c>
      <c r="V895" s="13" t="s">
        <v>21288</v>
      </c>
      <c r="W895" s="13" t="s">
        <v>21289</v>
      </c>
      <c r="X895" s="13" t="s">
        <v>21290</v>
      </c>
      <c r="Y895" s="13" t="s">
        <v>21291</v>
      </c>
      <c r="Z895" s="13" t="s">
        <v>21292</v>
      </c>
      <c r="AA895" s="13" t="s">
        <v>21293</v>
      </c>
      <c r="AB895" s="13" t="s">
        <v>21294</v>
      </c>
      <c r="AC895" s="13" t="s">
        <v>21295</v>
      </c>
      <c r="AD895" s="13" t="s">
        <v>21296</v>
      </c>
      <c r="AE895" s="13" t="s">
        <v>21297</v>
      </c>
      <c r="AF895" s="13" t="s">
        <v>5510</v>
      </c>
      <c r="AG895" s="13">
        <v>83.0</v>
      </c>
      <c r="AH895" s="13">
        <v>48.0</v>
      </c>
      <c r="AI895" s="13">
        <v>57.0</v>
      </c>
      <c r="AJ895" s="13">
        <v>1.0</v>
      </c>
      <c r="AK895" s="13">
        <v>49.0</v>
      </c>
      <c r="AL895" s="13" t="s">
        <v>7714</v>
      </c>
      <c r="AM895" s="13" t="s">
        <v>5760</v>
      </c>
      <c r="AN895" s="13" t="s">
        <v>7715</v>
      </c>
      <c r="AO895" s="13" t="s">
        <v>8288</v>
      </c>
      <c r="AP895" s="13" t="s">
        <v>8289</v>
      </c>
      <c r="AQ895" s="13" t="s">
        <v>5510</v>
      </c>
      <c r="AR895" s="13" t="s">
        <v>8290</v>
      </c>
      <c r="AS895" s="13" t="s">
        <v>8291</v>
      </c>
      <c r="AT895" s="13" t="s">
        <v>7186</v>
      </c>
      <c r="AU895" s="13">
        <v>2017.0</v>
      </c>
      <c r="AV895" s="13">
        <v>402.0</v>
      </c>
      <c r="AW895" s="13" t="s">
        <v>5510</v>
      </c>
      <c r="AX895" s="13" t="s">
        <v>5510</v>
      </c>
      <c r="AY895" s="13" t="s">
        <v>5510</v>
      </c>
      <c r="AZ895" s="13" t="s">
        <v>5510</v>
      </c>
      <c r="BA895" s="13" t="s">
        <v>5510</v>
      </c>
      <c r="BB895" s="13">
        <v>223.0</v>
      </c>
      <c r="BC895" s="13">
        <v>233.0</v>
      </c>
      <c r="BD895" s="13" t="s">
        <v>5510</v>
      </c>
      <c r="BE895" s="13" t="s">
        <v>21298</v>
      </c>
      <c r="BF895" s="52" t="str">
        <f>HYPERLINK("http://dx.doi.org/10.1016/j.foreco.2017.07.025","http://dx.doi.org/10.1016/j.foreco.2017.07.025")</f>
        <v>http://dx.doi.org/10.1016/j.foreco.2017.07.025</v>
      </c>
      <c r="BG895" s="13" t="s">
        <v>5510</v>
      </c>
      <c r="BH895" s="13" t="s">
        <v>5510</v>
      </c>
      <c r="BI895" s="13">
        <v>11.0</v>
      </c>
      <c r="BJ895" s="13" t="s">
        <v>8294</v>
      </c>
      <c r="BK895" s="13" t="s">
        <v>5561</v>
      </c>
      <c r="BL895" s="13" t="s">
        <v>8294</v>
      </c>
      <c r="BM895" s="13" t="s">
        <v>21299</v>
      </c>
      <c r="BN895" s="13" t="s">
        <v>5510</v>
      </c>
      <c r="BO895" s="13" t="s">
        <v>5510</v>
      </c>
      <c r="BP895" s="13" t="s">
        <v>5510</v>
      </c>
      <c r="BQ895" s="13" t="s">
        <v>5510</v>
      </c>
      <c r="BR895" s="13" t="s">
        <v>5538</v>
      </c>
      <c r="BS895" s="13" t="s">
        <v>21300</v>
      </c>
      <c r="BT895" s="13">
        <v>24745.0</v>
      </c>
      <c r="BU895" s="13" t="s">
        <v>5540</v>
      </c>
      <c r="BV895" s="13" t="s">
        <v>4856</v>
      </c>
      <c r="BW895" s="13" t="str">
        <f>VLOOKUP($BT895,Enriched!$A$2:$E$1070,5,false)</f>
        <v>["Climate change &amp; severe weather"]</v>
      </c>
      <c r="BX895" s="13" t="str">
        <f>VLOOKUP($BT895,Enriched!$A$2:$E$1070,4,false)</f>
        <v>["Habitat shifting &amp; alteration"]</v>
      </c>
      <c r="BY895" s="13" t="b">
        <f>VLOOKUP(BT895,Enriched!$A$1:$AA$1070,27,falsE)</f>
        <v>0</v>
      </c>
      <c r="BZ895" s="2" t="str">
        <f>VLOOKUP(BT895,Enriched!$A$1:$AA$1070,14,falsE)</f>
        <v>level2</v>
      </c>
      <c r="CA895" s="13" t="str">
        <f>HYPERLINK("https%3A%2F%2Fwww.webofscience.com%2Fwos%2Fwoscc%2Ffull-record%2FWOS:000411534000022","View Full Record in Web of Science")</f>
        <v>View Full Record in Web of Science</v>
      </c>
    </row>
    <row r="896" ht="12.75" customHeight="1">
      <c r="A896" s="13" t="s">
        <v>5508</v>
      </c>
      <c r="B896" s="13" t="s">
        <v>21301</v>
      </c>
      <c r="C896" s="13" t="s">
        <v>5510</v>
      </c>
      <c r="D896" s="13" t="s">
        <v>5510</v>
      </c>
      <c r="E896" s="13" t="s">
        <v>5510</v>
      </c>
      <c r="F896" s="13" t="s">
        <v>21302</v>
      </c>
      <c r="G896" s="13" t="s">
        <v>5510</v>
      </c>
      <c r="H896" s="13" t="s">
        <v>5510</v>
      </c>
      <c r="I896" s="13" t="s">
        <v>21303</v>
      </c>
      <c r="J896" s="13" t="s">
        <v>5849</v>
      </c>
      <c r="K896" s="13" t="s">
        <v>5510</v>
      </c>
      <c r="L896" s="13" t="s">
        <v>5510</v>
      </c>
      <c r="M896" s="13" t="s">
        <v>5513</v>
      </c>
      <c r="N896" s="13" t="s">
        <v>5514</v>
      </c>
      <c r="O896" s="13" t="s">
        <v>5510</v>
      </c>
      <c r="P896" s="13" t="s">
        <v>5510</v>
      </c>
      <c r="Q896" s="13" t="s">
        <v>5510</v>
      </c>
      <c r="R896" s="13" t="s">
        <v>5510</v>
      </c>
      <c r="S896" s="13" t="s">
        <v>5510</v>
      </c>
      <c r="T896" s="13" t="s">
        <v>21304</v>
      </c>
      <c r="U896" s="13" t="s">
        <v>21305</v>
      </c>
      <c r="V896" s="13" t="s">
        <v>21306</v>
      </c>
      <c r="W896" s="13" t="s">
        <v>21307</v>
      </c>
      <c r="X896" s="13" t="s">
        <v>21308</v>
      </c>
      <c r="Y896" s="13" t="s">
        <v>21309</v>
      </c>
      <c r="Z896" s="13" t="s">
        <v>21310</v>
      </c>
      <c r="AA896" s="13" t="s">
        <v>21311</v>
      </c>
      <c r="AB896" s="13" t="s">
        <v>21312</v>
      </c>
      <c r="AC896" s="13" t="s">
        <v>21313</v>
      </c>
      <c r="AD896" s="13" t="s">
        <v>21314</v>
      </c>
      <c r="AE896" s="13" t="s">
        <v>21315</v>
      </c>
      <c r="AF896" s="13" t="s">
        <v>5510</v>
      </c>
      <c r="AG896" s="13">
        <v>86.0</v>
      </c>
      <c r="AH896" s="13">
        <v>5.0</v>
      </c>
      <c r="AI896" s="13">
        <v>5.0</v>
      </c>
      <c r="AJ896" s="13">
        <v>1.0</v>
      </c>
      <c r="AK896" s="13">
        <v>52.0</v>
      </c>
      <c r="AL896" s="13" t="s">
        <v>5527</v>
      </c>
      <c r="AM896" s="13" t="s">
        <v>5528</v>
      </c>
      <c r="AN896" s="13" t="s">
        <v>5529</v>
      </c>
      <c r="AO896" s="13" t="s">
        <v>5862</v>
      </c>
      <c r="AP896" s="13" t="s">
        <v>5863</v>
      </c>
      <c r="AQ896" s="13" t="s">
        <v>5510</v>
      </c>
      <c r="AR896" s="13" t="s">
        <v>5864</v>
      </c>
      <c r="AS896" s="13" t="s">
        <v>5865</v>
      </c>
      <c r="AT896" s="13" t="s">
        <v>11291</v>
      </c>
      <c r="AU896" s="13">
        <v>2011.0</v>
      </c>
      <c r="AV896" s="13">
        <v>21.0</v>
      </c>
      <c r="AW896" s="13">
        <v>5.0</v>
      </c>
      <c r="AX896" s="13" t="s">
        <v>5510</v>
      </c>
      <c r="AY896" s="13" t="s">
        <v>5510</v>
      </c>
      <c r="AZ896" s="13" t="s">
        <v>5510</v>
      </c>
      <c r="BA896" s="13" t="s">
        <v>5510</v>
      </c>
      <c r="BB896" s="13">
        <v>433.0</v>
      </c>
      <c r="BC896" s="13">
        <v>447.0</v>
      </c>
      <c r="BD896" s="13" t="s">
        <v>5510</v>
      </c>
      <c r="BE896" s="13" t="s">
        <v>21316</v>
      </c>
      <c r="BF896" s="52" t="str">
        <f>HYPERLINK("http://dx.doi.org/10.1002/aqc.1205","http://dx.doi.org/10.1002/aqc.1205")</f>
        <v>http://dx.doi.org/10.1002/aqc.1205</v>
      </c>
      <c r="BG896" s="13" t="s">
        <v>5510</v>
      </c>
      <c r="BH896" s="13" t="s">
        <v>5510</v>
      </c>
      <c r="BI896" s="13">
        <v>15.0</v>
      </c>
      <c r="BJ896" s="13" t="s">
        <v>5869</v>
      </c>
      <c r="BK896" s="13" t="s">
        <v>5561</v>
      </c>
      <c r="BL896" s="13" t="s">
        <v>5870</v>
      </c>
      <c r="BM896" s="13" t="s">
        <v>21317</v>
      </c>
      <c r="BN896" s="13" t="s">
        <v>5510</v>
      </c>
      <c r="BO896" s="13" t="s">
        <v>5510</v>
      </c>
      <c r="BP896" s="13" t="s">
        <v>5510</v>
      </c>
      <c r="BQ896" s="13" t="s">
        <v>5510</v>
      </c>
      <c r="BR896" s="13" t="s">
        <v>5538</v>
      </c>
      <c r="BS896" s="13" t="s">
        <v>21318</v>
      </c>
      <c r="BT896" s="13">
        <v>23631.0</v>
      </c>
      <c r="BU896" s="13" t="s">
        <v>5540</v>
      </c>
      <c r="BV896" s="13" t="s">
        <v>4864</v>
      </c>
      <c r="BW896" s="13" t="str">
        <f>VLOOKUP($BT896,Enriched!$A$2:$E$1070,5,false)</f>
        <v>["Biological Resource Use", "Human Intrusions &amp; Disturbance", "Pollution"]</v>
      </c>
      <c r="BX896" s="13" t="str">
        <f>VLOOKUP($BT896,Enriched!$A$2:$E$1070,4,false)</f>
        <v>["Housing &amp; urban area", "Fishing &amp; harvesting aquatic resources", "Recreational activities"]</v>
      </c>
      <c r="BY896" s="13" t="b">
        <f>VLOOKUP(BT896,Enriched!$A$1:$AA$1070,27,falsE)</f>
        <v>1</v>
      </c>
      <c r="BZ896" s="2" t="str">
        <f>VLOOKUP(BT896,Enriched!$A$1:$AA$1070,14,falsE)</f>
        <v>level2</v>
      </c>
      <c r="CA896" s="13" t="str">
        <f>HYPERLINK("https%3A%2F%2Fwww.webofscience.com%2Fwos%2Fwoscc%2Ffull-record%2FWOS:000294180600005","View Full Record in Web of Science")</f>
        <v>View Full Record in Web of Science</v>
      </c>
    </row>
    <row r="897" ht="12.75" customHeight="1">
      <c r="A897" s="13" t="s">
        <v>5508</v>
      </c>
      <c r="B897" s="13" t="s">
        <v>21319</v>
      </c>
      <c r="C897" s="13" t="s">
        <v>5510</v>
      </c>
      <c r="D897" s="13" t="s">
        <v>5510</v>
      </c>
      <c r="E897" s="13" t="s">
        <v>5510</v>
      </c>
      <c r="F897" s="13" t="s">
        <v>21320</v>
      </c>
      <c r="G897" s="13" t="s">
        <v>5510</v>
      </c>
      <c r="H897" s="13" t="s">
        <v>5510</v>
      </c>
      <c r="I897" s="13" t="s">
        <v>21321</v>
      </c>
      <c r="J897" s="13" t="s">
        <v>21322</v>
      </c>
      <c r="K897" s="13" t="s">
        <v>5510</v>
      </c>
      <c r="L897" s="13" t="s">
        <v>5510</v>
      </c>
      <c r="M897" s="13" t="s">
        <v>5513</v>
      </c>
      <c r="N897" s="13" t="s">
        <v>5514</v>
      </c>
      <c r="O897" s="13" t="s">
        <v>5510</v>
      </c>
      <c r="P897" s="13" t="s">
        <v>5510</v>
      </c>
      <c r="Q897" s="13" t="s">
        <v>5510</v>
      </c>
      <c r="R897" s="13" t="s">
        <v>5510</v>
      </c>
      <c r="S897" s="13" t="s">
        <v>5510</v>
      </c>
      <c r="T897" s="13" t="s">
        <v>21323</v>
      </c>
      <c r="U897" s="13" t="s">
        <v>21324</v>
      </c>
      <c r="V897" s="13" t="s">
        <v>21325</v>
      </c>
      <c r="W897" s="13" t="s">
        <v>21326</v>
      </c>
      <c r="X897" s="13" t="s">
        <v>7746</v>
      </c>
      <c r="Y897" s="13" t="s">
        <v>21327</v>
      </c>
      <c r="Z897" s="13" t="s">
        <v>21328</v>
      </c>
      <c r="AA897" s="13" t="s">
        <v>5510</v>
      </c>
      <c r="AB897" s="13" t="s">
        <v>5510</v>
      </c>
      <c r="AC897" s="13" t="s">
        <v>21329</v>
      </c>
      <c r="AD897" s="13" t="s">
        <v>21329</v>
      </c>
      <c r="AE897" s="13" t="s">
        <v>21330</v>
      </c>
      <c r="AF897" s="13" t="s">
        <v>5510</v>
      </c>
      <c r="AG897" s="13">
        <v>164.0</v>
      </c>
      <c r="AH897" s="13">
        <v>35.0</v>
      </c>
      <c r="AI897" s="13">
        <v>35.0</v>
      </c>
      <c r="AJ897" s="13">
        <v>0.0</v>
      </c>
      <c r="AK897" s="13">
        <v>48.0</v>
      </c>
      <c r="AL897" s="13" t="s">
        <v>21331</v>
      </c>
      <c r="AM897" s="13" t="s">
        <v>16494</v>
      </c>
      <c r="AN897" s="13" t="s">
        <v>16495</v>
      </c>
      <c r="AO897" s="13" t="s">
        <v>21332</v>
      </c>
      <c r="AP897" s="13" t="s">
        <v>21333</v>
      </c>
      <c r="AQ897" s="13" t="s">
        <v>5510</v>
      </c>
      <c r="AR897" s="13" t="s">
        <v>21334</v>
      </c>
      <c r="AS897" s="13" t="s">
        <v>21335</v>
      </c>
      <c r="AT897" s="13" t="s">
        <v>5510</v>
      </c>
      <c r="AU897" s="13">
        <v>2012.0</v>
      </c>
      <c r="AV897" s="13">
        <v>83.0</v>
      </c>
      <c r="AW897" s="13" t="s">
        <v>21336</v>
      </c>
      <c r="AX897" s="13" t="s">
        <v>5510</v>
      </c>
      <c r="AY897" s="13" t="s">
        <v>5510</v>
      </c>
      <c r="AZ897" s="13" t="s">
        <v>5510</v>
      </c>
      <c r="BA897" s="13" t="s">
        <v>5510</v>
      </c>
      <c r="BB897" s="13">
        <v>171.0</v>
      </c>
      <c r="BC897" s="13">
        <v>215.0</v>
      </c>
      <c r="BD897" s="13" t="s">
        <v>5510</v>
      </c>
      <c r="BE897" s="13" t="s">
        <v>21337</v>
      </c>
      <c r="BF897" s="52" t="str">
        <f>HYPERLINK("http://dx.doi.org/10.1159/000342399","http://dx.doi.org/10.1159/000342399")</f>
        <v>http://dx.doi.org/10.1159/000342399</v>
      </c>
      <c r="BG897" s="13" t="s">
        <v>5510</v>
      </c>
      <c r="BH897" s="13" t="s">
        <v>5510</v>
      </c>
      <c r="BI897" s="13">
        <v>45.0</v>
      </c>
      <c r="BJ897" s="13" t="s">
        <v>6899</v>
      </c>
      <c r="BK897" s="13" t="s">
        <v>5561</v>
      </c>
      <c r="BL897" s="13" t="s">
        <v>6899</v>
      </c>
      <c r="BM897" s="13" t="s">
        <v>21338</v>
      </c>
      <c r="BN897" s="13">
        <v>2.3363584E7</v>
      </c>
      <c r="BO897" s="13" t="s">
        <v>5510</v>
      </c>
      <c r="BP897" s="13" t="s">
        <v>5510</v>
      </c>
      <c r="BQ897" s="13" t="s">
        <v>5510</v>
      </c>
      <c r="BR897" s="13" t="s">
        <v>5538</v>
      </c>
      <c r="BS897" s="13" t="s">
        <v>21339</v>
      </c>
      <c r="BT897" s="13">
        <v>24636.0</v>
      </c>
      <c r="BU897" s="13" t="s">
        <v>5540</v>
      </c>
      <c r="BV897" s="13" t="s">
        <v>4856</v>
      </c>
      <c r="BW897" s="13" t="str">
        <f>VLOOKUP($BT897,Enriched!$A$2:$E$1070,5,false)</f>
        <v>["Biological resource use"]</v>
      </c>
      <c r="BX897" s="13" t="str">
        <f>VLOOKUP($BT897,Enriched!$A$2:$E$1070,4,false)</f>
        <v>["Hunting &amp; collecting terrestrial animals"]</v>
      </c>
      <c r="BY897" s="13" t="b">
        <f>VLOOKUP(BT897,Enriched!$A$1:$AA$1070,27,falsE)</f>
        <v>0</v>
      </c>
      <c r="BZ897" s="2" t="str">
        <f>VLOOKUP(BT897,Enriched!$A$1:$AA$1070,14,falsE)</f>
        <v>level2</v>
      </c>
      <c r="CA897" s="13" t="str">
        <f>HYPERLINK("https%3A%2F%2Fwww.webofscience.com%2Fwos%2Fwoscc%2Ffull-record%2FWOS:000314241200003","View Full Record in Web of Science")</f>
        <v>View Full Record in Web of Science</v>
      </c>
    </row>
    <row r="898" ht="12.75" customHeight="1">
      <c r="A898" s="13" t="s">
        <v>5508</v>
      </c>
      <c r="B898" s="13" t="s">
        <v>21340</v>
      </c>
      <c r="C898" s="13" t="s">
        <v>5510</v>
      </c>
      <c r="D898" s="13" t="s">
        <v>5510</v>
      </c>
      <c r="E898" s="13" t="s">
        <v>5510</v>
      </c>
      <c r="F898" s="13" t="s">
        <v>21341</v>
      </c>
      <c r="G898" s="13" t="s">
        <v>5510</v>
      </c>
      <c r="H898" s="13" t="s">
        <v>5510</v>
      </c>
      <c r="I898" s="13" t="s">
        <v>159</v>
      </c>
      <c r="J898" s="13" t="s">
        <v>5919</v>
      </c>
      <c r="K898" s="13" t="s">
        <v>5510</v>
      </c>
      <c r="L898" s="13" t="s">
        <v>5510</v>
      </c>
      <c r="M898" s="13" t="s">
        <v>5513</v>
      </c>
      <c r="N898" s="13" t="s">
        <v>5514</v>
      </c>
      <c r="O898" s="13" t="s">
        <v>5510</v>
      </c>
      <c r="P898" s="13" t="s">
        <v>5510</v>
      </c>
      <c r="Q898" s="13" t="s">
        <v>5510</v>
      </c>
      <c r="R898" s="13" t="s">
        <v>5510</v>
      </c>
      <c r="S898" s="13" t="s">
        <v>5510</v>
      </c>
      <c r="T898" s="13" t="s">
        <v>21342</v>
      </c>
      <c r="U898" s="13" t="s">
        <v>21343</v>
      </c>
      <c r="V898" s="13" t="s">
        <v>21344</v>
      </c>
      <c r="W898" s="13" t="s">
        <v>21345</v>
      </c>
      <c r="X898" s="13" t="s">
        <v>21346</v>
      </c>
      <c r="Y898" s="13" t="s">
        <v>21347</v>
      </c>
      <c r="Z898" s="13" t="s">
        <v>16067</v>
      </c>
      <c r="AA898" s="13" t="s">
        <v>21348</v>
      </c>
      <c r="AB898" s="13" t="s">
        <v>21349</v>
      </c>
      <c r="AC898" s="13" t="s">
        <v>21350</v>
      </c>
      <c r="AD898" s="13" t="s">
        <v>21351</v>
      </c>
      <c r="AE898" s="13" t="s">
        <v>21352</v>
      </c>
      <c r="AF898" s="13" t="s">
        <v>5510</v>
      </c>
      <c r="AG898" s="13">
        <v>70.0</v>
      </c>
      <c r="AH898" s="13">
        <v>47.0</v>
      </c>
      <c r="AI898" s="13">
        <v>50.0</v>
      </c>
      <c r="AJ898" s="13">
        <v>2.0</v>
      </c>
      <c r="AK898" s="13">
        <v>97.0</v>
      </c>
      <c r="AL898" s="13" t="s">
        <v>5931</v>
      </c>
      <c r="AM898" s="13" t="s">
        <v>7486</v>
      </c>
      <c r="AN898" s="13" t="s">
        <v>7487</v>
      </c>
      <c r="AO898" s="13" t="s">
        <v>5934</v>
      </c>
      <c r="AP898" s="13" t="s">
        <v>5935</v>
      </c>
      <c r="AQ898" s="13" t="s">
        <v>5510</v>
      </c>
      <c r="AR898" s="13" t="s">
        <v>5936</v>
      </c>
      <c r="AS898" s="13" t="s">
        <v>5937</v>
      </c>
      <c r="AT898" s="13" t="s">
        <v>5720</v>
      </c>
      <c r="AU898" s="13">
        <v>2018.0</v>
      </c>
      <c r="AV898" s="13">
        <v>222.0</v>
      </c>
      <c r="AW898" s="13" t="s">
        <v>5510</v>
      </c>
      <c r="AX898" s="13" t="s">
        <v>5510</v>
      </c>
      <c r="AY898" s="13" t="s">
        <v>5510</v>
      </c>
      <c r="AZ898" s="13" t="s">
        <v>5510</v>
      </c>
      <c r="BA898" s="13" t="s">
        <v>5510</v>
      </c>
      <c r="BB898" s="13">
        <v>125.0</v>
      </c>
      <c r="BC898" s="13">
        <v>135.0</v>
      </c>
      <c r="BD898" s="13" t="s">
        <v>5510</v>
      </c>
      <c r="BE898" s="13" t="s">
        <v>21353</v>
      </c>
      <c r="BF898" s="52" t="str">
        <f>HYPERLINK("http://dx.doi.org/10.1016/j.biocon.2018.04.006","http://dx.doi.org/10.1016/j.biocon.2018.04.006")</f>
        <v>http://dx.doi.org/10.1016/j.biocon.2018.04.006</v>
      </c>
      <c r="BG898" s="13" t="s">
        <v>5510</v>
      </c>
      <c r="BH898" s="13" t="s">
        <v>5510</v>
      </c>
      <c r="BI898" s="13">
        <v>11.0</v>
      </c>
      <c r="BJ898" s="13" t="s">
        <v>5698</v>
      </c>
      <c r="BK898" s="13" t="s">
        <v>5561</v>
      </c>
      <c r="BL898" s="13" t="s">
        <v>5699</v>
      </c>
      <c r="BM898" s="13" t="s">
        <v>21354</v>
      </c>
      <c r="BN898" s="13" t="s">
        <v>5510</v>
      </c>
      <c r="BO898" s="13" t="s">
        <v>6623</v>
      </c>
      <c r="BP898" s="13" t="s">
        <v>5510</v>
      </c>
      <c r="BQ898" s="13" t="s">
        <v>5510</v>
      </c>
      <c r="BR898" s="13" t="s">
        <v>5538</v>
      </c>
      <c r="BS898" s="13" t="s">
        <v>21355</v>
      </c>
      <c r="BT898" s="13">
        <v>24229.0</v>
      </c>
      <c r="BU898" s="13" t="s">
        <v>5540</v>
      </c>
      <c r="BV898" s="13" t="s">
        <v>4864</v>
      </c>
      <c r="BW898" s="13" t="str">
        <f>VLOOKUP($BT898,Enriched!$A$2:$E$1070,5,false)</f>
        <v>["Residential &amp; Commercial Development", "Agriculture &amp; Aquaculture", "Biological Resource Use", "Human Intrusions &amp; Disturbance", "Pollution"]</v>
      </c>
      <c r="BX898" s="13" t="str">
        <f>VLOOKUP($BT898,Enriched!$A$2:$E$1070,4,false)</f>
        <v>["Housing &amp; urban area", "Marine &amp; freshwater aquaculture", "Fishing &amp; harvesting aquatic resources", "Recreational activities", "Domestic &amp; urban waste water", "Industrial &amp; military effluents"]</v>
      </c>
      <c r="BY898" s="13" t="b">
        <f>VLOOKUP(BT898,Enriched!$A$1:$AA$1070,27,falsE)</f>
        <v>1</v>
      </c>
      <c r="BZ898" s="2" t="str">
        <f>VLOOKUP(BT898,Enriched!$A$1:$AA$1070,14,falsE)</f>
        <v>level2</v>
      </c>
      <c r="CA898" s="13" t="str">
        <f>HYPERLINK("https%3A%2F%2Fwww.webofscience.com%2Fwos%2Fwoscc%2Ffull-record%2FWOS:000434745900013","View Full Record in Web of Science")</f>
        <v>View Full Record in Web of Science</v>
      </c>
    </row>
    <row r="899" ht="12.75" customHeight="1">
      <c r="A899" s="13" t="s">
        <v>5508</v>
      </c>
      <c r="B899" s="13" t="s">
        <v>21356</v>
      </c>
      <c r="C899" s="13" t="s">
        <v>5510</v>
      </c>
      <c r="D899" s="13" t="s">
        <v>5510</v>
      </c>
      <c r="E899" s="13" t="s">
        <v>5510</v>
      </c>
      <c r="F899" s="13" t="s">
        <v>21357</v>
      </c>
      <c r="G899" s="13" t="s">
        <v>5510</v>
      </c>
      <c r="H899" s="13" t="s">
        <v>5510</v>
      </c>
      <c r="I899" s="13" t="s">
        <v>21358</v>
      </c>
      <c r="J899" s="13" t="s">
        <v>46</v>
      </c>
      <c r="K899" s="13" t="s">
        <v>5510</v>
      </c>
      <c r="L899" s="13" t="s">
        <v>5510</v>
      </c>
      <c r="M899" s="13" t="s">
        <v>5513</v>
      </c>
      <c r="N899" s="13" t="s">
        <v>5514</v>
      </c>
      <c r="O899" s="13" t="s">
        <v>5510</v>
      </c>
      <c r="P899" s="13" t="s">
        <v>5510</v>
      </c>
      <c r="Q899" s="13" t="s">
        <v>5510</v>
      </c>
      <c r="R899" s="13" t="s">
        <v>5510</v>
      </c>
      <c r="S899" s="13" t="s">
        <v>5510</v>
      </c>
      <c r="T899" s="13" t="s">
        <v>21359</v>
      </c>
      <c r="U899" s="13" t="s">
        <v>21360</v>
      </c>
      <c r="V899" s="13" t="s">
        <v>21361</v>
      </c>
      <c r="W899" s="13" t="s">
        <v>21362</v>
      </c>
      <c r="X899" s="13" t="s">
        <v>21363</v>
      </c>
      <c r="Y899" s="13" t="s">
        <v>21364</v>
      </c>
      <c r="Z899" s="13" t="s">
        <v>21365</v>
      </c>
      <c r="AA899" s="13" t="s">
        <v>21366</v>
      </c>
      <c r="AB899" s="13" t="s">
        <v>21367</v>
      </c>
      <c r="AC899" s="13" t="s">
        <v>21368</v>
      </c>
      <c r="AD899" s="13" t="s">
        <v>21368</v>
      </c>
      <c r="AE899" s="13" t="s">
        <v>21369</v>
      </c>
      <c r="AF899" s="13" t="s">
        <v>5510</v>
      </c>
      <c r="AG899" s="13">
        <v>51.0</v>
      </c>
      <c r="AH899" s="13">
        <v>29.0</v>
      </c>
      <c r="AI899" s="13">
        <v>36.0</v>
      </c>
      <c r="AJ899" s="13">
        <v>0.0</v>
      </c>
      <c r="AK899" s="13">
        <v>49.0</v>
      </c>
      <c r="AL899" s="13" t="s">
        <v>7065</v>
      </c>
      <c r="AM899" s="13" t="s">
        <v>13281</v>
      </c>
      <c r="AN899" s="13" t="s">
        <v>13282</v>
      </c>
      <c r="AO899" s="13" t="s">
        <v>7734</v>
      </c>
      <c r="AP899" s="13" t="s">
        <v>7735</v>
      </c>
      <c r="AQ899" s="13" t="s">
        <v>5510</v>
      </c>
      <c r="AR899" s="13" t="s">
        <v>46</v>
      </c>
      <c r="AS899" s="13" t="s">
        <v>1196</v>
      </c>
      <c r="AT899" s="13" t="s">
        <v>5582</v>
      </c>
      <c r="AU899" s="13">
        <v>2018.0</v>
      </c>
      <c r="AV899" s="13">
        <v>52.0</v>
      </c>
      <c r="AW899" s="13">
        <v>1.0</v>
      </c>
      <c r="AX899" s="13" t="s">
        <v>5510</v>
      </c>
      <c r="AY899" s="13" t="s">
        <v>5510</v>
      </c>
      <c r="AZ899" s="13" t="s">
        <v>5510</v>
      </c>
      <c r="BA899" s="13" t="s">
        <v>5510</v>
      </c>
      <c r="BB899" s="13">
        <v>25.0</v>
      </c>
      <c r="BC899" s="13">
        <v>34.0</v>
      </c>
      <c r="BD899" s="13" t="s">
        <v>5510</v>
      </c>
      <c r="BE899" s="13" t="s">
        <v>21370</v>
      </c>
      <c r="BF899" s="52" t="str">
        <f>HYPERLINK("http://dx.doi.org/10.1017/S0030605317001144","http://dx.doi.org/10.1017/S0030605317001144")</f>
        <v>http://dx.doi.org/10.1017/S0030605317001144</v>
      </c>
      <c r="BG899" s="13" t="s">
        <v>5510</v>
      </c>
      <c r="BH899" s="13" t="s">
        <v>5510</v>
      </c>
      <c r="BI899" s="13">
        <v>10.0</v>
      </c>
      <c r="BJ899" s="13" t="s">
        <v>5958</v>
      </c>
      <c r="BK899" s="13" t="s">
        <v>5561</v>
      </c>
      <c r="BL899" s="13" t="s">
        <v>5699</v>
      </c>
      <c r="BM899" s="13" t="s">
        <v>21371</v>
      </c>
      <c r="BN899" s="13" t="s">
        <v>5510</v>
      </c>
      <c r="BO899" s="13" t="s">
        <v>5809</v>
      </c>
      <c r="BP899" s="13" t="s">
        <v>5510</v>
      </c>
      <c r="BQ899" s="13" t="s">
        <v>5510</v>
      </c>
      <c r="BR899" s="13" t="s">
        <v>5538</v>
      </c>
      <c r="BS899" s="13" t="s">
        <v>21372</v>
      </c>
      <c r="BT899" s="13">
        <v>25234.0</v>
      </c>
      <c r="BU899" s="13" t="s">
        <v>5540</v>
      </c>
      <c r="BV899" s="13" t="s">
        <v>4856</v>
      </c>
      <c r="BW899" s="13" t="str">
        <f>VLOOKUP($BT899,Enriched!$A$2:$E$1070,5,false)</f>
        <v>["Biological resource use"]</v>
      </c>
      <c r="BX899" s="13" t="str">
        <f>VLOOKUP($BT899,Enriched!$A$2:$E$1070,4,false)</f>
        <v>["Hunting &amp; collecting terrestrial animals"]</v>
      </c>
      <c r="BY899" s="13" t="b">
        <f>VLOOKUP(BT899,Enriched!$A$1:$AA$1070,27,falsE)</f>
        <v>0</v>
      </c>
      <c r="BZ899" s="2" t="str">
        <f>VLOOKUP(BT899,Enriched!$A$1:$AA$1070,14,falsE)</f>
        <v>level2</v>
      </c>
      <c r="CA899" s="13" t="str">
        <f>HYPERLINK("https%3A%2F%2Fwww.webofscience.com%2Fwos%2Fwoscc%2Ffull-record%2FWOS:000424137700007","View Full Record in Web of Science")</f>
        <v>View Full Record in Web of Science</v>
      </c>
    </row>
    <row r="900" ht="12.75" customHeight="1">
      <c r="A900" s="13" t="s">
        <v>5508</v>
      </c>
      <c r="B900" s="13" t="s">
        <v>21373</v>
      </c>
      <c r="C900" s="13" t="s">
        <v>5510</v>
      </c>
      <c r="D900" s="13" t="s">
        <v>5510</v>
      </c>
      <c r="E900" s="13" t="s">
        <v>5510</v>
      </c>
      <c r="F900" s="13" t="s">
        <v>21374</v>
      </c>
      <c r="G900" s="13" t="s">
        <v>5510</v>
      </c>
      <c r="H900" s="13" t="s">
        <v>5510</v>
      </c>
      <c r="I900" s="13" t="s">
        <v>152</v>
      </c>
      <c r="J900" s="13" t="s">
        <v>9546</v>
      </c>
      <c r="K900" s="13" t="s">
        <v>5510</v>
      </c>
      <c r="L900" s="13" t="s">
        <v>5510</v>
      </c>
      <c r="M900" s="13" t="s">
        <v>5513</v>
      </c>
      <c r="N900" s="13" t="s">
        <v>5514</v>
      </c>
      <c r="O900" s="13" t="s">
        <v>5510</v>
      </c>
      <c r="P900" s="13" t="s">
        <v>5510</v>
      </c>
      <c r="Q900" s="13" t="s">
        <v>5510</v>
      </c>
      <c r="R900" s="13" t="s">
        <v>5510</v>
      </c>
      <c r="S900" s="13" t="s">
        <v>5510</v>
      </c>
      <c r="T900" s="13" t="s">
        <v>21375</v>
      </c>
      <c r="U900" s="13" t="s">
        <v>21376</v>
      </c>
      <c r="V900" s="13" t="s">
        <v>21377</v>
      </c>
      <c r="W900" s="13" t="s">
        <v>21378</v>
      </c>
      <c r="X900" s="13" t="s">
        <v>21379</v>
      </c>
      <c r="Y900" s="13" t="s">
        <v>21380</v>
      </c>
      <c r="Z900" s="13" t="s">
        <v>21381</v>
      </c>
      <c r="AA900" s="13" t="s">
        <v>21382</v>
      </c>
      <c r="AB900" s="13" t="s">
        <v>21383</v>
      </c>
      <c r="AC900" s="13" t="s">
        <v>21384</v>
      </c>
      <c r="AD900" s="13" t="s">
        <v>21385</v>
      </c>
      <c r="AE900" s="13" t="s">
        <v>21386</v>
      </c>
      <c r="AF900" s="13" t="s">
        <v>5510</v>
      </c>
      <c r="AG900" s="13">
        <v>86.0</v>
      </c>
      <c r="AH900" s="13">
        <v>61.0</v>
      </c>
      <c r="AI900" s="13">
        <v>64.0</v>
      </c>
      <c r="AJ900" s="13">
        <v>0.0</v>
      </c>
      <c r="AK900" s="13">
        <v>119.0</v>
      </c>
      <c r="AL900" s="13" t="s">
        <v>7450</v>
      </c>
      <c r="AM900" s="13" t="s">
        <v>6046</v>
      </c>
      <c r="AN900" s="13" t="s">
        <v>7451</v>
      </c>
      <c r="AO900" s="13" t="s">
        <v>9559</v>
      </c>
      <c r="AP900" s="13" t="s">
        <v>9560</v>
      </c>
      <c r="AQ900" s="13" t="s">
        <v>5510</v>
      </c>
      <c r="AR900" s="13" t="s">
        <v>9561</v>
      </c>
      <c r="AS900" s="13" t="s">
        <v>9562</v>
      </c>
      <c r="AT900" s="13" t="s">
        <v>14605</v>
      </c>
      <c r="AU900" s="13">
        <v>2013.0</v>
      </c>
      <c r="AV900" s="13">
        <v>119.0</v>
      </c>
      <c r="AW900" s="13" t="s">
        <v>5510</v>
      </c>
      <c r="AX900" s="13" t="s">
        <v>5510</v>
      </c>
      <c r="AY900" s="13" t="s">
        <v>5510</v>
      </c>
      <c r="AZ900" s="13" t="s">
        <v>5510</v>
      </c>
      <c r="BA900" s="13" t="s">
        <v>5510</v>
      </c>
      <c r="BB900" s="13">
        <v>194.0</v>
      </c>
      <c r="BC900" s="13">
        <v>207.0</v>
      </c>
      <c r="BD900" s="13" t="s">
        <v>5510</v>
      </c>
      <c r="BE900" s="13" t="s">
        <v>21387</v>
      </c>
      <c r="BF900" s="52" t="str">
        <f>HYPERLINK("http://dx.doi.org/10.1016/j.jenvman.2013.01.036","http://dx.doi.org/10.1016/j.jenvman.2013.01.036")</f>
        <v>http://dx.doi.org/10.1016/j.jenvman.2013.01.036</v>
      </c>
      <c r="BG900" s="13" t="s">
        <v>5510</v>
      </c>
      <c r="BH900" s="13" t="s">
        <v>5510</v>
      </c>
      <c r="BI900" s="13">
        <v>14.0</v>
      </c>
      <c r="BJ900" s="13" t="s">
        <v>5768</v>
      </c>
      <c r="BK900" s="13" t="s">
        <v>5561</v>
      </c>
      <c r="BL900" s="13" t="s">
        <v>5535</v>
      </c>
      <c r="BM900" s="13" t="s">
        <v>21388</v>
      </c>
      <c r="BN900" s="13">
        <v>2.3500022E7</v>
      </c>
      <c r="BO900" s="13" t="s">
        <v>5510</v>
      </c>
      <c r="BP900" s="13" t="s">
        <v>5510</v>
      </c>
      <c r="BQ900" s="13" t="s">
        <v>5510</v>
      </c>
      <c r="BR900" s="13" t="s">
        <v>5538</v>
      </c>
      <c r="BS900" s="13" t="s">
        <v>21389</v>
      </c>
      <c r="BT900" s="13">
        <v>23086.0</v>
      </c>
      <c r="BU900" s="13" t="s">
        <v>5540</v>
      </c>
      <c r="BV900" s="13" t="s">
        <v>4864</v>
      </c>
      <c r="BW900" s="13" t="str">
        <f>VLOOKUP($BT900,Enriched!$A$2:$E$1070,5,false)</f>
        <v>["Pollution"]</v>
      </c>
      <c r="BX900" s="13" t="str">
        <f>VLOOKUP($BT900,Enriched!$A$2:$E$1070,4,false)</f>
        <v/>
      </c>
      <c r="BY900" s="13" t="b">
        <f>VLOOKUP(BT900,Enriched!$A$1:$AA$1070,27,falsE)</f>
        <v>1</v>
      </c>
      <c r="BZ900" s="2" t="str">
        <f>VLOOKUP(BT900,Enriched!$A$1:$AA$1070,14,falsE)</f>
        <v>level1</v>
      </c>
      <c r="CA900" s="13" t="str">
        <f>HYPERLINK("https%3A%2F%2Fwww.webofscience.com%2Fwos%2Fwoscc%2Ffull-record%2FWOS:000317796600021","View Full Record in Web of Science")</f>
        <v>View Full Record in Web of Science</v>
      </c>
    </row>
    <row r="901" ht="12.75" customHeight="1">
      <c r="A901" s="13" t="s">
        <v>5508</v>
      </c>
      <c r="B901" s="13" t="s">
        <v>21390</v>
      </c>
      <c r="C901" s="13" t="s">
        <v>5510</v>
      </c>
      <c r="D901" s="13" t="s">
        <v>5510</v>
      </c>
      <c r="E901" s="13" t="s">
        <v>5510</v>
      </c>
      <c r="F901" s="13" t="s">
        <v>21391</v>
      </c>
      <c r="G901" s="13" t="s">
        <v>5510</v>
      </c>
      <c r="H901" s="13" t="s">
        <v>5510</v>
      </c>
      <c r="I901" s="13" t="s">
        <v>148</v>
      </c>
      <c r="J901" s="13" t="s">
        <v>21392</v>
      </c>
      <c r="K901" s="13" t="s">
        <v>5510</v>
      </c>
      <c r="L901" s="13" t="s">
        <v>5510</v>
      </c>
      <c r="M901" s="13" t="s">
        <v>5513</v>
      </c>
      <c r="N901" s="13" t="s">
        <v>5488</v>
      </c>
      <c r="O901" s="13" t="s">
        <v>5510</v>
      </c>
      <c r="P901" s="13" t="s">
        <v>5510</v>
      </c>
      <c r="Q901" s="13" t="s">
        <v>5510</v>
      </c>
      <c r="R901" s="13" t="s">
        <v>5510</v>
      </c>
      <c r="S901" s="13" t="s">
        <v>5510</v>
      </c>
      <c r="T901" s="13" t="s">
        <v>21393</v>
      </c>
      <c r="U901" s="13" t="s">
        <v>5510</v>
      </c>
      <c r="V901" s="13" t="s">
        <v>5510</v>
      </c>
      <c r="W901" s="13" t="s">
        <v>5510</v>
      </c>
      <c r="X901" s="13" t="s">
        <v>5510</v>
      </c>
      <c r="Y901" s="13" t="s">
        <v>5510</v>
      </c>
      <c r="Z901" s="13" t="s">
        <v>5510</v>
      </c>
      <c r="AA901" s="13" t="s">
        <v>21394</v>
      </c>
      <c r="AB901" s="13" t="s">
        <v>5510</v>
      </c>
      <c r="AC901" s="13" t="s">
        <v>5510</v>
      </c>
      <c r="AD901" s="13" t="s">
        <v>5510</v>
      </c>
      <c r="AE901" s="13" t="s">
        <v>5510</v>
      </c>
      <c r="AF901" s="13" t="s">
        <v>5510</v>
      </c>
      <c r="AG901" s="13">
        <v>0.0</v>
      </c>
      <c r="AH901" s="13">
        <v>0.0</v>
      </c>
      <c r="AI901" s="13">
        <v>0.0</v>
      </c>
      <c r="AJ901" s="13">
        <v>0.0</v>
      </c>
      <c r="AK901" s="13">
        <v>1.0</v>
      </c>
      <c r="AL901" s="13" t="s">
        <v>9992</v>
      </c>
      <c r="AM901" s="13" t="s">
        <v>9993</v>
      </c>
      <c r="AN901" s="13" t="s">
        <v>9994</v>
      </c>
      <c r="AO901" s="13" t="s">
        <v>21395</v>
      </c>
      <c r="AP901" s="13" t="s">
        <v>21396</v>
      </c>
      <c r="AQ901" s="13" t="s">
        <v>5510</v>
      </c>
      <c r="AR901" s="13" t="s">
        <v>21397</v>
      </c>
      <c r="AS901" s="13" t="s">
        <v>21398</v>
      </c>
      <c r="AT901" s="13" t="s">
        <v>2738</v>
      </c>
      <c r="AU901" s="13">
        <v>2022.0</v>
      </c>
      <c r="AV901" s="13">
        <v>37.0</v>
      </c>
      <c r="AW901" s="13">
        <v>1.0</v>
      </c>
      <c r="AX901" s="13" t="s">
        <v>5510</v>
      </c>
      <c r="AY901" s="13" t="s">
        <v>5510</v>
      </c>
      <c r="AZ901" s="13" t="s">
        <v>5510</v>
      </c>
      <c r="BA901" s="13" t="s">
        <v>21399</v>
      </c>
      <c r="BB901" s="13">
        <v>170.0</v>
      </c>
      <c r="BC901" s="13">
        <v>170.0</v>
      </c>
      <c r="BD901" s="13" t="s">
        <v>5510</v>
      </c>
      <c r="BE901" s="13" t="str">
        <f>#REF!</f>
        <v>#REF!</v>
      </c>
      <c r="BF901" s="13" t="s">
        <v>5510</v>
      </c>
      <c r="BG901" s="13" t="s">
        <v>5510</v>
      </c>
      <c r="BH901" s="13" t="s">
        <v>5510</v>
      </c>
      <c r="BI901" s="13">
        <v>1.0</v>
      </c>
      <c r="BJ901" s="13" t="s">
        <v>21400</v>
      </c>
      <c r="BK901" s="13" t="s">
        <v>8375</v>
      </c>
      <c r="BL901" s="13" t="s">
        <v>21401</v>
      </c>
      <c r="BM901" s="13" t="s">
        <v>21402</v>
      </c>
      <c r="BN901" s="13" t="s">
        <v>5510</v>
      </c>
      <c r="BO901" s="13" t="s">
        <v>5510</v>
      </c>
      <c r="BP901" s="13" t="s">
        <v>5510</v>
      </c>
      <c r="BQ901" s="13" t="s">
        <v>5510</v>
      </c>
      <c r="BR901" s="13" t="s">
        <v>5538</v>
      </c>
      <c r="BS901" s="13" t="s">
        <v>21403</v>
      </c>
      <c r="BT901" s="13">
        <v>23685.0</v>
      </c>
      <c r="BU901" s="13" t="s">
        <v>5540</v>
      </c>
      <c r="BV901" s="13" t="s">
        <v>4886</v>
      </c>
      <c r="BW901" s="13" t="str">
        <f>VLOOKUP($BT901,Enriched!$A$2:$E$1070,5,false)</f>
        <v>["Agriculture &amp; Aquaculture"]</v>
      </c>
      <c r="BX901" s="13" t="str">
        <f>VLOOKUP($BT901,Enriched!$A$2:$E$1070,4,false)</f>
        <v>["Annual &amp; perennial non-timber crops", "Livestock farming &amp; ranching", "Wood &amp; pulp plantations", "Housing &amp; urban area"]</v>
      </c>
      <c r="BY901" s="13" t="b">
        <f>VLOOKUP(BT901,Enriched!$A$1:$AA$1070,27,falsE)</f>
        <v>0</v>
      </c>
      <c r="BZ901" s="2" t="str">
        <f>VLOOKUP(BT901,Enriched!$A$1:$AA$1070,14,falsE)</f>
        <v>level2</v>
      </c>
      <c r="CA901" s="13" t="str">
        <f>HYPERLINK("https%3A%2F%2Fwww.webofscience.com%2Fwos%2Fwoscc%2Ffull-record%2FWOS:000767392200233","View Full Record in Web of Science")</f>
        <v>View Full Record in Web of Science</v>
      </c>
    </row>
    <row r="902" ht="12.75" customHeight="1">
      <c r="A902" s="13" t="s">
        <v>5508</v>
      </c>
      <c r="B902" s="13" t="s">
        <v>21404</v>
      </c>
      <c r="C902" s="13" t="s">
        <v>5510</v>
      </c>
      <c r="D902" s="13" t="s">
        <v>5510</v>
      </c>
      <c r="E902" s="13" t="s">
        <v>5510</v>
      </c>
      <c r="F902" s="13" t="s">
        <v>21391</v>
      </c>
      <c r="G902" s="13" t="s">
        <v>5510</v>
      </c>
      <c r="H902" s="13" t="s">
        <v>5510</v>
      </c>
      <c r="I902" s="13" t="s">
        <v>148</v>
      </c>
      <c r="J902" s="13" t="s">
        <v>21405</v>
      </c>
      <c r="K902" s="13" t="s">
        <v>5510</v>
      </c>
      <c r="L902" s="13" t="s">
        <v>5510</v>
      </c>
      <c r="M902" s="13" t="s">
        <v>5513</v>
      </c>
      <c r="N902" s="13" t="s">
        <v>5514</v>
      </c>
      <c r="O902" s="13" t="s">
        <v>5510</v>
      </c>
      <c r="P902" s="13" t="s">
        <v>5510</v>
      </c>
      <c r="Q902" s="13" t="s">
        <v>5510</v>
      </c>
      <c r="R902" s="13" t="s">
        <v>5510</v>
      </c>
      <c r="S902" s="13" t="s">
        <v>5510</v>
      </c>
      <c r="T902" s="13" t="s">
        <v>21406</v>
      </c>
      <c r="U902" s="13" t="s">
        <v>21407</v>
      </c>
      <c r="V902" s="13" t="s">
        <v>21408</v>
      </c>
      <c r="W902" s="13" t="s">
        <v>21409</v>
      </c>
      <c r="X902" s="13" t="s">
        <v>21410</v>
      </c>
      <c r="Y902" s="13" t="s">
        <v>21411</v>
      </c>
      <c r="Z902" s="13" t="s">
        <v>21412</v>
      </c>
      <c r="AA902" s="13" t="s">
        <v>21413</v>
      </c>
      <c r="AB902" s="13" t="s">
        <v>21414</v>
      </c>
      <c r="AC902" s="13" t="s">
        <v>5510</v>
      </c>
      <c r="AD902" s="13" t="s">
        <v>5510</v>
      </c>
      <c r="AE902" s="13" t="s">
        <v>5510</v>
      </c>
      <c r="AF902" s="13" t="s">
        <v>5510</v>
      </c>
      <c r="AG902" s="13">
        <v>104.0</v>
      </c>
      <c r="AH902" s="13">
        <v>21.0</v>
      </c>
      <c r="AI902" s="13">
        <v>21.0</v>
      </c>
      <c r="AJ902" s="13">
        <v>1.0</v>
      </c>
      <c r="AK902" s="13">
        <v>67.0</v>
      </c>
      <c r="AL902" s="13" t="s">
        <v>12844</v>
      </c>
      <c r="AM902" s="13" t="s">
        <v>7386</v>
      </c>
      <c r="AN902" s="13" t="s">
        <v>12845</v>
      </c>
      <c r="AO902" s="13" t="s">
        <v>21415</v>
      </c>
      <c r="AP902" s="13" t="s">
        <v>21416</v>
      </c>
      <c r="AQ902" s="13" t="s">
        <v>5510</v>
      </c>
      <c r="AR902" s="13" t="s">
        <v>21417</v>
      </c>
      <c r="AS902" s="13" t="s">
        <v>21418</v>
      </c>
      <c r="AT902" s="13" t="s">
        <v>14605</v>
      </c>
      <c r="AU902" s="13">
        <v>2020.0</v>
      </c>
      <c r="AV902" s="13">
        <v>63.0</v>
      </c>
      <c r="AW902" s="13">
        <v>5.0</v>
      </c>
      <c r="AX902" s="13" t="s">
        <v>5510</v>
      </c>
      <c r="AY902" s="13" t="s">
        <v>5510</v>
      </c>
      <c r="AZ902" s="13" t="s">
        <v>5510</v>
      </c>
      <c r="BA902" s="13" t="s">
        <v>5510</v>
      </c>
      <c r="BB902" s="13">
        <v>935.0</v>
      </c>
      <c r="BC902" s="13">
        <v>957.0</v>
      </c>
      <c r="BD902" s="13" t="s">
        <v>5510</v>
      </c>
      <c r="BE902" s="13" t="s">
        <v>21419</v>
      </c>
      <c r="BF902" s="52" t="str">
        <f>HYPERLINK("http://dx.doi.org/10.1080/09640568.2019.1617681","http://dx.doi.org/10.1080/09640568.2019.1617681")</f>
        <v>http://dx.doi.org/10.1080/09640568.2019.1617681</v>
      </c>
      <c r="BG902" s="13" t="s">
        <v>5510</v>
      </c>
      <c r="BH902" s="13" t="s">
        <v>5510</v>
      </c>
      <c r="BI902" s="13">
        <v>23.0</v>
      </c>
      <c r="BJ902" s="13" t="s">
        <v>21420</v>
      </c>
      <c r="BK902" s="13" t="s">
        <v>8375</v>
      </c>
      <c r="BL902" s="13" t="s">
        <v>21421</v>
      </c>
      <c r="BM902" s="13" t="s">
        <v>21422</v>
      </c>
      <c r="BN902" s="13" t="s">
        <v>5510</v>
      </c>
      <c r="BO902" s="13" t="s">
        <v>5510</v>
      </c>
      <c r="BP902" s="13" t="s">
        <v>5510</v>
      </c>
      <c r="BQ902" s="13" t="s">
        <v>5510</v>
      </c>
      <c r="BR902" s="13" t="s">
        <v>5538</v>
      </c>
      <c r="BS902" s="13" t="s">
        <v>21423</v>
      </c>
      <c r="BT902" s="13">
        <v>23685.0</v>
      </c>
      <c r="BU902" s="13" t="s">
        <v>5540</v>
      </c>
      <c r="BV902" s="13" t="s">
        <v>4886</v>
      </c>
      <c r="BW902" s="13" t="str">
        <f>VLOOKUP($BT902,Enriched!$A$2:$E$1070,5,false)</f>
        <v>["Agriculture &amp; Aquaculture"]</v>
      </c>
      <c r="BX902" s="13" t="str">
        <f>VLOOKUP($BT902,Enriched!$A$2:$E$1070,4,false)</f>
        <v>["Annual &amp; perennial non-timber crops", "Livestock farming &amp; ranching", "Wood &amp; pulp plantations", "Housing &amp; urban area"]</v>
      </c>
      <c r="BY902" s="13" t="b">
        <f>VLOOKUP(BT902,Enriched!$A$1:$AA$1070,27,falsE)</f>
        <v>0</v>
      </c>
      <c r="BZ902" s="2" t="str">
        <f>VLOOKUP(BT902,Enriched!$A$1:$AA$1070,14,falsE)</f>
        <v>level2</v>
      </c>
      <c r="CA902" s="13" t="str">
        <f>HYPERLINK("https%3A%2F%2Fwww.webofscience.com%2Fwos%2Fwoscc%2Ffull-record%2FWOS:000513311200008","View Full Record in Web of Science")</f>
        <v>View Full Record in Web of Science</v>
      </c>
    </row>
    <row r="903" ht="12.75" customHeight="1">
      <c r="A903" s="13" t="s">
        <v>5508</v>
      </c>
      <c r="B903" s="13" t="s">
        <v>21424</v>
      </c>
      <c r="C903" s="13" t="s">
        <v>5510</v>
      </c>
      <c r="D903" s="13" t="s">
        <v>5510</v>
      </c>
      <c r="E903" s="13" t="s">
        <v>5510</v>
      </c>
      <c r="F903" s="13" t="s">
        <v>21425</v>
      </c>
      <c r="G903" s="13" t="s">
        <v>5510</v>
      </c>
      <c r="H903" s="13" t="s">
        <v>5510</v>
      </c>
      <c r="I903" s="13" t="s">
        <v>144</v>
      </c>
      <c r="J903" s="13" t="s">
        <v>6407</v>
      </c>
      <c r="K903" s="13" t="s">
        <v>5510</v>
      </c>
      <c r="L903" s="13" t="s">
        <v>5510</v>
      </c>
      <c r="M903" s="13" t="s">
        <v>5513</v>
      </c>
      <c r="N903" s="13" t="s">
        <v>5514</v>
      </c>
      <c r="O903" s="13" t="s">
        <v>5510</v>
      </c>
      <c r="P903" s="13" t="s">
        <v>5510</v>
      </c>
      <c r="Q903" s="13" t="s">
        <v>5510</v>
      </c>
      <c r="R903" s="13" t="s">
        <v>5510</v>
      </c>
      <c r="S903" s="13" t="s">
        <v>5510</v>
      </c>
      <c r="T903" s="13" t="s">
        <v>21426</v>
      </c>
      <c r="U903" s="13" t="s">
        <v>21427</v>
      </c>
      <c r="V903" s="13" t="s">
        <v>21428</v>
      </c>
      <c r="W903" s="13" t="s">
        <v>21429</v>
      </c>
      <c r="X903" s="13" t="s">
        <v>21430</v>
      </c>
      <c r="Y903" s="13" t="s">
        <v>21431</v>
      </c>
      <c r="Z903" s="13" t="s">
        <v>21432</v>
      </c>
      <c r="AA903" s="13" t="s">
        <v>21433</v>
      </c>
      <c r="AB903" s="13" t="s">
        <v>21434</v>
      </c>
      <c r="AC903" s="13" t="s">
        <v>21435</v>
      </c>
      <c r="AD903" s="13" t="s">
        <v>21435</v>
      </c>
      <c r="AE903" s="13" t="s">
        <v>21436</v>
      </c>
      <c r="AF903" s="13" t="s">
        <v>5510</v>
      </c>
      <c r="AG903" s="13">
        <v>49.0</v>
      </c>
      <c r="AH903" s="13">
        <v>48.0</v>
      </c>
      <c r="AI903" s="13">
        <v>50.0</v>
      </c>
      <c r="AJ903" s="13">
        <v>0.0</v>
      </c>
      <c r="AK903" s="13">
        <v>41.0</v>
      </c>
      <c r="AL903" s="13" t="s">
        <v>5759</v>
      </c>
      <c r="AM903" s="13" t="s">
        <v>5760</v>
      </c>
      <c r="AN903" s="13" t="s">
        <v>5761</v>
      </c>
      <c r="AO903" s="13" t="s">
        <v>6417</v>
      </c>
      <c r="AP903" s="13" t="s">
        <v>6418</v>
      </c>
      <c r="AQ903" s="13" t="s">
        <v>5510</v>
      </c>
      <c r="AR903" s="13" t="s">
        <v>6419</v>
      </c>
      <c r="AS903" s="13" t="s">
        <v>6420</v>
      </c>
      <c r="AT903" s="13" t="s">
        <v>6175</v>
      </c>
      <c r="AU903" s="13">
        <v>2018.0</v>
      </c>
      <c r="AV903" s="13">
        <v>91.0</v>
      </c>
      <c r="AW903" s="13" t="s">
        <v>5510</v>
      </c>
      <c r="AX903" s="13" t="s">
        <v>5510</v>
      </c>
      <c r="AY903" s="13" t="s">
        <v>5510</v>
      </c>
      <c r="AZ903" s="13" t="s">
        <v>5510</v>
      </c>
      <c r="BA903" s="13" t="s">
        <v>5510</v>
      </c>
      <c r="BB903" s="13">
        <v>171.0</v>
      </c>
      <c r="BC903" s="13">
        <v>181.0</v>
      </c>
      <c r="BD903" s="13" t="s">
        <v>5510</v>
      </c>
      <c r="BE903" s="13" t="s">
        <v>21437</v>
      </c>
      <c r="BF903" s="52" t="str">
        <f>HYPERLINK("http://dx.doi.org/10.1016/j.ecolind.2018.03.060","http://dx.doi.org/10.1016/j.ecolind.2018.03.060")</f>
        <v>http://dx.doi.org/10.1016/j.ecolind.2018.03.060</v>
      </c>
      <c r="BG903" s="13" t="s">
        <v>5510</v>
      </c>
      <c r="BH903" s="13" t="s">
        <v>5510</v>
      </c>
      <c r="BI903" s="13">
        <v>11.0</v>
      </c>
      <c r="BJ903" s="13" t="s">
        <v>6422</v>
      </c>
      <c r="BK903" s="13" t="s">
        <v>5561</v>
      </c>
      <c r="BL903" s="13" t="s">
        <v>5699</v>
      </c>
      <c r="BM903" s="13" t="s">
        <v>21438</v>
      </c>
      <c r="BN903" s="13" t="s">
        <v>5510</v>
      </c>
      <c r="BO903" s="13" t="s">
        <v>6623</v>
      </c>
      <c r="BP903" s="13" t="s">
        <v>5510</v>
      </c>
      <c r="BQ903" s="13" t="s">
        <v>5510</v>
      </c>
      <c r="BR903" s="13" t="s">
        <v>5538</v>
      </c>
      <c r="BS903" s="13" t="s">
        <v>21439</v>
      </c>
      <c r="BT903" s="13">
        <v>24777.0</v>
      </c>
      <c r="BU903" s="13" t="s">
        <v>5540</v>
      </c>
      <c r="BV903" s="13" t="s">
        <v>4864</v>
      </c>
      <c r="BW903" s="13" t="str">
        <f>VLOOKUP($BT903,Enriched!$A$2:$E$1070,5,false)</f>
        <v>["Transportation &amp; Service Corridors", "Biological Resource Use", "Pollution", "Human Intrusions &amp; Disturbance"]</v>
      </c>
      <c r="BX903" s="13" t="str">
        <f>VLOOKUP($BT903,Enriched!$A$2:$E$1070,4,false)</f>
        <v>["Shipping lanes", "Fishing &amp; harvesting aquatic resources", "Excess energy", "Recreational activities"]</v>
      </c>
      <c r="BY903" s="13" t="b">
        <f>VLOOKUP(BT903,Enriched!$A$1:$AA$1070,27,falsE)</f>
        <v>0</v>
      </c>
      <c r="BZ903" s="2" t="str">
        <f>VLOOKUP(BT903,Enriched!$A$1:$AA$1070,14,falsE)</f>
        <v>level2</v>
      </c>
      <c r="CA903" s="13" t="str">
        <f>HYPERLINK("https%3A%2F%2Fwww.webofscience.com%2Fwos%2Fwoscc%2Ffull-record%2FWOS:000444520600017","View Full Record in Web of Science")</f>
        <v>View Full Record in Web of Science</v>
      </c>
    </row>
    <row r="904" ht="12.75" customHeight="1">
      <c r="A904" s="13" t="s">
        <v>5508</v>
      </c>
      <c r="B904" s="13" t="s">
        <v>21440</v>
      </c>
      <c r="C904" s="13" t="s">
        <v>5510</v>
      </c>
      <c r="D904" s="13" t="s">
        <v>5510</v>
      </c>
      <c r="E904" s="13" t="s">
        <v>5510</v>
      </c>
      <c r="F904" s="13" t="s">
        <v>21441</v>
      </c>
      <c r="G904" s="13" t="s">
        <v>5510</v>
      </c>
      <c r="H904" s="13" t="s">
        <v>5510</v>
      </c>
      <c r="I904" s="13" t="s">
        <v>141</v>
      </c>
      <c r="J904" s="13" t="s">
        <v>5746</v>
      </c>
      <c r="K904" s="13" t="s">
        <v>5510</v>
      </c>
      <c r="L904" s="13" t="s">
        <v>5510</v>
      </c>
      <c r="M904" s="13" t="s">
        <v>5513</v>
      </c>
      <c r="N904" s="13" t="s">
        <v>5514</v>
      </c>
      <c r="O904" s="13" t="s">
        <v>5510</v>
      </c>
      <c r="P904" s="13" t="s">
        <v>5510</v>
      </c>
      <c r="Q904" s="13" t="s">
        <v>5510</v>
      </c>
      <c r="R904" s="13" t="s">
        <v>5510</v>
      </c>
      <c r="S904" s="13" t="s">
        <v>5510</v>
      </c>
      <c r="T904" s="13" t="s">
        <v>21442</v>
      </c>
      <c r="U904" s="13" t="s">
        <v>21443</v>
      </c>
      <c r="V904" s="13" t="s">
        <v>21444</v>
      </c>
      <c r="W904" s="13" t="s">
        <v>21445</v>
      </c>
      <c r="X904" s="13" t="s">
        <v>21446</v>
      </c>
      <c r="Y904" s="13" t="s">
        <v>21447</v>
      </c>
      <c r="Z904" s="13" t="s">
        <v>21448</v>
      </c>
      <c r="AA904" s="13" t="s">
        <v>21449</v>
      </c>
      <c r="AB904" s="13" t="s">
        <v>21450</v>
      </c>
      <c r="AC904" s="13" t="s">
        <v>21451</v>
      </c>
      <c r="AD904" s="13" t="s">
        <v>21452</v>
      </c>
      <c r="AE904" s="13" t="s">
        <v>21453</v>
      </c>
      <c r="AF904" s="13" t="s">
        <v>5510</v>
      </c>
      <c r="AG904" s="13">
        <v>86.0</v>
      </c>
      <c r="AH904" s="13">
        <v>86.0</v>
      </c>
      <c r="AI904" s="13">
        <v>92.0</v>
      </c>
      <c r="AJ904" s="13">
        <v>0.0</v>
      </c>
      <c r="AK904" s="13">
        <v>62.0</v>
      </c>
      <c r="AL904" s="13" t="s">
        <v>5759</v>
      </c>
      <c r="AM904" s="13" t="s">
        <v>5760</v>
      </c>
      <c r="AN904" s="13" t="s">
        <v>5761</v>
      </c>
      <c r="AO904" s="13" t="s">
        <v>5762</v>
      </c>
      <c r="AP904" s="13" t="s">
        <v>5763</v>
      </c>
      <c r="AQ904" s="13" t="s">
        <v>5510</v>
      </c>
      <c r="AR904" s="13" t="s">
        <v>5764</v>
      </c>
      <c r="AS904" s="13" t="s">
        <v>5765</v>
      </c>
      <c r="AT904" s="13" t="s">
        <v>7716</v>
      </c>
      <c r="AU904" s="13">
        <v>2019.0</v>
      </c>
      <c r="AV904" s="13">
        <v>659.0</v>
      </c>
      <c r="AW904" s="13" t="s">
        <v>5510</v>
      </c>
      <c r="AX904" s="13" t="s">
        <v>5510</v>
      </c>
      <c r="AY904" s="13" t="s">
        <v>5510</v>
      </c>
      <c r="AZ904" s="13" t="s">
        <v>5510</v>
      </c>
      <c r="BA904" s="13" t="s">
        <v>5510</v>
      </c>
      <c r="BB904" s="13">
        <v>828.0</v>
      </c>
      <c r="BC904" s="13">
        <v>840.0</v>
      </c>
      <c r="BD904" s="13" t="s">
        <v>5510</v>
      </c>
      <c r="BE904" s="13" t="s">
        <v>21454</v>
      </c>
      <c r="BF904" s="52" t="str">
        <f>HYPERLINK("http://dx.doi.org/10.1016/j.scitotenv.2018.12.238","http://dx.doi.org/10.1016/j.scitotenv.2018.12.238")</f>
        <v>http://dx.doi.org/10.1016/j.scitotenv.2018.12.238</v>
      </c>
      <c r="BG904" s="13" t="s">
        <v>5510</v>
      </c>
      <c r="BH904" s="13" t="s">
        <v>5510</v>
      </c>
      <c r="BI904" s="13">
        <v>13.0</v>
      </c>
      <c r="BJ904" s="13" t="s">
        <v>5768</v>
      </c>
      <c r="BK904" s="13" t="s">
        <v>5561</v>
      </c>
      <c r="BL904" s="13" t="s">
        <v>5535</v>
      </c>
      <c r="BM904" s="13" t="s">
        <v>21455</v>
      </c>
      <c r="BN904" s="13">
        <v>3.1096413E7</v>
      </c>
      <c r="BO904" s="13" t="s">
        <v>5510</v>
      </c>
      <c r="BP904" s="13" t="s">
        <v>5510</v>
      </c>
      <c r="BQ904" s="13" t="s">
        <v>5510</v>
      </c>
      <c r="BR904" s="13" t="s">
        <v>5538</v>
      </c>
      <c r="BS904" s="13" t="s">
        <v>21456</v>
      </c>
      <c r="BT904" s="13">
        <v>24659.0</v>
      </c>
      <c r="BU904" s="13" t="s">
        <v>5540</v>
      </c>
      <c r="BV904" s="13" t="s">
        <v>5083</v>
      </c>
      <c r="BW904" s="13" t="str">
        <f>VLOOKUP($BT904,Enriched!$A$2:$E$1070,5,false)</f>
        <v>["Natural system modifications"]</v>
      </c>
      <c r="BX904" s="13" t="str">
        <f>VLOOKUP($BT904,Enriched!$A$2:$E$1070,4,false)</f>
        <v>["Dams &amp; water management/use"]</v>
      </c>
      <c r="BY904" s="13" t="b">
        <f>VLOOKUP(BT904,Enriched!$A$1:$AA$1070,27,falsE)</f>
        <v>0</v>
      </c>
      <c r="BZ904" s="2" t="str">
        <f>VLOOKUP(BT904,Enriched!$A$1:$AA$1070,14,falsE)</f>
        <v>level2</v>
      </c>
      <c r="CA904" s="13" t="str">
        <f>HYPERLINK("https%3A%2F%2Fwww.webofscience.com%2Fwos%2Fwoscc%2Ffull-record%2FWOS:000457293700082","View Full Record in Web of Science")</f>
        <v>View Full Record in Web of Science</v>
      </c>
    </row>
    <row r="905" ht="12.75" customHeight="1">
      <c r="A905" s="13" t="s">
        <v>5508</v>
      </c>
      <c r="B905" s="13" t="s">
        <v>21457</v>
      </c>
      <c r="C905" s="13" t="s">
        <v>5510</v>
      </c>
      <c r="D905" s="13" t="s">
        <v>5510</v>
      </c>
      <c r="E905" s="13" t="s">
        <v>5510</v>
      </c>
      <c r="F905" s="13" t="s">
        <v>21458</v>
      </c>
      <c r="G905" s="13" t="s">
        <v>5510</v>
      </c>
      <c r="H905" s="13" t="s">
        <v>5510</v>
      </c>
      <c r="I905" s="2" t="s">
        <v>137</v>
      </c>
      <c r="J905" s="13" t="s">
        <v>6493</v>
      </c>
      <c r="K905" s="13" t="s">
        <v>5510</v>
      </c>
      <c r="L905" s="13" t="s">
        <v>5510</v>
      </c>
      <c r="M905" s="13" t="s">
        <v>5513</v>
      </c>
      <c r="N905" s="13" t="s">
        <v>5514</v>
      </c>
      <c r="O905" s="13" t="s">
        <v>5510</v>
      </c>
      <c r="P905" s="13" t="s">
        <v>5510</v>
      </c>
      <c r="Q905" s="13" t="s">
        <v>5510</v>
      </c>
      <c r="R905" s="13" t="s">
        <v>5510</v>
      </c>
      <c r="S905" s="13" t="s">
        <v>5510</v>
      </c>
      <c r="T905" s="13" t="s">
        <v>21459</v>
      </c>
      <c r="U905" s="13" t="s">
        <v>21460</v>
      </c>
      <c r="V905" s="13" t="s">
        <v>21461</v>
      </c>
      <c r="W905" s="13" t="s">
        <v>21462</v>
      </c>
      <c r="X905" s="13" t="s">
        <v>21463</v>
      </c>
      <c r="Y905" s="13" t="s">
        <v>21464</v>
      </c>
      <c r="Z905" s="13" t="s">
        <v>21465</v>
      </c>
      <c r="AA905" s="13" t="s">
        <v>21466</v>
      </c>
      <c r="AB905" s="13" t="s">
        <v>21467</v>
      </c>
      <c r="AC905" s="13" t="s">
        <v>21468</v>
      </c>
      <c r="AD905" s="13" t="s">
        <v>21469</v>
      </c>
      <c r="AE905" s="13" t="s">
        <v>21470</v>
      </c>
      <c r="AF905" s="13" t="s">
        <v>5510</v>
      </c>
      <c r="AG905" s="13">
        <v>38.0</v>
      </c>
      <c r="AH905" s="13">
        <v>105.0</v>
      </c>
      <c r="AI905" s="13">
        <v>132.0</v>
      </c>
      <c r="AJ905" s="13">
        <v>4.0</v>
      </c>
      <c r="AK905" s="13">
        <v>151.0</v>
      </c>
      <c r="AL905" s="13" t="s">
        <v>5690</v>
      </c>
      <c r="AM905" s="13" t="s">
        <v>6503</v>
      </c>
      <c r="AN905" s="13" t="s">
        <v>6504</v>
      </c>
      <c r="AO905" s="13" t="s">
        <v>6505</v>
      </c>
      <c r="AP905" s="13" t="s">
        <v>6506</v>
      </c>
      <c r="AQ905" s="13" t="s">
        <v>5510</v>
      </c>
      <c r="AR905" s="13" t="s">
        <v>6493</v>
      </c>
      <c r="AS905" s="13" t="s">
        <v>138</v>
      </c>
      <c r="AT905" s="13" t="s">
        <v>1925</v>
      </c>
      <c r="AU905" s="13">
        <v>2009.0</v>
      </c>
      <c r="AV905" s="13">
        <v>28.0</v>
      </c>
      <c r="AW905" s="13">
        <v>3.0</v>
      </c>
      <c r="AX905" s="13" t="s">
        <v>5510</v>
      </c>
      <c r="AY905" s="13" t="s">
        <v>5510</v>
      </c>
      <c r="AZ905" s="13" t="s">
        <v>5510</v>
      </c>
      <c r="BA905" s="13" t="s">
        <v>5510</v>
      </c>
      <c r="BB905" s="13">
        <v>635.0</v>
      </c>
      <c r="BC905" s="13">
        <v>650.0</v>
      </c>
      <c r="BD905" s="13" t="s">
        <v>5510</v>
      </c>
      <c r="BE905" s="13" t="s">
        <v>21471</v>
      </c>
      <c r="BF905" s="52" t="str">
        <f>HYPERLINK("http://dx.doi.org/10.1007/s00338-009-0490-z","http://dx.doi.org/10.1007/s00338-009-0490-z")</f>
        <v>http://dx.doi.org/10.1007/s00338-009-0490-z</v>
      </c>
      <c r="BG905" s="13" t="s">
        <v>5510</v>
      </c>
      <c r="BH905" s="13" t="s">
        <v>5510</v>
      </c>
      <c r="BI905" s="13">
        <v>16.0</v>
      </c>
      <c r="BJ905" s="13" t="s">
        <v>6508</v>
      </c>
      <c r="BK905" s="13" t="s">
        <v>5561</v>
      </c>
      <c r="BL905" s="13" t="s">
        <v>6508</v>
      </c>
      <c r="BM905" s="13" t="s">
        <v>21472</v>
      </c>
      <c r="BN905" s="13" t="s">
        <v>5510</v>
      </c>
      <c r="BO905" s="13" t="s">
        <v>6586</v>
      </c>
      <c r="BP905" s="13" t="s">
        <v>5510</v>
      </c>
      <c r="BQ905" s="13" t="s">
        <v>5510</v>
      </c>
      <c r="BR905" s="13" t="s">
        <v>5538</v>
      </c>
      <c r="BS905" s="13" t="s">
        <v>21473</v>
      </c>
      <c r="BT905" s="13">
        <v>25529.0</v>
      </c>
      <c r="BU905" s="13" t="s">
        <v>5540</v>
      </c>
      <c r="BV905" s="13" t="s">
        <v>4864</v>
      </c>
      <c r="BW905" s="13" t="str">
        <f>VLOOKUP($BT905,Enriched!$A$2:$E$1070,5,false)</f>
        <v>["Invasive &amp; Other Problematic Species, Genes &amp; Diseases", "Biological Resource Use", "Pollution", "Human Intrusions &amp; Disturbance", "Climate Change &amp; Severe Weather", "Transportation &amp; Service Corridors"]</v>
      </c>
      <c r="BX905" s="13" t="str">
        <f>VLOOKUP($BT905,Enriched!$A$2:$E$1070,4,false)</f>
        <v>["Invasive non-native/alien species/diseases", "Fishing &amp; harvesting aquatic resources", "Excess energy", "Garbage &amp; solid waste", "Work &amp; other activities", "Habitat shifting &amp; alteration", "Temperature extremes", "Air-borne pollutants", "Shipping lanes", "Industrial &amp; military effluents"]</v>
      </c>
      <c r="BY905" s="13" t="b">
        <f>VLOOKUP(BT905,Enriched!$A$1:$AA$1070,27,falsE)</f>
        <v>0</v>
      </c>
      <c r="BZ905" s="2" t="str">
        <f>VLOOKUP(BT905,Enriched!$A$1:$AA$1070,14,falsE)</f>
        <v>cumulative</v>
      </c>
      <c r="CA905" s="13" t="str">
        <f>HYPERLINK("https%3A%2F%2Fwww.webofscience.com%2Fwos%2Fwoscc%2Ffull-record%2FWOS:000268323800009","View Full Record in Web of Science")</f>
        <v>View Full Record in Web of Science</v>
      </c>
    </row>
    <row r="906" ht="12.75" customHeight="1">
      <c r="A906" s="13" t="s">
        <v>5508</v>
      </c>
      <c r="B906" s="13" t="s">
        <v>21474</v>
      </c>
      <c r="C906" s="13" t="s">
        <v>5510</v>
      </c>
      <c r="D906" s="13" t="s">
        <v>5510</v>
      </c>
      <c r="E906" s="13" t="s">
        <v>5510</v>
      </c>
      <c r="F906" s="13" t="s">
        <v>21475</v>
      </c>
      <c r="G906" s="13" t="s">
        <v>5510</v>
      </c>
      <c r="H906" s="13" t="s">
        <v>5510</v>
      </c>
      <c r="I906" s="13" t="s">
        <v>135</v>
      </c>
      <c r="J906" s="13" t="s">
        <v>5543</v>
      </c>
      <c r="K906" s="13" t="s">
        <v>5510</v>
      </c>
      <c r="L906" s="13" t="s">
        <v>5510</v>
      </c>
      <c r="M906" s="13" t="s">
        <v>5513</v>
      </c>
      <c r="N906" s="13" t="s">
        <v>5514</v>
      </c>
      <c r="O906" s="13" t="s">
        <v>5510</v>
      </c>
      <c r="P906" s="13" t="s">
        <v>5510</v>
      </c>
      <c r="Q906" s="13" t="s">
        <v>5510</v>
      </c>
      <c r="R906" s="13" t="s">
        <v>5510</v>
      </c>
      <c r="S906" s="13" t="s">
        <v>5510</v>
      </c>
      <c r="T906" s="13" t="s">
        <v>5510</v>
      </c>
      <c r="U906" s="13" t="s">
        <v>21476</v>
      </c>
      <c r="V906" s="13" t="s">
        <v>21477</v>
      </c>
      <c r="W906" s="13" t="s">
        <v>21478</v>
      </c>
      <c r="X906" s="13" t="s">
        <v>21479</v>
      </c>
      <c r="Y906" s="13" t="s">
        <v>21480</v>
      </c>
      <c r="Z906" s="13" t="s">
        <v>21481</v>
      </c>
      <c r="AA906" s="13" t="s">
        <v>21482</v>
      </c>
      <c r="AB906" s="13" t="s">
        <v>21483</v>
      </c>
      <c r="AC906" s="13" t="s">
        <v>21484</v>
      </c>
      <c r="AD906" s="13" t="s">
        <v>21485</v>
      </c>
      <c r="AE906" s="13" t="s">
        <v>21486</v>
      </c>
      <c r="AF906" s="13" t="s">
        <v>5510</v>
      </c>
      <c r="AG906" s="13">
        <v>35.0</v>
      </c>
      <c r="AH906" s="13">
        <v>25.0</v>
      </c>
      <c r="AI906" s="13">
        <v>28.0</v>
      </c>
      <c r="AJ906" s="13">
        <v>0.0</v>
      </c>
      <c r="AK906" s="13">
        <v>36.0</v>
      </c>
      <c r="AL906" s="13" t="s">
        <v>5552</v>
      </c>
      <c r="AM906" s="13" t="s">
        <v>5553</v>
      </c>
      <c r="AN906" s="13" t="s">
        <v>5554</v>
      </c>
      <c r="AO906" s="13" t="s">
        <v>5555</v>
      </c>
      <c r="AP906" s="13" t="s">
        <v>5510</v>
      </c>
      <c r="AQ906" s="13" t="s">
        <v>5510</v>
      </c>
      <c r="AR906" s="13" t="s">
        <v>5543</v>
      </c>
      <c r="AS906" s="13" t="s">
        <v>5556</v>
      </c>
      <c r="AT906" s="13" t="s">
        <v>19763</v>
      </c>
      <c r="AU906" s="13">
        <v>2017.0</v>
      </c>
      <c r="AV906" s="13">
        <v>12.0</v>
      </c>
      <c r="AW906" s="13">
        <v>12.0</v>
      </c>
      <c r="AX906" s="13" t="s">
        <v>5510</v>
      </c>
      <c r="AY906" s="13" t="s">
        <v>5510</v>
      </c>
      <c r="AZ906" s="13" t="s">
        <v>5510</v>
      </c>
      <c r="BA906" s="13" t="s">
        <v>5510</v>
      </c>
      <c r="BB906" s="13" t="s">
        <v>5510</v>
      </c>
      <c r="BC906" s="13" t="s">
        <v>5510</v>
      </c>
      <c r="BD906" s="13" t="s">
        <v>21487</v>
      </c>
      <c r="BE906" s="13" t="s">
        <v>21488</v>
      </c>
      <c r="BF906" s="52" t="str">
        <f>HYPERLINK("http://dx.doi.org/10.1371/journal.pone.0190021","http://dx.doi.org/10.1371/journal.pone.0190021")</f>
        <v>http://dx.doi.org/10.1371/journal.pone.0190021</v>
      </c>
      <c r="BG906" s="13" t="s">
        <v>5510</v>
      </c>
      <c r="BH906" s="13" t="s">
        <v>5510</v>
      </c>
      <c r="BI906" s="13">
        <v>15.0</v>
      </c>
      <c r="BJ906" s="13" t="s">
        <v>5560</v>
      </c>
      <c r="BK906" s="13" t="s">
        <v>5561</v>
      </c>
      <c r="BL906" s="13" t="s">
        <v>5562</v>
      </c>
      <c r="BM906" s="13" t="s">
        <v>21489</v>
      </c>
      <c r="BN906" s="13">
        <v>2.9284017E7</v>
      </c>
      <c r="BO906" s="13" t="s">
        <v>5564</v>
      </c>
      <c r="BP906" s="13" t="s">
        <v>5510</v>
      </c>
      <c r="BQ906" s="13" t="s">
        <v>5510</v>
      </c>
      <c r="BR906" s="13" t="s">
        <v>5538</v>
      </c>
      <c r="BS906" s="13" t="s">
        <v>21490</v>
      </c>
      <c r="BT906" s="13">
        <v>25158.0</v>
      </c>
      <c r="BU906" s="13" t="s">
        <v>5540</v>
      </c>
      <c r="BV906" s="13" t="s">
        <v>4864</v>
      </c>
      <c r="BW906" s="13" t="str">
        <f>VLOOKUP($BT906,Enriched!$A$2:$E$1070,5,false)</f>
        <v>["Biological resource use"]</v>
      </c>
      <c r="BX906" s="13" t="str">
        <f>VLOOKUP($BT906,Enriched!$A$2:$E$1070,4,false)</f>
        <v>["Fishing &amp; harvesting aquatic resources"]</v>
      </c>
      <c r="BY906" s="13" t="b">
        <f>VLOOKUP(BT906,Enriched!$A$1:$AA$1070,27,falsE)</f>
        <v>0</v>
      </c>
      <c r="BZ906" s="2" t="str">
        <f>VLOOKUP(BT906,Enriched!$A$1:$AA$1070,14,falsE)</f>
        <v>level2</v>
      </c>
      <c r="CA906" s="13" t="str">
        <f>HYPERLINK("https%3A%2F%2Fwww.webofscience.com%2Fwos%2Fwoscc%2Ffull-record%2FWOS:000419033400026","View Full Record in Web of Science")</f>
        <v>View Full Record in Web of Science</v>
      </c>
    </row>
    <row r="907" ht="12.75" customHeight="1">
      <c r="A907" s="13" t="s">
        <v>5508</v>
      </c>
      <c r="B907" s="13" t="s">
        <v>21491</v>
      </c>
      <c r="C907" s="13" t="s">
        <v>5510</v>
      </c>
      <c r="D907" s="13" t="s">
        <v>5510</v>
      </c>
      <c r="E907" s="13" t="s">
        <v>5510</v>
      </c>
      <c r="F907" s="13" t="s">
        <v>21492</v>
      </c>
      <c r="G907" s="13" t="s">
        <v>5510</v>
      </c>
      <c r="H907" s="13" t="s">
        <v>5510</v>
      </c>
      <c r="I907" s="13" t="s">
        <v>131</v>
      </c>
      <c r="J907" s="13" t="s">
        <v>5849</v>
      </c>
      <c r="K907" s="13" t="s">
        <v>5510</v>
      </c>
      <c r="L907" s="13" t="s">
        <v>5510</v>
      </c>
      <c r="M907" s="13" t="s">
        <v>5513</v>
      </c>
      <c r="N907" s="13" t="s">
        <v>5514</v>
      </c>
      <c r="O907" s="13" t="s">
        <v>5510</v>
      </c>
      <c r="P907" s="13" t="s">
        <v>5510</v>
      </c>
      <c r="Q907" s="13" t="s">
        <v>5510</v>
      </c>
      <c r="R907" s="13" t="s">
        <v>5510</v>
      </c>
      <c r="S907" s="13" t="s">
        <v>5510</v>
      </c>
      <c r="T907" s="13" t="s">
        <v>21493</v>
      </c>
      <c r="U907" s="13" t="s">
        <v>21494</v>
      </c>
      <c r="V907" s="13" t="s">
        <v>21495</v>
      </c>
      <c r="W907" s="13" t="s">
        <v>21496</v>
      </c>
      <c r="X907" s="13" t="s">
        <v>21497</v>
      </c>
      <c r="Y907" s="13" t="s">
        <v>21498</v>
      </c>
      <c r="Z907" s="13" t="s">
        <v>21499</v>
      </c>
      <c r="AA907" s="13" t="s">
        <v>21500</v>
      </c>
      <c r="AB907" s="13" t="s">
        <v>21501</v>
      </c>
      <c r="AC907" s="13" t="s">
        <v>21502</v>
      </c>
      <c r="AD907" s="13" t="s">
        <v>21503</v>
      </c>
      <c r="AE907" s="13" t="s">
        <v>21504</v>
      </c>
      <c r="AF907" s="13" t="s">
        <v>5510</v>
      </c>
      <c r="AG907" s="13">
        <v>69.0</v>
      </c>
      <c r="AH907" s="13">
        <v>34.0</v>
      </c>
      <c r="AI907" s="13">
        <v>36.0</v>
      </c>
      <c r="AJ907" s="13">
        <v>1.0</v>
      </c>
      <c r="AK907" s="13">
        <v>49.0</v>
      </c>
      <c r="AL907" s="13" t="s">
        <v>5527</v>
      </c>
      <c r="AM907" s="13" t="s">
        <v>5528</v>
      </c>
      <c r="AN907" s="13" t="s">
        <v>5529</v>
      </c>
      <c r="AO907" s="13" t="s">
        <v>5862</v>
      </c>
      <c r="AP907" s="13" t="s">
        <v>5863</v>
      </c>
      <c r="AQ907" s="13" t="s">
        <v>5510</v>
      </c>
      <c r="AR907" s="13" t="s">
        <v>5864</v>
      </c>
      <c r="AS907" s="13" t="s">
        <v>5865</v>
      </c>
      <c r="AT907" s="13" t="s">
        <v>6828</v>
      </c>
      <c r="AU907" s="13">
        <v>2017.0</v>
      </c>
      <c r="AV907" s="13">
        <v>27.0</v>
      </c>
      <c r="AW907" s="13">
        <v>2.0</v>
      </c>
      <c r="AX907" s="13" t="s">
        <v>5510</v>
      </c>
      <c r="AY907" s="13" t="s">
        <v>5510</v>
      </c>
      <c r="AZ907" s="13" t="s">
        <v>5510</v>
      </c>
      <c r="BA907" s="13" t="s">
        <v>5510</v>
      </c>
      <c r="BB907" s="13">
        <v>324.0</v>
      </c>
      <c r="BC907" s="13">
        <v>339.0</v>
      </c>
      <c r="BD907" s="13" t="s">
        <v>5510</v>
      </c>
      <c r="BE907" s="13" t="s">
        <v>21505</v>
      </c>
      <c r="BF907" s="52" t="str">
        <f>HYPERLINK("http://dx.doi.org/10.1002/aqc.2688","http://dx.doi.org/10.1002/aqc.2688")</f>
        <v>http://dx.doi.org/10.1002/aqc.2688</v>
      </c>
      <c r="BG907" s="13" t="s">
        <v>5510</v>
      </c>
      <c r="BH907" s="13" t="s">
        <v>5510</v>
      </c>
      <c r="BI907" s="13">
        <v>16.0</v>
      </c>
      <c r="BJ907" s="13" t="s">
        <v>5869</v>
      </c>
      <c r="BK907" s="13" t="s">
        <v>5561</v>
      </c>
      <c r="BL907" s="13" t="s">
        <v>5870</v>
      </c>
      <c r="BM907" s="13" t="s">
        <v>21506</v>
      </c>
      <c r="BN907" s="13" t="s">
        <v>5510</v>
      </c>
      <c r="BO907" s="13" t="s">
        <v>5510</v>
      </c>
      <c r="BP907" s="13" t="s">
        <v>5510</v>
      </c>
      <c r="BQ907" s="13" t="s">
        <v>5510</v>
      </c>
      <c r="BR907" s="13" t="s">
        <v>5538</v>
      </c>
      <c r="BS907" s="13" t="s">
        <v>21507</v>
      </c>
      <c r="BT907" s="13">
        <v>26042.0</v>
      </c>
      <c r="BU907" s="13" t="s">
        <v>5540</v>
      </c>
      <c r="BV907" s="13" t="s">
        <v>4864</v>
      </c>
      <c r="BW907" s="13" t="str">
        <f>VLOOKUP($BT907,Enriched!$A$2:$E$1070,5,false)</f>
        <v>["Energy Production &amp; Mining", "Residential &amp; Commercial Development", "Human Intrusions &amp; Disturbance", "Pollution"]</v>
      </c>
      <c r="BX907" s="13" t="str">
        <f>VLOOKUP($BT907,Enriched!$A$2:$E$1070,4,false)</f>
        <v>["Oil &amp; gas drilling", "Commercial &amp; industrial areas", "Recreational activities", "Tourism &amp; recreation areas"]</v>
      </c>
      <c r="BY907" s="13" t="b">
        <f>VLOOKUP(BT907,Enriched!$A$1:$AA$1070,27,falsE)</f>
        <v>1</v>
      </c>
      <c r="BZ907" s="2" t="str">
        <f>VLOOKUP(BT907,Enriched!$A$1:$AA$1070,14,falsE)</f>
        <v>level2</v>
      </c>
      <c r="CA907" s="13" t="str">
        <f>HYPERLINK("https%3A%2F%2Fwww.webofscience.com%2Fwos%2Fwoscc%2Ffull-record%2FWOS:000398678800003","View Full Record in Web of Science")</f>
        <v>View Full Record in Web of Science</v>
      </c>
    </row>
    <row r="908" ht="12.75" customHeight="1">
      <c r="A908" s="13" t="s">
        <v>5508</v>
      </c>
      <c r="B908" s="13" t="s">
        <v>21508</v>
      </c>
      <c r="C908" s="13" t="s">
        <v>5510</v>
      </c>
      <c r="D908" s="13" t="s">
        <v>5510</v>
      </c>
      <c r="E908" s="13" t="s">
        <v>5510</v>
      </c>
      <c r="F908" s="13" t="s">
        <v>21509</v>
      </c>
      <c r="G908" s="13" t="s">
        <v>5510</v>
      </c>
      <c r="H908" s="13" t="s">
        <v>5510</v>
      </c>
      <c r="I908" s="13" t="s">
        <v>128</v>
      </c>
      <c r="J908" s="13" t="s">
        <v>5746</v>
      </c>
      <c r="K908" s="13" t="s">
        <v>5510</v>
      </c>
      <c r="L908" s="13" t="s">
        <v>5510</v>
      </c>
      <c r="M908" s="13" t="s">
        <v>5513</v>
      </c>
      <c r="N908" s="13" t="s">
        <v>5514</v>
      </c>
      <c r="O908" s="13" t="s">
        <v>5510</v>
      </c>
      <c r="P908" s="13" t="s">
        <v>5510</v>
      </c>
      <c r="Q908" s="13" t="s">
        <v>5510</v>
      </c>
      <c r="R908" s="13" t="s">
        <v>5510</v>
      </c>
      <c r="S908" s="13" t="s">
        <v>5510</v>
      </c>
      <c r="T908" s="13" t="s">
        <v>21510</v>
      </c>
      <c r="U908" s="13" t="s">
        <v>21511</v>
      </c>
      <c r="V908" s="13" t="s">
        <v>21512</v>
      </c>
      <c r="W908" s="13" t="s">
        <v>21513</v>
      </c>
      <c r="X908" s="13" t="s">
        <v>21514</v>
      </c>
      <c r="Y908" s="13" t="s">
        <v>21515</v>
      </c>
      <c r="Z908" s="13" t="s">
        <v>21516</v>
      </c>
      <c r="AA908" s="13" t="s">
        <v>21517</v>
      </c>
      <c r="AB908" s="13" t="s">
        <v>21518</v>
      </c>
      <c r="AC908" s="13" t="s">
        <v>21519</v>
      </c>
      <c r="AD908" s="13" t="s">
        <v>21520</v>
      </c>
      <c r="AE908" s="13" t="s">
        <v>21521</v>
      </c>
      <c r="AF908" s="13" t="s">
        <v>5510</v>
      </c>
      <c r="AG908" s="13">
        <v>44.0</v>
      </c>
      <c r="AH908" s="13">
        <v>82.0</v>
      </c>
      <c r="AI908" s="13">
        <v>92.0</v>
      </c>
      <c r="AJ908" s="13">
        <v>2.0</v>
      </c>
      <c r="AK908" s="13">
        <v>111.0</v>
      </c>
      <c r="AL908" s="13" t="s">
        <v>5759</v>
      </c>
      <c r="AM908" s="13" t="s">
        <v>5760</v>
      </c>
      <c r="AN908" s="13" t="s">
        <v>5761</v>
      </c>
      <c r="AO908" s="13" t="s">
        <v>5762</v>
      </c>
      <c r="AP908" s="13" t="s">
        <v>5763</v>
      </c>
      <c r="AQ908" s="13" t="s">
        <v>5510</v>
      </c>
      <c r="AR908" s="13" t="s">
        <v>5764</v>
      </c>
      <c r="AS908" s="13" t="s">
        <v>5765</v>
      </c>
      <c r="AT908" s="13" t="s">
        <v>10481</v>
      </c>
      <c r="AU908" s="13">
        <v>2016.0</v>
      </c>
      <c r="AV908" s="13">
        <v>545.0</v>
      </c>
      <c r="AW908" s="13" t="s">
        <v>5510</v>
      </c>
      <c r="AX908" s="13" t="s">
        <v>5510</v>
      </c>
      <c r="AY908" s="13" t="s">
        <v>5510</v>
      </c>
      <c r="AZ908" s="13" t="s">
        <v>5510</v>
      </c>
      <c r="BA908" s="13" t="s">
        <v>5510</v>
      </c>
      <c r="BB908" s="13">
        <v>11.0</v>
      </c>
      <c r="BC908" s="13">
        <v>20.0</v>
      </c>
      <c r="BD908" s="13" t="s">
        <v>5510</v>
      </c>
      <c r="BE908" s="13" t="s">
        <v>21522</v>
      </c>
      <c r="BF908" s="52" t="str">
        <f>HYPERLINK("http://dx.doi.org/10.1016/j.scitotenv.2015.12.092","http://dx.doi.org/10.1016/j.scitotenv.2015.12.092")</f>
        <v>http://dx.doi.org/10.1016/j.scitotenv.2015.12.092</v>
      </c>
      <c r="BG908" s="13" t="s">
        <v>5510</v>
      </c>
      <c r="BH908" s="13" t="s">
        <v>5510</v>
      </c>
      <c r="BI908" s="13">
        <v>10.0</v>
      </c>
      <c r="BJ908" s="13" t="s">
        <v>5768</v>
      </c>
      <c r="BK908" s="13" t="s">
        <v>5561</v>
      </c>
      <c r="BL908" s="13" t="s">
        <v>5535</v>
      </c>
      <c r="BM908" s="13" t="s">
        <v>21523</v>
      </c>
      <c r="BN908" s="13">
        <v>2.6745288E7</v>
      </c>
      <c r="BO908" s="13" t="s">
        <v>6028</v>
      </c>
      <c r="BP908" s="13" t="s">
        <v>5510</v>
      </c>
      <c r="BQ908" s="13" t="s">
        <v>5510</v>
      </c>
      <c r="BR908" s="13" t="s">
        <v>5538</v>
      </c>
      <c r="BS908" s="13" t="s">
        <v>21524</v>
      </c>
      <c r="BT908" s="13">
        <v>25033.0</v>
      </c>
      <c r="BU908" s="13" t="s">
        <v>5540</v>
      </c>
      <c r="BV908" s="13" t="s">
        <v>4856</v>
      </c>
      <c r="BW908" s="13" t="str">
        <f>VLOOKUP($BT908,Enriched!$A$2:$E$1070,5,false)</f>
        <v>["Invasive &amp; Other Problematic Species, Genes &amp; Diseases", "Climate Change &amp; Severe Weather", "Pollution", "Residential &amp; commercial development", "Biological resource use"]</v>
      </c>
      <c r="BX908" s="13" t="str">
        <f>VLOOKUP($BT908,Enriched!$A$2:$E$1070,4,false)</f>
        <v>["Invasive non-native/alien species/diseases", "Habitat shifting &amp; alteration","Industrial &amp; military effluents",  "Introduced genetic material", "Excess energy"]</v>
      </c>
      <c r="BY908" s="13" t="b">
        <f>VLOOKUP(BT908,Enriched!$A$1:$AA$1070,27,falsE)</f>
        <v>1</v>
      </c>
      <c r="BZ908" s="2" t="str">
        <f>VLOOKUP(BT908,Enriched!$A$1:$AA$1070,14,falsE)</f>
        <v>cumulative</v>
      </c>
      <c r="CA908" s="13" t="str">
        <f>HYPERLINK("https%3A%2F%2Fwww.webofscience.com%2Fwos%2Fwoscc%2Ffull-record%2FWOS:000369493000002","View Full Record in Web of Science")</f>
        <v>View Full Record in Web of Science</v>
      </c>
    </row>
    <row r="909" ht="12.75" customHeight="1">
      <c r="A909" s="13" t="s">
        <v>5508</v>
      </c>
      <c r="B909" s="13" t="s">
        <v>21525</v>
      </c>
      <c r="C909" s="13" t="s">
        <v>5510</v>
      </c>
      <c r="D909" s="13" t="s">
        <v>5510</v>
      </c>
      <c r="E909" s="13" t="s">
        <v>5510</v>
      </c>
      <c r="F909" s="13" t="s">
        <v>21526</v>
      </c>
      <c r="G909" s="13" t="s">
        <v>5510</v>
      </c>
      <c r="H909" s="13" t="s">
        <v>5510</v>
      </c>
      <c r="I909" s="13" t="s">
        <v>124</v>
      </c>
      <c r="J909" s="13" t="s">
        <v>7670</v>
      </c>
      <c r="K909" s="13" t="s">
        <v>5510</v>
      </c>
      <c r="L909" s="13" t="s">
        <v>5510</v>
      </c>
      <c r="M909" s="13" t="s">
        <v>5513</v>
      </c>
      <c r="N909" s="13" t="s">
        <v>5514</v>
      </c>
      <c r="O909" s="13" t="s">
        <v>5510</v>
      </c>
      <c r="P909" s="13" t="s">
        <v>5510</v>
      </c>
      <c r="Q909" s="13" t="s">
        <v>5510</v>
      </c>
      <c r="R909" s="13" t="s">
        <v>5510</v>
      </c>
      <c r="S909" s="13" t="s">
        <v>5510</v>
      </c>
      <c r="T909" s="13" t="s">
        <v>21527</v>
      </c>
      <c r="U909" s="13" t="s">
        <v>21528</v>
      </c>
      <c r="V909" s="13" t="s">
        <v>21529</v>
      </c>
      <c r="W909" s="13" t="s">
        <v>21530</v>
      </c>
      <c r="X909" s="13" t="s">
        <v>21531</v>
      </c>
      <c r="Y909" s="13" t="s">
        <v>21532</v>
      </c>
      <c r="Z909" s="13" t="s">
        <v>21533</v>
      </c>
      <c r="AA909" s="13" t="s">
        <v>21534</v>
      </c>
      <c r="AB909" s="13" t="s">
        <v>21535</v>
      </c>
      <c r="AC909" s="13" t="s">
        <v>21536</v>
      </c>
      <c r="AD909" s="13" t="s">
        <v>21537</v>
      </c>
      <c r="AE909" s="13" t="s">
        <v>21538</v>
      </c>
      <c r="AF909" s="13" t="s">
        <v>5510</v>
      </c>
      <c r="AG909" s="13">
        <v>40.0</v>
      </c>
      <c r="AH909" s="13">
        <v>82.0</v>
      </c>
      <c r="AI909" s="13">
        <v>90.0</v>
      </c>
      <c r="AJ909" s="13">
        <v>4.0</v>
      </c>
      <c r="AK909" s="13">
        <v>127.0</v>
      </c>
      <c r="AL909" s="13" t="s">
        <v>5690</v>
      </c>
      <c r="AM909" s="13" t="s">
        <v>6503</v>
      </c>
      <c r="AN909" s="13" t="s">
        <v>6504</v>
      </c>
      <c r="AO909" s="13" t="s">
        <v>7682</v>
      </c>
      <c r="AP909" s="13" t="s">
        <v>7683</v>
      </c>
      <c r="AQ909" s="13" t="s">
        <v>5510</v>
      </c>
      <c r="AR909" s="13" t="s">
        <v>7684</v>
      </c>
      <c r="AS909" s="13" t="s">
        <v>7685</v>
      </c>
      <c r="AT909" s="13" t="s">
        <v>6828</v>
      </c>
      <c r="AU909" s="13">
        <v>2016.0</v>
      </c>
      <c r="AV909" s="13">
        <v>37.0</v>
      </c>
      <c r="AW909" s="13">
        <v>2.0</v>
      </c>
      <c r="AX909" s="13" t="s">
        <v>5510</v>
      </c>
      <c r="AY909" s="13" t="s">
        <v>5510</v>
      </c>
      <c r="AZ909" s="13" t="s">
        <v>5510</v>
      </c>
      <c r="BA909" s="13" t="s">
        <v>5510</v>
      </c>
      <c r="BB909" s="13">
        <v>158.0</v>
      </c>
      <c r="BC909" s="13">
        <v>174.0</v>
      </c>
      <c r="BD909" s="13" t="s">
        <v>5510</v>
      </c>
      <c r="BE909" s="13" t="s">
        <v>21539</v>
      </c>
      <c r="BF909" s="52" t="str">
        <f>HYPERLINK("http://dx.doi.org/10.1007/s10764-016-9890-4","http://dx.doi.org/10.1007/s10764-016-9890-4")</f>
        <v>http://dx.doi.org/10.1007/s10764-016-9890-4</v>
      </c>
      <c r="BG909" s="13" t="s">
        <v>5510</v>
      </c>
      <c r="BH909" s="13" t="s">
        <v>5510</v>
      </c>
      <c r="BI909" s="13">
        <v>17.0</v>
      </c>
      <c r="BJ909" s="13" t="s">
        <v>6899</v>
      </c>
      <c r="BK909" s="13" t="s">
        <v>5561</v>
      </c>
      <c r="BL909" s="13" t="s">
        <v>6899</v>
      </c>
      <c r="BM909" s="13" t="s">
        <v>21540</v>
      </c>
      <c r="BN909" s="13" t="s">
        <v>5510</v>
      </c>
      <c r="BO909" s="13" t="s">
        <v>5510</v>
      </c>
      <c r="BP909" s="13" t="s">
        <v>5510</v>
      </c>
      <c r="BQ909" s="13" t="s">
        <v>5510</v>
      </c>
      <c r="BR909" s="13" t="s">
        <v>5538</v>
      </c>
      <c r="BS909" s="13" t="s">
        <v>21541</v>
      </c>
      <c r="BT909" s="13">
        <v>24078.0</v>
      </c>
      <c r="BU909" s="13" t="s">
        <v>5540</v>
      </c>
      <c r="BV909" s="13" t="s">
        <v>4856</v>
      </c>
      <c r="BW909" s="13" t="str">
        <f>VLOOKUP($BT909,Enriched!$A$2:$E$1070,5,false)</f>
        <v>["Climate change &amp; severe weather"]</v>
      </c>
      <c r="BX909" s="13" t="str">
        <f>VLOOKUP($BT909,Enriched!$A$2:$E$1070,4,false)</f>
        <v>["Habitat shifting &amp; alteration", "Temperature extremes"]</v>
      </c>
      <c r="BY909" s="13" t="b">
        <f>VLOOKUP(BT909,Enriched!$A$1:$AA$1070,27,falsE)</f>
        <v>0</v>
      </c>
      <c r="BZ909" s="2" t="str">
        <f>VLOOKUP(BT909,Enriched!$A$1:$AA$1070,14,falsE)</f>
        <v>level2</v>
      </c>
      <c r="CA909" s="13" t="str">
        <f>HYPERLINK("https%3A%2F%2Fwww.webofscience.com%2Fwos%2Fwoscc%2Ffull-record%2FWOS:000376286300003","View Full Record in Web of Science")</f>
        <v>View Full Record in Web of Science</v>
      </c>
    </row>
    <row r="910" ht="12.75" customHeight="1">
      <c r="A910" s="13" t="s">
        <v>5508</v>
      </c>
      <c r="B910" s="13" t="s">
        <v>21542</v>
      </c>
      <c r="C910" s="13" t="s">
        <v>5510</v>
      </c>
      <c r="D910" s="13" t="s">
        <v>5510</v>
      </c>
      <c r="E910" s="13" t="s">
        <v>5510</v>
      </c>
      <c r="F910" s="13" t="s">
        <v>21543</v>
      </c>
      <c r="G910" s="13" t="s">
        <v>5510</v>
      </c>
      <c r="H910" s="13" t="s">
        <v>5510</v>
      </c>
      <c r="I910" s="13" t="s">
        <v>120</v>
      </c>
      <c r="J910" s="13" t="s">
        <v>7005</v>
      </c>
      <c r="K910" s="13" t="s">
        <v>5510</v>
      </c>
      <c r="L910" s="13" t="s">
        <v>5510</v>
      </c>
      <c r="M910" s="13" t="s">
        <v>5513</v>
      </c>
      <c r="N910" s="13" t="s">
        <v>5514</v>
      </c>
      <c r="O910" s="13" t="s">
        <v>5510</v>
      </c>
      <c r="P910" s="13" t="s">
        <v>5510</v>
      </c>
      <c r="Q910" s="13" t="s">
        <v>5510</v>
      </c>
      <c r="R910" s="13" t="s">
        <v>5510</v>
      </c>
      <c r="S910" s="13" t="s">
        <v>5510</v>
      </c>
      <c r="T910" s="13" t="s">
        <v>21544</v>
      </c>
      <c r="U910" s="13" t="s">
        <v>21545</v>
      </c>
      <c r="V910" s="13" t="s">
        <v>21546</v>
      </c>
      <c r="W910" s="13" t="s">
        <v>21547</v>
      </c>
      <c r="X910" s="13" t="s">
        <v>21548</v>
      </c>
      <c r="Y910" s="13" t="s">
        <v>21549</v>
      </c>
      <c r="Z910" s="13" t="s">
        <v>21550</v>
      </c>
      <c r="AA910" s="13" t="s">
        <v>21551</v>
      </c>
      <c r="AB910" s="13" t="s">
        <v>21552</v>
      </c>
      <c r="AC910" s="13" t="s">
        <v>5510</v>
      </c>
      <c r="AD910" s="13" t="s">
        <v>5510</v>
      </c>
      <c r="AE910" s="13" t="s">
        <v>5510</v>
      </c>
      <c r="AF910" s="13" t="s">
        <v>5510</v>
      </c>
      <c r="AG910" s="13">
        <v>77.0</v>
      </c>
      <c r="AH910" s="13">
        <v>95.0</v>
      </c>
      <c r="AI910" s="13">
        <v>104.0</v>
      </c>
      <c r="AJ910" s="13">
        <v>6.0</v>
      </c>
      <c r="AK910" s="13">
        <v>92.0</v>
      </c>
      <c r="AL910" s="13" t="s">
        <v>7088</v>
      </c>
      <c r="AM910" s="13" t="s">
        <v>5932</v>
      </c>
      <c r="AN910" s="13" t="s">
        <v>7089</v>
      </c>
      <c r="AO910" s="13" t="s">
        <v>7020</v>
      </c>
      <c r="AP910" s="13" t="s">
        <v>13963</v>
      </c>
      <c r="AQ910" s="13" t="s">
        <v>5510</v>
      </c>
      <c r="AR910" s="13" t="s">
        <v>7005</v>
      </c>
      <c r="AS910" s="13" t="s">
        <v>1608</v>
      </c>
      <c r="AT910" s="13" t="s">
        <v>2738</v>
      </c>
      <c r="AU910" s="13">
        <v>2020.0</v>
      </c>
      <c r="AV910" s="13">
        <v>70.0</v>
      </c>
      <c r="AW910" s="13">
        <v>2.0</v>
      </c>
      <c r="AX910" s="13" t="s">
        <v>5510</v>
      </c>
      <c r="AY910" s="13" t="s">
        <v>5510</v>
      </c>
      <c r="AZ910" s="13" t="s">
        <v>5510</v>
      </c>
      <c r="BA910" s="13" t="s">
        <v>5510</v>
      </c>
      <c r="BB910" s="13">
        <v>157.0</v>
      </c>
      <c r="BC910" s="13">
        <v>167.0</v>
      </c>
      <c r="BD910" s="13" t="s">
        <v>5510</v>
      </c>
      <c r="BE910" s="13" t="s">
        <v>21553</v>
      </c>
      <c r="BF910" s="52" t="str">
        <f>HYPERLINK("http://dx.doi.org/10.1093/biosci/biz157","http://dx.doi.org/10.1093/biosci/biz157")</f>
        <v>http://dx.doi.org/10.1093/biosci/biz157</v>
      </c>
      <c r="BG910" s="13" t="s">
        <v>5510</v>
      </c>
      <c r="BH910" s="13" t="s">
        <v>5510</v>
      </c>
      <c r="BI910" s="13">
        <v>11.0</v>
      </c>
      <c r="BJ910" s="13" t="s">
        <v>7022</v>
      </c>
      <c r="BK910" s="13" t="s">
        <v>5561</v>
      </c>
      <c r="BL910" s="13" t="s">
        <v>7023</v>
      </c>
      <c r="BM910" s="13" t="s">
        <v>21554</v>
      </c>
      <c r="BN910" s="13" t="s">
        <v>5510</v>
      </c>
      <c r="BO910" s="13" t="s">
        <v>5809</v>
      </c>
      <c r="BP910" s="13" t="s">
        <v>5510</v>
      </c>
      <c r="BQ910" s="13" t="s">
        <v>5510</v>
      </c>
      <c r="BR910" s="13" t="s">
        <v>5538</v>
      </c>
      <c r="BS910" s="13" t="s">
        <v>21555</v>
      </c>
      <c r="BT910" s="13">
        <v>24525.0</v>
      </c>
      <c r="BU910" s="13" t="s">
        <v>5540</v>
      </c>
      <c r="BV910" s="13" t="s">
        <v>4856</v>
      </c>
      <c r="BW910" s="13" t="str">
        <f>VLOOKUP($BT910,Enriched!$A$2:$E$1070,5,false)</f>
        <v>["Pollution"]</v>
      </c>
      <c r="BX910" s="13" t="str">
        <f>VLOOKUP($BT910,Enriched!$A$2:$E$1070,4,false)</f>
        <v>["Excess energy", "Agricultural &amp; forestry effluents"]</v>
      </c>
      <c r="BY910" s="13" t="b">
        <f>VLOOKUP(BT910,Enriched!$A$1:$AA$1070,27,falsE)</f>
        <v>1</v>
      </c>
      <c r="BZ910" s="2" t="str">
        <f>VLOOKUP(BT910,Enriched!$A$1:$AA$1070,14,falsE)</f>
        <v>level2</v>
      </c>
      <c r="CA910" s="13" t="str">
        <f>HYPERLINK("https%3A%2F%2Fwww.webofscience.com%2Fwos%2Fwoscc%2Ffull-record%2FWOS:000518528700013","View Full Record in Web of Science")</f>
        <v>View Full Record in Web of Science</v>
      </c>
    </row>
    <row r="911" ht="12.75" customHeight="1">
      <c r="A911" s="13" t="s">
        <v>5508</v>
      </c>
      <c r="B911" s="13" t="s">
        <v>21556</v>
      </c>
      <c r="C911" s="13" t="s">
        <v>5510</v>
      </c>
      <c r="D911" s="13" t="s">
        <v>5510</v>
      </c>
      <c r="E911" s="13" t="s">
        <v>5510</v>
      </c>
      <c r="F911" s="13" t="s">
        <v>21557</v>
      </c>
      <c r="G911" s="13" t="s">
        <v>5510</v>
      </c>
      <c r="H911" s="13" t="s">
        <v>5510</v>
      </c>
      <c r="I911" s="2" t="s">
        <v>120</v>
      </c>
      <c r="J911" s="13" t="s">
        <v>7005</v>
      </c>
      <c r="K911" s="13" t="s">
        <v>5510</v>
      </c>
      <c r="L911" s="13" t="s">
        <v>5510</v>
      </c>
      <c r="M911" s="13" t="s">
        <v>5513</v>
      </c>
      <c r="N911" s="13" t="s">
        <v>6168</v>
      </c>
      <c r="O911" s="13" t="s">
        <v>5510</v>
      </c>
      <c r="P911" s="13" t="s">
        <v>5510</v>
      </c>
      <c r="Q911" s="13" t="s">
        <v>5510</v>
      </c>
      <c r="R911" s="13" t="s">
        <v>5510</v>
      </c>
      <c r="S911" s="13" t="s">
        <v>5510</v>
      </c>
      <c r="T911" s="13" t="s">
        <v>5510</v>
      </c>
      <c r="U911" s="13" t="s">
        <v>5510</v>
      </c>
      <c r="V911" s="13" t="s">
        <v>5510</v>
      </c>
      <c r="W911" s="13" t="s">
        <v>21558</v>
      </c>
      <c r="X911" s="13" t="s">
        <v>21548</v>
      </c>
      <c r="Y911" s="13" t="s">
        <v>21559</v>
      </c>
      <c r="Z911" s="13" t="s">
        <v>21550</v>
      </c>
      <c r="AA911" s="13" t="s">
        <v>21560</v>
      </c>
      <c r="AB911" s="13" t="s">
        <v>21561</v>
      </c>
      <c r="AC911" s="13" t="s">
        <v>5510</v>
      </c>
      <c r="AD911" s="13" t="s">
        <v>5510</v>
      </c>
      <c r="AE911" s="13" t="s">
        <v>5510</v>
      </c>
      <c r="AF911" s="13" t="s">
        <v>5510</v>
      </c>
      <c r="AG911" s="13">
        <v>1.0</v>
      </c>
      <c r="AH911" s="13">
        <v>0.0</v>
      </c>
      <c r="AI911" s="13">
        <v>1.0</v>
      </c>
      <c r="AJ911" s="13">
        <v>0.0</v>
      </c>
      <c r="AK911" s="13">
        <v>8.0</v>
      </c>
      <c r="AL911" s="13" t="s">
        <v>7088</v>
      </c>
      <c r="AM911" s="13" t="s">
        <v>5932</v>
      </c>
      <c r="AN911" s="13" t="s">
        <v>7089</v>
      </c>
      <c r="AO911" s="13" t="s">
        <v>7020</v>
      </c>
      <c r="AP911" s="13" t="s">
        <v>13963</v>
      </c>
      <c r="AQ911" s="13" t="s">
        <v>5510</v>
      </c>
      <c r="AR911" s="13" t="s">
        <v>7005</v>
      </c>
      <c r="AS911" s="13" t="s">
        <v>1608</v>
      </c>
      <c r="AT911" s="13" t="s">
        <v>5866</v>
      </c>
      <c r="AU911" s="13">
        <v>2020.0</v>
      </c>
      <c r="AV911" s="13">
        <v>70.0</v>
      </c>
      <c r="AW911" s="13">
        <v>5.0</v>
      </c>
      <c r="AX911" s="13" t="s">
        <v>5510</v>
      </c>
      <c r="AY911" s="13" t="s">
        <v>5510</v>
      </c>
      <c r="AZ911" s="13" t="s">
        <v>5510</v>
      </c>
      <c r="BA911" s="13" t="s">
        <v>5510</v>
      </c>
      <c r="BB911" s="13">
        <v>440.0</v>
      </c>
      <c r="BC911" s="13">
        <v>440.0</v>
      </c>
      <c r="BD911" s="13" t="s">
        <v>5510</v>
      </c>
      <c r="BE911" s="13" t="s">
        <v>21562</v>
      </c>
      <c r="BF911" s="52" t="str">
        <f>HYPERLINK("http://dx.doi.org/10.1093/biosci/biaa026","http://dx.doi.org/10.1093/biosci/biaa026")</f>
        <v>http://dx.doi.org/10.1093/biosci/biaa026</v>
      </c>
      <c r="BG911" s="13" t="s">
        <v>5510</v>
      </c>
      <c r="BH911" s="13" t="s">
        <v>5510</v>
      </c>
      <c r="BI911" s="13">
        <v>1.0</v>
      </c>
      <c r="BJ911" s="13" t="s">
        <v>7022</v>
      </c>
      <c r="BK911" s="13" t="s">
        <v>5561</v>
      </c>
      <c r="BL911" s="13" t="s">
        <v>7023</v>
      </c>
      <c r="BM911" s="13" t="s">
        <v>21563</v>
      </c>
      <c r="BN911" s="13" t="s">
        <v>5510</v>
      </c>
      <c r="BO911" s="13" t="s">
        <v>5809</v>
      </c>
      <c r="BP911" s="13" t="s">
        <v>5510</v>
      </c>
      <c r="BQ911" s="13" t="s">
        <v>5510</v>
      </c>
      <c r="BR911" s="13" t="s">
        <v>5538</v>
      </c>
      <c r="BS911" s="13" t="s">
        <v>21564</v>
      </c>
      <c r="BT911" s="13">
        <v>24525.0</v>
      </c>
      <c r="BU911" s="13" t="s">
        <v>5540</v>
      </c>
      <c r="BV911" s="13" t="s">
        <v>4856</v>
      </c>
      <c r="BW911" s="13" t="str">
        <f>VLOOKUP($BT911,Enriched!$A$2:$E$1070,5,false)</f>
        <v>["Pollution"]</v>
      </c>
      <c r="BX911" s="13" t="str">
        <f>VLOOKUP($BT911,Enriched!$A$2:$E$1070,4,false)</f>
        <v>["Excess energy", "Agricultural &amp; forestry effluents"]</v>
      </c>
      <c r="BY911" s="13" t="b">
        <f>VLOOKUP(BT911,Enriched!$A$1:$AA$1070,27,falsE)</f>
        <v>1</v>
      </c>
      <c r="BZ911" s="2" t="str">
        <f>VLOOKUP(BT911,Enriched!$A$1:$AA$1070,14,falsE)</f>
        <v>level2</v>
      </c>
      <c r="CA911" s="13" t="str">
        <f>HYPERLINK("https%3A%2F%2Fwww.webofscience.com%2Fwos%2Fwoscc%2Ffull-record%2FWOS:000537449600012","View Full Record in Web of Science")</f>
        <v>View Full Record in Web of Science</v>
      </c>
    </row>
    <row r="912" ht="12.75" customHeight="1">
      <c r="A912" s="13" t="s">
        <v>5508</v>
      </c>
      <c r="B912" s="13" t="s">
        <v>21565</v>
      </c>
      <c r="C912" s="13" t="s">
        <v>5510</v>
      </c>
      <c r="D912" s="13" t="s">
        <v>5510</v>
      </c>
      <c r="E912" s="13" t="s">
        <v>5510</v>
      </c>
      <c r="F912" s="13" t="s">
        <v>21566</v>
      </c>
      <c r="G912" s="13" t="s">
        <v>5510</v>
      </c>
      <c r="H912" s="13" t="s">
        <v>5510</v>
      </c>
      <c r="I912" s="13" t="s">
        <v>116</v>
      </c>
      <c r="J912" s="13" t="s">
        <v>11947</v>
      </c>
      <c r="K912" s="13" t="s">
        <v>5510</v>
      </c>
      <c r="L912" s="13" t="s">
        <v>5510</v>
      </c>
      <c r="M912" s="13" t="s">
        <v>5513</v>
      </c>
      <c r="N912" s="13" t="s">
        <v>5514</v>
      </c>
      <c r="O912" s="13" t="s">
        <v>5510</v>
      </c>
      <c r="P912" s="13" t="s">
        <v>5510</v>
      </c>
      <c r="Q912" s="13" t="s">
        <v>5510</v>
      </c>
      <c r="R912" s="13" t="s">
        <v>5510</v>
      </c>
      <c r="S912" s="13" t="s">
        <v>5510</v>
      </c>
      <c r="T912" s="13" t="s">
        <v>5510</v>
      </c>
      <c r="U912" s="13" t="s">
        <v>21567</v>
      </c>
      <c r="V912" s="13" t="s">
        <v>21568</v>
      </c>
      <c r="W912" s="13" t="s">
        <v>21569</v>
      </c>
      <c r="X912" s="13" t="s">
        <v>21570</v>
      </c>
      <c r="Y912" s="13" t="s">
        <v>12759</v>
      </c>
      <c r="Z912" s="13" t="s">
        <v>21571</v>
      </c>
      <c r="AA912" s="13" t="s">
        <v>21572</v>
      </c>
      <c r="AB912" s="13" t="s">
        <v>21573</v>
      </c>
      <c r="AC912" s="13" t="s">
        <v>5510</v>
      </c>
      <c r="AD912" s="13" t="s">
        <v>5510</v>
      </c>
      <c r="AE912" s="13" t="s">
        <v>5510</v>
      </c>
      <c r="AF912" s="13" t="s">
        <v>5510</v>
      </c>
      <c r="AG912" s="13">
        <v>34.0</v>
      </c>
      <c r="AH912" s="13">
        <v>4947.0</v>
      </c>
      <c r="AI912" s="13">
        <v>5710.0</v>
      </c>
      <c r="AJ912" s="13">
        <v>59.0</v>
      </c>
      <c r="AK912" s="13">
        <v>3008.0</v>
      </c>
      <c r="AL912" s="13" t="s">
        <v>11959</v>
      </c>
      <c r="AM912" s="13" t="s">
        <v>5908</v>
      </c>
      <c r="AN912" s="13" t="s">
        <v>11960</v>
      </c>
      <c r="AO912" s="13" t="s">
        <v>11961</v>
      </c>
      <c r="AP912" s="13" t="s">
        <v>5510</v>
      </c>
      <c r="AQ912" s="13" t="s">
        <v>5510</v>
      </c>
      <c r="AR912" s="13" t="s">
        <v>11947</v>
      </c>
      <c r="AS912" s="13" t="s">
        <v>117</v>
      </c>
      <c r="AT912" s="13" t="s">
        <v>8511</v>
      </c>
      <c r="AU912" s="13">
        <v>2008.0</v>
      </c>
      <c r="AV912" s="13">
        <v>319.0</v>
      </c>
      <c r="AW912" s="13">
        <v>5865.0</v>
      </c>
      <c r="AX912" s="13" t="s">
        <v>5510</v>
      </c>
      <c r="AY912" s="13" t="s">
        <v>5510</v>
      </c>
      <c r="AZ912" s="13" t="s">
        <v>5510</v>
      </c>
      <c r="BA912" s="13" t="s">
        <v>5510</v>
      </c>
      <c r="BB912" s="13">
        <v>948.0</v>
      </c>
      <c r="BC912" s="13">
        <v>952.0</v>
      </c>
      <c r="BD912" s="13" t="s">
        <v>5510</v>
      </c>
      <c r="BE912" s="13" t="s">
        <v>21574</v>
      </c>
      <c r="BF912" s="52" t="str">
        <f>HYPERLINK("http://dx.doi.org/10.1126/science.1149345","http://dx.doi.org/10.1126/science.1149345")</f>
        <v>http://dx.doi.org/10.1126/science.1149345</v>
      </c>
      <c r="BG912" s="13" t="s">
        <v>5510</v>
      </c>
      <c r="BH912" s="13" t="s">
        <v>5510</v>
      </c>
      <c r="BI912" s="13">
        <v>5.0</v>
      </c>
      <c r="BJ912" s="13" t="s">
        <v>5560</v>
      </c>
      <c r="BK912" s="13" t="s">
        <v>5561</v>
      </c>
      <c r="BL912" s="13" t="s">
        <v>5562</v>
      </c>
      <c r="BM912" s="13" t="s">
        <v>21575</v>
      </c>
      <c r="BN912" s="13">
        <v>1.8276889E7</v>
      </c>
      <c r="BO912" s="13" t="s">
        <v>5510</v>
      </c>
      <c r="BP912" s="13" t="s">
        <v>5510</v>
      </c>
      <c r="BQ912" s="13" t="s">
        <v>5510</v>
      </c>
      <c r="BR912" s="13" t="s">
        <v>5538</v>
      </c>
      <c r="BS912" s="13" t="s">
        <v>21576</v>
      </c>
      <c r="BT912" s="13">
        <v>24125.0</v>
      </c>
      <c r="BU912" s="13" t="s">
        <v>5540</v>
      </c>
      <c r="BV912" s="13" t="s">
        <v>4864</v>
      </c>
      <c r="BW912" s="13" t="str">
        <f>VLOOKUP($BT912,Enriched!$A$2:$E$1070,5,false)</f>
        <v>["Pollution", "Residential &amp; Commercial Development"]</v>
      </c>
      <c r="BX912" s="13" t="str">
        <f>VLOOKUP($BT912,Enriched!$A$2:$E$1070,4,false)</f>
        <v>["Agricultural &amp; forestry effluents", "Industrial &amp; military effluents", "Domestic &amp; urban waste water"]</v>
      </c>
      <c r="BY912" s="13" t="b">
        <f>VLOOKUP(BT912,Enriched!$A$1:$AA$1070,27,falsE)</f>
        <v>1</v>
      </c>
      <c r="BZ912" s="2" t="str">
        <f>VLOOKUP(BT912,Enriched!$A$1:$AA$1070,14,falsE)</f>
        <v>cumulative</v>
      </c>
      <c r="CA912" s="13" t="str">
        <f>HYPERLINK("https%3A%2F%2Fwww.webofscience.com%2Fwos%2Fwoscc%2Ffull-record%2FWOS:000253165700045","View Full Record in Web of Science")</f>
        <v>View Full Record in Web of Science</v>
      </c>
    </row>
    <row r="913" ht="12.75" customHeight="1">
      <c r="A913" s="13" t="s">
        <v>5508</v>
      </c>
      <c r="B913" s="13" t="s">
        <v>21577</v>
      </c>
      <c r="C913" s="13" t="s">
        <v>5510</v>
      </c>
      <c r="D913" s="13" t="s">
        <v>5510</v>
      </c>
      <c r="E913" s="13" t="s">
        <v>5510</v>
      </c>
      <c r="F913" s="13" t="s">
        <v>21578</v>
      </c>
      <c r="G913" s="13" t="s">
        <v>5510</v>
      </c>
      <c r="H913" s="13" t="s">
        <v>5510</v>
      </c>
      <c r="I913" s="13" t="s">
        <v>21579</v>
      </c>
      <c r="J913" s="13" t="s">
        <v>8582</v>
      </c>
      <c r="K913" s="13" t="s">
        <v>5510</v>
      </c>
      <c r="L913" s="13" t="s">
        <v>5510</v>
      </c>
      <c r="M913" s="13" t="s">
        <v>5513</v>
      </c>
      <c r="N913" s="13" t="s">
        <v>5514</v>
      </c>
      <c r="O913" s="13" t="s">
        <v>5510</v>
      </c>
      <c r="P913" s="13" t="s">
        <v>5510</v>
      </c>
      <c r="Q913" s="13" t="s">
        <v>5510</v>
      </c>
      <c r="R913" s="13" t="s">
        <v>5510</v>
      </c>
      <c r="S913" s="13" t="s">
        <v>5510</v>
      </c>
      <c r="T913" s="13" t="s">
        <v>21580</v>
      </c>
      <c r="U913" s="13" t="s">
        <v>21581</v>
      </c>
      <c r="V913" s="13" t="s">
        <v>21582</v>
      </c>
      <c r="W913" s="13" t="s">
        <v>21583</v>
      </c>
      <c r="X913" s="13" t="s">
        <v>21584</v>
      </c>
      <c r="Y913" s="13" t="s">
        <v>21585</v>
      </c>
      <c r="Z913" s="13" t="s">
        <v>21586</v>
      </c>
      <c r="AA913" s="13" t="s">
        <v>21587</v>
      </c>
      <c r="AB913" s="13" t="s">
        <v>21588</v>
      </c>
      <c r="AC913" s="13" t="s">
        <v>21589</v>
      </c>
      <c r="AD913" s="13" t="s">
        <v>21589</v>
      </c>
      <c r="AE913" s="13" t="s">
        <v>21590</v>
      </c>
      <c r="AF913" s="13" t="s">
        <v>5510</v>
      </c>
      <c r="AG913" s="13">
        <v>61.0</v>
      </c>
      <c r="AH913" s="13">
        <v>18.0</v>
      </c>
      <c r="AI913" s="13">
        <v>18.0</v>
      </c>
      <c r="AJ913" s="13">
        <v>0.0</v>
      </c>
      <c r="AK913" s="13">
        <v>37.0</v>
      </c>
      <c r="AL913" s="13" t="s">
        <v>5690</v>
      </c>
      <c r="AM913" s="13" t="s">
        <v>6503</v>
      </c>
      <c r="AN913" s="13" t="s">
        <v>7040</v>
      </c>
      <c r="AO913" s="13" t="s">
        <v>8592</v>
      </c>
      <c r="AP913" s="13" t="s">
        <v>8593</v>
      </c>
      <c r="AQ913" s="13" t="s">
        <v>5510</v>
      </c>
      <c r="AR913" s="13" t="s">
        <v>8594</v>
      </c>
      <c r="AS913" s="13" t="s">
        <v>8595</v>
      </c>
      <c r="AT913" s="13" t="s">
        <v>5667</v>
      </c>
      <c r="AU913" s="13">
        <v>2011.0</v>
      </c>
      <c r="AV913" s="13">
        <v>48.0</v>
      </c>
      <c r="AW913" s="13">
        <v>1.0</v>
      </c>
      <c r="AX913" s="13" t="s">
        <v>5510</v>
      </c>
      <c r="AY913" s="13" t="s">
        <v>5510</v>
      </c>
      <c r="AZ913" s="13" t="s">
        <v>5510</v>
      </c>
      <c r="BA913" s="13" t="s">
        <v>5510</v>
      </c>
      <c r="BB913" s="13">
        <v>38.0</v>
      </c>
      <c r="BC913" s="13">
        <v>56.0</v>
      </c>
      <c r="BD913" s="13" t="s">
        <v>5510</v>
      </c>
      <c r="BE913" s="13" t="s">
        <v>21591</v>
      </c>
      <c r="BF913" s="52" t="str">
        <f>HYPERLINK("http://dx.doi.org/10.1007/s00267-011-9674-8","http://dx.doi.org/10.1007/s00267-011-9674-8")</f>
        <v>http://dx.doi.org/10.1007/s00267-011-9674-8</v>
      </c>
      <c r="BG913" s="13" t="s">
        <v>5510</v>
      </c>
      <c r="BH913" s="13" t="s">
        <v>5510</v>
      </c>
      <c r="BI913" s="13">
        <v>19.0</v>
      </c>
      <c r="BJ913" s="13" t="s">
        <v>5768</v>
      </c>
      <c r="BK913" s="13" t="s">
        <v>5534</v>
      </c>
      <c r="BL913" s="13" t="s">
        <v>5535</v>
      </c>
      <c r="BM913" s="13" t="s">
        <v>21592</v>
      </c>
      <c r="BN913" s="13">
        <v>2.1499931E7</v>
      </c>
      <c r="BO913" s="13" t="s">
        <v>5510</v>
      </c>
      <c r="BP913" s="13" t="s">
        <v>5510</v>
      </c>
      <c r="BQ913" s="13" t="s">
        <v>5510</v>
      </c>
      <c r="BR913" s="13" t="s">
        <v>5538</v>
      </c>
      <c r="BS913" s="13" t="s">
        <v>21593</v>
      </c>
      <c r="BT913" s="13">
        <v>25078.0</v>
      </c>
      <c r="BU913" s="13" t="s">
        <v>5540</v>
      </c>
      <c r="BV913" s="13" t="s">
        <v>4856</v>
      </c>
      <c r="BW913" s="13" t="str">
        <f>VLOOKUP($BT913,Enriched!$A$2:$E$1070,5,false)</f>
        <v>["Human Intrusions &amp; Disturbance", "Biological Resource Use"]</v>
      </c>
      <c r="BX913" s="13" t="str">
        <f>VLOOKUP($BT913,Enriched!$A$2:$E$1070,4,false)</f>
        <v>["Recreational activities", "Logging &amp; wood harvesting"]</v>
      </c>
      <c r="BY913" s="13" t="b">
        <f>VLOOKUP(BT913,Enriched!$A$1:$AA$1070,27,falsE)</f>
        <v>0</v>
      </c>
      <c r="BZ913" s="2" t="str">
        <f>VLOOKUP(BT913,Enriched!$A$1:$AA$1070,14,falsE)</f>
        <v>level2</v>
      </c>
      <c r="CA913" s="13" t="str">
        <f>HYPERLINK("https%3A%2F%2Fwww.webofscience.com%2Fwos%2Fwoscc%2Ffull-record%2FWOS:000291748500004","View Full Record in Web of Science")</f>
        <v>View Full Record in Web of Science</v>
      </c>
    </row>
    <row r="914" ht="12.75" customHeight="1">
      <c r="A914" s="13" t="s">
        <v>6232</v>
      </c>
      <c r="B914" s="13" t="s">
        <v>21594</v>
      </c>
      <c r="C914" s="13" t="s">
        <v>5510</v>
      </c>
      <c r="D914" s="13" t="s">
        <v>6234</v>
      </c>
      <c r="E914" s="13" t="s">
        <v>5510</v>
      </c>
      <c r="F914" s="13" t="s">
        <v>21595</v>
      </c>
      <c r="G914" s="13" t="s">
        <v>5510</v>
      </c>
      <c r="H914" s="13" t="s">
        <v>5510</v>
      </c>
      <c r="I914" s="13" t="s">
        <v>21596</v>
      </c>
      <c r="J914" s="13" t="s">
        <v>6237</v>
      </c>
      <c r="K914" s="13" t="s">
        <v>105</v>
      </c>
      <c r="L914" s="13" t="s">
        <v>5510</v>
      </c>
      <c r="M914" s="13" t="s">
        <v>5513</v>
      </c>
      <c r="N914" s="13" t="s">
        <v>6238</v>
      </c>
      <c r="O914" s="13" t="s">
        <v>6239</v>
      </c>
      <c r="P914" s="13" t="s">
        <v>6240</v>
      </c>
      <c r="Q914" s="13" t="s">
        <v>6241</v>
      </c>
      <c r="R914" s="13" t="s">
        <v>6242</v>
      </c>
      <c r="S914" s="13" t="s">
        <v>5510</v>
      </c>
      <c r="T914" s="13" t="s">
        <v>5510</v>
      </c>
      <c r="U914" s="13" t="s">
        <v>5510</v>
      </c>
      <c r="V914" s="13" t="s">
        <v>21597</v>
      </c>
      <c r="W914" s="13" t="s">
        <v>21598</v>
      </c>
      <c r="X914" s="13" t="s">
        <v>20378</v>
      </c>
      <c r="Y914" s="13" t="s">
        <v>21599</v>
      </c>
      <c r="Z914" s="13" t="s">
        <v>20380</v>
      </c>
      <c r="AA914" s="13" t="s">
        <v>5510</v>
      </c>
      <c r="AB914" s="13" t="s">
        <v>5510</v>
      </c>
      <c r="AC914" s="13" t="s">
        <v>5510</v>
      </c>
      <c r="AD914" s="13" t="s">
        <v>5510</v>
      </c>
      <c r="AE914" s="13" t="s">
        <v>5510</v>
      </c>
      <c r="AF914" s="13" t="s">
        <v>5510</v>
      </c>
      <c r="AG914" s="13">
        <v>6.0</v>
      </c>
      <c r="AH914" s="13">
        <v>1.0</v>
      </c>
      <c r="AI914" s="13">
        <v>1.0</v>
      </c>
      <c r="AJ914" s="13">
        <v>0.0</v>
      </c>
      <c r="AK914" s="13">
        <v>1.0</v>
      </c>
      <c r="AL914" s="13" t="s">
        <v>6247</v>
      </c>
      <c r="AM914" s="13" t="s">
        <v>5908</v>
      </c>
      <c r="AN914" s="13" t="s">
        <v>6248</v>
      </c>
      <c r="AO914" s="13" t="s">
        <v>6249</v>
      </c>
      <c r="AP914" s="13" t="s">
        <v>6250</v>
      </c>
      <c r="AQ914" s="13" t="s">
        <v>6251</v>
      </c>
      <c r="AR914" s="13" t="s">
        <v>6252</v>
      </c>
      <c r="AS914" s="13" t="s">
        <v>6253</v>
      </c>
      <c r="AT914" s="13" t="s">
        <v>5510</v>
      </c>
      <c r="AU914" s="13">
        <v>2012.0</v>
      </c>
      <c r="AV914" s="13">
        <v>1111.0</v>
      </c>
      <c r="AW914" s="13" t="s">
        <v>5510</v>
      </c>
      <c r="AX914" s="13" t="s">
        <v>5510</v>
      </c>
      <c r="AY914" s="13" t="s">
        <v>5510</v>
      </c>
      <c r="AZ914" s="13" t="s">
        <v>5510</v>
      </c>
      <c r="BA914" s="13" t="s">
        <v>5510</v>
      </c>
      <c r="BB914" s="13">
        <v>183.0</v>
      </c>
      <c r="BC914" s="13" t="s">
        <v>9408</v>
      </c>
      <c r="BD914" s="13" t="s">
        <v>5510</v>
      </c>
      <c r="BE914" s="13" t="str">
        <f>#REF!</f>
        <v>#REF!</v>
      </c>
      <c r="BF914" s="13" t="s">
        <v>5510</v>
      </c>
      <c r="BG914" s="13" t="s">
        <v>5510</v>
      </c>
      <c r="BH914" s="13" t="s">
        <v>5510</v>
      </c>
      <c r="BI914" s="13">
        <v>3.0</v>
      </c>
      <c r="BJ914" s="13" t="s">
        <v>6254</v>
      </c>
      <c r="BK914" s="13" t="s">
        <v>6255</v>
      </c>
      <c r="BL914" s="13" t="s">
        <v>6256</v>
      </c>
      <c r="BM914" s="13" t="s">
        <v>6257</v>
      </c>
      <c r="BN914" s="13" t="s">
        <v>5510</v>
      </c>
      <c r="BO914" s="13" t="s">
        <v>5510</v>
      </c>
      <c r="BP914" s="13" t="s">
        <v>5510</v>
      </c>
      <c r="BQ914" s="13" t="s">
        <v>5510</v>
      </c>
      <c r="BR914" s="13" t="s">
        <v>5538</v>
      </c>
      <c r="BS914" s="13" t="s">
        <v>21600</v>
      </c>
      <c r="BT914" s="13">
        <v>26032.0</v>
      </c>
      <c r="BU914" s="13" t="s">
        <v>5540</v>
      </c>
      <c r="BV914" s="13" t="s">
        <v>4852</v>
      </c>
      <c r="BW914" s="13" t="str">
        <f>VLOOKUP($BT914,Enriched!$A$2:$E$1070,5,false)</f>
        <v>["Agriculture &amp; Aquaculture", "Pollution"]</v>
      </c>
      <c r="BX914" s="13" t="str">
        <f>VLOOKUP($BT914,Enriched!$A$2:$E$1070,4,false)</f>
        <v>["Annual &amp; perennial non-timber crops", "Agricultural &amp; forestry effluents"]</v>
      </c>
      <c r="BY914" s="13" t="b">
        <f>VLOOKUP(BT914,Enriched!$A$1:$AA$1070,27,falsE)</f>
        <v>0</v>
      </c>
      <c r="BZ914" s="2" t="str">
        <f>VLOOKUP(BT914,Enriched!$A$1:$AA$1070,14,falsE)</f>
        <v>level2</v>
      </c>
      <c r="CA914" s="13" t="str">
        <f>HYPERLINK("https%3A%2F%2Fwww.webofscience.com%2Fwos%2Fwoscc%2Ffull-record%2FWOS:000317550400014","View Full Record in Web of Science")</f>
        <v>View Full Record in Web of Science</v>
      </c>
    </row>
    <row r="915" ht="12.75" customHeight="1">
      <c r="A915" s="13" t="s">
        <v>5508</v>
      </c>
      <c r="B915" s="13" t="s">
        <v>21601</v>
      </c>
      <c r="C915" s="13" t="s">
        <v>5510</v>
      </c>
      <c r="D915" s="13" t="s">
        <v>5510</v>
      </c>
      <c r="E915" s="13" t="s">
        <v>5510</v>
      </c>
      <c r="F915" s="13" t="s">
        <v>21602</v>
      </c>
      <c r="G915" s="13" t="s">
        <v>5510</v>
      </c>
      <c r="H915" s="13" t="s">
        <v>5510</v>
      </c>
      <c r="I915" s="13" t="s">
        <v>100</v>
      </c>
      <c r="J915" s="13" t="s">
        <v>17497</v>
      </c>
      <c r="K915" s="13" t="s">
        <v>5510</v>
      </c>
      <c r="L915" s="13" t="s">
        <v>5510</v>
      </c>
      <c r="M915" s="13" t="s">
        <v>5513</v>
      </c>
      <c r="N915" s="13" t="s">
        <v>5514</v>
      </c>
      <c r="O915" s="13" t="s">
        <v>5510</v>
      </c>
      <c r="P915" s="13" t="s">
        <v>5510</v>
      </c>
      <c r="Q915" s="13" t="s">
        <v>5510</v>
      </c>
      <c r="R915" s="13" t="s">
        <v>5510</v>
      </c>
      <c r="S915" s="13" t="s">
        <v>5510</v>
      </c>
      <c r="T915" s="13" t="s">
        <v>21603</v>
      </c>
      <c r="U915" s="13" t="s">
        <v>5510</v>
      </c>
      <c r="V915" s="13" t="s">
        <v>21604</v>
      </c>
      <c r="W915" s="13" t="s">
        <v>5510</v>
      </c>
      <c r="X915" s="13" t="s">
        <v>5510</v>
      </c>
      <c r="Y915" s="13" t="s">
        <v>5510</v>
      </c>
      <c r="Z915" s="13" t="s">
        <v>21605</v>
      </c>
      <c r="AA915" s="13" t="s">
        <v>21606</v>
      </c>
      <c r="AB915" s="13" t="s">
        <v>5510</v>
      </c>
      <c r="AC915" s="13" t="s">
        <v>5510</v>
      </c>
      <c r="AD915" s="13" t="s">
        <v>5510</v>
      </c>
      <c r="AE915" s="13" t="s">
        <v>5510</v>
      </c>
      <c r="AF915" s="13" t="s">
        <v>5510</v>
      </c>
      <c r="AG915" s="13">
        <v>20.0</v>
      </c>
      <c r="AH915" s="13">
        <v>27.0</v>
      </c>
      <c r="AI915" s="13">
        <v>31.0</v>
      </c>
      <c r="AJ915" s="13">
        <v>0.0</v>
      </c>
      <c r="AK915" s="13">
        <v>17.0</v>
      </c>
      <c r="AL915" s="13" t="s">
        <v>5931</v>
      </c>
      <c r="AM915" s="13" t="s">
        <v>5932</v>
      </c>
      <c r="AN915" s="13" t="s">
        <v>5933</v>
      </c>
      <c r="AO915" s="13" t="s">
        <v>17510</v>
      </c>
      <c r="AP915" s="13" t="s">
        <v>21607</v>
      </c>
      <c r="AQ915" s="13" t="s">
        <v>5510</v>
      </c>
      <c r="AR915" s="13" t="s">
        <v>17511</v>
      </c>
      <c r="AS915" s="13" t="s">
        <v>17512</v>
      </c>
      <c r="AT915" s="13" t="s">
        <v>5667</v>
      </c>
      <c r="AU915" s="13">
        <v>2006.0</v>
      </c>
      <c r="AV915" s="13">
        <v>21.0</v>
      </c>
      <c r="AW915" s="13">
        <v>7.0</v>
      </c>
      <c r="AX915" s="13" t="s">
        <v>5510</v>
      </c>
      <c r="AY915" s="13" t="s">
        <v>5510</v>
      </c>
      <c r="AZ915" s="13" t="s">
        <v>5510</v>
      </c>
      <c r="BA915" s="13" t="s">
        <v>5510</v>
      </c>
      <c r="BB915" s="13">
        <v>1025.0</v>
      </c>
      <c r="BC915" s="13">
        <v>1041.0</v>
      </c>
      <c r="BD915" s="13" t="s">
        <v>5510</v>
      </c>
      <c r="BE915" s="13" t="s">
        <v>21608</v>
      </c>
      <c r="BF915" s="52" t="str">
        <f>HYPERLINK("http://dx.doi.org/10.1016/j.envsoft.2005.05.005","http://dx.doi.org/10.1016/j.envsoft.2005.05.005")</f>
        <v>http://dx.doi.org/10.1016/j.envsoft.2005.05.005</v>
      </c>
      <c r="BG915" s="13" t="s">
        <v>5510</v>
      </c>
      <c r="BH915" s="13" t="s">
        <v>5510</v>
      </c>
      <c r="BI915" s="13">
        <v>17.0</v>
      </c>
      <c r="BJ915" s="13" t="s">
        <v>17514</v>
      </c>
      <c r="BK915" s="13" t="s">
        <v>5561</v>
      </c>
      <c r="BL915" s="13" t="s">
        <v>17515</v>
      </c>
      <c r="BM915" s="13" t="s">
        <v>21609</v>
      </c>
      <c r="BN915" s="13" t="s">
        <v>5510</v>
      </c>
      <c r="BO915" s="13" t="s">
        <v>5510</v>
      </c>
      <c r="BP915" s="13" t="s">
        <v>5510</v>
      </c>
      <c r="BQ915" s="13" t="s">
        <v>5510</v>
      </c>
      <c r="BR915" s="13" t="s">
        <v>5538</v>
      </c>
      <c r="BS915" s="13" t="s">
        <v>21610</v>
      </c>
      <c r="BT915" s="13">
        <v>25371.0</v>
      </c>
      <c r="BU915" s="13" t="s">
        <v>5540</v>
      </c>
      <c r="BV915" s="13" t="s">
        <v>4864</v>
      </c>
      <c r="BW915" s="13" t="str">
        <f>VLOOKUP($BT915,Enriched!$A$2:$E$1070,5,false)</f>
        <v>["Biological resource use"]</v>
      </c>
      <c r="BX915" s="13" t="str">
        <f>VLOOKUP($BT915,Enriched!$A$2:$E$1070,4,false)</f>
        <v>["Fishing &amp; harvesting aquatic resources"]</v>
      </c>
      <c r="BY915" s="13" t="b">
        <f>VLOOKUP(BT915,Enriched!$A$1:$AA$1070,27,falsE)</f>
        <v>0</v>
      </c>
      <c r="BZ915" s="2" t="str">
        <f>VLOOKUP(BT915,Enriched!$A$1:$AA$1070,14,falsE)</f>
        <v>level2</v>
      </c>
      <c r="CA915" s="13" t="str">
        <f>HYPERLINK("https%3A%2F%2Fwww.webofscience.com%2Fwos%2Fwoscc%2Ffull-record%2FWOS:000238311300011","View Full Record in Web of Science")</f>
        <v>View Full Record in Web of Science</v>
      </c>
    </row>
    <row r="916" ht="12.75" customHeight="1">
      <c r="A916" s="13" t="s">
        <v>5508</v>
      </c>
      <c r="B916" s="13" t="s">
        <v>21611</v>
      </c>
      <c r="C916" s="13" t="s">
        <v>5510</v>
      </c>
      <c r="D916" s="13" t="s">
        <v>5510</v>
      </c>
      <c r="E916" s="13" t="s">
        <v>5510</v>
      </c>
      <c r="F916" s="13" t="s">
        <v>21611</v>
      </c>
      <c r="G916" s="13" t="s">
        <v>5510</v>
      </c>
      <c r="H916" s="13" t="s">
        <v>5510</v>
      </c>
      <c r="I916" s="13" t="s">
        <v>21612</v>
      </c>
      <c r="J916" s="13" t="s">
        <v>6627</v>
      </c>
      <c r="K916" s="13" t="s">
        <v>5510</v>
      </c>
      <c r="L916" s="13" t="s">
        <v>5510</v>
      </c>
      <c r="M916" s="13" t="s">
        <v>5513</v>
      </c>
      <c r="N916" s="13" t="s">
        <v>5514</v>
      </c>
      <c r="O916" s="13" t="s">
        <v>5510</v>
      </c>
      <c r="P916" s="13" t="s">
        <v>5510</v>
      </c>
      <c r="Q916" s="13" t="s">
        <v>5510</v>
      </c>
      <c r="R916" s="13" t="s">
        <v>5510</v>
      </c>
      <c r="S916" s="13" t="s">
        <v>5510</v>
      </c>
      <c r="T916" s="13" t="s">
        <v>21613</v>
      </c>
      <c r="U916" s="13" t="s">
        <v>21614</v>
      </c>
      <c r="V916" s="13" t="s">
        <v>21615</v>
      </c>
      <c r="W916" s="13" t="s">
        <v>21616</v>
      </c>
      <c r="X916" s="13" t="s">
        <v>21617</v>
      </c>
      <c r="Y916" s="13" t="s">
        <v>21618</v>
      </c>
      <c r="Z916" s="13" t="s">
        <v>21619</v>
      </c>
      <c r="AA916" s="13" t="s">
        <v>21620</v>
      </c>
      <c r="AB916" s="13" t="s">
        <v>21621</v>
      </c>
      <c r="AC916" s="13" t="s">
        <v>5510</v>
      </c>
      <c r="AD916" s="13" t="s">
        <v>5510</v>
      </c>
      <c r="AE916" s="13" t="s">
        <v>5510</v>
      </c>
      <c r="AF916" s="13" t="s">
        <v>5510</v>
      </c>
      <c r="AG916" s="13">
        <v>65.0</v>
      </c>
      <c r="AH916" s="13">
        <v>96.0</v>
      </c>
      <c r="AI916" s="13">
        <v>106.0</v>
      </c>
      <c r="AJ916" s="13">
        <v>1.0</v>
      </c>
      <c r="AK916" s="13">
        <v>37.0</v>
      </c>
      <c r="AL916" s="13" t="s">
        <v>5527</v>
      </c>
      <c r="AM916" s="13" t="s">
        <v>5528</v>
      </c>
      <c r="AN916" s="13" t="s">
        <v>5529</v>
      </c>
      <c r="AO916" s="13" t="s">
        <v>6640</v>
      </c>
      <c r="AP916" s="13" t="s">
        <v>6641</v>
      </c>
      <c r="AQ916" s="13" t="s">
        <v>5510</v>
      </c>
      <c r="AR916" s="13" t="s">
        <v>6642</v>
      </c>
      <c r="AS916" s="13" t="s">
        <v>6643</v>
      </c>
      <c r="AT916" s="13" t="s">
        <v>21622</v>
      </c>
      <c r="AU916" s="13">
        <v>2004.0</v>
      </c>
      <c r="AV916" s="13">
        <v>10.0</v>
      </c>
      <c r="AW916" s="13" t="s">
        <v>21623</v>
      </c>
      <c r="AX916" s="13" t="s">
        <v>5510</v>
      </c>
      <c r="AY916" s="13" t="s">
        <v>5510</v>
      </c>
      <c r="AZ916" s="13" t="s">
        <v>5510</v>
      </c>
      <c r="BA916" s="13" t="s">
        <v>5510</v>
      </c>
      <c r="BB916" s="13">
        <v>461.0</v>
      </c>
      <c r="BC916" s="13">
        <v>474.0</v>
      </c>
      <c r="BD916" s="13" t="s">
        <v>5510</v>
      </c>
      <c r="BE916" s="13" t="s">
        <v>21624</v>
      </c>
      <c r="BF916" s="52" t="str">
        <f>HYPERLINK("http://dx.doi.org/10.1111/j.1366-9516.2004.00108.x","http://dx.doi.org/10.1111/j.1366-9516.2004.00108.x")</f>
        <v>http://dx.doi.org/10.1111/j.1366-9516.2004.00108.x</v>
      </c>
      <c r="BG916" s="13" t="s">
        <v>5510</v>
      </c>
      <c r="BH916" s="13" t="s">
        <v>5510</v>
      </c>
      <c r="BI916" s="13">
        <v>14.0</v>
      </c>
      <c r="BJ916" s="13" t="s">
        <v>5958</v>
      </c>
      <c r="BK916" s="13" t="s">
        <v>5561</v>
      </c>
      <c r="BL916" s="13" t="s">
        <v>5699</v>
      </c>
      <c r="BM916" s="13" t="s">
        <v>21625</v>
      </c>
      <c r="BN916" s="13" t="s">
        <v>5510</v>
      </c>
      <c r="BO916" s="13" t="s">
        <v>5510</v>
      </c>
      <c r="BP916" s="13" t="s">
        <v>5510</v>
      </c>
      <c r="BQ916" s="13" t="s">
        <v>5510</v>
      </c>
      <c r="BR916" s="13" t="s">
        <v>5538</v>
      </c>
      <c r="BS916" s="13" t="s">
        <v>21626</v>
      </c>
      <c r="BT916" s="13">
        <v>25381.0</v>
      </c>
      <c r="BU916" s="13" t="s">
        <v>5540</v>
      </c>
      <c r="BV916" s="13" t="s">
        <v>4856</v>
      </c>
      <c r="BW916" s="13" t="str">
        <f>VLOOKUP($BT916,Enriched!$A$2:$E$1070,5,false)</f>
        <v>["Invasive &amp; other problematic species, genes &amp; diseases"]</v>
      </c>
      <c r="BX916" s="13" t="str">
        <f>VLOOKUP($BT916,Enriched!$A$2:$E$1070,4,false)</f>
        <v>["Invasive non-native/alien species/diseases"]</v>
      </c>
      <c r="BY916" s="13" t="b">
        <f>VLOOKUP(BT916,Enriched!$A$1:$AA$1070,27,falsE)</f>
        <v>0</v>
      </c>
      <c r="BZ916" s="2" t="str">
        <f>VLOOKUP(BT916,Enriched!$A$1:$AA$1070,14,falsE)</f>
        <v>level2</v>
      </c>
      <c r="CA916" s="13" t="str">
        <f>HYPERLINK("https%3A%2F%2Fwww.webofscience.com%2Fwos%2Fwoscc%2Ffull-record%2FWOS:000223744500016","View Full Record in Web of Science")</f>
        <v>View Full Record in Web of Science</v>
      </c>
    </row>
    <row r="917" ht="12.75" customHeight="1">
      <c r="A917" s="13" t="s">
        <v>5508</v>
      </c>
      <c r="B917" s="13" t="s">
        <v>21627</v>
      </c>
      <c r="C917" s="13" t="s">
        <v>5510</v>
      </c>
      <c r="D917" s="13" t="s">
        <v>5510</v>
      </c>
      <c r="E917" s="13" t="s">
        <v>5510</v>
      </c>
      <c r="F917" s="13" t="s">
        <v>21628</v>
      </c>
      <c r="G917" s="13" t="s">
        <v>5510</v>
      </c>
      <c r="H917" s="13" t="s">
        <v>5510</v>
      </c>
      <c r="I917" s="13" t="s">
        <v>21629</v>
      </c>
      <c r="J917" s="13" t="s">
        <v>18683</v>
      </c>
      <c r="K917" s="13" t="s">
        <v>5510</v>
      </c>
      <c r="L917" s="13" t="s">
        <v>5510</v>
      </c>
      <c r="M917" s="13" t="s">
        <v>5513</v>
      </c>
      <c r="N917" s="13" t="s">
        <v>5514</v>
      </c>
      <c r="O917" s="13" t="s">
        <v>5510</v>
      </c>
      <c r="P917" s="13" t="s">
        <v>5510</v>
      </c>
      <c r="Q917" s="13" t="s">
        <v>5510</v>
      </c>
      <c r="R917" s="13" t="s">
        <v>5510</v>
      </c>
      <c r="S917" s="13" t="s">
        <v>5510</v>
      </c>
      <c r="T917" s="13" t="s">
        <v>21630</v>
      </c>
      <c r="U917" s="13" t="s">
        <v>21631</v>
      </c>
      <c r="V917" s="13" t="s">
        <v>21632</v>
      </c>
      <c r="W917" s="13" t="s">
        <v>21633</v>
      </c>
      <c r="X917" s="13" t="s">
        <v>21634</v>
      </c>
      <c r="Y917" s="13" t="s">
        <v>21635</v>
      </c>
      <c r="Z917" s="13" t="s">
        <v>21636</v>
      </c>
      <c r="AA917" s="13" t="s">
        <v>21637</v>
      </c>
      <c r="AB917" s="13" t="s">
        <v>21638</v>
      </c>
      <c r="AC917" s="13" t="s">
        <v>21639</v>
      </c>
      <c r="AD917" s="13" t="s">
        <v>21639</v>
      </c>
      <c r="AE917" s="13" t="s">
        <v>21640</v>
      </c>
      <c r="AF917" s="13" t="s">
        <v>5510</v>
      </c>
      <c r="AG917" s="13">
        <v>68.0</v>
      </c>
      <c r="AH917" s="13">
        <v>28.0</v>
      </c>
      <c r="AI917" s="13">
        <v>30.0</v>
      </c>
      <c r="AJ917" s="13">
        <v>0.0</v>
      </c>
      <c r="AK917" s="13">
        <v>62.0</v>
      </c>
      <c r="AL917" s="13" t="s">
        <v>18696</v>
      </c>
      <c r="AM917" s="13" t="s">
        <v>18697</v>
      </c>
      <c r="AN917" s="13" t="s">
        <v>18698</v>
      </c>
      <c r="AO917" s="13" t="s">
        <v>18699</v>
      </c>
      <c r="AP917" s="13" t="s">
        <v>18700</v>
      </c>
      <c r="AQ917" s="13" t="s">
        <v>5510</v>
      </c>
      <c r="AR917" s="13" t="s">
        <v>18701</v>
      </c>
      <c r="AS917" s="13" t="s">
        <v>18702</v>
      </c>
      <c r="AT917" s="13" t="s">
        <v>5720</v>
      </c>
      <c r="AU917" s="13">
        <v>2018.0</v>
      </c>
      <c r="AV917" s="13">
        <v>37.0</v>
      </c>
      <c r="AW917" s="13">
        <v>2.0</v>
      </c>
      <c r="AX917" s="13" t="s">
        <v>5510</v>
      </c>
      <c r="AY917" s="13" t="s">
        <v>5510</v>
      </c>
      <c r="AZ917" s="13" t="s">
        <v>5510</v>
      </c>
      <c r="BA917" s="13" t="s">
        <v>5510</v>
      </c>
      <c r="BB917" s="13">
        <v>417.0</v>
      </c>
      <c r="BC917" s="13">
        <v>431.0</v>
      </c>
      <c r="BD917" s="13" t="s">
        <v>5510</v>
      </c>
      <c r="BE917" s="13" t="s">
        <v>21641</v>
      </c>
      <c r="BF917" s="52" t="str">
        <f>HYPERLINK("http://dx.doi.org/10.1086/697996","http://dx.doi.org/10.1086/697996")</f>
        <v>http://dx.doi.org/10.1086/697996</v>
      </c>
      <c r="BG917" s="13" t="s">
        <v>5510</v>
      </c>
      <c r="BH917" s="13" t="s">
        <v>5510</v>
      </c>
      <c r="BI917" s="13">
        <v>15.0</v>
      </c>
      <c r="BJ917" s="13" t="s">
        <v>17343</v>
      </c>
      <c r="BK917" s="13" t="s">
        <v>5561</v>
      </c>
      <c r="BL917" s="13" t="s">
        <v>6328</v>
      </c>
      <c r="BM917" s="13" t="s">
        <v>21642</v>
      </c>
      <c r="BN917" s="13" t="s">
        <v>5510</v>
      </c>
      <c r="BO917" s="13" t="s">
        <v>6586</v>
      </c>
      <c r="BP917" s="13" t="s">
        <v>5510</v>
      </c>
      <c r="BQ917" s="13" t="s">
        <v>5510</v>
      </c>
      <c r="BR917" s="13" t="s">
        <v>5538</v>
      </c>
      <c r="BS917" s="13" t="s">
        <v>21643</v>
      </c>
      <c r="BT917" s="13">
        <v>24242.0</v>
      </c>
      <c r="BU917" s="13" t="s">
        <v>5540</v>
      </c>
      <c r="BV917" s="13" t="s">
        <v>4852</v>
      </c>
      <c r="BW917" s="13" t="str">
        <f>VLOOKUP($BT917,Enriched!$A$2:$E$1070,5,false)</f>
        <v>["Natural System Modifications", "Invasive &amp; Other Problematic Species, Genes &amp; Diseases", "Agriculture &amp; aquaculture"]</v>
      </c>
      <c r="BX917" s="13" t="str">
        <f>VLOOKUP($BT917,Enriched!$A$2:$E$1070,4,false)</f>
        <v>["Housing &amp; urban area", "Fire &amp; fire suppression", "Invasive non-native/alien species/diseases", "Dams &amp; water management/use"]</v>
      </c>
      <c r="BY917" s="13" t="b">
        <f>VLOOKUP(BT917,Enriched!$A$1:$AA$1070,27,falsE)</f>
        <v>1</v>
      </c>
      <c r="BZ917" s="2" t="str">
        <f>VLOOKUP(BT917,Enriched!$A$1:$AA$1070,14,falsE)</f>
        <v>cumulative</v>
      </c>
      <c r="CA917" s="13" t="str">
        <f>HYPERLINK("https%3A%2F%2Fwww.webofscience.com%2Fwos%2Fwoscc%2Ffull-record%2FWOS:000432253900020","View Full Record in Web of Science")</f>
        <v>View Full Record in Web of Science</v>
      </c>
    </row>
    <row r="918" ht="12.75" customHeight="1">
      <c r="A918" s="13" t="s">
        <v>5508</v>
      </c>
      <c r="B918" s="13" t="s">
        <v>21644</v>
      </c>
      <c r="C918" s="13" t="s">
        <v>5510</v>
      </c>
      <c r="D918" s="13" t="s">
        <v>5510</v>
      </c>
      <c r="E918" s="13" t="s">
        <v>5510</v>
      </c>
      <c r="F918" s="13" t="s">
        <v>21645</v>
      </c>
      <c r="G918" s="13" t="s">
        <v>5510</v>
      </c>
      <c r="H918" s="13" t="s">
        <v>5510</v>
      </c>
      <c r="I918" s="13" t="s">
        <v>21646</v>
      </c>
      <c r="J918" s="13" t="s">
        <v>21647</v>
      </c>
      <c r="K918" s="13" t="s">
        <v>5510</v>
      </c>
      <c r="L918" s="13" t="s">
        <v>5510</v>
      </c>
      <c r="M918" s="13" t="s">
        <v>5513</v>
      </c>
      <c r="N918" s="13" t="s">
        <v>5514</v>
      </c>
      <c r="O918" s="13" t="s">
        <v>5510</v>
      </c>
      <c r="P918" s="13" t="s">
        <v>5510</v>
      </c>
      <c r="Q918" s="13" t="s">
        <v>5510</v>
      </c>
      <c r="R918" s="13" t="s">
        <v>5510</v>
      </c>
      <c r="S918" s="13" t="s">
        <v>5510</v>
      </c>
      <c r="T918" s="13" t="s">
        <v>5510</v>
      </c>
      <c r="U918" s="13" t="s">
        <v>21648</v>
      </c>
      <c r="V918" s="13" t="s">
        <v>21649</v>
      </c>
      <c r="W918" s="13" t="s">
        <v>21650</v>
      </c>
      <c r="X918" s="13" t="s">
        <v>21651</v>
      </c>
      <c r="Y918" s="13" t="s">
        <v>21652</v>
      </c>
      <c r="Z918" s="13" t="s">
        <v>21653</v>
      </c>
      <c r="AA918" s="13" t="s">
        <v>21654</v>
      </c>
      <c r="AB918" s="13" t="s">
        <v>21655</v>
      </c>
      <c r="AC918" s="13" t="s">
        <v>21656</v>
      </c>
      <c r="AD918" s="13" t="s">
        <v>21657</v>
      </c>
      <c r="AE918" s="13" t="s">
        <v>21658</v>
      </c>
      <c r="AF918" s="13" t="s">
        <v>5510</v>
      </c>
      <c r="AG918" s="13">
        <v>76.0</v>
      </c>
      <c r="AH918" s="13">
        <v>41.0</v>
      </c>
      <c r="AI918" s="13">
        <v>45.0</v>
      </c>
      <c r="AJ918" s="13">
        <v>0.0</v>
      </c>
      <c r="AK918" s="13">
        <v>67.0</v>
      </c>
      <c r="AL918" s="13" t="s">
        <v>12169</v>
      </c>
      <c r="AM918" s="13" t="s">
        <v>12170</v>
      </c>
      <c r="AN918" s="13" t="s">
        <v>12171</v>
      </c>
      <c r="AO918" s="13" t="s">
        <v>21659</v>
      </c>
      <c r="AP918" s="13" t="s">
        <v>21660</v>
      </c>
      <c r="AQ918" s="13" t="s">
        <v>5510</v>
      </c>
      <c r="AR918" s="13" t="s">
        <v>21647</v>
      </c>
      <c r="AS918" s="13" t="s">
        <v>89</v>
      </c>
      <c r="AT918" s="13" t="s">
        <v>5510</v>
      </c>
      <c r="AU918" s="13">
        <v>2010.0</v>
      </c>
      <c r="AV918" s="13">
        <v>7.0</v>
      </c>
      <c r="AW918" s="13">
        <v>12.0</v>
      </c>
      <c r="AX918" s="13" t="s">
        <v>5510</v>
      </c>
      <c r="AY918" s="13" t="s">
        <v>5510</v>
      </c>
      <c r="AZ918" s="13" t="s">
        <v>5510</v>
      </c>
      <c r="BA918" s="13" t="s">
        <v>5510</v>
      </c>
      <c r="BB918" s="13">
        <v>3999.0</v>
      </c>
      <c r="BC918" s="13">
        <v>4015.0</v>
      </c>
      <c r="BD918" s="13" t="s">
        <v>5510</v>
      </c>
      <c r="BE918" s="13" t="s">
        <v>21661</v>
      </c>
      <c r="BF918" s="52" t="str">
        <f>HYPERLINK("http://dx.doi.org/10.5194/bg-7-3999-2010","http://dx.doi.org/10.5194/bg-7-3999-2010")</f>
        <v>http://dx.doi.org/10.5194/bg-7-3999-2010</v>
      </c>
      <c r="BG918" s="13" t="s">
        <v>5510</v>
      </c>
      <c r="BH918" s="13" t="s">
        <v>5510</v>
      </c>
      <c r="BI918" s="13">
        <v>17.0</v>
      </c>
      <c r="BJ918" s="13" t="s">
        <v>21662</v>
      </c>
      <c r="BK918" s="13" t="s">
        <v>5561</v>
      </c>
      <c r="BL918" s="13" t="s">
        <v>21663</v>
      </c>
      <c r="BM918" s="13" t="s">
        <v>21664</v>
      </c>
      <c r="BN918" s="13" t="s">
        <v>5510</v>
      </c>
      <c r="BO918" s="13" t="s">
        <v>5564</v>
      </c>
      <c r="BP918" s="13" t="s">
        <v>5510</v>
      </c>
      <c r="BQ918" s="13" t="s">
        <v>5510</v>
      </c>
      <c r="BR918" s="13" t="s">
        <v>5538</v>
      </c>
      <c r="BS918" s="13" t="s">
        <v>21665</v>
      </c>
      <c r="BT918" s="13">
        <v>24428.0</v>
      </c>
      <c r="BU918" s="13" t="s">
        <v>5540</v>
      </c>
      <c r="BV918" s="13" t="s">
        <v>4852</v>
      </c>
      <c r="BW918" s="13" t="str">
        <f>VLOOKUP($BT918,Enriched!$A$2:$E$1070,5,false)</f>
        <v>["Agriculture &amp; Aquaculture", "Natural System Modifications", "Pollution", "Energy Production &amp; Mining", "Residential &amp; Commercial Development"]</v>
      </c>
      <c r="BX918" s="13" t="str">
        <f>VLOOKUP($BT918,Enriched!$A$2:$E$1070,4,false)</f>
        <v>["Marine &amp; freshwater aquaculture", "Dams &amp; water management/use", "Domestic &amp; urban waste water", "Agricultural &amp; forestry effluents", "Mining &amp; quarrying", "Fire &amp; fire suppression", "Housing &amp; urban area", "Commercial &amp; industrial areas", "Tourism &amp; recreation areas"]</v>
      </c>
      <c r="BY918" s="13" t="b">
        <f>VLOOKUP(BT918,Enriched!$A$1:$AA$1070,27,falsE)</f>
        <v>1</v>
      </c>
      <c r="BZ918" s="2" t="str">
        <f>VLOOKUP(BT918,Enriched!$A$1:$AA$1070,14,falsE)</f>
        <v>level2</v>
      </c>
      <c r="CA918" s="13" t="str">
        <f>HYPERLINK("https%3A%2F%2Fwww.webofscience.com%2Fwos%2Fwoscc%2Ffull-record%2FWOS:000285574100007","View Full Record in Web of Science")</f>
        <v>View Full Record in Web of Science</v>
      </c>
    </row>
    <row r="919" ht="12.75" customHeight="1">
      <c r="A919" s="13" t="s">
        <v>5508</v>
      </c>
      <c r="B919" s="13" t="s">
        <v>21666</v>
      </c>
      <c r="C919" s="13" t="s">
        <v>5510</v>
      </c>
      <c r="D919" s="13" t="s">
        <v>5510</v>
      </c>
      <c r="E919" s="13" t="s">
        <v>5510</v>
      </c>
      <c r="F919" s="13" t="s">
        <v>21667</v>
      </c>
      <c r="G919" s="13" t="s">
        <v>5510</v>
      </c>
      <c r="H919" s="13" t="s">
        <v>5510</v>
      </c>
      <c r="I919" s="13" t="s">
        <v>86</v>
      </c>
      <c r="J919" s="13" t="s">
        <v>5919</v>
      </c>
      <c r="K919" s="13" t="s">
        <v>5510</v>
      </c>
      <c r="L919" s="13" t="s">
        <v>5510</v>
      </c>
      <c r="M919" s="13" t="s">
        <v>5513</v>
      </c>
      <c r="N919" s="13" t="s">
        <v>5514</v>
      </c>
      <c r="O919" s="13" t="s">
        <v>5510</v>
      </c>
      <c r="P919" s="13" t="s">
        <v>5510</v>
      </c>
      <c r="Q919" s="13" t="s">
        <v>5510</v>
      </c>
      <c r="R919" s="13" t="s">
        <v>5510</v>
      </c>
      <c r="S919" s="13" t="s">
        <v>5510</v>
      </c>
      <c r="T919" s="13" t="s">
        <v>21668</v>
      </c>
      <c r="U919" s="13" t="s">
        <v>21669</v>
      </c>
      <c r="V919" s="13" t="s">
        <v>21670</v>
      </c>
      <c r="W919" s="13" t="s">
        <v>21671</v>
      </c>
      <c r="X919" s="13" t="s">
        <v>21672</v>
      </c>
      <c r="Y919" s="13" t="s">
        <v>21673</v>
      </c>
      <c r="Z919" s="13" t="s">
        <v>21674</v>
      </c>
      <c r="AA919" s="13" t="s">
        <v>21675</v>
      </c>
      <c r="AB919" s="13" t="s">
        <v>21676</v>
      </c>
      <c r="AC919" s="13" t="s">
        <v>21677</v>
      </c>
      <c r="AD919" s="13" t="s">
        <v>21678</v>
      </c>
      <c r="AE919" s="13" t="s">
        <v>21679</v>
      </c>
      <c r="AF919" s="13" t="s">
        <v>5510</v>
      </c>
      <c r="AG919" s="13">
        <v>89.0</v>
      </c>
      <c r="AH919" s="13">
        <v>17.0</v>
      </c>
      <c r="AI919" s="13">
        <v>19.0</v>
      </c>
      <c r="AJ919" s="13">
        <v>3.0</v>
      </c>
      <c r="AK919" s="13">
        <v>47.0</v>
      </c>
      <c r="AL919" s="13" t="s">
        <v>5931</v>
      </c>
      <c r="AM919" s="13" t="s">
        <v>7486</v>
      </c>
      <c r="AN919" s="13" t="s">
        <v>7487</v>
      </c>
      <c r="AO919" s="13" t="s">
        <v>5934</v>
      </c>
      <c r="AP919" s="13" t="s">
        <v>5935</v>
      </c>
      <c r="AQ919" s="13" t="s">
        <v>5510</v>
      </c>
      <c r="AR919" s="13" t="s">
        <v>5936</v>
      </c>
      <c r="AS919" s="13" t="s">
        <v>5937</v>
      </c>
      <c r="AT919" s="13" t="s">
        <v>1925</v>
      </c>
      <c r="AU919" s="13">
        <v>2020.0</v>
      </c>
      <c r="AV919" s="13">
        <v>249.0</v>
      </c>
      <c r="AW919" s="13" t="s">
        <v>5510</v>
      </c>
      <c r="AX919" s="13" t="s">
        <v>5510</v>
      </c>
      <c r="AY919" s="13" t="s">
        <v>5510</v>
      </c>
      <c r="AZ919" s="13" t="s">
        <v>5510</v>
      </c>
      <c r="BA919" s="13" t="s">
        <v>5510</v>
      </c>
      <c r="BB919" s="13" t="s">
        <v>5510</v>
      </c>
      <c r="BC919" s="13" t="s">
        <v>5510</v>
      </c>
      <c r="BD919" s="13">
        <v>108729.0</v>
      </c>
      <c r="BE919" s="13" t="s">
        <v>21680</v>
      </c>
      <c r="BF919" s="52" t="str">
        <f>HYPERLINK("http://dx.doi.org/10.1016/j.biocon.2020.108729","http://dx.doi.org/10.1016/j.biocon.2020.108729")</f>
        <v>http://dx.doi.org/10.1016/j.biocon.2020.108729</v>
      </c>
      <c r="BG919" s="13" t="s">
        <v>5510</v>
      </c>
      <c r="BH919" s="13" t="s">
        <v>5510</v>
      </c>
      <c r="BI919" s="13">
        <v>10.0</v>
      </c>
      <c r="BJ919" s="13" t="s">
        <v>5698</v>
      </c>
      <c r="BK919" s="13" t="s">
        <v>5561</v>
      </c>
      <c r="BL919" s="13" t="s">
        <v>5699</v>
      </c>
      <c r="BM919" s="13" t="s">
        <v>14348</v>
      </c>
      <c r="BN919" s="13" t="s">
        <v>5510</v>
      </c>
      <c r="BO919" s="13" t="s">
        <v>5510</v>
      </c>
      <c r="BP919" s="13" t="s">
        <v>5510</v>
      </c>
      <c r="BQ919" s="13" t="s">
        <v>5510</v>
      </c>
      <c r="BR919" s="13" t="s">
        <v>5538</v>
      </c>
      <c r="BS919" s="13" t="s">
        <v>21681</v>
      </c>
      <c r="BT919" s="13">
        <v>24868.0</v>
      </c>
      <c r="BU919" s="13" t="s">
        <v>5540</v>
      </c>
      <c r="BV919" s="13" t="s">
        <v>4856</v>
      </c>
      <c r="BW919" s="13" t="str">
        <f>VLOOKUP($BT919,Enriched!$A$2:$E$1070,5,false)</f>
        <v>["Transportation &amp; Service Corridors"]</v>
      </c>
      <c r="BX919" s="13" t="str">
        <f>VLOOKUP($BT919,Enriched!$A$2:$E$1070,4,false)</f>
        <v>["Roads &amp; railroads"]</v>
      </c>
      <c r="BY919" s="13" t="b">
        <f>VLOOKUP(BT919,Enriched!$A$1:$AA$1070,27,falsE)</f>
        <v>0</v>
      </c>
      <c r="BZ919" s="2" t="str">
        <f>VLOOKUP(BT919,Enriched!$A$1:$AA$1070,14,falsE)</f>
        <v>level2</v>
      </c>
      <c r="CA919" s="13" t="str">
        <f>HYPERLINK("https%3A%2F%2Fwww.webofscience.com%2Fwos%2Fwoscc%2Ffull-record%2FWOS:000567872700006","View Full Record in Web of Science")</f>
        <v>View Full Record in Web of Science</v>
      </c>
    </row>
    <row r="920" ht="12.75" customHeight="1">
      <c r="A920" s="13" t="s">
        <v>5508</v>
      </c>
      <c r="B920" s="13" t="s">
        <v>21682</v>
      </c>
      <c r="C920" s="13" t="s">
        <v>5510</v>
      </c>
      <c r="D920" s="13" t="s">
        <v>5510</v>
      </c>
      <c r="E920" s="13" t="s">
        <v>5510</v>
      </c>
      <c r="F920" s="13" t="s">
        <v>21683</v>
      </c>
      <c r="G920" s="13" t="s">
        <v>5510</v>
      </c>
      <c r="H920" s="13" t="s">
        <v>5510</v>
      </c>
      <c r="I920" s="13" t="s">
        <v>84</v>
      </c>
      <c r="J920" s="13" t="s">
        <v>5512</v>
      </c>
      <c r="K920" s="13" t="s">
        <v>5510</v>
      </c>
      <c r="L920" s="13" t="s">
        <v>5510</v>
      </c>
      <c r="M920" s="13" t="s">
        <v>5513</v>
      </c>
      <c r="N920" s="13" t="s">
        <v>5514</v>
      </c>
      <c r="O920" s="13" t="s">
        <v>5510</v>
      </c>
      <c r="P920" s="13" t="s">
        <v>5510</v>
      </c>
      <c r="Q920" s="13" t="s">
        <v>5510</v>
      </c>
      <c r="R920" s="13" t="s">
        <v>5510</v>
      </c>
      <c r="S920" s="13" t="s">
        <v>5510</v>
      </c>
      <c r="T920" s="13" t="s">
        <v>21684</v>
      </c>
      <c r="U920" s="13" t="s">
        <v>21685</v>
      </c>
      <c r="V920" s="13" t="s">
        <v>21686</v>
      </c>
      <c r="W920" s="13" t="s">
        <v>21687</v>
      </c>
      <c r="X920" s="13" t="s">
        <v>21688</v>
      </c>
      <c r="Y920" s="13" t="s">
        <v>21689</v>
      </c>
      <c r="Z920" s="13" t="s">
        <v>21690</v>
      </c>
      <c r="AA920" s="13" t="s">
        <v>21691</v>
      </c>
      <c r="AB920" s="13" t="s">
        <v>21692</v>
      </c>
      <c r="AC920" s="13" t="s">
        <v>21693</v>
      </c>
      <c r="AD920" s="13" t="s">
        <v>21694</v>
      </c>
      <c r="AE920" s="13" t="s">
        <v>21695</v>
      </c>
      <c r="AF920" s="13" t="s">
        <v>5510</v>
      </c>
      <c r="AG920" s="13">
        <v>71.0</v>
      </c>
      <c r="AH920" s="13">
        <v>6.0</v>
      </c>
      <c r="AI920" s="13">
        <v>6.0</v>
      </c>
      <c r="AJ920" s="13">
        <v>1.0</v>
      </c>
      <c r="AK920" s="13">
        <v>15.0</v>
      </c>
      <c r="AL920" s="13" t="s">
        <v>5527</v>
      </c>
      <c r="AM920" s="13" t="s">
        <v>5528</v>
      </c>
      <c r="AN920" s="13" t="s">
        <v>5529</v>
      </c>
      <c r="AO920" s="13" t="s">
        <v>5530</v>
      </c>
      <c r="AP920" s="13" t="s">
        <v>5510</v>
      </c>
      <c r="AQ920" s="13" t="s">
        <v>5510</v>
      </c>
      <c r="AR920" s="13" t="s">
        <v>5512</v>
      </c>
      <c r="AS920" s="13" t="s">
        <v>53</v>
      </c>
      <c r="AT920" s="13" t="s">
        <v>1925</v>
      </c>
      <c r="AU920" s="13">
        <v>2019.0</v>
      </c>
      <c r="AV920" s="13">
        <v>10.0</v>
      </c>
      <c r="AW920" s="13">
        <v>9.0</v>
      </c>
      <c r="AX920" s="13" t="s">
        <v>5510</v>
      </c>
      <c r="AY920" s="13" t="s">
        <v>5510</v>
      </c>
      <c r="AZ920" s="13" t="s">
        <v>5510</v>
      </c>
      <c r="BA920" s="13" t="s">
        <v>5510</v>
      </c>
      <c r="BB920" s="13" t="s">
        <v>5510</v>
      </c>
      <c r="BC920" s="13" t="s">
        <v>5510</v>
      </c>
      <c r="BD920" s="13" t="s">
        <v>21696</v>
      </c>
      <c r="BE920" s="13" t="s">
        <v>21697</v>
      </c>
      <c r="BF920" s="52" t="str">
        <f>HYPERLINK("http://dx.doi.org/10.1002/ecs2.2859","http://dx.doi.org/10.1002/ecs2.2859")</f>
        <v>http://dx.doi.org/10.1002/ecs2.2859</v>
      </c>
      <c r="BG920" s="13" t="s">
        <v>5510</v>
      </c>
      <c r="BH920" s="13" t="s">
        <v>5510</v>
      </c>
      <c r="BI920" s="13">
        <v>19.0</v>
      </c>
      <c r="BJ920" s="13" t="s">
        <v>5533</v>
      </c>
      <c r="BK920" s="13" t="s">
        <v>5561</v>
      </c>
      <c r="BL920" s="13" t="s">
        <v>5535</v>
      </c>
      <c r="BM920" s="13" t="s">
        <v>21698</v>
      </c>
      <c r="BN920" s="13" t="s">
        <v>5510</v>
      </c>
      <c r="BO920" s="13" t="s">
        <v>5564</v>
      </c>
      <c r="BP920" s="13" t="s">
        <v>5510</v>
      </c>
      <c r="BQ920" s="13" t="s">
        <v>5510</v>
      </c>
      <c r="BR920" s="13" t="s">
        <v>5538</v>
      </c>
      <c r="BS920" s="13" t="s">
        <v>21699</v>
      </c>
      <c r="BT920" s="13">
        <v>25026.0</v>
      </c>
      <c r="BU920" s="13" t="s">
        <v>5540</v>
      </c>
      <c r="BV920" s="13" t="s">
        <v>4856</v>
      </c>
      <c r="BW920" s="13" t="str">
        <f>VLOOKUP($BT920,Enriched!$A$2:$E$1070,5,false)</f>
        <v>["Invasive &amp; Other Problematic Species, Genes &amp; Diseases", "Residential &amp; Commercial Development", "Agriculture &amp; Aquaculture", "Transportation &amp; Service Corridors", "Energy Production &amp; Mining"]</v>
      </c>
      <c r="BX920" s="13" t="str">
        <f>VLOOKUP($BT920,Enriched!$A$2:$E$1070,4,false)</f>
        <v>["Invasive non-native/alien species/diseases", "Housing &amp; urban area", "Commercial &amp; industrial areas", "Annual &amp; perennial non-timber crops", "Livestock farming &amp; ranching", "Roads &amp; railroads", "Mining &amp; quarrying"]</v>
      </c>
      <c r="BY920" s="13" t="b">
        <f>VLOOKUP(BT920,Enriched!$A$1:$AA$1070,27,falsE)</f>
        <v>0</v>
      </c>
      <c r="BZ920" s="2" t="str">
        <f>VLOOKUP(BT920,Enriched!$A$1:$AA$1070,14,falsE)</f>
        <v>cumulative</v>
      </c>
      <c r="CA920" s="13" t="str">
        <f>HYPERLINK("https%3A%2F%2Fwww.webofscience.com%2Fwos%2Fwoscc%2Ffull-record%2FWOS:000490766500008","View Full Record in Web of Science")</f>
        <v>View Full Record in Web of Science</v>
      </c>
    </row>
    <row r="921" ht="12.75" customHeight="1">
      <c r="A921" s="13" t="s">
        <v>5508</v>
      </c>
      <c r="B921" s="13" t="s">
        <v>21700</v>
      </c>
      <c r="C921" s="13" t="s">
        <v>5510</v>
      </c>
      <c r="D921" s="13" t="s">
        <v>5510</v>
      </c>
      <c r="E921" s="13" t="s">
        <v>5510</v>
      </c>
      <c r="F921" s="13" t="s">
        <v>21701</v>
      </c>
      <c r="G921" s="13" t="s">
        <v>5510</v>
      </c>
      <c r="H921" s="13" t="s">
        <v>5510</v>
      </c>
      <c r="I921" s="13" t="s">
        <v>80</v>
      </c>
      <c r="J921" s="13" t="s">
        <v>7741</v>
      </c>
      <c r="K921" s="13" t="s">
        <v>5510</v>
      </c>
      <c r="L921" s="13" t="s">
        <v>5510</v>
      </c>
      <c r="M921" s="13" t="s">
        <v>5513</v>
      </c>
      <c r="N921" s="13" t="s">
        <v>5514</v>
      </c>
      <c r="O921" s="13" t="s">
        <v>5510</v>
      </c>
      <c r="P921" s="13" t="s">
        <v>5510</v>
      </c>
      <c r="Q921" s="13" t="s">
        <v>5510</v>
      </c>
      <c r="R921" s="13" t="s">
        <v>5510</v>
      </c>
      <c r="S921" s="13" t="s">
        <v>5510</v>
      </c>
      <c r="T921" s="13" t="s">
        <v>21702</v>
      </c>
      <c r="U921" s="13" t="s">
        <v>21703</v>
      </c>
      <c r="V921" s="13" t="s">
        <v>21704</v>
      </c>
      <c r="W921" s="13" t="s">
        <v>21705</v>
      </c>
      <c r="X921" s="13" t="s">
        <v>21706</v>
      </c>
      <c r="Y921" s="13" t="s">
        <v>21707</v>
      </c>
      <c r="Z921" s="13" t="s">
        <v>21708</v>
      </c>
      <c r="AA921" s="13" t="s">
        <v>21709</v>
      </c>
      <c r="AB921" s="13" t="s">
        <v>21710</v>
      </c>
      <c r="AC921" s="13" t="s">
        <v>21711</v>
      </c>
      <c r="AD921" s="13" t="s">
        <v>21712</v>
      </c>
      <c r="AE921" s="13" t="s">
        <v>21713</v>
      </c>
      <c r="AF921" s="13" t="s">
        <v>5510</v>
      </c>
      <c r="AG921" s="13">
        <v>69.0</v>
      </c>
      <c r="AH921" s="13">
        <v>7.0</v>
      </c>
      <c r="AI921" s="13">
        <v>7.0</v>
      </c>
      <c r="AJ921" s="13">
        <v>0.0</v>
      </c>
      <c r="AK921" s="13">
        <v>33.0</v>
      </c>
      <c r="AL921" s="13" t="s">
        <v>6717</v>
      </c>
      <c r="AM921" s="13" t="s">
        <v>5932</v>
      </c>
      <c r="AN921" s="13" t="s">
        <v>6718</v>
      </c>
      <c r="AO921" s="13" t="s">
        <v>7752</v>
      </c>
      <c r="AP921" s="13" t="s">
        <v>7753</v>
      </c>
      <c r="AQ921" s="13" t="s">
        <v>5510</v>
      </c>
      <c r="AR921" s="13" t="s">
        <v>7754</v>
      </c>
      <c r="AS921" s="13" t="s">
        <v>7755</v>
      </c>
      <c r="AT921" s="13" t="s">
        <v>21714</v>
      </c>
      <c r="AU921" s="13">
        <v>2015.0</v>
      </c>
      <c r="AV921" s="13">
        <v>101.0</v>
      </c>
      <c r="AW921" s="13">
        <v>2.0</v>
      </c>
      <c r="AX921" s="13" t="s">
        <v>5510</v>
      </c>
      <c r="AY921" s="13" t="s">
        <v>5510</v>
      </c>
      <c r="AZ921" s="13" t="s">
        <v>5510</v>
      </c>
      <c r="BA921" s="13" t="s">
        <v>5510</v>
      </c>
      <c r="BB921" s="13">
        <v>497.0</v>
      </c>
      <c r="BC921" s="13">
        <v>506.0</v>
      </c>
      <c r="BD921" s="13" t="s">
        <v>5510</v>
      </c>
      <c r="BE921" s="13" t="s">
        <v>21715</v>
      </c>
      <c r="BF921" s="52" t="str">
        <f>HYPERLINK("http://dx.doi.org/10.1016/j.marpolbul.2015.10.065","http://dx.doi.org/10.1016/j.marpolbul.2015.10.065")</f>
        <v>http://dx.doi.org/10.1016/j.marpolbul.2015.10.065</v>
      </c>
      <c r="BG921" s="13" t="s">
        <v>5510</v>
      </c>
      <c r="BH921" s="13" t="s">
        <v>5510</v>
      </c>
      <c r="BI921" s="13">
        <v>10.0</v>
      </c>
      <c r="BJ921" s="13" t="s">
        <v>6327</v>
      </c>
      <c r="BK921" s="13" t="s">
        <v>5561</v>
      </c>
      <c r="BL921" s="13" t="s">
        <v>6328</v>
      </c>
      <c r="BM921" s="13" t="s">
        <v>21716</v>
      </c>
      <c r="BN921" s="13">
        <v>2.6522163E7</v>
      </c>
      <c r="BO921" s="13" t="s">
        <v>5510</v>
      </c>
      <c r="BP921" s="13" t="s">
        <v>5510</v>
      </c>
      <c r="BQ921" s="13" t="s">
        <v>5510</v>
      </c>
      <c r="BR921" s="13" t="s">
        <v>5538</v>
      </c>
      <c r="BS921" s="13" t="s">
        <v>21717</v>
      </c>
      <c r="BT921" s="13">
        <v>25629.0</v>
      </c>
      <c r="BU921" s="13" t="s">
        <v>5540</v>
      </c>
      <c r="BV921" s="13" t="s">
        <v>4864</v>
      </c>
      <c r="BW921" s="13" t="str">
        <f>VLOOKUP($BT921,Enriched!$A$2:$E$1070,5,false)</f>
        <v>["Biological Resource Use", "Pollution"]</v>
      </c>
      <c r="BX921" s="13" t="str">
        <f>VLOOKUP($BT921,Enriched!$A$2:$E$1070,4,false)</f>
        <v>["Fishing &amp; harvesting aquatic resources", "Industrial &amp; military effluents", "Agricultural &amp; forestry effluents"]</v>
      </c>
      <c r="BY921" s="13" t="b">
        <f>VLOOKUP(BT921,Enriched!$A$1:$AA$1070,27,falsE)</f>
        <v>0</v>
      </c>
      <c r="BZ921" s="2" t="str">
        <f>VLOOKUP(BT921,Enriched!$A$1:$AA$1070,14,falsE)</f>
        <v>cumulative</v>
      </c>
      <c r="CA921" s="13" t="str">
        <f>HYPERLINK("https%3A%2F%2Fwww.webofscience.com%2Fwos%2Fwoscc%2Ffull-record%2FWOS:000367107600004","View Full Record in Web of Science")</f>
        <v>View Full Record in Web of Science</v>
      </c>
    </row>
    <row r="922" ht="12.75" customHeight="1">
      <c r="A922" s="13" t="s">
        <v>5508</v>
      </c>
      <c r="B922" s="13" t="s">
        <v>21718</v>
      </c>
      <c r="C922" s="13" t="s">
        <v>5510</v>
      </c>
      <c r="D922" s="13" t="s">
        <v>5510</v>
      </c>
      <c r="E922" s="13" t="s">
        <v>5510</v>
      </c>
      <c r="F922" s="13" t="s">
        <v>21719</v>
      </c>
      <c r="G922" s="13" t="s">
        <v>5510</v>
      </c>
      <c r="H922" s="13" t="s">
        <v>5510</v>
      </c>
      <c r="I922" s="13" t="s">
        <v>77</v>
      </c>
      <c r="J922" s="13" t="s">
        <v>5919</v>
      </c>
      <c r="K922" s="13" t="s">
        <v>5510</v>
      </c>
      <c r="L922" s="13" t="s">
        <v>5510</v>
      </c>
      <c r="M922" s="13" t="s">
        <v>5513</v>
      </c>
      <c r="N922" s="13" t="s">
        <v>5514</v>
      </c>
      <c r="O922" s="13" t="s">
        <v>5510</v>
      </c>
      <c r="P922" s="13" t="s">
        <v>5510</v>
      </c>
      <c r="Q922" s="13" t="s">
        <v>5510</v>
      </c>
      <c r="R922" s="13" t="s">
        <v>5510</v>
      </c>
      <c r="S922" s="13" t="s">
        <v>5510</v>
      </c>
      <c r="T922" s="13" t="s">
        <v>5510</v>
      </c>
      <c r="U922" s="13" t="s">
        <v>21720</v>
      </c>
      <c r="V922" s="13" t="s">
        <v>21721</v>
      </c>
      <c r="W922" s="13" t="s">
        <v>21722</v>
      </c>
      <c r="X922" s="13" t="s">
        <v>21723</v>
      </c>
      <c r="Y922" s="13" t="s">
        <v>21724</v>
      </c>
      <c r="Z922" s="13" t="s">
        <v>21725</v>
      </c>
      <c r="AA922" s="13" t="s">
        <v>21726</v>
      </c>
      <c r="AB922" s="13" t="s">
        <v>5510</v>
      </c>
      <c r="AC922" s="13" t="s">
        <v>21727</v>
      </c>
      <c r="AD922" s="13" t="s">
        <v>21728</v>
      </c>
      <c r="AE922" s="13" t="s">
        <v>21729</v>
      </c>
      <c r="AF922" s="13" t="s">
        <v>5510</v>
      </c>
      <c r="AG922" s="13">
        <v>31.0</v>
      </c>
      <c r="AH922" s="13">
        <v>9.0</v>
      </c>
      <c r="AI922" s="13">
        <v>16.0</v>
      </c>
      <c r="AJ922" s="13">
        <v>1.0</v>
      </c>
      <c r="AK922" s="13">
        <v>13.0</v>
      </c>
      <c r="AL922" s="13" t="s">
        <v>5931</v>
      </c>
      <c r="AM922" s="13" t="s">
        <v>5932</v>
      </c>
      <c r="AN922" s="13" t="s">
        <v>5933</v>
      </c>
      <c r="AO922" s="13" t="s">
        <v>5934</v>
      </c>
      <c r="AP922" s="13" t="s">
        <v>5935</v>
      </c>
      <c r="AQ922" s="13" t="s">
        <v>5510</v>
      </c>
      <c r="AR922" s="13" t="s">
        <v>5936</v>
      </c>
      <c r="AS922" s="13" t="s">
        <v>5937</v>
      </c>
      <c r="AT922" s="13" t="s">
        <v>2738</v>
      </c>
      <c r="AU922" s="13">
        <v>2018.0</v>
      </c>
      <c r="AV922" s="13">
        <v>218.0</v>
      </c>
      <c r="AW922" s="13" t="s">
        <v>5510</v>
      </c>
      <c r="AX922" s="13" t="s">
        <v>5510</v>
      </c>
      <c r="AY922" s="13" t="s">
        <v>5510</v>
      </c>
      <c r="AZ922" s="13" t="s">
        <v>5510</v>
      </c>
      <c r="BA922" s="13" t="s">
        <v>5510</v>
      </c>
      <c r="BB922" s="13">
        <v>217.0</v>
      </c>
      <c r="BC922" s="13">
        <v>222.0</v>
      </c>
      <c r="BD922" s="13" t="s">
        <v>5510</v>
      </c>
      <c r="BE922" s="13" t="s">
        <v>21730</v>
      </c>
      <c r="BF922" s="52" t="str">
        <f>HYPERLINK("http://dx.doi.org/10.1016/j.biocon.2017.12.031","http://dx.doi.org/10.1016/j.biocon.2017.12.031")</f>
        <v>http://dx.doi.org/10.1016/j.biocon.2017.12.031</v>
      </c>
      <c r="BG922" s="13" t="s">
        <v>5510</v>
      </c>
      <c r="BH922" s="13" t="s">
        <v>5510</v>
      </c>
      <c r="BI922" s="13">
        <v>6.0</v>
      </c>
      <c r="BJ922" s="13" t="s">
        <v>5698</v>
      </c>
      <c r="BK922" s="13" t="s">
        <v>5561</v>
      </c>
      <c r="BL922" s="13" t="s">
        <v>5699</v>
      </c>
      <c r="BM922" s="13" t="s">
        <v>18568</v>
      </c>
      <c r="BN922" s="13" t="s">
        <v>5510</v>
      </c>
      <c r="BO922" s="13" t="s">
        <v>5809</v>
      </c>
      <c r="BP922" s="13" t="s">
        <v>5510</v>
      </c>
      <c r="BQ922" s="13" t="s">
        <v>5510</v>
      </c>
      <c r="BR922" s="13" t="s">
        <v>5538</v>
      </c>
      <c r="BS922" s="13" t="s">
        <v>21731</v>
      </c>
      <c r="BT922" s="13">
        <v>23868.0</v>
      </c>
      <c r="BU922" s="13" t="s">
        <v>5540</v>
      </c>
      <c r="BV922" s="13" t="s">
        <v>4856</v>
      </c>
      <c r="BW922" s="13" t="str">
        <f>VLOOKUP($BT922,Enriched!$A$2:$E$1070,5,false)</f>
        <v>["Invasive &amp; other problematic species, genes &amp; diseases"]</v>
      </c>
      <c r="BX922" s="13" t="str">
        <f>VLOOKUP($BT922,Enriched!$A$2:$E$1070,4,false)</f>
        <v>["Invasive non-native/alien species/diseases"]</v>
      </c>
      <c r="BY922" s="13" t="b">
        <f>VLOOKUP(BT922,Enriched!$A$1:$AA$1070,27,falsE)</f>
        <v>0</v>
      </c>
      <c r="BZ922" s="2" t="str">
        <f>VLOOKUP(BT922,Enriched!$A$1:$AA$1070,14,falsE)</f>
        <v>level2</v>
      </c>
      <c r="CA922" s="13" t="str">
        <f>HYPERLINK("https%3A%2F%2Fwww.webofscience.com%2Fwos%2Fwoscc%2Ffull-record%2FWOS:000424177400026","View Full Record in Web of Science")</f>
        <v>View Full Record in Web of Science</v>
      </c>
    </row>
    <row r="923" ht="12.75" customHeight="1">
      <c r="A923" s="13" t="s">
        <v>5508</v>
      </c>
      <c r="B923" s="13" t="s">
        <v>21732</v>
      </c>
      <c r="C923" s="13" t="s">
        <v>5510</v>
      </c>
      <c r="D923" s="13" t="s">
        <v>5510</v>
      </c>
      <c r="E923" s="13" t="s">
        <v>5510</v>
      </c>
      <c r="F923" s="13" t="s">
        <v>21733</v>
      </c>
      <c r="G923" s="13" t="s">
        <v>5510</v>
      </c>
      <c r="H923" s="13" t="s">
        <v>5510</v>
      </c>
      <c r="I923" s="13" t="s">
        <v>73</v>
      </c>
      <c r="J923" s="13" t="s">
        <v>7990</v>
      </c>
      <c r="K923" s="13" t="s">
        <v>5510</v>
      </c>
      <c r="L923" s="13" t="s">
        <v>5510</v>
      </c>
      <c r="M923" s="13" t="s">
        <v>5513</v>
      </c>
      <c r="N923" s="13" t="s">
        <v>5514</v>
      </c>
      <c r="O923" s="13" t="s">
        <v>5510</v>
      </c>
      <c r="P923" s="13" t="s">
        <v>5510</v>
      </c>
      <c r="Q923" s="13" t="s">
        <v>5510</v>
      </c>
      <c r="R923" s="13" t="s">
        <v>5510</v>
      </c>
      <c r="S923" s="13" t="s">
        <v>5510</v>
      </c>
      <c r="T923" s="13" t="s">
        <v>21734</v>
      </c>
      <c r="U923" s="13" t="s">
        <v>21735</v>
      </c>
      <c r="V923" s="13" t="s">
        <v>21736</v>
      </c>
      <c r="W923" s="13" t="s">
        <v>21737</v>
      </c>
      <c r="X923" s="13" t="s">
        <v>21738</v>
      </c>
      <c r="Y923" s="13" t="s">
        <v>21739</v>
      </c>
      <c r="Z923" s="13" t="s">
        <v>21740</v>
      </c>
      <c r="AA923" s="13" t="s">
        <v>21741</v>
      </c>
      <c r="AB923" s="13" t="s">
        <v>21742</v>
      </c>
      <c r="AC923" s="13" t="s">
        <v>21743</v>
      </c>
      <c r="AD923" s="13" t="s">
        <v>21743</v>
      </c>
      <c r="AE923" s="13" t="s">
        <v>21744</v>
      </c>
      <c r="AF923" s="13" t="s">
        <v>5510</v>
      </c>
      <c r="AG923" s="13">
        <v>65.0</v>
      </c>
      <c r="AH923" s="13">
        <v>12.0</v>
      </c>
      <c r="AI923" s="13">
        <v>13.0</v>
      </c>
      <c r="AJ923" s="13">
        <v>1.0</v>
      </c>
      <c r="AK923" s="13">
        <v>39.0</v>
      </c>
      <c r="AL923" s="13" t="s">
        <v>18319</v>
      </c>
      <c r="AM923" s="13" t="s">
        <v>18320</v>
      </c>
      <c r="AN923" s="13" t="s">
        <v>18321</v>
      </c>
      <c r="AO923" s="13" t="s">
        <v>8006</v>
      </c>
      <c r="AP923" s="13" t="s">
        <v>8007</v>
      </c>
      <c r="AQ923" s="13" t="s">
        <v>5510</v>
      </c>
      <c r="AR923" s="13" t="s">
        <v>8008</v>
      </c>
      <c r="AS923" s="13" t="s">
        <v>8009</v>
      </c>
      <c r="AT923" s="13" t="s">
        <v>2738</v>
      </c>
      <c r="AU923" s="13">
        <v>2015.0</v>
      </c>
      <c r="AV923" s="13">
        <v>23.0</v>
      </c>
      <c r="AW923" s="13" t="s">
        <v>5510</v>
      </c>
      <c r="AX923" s="13" t="s">
        <v>5510</v>
      </c>
      <c r="AY923" s="13" t="s">
        <v>5510</v>
      </c>
      <c r="AZ923" s="13" t="s">
        <v>5510</v>
      </c>
      <c r="BA923" s="13" t="s">
        <v>5510</v>
      </c>
      <c r="BB923" s="13">
        <v>45.0</v>
      </c>
      <c r="BC923" s="13">
        <v>52.0</v>
      </c>
      <c r="BD923" s="13" t="s">
        <v>5510</v>
      </c>
      <c r="BE923" s="13" t="s">
        <v>21745</v>
      </c>
      <c r="BF923" s="52" t="str">
        <f>HYPERLINK("http://dx.doi.org/10.1016/j.jnc.2014.07.004","http://dx.doi.org/10.1016/j.jnc.2014.07.004")</f>
        <v>http://dx.doi.org/10.1016/j.jnc.2014.07.004</v>
      </c>
      <c r="BG923" s="13" t="s">
        <v>5510</v>
      </c>
      <c r="BH923" s="13" t="s">
        <v>5510</v>
      </c>
      <c r="BI923" s="13">
        <v>8.0</v>
      </c>
      <c r="BJ923" s="13" t="s">
        <v>5958</v>
      </c>
      <c r="BK923" s="13" t="s">
        <v>5561</v>
      </c>
      <c r="BL923" s="13" t="s">
        <v>5699</v>
      </c>
      <c r="BM923" s="13" t="s">
        <v>21746</v>
      </c>
      <c r="BN923" s="13" t="s">
        <v>5510</v>
      </c>
      <c r="BO923" s="13" t="s">
        <v>6586</v>
      </c>
      <c r="BP923" s="13" t="s">
        <v>5510</v>
      </c>
      <c r="BQ923" s="13" t="s">
        <v>5510</v>
      </c>
      <c r="BR923" s="13" t="s">
        <v>5538</v>
      </c>
      <c r="BS923" s="13" t="s">
        <v>21747</v>
      </c>
      <c r="BT923" s="13">
        <v>25692.0</v>
      </c>
      <c r="BU923" s="13" t="s">
        <v>5540</v>
      </c>
      <c r="BV923" s="13" t="s">
        <v>4864</v>
      </c>
      <c r="BW923" s="13" t="str">
        <f>VLOOKUP($BT923,Enriched!$A$2:$E$1070,5,false)</f>
        <v>["Biological resource use"]</v>
      </c>
      <c r="BX923" s="13" t="str">
        <f>VLOOKUP($BT923,Enriched!$A$2:$E$1070,4,false)</f>
        <v>["Fishing &amp; harvesting aquatic resources"]</v>
      </c>
      <c r="BY923" s="13" t="b">
        <f>VLOOKUP(BT923,Enriched!$A$1:$AA$1070,27,falsE)</f>
        <v>0</v>
      </c>
      <c r="BZ923" s="2" t="str">
        <f>VLOOKUP(BT923,Enriched!$A$1:$AA$1070,14,falsE)</f>
        <v>level2</v>
      </c>
      <c r="CA923" s="13" t="str">
        <f>HYPERLINK("https%3A%2F%2Fwww.webofscience.com%2Fwos%2Fwoscc%2Ffull-record%2FWOS:000349758900006","View Full Record in Web of Science")</f>
        <v>View Full Record in Web of Science</v>
      </c>
    </row>
    <row r="924" ht="12.75" customHeight="1">
      <c r="A924" s="13" t="s">
        <v>5508</v>
      </c>
      <c r="B924" s="13" t="s">
        <v>21748</v>
      </c>
      <c r="C924" s="13" t="s">
        <v>5510</v>
      </c>
      <c r="D924" s="13" t="s">
        <v>5510</v>
      </c>
      <c r="E924" s="13" t="s">
        <v>5510</v>
      </c>
      <c r="F924" s="13" t="s">
        <v>21749</v>
      </c>
      <c r="G924" s="13" t="s">
        <v>5510</v>
      </c>
      <c r="H924" s="13" t="s">
        <v>5510</v>
      </c>
      <c r="I924" s="13" t="s">
        <v>21750</v>
      </c>
      <c r="J924" s="13" t="s">
        <v>20406</v>
      </c>
      <c r="K924" s="13" t="s">
        <v>5510</v>
      </c>
      <c r="L924" s="13" t="s">
        <v>5510</v>
      </c>
      <c r="M924" s="13" t="s">
        <v>5513</v>
      </c>
      <c r="N924" s="13" t="s">
        <v>5514</v>
      </c>
      <c r="O924" s="13" t="s">
        <v>5510</v>
      </c>
      <c r="P924" s="13" t="s">
        <v>5510</v>
      </c>
      <c r="Q924" s="13" t="s">
        <v>5510</v>
      </c>
      <c r="R924" s="13" t="s">
        <v>5510</v>
      </c>
      <c r="S924" s="13" t="s">
        <v>5510</v>
      </c>
      <c r="T924" s="13" t="s">
        <v>21751</v>
      </c>
      <c r="U924" s="13" t="s">
        <v>21752</v>
      </c>
      <c r="V924" s="13" t="s">
        <v>21753</v>
      </c>
      <c r="W924" s="13" t="s">
        <v>21754</v>
      </c>
      <c r="X924" s="13" t="s">
        <v>21755</v>
      </c>
      <c r="Y924" s="13" t="s">
        <v>21756</v>
      </c>
      <c r="Z924" s="13" t="s">
        <v>21757</v>
      </c>
      <c r="AA924" s="13" t="s">
        <v>5510</v>
      </c>
      <c r="AB924" s="13" t="s">
        <v>21758</v>
      </c>
      <c r="AC924" s="13" t="s">
        <v>5510</v>
      </c>
      <c r="AD924" s="13" t="s">
        <v>5510</v>
      </c>
      <c r="AE924" s="13" t="s">
        <v>5510</v>
      </c>
      <c r="AF924" s="13" t="s">
        <v>5510</v>
      </c>
      <c r="AG924" s="13">
        <v>62.0</v>
      </c>
      <c r="AH924" s="13">
        <v>9.0</v>
      </c>
      <c r="AI924" s="13">
        <v>10.0</v>
      </c>
      <c r="AJ924" s="13">
        <v>0.0</v>
      </c>
      <c r="AK924" s="13">
        <v>30.0</v>
      </c>
      <c r="AL924" s="13" t="s">
        <v>5690</v>
      </c>
      <c r="AM924" s="13" t="s">
        <v>6503</v>
      </c>
      <c r="AN924" s="13" t="s">
        <v>7040</v>
      </c>
      <c r="AO924" s="13" t="s">
        <v>20417</v>
      </c>
      <c r="AP924" s="13" t="s">
        <v>20418</v>
      </c>
      <c r="AQ924" s="13" t="s">
        <v>5510</v>
      </c>
      <c r="AR924" s="13" t="s">
        <v>20419</v>
      </c>
      <c r="AS924" s="13" t="s">
        <v>20420</v>
      </c>
      <c r="AT924" s="13" t="s">
        <v>1925</v>
      </c>
      <c r="AU924" s="13">
        <v>2011.0</v>
      </c>
      <c r="AV924" s="13">
        <v>15.0</v>
      </c>
      <c r="AW924" s="13">
        <v>3.0</v>
      </c>
      <c r="AX924" s="13" t="s">
        <v>5510</v>
      </c>
      <c r="AY924" s="13" t="s">
        <v>5510</v>
      </c>
      <c r="AZ924" s="13" t="s">
        <v>5646</v>
      </c>
      <c r="BA924" s="13" t="s">
        <v>5510</v>
      </c>
      <c r="BB924" s="13">
        <v>393.0</v>
      </c>
      <c r="BC924" s="13">
        <v>405.0</v>
      </c>
      <c r="BD924" s="13" t="s">
        <v>5510</v>
      </c>
      <c r="BE924" s="13" t="s">
        <v>21759</v>
      </c>
      <c r="BF924" s="52" t="str">
        <f>HYPERLINK("http://dx.doi.org/10.1007/s11852-010-0106-3","http://dx.doi.org/10.1007/s11852-010-0106-3")</f>
        <v>http://dx.doi.org/10.1007/s11852-010-0106-3</v>
      </c>
      <c r="BG924" s="13" t="s">
        <v>5510</v>
      </c>
      <c r="BH924" s="13" t="s">
        <v>5510</v>
      </c>
      <c r="BI924" s="13">
        <v>13.0</v>
      </c>
      <c r="BJ924" s="13" t="s">
        <v>20422</v>
      </c>
      <c r="BK924" s="13" t="s">
        <v>5561</v>
      </c>
      <c r="BL924" s="13" t="s">
        <v>20423</v>
      </c>
      <c r="BM924" s="13" t="s">
        <v>21760</v>
      </c>
      <c r="BN924" s="13" t="s">
        <v>5510</v>
      </c>
      <c r="BO924" s="13" t="s">
        <v>5510</v>
      </c>
      <c r="BP924" s="13" t="s">
        <v>5510</v>
      </c>
      <c r="BQ924" s="13" t="s">
        <v>5510</v>
      </c>
      <c r="BR924" s="13" t="s">
        <v>5538</v>
      </c>
      <c r="BS924" s="13" t="s">
        <v>21761</v>
      </c>
      <c r="BT924" s="13">
        <v>24696.0</v>
      </c>
      <c r="BU924" s="13" t="s">
        <v>5540</v>
      </c>
      <c r="BV924" s="13" t="s">
        <v>4864</v>
      </c>
      <c r="BW924" s="13" t="str">
        <f>VLOOKUP($BT924,Enriched!$A$2:$E$1070,5,false)</f>
        <v>["Residential &amp; Commercial Development", "Agriculture &amp; Aquaculture", "Biological Resource Use"]</v>
      </c>
      <c r="BX924" s="13" t="str">
        <f>VLOOKUP($BT924,Enriched!$A$2:$E$1070,4,false)</f>
        <v>["Tourism &amp; recreation areas", "Commercial &amp; industrial areas", "Marine &amp; freshwater aquaculture", "Fishing &amp; harvesting aquatic resources"]</v>
      </c>
      <c r="BY924" s="13" t="b">
        <f>VLOOKUP(BT924,Enriched!$A$1:$AA$1070,27,falsE)</f>
        <v>1</v>
      </c>
      <c r="BZ924" s="2" t="str">
        <f>VLOOKUP(BT924,Enriched!$A$1:$AA$1070,14,falsE)</f>
        <v>level2</v>
      </c>
      <c r="CA924" s="13" t="str">
        <f>HYPERLINK("https%3A%2F%2Fwww.webofscience.com%2Fwos%2Fwoscc%2Ffull-record%2FWOS:000294735000006","View Full Record in Web of Science")</f>
        <v>View Full Record in Web of Science</v>
      </c>
    </row>
    <row r="925" ht="12.75" customHeight="1">
      <c r="A925" s="13" t="s">
        <v>5508</v>
      </c>
      <c r="B925" s="13" t="s">
        <v>21762</v>
      </c>
      <c r="C925" s="13" t="s">
        <v>5510</v>
      </c>
      <c r="D925" s="13" t="s">
        <v>5510</v>
      </c>
      <c r="E925" s="13" t="s">
        <v>5510</v>
      </c>
      <c r="F925" s="13" t="s">
        <v>21763</v>
      </c>
      <c r="G925" s="13" t="s">
        <v>5510</v>
      </c>
      <c r="H925" s="13" t="s">
        <v>5510</v>
      </c>
      <c r="I925" s="13" t="s">
        <v>66</v>
      </c>
      <c r="J925" s="13" t="s">
        <v>9981</v>
      </c>
      <c r="K925" s="13" t="s">
        <v>5510</v>
      </c>
      <c r="L925" s="13" t="s">
        <v>5510</v>
      </c>
      <c r="M925" s="13" t="s">
        <v>5513</v>
      </c>
      <c r="N925" s="13" t="s">
        <v>5514</v>
      </c>
      <c r="O925" s="13" t="s">
        <v>5510</v>
      </c>
      <c r="P925" s="13" t="s">
        <v>5510</v>
      </c>
      <c r="Q925" s="13" t="s">
        <v>5510</v>
      </c>
      <c r="R925" s="13" t="s">
        <v>5510</v>
      </c>
      <c r="S925" s="13" t="s">
        <v>5510</v>
      </c>
      <c r="T925" s="13" t="s">
        <v>21764</v>
      </c>
      <c r="U925" s="13" t="s">
        <v>21765</v>
      </c>
      <c r="V925" s="13" t="s">
        <v>21766</v>
      </c>
      <c r="W925" s="13" t="s">
        <v>21767</v>
      </c>
      <c r="X925" s="13" t="s">
        <v>21768</v>
      </c>
      <c r="Y925" s="13" t="s">
        <v>21769</v>
      </c>
      <c r="Z925" s="13" t="s">
        <v>21770</v>
      </c>
      <c r="AA925" s="13" t="s">
        <v>21771</v>
      </c>
      <c r="AB925" s="13" t="s">
        <v>21772</v>
      </c>
      <c r="AC925" s="13" t="s">
        <v>21773</v>
      </c>
      <c r="AD925" s="13" t="s">
        <v>21774</v>
      </c>
      <c r="AE925" s="13" t="s">
        <v>21775</v>
      </c>
      <c r="AF925" s="13" t="s">
        <v>5510</v>
      </c>
      <c r="AG925" s="13">
        <v>58.0</v>
      </c>
      <c r="AH925" s="13">
        <v>5.0</v>
      </c>
      <c r="AI925" s="13">
        <v>5.0</v>
      </c>
      <c r="AJ925" s="13">
        <v>0.0</v>
      </c>
      <c r="AK925" s="13">
        <v>8.0</v>
      </c>
      <c r="AL925" s="13" t="s">
        <v>9992</v>
      </c>
      <c r="AM925" s="13" t="s">
        <v>9993</v>
      </c>
      <c r="AN925" s="13" t="s">
        <v>9994</v>
      </c>
      <c r="AO925" s="13" t="s">
        <v>9995</v>
      </c>
      <c r="AP925" s="13" t="s">
        <v>5510</v>
      </c>
      <c r="AQ925" s="13" t="s">
        <v>5510</v>
      </c>
      <c r="AR925" s="13" t="s">
        <v>9996</v>
      </c>
      <c r="AS925" s="13" t="s">
        <v>9997</v>
      </c>
      <c r="AT925" s="13" t="s">
        <v>13044</v>
      </c>
      <c r="AU925" s="13">
        <v>2017.0</v>
      </c>
      <c r="AV925" s="13">
        <v>10.0</v>
      </c>
      <c r="AW925" s="13" t="s">
        <v>5510</v>
      </c>
      <c r="AX925" s="13" t="s">
        <v>5510</v>
      </c>
      <c r="AY925" s="13" t="s">
        <v>5510</v>
      </c>
      <c r="AZ925" s="13" t="s">
        <v>5510</v>
      </c>
      <c r="BA925" s="13" t="s">
        <v>5510</v>
      </c>
      <c r="BB925" s="13">
        <v>1.0</v>
      </c>
      <c r="BC925" s="13">
        <v>13.0</v>
      </c>
      <c r="BD925" s="13" t="s">
        <v>5510</v>
      </c>
      <c r="BE925" s="13" t="s">
        <v>21776</v>
      </c>
      <c r="BF925" s="52" t="str">
        <f>HYPERLINK("http://dx.doi.org/10.1177/1940082917736894","http://dx.doi.org/10.1177/1940082917736894")</f>
        <v>http://dx.doi.org/10.1177/1940082917736894</v>
      </c>
      <c r="BG925" s="13" t="s">
        <v>5510</v>
      </c>
      <c r="BH925" s="13" t="s">
        <v>5510</v>
      </c>
      <c r="BI925" s="13">
        <v>13.0</v>
      </c>
      <c r="BJ925" s="13" t="s">
        <v>5648</v>
      </c>
      <c r="BK925" s="13" t="s">
        <v>5561</v>
      </c>
      <c r="BL925" s="13" t="s">
        <v>5650</v>
      </c>
      <c r="BM925" s="13" t="s">
        <v>21777</v>
      </c>
      <c r="BN925" s="13" t="s">
        <v>5510</v>
      </c>
      <c r="BO925" s="13" t="s">
        <v>6028</v>
      </c>
      <c r="BP925" s="13" t="s">
        <v>5510</v>
      </c>
      <c r="BQ925" s="13" t="s">
        <v>5510</v>
      </c>
      <c r="BR925" s="13" t="s">
        <v>5538</v>
      </c>
      <c r="BS925" s="13" t="s">
        <v>21778</v>
      </c>
      <c r="BT925" s="13">
        <v>25664.0</v>
      </c>
      <c r="BU925" s="13" t="s">
        <v>9118</v>
      </c>
      <c r="BV925" s="13" t="s">
        <v>4856</v>
      </c>
      <c r="BW925" s="13" t="str">
        <f>VLOOKUP($BT925,Enriched!$A$2:$E$1070,5,false)</f>
        <v>["Biological resource use"]</v>
      </c>
      <c r="BX925" s="13" t="str">
        <f>VLOOKUP($BT925,Enriched!$A$2:$E$1070,4,false)</f>
        <v>["Hunting &amp; collecting terrestrial animals"]</v>
      </c>
      <c r="BY925" s="13" t="b">
        <f>VLOOKUP(BT925,Enriched!$A$1:$AA$1070,27,falsE)</f>
        <v>0</v>
      </c>
      <c r="BZ925" s="2" t="str">
        <f>VLOOKUP(BT925,Enriched!$A$1:$AA$1070,14,falsE)</f>
        <v>level2</v>
      </c>
      <c r="CA925" s="13" t="str">
        <f>HYPERLINK("https%3A%2F%2Fwww.webofscience.com%2Fwos%2Fwoscc%2Ffull-record%2FWOS:000422705000001","View Full Record in Web of Science")</f>
        <v>View Full Record in Web of Science</v>
      </c>
    </row>
    <row r="926" ht="12.75" customHeight="1">
      <c r="A926" s="13" t="s">
        <v>5508</v>
      </c>
      <c r="B926" s="13" t="s">
        <v>21779</v>
      </c>
      <c r="C926" s="13" t="s">
        <v>5510</v>
      </c>
      <c r="D926" s="13" t="s">
        <v>5510</v>
      </c>
      <c r="E926" s="13" t="s">
        <v>5510</v>
      </c>
      <c r="F926" s="13" t="s">
        <v>21780</v>
      </c>
      <c r="G926" s="13" t="s">
        <v>5510</v>
      </c>
      <c r="H926" s="13" t="s">
        <v>5510</v>
      </c>
      <c r="I926" s="13" t="s">
        <v>63</v>
      </c>
      <c r="J926" s="13" t="s">
        <v>5919</v>
      </c>
      <c r="K926" s="13" t="s">
        <v>5510</v>
      </c>
      <c r="L926" s="13" t="s">
        <v>5510</v>
      </c>
      <c r="M926" s="13" t="s">
        <v>5513</v>
      </c>
      <c r="N926" s="13" t="s">
        <v>5514</v>
      </c>
      <c r="O926" s="13" t="s">
        <v>5510</v>
      </c>
      <c r="P926" s="13" t="s">
        <v>5510</v>
      </c>
      <c r="Q926" s="13" t="s">
        <v>5510</v>
      </c>
      <c r="R926" s="13" t="s">
        <v>5510</v>
      </c>
      <c r="S926" s="13" t="s">
        <v>5510</v>
      </c>
      <c r="T926" s="13" t="s">
        <v>21781</v>
      </c>
      <c r="U926" s="13" t="s">
        <v>21782</v>
      </c>
      <c r="V926" s="13" t="s">
        <v>21783</v>
      </c>
      <c r="W926" s="13" t="s">
        <v>21784</v>
      </c>
      <c r="X926" s="13" t="s">
        <v>6537</v>
      </c>
      <c r="Y926" s="13" t="s">
        <v>21785</v>
      </c>
      <c r="Z926" s="13" t="s">
        <v>21786</v>
      </c>
      <c r="AA926" s="13" t="s">
        <v>5510</v>
      </c>
      <c r="AB926" s="13" t="s">
        <v>21787</v>
      </c>
      <c r="AC926" s="13" t="s">
        <v>5510</v>
      </c>
      <c r="AD926" s="13" t="s">
        <v>5510</v>
      </c>
      <c r="AE926" s="13" t="s">
        <v>5510</v>
      </c>
      <c r="AF926" s="13" t="s">
        <v>5510</v>
      </c>
      <c r="AG926" s="13">
        <v>81.0</v>
      </c>
      <c r="AH926" s="13">
        <v>56.0</v>
      </c>
      <c r="AI926" s="13">
        <v>61.0</v>
      </c>
      <c r="AJ926" s="13">
        <v>1.0</v>
      </c>
      <c r="AK926" s="13">
        <v>73.0</v>
      </c>
      <c r="AL926" s="13" t="s">
        <v>5931</v>
      </c>
      <c r="AM926" s="13" t="s">
        <v>5932</v>
      </c>
      <c r="AN926" s="13" t="s">
        <v>5933</v>
      </c>
      <c r="AO926" s="13" t="s">
        <v>5934</v>
      </c>
      <c r="AP926" s="13" t="s">
        <v>5935</v>
      </c>
      <c r="AQ926" s="13" t="s">
        <v>5510</v>
      </c>
      <c r="AR926" s="13" t="s">
        <v>5936</v>
      </c>
      <c r="AS926" s="13" t="s">
        <v>5937</v>
      </c>
      <c r="AT926" s="13" t="s">
        <v>5720</v>
      </c>
      <c r="AU926" s="13">
        <v>2019.0</v>
      </c>
      <c r="AV926" s="13">
        <v>234.0</v>
      </c>
      <c r="AW926" s="13" t="s">
        <v>5510</v>
      </c>
      <c r="AX926" s="13" t="s">
        <v>5510</v>
      </c>
      <c r="AY926" s="13" t="s">
        <v>5510</v>
      </c>
      <c r="AZ926" s="13" t="s">
        <v>5510</v>
      </c>
      <c r="BA926" s="13" t="s">
        <v>5510</v>
      </c>
      <c r="BB926" s="13">
        <v>7.0</v>
      </c>
      <c r="BC926" s="13">
        <v>17.0</v>
      </c>
      <c r="BD926" s="13" t="s">
        <v>5510</v>
      </c>
      <c r="BE926" s="13" t="s">
        <v>21788</v>
      </c>
      <c r="BF926" s="52" t="str">
        <f>HYPERLINK("http://dx.doi.org/10.1016/j.biocon.2019.03.015","http://dx.doi.org/10.1016/j.biocon.2019.03.015")</f>
        <v>http://dx.doi.org/10.1016/j.biocon.2019.03.015</v>
      </c>
      <c r="BG926" s="13" t="s">
        <v>5510</v>
      </c>
      <c r="BH926" s="13" t="s">
        <v>5510</v>
      </c>
      <c r="BI926" s="13">
        <v>11.0</v>
      </c>
      <c r="BJ926" s="13" t="s">
        <v>5698</v>
      </c>
      <c r="BK926" s="13" t="s">
        <v>5561</v>
      </c>
      <c r="BL926" s="13" t="s">
        <v>5699</v>
      </c>
      <c r="BM926" s="13" t="s">
        <v>21789</v>
      </c>
      <c r="BN926" s="13" t="s">
        <v>5510</v>
      </c>
      <c r="BO926" s="13" t="s">
        <v>5510</v>
      </c>
      <c r="BP926" s="13" t="s">
        <v>5510</v>
      </c>
      <c r="BQ926" s="13" t="s">
        <v>5510</v>
      </c>
      <c r="BR926" s="13" t="s">
        <v>5538</v>
      </c>
      <c r="BS926" s="13" t="s">
        <v>21790</v>
      </c>
      <c r="BT926" s="13">
        <v>26057.0</v>
      </c>
      <c r="BU926" s="13" t="s">
        <v>5540</v>
      </c>
      <c r="BV926" s="13" t="s">
        <v>4856</v>
      </c>
      <c r="BW926" s="13" t="str">
        <f>VLOOKUP($BT926,Enriched!$A$2:$E$1070,5,false)</f>
        <v>["Natural System Modifications", "Invasive &amp; Other Problematic Species, Genes &amp; Diseases", "Agriculture &amp; Aquaculture", "Residential &amp; Commercial Development", "Human Intrusions &amp; Disturbance", "Biological Resource Use"]</v>
      </c>
      <c r="BX926" s="13" t="str">
        <f>VLOOKUP($BT926,Enriched!$A$2:$E$1070,4,false)</f>
        <v>["Fire &amp; fire suppression", "Invasive non-native/alien species/diseases", "Livestock farming &amp; ranching", "Tourism &amp; recreation areas", "Recreational activities", "Gathering terrestrial plants"]</v>
      </c>
      <c r="BY926" s="13" t="b">
        <f>VLOOKUP(BT926,Enriched!$A$1:$AA$1070,27,falsE)</f>
        <v>0</v>
      </c>
      <c r="BZ926" s="2" t="str">
        <f>VLOOKUP(BT926,Enriched!$A$1:$AA$1070,14,falsE)</f>
        <v>level2</v>
      </c>
      <c r="CA926" s="13" t="str">
        <f>HYPERLINK("https%3A%2F%2Fwww.webofscience.com%2Fwos%2Fwoscc%2Ffull-record%2FWOS:000468718500002","View Full Record in Web of Science")</f>
        <v>View Full Record in Web of Science</v>
      </c>
    </row>
    <row r="927" ht="12.75" customHeight="1">
      <c r="A927" s="13" t="s">
        <v>5508</v>
      </c>
      <c r="B927" s="13" t="s">
        <v>21791</v>
      </c>
      <c r="C927" s="13" t="s">
        <v>5510</v>
      </c>
      <c r="D927" s="13" t="s">
        <v>5510</v>
      </c>
      <c r="E927" s="13" t="s">
        <v>5510</v>
      </c>
      <c r="F927" s="13" t="s">
        <v>21792</v>
      </c>
      <c r="G927" s="13" t="s">
        <v>5510</v>
      </c>
      <c r="H927" s="13" t="s">
        <v>5510</v>
      </c>
      <c r="I927" s="13" t="s">
        <v>21793</v>
      </c>
      <c r="J927" s="13" t="s">
        <v>6333</v>
      </c>
      <c r="K927" s="13" t="s">
        <v>5510</v>
      </c>
      <c r="L927" s="13" t="s">
        <v>5510</v>
      </c>
      <c r="M927" s="13" t="s">
        <v>5513</v>
      </c>
      <c r="N927" s="13" t="s">
        <v>5514</v>
      </c>
      <c r="O927" s="13" t="s">
        <v>5510</v>
      </c>
      <c r="P927" s="13" t="s">
        <v>5510</v>
      </c>
      <c r="Q927" s="13" t="s">
        <v>5510</v>
      </c>
      <c r="R927" s="13" t="s">
        <v>5510</v>
      </c>
      <c r="S927" s="13" t="s">
        <v>5510</v>
      </c>
      <c r="T927" s="13" t="s">
        <v>21794</v>
      </c>
      <c r="U927" s="13" t="s">
        <v>21795</v>
      </c>
      <c r="V927" s="13" t="s">
        <v>21796</v>
      </c>
      <c r="W927" s="13" t="s">
        <v>21797</v>
      </c>
      <c r="X927" s="13" t="s">
        <v>21798</v>
      </c>
      <c r="Y927" s="13" t="s">
        <v>13516</v>
      </c>
      <c r="Z927" s="13" t="s">
        <v>13517</v>
      </c>
      <c r="AA927" s="13" t="s">
        <v>21799</v>
      </c>
      <c r="AB927" s="13" t="s">
        <v>21800</v>
      </c>
      <c r="AC927" s="13" t="s">
        <v>21801</v>
      </c>
      <c r="AD927" s="13" t="s">
        <v>21802</v>
      </c>
      <c r="AE927" s="13" t="s">
        <v>21803</v>
      </c>
      <c r="AF927" s="13" t="s">
        <v>5510</v>
      </c>
      <c r="AG927" s="13">
        <v>55.0</v>
      </c>
      <c r="AH927" s="13">
        <v>345.0</v>
      </c>
      <c r="AI927" s="13">
        <v>396.0</v>
      </c>
      <c r="AJ927" s="13">
        <v>2.0</v>
      </c>
      <c r="AK927" s="13">
        <v>190.0</v>
      </c>
      <c r="AL927" s="13" t="s">
        <v>5527</v>
      </c>
      <c r="AM927" s="13" t="s">
        <v>5528</v>
      </c>
      <c r="AN927" s="13" t="s">
        <v>5529</v>
      </c>
      <c r="AO927" s="13" t="s">
        <v>6342</v>
      </c>
      <c r="AP927" s="13" t="s">
        <v>6343</v>
      </c>
      <c r="AQ927" s="13" t="s">
        <v>5510</v>
      </c>
      <c r="AR927" s="13" t="s">
        <v>6344</v>
      </c>
      <c r="AS927" s="13" t="s">
        <v>6345</v>
      </c>
      <c r="AT927" s="13" t="s">
        <v>5978</v>
      </c>
      <c r="AU927" s="13">
        <v>2009.0</v>
      </c>
      <c r="AV927" s="13">
        <v>23.0</v>
      </c>
      <c r="AW927" s="13">
        <v>6.0</v>
      </c>
      <c r="AX927" s="13" t="s">
        <v>5510</v>
      </c>
      <c r="AY927" s="13" t="s">
        <v>5510</v>
      </c>
      <c r="AZ927" s="13" t="s">
        <v>5510</v>
      </c>
      <c r="BA927" s="13" t="s">
        <v>5510</v>
      </c>
      <c r="BB927" s="13">
        <v>1386.0</v>
      </c>
      <c r="BC927" s="13">
        <v>1395.0</v>
      </c>
      <c r="BD927" s="13" t="s">
        <v>5510</v>
      </c>
      <c r="BE927" s="13" t="s">
        <v>21804</v>
      </c>
      <c r="BF927" s="52" t="str">
        <f>HYPERLINK("http://dx.doi.org/10.1111/j.1523-1739.2009.01333.x","http://dx.doi.org/10.1111/j.1523-1739.2009.01333.x")</f>
        <v>http://dx.doi.org/10.1111/j.1523-1739.2009.01333.x</v>
      </c>
      <c r="BG927" s="13" t="s">
        <v>5510</v>
      </c>
      <c r="BH927" s="13" t="s">
        <v>5510</v>
      </c>
      <c r="BI927" s="13">
        <v>10.0</v>
      </c>
      <c r="BJ927" s="13" t="s">
        <v>5698</v>
      </c>
      <c r="BK927" s="13" t="s">
        <v>5561</v>
      </c>
      <c r="BL927" s="13" t="s">
        <v>5699</v>
      </c>
      <c r="BM927" s="13" t="s">
        <v>21805</v>
      </c>
      <c r="BN927" s="13">
        <v>2.0078639E7</v>
      </c>
      <c r="BO927" s="13" t="s">
        <v>5510</v>
      </c>
      <c r="BP927" s="13" t="s">
        <v>5510</v>
      </c>
      <c r="BQ927" s="13" t="s">
        <v>5510</v>
      </c>
      <c r="BR927" s="13" t="s">
        <v>5538</v>
      </c>
      <c r="BS927" s="13" t="s">
        <v>21806</v>
      </c>
      <c r="BT927" s="13">
        <v>23151.0</v>
      </c>
      <c r="BU927" s="13" t="s">
        <v>5540</v>
      </c>
      <c r="BV927" s="13" t="s">
        <v>4856</v>
      </c>
      <c r="BW927" s="13" t="str">
        <f>VLOOKUP($BT927,Enriched!$A$2:$E$1070,5,false)</f>
        <v>["Agriculture &amp; Aquaculture", "Biological Resource Use"]</v>
      </c>
      <c r="BX927" s="13" t="str">
        <f>VLOOKUP($BT927,Enriched!$A$2:$E$1070,4,false)</f>
        <v>["Livestock farming &amp; ranching", "Logging &amp; wood harvesting"]</v>
      </c>
      <c r="BY927" s="13" t="b">
        <f>VLOOKUP(BT927,Enriched!$A$1:$AA$1070,27,falsE)</f>
        <v>0</v>
      </c>
      <c r="BZ927" s="2" t="str">
        <f>VLOOKUP(BT927,Enriched!$A$1:$AA$1070,14,falsE)</f>
        <v>level2</v>
      </c>
      <c r="CA927" s="13" t="str">
        <f>HYPERLINK("https%3A%2F%2Fwww.webofscience.com%2Fwos%2Fwoscc%2Ffull-record%2FWOS:000272163100011","View Full Record in Web of Science")</f>
        <v>View Full Record in Web of Science</v>
      </c>
    </row>
    <row r="928" ht="12.75" customHeight="1">
      <c r="A928" s="13" t="s">
        <v>5508</v>
      </c>
      <c r="B928" s="13" t="s">
        <v>21807</v>
      </c>
      <c r="C928" s="13" t="s">
        <v>5510</v>
      </c>
      <c r="D928" s="13" t="s">
        <v>5510</v>
      </c>
      <c r="E928" s="13" t="s">
        <v>5510</v>
      </c>
      <c r="F928" s="13" t="s">
        <v>21808</v>
      </c>
      <c r="G928" s="13" t="s">
        <v>5510</v>
      </c>
      <c r="H928" s="13" t="s">
        <v>5510</v>
      </c>
      <c r="I928" s="13" t="s">
        <v>55</v>
      </c>
      <c r="J928" s="13" t="s">
        <v>5943</v>
      </c>
      <c r="K928" s="13" t="s">
        <v>5510</v>
      </c>
      <c r="L928" s="13" t="s">
        <v>5510</v>
      </c>
      <c r="M928" s="13" t="s">
        <v>5513</v>
      </c>
      <c r="N928" s="13" t="s">
        <v>5514</v>
      </c>
      <c r="O928" s="13" t="s">
        <v>5510</v>
      </c>
      <c r="P928" s="13" t="s">
        <v>5510</v>
      </c>
      <c r="Q928" s="13" t="s">
        <v>5510</v>
      </c>
      <c r="R928" s="13" t="s">
        <v>5510</v>
      </c>
      <c r="S928" s="13" t="s">
        <v>5510</v>
      </c>
      <c r="T928" s="13" t="s">
        <v>21809</v>
      </c>
      <c r="U928" s="13" t="s">
        <v>21810</v>
      </c>
      <c r="V928" s="13" t="s">
        <v>21811</v>
      </c>
      <c r="W928" s="13" t="s">
        <v>21812</v>
      </c>
      <c r="X928" s="13" t="s">
        <v>21813</v>
      </c>
      <c r="Y928" s="13" t="s">
        <v>21814</v>
      </c>
      <c r="Z928" s="13" t="s">
        <v>21815</v>
      </c>
      <c r="AA928" s="13" t="s">
        <v>21816</v>
      </c>
      <c r="AB928" s="13" t="s">
        <v>21817</v>
      </c>
      <c r="AC928" s="13" t="s">
        <v>21818</v>
      </c>
      <c r="AD928" s="13" t="s">
        <v>21819</v>
      </c>
      <c r="AE928" s="13" t="s">
        <v>5510</v>
      </c>
      <c r="AF928" s="13" t="s">
        <v>5510</v>
      </c>
      <c r="AG928" s="13">
        <v>55.0</v>
      </c>
      <c r="AH928" s="13">
        <v>98.0</v>
      </c>
      <c r="AI928" s="13">
        <v>102.0</v>
      </c>
      <c r="AJ928" s="13">
        <v>4.0</v>
      </c>
      <c r="AK928" s="13">
        <v>48.0</v>
      </c>
      <c r="AL928" s="13" t="s">
        <v>5527</v>
      </c>
      <c r="AM928" s="13" t="s">
        <v>5528</v>
      </c>
      <c r="AN928" s="13" t="s">
        <v>5529</v>
      </c>
      <c r="AO928" s="13" t="s">
        <v>5953</v>
      </c>
      <c r="AP928" s="13" t="s">
        <v>5954</v>
      </c>
      <c r="AQ928" s="13" t="s">
        <v>5510</v>
      </c>
      <c r="AR928" s="13" t="s">
        <v>5955</v>
      </c>
      <c r="AS928" s="13" t="s">
        <v>5956</v>
      </c>
      <c r="AT928" s="13" t="s">
        <v>6175</v>
      </c>
      <c r="AU928" s="13">
        <v>2019.0</v>
      </c>
      <c r="AV928" s="13">
        <v>56.0</v>
      </c>
      <c r="AW928" s="13">
        <v>8.0</v>
      </c>
      <c r="AX928" s="13" t="s">
        <v>5510</v>
      </c>
      <c r="AY928" s="13" t="s">
        <v>5510</v>
      </c>
      <c r="AZ928" s="13" t="s">
        <v>5510</v>
      </c>
      <c r="BA928" s="13" t="s">
        <v>5510</v>
      </c>
      <c r="BB928" s="13">
        <v>1882.0</v>
      </c>
      <c r="BC928" s="13">
        <v>1893.0</v>
      </c>
      <c r="BD928" s="13" t="s">
        <v>5510</v>
      </c>
      <c r="BE928" s="13" t="s">
        <v>21820</v>
      </c>
      <c r="BF928" s="52" t="str">
        <f>HYPERLINK("http://dx.doi.org/10.1111/1365-2664.13407","http://dx.doi.org/10.1111/1365-2664.13407")</f>
        <v>http://dx.doi.org/10.1111/1365-2664.13407</v>
      </c>
      <c r="BG928" s="13" t="s">
        <v>5510</v>
      </c>
      <c r="BH928" s="13" t="s">
        <v>5510</v>
      </c>
      <c r="BI928" s="13">
        <v>12.0</v>
      </c>
      <c r="BJ928" s="13" t="s">
        <v>5958</v>
      </c>
      <c r="BK928" s="13" t="s">
        <v>5561</v>
      </c>
      <c r="BL928" s="13" t="s">
        <v>5699</v>
      </c>
      <c r="BM928" s="13" t="s">
        <v>21821</v>
      </c>
      <c r="BN928" s="13" t="s">
        <v>5510</v>
      </c>
      <c r="BO928" s="13" t="s">
        <v>15669</v>
      </c>
      <c r="BP928" s="13" t="s">
        <v>5510</v>
      </c>
      <c r="BQ928" s="13" t="s">
        <v>5510</v>
      </c>
      <c r="BR928" s="13" t="s">
        <v>5538</v>
      </c>
      <c r="BS928" s="13" t="s">
        <v>21822</v>
      </c>
      <c r="BT928" s="13">
        <v>23573.0</v>
      </c>
      <c r="BU928" s="13" t="s">
        <v>5540</v>
      </c>
      <c r="BV928" s="13" t="s">
        <v>4864</v>
      </c>
      <c r="BW928" s="13" t="str">
        <f>VLOOKUP($BT928,Enriched!$A$2:$E$1070,5,false)</f>
        <v>["Biological resource use"]</v>
      </c>
      <c r="BX928" s="13" t="str">
        <f>VLOOKUP($BT928,Enriched!$A$2:$E$1070,4,false)</f>
        <v>["Fishing &amp; harvesting aquatic resources"]</v>
      </c>
      <c r="BY928" s="13" t="b">
        <f>VLOOKUP(BT928,Enriched!$A$1:$AA$1070,27,falsE)</f>
        <v>0</v>
      </c>
      <c r="BZ928" s="2" t="str">
        <f>VLOOKUP(BT928,Enriched!$A$1:$AA$1070,14,falsE)</f>
        <v>level2</v>
      </c>
      <c r="CA928" s="13" t="str">
        <f>HYPERLINK("https%3A%2F%2Fwww.webofscience.com%2Fwos%2Fwoscc%2Ffull-record%2FWOS:000478601300003","View Full Record in Web of Science")</f>
        <v>View Full Record in Web of Science</v>
      </c>
    </row>
    <row r="929" ht="12.75" customHeight="1">
      <c r="A929" s="13" t="s">
        <v>5508</v>
      </c>
      <c r="B929" s="13" t="s">
        <v>21823</v>
      </c>
      <c r="C929" s="13" t="s">
        <v>5510</v>
      </c>
      <c r="D929" s="13" t="s">
        <v>5510</v>
      </c>
      <c r="E929" s="13" t="s">
        <v>5510</v>
      </c>
      <c r="F929" s="13" t="s">
        <v>21824</v>
      </c>
      <c r="G929" s="13" t="s">
        <v>5510</v>
      </c>
      <c r="H929" s="13" t="s">
        <v>5510</v>
      </c>
      <c r="I929" s="13" t="s">
        <v>52</v>
      </c>
      <c r="J929" s="13" t="s">
        <v>5512</v>
      </c>
      <c r="K929" s="13" t="s">
        <v>5510</v>
      </c>
      <c r="L929" s="13" t="s">
        <v>5510</v>
      </c>
      <c r="M929" s="13" t="s">
        <v>5513</v>
      </c>
      <c r="N929" s="13" t="s">
        <v>5514</v>
      </c>
      <c r="O929" s="13" t="s">
        <v>5510</v>
      </c>
      <c r="P929" s="13" t="s">
        <v>5510</v>
      </c>
      <c r="Q929" s="13" t="s">
        <v>5510</v>
      </c>
      <c r="R929" s="13" t="s">
        <v>5510</v>
      </c>
      <c r="S929" s="13" t="s">
        <v>5510</v>
      </c>
      <c r="T929" s="13" t="s">
        <v>21825</v>
      </c>
      <c r="U929" s="13" t="s">
        <v>21826</v>
      </c>
      <c r="V929" s="13" t="s">
        <v>21827</v>
      </c>
      <c r="W929" s="13" t="s">
        <v>21828</v>
      </c>
      <c r="X929" s="13" t="s">
        <v>21829</v>
      </c>
      <c r="Y929" s="13" t="s">
        <v>21830</v>
      </c>
      <c r="Z929" s="13" t="s">
        <v>21831</v>
      </c>
      <c r="AA929" s="13" t="s">
        <v>21832</v>
      </c>
      <c r="AB929" s="13" t="s">
        <v>5510</v>
      </c>
      <c r="AC929" s="13" t="s">
        <v>21833</v>
      </c>
      <c r="AD929" s="13" t="s">
        <v>21834</v>
      </c>
      <c r="AE929" s="13" t="s">
        <v>21835</v>
      </c>
      <c r="AF929" s="13" t="s">
        <v>5510</v>
      </c>
      <c r="AG929" s="13">
        <v>50.0</v>
      </c>
      <c r="AH929" s="13">
        <v>36.0</v>
      </c>
      <c r="AI929" s="13">
        <v>38.0</v>
      </c>
      <c r="AJ929" s="13">
        <v>2.0</v>
      </c>
      <c r="AK929" s="13">
        <v>47.0</v>
      </c>
      <c r="AL929" s="13" t="s">
        <v>5527</v>
      </c>
      <c r="AM929" s="13" t="s">
        <v>5528</v>
      </c>
      <c r="AN929" s="13" t="s">
        <v>5529</v>
      </c>
      <c r="AO929" s="13" t="s">
        <v>5530</v>
      </c>
      <c r="AP929" s="13" t="s">
        <v>5510</v>
      </c>
      <c r="AQ929" s="13" t="s">
        <v>5510</v>
      </c>
      <c r="AR929" s="13" t="s">
        <v>5512</v>
      </c>
      <c r="AS929" s="13" t="s">
        <v>53</v>
      </c>
      <c r="AT929" s="13" t="s">
        <v>2514</v>
      </c>
      <c r="AU929" s="13">
        <v>2011.0</v>
      </c>
      <c r="AV929" s="13">
        <v>2.0</v>
      </c>
      <c r="AW929" s="13">
        <v>10.0</v>
      </c>
      <c r="AX929" s="13" t="s">
        <v>5510</v>
      </c>
      <c r="AY929" s="13" t="s">
        <v>5510</v>
      </c>
      <c r="AZ929" s="13" t="s">
        <v>5510</v>
      </c>
      <c r="BA929" s="13" t="s">
        <v>5510</v>
      </c>
      <c r="BB929" s="13" t="s">
        <v>5510</v>
      </c>
      <c r="BC929" s="13" t="s">
        <v>5510</v>
      </c>
      <c r="BD929" s="13">
        <v>112.0</v>
      </c>
      <c r="BE929" s="13" t="s">
        <v>21836</v>
      </c>
      <c r="BF929" s="52" t="str">
        <f>HYPERLINK("http://dx.doi.org/10.1890/ES11-00200.1","http://dx.doi.org/10.1890/ES11-00200.1")</f>
        <v>http://dx.doi.org/10.1890/ES11-00200.1</v>
      </c>
      <c r="BG929" s="13" t="s">
        <v>5510</v>
      </c>
      <c r="BH929" s="13" t="s">
        <v>5510</v>
      </c>
      <c r="BI929" s="13">
        <v>23.0</v>
      </c>
      <c r="BJ929" s="13" t="s">
        <v>5533</v>
      </c>
      <c r="BK929" s="13" t="s">
        <v>5561</v>
      </c>
      <c r="BL929" s="13" t="s">
        <v>5535</v>
      </c>
      <c r="BM929" s="13" t="s">
        <v>21837</v>
      </c>
      <c r="BN929" s="13" t="s">
        <v>5510</v>
      </c>
      <c r="BO929" s="13" t="s">
        <v>8477</v>
      </c>
      <c r="BP929" s="13" t="s">
        <v>5510</v>
      </c>
      <c r="BQ929" s="13" t="s">
        <v>5510</v>
      </c>
      <c r="BR929" s="13" t="s">
        <v>5538</v>
      </c>
      <c r="BS929" s="13" t="s">
        <v>21838</v>
      </c>
      <c r="BT929" s="13">
        <v>24656.0</v>
      </c>
      <c r="BU929" s="13" t="s">
        <v>5540</v>
      </c>
      <c r="BV929" s="13" t="s">
        <v>4856</v>
      </c>
      <c r="BW929" s="13" t="str">
        <f>VLOOKUP($BT929,Enriched!$A$2:$E$1070,5,false)</f>
        <v>["Climate change &amp; severe weather"]</v>
      </c>
      <c r="BX929" s="13" t="str">
        <f>VLOOKUP($BT929,Enriched!$A$2:$E$1070,4,false)</f>
        <v>["Habitat shifting &amp; alteration"]</v>
      </c>
      <c r="BY929" s="13" t="b">
        <f>VLOOKUP(BT929,Enriched!$A$1:$AA$1070,27,falsE)</f>
        <v>0</v>
      </c>
      <c r="BZ929" s="2" t="str">
        <f>VLOOKUP(BT929,Enriched!$A$1:$AA$1070,14,falsE)</f>
        <v>level2</v>
      </c>
      <c r="CA929" s="13" t="str">
        <f>HYPERLINK("https%3A%2F%2Fwww.webofscience.com%2Fwos%2Fwoscc%2Ffull-record%2FWOS:000208811100006","View Full Record in Web of Science")</f>
        <v>View Full Record in Web of Science</v>
      </c>
    </row>
    <row r="930" ht="12.75" customHeight="1">
      <c r="A930" s="13" t="s">
        <v>5508</v>
      </c>
      <c r="B930" s="13" t="s">
        <v>21839</v>
      </c>
      <c r="C930" s="13" t="s">
        <v>5510</v>
      </c>
      <c r="D930" s="13" t="s">
        <v>5510</v>
      </c>
      <c r="E930" s="13" t="s">
        <v>5510</v>
      </c>
      <c r="F930" s="13" t="s">
        <v>21840</v>
      </c>
      <c r="G930" s="13" t="s">
        <v>5510</v>
      </c>
      <c r="H930" s="13" t="s">
        <v>5510</v>
      </c>
      <c r="I930" s="13" t="s">
        <v>48</v>
      </c>
      <c r="J930" s="13" t="s">
        <v>5746</v>
      </c>
      <c r="K930" s="13" t="s">
        <v>5510</v>
      </c>
      <c r="L930" s="13" t="s">
        <v>5510</v>
      </c>
      <c r="M930" s="13" t="s">
        <v>5513</v>
      </c>
      <c r="N930" s="13" t="s">
        <v>5514</v>
      </c>
      <c r="O930" s="13" t="s">
        <v>5510</v>
      </c>
      <c r="P930" s="13" t="s">
        <v>5510</v>
      </c>
      <c r="Q930" s="13" t="s">
        <v>5510</v>
      </c>
      <c r="R930" s="13" t="s">
        <v>5510</v>
      </c>
      <c r="S930" s="13" t="s">
        <v>5510</v>
      </c>
      <c r="T930" s="13" t="s">
        <v>21841</v>
      </c>
      <c r="U930" s="13" t="s">
        <v>21842</v>
      </c>
      <c r="V930" s="13" t="s">
        <v>21843</v>
      </c>
      <c r="W930" s="13" t="s">
        <v>21844</v>
      </c>
      <c r="X930" s="13" t="s">
        <v>21845</v>
      </c>
      <c r="Y930" s="13" t="s">
        <v>21846</v>
      </c>
      <c r="Z930" s="13" t="s">
        <v>21847</v>
      </c>
      <c r="AA930" s="13" t="s">
        <v>21848</v>
      </c>
      <c r="AB930" s="13" t="s">
        <v>21849</v>
      </c>
      <c r="AC930" s="13" t="s">
        <v>21850</v>
      </c>
      <c r="AD930" s="13" t="s">
        <v>21851</v>
      </c>
      <c r="AE930" s="13" t="s">
        <v>21852</v>
      </c>
      <c r="AF930" s="13" t="s">
        <v>5510</v>
      </c>
      <c r="AG930" s="13">
        <v>55.0</v>
      </c>
      <c r="AH930" s="13">
        <v>59.0</v>
      </c>
      <c r="AI930" s="13">
        <v>72.0</v>
      </c>
      <c r="AJ930" s="13">
        <v>2.0</v>
      </c>
      <c r="AK930" s="13">
        <v>123.0</v>
      </c>
      <c r="AL930" s="13" t="s">
        <v>7714</v>
      </c>
      <c r="AM930" s="13" t="s">
        <v>5760</v>
      </c>
      <c r="AN930" s="13" t="s">
        <v>7715</v>
      </c>
      <c r="AO930" s="13" t="s">
        <v>5762</v>
      </c>
      <c r="AP930" s="13" t="s">
        <v>5763</v>
      </c>
      <c r="AQ930" s="13" t="s">
        <v>5510</v>
      </c>
      <c r="AR930" s="13" t="s">
        <v>5764</v>
      </c>
      <c r="AS930" s="13" t="s">
        <v>5765</v>
      </c>
      <c r="AT930" s="13" t="s">
        <v>13368</v>
      </c>
      <c r="AU930" s="13">
        <v>2013.0</v>
      </c>
      <c r="AV930" s="13">
        <v>442.0</v>
      </c>
      <c r="AW930" s="13" t="s">
        <v>5510</v>
      </c>
      <c r="AX930" s="13" t="s">
        <v>5510</v>
      </c>
      <c r="AY930" s="13" t="s">
        <v>5510</v>
      </c>
      <c r="AZ930" s="13" t="s">
        <v>5510</v>
      </c>
      <c r="BA930" s="13" t="s">
        <v>5510</v>
      </c>
      <c r="BB930" s="13">
        <v>420.0</v>
      </c>
      <c r="BC930" s="13">
        <v>431.0</v>
      </c>
      <c r="BD930" s="13" t="s">
        <v>5510</v>
      </c>
      <c r="BE930" s="13" t="s">
        <v>21853</v>
      </c>
      <c r="BF930" s="52" t="str">
        <f>HYPERLINK("http://dx.doi.org/10.1016/j.scitotenv.2012.10.076","http://dx.doi.org/10.1016/j.scitotenv.2012.10.076")</f>
        <v>http://dx.doi.org/10.1016/j.scitotenv.2012.10.076</v>
      </c>
      <c r="BG930" s="13" t="s">
        <v>5510</v>
      </c>
      <c r="BH930" s="13" t="s">
        <v>5510</v>
      </c>
      <c r="BI930" s="13">
        <v>12.0</v>
      </c>
      <c r="BJ930" s="13" t="s">
        <v>5768</v>
      </c>
      <c r="BK930" s="13" t="s">
        <v>5561</v>
      </c>
      <c r="BL930" s="13" t="s">
        <v>5535</v>
      </c>
      <c r="BM930" s="13" t="s">
        <v>21854</v>
      </c>
      <c r="BN930" s="13">
        <v>2.3183122E7</v>
      </c>
      <c r="BO930" s="13" t="s">
        <v>5510</v>
      </c>
      <c r="BP930" s="13" t="s">
        <v>5510</v>
      </c>
      <c r="BQ930" s="13" t="s">
        <v>5510</v>
      </c>
      <c r="BR930" s="13" t="s">
        <v>5538</v>
      </c>
      <c r="BS930" s="13" t="s">
        <v>21855</v>
      </c>
      <c r="BT930" s="13">
        <v>25299.0</v>
      </c>
      <c r="BU930" s="13" t="s">
        <v>5540</v>
      </c>
      <c r="BV930" s="13" t="s">
        <v>4852</v>
      </c>
      <c r="BW930" s="13" t="str">
        <f>VLOOKUP($BT930,Enriched!$A$2:$E$1070,5,false)</f>
        <v>["Residential &amp; commercial development", "Pollution"]</v>
      </c>
      <c r="BX930" s="13" t="str">
        <f>VLOOKUP($BT930,Enriched!$A$2:$E$1070,4,false)</f>
        <v>["Housing &amp; urban area"]</v>
      </c>
      <c r="BY930" s="13" t="b">
        <f>VLOOKUP(BT930,Enriched!$A$1:$AA$1070,27,falsE)</f>
        <v>1</v>
      </c>
      <c r="BZ930" s="2" t="str">
        <f>VLOOKUP(BT930,Enriched!$A$1:$AA$1070,14,falsE)</f>
        <v>level2</v>
      </c>
      <c r="CA930" s="13" t="str">
        <f>HYPERLINK("https%3A%2F%2Fwww.webofscience.com%2Fwos%2Fwoscc%2Ffull-record%2FWOS:000313918200047","View Full Record in Web of Science")</f>
        <v>View Full Record in Web of Science</v>
      </c>
    </row>
    <row r="931" ht="12.75" customHeight="1">
      <c r="A931" s="13" t="s">
        <v>5508</v>
      </c>
      <c r="B931" s="13" t="s">
        <v>21856</v>
      </c>
      <c r="C931" s="13" t="s">
        <v>5510</v>
      </c>
      <c r="D931" s="13" t="s">
        <v>5510</v>
      </c>
      <c r="E931" s="13" t="s">
        <v>5510</v>
      </c>
      <c r="F931" s="13" t="s">
        <v>21857</v>
      </c>
      <c r="G931" s="13" t="s">
        <v>5510</v>
      </c>
      <c r="H931" s="13" t="s">
        <v>5510</v>
      </c>
      <c r="I931" s="13" t="s">
        <v>45</v>
      </c>
      <c r="J931" s="13" t="s">
        <v>46</v>
      </c>
      <c r="K931" s="13" t="s">
        <v>5510</v>
      </c>
      <c r="L931" s="13" t="s">
        <v>5510</v>
      </c>
      <c r="M931" s="13" t="s">
        <v>5513</v>
      </c>
      <c r="N931" s="13" t="s">
        <v>5514</v>
      </c>
      <c r="O931" s="13" t="s">
        <v>5510</v>
      </c>
      <c r="P931" s="13" t="s">
        <v>5510</v>
      </c>
      <c r="Q931" s="13" t="s">
        <v>5510</v>
      </c>
      <c r="R931" s="13" t="s">
        <v>5510</v>
      </c>
      <c r="S931" s="13" t="s">
        <v>5510</v>
      </c>
      <c r="T931" s="13" t="s">
        <v>21858</v>
      </c>
      <c r="U931" s="13" t="s">
        <v>5510</v>
      </c>
      <c r="V931" s="13" t="s">
        <v>21859</v>
      </c>
      <c r="W931" s="13" t="s">
        <v>21860</v>
      </c>
      <c r="X931" s="13" t="s">
        <v>21861</v>
      </c>
      <c r="Y931" s="13" t="s">
        <v>21862</v>
      </c>
      <c r="Z931" s="13" t="s">
        <v>21863</v>
      </c>
      <c r="AA931" s="13" t="s">
        <v>21864</v>
      </c>
      <c r="AB931" s="13" t="s">
        <v>21865</v>
      </c>
      <c r="AC931" s="13" t="s">
        <v>21866</v>
      </c>
      <c r="AD931" s="13" t="s">
        <v>21867</v>
      </c>
      <c r="AE931" s="13" t="s">
        <v>21868</v>
      </c>
      <c r="AF931" s="13" t="s">
        <v>5510</v>
      </c>
      <c r="AG931" s="13">
        <v>29.0</v>
      </c>
      <c r="AH931" s="13">
        <v>7.0</v>
      </c>
      <c r="AI931" s="13">
        <v>8.0</v>
      </c>
      <c r="AJ931" s="13">
        <v>2.0</v>
      </c>
      <c r="AK931" s="13">
        <v>23.0</v>
      </c>
      <c r="AL931" s="13" t="s">
        <v>7065</v>
      </c>
      <c r="AM931" s="13" t="s">
        <v>13281</v>
      </c>
      <c r="AN931" s="13" t="s">
        <v>13282</v>
      </c>
      <c r="AO931" s="13" t="s">
        <v>7734</v>
      </c>
      <c r="AP931" s="13" t="s">
        <v>7735</v>
      </c>
      <c r="AQ931" s="13" t="s">
        <v>5510</v>
      </c>
      <c r="AR931" s="13" t="s">
        <v>46</v>
      </c>
      <c r="AS931" s="13" t="s">
        <v>1196</v>
      </c>
      <c r="AT931" s="13" t="s">
        <v>5667</v>
      </c>
      <c r="AU931" s="13">
        <v>2021.0</v>
      </c>
      <c r="AV931" s="13">
        <v>55.0</v>
      </c>
      <c r="AW931" s="13">
        <v>4.0</v>
      </c>
      <c r="AX931" s="13" t="s">
        <v>5510</v>
      </c>
      <c r="AY931" s="13" t="s">
        <v>5510</v>
      </c>
      <c r="AZ931" s="13" t="s">
        <v>5510</v>
      </c>
      <c r="BA931" s="13" t="s">
        <v>5510</v>
      </c>
      <c r="BB931" s="13">
        <v>556.0</v>
      </c>
      <c r="BC931" s="13">
        <v>563.0</v>
      </c>
      <c r="BD931" s="13" t="s">
        <v>21869</v>
      </c>
      <c r="BE931" s="13" t="s">
        <v>21870</v>
      </c>
      <c r="BF931" s="52" t="str">
        <f>HYPERLINK("http://dx.doi.org/10.1017/S0030605319000863","http://dx.doi.org/10.1017/S0030605319000863")</f>
        <v>http://dx.doi.org/10.1017/S0030605319000863</v>
      </c>
      <c r="BG931" s="13" t="s">
        <v>5510</v>
      </c>
      <c r="BH931" s="13" t="s">
        <v>5510</v>
      </c>
      <c r="BI931" s="13">
        <v>8.0</v>
      </c>
      <c r="BJ931" s="13" t="s">
        <v>5958</v>
      </c>
      <c r="BK931" s="13" t="s">
        <v>5561</v>
      </c>
      <c r="BL931" s="13" t="s">
        <v>5699</v>
      </c>
      <c r="BM931" s="13" t="s">
        <v>21871</v>
      </c>
      <c r="BN931" s="13" t="s">
        <v>5510</v>
      </c>
      <c r="BO931" s="13" t="s">
        <v>15669</v>
      </c>
      <c r="BP931" s="13" t="s">
        <v>5510</v>
      </c>
      <c r="BQ931" s="13" t="s">
        <v>5510</v>
      </c>
      <c r="BR931" s="13" t="s">
        <v>5538</v>
      </c>
      <c r="BS931" s="13" t="s">
        <v>21872</v>
      </c>
      <c r="BT931" s="13">
        <v>23461.0</v>
      </c>
      <c r="BU931" s="13" t="s">
        <v>5540</v>
      </c>
      <c r="BV931" s="13" t="s">
        <v>4856</v>
      </c>
      <c r="BW931" s="13" t="str">
        <f>VLOOKUP($BT931,Enriched!$A$2:$E$1070,5,false)</f>
        <v>["Biological resource use"]</v>
      </c>
      <c r="BX931" s="13" t="str">
        <f>VLOOKUP($BT931,Enriched!$A$2:$E$1070,4,false)</f>
        <v>["Fishing &amp; harvesting aquatic resources"]</v>
      </c>
      <c r="BY931" s="13" t="b">
        <f>VLOOKUP(BT931,Enriched!$A$1:$AA$1070,27,falsE)</f>
        <v>0</v>
      </c>
      <c r="BZ931" s="2" t="str">
        <f>VLOOKUP(BT931,Enriched!$A$1:$AA$1070,14,falsE)</f>
        <v>level2</v>
      </c>
      <c r="CA931" s="13" t="str">
        <f>HYPERLINK("https%3A%2F%2Fwww.webofscience.com%2Fwos%2Fwoscc%2Ffull-record%2FWOS:000669896600024","View Full Record in Web of Science")</f>
        <v>View Full Record in Web of Science</v>
      </c>
    </row>
    <row r="932" ht="12.75" customHeight="1">
      <c r="A932" s="13" t="s">
        <v>5508</v>
      </c>
      <c r="B932" s="13" t="s">
        <v>21873</v>
      </c>
      <c r="C932" s="13" t="s">
        <v>5510</v>
      </c>
      <c r="D932" s="13" t="s">
        <v>5510</v>
      </c>
      <c r="E932" s="13" t="s">
        <v>5510</v>
      </c>
      <c r="F932" s="13" t="s">
        <v>21874</v>
      </c>
      <c r="G932" s="13" t="s">
        <v>5510</v>
      </c>
      <c r="H932" s="13" t="s">
        <v>5510</v>
      </c>
      <c r="I932" s="13" t="s">
        <v>35</v>
      </c>
      <c r="J932" s="13" t="s">
        <v>5543</v>
      </c>
      <c r="K932" s="13" t="s">
        <v>5510</v>
      </c>
      <c r="L932" s="13" t="s">
        <v>5510</v>
      </c>
      <c r="M932" s="13" t="s">
        <v>5513</v>
      </c>
      <c r="N932" s="13" t="s">
        <v>5514</v>
      </c>
      <c r="O932" s="13" t="s">
        <v>5510</v>
      </c>
      <c r="P932" s="13" t="s">
        <v>5510</v>
      </c>
      <c r="Q932" s="13" t="s">
        <v>5510</v>
      </c>
      <c r="R932" s="13" t="s">
        <v>5510</v>
      </c>
      <c r="S932" s="13" t="s">
        <v>5510</v>
      </c>
      <c r="T932" s="13" t="s">
        <v>5510</v>
      </c>
      <c r="U932" s="13" t="s">
        <v>21875</v>
      </c>
      <c r="V932" s="13" t="s">
        <v>21876</v>
      </c>
      <c r="W932" s="13" t="s">
        <v>21877</v>
      </c>
      <c r="X932" s="13" t="s">
        <v>21878</v>
      </c>
      <c r="Y932" s="13" t="s">
        <v>21879</v>
      </c>
      <c r="Z932" s="13" t="s">
        <v>21880</v>
      </c>
      <c r="AA932" s="13" t="s">
        <v>21881</v>
      </c>
      <c r="AB932" s="13" t="s">
        <v>21882</v>
      </c>
      <c r="AC932" s="13" t="s">
        <v>21883</v>
      </c>
      <c r="AD932" s="13" t="s">
        <v>21883</v>
      </c>
      <c r="AE932" s="13" t="s">
        <v>21884</v>
      </c>
      <c r="AF932" s="13" t="s">
        <v>5510</v>
      </c>
      <c r="AG932" s="13">
        <v>63.0</v>
      </c>
      <c r="AH932" s="13">
        <v>26.0</v>
      </c>
      <c r="AI932" s="13">
        <v>29.0</v>
      </c>
      <c r="AJ932" s="13">
        <v>0.0</v>
      </c>
      <c r="AK932" s="13">
        <v>39.0</v>
      </c>
      <c r="AL932" s="13" t="s">
        <v>5552</v>
      </c>
      <c r="AM932" s="13" t="s">
        <v>5553</v>
      </c>
      <c r="AN932" s="13" t="s">
        <v>5554</v>
      </c>
      <c r="AO932" s="13" t="s">
        <v>5555</v>
      </c>
      <c r="AP932" s="13" t="s">
        <v>5510</v>
      </c>
      <c r="AQ932" s="13" t="s">
        <v>5510</v>
      </c>
      <c r="AR932" s="13" t="s">
        <v>5543</v>
      </c>
      <c r="AS932" s="13" t="s">
        <v>5556</v>
      </c>
      <c r="AT932" s="13" t="s">
        <v>21885</v>
      </c>
      <c r="AU932" s="13">
        <v>2017.0</v>
      </c>
      <c r="AV932" s="13">
        <v>12.0</v>
      </c>
      <c r="AW932" s="13">
        <v>2.0</v>
      </c>
      <c r="AX932" s="13" t="s">
        <v>5510</v>
      </c>
      <c r="AY932" s="13" t="s">
        <v>5510</v>
      </c>
      <c r="AZ932" s="13" t="s">
        <v>5510</v>
      </c>
      <c r="BA932" s="13" t="s">
        <v>5510</v>
      </c>
      <c r="BB932" s="13" t="s">
        <v>5510</v>
      </c>
      <c r="BC932" s="13" t="s">
        <v>5510</v>
      </c>
      <c r="BD932" s="13" t="s">
        <v>21886</v>
      </c>
      <c r="BE932" s="13" t="s">
        <v>21887</v>
      </c>
      <c r="BF932" s="52" t="str">
        <f>HYPERLINK("http://dx.doi.org/10.1371/journal.pone.0172685","http://dx.doi.org/10.1371/journal.pone.0172685")</f>
        <v>http://dx.doi.org/10.1371/journal.pone.0172685</v>
      </c>
      <c r="BG932" s="13" t="s">
        <v>5510</v>
      </c>
      <c r="BH932" s="13" t="s">
        <v>5510</v>
      </c>
      <c r="BI932" s="13">
        <v>17.0</v>
      </c>
      <c r="BJ932" s="13" t="s">
        <v>5560</v>
      </c>
      <c r="BK932" s="13" t="s">
        <v>5561</v>
      </c>
      <c r="BL932" s="13" t="s">
        <v>5562</v>
      </c>
      <c r="BM932" s="13" t="s">
        <v>21888</v>
      </c>
      <c r="BN932" s="13">
        <v>2.8231316E7</v>
      </c>
      <c r="BO932" s="13" t="s">
        <v>5564</v>
      </c>
      <c r="BP932" s="13" t="s">
        <v>5510</v>
      </c>
      <c r="BQ932" s="13" t="s">
        <v>5510</v>
      </c>
      <c r="BR932" s="13" t="s">
        <v>5538</v>
      </c>
      <c r="BS932" s="13" t="s">
        <v>21889</v>
      </c>
      <c r="BT932" s="13">
        <v>25889.0</v>
      </c>
      <c r="BU932" s="13" t="s">
        <v>5540</v>
      </c>
      <c r="BV932" s="13" t="s">
        <v>4856</v>
      </c>
      <c r="BW932" s="13" t="str">
        <f>VLOOKUP($BT932,Enriched!$A$2:$E$1070,5,false)</f>
        <v>["Energy Production &amp; Mining"]</v>
      </c>
      <c r="BX932" s="13" t="str">
        <f>VLOOKUP($BT932,Enriched!$A$2:$E$1070,4,false)</f>
        <v>["Renewable energy"]</v>
      </c>
      <c r="BY932" s="13" t="b">
        <f>VLOOKUP(BT932,Enriched!$A$1:$AA$1070,27,falsE)</f>
        <v>0</v>
      </c>
      <c r="BZ932" s="2" t="str">
        <f>VLOOKUP(BT932,Enriched!$A$1:$AA$1070,14,falsE)</f>
        <v>level2</v>
      </c>
      <c r="CA932" s="13" t="str">
        <f>HYPERLINK("https%3A%2F%2Fwww.webofscience.com%2Fwos%2Fwoscc%2Ffull-record%2FWOS:000394682400071","View Full Record in Web of Science")</f>
        <v>View Full Record in Web of Science</v>
      </c>
    </row>
    <row r="933" ht="12.75" customHeight="1">
      <c r="A933" s="13" t="s">
        <v>5508</v>
      </c>
      <c r="B933" s="13" t="s">
        <v>21890</v>
      </c>
      <c r="C933" s="13" t="s">
        <v>5510</v>
      </c>
      <c r="D933" s="13" t="s">
        <v>5510</v>
      </c>
      <c r="E933" s="13" t="s">
        <v>5510</v>
      </c>
      <c r="F933" s="13" t="s">
        <v>21891</v>
      </c>
      <c r="G933" s="13" t="s">
        <v>5510</v>
      </c>
      <c r="H933" s="13" t="s">
        <v>5510</v>
      </c>
      <c r="I933" s="2" t="s">
        <v>31</v>
      </c>
      <c r="J933" s="13" t="s">
        <v>9414</v>
      </c>
      <c r="K933" s="13" t="s">
        <v>5510</v>
      </c>
      <c r="L933" s="13" t="s">
        <v>5510</v>
      </c>
      <c r="M933" s="13" t="s">
        <v>5513</v>
      </c>
      <c r="N933" s="13" t="s">
        <v>5514</v>
      </c>
      <c r="O933" s="13" t="s">
        <v>5510</v>
      </c>
      <c r="P933" s="13" t="s">
        <v>5510</v>
      </c>
      <c r="Q933" s="13" t="s">
        <v>5510</v>
      </c>
      <c r="R933" s="13" t="s">
        <v>5510</v>
      </c>
      <c r="S933" s="13" t="s">
        <v>5510</v>
      </c>
      <c r="T933" s="13" t="s">
        <v>21892</v>
      </c>
      <c r="U933" s="13" t="s">
        <v>21893</v>
      </c>
      <c r="V933" s="13" t="s">
        <v>21894</v>
      </c>
      <c r="W933" s="13" t="s">
        <v>21895</v>
      </c>
      <c r="X933" s="13" t="s">
        <v>21896</v>
      </c>
      <c r="Y933" s="13" t="s">
        <v>21897</v>
      </c>
      <c r="Z933" s="13" t="s">
        <v>12448</v>
      </c>
      <c r="AA933" s="13" t="s">
        <v>5510</v>
      </c>
      <c r="AB933" s="13" t="s">
        <v>21898</v>
      </c>
      <c r="AC933" s="13" t="s">
        <v>21899</v>
      </c>
      <c r="AD933" s="13" t="s">
        <v>21900</v>
      </c>
      <c r="AE933" s="13" t="s">
        <v>21901</v>
      </c>
      <c r="AF933" s="13" t="s">
        <v>5510</v>
      </c>
      <c r="AG933" s="13">
        <v>103.0</v>
      </c>
      <c r="AH933" s="13">
        <v>22.0</v>
      </c>
      <c r="AI933" s="13">
        <v>23.0</v>
      </c>
      <c r="AJ933" s="13">
        <v>1.0</v>
      </c>
      <c r="AK933" s="13">
        <v>32.0</v>
      </c>
      <c r="AL933" s="13" t="s">
        <v>5931</v>
      </c>
      <c r="AM933" s="13" t="s">
        <v>5932</v>
      </c>
      <c r="AN933" s="13" t="s">
        <v>5933</v>
      </c>
      <c r="AO933" s="13" t="s">
        <v>9427</v>
      </c>
      <c r="AP933" s="13" t="s">
        <v>9428</v>
      </c>
      <c r="AQ933" s="13" t="s">
        <v>5510</v>
      </c>
      <c r="AR933" s="13" t="s">
        <v>9429</v>
      </c>
      <c r="AS933" s="13" t="s">
        <v>9430</v>
      </c>
      <c r="AT933" s="13" t="s">
        <v>5866</v>
      </c>
      <c r="AU933" s="13">
        <v>2020.0</v>
      </c>
      <c r="AV933" s="13">
        <v>115.0</v>
      </c>
      <c r="AW933" s="13" t="s">
        <v>5510</v>
      </c>
      <c r="AX933" s="13" t="s">
        <v>5510</v>
      </c>
      <c r="AY933" s="13" t="s">
        <v>5510</v>
      </c>
      <c r="AZ933" s="13" t="s">
        <v>5510</v>
      </c>
      <c r="BA933" s="13" t="s">
        <v>5510</v>
      </c>
      <c r="BB933" s="13" t="s">
        <v>5510</v>
      </c>
      <c r="BC933" s="13" t="s">
        <v>5510</v>
      </c>
      <c r="BD933" s="13">
        <v>103863.0</v>
      </c>
      <c r="BE933" s="13" t="s">
        <v>21902</v>
      </c>
      <c r="BF933" s="52" t="str">
        <f>HYPERLINK("http://dx.doi.org/10.1016/j.marpol.2020.103863","http://dx.doi.org/10.1016/j.marpol.2020.103863")</f>
        <v>http://dx.doi.org/10.1016/j.marpol.2020.103863</v>
      </c>
      <c r="BG933" s="13" t="s">
        <v>5510</v>
      </c>
      <c r="BH933" s="13" t="s">
        <v>5510</v>
      </c>
      <c r="BI933" s="13">
        <v>16.0</v>
      </c>
      <c r="BJ933" s="13" t="s">
        <v>9432</v>
      </c>
      <c r="BK933" s="13" t="s">
        <v>8375</v>
      </c>
      <c r="BL933" s="13" t="s">
        <v>9433</v>
      </c>
      <c r="BM933" s="13" t="s">
        <v>21903</v>
      </c>
      <c r="BN933" s="13" t="s">
        <v>5510</v>
      </c>
      <c r="BO933" s="13" t="s">
        <v>6586</v>
      </c>
      <c r="BP933" s="13" t="s">
        <v>5510</v>
      </c>
      <c r="BQ933" s="13" t="s">
        <v>5510</v>
      </c>
      <c r="BR933" s="13" t="s">
        <v>5538</v>
      </c>
      <c r="BS933" s="13" t="s">
        <v>21904</v>
      </c>
      <c r="BT933" s="13">
        <v>24558.0</v>
      </c>
      <c r="BU933" s="13" t="s">
        <v>5540</v>
      </c>
      <c r="BV933" s="13" t="s">
        <v>4864</v>
      </c>
      <c r="BW933" s="13" t="str">
        <f>VLOOKUP($BT933,Enriched!$A$2:$E$1070,5,false)</f>
        <v>["Transportation &amp; Service Corridors", "Human Intrusions &amp; Disturbance", "Biological Resource Use", "Residential &amp; Commercial Development", "Pollution"]</v>
      </c>
      <c r="BX933" s="13" t="str">
        <f>VLOOKUP($BT933,Enriched!$A$2:$E$1070,4,false)</f>
        <v>["Shipping lanes", "Recreational activities", "Fishing &amp; harvesting aquatic resources", "Industrial &amp; military effluents"]</v>
      </c>
      <c r="BY933" s="13" t="b">
        <f>VLOOKUP(BT933,Enriched!$A$1:$AA$1070,27,falsE)</f>
        <v>1</v>
      </c>
      <c r="BZ933" s="2" t="str">
        <f>VLOOKUP(BT933,Enriched!$A$1:$AA$1070,14,falsE)</f>
        <v>cumulative</v>
      </c>
      <c r="CA933" s="13" t="str">
        <f>HYPERLINK("https%3A%2F%2Fwww.webofscience.com%2Fwos%2Fwoscc%2Ffull-record%2FWOS:000528256400027","View Full Record in Web of Science")</f>
        <v>View Full Record in Web of Science</v>
      </c>
    </row>
    <row r="934" ht="12.75" customHeight="1">
      <c r="A934" s="13" t="s">
        <v>5508</v>
      </c>
      <c r="B934" s="13" t="s">
        <v>21905</v>
      </c>
      <c r="C934" s="13" t="s">
        <v>5510</v>
      </c>
      <c r="D934" s="13" t="s">
        <v>5510</v>
      </c>
      <c r="E934" s="13" t="s">
        <v>5510</v>
      </c>
      <c r="F934" s="13" t="s">
        <v>21906</v>
      </c>
      <c r="G934" s="13" t="s">
        <v>5510</v>
      </c>
      <c r="H934" s="13" t="s">
        <v>5510</v>
      </c>
      <c r="I934" s="13" t="s">
        <v>26</v>
      </c>
      <c r="J934" s="13" t="s">
        <v>7213</v>
      </c>
      <c r="K934" s="13" t="s">
        <v>5510</v>
      </c>
      <c r="L934" s="13" t="s">
        <v>5510</v>
      </c>
      <c r="M934" s="13" t="s">
        <v>5513</v>
      </c>
      <c r="N934" s="13" t="s">
        <v>5514</v>
      </c>
      <c r="O934" s="13" t="s">
        <v>5510</v>
      </c>
      <c r="P934" s="13" t="s">
        <v>5510</v>
      </c>
      <c r="Q934" s="13" t="s">
        <v>5510</v>
      </c>
      <c r="R934" s="13" t="s">
        <v>5510</v>
      </c>
      <c r="S934" s="13" t="s">
        <v>5510</v>
      </c>
      <c r="T934" s="13" t="s">
        <v>21907</v>
      </c>
      <c r="U934" s="13" t="s">
        <v>12513</v>
      </c>
      <c r="V934" s="13" t="s">
        <v>21908</v>
      </c>
      <c r="W934" s="13" t="s">
        <v>21909</v>
      </c>
      <c r="X934" s="13" t="s">
        <v>21910</v>
      </c>
      <c r="Y934" s="13" t="s">
        <v>21911</v>
      </c>
      <c r="Z934" s="13" t="s">
        <v>21912</v>
      </c>
      <c r="AA934" s="13" t="s">
        <v>21913</v>
      </c>
      <c r="AB934" s="13" t="s">
        <v>21914</v>
      </c>
      <c r="AC934" s="13" t="s">
        <v>21915</v>
      </c>
      <c r="AD934" s="13" t="s">
        <v>21916</v>
      </c>
      <c r="AE934" s="13" t="s">
        <v>21917</v>
      </c>
      <c r="AF934" s="13" t="s">
        <v>5510</v>
      </c>
      <c r="AG934" s="13">
        <v>41.0</v>
      </c>
      <c r="AH934" s="13">
        <v>33.0</v>
      </c>
      <c r="AI934" s="13">
        <v>36.0</v>
      </c>
      <c r="AJ934" s="13">
        <v>0.0</v>
      </c>
      <c r="AK934" s="13">
        <v>49.0</v>
      </c>
      <c r="AL934" s="13" t="s">
        <v>5527</v>
      </c>
      <c r="AM934" s="13" t="s">
        <v>5528</v>
      </c>
      <c r="AN934" s="13" t="s">
        <v>5529</v>
      </c>
      <c r="AO934" s="13" t="s">
        <v>7226</v>
      </c>
      <c r="AP934" s="13" t="s">
        <v>7227</v>
      </c>
      <c r="AQ934" s="13" t="s">
        <v>5510</v>
      </c>
      <c r="AR934" s="13" t="s">
        <v>7228</v>
      </c>
      <c r="AS934" s="13" t="s">
        <v>7229</v>
      </c>
      <c r="AT934" s="13" t="s">
        <v>2738</v>
      </c>
      <c r="AU934" s="13">
        <v>2015.0</v>
      </c>
      <c r="AV934" s="13">
        <v>24.0</v>
      </c>
      <c r="AW934" s="13">
        <v>2.0</v>
      </c>
      <c r="AX934" s="13" t="s">
        <v>5510</v>
      </c>
      <c r="AY934" s="13" t="s">
        <v>5510</v>
      </c>
      <c r="AZ934" s="13" t="s">
        <v>5510</v>
      </c>
      <c r="BA934" s="13" t="s">
        <v>5510</v>
      </c>
      <c r="BB934" s="13">
        <v>226.0</v>
      </c>
      <c r="BC934" s="13">
        <v>239.0</v>
      </c>
      <c r="BD934" s="13" t="s">
        <v>5510</v>
      </c>
      <c r="BE934" s="13" t="s">
        <v>21918</v>
      </c>
      <c r="BF934" s="52" t="str">
        <f>HYPERLINK("http://dx.doi.org/10.1111/geb.12250","http://dx.doi.org/10.1111/geb.12250")</f>
        <v>http://dx.doi.org/10.1111/geb.12250</v>
      </c>
      <c r="BG934" s="13" t="s">
        <v>5510</v>
      </c>
      <c r="BH934" s="13" t="s">
        <v>5510</v>
      </c>
      <c r="BI934" s="13">
        <v>14.0</v>
      </c>
      <c r="BJ934" s="13" t="s">
        <v>6463</v>
      </c>
      <c r="BK934" s="13" t="s">
        <v>5561</v>
      </c>
      <c r="BL934" s="13" t="s">
        <v>6464</v>
      </c>
      <c r="BM934" s="13" t="s">
        <v>21919</v>
      </c>
      <c r="BN934" s="13" t="s">
        <v>5510</v>
      </c>
      <c r="BO934" s="13" t="s">
        <v>5510</v>
      </c>
      <c r="BP934" s="13" t="s">
        <v>5510</v>
      </c>
      <c r="BQ934" s="13" t="s">
        <v>5510</v>
      </c>
      <c r="BR934" s="13" t="s">
        <v>5538</v>
      </c>
      <c r="BS934" s="13" t="s">
        <v>21920</v>
      </c>
      <c r="BT934" s="13">
        <v>23583.0</v>
      </c>
      <c r="BU934" s="13" t="s">
        <v>5540</v>
      </c>
      <c r="BV934" s="13" t="s">
        <v>4864</v>
      </c>
      <c r="BW934" s="13" t="str">
        <f>VLOOKUP($BT934,Enriched!$A$2:$E$1070,5,false)</f>
        <v>["Residential &amp; Commercial Development", "Climate Change &amp; Severe Weather", "Energy Production &amp; Mining", "Transportation &amp; Service Corridors", "Biological Resource Use", "Invasive &amp; Other Problematic Species, Genes &amp; Diseases", "Pollution"]</v>
      </c>
      <c r="BX934" s="13" t="str">
        <f>VLOOKUP($BT934,Enriched!$A$2:$E$1070,4,false)</f>
        <v>["Commercial &amp; industrial areas", "Habitat shifting &amp; alteration", "Temperature extremes", "Other impacts", "Oil &amp; gas drilling", "Shipping lanes", "Fishing &amp; harvesting aquatic resources", "Invasive non-native/alien species/diseases", "Domestic &amp; urban waste water", "Agricultural &amp; forestry effluents"]</v>
      </c>
      <c r="BY934" s="13" t="b">
        <f>VLOOKUP(BT934,Enriched!$A$1:$AA$1070,27,falsE)</f>
        <v>1</v>
      </c>
      <c r="BZ934" s="2" t="str">
        <f>VLOOKUP(BT934,Enriched!$A$1:$AA$1070,14,falsE)</f>
        <v>cumulative</v>
      </c>
      <c r="CA934" s="13" t="str">
        <f>HYPERLINK("https%3A%2F%2Fwww.webofscience.com%2Fwos%2Fwoscc%2Ffull-record%2FWOS:000347458100010","View Full Record in Web of Science")</f>
        <v>View Full Record in Web of Science</v>
      </c>
    </row>
  </sheetData>
  <autoFilter ref="$A$1:$CA$934">
    <sortState ref="A1:CA934">
      <sortCondition descending="1" ref="BE1:BE934"/>
    </sortState>
  </autoFilter>
  <printOptions/>
  <pageMargins bottom="0.75" footer="0.0" header="0.0" left="0.7" right="0.7" top="0.75"/>
  <pageSetup orientation="landscape"/>
  <drawing r:id="rId4"/>
  <legacy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8.75"/>
    <col customWidth="1" min="2" max="2" width="20.25"/>
    <col customWidth="1" min="3" max="4" width="8.0"/>
    <col customWidth="1" min="5" max="5" width="19.5"/>
    <col customWidth="1" min="6" max="7" width="14.13"/>
    <col customWidth="1" min="8" max="8" width="26.5"/>
    <col customWidth="1" min="9" max="9" width="49.5"/>
    <col customWidth="1" min="10" max="11" width="14.13"/>
  </cols>
  <sheetData>
    <row r="1" ht="12.75" customHeight="1">
      <c r="A1" s="13" t="s">
        <v>5446</v>
      </c>
      <c r="B1" s="13" t="s">
        <v>5459</v>
      </c>
      <c r="C1" s="13" t="s">
        <v>5492</v>
      </c>
      <c r="D1" s="2" t="s">
        <v>22</v>
      </c>
      <c r="E1" s="13" t="s">
        <v>5506</v>
      </c>
      <c r="F1" s="51" t="s">
        <v>4845</v>
      </c>
      <c r="G1" s="51" t="s">
        <v>4846</v>
      </c>
      <c r="H1" s="51"/>
      <c r="I1" s="51"/>
    </row>
    <row r="2" ht="12.75" customHeight="1">
      <c r="A2" s="13" t="s">
        <v>3001</v>
      </c>
      <c r="B2" s="13" t="s">
        <v>6282</v>
      </c>
      <c r="C2" s="13" t="s">
        <v>6299</v>
      </c>
      <c r="D2" s="2" t="s">
        <v>0</v>
      </c>
      <c r="E2" s="13" t="s">
        <v>6303</v>
      </c>
      <c r="F2" s="13" t="s">
        <v>5540</v>
      </c>
      <c r="G2" s="13" t="s">
        <v>4856</v>
      </c>
    </row>
    <row r="3" ht="12.75" customHeight="1">
      <c r="A3" s="13" t="s">
        <v>2986</v>
      </c>
      <c r="B3" s="13" t="s">
        <v>6370</v>
      </c>
      <c r="C3" s="13" t="s">
        <v>6386</v>
      </c>
      <c r="D3" s="2" t="s">
        <v>0</v>
      </c>
      <c r="E3" s="13" t="s">
        <v>6388</v>
      </c>
      <c r="F3" s="13" t="s">
        <v>5540</v>
      </c>
      <c r="G3" s="13" t="s">
        <v>4856</v>
      </c>
    </row>
    <row r="4" ht="12.75" customHeight="1">
      <c r="A4" s="13" t="s">
        <v>2887</v>
      </c>
      <c r="B4" s="13" t="s">
        <v>6905</v>
      </c>
      <c r="C4" s="13" t="s">
        <v>6917</v>
      </c>
      <c r="D4" s="2" t="s">
        <v>0</v>
      </c>
      <c r="E4" s="13" t="s">
        <v>6919</v>
      </c>
      <c r="F4" s="13" t="s">
        <v>5540</v>
      </c>
      <c r="G4" s="13" t="s">
        <v>4856</v>
      </c>
    </row>
    <row r="5" ht="12.75" customHeight="1">
      <c r="A5" s="2" t="s">
        <v>2707</v>
      </c>
      <c r="B5" s="13" t="s">
        <v>7974</v>
      </c>
      <c r="C5" s="13" t="s">
        <v>7984</v>
      </c>
      <c r="D5" s="2" t="s">
        <v>0</v>
      </c>
      <c r="E5" s="13" t="s">
        <v>7987</v>
      </c>
      <c r="F5" s="13" t="s">
        <v>5540</v>
      </c>
      <c r="G5" s="13" t="s">
        <v>4856</v>
      </c>
    </row>
    <row r="6" ht="12.75" customHeight="1">
      <c r="A6" s="13" t="s">
        <v>2632</v>
      </c>
      <c r="B6" s="13" t="s">
        <v>8421</v>
      </c>
      <c r="C6" s="13" t="s">
        <v>8432</v>
      </c>
      <c r="D6" s="2" t="s">
        <v>0</v>
      </c>
      <c r="E6" s="13" t="s">
        <v>8434</v>
      </c>
      <c r="F6" s="13" t="s">
        <v>5540</v>
      </c>
      <c r="G6" s="13" t="s">
        <v>4856</v>
      </c>
    </row>
    <row r="7" ht="12.75" customHeight="1">
      <c r="A7" s="13" t="s">
        <v>1949</v>
      </c>
      <c r="B7" s="13" t="s">
        <v>12262</v>
      </c>
      <c r="C7" s="13" t="s">
        <v>12272</v>
      </c>
      <c r="D7" s="2" t="s">
        <v>0</v>
      </c>
      <c r="E7" s="13" t="s">
        <v>12274</v>
      </c>
      <c r="F7" s="13" t="s">
        <v>5540</v>
      </c>
      <c r="G7" s="13" t="s">
        <v>4852</v>
      </c>
    </row>
    <row r="8" ht="12.75" customHeight="1">
      <c r="A8" s="13" t="s">
        <v>1933</v>
      </c>
      <c r="B8" s="13" t="s">
        <v>12327</v>
      </c>
      <c r="C8" s="13" t="s">
        <v>12334</v>
      </c>
      <c r="D8" s="2" t="s">
        <v>0</v>
      </c>
      <c r="E8" s="13" t="s">
        <v>12335</v>
      </c>
      <c r="F8" s="13" t="s">
        <v>5540</v>
      </c>
      <c r="G8" s="13" t="s">
        <v>4856</v>
      </c>
    </row>
    <row r="9" ht="12.75" customHeight="1">
      <c r="A9" s="13" t="s">
        <v>13092</v>
      </c>
      <c r="B9" s="13" t="s">
        <v>13094</v>
      </c>
      <c r="C9" s="13" t="s">
        <v>13107</v>
      </c>
      <c r="D9" s="2" t="s">
        <v>0</v>
      </c>
      <c r="E9" s="13" t="s">
        <v>13109</v>
      </c>
      <c r="F9" s="13" t="s">
        <v>5540</v>
      </c>
      <c r="G9" s="13" t="s">
        <v>4864</v>
      </c>
    </row>
    <row r="10" ht="12.75" customHeight="1">
      <c r="A10" s="2" t="s">
        <v>1752</v>
      </c>
      <c r="B10" s="13" t="s">
        <v>5510</v>
      </c>
      <c r="C10" s="13" t="s">
        <v>13232</v>
      </c>
      <c r="D10" s="2" t="s">
        <v>0</v>
      </c>
      <c r="E10" s="13" t="s">
        <v>13234</v>
      </c>
      <c r="F10" s="13" t="s">
        <v>5540</v>
      </c>
      <c r="G10" s="13" t="s">
        <v>4856</v>
      </c>
    </row>
    <row r="11" ht="12.75" customHeight="1">
      <c r="A11" s="13" t="s">
        <v>1752</v>
      </c>
      <c r="B11" s="13" t="s">
        <v>13236</v>
      </c>
      <c r="C11" s="13" t="s">
        <v>13246</v>
      </c>
      <c r="D11" s="2" t="s">
        <v>0</v>
      </c>
      <c r="E11" s="13" t="s">
        <v>13248</v>
      </c>
      <c r="F11" s="13" t="s">
        <v>5540</v>
      </c>
      <c r="G11" s="13" t="s">
        <v>4856</v>
      </c>
    </row>
    <row r="12" ht="12.75" customHeight="1">
      <c r="A12" s="13" t="s">
        <v>1724</v>
      </c>
      <c r="B12" s="13" t="s">
        <v>13376</v>
      </c>
      <c r="C12" s="13" t="s">
        <v>13382</v>
      </c>
      <c r="D12" s="2" t="s">
        <v>0</v>
      </c>
      <c r="E12" s="13" t="s">
        <v>13384</v>
      </c>
      <c r="F12" s="13" t="s">
        <v>5540</v>
      </c>
      <c r="G12" s="13" t="s">
        <v>4886</v>
      </c>
    </row>
    <row r="13" ht="12.75" customHeight="1">
      <c r="A13" s="13" t="s">
        <v>13931</v>
      </c>
      <c r="B13" s="13" t="s">
        <v>13935</v>
      </c>
      <c r="C13" s="13" t="s">
        <v>13946</v>
      </c>
      <c r="D13" s="2" t="s">
        <v>0</v>
      </c>
      <c r="E13" s="13" t="s">
        <v>13948</v>
      </c>
      <c r="F13" s="13" t="s">
        <v>5540</v>
      </c>
      <c r="G13" s="13" t="s">
        <v>4856</v>
      </c>
    </row>
    <row r="14" ht="12.75" customHeight="1">
      <c r="A14" s="13" t="s">
        <v>1563</v>
      </c>
      <c r="B14" s="13" t="s">
        <v>14201</v>
      </c>
      <c r="C14" s="13" t="s">
        <v>14212</v>
      </c>
      <c r="D14" s="2" t="s">
        <v>0</v>
      </c>
      <c r="E14" s="13" t="s">
        <v>14214</v>
      </c>
      <c r="F14" s="13" t="s">
        <v>5540</v>
      </c>
      <c r="G14" s="13" t="s">
        <v>4856</v>
      </c>
    </row>
    <row r="15" ht="12.75" customHeight="1">
      <c r="A15" s="13" t="s">
        <v>1541</v>
      </c>
      <c r="B15" s="13" t="s">
        <v>14319</v>
      </c>
      <c r="C15" s="13" t="s">
        <v>14331</v>
      </c>
      <c r="D15" s="2" t="s">
        <v>0</v>
      </c>
      <c r="E15" s="13" t="s">
        <v>14333</v>
      </c>
      <c r="F15" s="13" t="s">
        <v>5540</v>
      </c>
      <c r="G15" s="13" t="s">
        <v>4880</v>
      </c>
    </row>
    <row r="16" ht="12.75" customHeight="1">
      <c r="A16" s="13" t="s">
        <v>1399</v>
      </c>
      <c r="B16" s="13" t="s">
        <v>15052</v>
      </c>
      <c r="C16" s="13" t="s">
        <v>15061</v>
      </c>
      <c r="D16" s="2" t="s">
        <v>0</v>
      </c>
      <c r="E16" s="13" t="s">
        <v>15063</v>
      </c>
      <c r="F16" s="13" t="s">
        <v>5540</v>
      </c>
      <c r="G16" s="13" t="s">
        <v>4852</v>
      </c>
    </row>
    <row r="17" ht="12.75" customHeight="1">
      <c r="A17" s="13" t="s">
        <v>1335</v>
      </c>
      <c r="B17" s="13" t="s">
        <v>15447</v>
      </c>
      <c r="C17" s="13" t="s">
        <v>15457</v>
      </c>
      <c r="D17" s="2" t="s">
        <v>0</v>
      </c>
      <c r="E17" s="13" t="s">
        <v>15460</v>
      </c>
      <c r="F17" s="13" t="s">
        <v>5540</v>
      </c>
      <c r="G17" s="13" t="s">
        <v>4855</v>
      </c>
    </row>
    <row r="18" ht="12.75" customHeight="1">
      <c r="A18" s="13" t="s">
        <v>1302</v>
      </c>
      <c r="B18" s="13" t="s">
        <v>15637</v>
      </c>
      <c r="C18" s="13" t="s">
        <v>15648</v>
      </c>
      <c r="D18" s="2" t="s">
        <v>0</v>
      </c>
      <c r="E18" s="13" t="s">
        <v>15652</v>
      </c>
      <c r="F18" s="13" t="s">
        <v>5540</v>
      </c>
      <c r="G18" s="13" t="s">
        <v>4856</v>
      </c>
    </row>
    <row r="19" ht="12.75" customHeight="1">
      <c r="A19" s="13" t="s">
        <v>1184</v>
      </c>
      <c r="B19" s="13" t="s">
        <v>16234</v>
      </c>
      <c r="C19" s="13" t="s">
        <v>16244</v>
      </c>
      <c r="D19" s="2" t="s">
        <v>0</v>
      </c>
      <c r="E19" s="13" t="s">
        <v>16245</v>
      </c>
      <c r="F19" s="13" t="s">
        <v>5540</v>
      </c>
      <c r="G19" s="13" t="s">
        <v>4852</v>
      </c>
    </row>
    <row r="20" ht="12.75" customHeight="1">
      <c r="A20" s="13" t="s">
        <v>17257</v>
      </c>
      <c r="B20" s="13" t="s">
        <v>17259</v>
      </c>
      <c r="C20" s="13" t="s">
        <v>17269</v>
      </c>
      <c r="D20" s="2" t="s">
        <v>0</v>
      </c>
      <c r="E20" s="13" t="s">
        <v>17271</v>
      </c>
      <c r="F20" s="13" t="s">
        <v>5540</v>
      </c>
      <c r="G20" s="13" t="s">
        <v>4856</v>
      </c>
    </row>
    <row r="21" ht="12.75" customHeight="1">
      <c r="A21" s="13" t="s">
        <v>18708</v>
      </c>
      <c r="B21" s="13" t="s">
        <v>18710</v>
      </c>
      <c r="C21" s="13" t="s">
        <v>18719</v>
      </c>
      <c r="D21" s="2" t="s">
        <v>0</v>
      </c>
      <c r="E21" s="13" t="s">
        <v>18721</v>
      </c>
      <c r="F21" s="13" t="s">
        <v>5540</v>
      </c>
      <c r="G21" s="13" t="s">
        <v>4856</v>
      </c>
    </row>
    <row r="22" ht="12.75" customHeight="1">
      <c r="A22" s="13" t="s">
        <v>695</v>
      </c>
      <c r="B22" s="13" t="s">
        <v>18779</v>
      </c>
      <c r="C22" s="13" t="s">
        <v>18790</v>
      </c>
      <c r="D22" s="2" t="s">
        <v>0</v>
      </c>
      <c r="E22" s="13" t="s">
        <v>18792</v>
      </c>
      <c r="F22" s="13" t="s">
        <v>5540</v>
      </c>
      <c r="G22" s="13" t="s">
        <v>4856</v>
      </c>
    </row>
    <row r="23" ht="12.75" customHeight="1">
      <c r="A23" s="13" t="s">
        <v>448</v>
      </c>
      <c r="B23" s="13" t="s">
        <v>19950</v>
      </c>
      <c r="C23" s="13" t="s">
        <v>19959</v>
      </c>
      <c r="D23" s="2" t="s">
        <v>0</v>
      </c>
      <c r="E23" s="13" t="s">
        <v>19961</v>
      </c>
      <c r="F23" s="13" t="s">
        <v>5540</v>
      </c>
      <c r="G23" s="13" t="s">
        <v>4856</v>
      </c>
    </row>
    <row r="24" ht="12.75" customHeight="1">
      <c r="A24" s="13" t="s">
        <v>20665</v>
      </c>
      <c r="B24" s="13" t="s">
        <v>20670</v>
      </c>
      <c r="C24" s="13" t="s">
        <v>20682</v>
      </c>
      <c r="D24" s="2" t="s">
        <v>0</v>
      </c>
      <c r="E24" s="13" t="s">
        <v>20686</v>
      </c>
      <c r="F24" s="13" t="s">
        <v>5540</v>
      </c>
      <c r="G24" s="13" t="s">
        <v>4856</v>
      </c>
    </row>
    <row r="25" ht="12.75" customHeight="1">
      <c r="A25" s="13" t="s">
        <v>249</v>
      </c>
      <c r="B25" s="13" t="s">
        <v>20944</v>
      </c>
      <c r="C25" s="13" t="s">
        <v>20958</v>
      </c>
      <c r="D25" s="2" t="s">
        <v>0</v>
      </c>
      <c r="E25" s="13" t="s">
        <v>20960</v>
      </c>
      <c r="F25" s="13" t="s">
        <v>5540</v>
      </c>
      <c r="G25" s="13" t="s">
        <v>4856</v>
      </c>
    </row>
    <row r="26" ht="12.75" customHeight="1">
      <c r="A26" s="13" t="s">
        <v>237</v>
      </c>
      <c r="B26" s="13" t="s">
        <v>20999</v>
      </c>
      <c r="C26" s="13" t="s">
        <v>21008</v>
      </c>
      <c r="D26" s="2" t="s">
        <v>0</v>
      </c>
      <c r="E26" s="13" t="s">
        <v>21012</v>
      </c>
      <c r="F26" s="13" t="s">
        <v>5540</v>
      </c>
      <c r="G26" s="13" t="s">
        <v>4856</v>
      </c>
    </row>
    <row r="27" ht="12.75" customHeight="1">
      <c r="A27" s="13" t="s">
        <v>3130</v>
      </c>
      <c r="B27" s="13" t="s">
        <v>5517</v>
      </c>
      <c r="C27" s="13" t="s">
        <v>5532</v>
      </c>
      <c r="D27" s="2" t="s">
        <v>0</v>
      </c>
      <c r="E27" s="13" t="s">
        <v>5539</v>
      </c>
      <c r="F27" s="13" t="s">
        <v>5540</v>
      </c>
      <c r="G27" s="13" t="s">
        <v>4856</v>
      </c>
      <c r="H27" s="53"/>
      <c r="I27" s="53"/>
    </row>
    <row r="28" ht="12.75" customHeight="1">
      <c r="A28" s="13" t="s">
        <v>3125</v>
      </c>
      <c r="B28" s="13" t="s">
        <v>5571</v>
      </c>
      <c r="C28" s="13" t="s">
        <v>5583</v>
      </c>
      <c r="D28" s="2" t="s">
        <v>0</v>
      </c>
      <c r="E28" s="13" t="s">
        <v>5588</v>
      </c>
      <c r="F28" s="13" t="s">
        <v>5540</v>
      </c>
      <c r="G28" s="13" t="s">
        <v>4856</v>
      </c>
    </row>
    <row r="29" ht="12.75" customHeight="1">
      <c r="A29" s="13" t="s">
        <v>5591</v>
      </c>
      <c r="B29" s="13" t="s">
        <v>5593</v>
      </c>
      <c r="C29" s="13" t="s">
        <v>5604</v>
      </c>
      <c r="D29" s="2" t="s">
        <v>0</v>
      </c>
      <c r="E29" s="13" t="s">
        <v>5606</v>
      </c>
      <c r="F29" s="13" t="s">
        <v>5540</v>
      </c>
      <c r="G29" s="13" t="s">
        <v>4856</v>
      </c>
    </row>
    <row r="30" ht="12.75" customHeight="1">
      <c r="A30" s="13" t="s">
        <v>3113</v>
      </c>
      <c r="B30" s="13" t="s">
        <v>5634</v>
      </c>
      <c r="C30" s="13" t="s">
        <v>5647</v>
      </c>
      <c r="D30" s="2" t="s">
        <v>0</v>
      </c>
      <c r="E30" s="13" t="s">
        <v>5652</v>
      </c>
      <c r="F30" s="13" t="s">
        <v>5540</v>
      </c>
      <c r="G30" s="13" t="s">
        <v>4856</v>
      </c>
    </row>
    <row r="31" ht="12.75" customHeight="1">
      <c r="A31" s="13" t="s">
        <v>3110</v>
      </c>
      <c r="B31" s="13" t="s">
        <v>5658</v>
      </c>
      <c r="C31" s="13" t="s">
        <v>5668</v>
      </c>
      <c r="D31" s="2" t="s">
        <v>0</v>
      </c>
      <c r="E31" s="13" t="s">
        <v>5673</v>
      </c>
      <c r="F31" s="13" t="s">
        <v>5540</v>
      </c>
      <c r="G31" s="13" t="s">
        <v>4856</v>
      </c>
    </row>
    <row r="32" ht="12.75" customHeight="1">
      <c r="A32" s="13" t="s">
        <v>5676</v>
      </c>
      <c r="B32" s="13" t="s">
        <v>5680</v>
      </c>
      <c r="C32" s="13" t="s">
        <v>5697</v>
      </c>
      <c r="D32" s="2" t="s">
        <v>0</v>
      </c>
      <c r="E32" s="13" t="s">
        <v>5701</v>
      </c>
      <c r="F32" s="13" t="s">
        <v>5540</v>
      </c>
      <c r="G32" s="13" t="s">
        <v>4856</v>
      </c>
    </row>
    <row r="33" ht="12.75" customHeight="1">
      <c r="A33" s="13" t="s">
        <v>3103</v>
      </c>
      <c r="B33" s="13" t="s">
        <v>5707</v>
      </c>
      <c r="C33" s="13" t="s">
        <v>5721</v>
      </c>
      <c r="D33" s="2" t="s">
        <v>0</v>
      </c>
      <c r="E33" s="13" t="s">
        <v>5724</v>
      </c>
      <c r="F33" s="13" t="s">
        <v>5540</v>
      </c>
      <c r="G33" s="13" t="s">
        <v>4856</v>
      </c>
    </row>
    <row r="34" ht="12.75" customHeight="1">
      <c r="A34" s="13" t="s">
        <v>5727</v>
      </c>
      <c r="B34" s="13" t="s">
        <v>5729</v>
      </c>
      <c r="C34" s="13" t="s">
        <v>5741</v>
      </c>
      <c r="D34" s="2" t="s">
        <v>0</v>
      </c>
      <c r="E34" s="13" t="s">
        <v>5743</v>
      </c>
      <c r="F34" s="13" t="s">
        <v>5540</v>
      </c>
      <c r="G34" s="13" t="s">
        <v>4856</v>
      </c>
    </row>
    <row r="35" ht="12.75" customHeight="1">
      <c r="A35" s="13" t="s">
        <v>3098</v>
      </c>
      <c r="B35" s="13" t="s">
        <v>5749</v>
      </c>
      <c r="C35" s="13" t="s">
        <v>5767</v>
      </c>
      <c r="D35" s="2" t="s">
        <v>0</v>
      </c>
      <c r="E35" s="13" t="s">
        <v>5770</v>
      </c>
      <c r="F35" s="13" t="s">
        <v>5540</v>
      </c>
      <c r="G35" s="13" t="s">
        <v>4856</v>
      </c>
    </row>
    <row r="36" ht="12.75" customHeight="1">
      <c r="A36" s="13" t="s">
        <v>5791</v>
      </c>
      <c r="B36" s="13" t="s">
        <v>5794</v>
      </c>
      <c r="C36" s="13" t="s">
        <v>5807</v>
      </c>
      <c r="D36" s="2" t="s">
        <v>0</v>
      </c>
      <c r="E36" s="13" t="s">
        <v>5810</v>
      </c>
      <c r="F36" s="13" t="s">
        <v>5540</v>
      </c>
      <c r="G36" s="13" t="s">
        <v>4864</v>
      </c>
    </row>
    <row r="37" ht="12.75" customHeight="1">
      <c r="A37" s="13" t="s">
        <v>3074</v>
      </c>
      <c r="B37" s="13" t="s">
        <v>5815</v>
      </c>
      <c r="C37" s="13" t="s">
        <v>5825</v>
      </c>
      <c r="D37" s="2" t="s">
        <v>0</v>
      </c>
      <c r="E37" s="13" t="s">
        <v>5827</v>
      </c>
      <c r="F37" s="13" t="s">
        <v>5540</v>
      </c>
      <c r="G37" s="13" t="s">
        <v>4856</v>
      </c>
    </row>
    <row r="38" ht="12.75" customHeight="1">
      <c r="A38" s="13" t="s">
        <v>5830</v>
      </c>
      <c r="B38" s="13" t="s">
        <v>5832</v>
      </c>
      <c r="C38" s="13" t="s">
        <v>5844</v>
      </c>
      <c r="D38" s="2" t="s">
        <v>0</v>
      </c>
      <c r="E38" s="13" t="s">
        <v>5846</v>
      </c>
      <c r="F38" s="13" t="s">
        <v>5540</v>
      </c>
      <c r="G38" s="13" t="s">
        <v>4864</v>
      </c>
    </row>
    <row r="39" ht="12.75" customHeight="1">
      <c r="A39" s="13" t="s">
        <v>3062</v>
      </c>
      <c r="B39" s="13" t="s">
        <v>5852</v>
      </c>
      <c r="C39" s="13" t="s">
        <v>5867</v>
      </c>
      <c r="D39" s="2" t="s">
        <v>0</v>
      </c>
      <c r="E39" s="13" t="s">
        <v>5873</v>
      </c>
      <c r="F39" s="13" t="s">
        <v>5540</v>
      </c>
      <c r="G39" s="13" t="s">
        <v>4852</v>
      </c>
    </row>
    <row r="40" ht="12.75" customHeight="1">
      <c r="A40" s="13" t="s">
        <v>3060</v>
      </c>
      <c r="B40" s="13" t="s">
        <v>5878</v>
      </c>
      <c r="C40" s="13" t="s">
        <v>5889</v>
      </c>
      <c r="D40" s="2" t="s">
        <v>0</v>
      </c>
      <c r="E40" s="13" t="s">
        <v>5891</v>
      </c>
      <c r="F40" s="13" t="s">
        <v>5540</v>
      </c>
      <c r="G40" s="13" t="s">
        <v>4856</v>
      </c>
    </row>
    <row r="41" ht="12.75" customHeight="1">
      <c r="A41" s="13" t="s">
        <v>5894</v>
      </c>
      <c r="B41" s="13" t="s">
        <v>5898</v>
      </c>
      <c r="C41" s="13" t="s">
        <v>5914</v>
      </c>
      <c r="D41" s="2" t="s">
        <v>0</v>
      </c>
      <c r="E41" s="13" t="s">
        <v>5916</v>
      </c>
      <c r="F41" s="13" t="s">
        <v>5540</v>
      </c>
      <c r="G41" s="13" t="s">
        <v>4864</v>
      </c>
    </row>
    <row r="42" ht="12.75" customHeight="1">
      <c r="A42" s="13" t="s">
        <v>3051</v>
      </c>
      <c r="B42" s="13" t="s">
        <v>5922</v>
      </c>
      <c r="C42" s="13" t="s">
        <v>5938</v>
      </c>
      <c r="D42" s="2" t="s">
        <v>0</v>
      </c>
      <c r="E42" s="13" t="s">
        <v>5940</v>
      </c>
      <c r="F42" s="13" t="s">
        <v>5540</v>
      </c>
      <c r="G42" s="13" t="s">
        <v>4856</v>
      </c>
    </row>
    <row r="43" ht="12.75" customHeight="1">
      <c r="A43" s="13" t="s">
        <v>3048</v>
      </c>
      <c r="B43" s="13" t="s">
        <v>5946</v>
      </c>
      <c r="C43" s="13" t="s">
        <v>5957</v>
      </c>
      <c r="D43" s="2" t="s">
        <v>0</v>
      </c>
      <c r="E43" s="13" t="s">
        <v>5960</v>
      </c>
      <c r="F43" s="13" t="s">
        <v>5540</v>
      </c>
      <c r="G43" s="13" t="s">
        <v>4856</v>
      </c>
    </row>
    <row r="44" ht="12.75" customHeight="1">
      <c r="A44" s="13" t="s">
        <v>5984</v>
      </c>
      <c r="B44" s="13" t="s">
        <v>5988</v>
      </c>
      <c r="C44" s="13" t="s">
        <v>6003</v>
      </c>
      <c r="D44" s="2" t="s">
        <v>0</v>
      </c>
      <c r="E44" s="13" t="s">
        <v>6005</v>
      </c>
      <c r="F44" s="13" t="s">
        <v>5540</v>
      </c>
      <c r="G44" s="13" t="s">
        <v>4856</v>
      </c>
    </row>
    <row r="45" ht="12.75" customHeight="1">
      <c r="A45" s="13" t="s">
        <v>3038</v>
      </c>
      <c r="B45" s="13" t="s">
        <v>6011</v>
      </c>
      <c r="C45" s="13" t="s">
        <v>6024</v>
      </c>
      <c r="D45" s="2" t="s">
        <v>0</v>
      </c>
      <c r="E45" s="13" t="s">
        <v>6029</v>
      </c>
      <c r="F45" s="13" t="s">
        <v>5540</v>
      </c>
      <c r="G45" s="13" t="s">
        <v>4864</v>
      </c>
    </row>
    <row r="46" ht="12.75" customHeight="1">
      <c r="A46" s="13" t="s">
        <v>6056</v>
      </c>
      <c r="B46" s="13" t="s">
        <v>6058</v>
      </c>
      <c r="C46" s="13" t="s">
        <v>6070</v>
      </c>
      <c r="D46" s="2" t="s">
        <v>0</v>
      </c>
      <c r="E46" s="13" t="s">
        <v>6072</v>
      </c>
      <c r="F46" s="13" t="s">
        <v>5540</v>
      </c>
      <c r="G46" s="13" t="s">
        <v>4856</v>
      </c>
    </row>
    <row r="47" ht="12.75" customHeight="1">
      <c r="A47" s="13" t="s">
        <v>3028</v>
      </c>
      <c r="B47" s="13" t="s">
        <v>6099</v>
      </c>
      <c r="C47" s="13" t="s">
        <v>6109</v>
      </c>
      <c r="D47" s="2" t="s">
        <v>0</v>
      </c>
      <c r="E47" s="13" t="s">
        <v>6111</v>
      </c>
      <c r="F47" s="13" t="s">
        <v>5540</v>
      </c>
      <c r="G47" s="13" t="s">
        <v>4864</v>
      </c>
    </row>
    <row r="48" ht="12.75" customHeight="1">
      <c r="A48" s="13" t="s">
        <v>3026</v>
      </c>
      <c r="B48" s="13" t="s">
        <v>6117</v>
      </c>
      <c r="C48" s="13" t="s">
        <v>6132</v>
      </c>
      <c r="D48" s="2" t="s">
        <v>0</v>
      </c>
      <c r="E48" s="13" t="s">
        <v>6135</v>
      </c>
      <c r="F48" s="13" t="s">
        <v>5540</v>
      </c>
      <c r="G48" s="13" t="s">
        <v>4864</v>
      </c>
    </row>
    <row r="49" ht="12.75" customHeight="1">
      <c r="A49" s="13" t="s">
        <v>3023</v>
      </c>
      <c r="B49" s="13" t="s">
        <v>6140</v>
      </c>
      <c r="C49" s="13" t="s">
        <v>6150</v>
      </c>
      <c r="D49" s="2" t="s">
        <v>0</v>
      </c>
      <c r="E49" s="13" t="s">
        <v>6152</v>
      </c>
      <c r="F49" s="13" t="s">
        <v>5540</v>
      </c>
      <c r="G49" s="13" t="s">
        <v>4856</v>
      </c>
    </row>
    <row r="50" ht="12.75" customHeight="1">
      <c r="A50" s="2" t="s">
        <v>3019</v>
      </c>
      <c r="B50" s="13" t="s">
        <v>5510</v>
      </c>
      <c r="C50" s="13" t="s">
        <v>6177</v>
      </c>
      <c r="D50" s="2" t="s">
        <v>0</v>
      </c>
      <c r="E50" s="13" t="s">
        <v>6179</v>
      </c>
      <c r="F50" s="13" t="s">
        <v>5540</v>
      </c>
      <c r="G50" s="13" t="s">
        <v>4856</v>
      </c>
    </row>
    <row r="51" ht="12.75" customHeight="1">
      <c r="A51" s="13" t="s">
        <v>3019</v>
      </c>
      <c r="B51" s="13" t="s">
        <v>6182</v>
      </c>
      <c r="C51" s="13" t="s">
        <v>6190</v>
      </c>
      <c r="D51" s="2" t="s">
        <v>0</v>
      </c>
      <c r="E51" s="13" t="s">
        <v>6192</v>
      </c>
      <c r="F51" s="13" t="s">
        <v>5540</v>
      </c>
      <c r="G51" s="13" t="s">
        <v>4856</v>
      </c>
    </row>
    <row r="52" ht="12.75" customHeight="1">
      <c r="A52" s="13" t="s">
        <v>3013</v>
      </c>
      <c r="B52" s="13" t="s">
        <v>6215</v>
      </c>
      <c r="C52" s="13" t="s">
        <v>6229</v>
      </c>
      <c r="D52" s="2" t="s">
        <v>0</v>
      </c>
      <c r="E52" s="13" t="s">
        <v>6231</v>
      </c>
      <c r="F52" s="13" t="s">
        <v>5540</v>
      </c>
      <c r="G52" s="13" t="s">
        <v>4856</v>
      </c>
    </row>
    <row r="53" ht="12.75" customHeight="1">
      <c r="A53" s="13" t="s">
        <v>6236</v>
      </c>
      <c r="B53" s="13" t="s">
        <v>6243</v>
      </c>
      <c r="E53" s="13" t="s">
        <v>6258</v>
      </c>
      <c r="F53" s="13" t="s">
        <v>5540</v>
      </c>
      <c r="G53" s="13" t="s">
        <v>4852</v>
      </c>
    </row>
    <row r="54" ht="12.75" customHeight="1">
      <c r="A54" s="13" t="s">
        <v>3008</v>
      </c>
      <c r="B54" s="13" t="s">
        <v>6262</v>
      </c>
      <c r="C54" s="13" t="s">
        <v>6274</v>
      </c>
      <c r="E54" s="13" t="s">
        <v>6276</v>
      </c>
      <c r="F54" s="13" t="s">
        <v>5540</v>
      </c>
      <c r="G54" s="13" t="s">
        <v>4864</v>
      </c>
    </row>
    <row r="55" ht="12.75" customHeight="1">
      <c r="A55" s="13" t="s">
        <v>2996</v>
      </c>
      <c r="B55" s="13" t="s">
        <v>6336</v>
      </c>
      <c r="C55" s="13" t="s">
        <v>6346</v>
      </c>
      <c r="E55" s="13" t="s">
        <v>6348</v>
      </c>
      <c r="F55" s="13" t="s">
        <v>5540</v>
      </c>
      <c r="G55" s="13" t="s">
        <v>4864</v>
      </c>
    </row>
    <row r="56" ht="12.75" customHeight="1">
      <c r="A56" s="13" t="s">
        <v>2983</v>
      </c>
      <c r="B56" s="13" t="s">
        <v>6393</v>
      </c>
      <c r="C56" s="13" t="s">
        <v>6402</v>
      </c>
      <c r="E56" s="13" t="s">
        <v>6404</v>
      </c>
      <c r="F56" s="13" t="s">
        <v>5540</v>
      </c>
      <c r="G56" s="13" t="s">
        <v>4864</v>
      </c>
    </row>
    <row r="57" ht="12.75" customHeight="1">
      <c r="A57" s="13" t="s">
        <v>2973</v>
      </c>
      <c r="B57" s="13" t="s">
        <v>6429</v>
      </c>
      <c r="C57" s="13" t="s">
        <v>6440</v>
      </c>
      <c r="E57" s="13" t="s">
        <v>6442</v>
      </c>
      <c r="F57" s="13" t="s">
        <v>5540</v>
      </c>
      <c r="G57" s="13" t="s">
        <v>4856</v>
      </c>
    </row>
    <row r="58" ht="12.75" customHeight="1">
      <c r="A58" s="13" t="s">
        <v>2966</v>
      </c>
      <c r="B58" s="13" t="s">
        <v>6472</v>
      </c>
      <c r="C58" s="13" t="s">
        <v>6486</v>
      </c>
      <c r="E58" s="13" t="s">
        <v>6490</v>
      </c>
      <c r="F58" s="13" t="s">
        <v>5540</v>
      </c>
      <c r="G58" s="13" t="s">
        <v>4886</v>
      </c>
    </row>
    <row r="59" ht="12.75" customHeight="1">
      <c r="A59" s="13" t="s">
        <v>6492</v>
      </c>
      <c r="B59" s="13" t="s">
        <v>6496</v>
      </c>
      <c r="C59" s="13" t="s">
        <v>6507</v>
      </c>
      <c r="E59" s="13" t="s">
        <v>6510</v>
      </c>
      <c r="F59" s="13" t="s">
        <v>5540</v>
      </c>
      <c r="G59" s="13" t="s">
        <v>4864</v>
      </c>
    </row>
    <row r="60" ht="12.75" customHeight="1">
      <c r="A60" s="13" t="s">
        <v>2961</v>
      </c>
      <c r="B60" s="13" t="s">
        <v>6515</v>
      </c>
      <c r="C60" s="13" t="s">
        <v>6523</v>
      </c>
      <c r="E60" s="13" t="s">
        <v>6525</v>
      </c>
      <c r="F60" s="13" t="s">
        <v>5540</v>
      </c>
      <c r="G60" s="13" t="s">
        <v>4856</v>
      </c>
    </row>
    <row r="61" ht="12.75" customHeight="1">
      <c r="A61" s="13" t="s">
        <v>2954</v>
      </c>
      <c r="B61" s="13" t="s">
        <v>6535</v>
      </c>
      <c r="C61" s="13" t="s">
        <v>6549</v>
      </c>
      <c r="E61" s="13" t="s">
        <v>6553</v>
      </c>
      <c r="F61" s="13" t="s">
        <v>5540</v>
      </c>
      <c r="G61" s="13" t="s">
        <v>4864</v>
      </c>
    </row>
    <row r="62" ht="12.75" customHeight="1">
      <c r="A62" s="13" t="s">
        <v>2951</v>
      </c>
      <c r="B62" s="13" t="s">
        <v>6558</v>
      </c>
      <c r="C62" s="13" t="s">
        <v>6567</v>
      </c>
      <c r="E62" s="13" t="s">
        <v>6569</v>
      </c>
      <c r="F62" s="13" t="s">
        <v>5540</v>
      </c>
      <c r="G62" s="13" t="s">
        <v>4864</v>
      </c>
    </row>
    <row r="63" ht="12.75" customHeight="1">
      <c r="A63" s="13" t="s">
        <v>2948</v>
      </c>
      <c r="B63" s="13" t="s">
        <v>6574</v>
      </c>
      <c r="C63" s="13" t="s">
        <v>6584</v>
      </c>
      <c r="E63" s="13" t="s">
        <v>6587</v>
      </c>
      <c r="F63" s="13" t="s">
        <v>5540</v>
      </c>
      <c r="G63" s="13" t="s">
        <v>4856</v>
      </c>
    </row>
    <row r="64" ht="12.75" customHeight="1">
      <c r="A64" s="13" t="s">
        <v>2937</v>
      </c>
      <c r="B64" s="13" t="s">
        <v>6609</v>
      </c>
      <c r="C64" s="13" t="s">
        <v>6621</v>
      </c>
      <c r="E64" s="13" t="s">
        <v>6624</v>
      </c>
      <c r="F64" s="13" t="s">
        <v>5540</v>
      </c>
      <c r="G64" s="13" t="s">
        <v>4856</v>
      </c>
    </row>
    <row r="65" ht="12.75" customHeight="1">
      <c r="A65" s="13" t="s">
        <v>6649</v>
      </c>
      <c r="B65" s="13" t="s">
        <v>6653</v>
      </c>
      <c r="C65" s="13" t="s">
        <v>6668</v>
      </c>
      <c r="E65" s="13" t="s">
        <v>6672</v>
      </c>
      <c r="F65" s="13" t="s">
        <v>5540</v>
      </c>
      <c r="G65" s="13" t="s">
        <v>4864</v>
      </c>
    </row>
    <row r="66" ht="12.75" customHeight="1">
      <c r="A66" s="13" t="s">
        <v>2927</v>
      </c>
      <c r="B66" s="13" t="s">
        <v>6677</v>
      </c>
      <c r="C66" s="13" t="s">
        <v>6686</v>
      </c>
      <c r="E66" s="13" t="s">
        <v>6688</v>
      </c>
      <c r="F66" s="13" t="s">
        <v>5540</v>
      </c>
      <c r="G66" s="13" t="s">
        <v>4864</v>
      </c>
    </row>
    <row r="67" ht="12.75" customHeight="1">
      <c r="A67" s="13" t="s">
        <v>2924</v>
      </c>
      <c r="B67" s="13" t="s">
        <v>6693</v>
      </c>
      <c r="C67" s="13" t="s">
        <v>6699</v>
      </c>
      <c r="E67" s="13" t="s">
        <v>6701</v>
      </c>
      <c r="F67" s="13" t="s">
        <v>5540</v>
      </c>
      <c r="G67" s="13" t="s">
        <v>4852</v>
      </c>
    </row>
    <row r="68" ht="12.75" customHeight="1">
      <c r="A68" s="13" t="s">
        <v>2922</v>
      </c>
      <c r="B68" s="13" t="s">
        <v>6707</v>
      </c>
      <c r="C68" s="13" t="s">
        <v>6722</v>
      </c>
      <c r="E68" s="13" t="s">
        <v>6726</v>
      </c>
      <c r="F68" s="13" t="s">
        <v>5540</v>
      </c>
      <c r="G68" s="13" t="s">
        <v>4856</v>
      </c>
    </row>
    <row r="69" ht="12.75" customHeight="1">
      <c r="A69" s="13" t="s">
        <v>2919</v>
      </c>
      <c r="B69" s="13" t="s">
        <v>6731</v>
      </c>
      <c r="C69" s="13" t="s">
        <v>6741</v>
      </c>
      <c r="E69" s="13" t="s">
        <v>6743</v>
      </c>
      <c r="F69" s="13" t="s">
        <v>5540</v>
      </c>
      <c r="G69" s="13" t="s">
        <v>4856</v>
      </c>
    </row>
    <row r="70" ht="12.75" customHeight="1">
      <c r="A70" s="13" t="s">
        <v>2916</v>
      </c>
      <c r="B70" s="13" t="s">
        <v>6748</v>
      </c>
      <c r="C70" s="13" t="s">
        <v>6759</v>
      </c>
      <c r="E70" s="13" t="s">
        <v>6761</v>
      </c>
      <c r="F70" s="13" t="s">
        <v>5540</v>
      </c>
      <c r="G70" s="13" t="s">
        <v>4864</v>
      </c>
    </row>
    <row r="71" ht="12.75" customHeight="1">
      <c r="A71" s="13" t="s">
        <v>2911</v>
      </c>
      <c r="B71" s="13" t="s">
        <v>6767</v>
      </c>
      <c r="C71" s="13" t="s">
        <v>6781</v>
      </c>
      <c r="E71" s="13" t="s">
        <v>6783</v>
      </c>
      <c r="F71" s="13" t="s">
        <v>5540</v>
      </c>
      <c r="G71" s="13" t="s">
        <v>4852</v>
      </c>
    </row>
    <row r="72" ht="12.75" customHeight="1">
      <c r="A72" s="13" t="s">
        <v>2908</v>
      </c>
      <c r="B72" s="13" t="s">
        <v>6789</v>
      </c>
      <c r="C72" s="13" t="s">
        <v>6798</v>
      </c>
      <c r="E72" s="13" t="s">
        <v>6800</v>
      </c>
      <c r="F72" s="13" t="s">
        <v>5540</v>
      </c>
      <c r="G72" s="13" t="s">
        <v>4852</v>
      </c>
    </row>
    <row r="73" ht="12.75" customHeight="1">
      <c r="A73" s="13" t="s">
        <v>2905</v>
      </c>
      <c r="B73" s="13" t="s">
        <v>6805</v>
      </c>
      <c r="C73" s="13" t="s">
        <v>6814</v>
      </c>
      <c r="E73" s="13" t="s">
        <v>6816</v>
      </c>
      <c r="F73" s="13" t="s">
        <v>5540</v>
      </c>
      <c r="G73" s="13" t="s">
        <v>4864</v>
      </c>
    </row>
    <row r="74" ht="12.75" customHeight="1">
      <c r="A74" s="13" t="s">
        <v>6835</v>
      </c>
      <c r="B74" s="13" t="s">
        <v>6839</v>
      </c>
      <c r="C74" s="13" t="s">
        <v>6854</v>
      </c>
      <c r="E74" s="13" t="s">
        <v>6857</v>
      </c>
      <c r="F74" s="13" t="s">
        <v>5540</v>
      </c>
      <c r="G74" s="13" t="s">
        <v>4856</v>
      </c>
    </row>
    <row r="75" ht="12.75" customHeight="1">
      <c r="A75" s="13" t="s">
        <v>2896</v>
      </c>
      <c r="B75" s="13" t="s">
        <v>6862</v>
      </c>
      <c r="C75" s="13" t="s">
        <v>6872</v>
      </c>
      <c r="E75" s="13" t="s">
        <v>6874</v>
      </c>
      <c r="F75" s="13" t="s">
        <v>5540</v>
      </c>
      <c r="G75" s="13" t="s">
        <v>4852</v>
      </c>
    </row>
    <row r="76" ht="12.75" customHeight="1">
      <c r="A76" s="13" t="s">
        <v>2882</v>
      </c>
      <c r="B76" s="13" t="s">
        <v>6925</v>
      </c>
      <c r="C76" s="13" t="s">
        <v>6938</v>
      </c>
      <c r="E76" s="13" t="s">
        <v>6942</v>
      </c>
      <c r="F76" s="13" t="s">
        <v>5540</v>
      </c>
      <c r="G76" s="13" t="s">
        <v>4856</v>
      </c>
    </row>
    <row r="77" ht="12.75" customHeight="1">
      <c r="A77" s="13" t="s">
        <v>2880</v>
      </c>
      <c r="B77" s="13" t="s">
        <v>6946</v>
      </c>
      <c r="C77" s="13" t="s">
        <v>6958</v>
      </c>
      <c r="E77" s="13" t="s">
        <v>6960</v>
      </c>
      <c r="F77" s="13" t="s">
        <v>5540</v>
      </c>
      <c r="G77" s="13" t="s">
        <v>4864</v>
      </c>
    </row>
    <row r="78" ht="12.75" customHeight="1">
      <c r="A78" s="13" t="s">
        <v>2874</v>
      </c>
      <c r="B78" s="13" t="s">
        <v>6966</v>
      </c>
      <c r="C78" s="13" t="s">
        <v>6978</v>
      </c>
      <c r="E78" s="13" t="s">
        <v>6982</v>
      </c>
      <c r="F78" s="13" t="s">
        <v>5540</v>
      </c>
      <c r="G78" s="13" t="s">
        <v>4856</v>
      </c>
    </row>
    <row r="79" ht="12.75" customHeight="1">
      <c r="A79" s="13" t="s">
        <v>6985</v>
      </c>
      <c r="B79" s="13" t="s">
        <v>6987</v>
      </c>
      <c r="C79" s="13" t="s">
        <v>6999</v>
      </c>
      <c r="E79" s="13" t="s">
        <v>7001</v>
      </c>
      <c r="F79" s="13" t="s">
        <v>5540</v>
      </c>
      <c r="G79" s="13" t="s">
        <v>4864</v>
      </c>
    </row>
    <row r="80" ht="12.75" customHeight="1">
      <c r="A80" s="13" t="s">
        <v>2862</v>
      </c>
      <c r="B80" s="13" t="s">
        <v>7055</v>
      </c>
      <c r="C80" s="13" t="s">
        <v>7071</v>
      </c>
      <c r="E80" s="13" t="s">
        <v>7073</v>
      </c>
      <c r="F80" s="13" t="s">
        <v>5540</v>
      </c>
      <c r="G80" s="13" t="s">
        <v>4856</v>
      </c>
    </row>
    <row r="81" ht="12.75" customHeight="1">
      <c r="A81" s="13" t="s">
        <v>2859</v>
      </c>
      <c r="B81" s="13" t="s">
        <v>7079</v>
      </c>
      <c r="C81" s="13" t="s">
        <v>7095</v>
      </c>
      <c r="E81" s="13" t="s">
        <v>7099</v>
      </c>
      <c r="F81" s="13" t="s">
        <v>5540</v>
      </c>
      <c r="G81" s="13" t="s">
        <v>4856</v>
      </c>
    </row>
    <row r="82" ht="12.75" customHeight="1">
      <c r="A82" s="13" t="s">
        <v>2856</v>
      </c>
      <c r="B82" s="13" t="s">
        <v>7104</v>
      </c>
      <c r="C82" s="13" t="s">
        <v>7114</v>
      </c>
      <c r="E82" s="13" t="s">
        <v>7116</v>
      </c>
      <c r="F82" s="13" t="s">
        <v>5540</v>
      </c>
      <c r="G82" s="13" t="s">
        <v>4856</v>
      </c>
    </row>
    <row r="83" ht="12.75" customHeight="1">
      <c r="A83" s="13" t="s">
        <v>2853</v>
      </c>
      <c r="B83" s="13" t="s">
        <v>7122</v>
      </c>
      <c r="C83" s="13" t="s">
        <v>7135</v>
      </c>
      <c r="E83" s="13" t="s">
        <v>7137</v>
      </c>
      <c r="F83" s="13" t="s">
        <v>5540</v>
      </c>
      <c r="G83" s="13" t="s">
        <v>4864</v>
      </c>
    </row>
    <row r="84" ht="12.75" customHeight="1">
      <c r="A84" s="13" t="s">
        <v>2850</v>
      </c>
      <c r="B84" s="13" t="s">
        <v>7141</v>
      </c>
      <c r="C84" s="13" t="s">
        <v>7152</v>
      </c>
      <c r="E84" s="13" t="s">
        <v>7154</v>
      </c>
      <c r="F84" s="13" t="s">
        <v>5540</v>
      </c>
      <c r="G84" s="13" t="s">
        <v>4856</v>
      </c>
    </row>
    <row r="85" ht="12.75" customHeight="1">
      <c r="A85" s="13" t="s">
        <v>2846</v>
      </c>
      <c r="B85" s="13" t="s">
        <v>7158</v>
      </c>
      <c r="C85" s="13" t="s">
        <v>7169</v>
      </c>
      <c r="E85" s="13" t="s">
        <v>7171</v>
      </c>
      <c r="F85" s="13" t="s">
        <v>5540</v>
      </c>
      <c r="G85" s="13" t="s">
        <v>4856</v>
      </c>
    </row>
    <row r="86" ht="12.75" customHeight="1">
      <c r="A86" s="13" t="s">
        <v>2842</v>
      </c>
      <c r="B86" s="13" t="s">
        <v>7176</v>
      </c>
      <c r="C86" s="13" t="s">
        <v>7187</v>
      </c>
      <c r="E86" s="13" t="s">
        <v>7189</v>
      </c>
      <c r="F86" s="13" t="s">
        <v>5540</v>
      </c>
      <c r="G86" s="13" t="s">
        <v>4856</v>
      </c>
    </row>
    <row r="87" ht="12.75" customHeight="1">
      <c r="A87" s="13" t="s">
        <v>7192</v>
      </c>
      <c r="B87" s="13" t="s">
        <v>7196</v>
      </c>
      <c r="C87" s="13" t="s">
        <v>7207</v>
      </c>
      <c r="E87" s="13" t="s">
        <v>7209</v>
      </c>
      <c r="F87" s="13" t="s">
        <v>5540</v>
      </c>
      <c r="G87" s="13" t="s">
        <v>4852</v>
      </c>
    </row>
    <row r="88" ht="12.75" customHeight="1">
      <c r="A88" s="13" t="s">
        <v>2833</v>
      </c>
      <c r="B88" s="13" t="s">
        <v>7237</v>
      </c>
      <c r="C88" s="13" t="s">
        <v>7246</v>
      </c>
      <c r="E88" s="13" t="s">
        <v>7247</v>
      </c>
      <c r="F88" s="13" t="s">
        <v>5540</v>
      </c>
      <c r="G88" s="13" t="s">
        <v>4856</v>
      </c>
    </row>
    <row r="89" ht="12.75" customHeight="1">
      <c r="A89" s="13" t="s">
        <v>2831</v>
      </c>
      <c r="B89" s="13" t="s">
        <v>7252</v>
      </c>
      <c r="C89" s="13" t="s">
        <v>7261</v>
      </c>
      <c r="E89" s="13" t="s">
        <v>7263</v>
      </c>
      <c r="F89" s="13" t="s">
        <v>5540</v>
      </c>
      <c r="G89" s="13" t="s">
        <v>4852</v>
      </c>
    </row>
    <row r="90" ht="12.75" customHeight="1">
      <c r="A90" s="13" t="s">
        <v>2829</v>
      </c>
      <c r="B90" s="13" t="s">
        <v>7268</v>
      </c>
      <c r="C90" s="13" t="s">
        <v>7277</v>
      </c>
      <c r="E90" s="13" t="s">
        <v>7279</v>
      </c>
      <c r="F90" s="13" t="s">
        <v>5540</v>
      </c>
      <c r="G90" s="13" t="s">
        <v>4856</v>
      </c>
    </row>
    <row r="91" ht="12.75" customHeight="1">
      <c r="A91" s="13" t="s">
        <v>2826</v>
      </c>
      <c r="B91" s="13" t="s">
        <v>7284</v>
      </c>
      <c r="C91" s="13" t="s">
        <v>7294</v>
      </c>
      <c r="E91" s="13" t="s">
        <v>7296</v>
      </c>
      <c r="F91" s="13" t="s">
        <v>5540</v>
      </c>
      <c r="G91" s="13" t="s">
        <v>4856</v>
      </c>
    </row>
    <row r="92" ht="12.75" customHeight="1">
      <c r="A92" s="13" t="s">
        <v>7299</v>
      </c>
      <c r="B92" s="13" t="s">
        <v>7303</v>
      </c>
      <c r="C92" s="13" t="s">
        <v>7316</v>
      </c>
      <c r="E92" s="13" t="s">
        <v>7320</v>
      </c>
      <c r="F92" s="13" t="s">
        <v>5540</v>
      </c>
      <c r="G92" s="13" t="s">
        <v>4856</v>
      </c>
    </row>
    <row r="93" ht="12.75" customHeight="1">
      <c r="A93" s="13" t="s">
        <v>2820</v>
      </c>
      <c r="B93" s="13" t="s">
        <v>7325</v>
      </c>
      <c r="C93" s="13" t="s">
        <v>7331</v>
      </c>
      <c r="E93" s="13" t="s">
        <v>7333</v>
      </c>
      <c r="F93" s="13" t="s">
        <v>5540</v>
      </c>
      <c r="G93" s="13" t="s">
        <v>4856</v>
      </c>
    </row>
    <row r="94" ht="12.75" customHeight="1">
      <c r="A94" s="13" t="s">
        <v>7336</v>
      </c>
      <c r="B94" s="13" t="s">
        <v>7339</v>
      </c>
      <c r="C94" s="13" t="s">
        <v>7350</v>
      </c>
      <c r="E94" s="13" t="s">
        <v>7352</v>
      </c>
      <c r="F94" s="13" t="s">
        <v>5540</v>
      </c>
      <c r="G94" s="13" t="s">
        <v>4856</v>
      </c>
    </row>
    <row r="95" ht="12.75" customHeight="1">
      <c r="A95" s="13" t="s">
        <v>7355</v>
      </c>
      <c r="B95" s="13" t="s">
        <v>7357</v>
      </c>
      <c r="C95" s="13" t="s">
        <v>7367</v>
      </c>
      <c r="E95" s="13" t="s">
        <v>7369</v>
      </c>
      <c r="F95" s="13" t="s">
        <v>5540</v>
      </c>
      <c r="G95" s="13" t="s">
        <v>4856</v>
      </c>
    </row>
    <row r="96" ht="12.75" customHeight="1">
      <c r="A96" s="13" t="s">
        <v>2812</v>
      </c>
      <c r="B96" s="13" t="s">
        <v>7375</v>
      </c>
      <c r="C96" s="13" t="s">
        <v>7393</v>
      </c>
      <c r="E96" s="13" t="s">
        <v>7396</v>
      </c>
      <c r="F96" s="13" t="s">
        <v>5540</v>
      </c>
      <c r="G96" s="13" t="s">
        <v>4856</v>
      </c>
    </row>
    <row r="97" ht="12.75" customHeight="1">
      <c r="A97" s="2" t="s">
        <v>2810</v>
      </c>
      <c r="B97" s="13" t="s">
        <v>7400</v>
      </c>
      <c r="C97" s="13" t="s">
        <v>7411</v>
      </c>
      <c r="E97" s="13" t="s">
        <v>7413</v>
      </c>
      <c r="F97" s="13" t="s">
        <v>5540</v>
      </c>
      <c r="G97" s="13" t="s">
        <v>4864</v>
      </c>
    </row>
    <row r="98" ht="12.75" customHeight="1">
      <c r="A98" s="13" t="s">
        <v>2806</v>
      </c>
      <c r="B98" s="13" t="s">
        <v>7419</v>
      </c>
      <c r="C98" s="13" t="s">
        <v>7433</v>
      </c>
      <c r="E98" s="13" t="s">
        <v>7437</v>
      </c>
      <c r="F98" s="13" t="s">
        <v>5540</v>
      </c>
      <c r="G98" s="13" t="s">
        <v>4852</v>
      </c>
    </row>
    <row r="99" ht="12.75" customHeight="1">
      <c r="A99" s="13" t="s">
        <v>2802</v>
      </c>
      <c r="B99" s="13" t="s">
        <v>7443</v>
      </c>
      <c r="C99" s="13" t="s">
        <v>7457</v>
      </c>
      <c r="E99" s="13" t="s">
        <v>7460</v>
      </c>
      <c r="F99" s="13" t="s">
        <v>5540</v>
      </c>
      <c r="G99" s="13" t="s">
        <v>4864</v>
      </c>
    </row>
    <row r="100" ht="12.75" customHeight="1">
      <c r="A100" s="13" t="s">
        <v>2800</v>
      </c>
      <c r="B100" s="13" t="s">
        <v>7465</v>
      </c>
      <c r="C100" s="13" t="s">
        <v>7472</v>
      </c>
      <c r="E100" s="13" t="s">
        <v>7474</v>
      </c>
      <c r="F100" s="13" t="s">
        <v>5540</v>
      </c>
      <c r="G100" s="13" t="s">
        <v>4856</v>
      </c>
    </row>
    <row r="101" ht="12.75" customHeight="1">
      <c r="A101" s="13" t="s">
        <v>2797</v>
      </c>
      <c r="B101" s="13" t="s">
        <v>7479</v>
      </c>
      <c r="C101" s="13" t="s">
        <v>7488</v>
      </c>
      <c r="E101" s="13" t="s">
        <v>7489</v>
      </c>
      <c r="F101" s="13" t="s">
        <v>5540</v>
      </c>
      <c r="G101" s="13" t="s">
        <v>4856</v>
      </c>
    </row>
    <row r="102" ht="12.75" customHeight="1">
      <c r="A102" s="13" t="s">
        <v>2791</v>
      </c>
      <c r="B102" s="13" t="s">
        <v>7520</v>
      </c>
      <c r="C102" s="13" t="s">
        <v>7528</v>
      </c>
      <c r="E102" s="13" t="s">
        <v>7530</v>
      </c>
      <c r="F102" s="13" t="s">
        <v>5540</v>
      </c>
      <c r="G102" s="13" t="s">
        <v>4856</v>
      </c>
    </row>
    <row r="103" ht="12.75" customHeight="1">
      <c r="A103" s="13" t="s">
        <v>2787</v>
      </c>
      <c r="B103" s="13" t="s">
        <v>7535</v>
      </c>
      <c r="C103" s="13" t="s">
        <v>7545</v>
      </c>
      <c r="E103" s="13" t="s">
        <v>7547</v>
      </c>
      <c r="F103" s="13" t="s">
        <v>5540</v>
      </c>
      <c r="G103" s="13" t="s">
        <v>4856</v>
      </c>
    </row>
    <row r="104" ht="12.75" customHeight="1">
      <c r="A104" s="13" t="s">
        <v>2783</v>
      </c>
      <c r="B104" s="13" t="s">
        <v>7552</v>
      </c>
      <c r="C104" s="13" t="s">
        <v>7561</v>
      </c>
      <c r="E104" s="13" t="s">
        <v>7565</v>
      </c>
      <c r="F104" s="13" t="s">
        <v>5540</v>
      </c>
      <c r="G104" s="13" t="s">
        <v>4856</v>
      </c>
    </row>
    <row r="105" ht="12.75" customHeight="1">
      <c r="A105" s="13" t="s">
        <v>2779</v>
      </c>
      <c r="B105" s="13" t="s">
        <v>7596</v>
      </c>
      <c r="C105" s="13" t="s">
        <v>7607</v>
      </c>
      <c r="E105" s="13" t="s">
        <v>7610</v>
      </c>
      <c r="F105" s="13" t="s">
        <v>5540</v>
      </c>
      <c r="G105" s="13" t="s">
        <v>4864</v>
      </c>
    </row>
    <row r="106" ht="12.75" customHeight="1">
      <c r="A106" s="13" t="s">
        <v>2777</v>
      </c>
      <c r="B106" s="13" t="s">
        <v>7614</v>
      </c>
      <c r="C106" s="13" t="s">
        <v>7626</v>
      </c>
      <c r="E106" s="13" t="s">
        <v>7628</v>
      </c>
      <c r="F106" s="13" t="s">
        <v>5540</v>
      </c>
      <c r="G106" s="13" t="s">
        <v>4855</v>
      </c>
    </row>
    <row r="107" ht="12.75" customHeight="1">
      <c r="A107" s="13" t="s">
        <v>2774</v>
      </c>
      <c r="B107" s="13" t="s">
        <v>7633</v>
      </c>
      <c r="C107" s="13" t="s">
        <v>7643</v>
      </c>
      <c r="E107" s="13" t="s">
        <v>7645</v>
      </c>
      <c r="F107" s="13" t="s">
        <v>5540</v>
      </c>
      <c r="G107" s="13" t="s">
        <v>4852</v>
      </c>
    </row>
    <row r="108" ht="12.75" customHeight="1">
      <c r="A108" s="2" t="s">
        <v>2771</v>
      </c>
      <c r="B108" s="13" t="s">
        <v>7651</v>
      </c>
      <c r="C108" s="13" t="s">
        <v>7663</v>
      </c>
      <c r="E108" s="13" t="s">
        <v>7667</v>
      </c>
      <c r="F108" s="13" t="s">
        <v>5540</v>
      </c>
      <c r="G108" s="13" t="s">
        <v>4856</v>
      </c>
    </row>
    <row r="109" ht="12.75" customHeight="1">
      <c r="A109" s="13" t="s">
        <v>2762</v>
      </c>
      <c r="B109" s="13" t="s">
        <v>7673</v>
      </c>
      <c r="C109" s="13" t="s">
        <v>7686</v>
      </c>
      <c r="E109" s="13" t="s">
        <v>7688</v>
      </c>
      <c r="F109" s="13" t="s">
        <v>5540</v>
      </c>
      <c r="G109" s="13" t="s">
        <v>4856</v>
      </c>
    </row>
    <row r="110" ht="12.75" customHeight="1">
      <c r="A110" s="13" t="s">
        <v>2759</v>
      </c>
      <c r="B110" s="13" t="s">
        <v>7693</v>
      </c>
      <c r="C110" s="13" t="s">
        <v>7703</v>
      </c>
      <c r="E110" s="13" t="s">
        <v>7705</v>
      </c>
      <c r="F110" s="13" t="s">
        <v>5540</v>
      </c>
      <c r="G110" s="13" t="s">
        <v>4856</v>
      </c>
    </row>
    <row r="111" ht="12.75" customHeight="1">
      <c r="A111" s="13" t="s">
        <v>2756</v>
      </c>
      <c r="B111" s="13" t="s">
        <v>7709</v>
      </c>
      <c r="C111" s="13" t="s">
        <v>7718</v>
      </c>
      <c r="E111" s="13" t="s">
        <v>7720</v>
      </c>
      <c r="F111" s="13" t="s">
        <v>5540</v>
      </c>
      <c r="G111" s="13" t="s">
        <v>4886</v>
      </c>
    </row>
    <row r="112" ht="12.75" customHeight="1">
      <c r="A112" s="13" t="s">
        <v>7723</v>
      </c>
      <c r="B112" s="13" t="s">
        <v>7726</v>
      </c>
      <c r="C112" s="13" t="s">
        <v>7736</v>
      </c>
      <c r="E112" s="13" t="s">
        <v>7738</v>
      </c>
      <c r="F112" s="13" t="s">
        <v>5540</v>
      </c>
      <c r="G112" s="13" t="s">
        <v>4852</v>
      </c>
    </row>
    <row r="113" ht="12.75" customHeight="1">
      <c r="A113" s="13" t="s">
        <v>7777</v>
      </c>
      <c r="B113" s="13" t="s">
        <v>7781</v>
      </c>
      <c r="C113" s="13" t="s">
        <v>7796</v>
      </c>
      <c r="E113" s="13" t="s">
        <v>7799</v>
      </c>
      <c r="F113" s="13" t="s">
        <v>5540</v>
      </c>
      <c r="G113" s="13" t="s">
        <v>4864</v>
      </c>
    </row>
    <row r="114" ht="12.75" customHeight="1">
      <c r="A114" s="13" t="s">
        <v>2740</v>
      </c>
      <c r="B114" s="13" t="s">
        <v>7804</v>
      </c>
      <c r="C114" s="13" t="s">
        <v>7815</v>
      </c>
      <c r="E114" s="13" t="s">
        <v>7817</v>
      </c>
      <c r="F114" s="13" t="s">
        <v>5540</v>
      </c>
      <c r="G114" s="13" t="s">
        <v>4856</v>
      </c>
    </row>
    <row r="115" ht="12.75" customHeight="1">
      <c r="A115" s="13" t="s">
        <v>7820</v>
      </c>
      <c r="B115" s="13" t="s">
        <v>7824</v>
      </c>
      <c r="C115" s="13" t="s">
        <v>7837</v>
      </c>
      <c r="E115" s="13" t="s">
        <v>7839</v>
      </c>
      <c r="F115" s="13" t="s">
        <v>5540</v>
      </c>
      <c r="G115" s="13" t="s">
        <v>4856</v>
      </c>
    </row>
    <row r="116" ht="12.75" customHeight="1">
      <c r="A116" s="13" t="s">
        <v>2735</v>
      </c>
      <c r="B116" s="13" t="s">
        <v>7844</v>
      </c>
      <c r="C116" s="13" t="s">
        <v>7852</v>
      </c>
      <c r="E116" s="13" t="s">
        <v>7854</v>
      </c>
      <c r="F116" s="13" t="s">
        <v>5540</v>
      </c>
      <c r="G116" s="13" t="s">
        <v>4864</v>
      </c>
    </row>
    <row r="117" ht="12.75" customHeight="1">
      <c r="A117" s="13" t="s">
        <v>2728</v>
      </c>
      <c r="B117" s="13" t="s">
        <v>7860</v>
      </c>
      <c r="C117" s="13" t="s">
        <v>7874</v>
      </c>
      <c r="E117" s="13" t="s">
        <v>7876</v>
      </c>
      <c r="F117" s="13" t="s">
        <v>5540</v>
      </c>
      <c r="G117" s="13" t="s">
        <v>4864</v>
      </c>
    </row>
    <row r="118" ht="12.75" customHeight="1">
      <c r="A118" s="13" t="s">
        <v>2725</v>
      </c>
      <c r="B118" s="13" t="s">
        <v>7881</v>
      </c>
      <c r="C118" s="13" t="s">
        <v>7890</v>
      </c>
      <c r="E118" s="13" t="s">
        <v>7892</v>
      </c>
      <c r="F118" s="13" t="s">
        <v>5540</v>
      </c>
      <c r="G118" s="13" t="s">
        <v>4856</v>
      </c>
    </row>
    <row r="119" ht="12.75" customHeight="1">
      <c r="A119" s="13" t="s">
        <v>2722</v>
      </c>
      <c r="B119" s="13" t="s">
        <v>7897</v>
      </c>
      <c r="C119" s="13" t="s">
        <v>7907</v>
      </c>
      <c r="E119" s="13" t="s">
        <v>7909</v>
      </c>
      <c r="F119" s="13" t="s">
        <v>5540</v>
      </c>
      <c r="G119" s="13" t="s">
        <v>4864</v>
      </c>
    </row>
    <row r="120" ht="12.75" customHeight="1">
      <c r="A120" s="13" t="s">
        <v>2719</v>
      </c>
      <c r="B120" s="13" t="s">
        <v>7914</v>
      </c>
      <c r="C120" s="13" t="s">
        <v>7924</v>
      </c>
      <c r="E120" s="13" t="s">
        <v>7926</v>
      </c>
      <c r="F120" s="13" t="s">
        <v>5540</v>
      </c>
      <c r="G120" s="13" t="s">
        <v>4856</v>
      </c>
    </row>
    <row r="121" ht="12.75" customHeight="1">
      <c r="A121" s="13" t="s">
        <v>2709</v>
      </c>
      <c r="B121" s="13" t="s">
        <v>7956</v>
      </c>
      <c r="C121" s="13" t="s">
        <v>7966</v>
      </c>
      <c r="E121" s="13" t="s">
        <v>7968</v>
      </c>
      <c r="F121" s="13" t="s">
        <v>5540</v>
      </c>
      <c r="G121" s="13" t="s">
        <v>4852</v>
      </c>
    </row>
    <row r="122" ht="12.75" customHeight="1">
      <c r="A122" s="13" t="s">
        <v>8014</v>
      </c>
      <c r="B122" s="13" t="s">
        <v>8018</v>
      </c>
      <c r="C122" s="13" t="s">
        <v>8030</v>
      </c>
      <c r="E122" s="13" t="s">
        <v>8032</v>
      </c>
      <c r="F122" s="13" t="s">
        <v>5540</v>
      </c>
      <c r="G122" s="13" t="s">
        <v>4856</v>
      </c>
    </row>
    <row r="123" ht="12.75" customHeight="1">
      <c r="A123" s="13" t="s">
        <v>2692</v>
      </c>
      <c r="B123" s="13" t="s">
        <v>8037</v>
      </c>
      <c r="C123" s="13" t="s">
        <v>8047</v>
      </c>
      <c r="E123" s="13" t="s">
        <v>8049</v>
      </c>
      <c r="F123" s="13" t="s">
        <v>5540</v>
      </c>
      <c r="G123" s="13" t="s">
        <v>4864</v>
      </c>
    </row>
    <row r="124" ht="12.75" customHeight="1">
      <c r="A124" s="13" t="s">
        <v>8068</v>
      </c>
      <c r="B124" s="13" t="s">
        <v>8072</v>
      </c>
      <c r="C124" s="13" t="str">
        <f>#REF!</f>
        <v>#REF!</v>
      </c>
      <c r="E124" s="13" t="s">
        <v>8088</v>
      </c>
      <c r="F124" s="13" t="s">
        <v>5540</v>
      </c>
      <c r="G124" s="13" t="s">
        <v>4886</v>
      </c>
    </row>
    <row r="125" ht="12.75" customHeight="1">
      <c r="A125" s="13" t="s">
        <v>2677</v>
      </c>
      <c r="B125" s="13" t="s">
        <v>8092</v>
      </c>
      <c r="C125" s="13" t="s">
        <v>8098</v>
      </c>
      <c r="E125" s="13" t="s">
        <v>8100</v>
      </c>
      <c r="F125" s="13" t="s">
        <v>5540</v>
      </c>
      <c r="G125" s="13" t="s">
        <v>4864</v>
      </c>
    </row>
    <row r="126" ht="12.75" customHeight="1">
      <c r="A126" s="2" t="s">
        <v>2674</v>
      </c>
      <c r="B126" s="13" t="s">
        <v>8105</v>
      </c>
      <c r="C126" s="13" t="s">
        <v>8115</v>
      </c>
      <c r="E126" s="13" t="s">
        <v>8117</v>
      </c>
      <c r="F126" s="13" t="s">
        <v>5540</v>
      </c>
      <c r="G126" s="13" t="s">
        <v>4852</v>
      </c>
    </row>
    <row r="127" ht="12.75" customHeight="1">
      <c r="A127" s="13" t="s">
        <v>2671</v>
      </c>
      <c r="B127" s="13" t="s">
        <v>8122</v>
      </c>
      <c r="C127" s="13" t="s">
        <v>8132</v>
      </c>
      <c r="E127" s="13" t="s">
        <v>8134</v>
      </c>
      <c r="F127" s="13" t="s">
        <v>5540</v>
      </c>
      <c r="G127" s="13" t="s">
        <v>4852</v>
      </c>
    </row>
    <row r="128" ht="12.75" customHeight="1">
      <c r="A128" s="13" t="s">
        <v>2663</v>
      </c>
      <c r="B128" s="13" t="s">
        <v>8140</v>
      </c>
      <c r="C128" s="13" t="s">
        <v>8156</v>
      </c>
      <c r="E128" s="13" t="s">
        <v>8160</v>
      </c>
      <c r="F128" s="13" t="s">
        <v>5540</v>
      </c>
      <c r="G128" s="13" t="s">
        <v>4856</v>
      </c>
    </row>
    <row r="129" ht="12.75" customHeight="1">
      <c r="A129" s="13" t="s">
        <v>2661</v>
      </c>
      <c r="B129" s="13" t="s">
        <v>8166</v>
      </c>
      <c r="C129" s="13" t="s">
        <v>8180</v>
      </c>
      <c r="E129" s="13" t="s">
        <v>8183</v>
      </c>
      <c r="F129" s="13" t="s">
        <v>5540</v>
      </c>
      <c r="G129" s="13" t="s">
        <v>4856</v>
      </c>
    </row>
    <row r="130" ht="12.75" customHeight="1">
      <c r="A130" s="13" t="s">
        <v>2659</v>
      </c>
      <c r="B130" s="13" t="s">
        <v>8188</v>
      </c>
      <c r="C130" s="13" t="s">
        <v>8198</v>
      </c>
      <c r="E130" s="13" t="s">
        <v>8200</v>
      </c>
      <c r="F130" s="13" t="s">
        <v>5540</v>
      </c>
      <c r="G130" s="13" t="s">
        <v>4856</v>
      </c>
    </row>
    <row r="131" ht="12.75" customHeight="1">
      <c r="A131" s="13" t="s">
        <v>2655</v>
      </c>
      <c r="B131" s="13" t="s">
        <v>8222</v>
      </c>
      <c r="C131" s="13" t="s">
        <v>8231</v>
      </c>
      <c r="E131" s="13" t="s">
        <v>8234</v>
      </c>
      <c r="F131" s="13" t="s">
        <v>5540</v>
      </c>
      <c r="G131" s="13" t="s">
        <v>4856</v>
      </c>
    </row>
    <row r="132" ht="12.75" customHeight="1">
      <c r="A132" s="2" t="s">
        <v>2653</v>
      </c>
      <c r="B132" s="13" t="s">
        <v>8240</v>
      </c>
      <c r="C132" s="13" t="s">
        <v>8254</v>
      </c>
      <c r="E132" s="13" t="s">
        <v>8256</v>
      </c>
      <c r="F132" s="13" t="s">
        <v>5540</v>
      </c>
      <c r="G132" s="13" t="s">
        <v>4864</v>
      </c>
    </row>
    <row r="133" ht="12.75" customHeight="1">
      <c r="A133" s="13" t="s">
        <v>2649</v>
      </c>
      <c r="B133" s="13" t="s">
        <v>8278</v>
      </c>
      <c r="C133" s="13" t="s">
        <v>8293</v>
      </c>
      <c r="E133" s="13" t="s">
        <v>8296</v>
      </c>
      <c r="F133" s="13" t="s">
        <v>5540</v>
      </c>
      <c r="G133" s="13" t="s">
        <v>4856</v>
      </c>
    </row>
    <row r="134" ht="12.75" customHeight="1">
      <c r="A134" s="13" t="s">
        <v>2647</v>
      </c>
      <c r="B134" s="13" t="s">
        <v>8300</v>
      </c>
      <c r="C134" s="13" t="s">
        <v>8309</v>
      </c>
      <c r="E134" s="13" t="s">
        <v>8311</v>
      </c>
      <c r="F134" s="13" t="s">
        <v>5540</v>
      </c>
      <c r="G134" s="13" t="s">
        <v>4856</v>
      </c>
    </row>
    <row r="135" ht="12.75" customHeight="1">
      <c r="A135" s="13" t="s">
        <v>2644</v>
      </c>
      <c r="B135" s="13" t="s">
        <v>8316</v>
      </c>
      <c r="C135" s="13" t="s">
        <v>8326</v>
      </c>
      <c r="E135" s="13" t="s">
        <v>8328</v>
      </c>
      <c r="F135" s="13" t="s">
        <v>5540</v>
      </c>
      <c r="G135" s="13" t="s">
        <v>4864</v>
      </c>
    </row>
    <row r="136" ht="12.75" customHeight="1">
      <c r="A136" s="13" t="s">
        <v>2635</v>
      </c>
      <c r="B136" s="13" t="s">
        <v>8382</v>
      </c>
      <c r="C136" s="13" t="s">
        <v>8389</v>
      </c>
      <c r="E136" s="13" t="s">
        <v>8391</v>
      </c>
      <c r="F136" s="13" t="s">
        <v>5540</v>
      </c>
      <c r="G136" s="13" t="s">
        <v>4864</v>
      </c>
    </row>
    <row r="137" ht="12.75" customHeight="1">
      <c r="A137" s="2" t="s">
        <v>2628</v>
      </c>
      <c r="B137" s="13" t="s">
        <v>5510</v>
      </c>
      <c r="C137" s="13" t="s">
        <v>8457</v>
      </c>
      <c r="E137" s="13" t="s">
        <v>8459</v>
      </c>
      <c r="F137" s="13" t="s">
        <v>5540</v>
      </c>
      <c r="G137" s="13" t="s">
        <v>4856</v>
      </c>
    </row>
    <row r="138" ht="12.75" customHeight="1">
      <c r="A138" s="13" t="s">
        <v>2628</v>
      </c>
      <c r="B138" s="13" t="s">
        <v>8463</v>
      </c>
      <c r="C138" s="13" t="s">
        <v>8475</v>
      </c>
      <c r="E138" s="13" t="s">
        <v>8478</v>
      </c>
      <c r="F138" s="13" t="s">
        <v>5540</v>
      </c>
      <c r="G138" s="13" t="s">
        <v>4856</v>
      </c>
    </row>
    <row r="139" ht="12.75" customHeight="1">
      <c r="A139" s="13" t="s">
        <v>8481</v>
      </c>
      <c r="B139" s="13" t="s">
        <v>8484</v>
      </c>
      <c r="C139" s="13" t="s">
        <v>8494</v>
      </c>
      <c r="E139" s="13" t="s">
        <v>8496</v>
      </c>
      <c r="F139" s="13" t="s">
        <v>5540</v>
      </c>
      <c r="G139" s="13" t="s">
        <v>4856</v>
      </c>
    </row>
    <row r="140" ht="12.75" customHeight="1">
      <c r="A140" s="13" t="s">
        <v>2623</v>
      </c>
      <c r="B140" s="13" t="s">
        <v>8501</v>
      </c>
      <c r="C140" s="13" t="s">
        <v>8512</v>
      </c>
      <c r="E140" s="13" t="s">
        <v>8514</v>
      </c>
      <c r="F140" s="13" t="s">
        <v>5540</v>
      </c>
      <c r="G140" s="13" t="s">
        <v>4856</v>
      </c>
    </row>
    <row r="141" ht="12.75" customHeight="1">
      <c r="A141" s="13" t="s">
        <v>8517</v>
      </c>
      <c r="B141" s="13" t="s">
        <v>8520</v>
      </c>
      <c r="C141" s="13" t="s">
        <v>8525</v>
      </c>
      <c r="E141" s="13" t="s">
        <v>8527</v>
      </c>
      <c r="F141" s="13" t="s">
        <v>5540</v>
      </c>
      <c r="G141" s="13" t="s">
        <v>4864</v>
      </c>
    </row>
    <row r="142" ht="12.75" customHeight="1">
      <c r="A142" s="13" t="s">
        <v>2617</v>
      </c>
      <c r="B142" s="13" t="s">
        <v>8532</v>
      </c>
      <c r="C142" s="13" t="s">
        <v>8542</v>
      </c>
      <c r="E142" s="13" t="s">
        <v>8544</v>
      </c>
      <c r="F142" s="13" t="s">
        <v>5540</v>
      </c>
      <c r="G142" s="13" t="s">
        <v>4856</v>
      </c>
    </row>
    <row r="143" ht="12.75" customHeight="1">
      <c r="A143" s="13" t="s">
        <v>2612</v>
      </c>
      <c r="B143" s="13" t="s">
        <v>8567</v>
      </c>
      <c r="C143" s="13" t="s">
        <v>8576</v>
      </c>
      <c r="E143" s="13" t="s">
        <v>8578</v>
      </c>
      <c r="F143" s="13" t="s">
        <v>5540</v>
      </c>
      <c r="G143" s="13" t="s">
        <v>4856</v>
      </c>
    </row>
    <row r="144" ht="12.75" customHeight="1">
      <c r="A144" s="13" t="s">
        <v>2603</v>
      </c>
      <c r="B144" s="13" t="s">
        <v>8603</v>
      </c>
      <c r="C144" s="13" t="s">
        <v>8613</v>
      </c>
      <c r="E144" s="13" t="s">
        <v>8615</v>
      </c>
      <c r="F144" s="13" t="s">
        <v>5540</v>
      </c>
      <c r="G144" s="13" t="s">
        <v>4856</v>
      </c>
    </row>
    <row r="145" ht="12.75" customHeight="1">
      <c r="A145" s="13" t="s">
        <v>8620</v>
      </c>
      <c r="B145" s="13" t="s">
        <v>8625</v>
      </c>
      <c r="C145" s="13" t="str">
        <f>#REF!</f>
        <v>#REF!</v>
      </c>
      <c r="E145" s="13" t="s">
        <v>8638</v>
      </c>
      <c r="F145" s="13" t="s">
        <v>5540</v>
      </c>
      <c r="G145" s="13" t="s">
        <v>4856</v>
      </c>
    </row>
    <row r="146" ht="12.75" customHeight="1">
      <c r="A146" s="13" t="s">
        <v>2596</v>
      </c>
      <c r="B146" s="13" t="s">
        <v>8643</v>
      </c>
      <c r="C146" s="13" t="s">
        <v>8653</v>
      </c>
      <c r="E146" s="13" t="s">
        <v>8655</v>
      </c>
      <c r="F146" s="13" t="s">
        <v>5540</v>
      </c>
      <c r="G146" s="13" t="s">
        <v>4864</v>
      </c>
    </row>
    <row r="147" ht="12.75" customHeight="1">
      <c r="A147" s="13" t="s">
        <v>2590</v>
      </c>
      <c r="B147" s="13" t="s">
        <v>8660</v>
      </c>
      <c r="C147" s="13" t="s">
        <v>8667</v>
      </c>
      <c r="E147" s="13" t="s">
        <v>8669</v>
      </c>
      <c r="F147" s="13" t="s">
        <v>5540</v>
      </c>
      <c r="G147" s="13" t="s">
        <v>4856</v>
      </c>
    </row>
    <row r="148" ht="12.75" customHeight="1">
      <c r="A148" s="13" t="s">
        <v>8672</v>
      </c>
      <c r="B148" s="13" t="s">
        <v>8675</v>
      </c>
      <c r="C148" s="13" t="s">
        <v>8682</v>
      </c>
      <c r="E148" s="13" t="s">
        <v>8684</v>
      </c>
      <c r="F148" s="13" t="s">
        <v>5540</v>
      </c>
      <c r="G148" s="13" t="s">
        <v>4864</v>
      </c>
    </row>
    <row r="149" ht="12.75" customHeight="1">
      <c r="A149" s="13" t="s">
        <v>2582</v>
      </c>
      <c r="B149" s="13" t="s">
        <v>8689</v>
      </c>
      <c r="C149" s="13" t="s">
        <v>8695</v>
      </c>
      <c r="E149" s="13" t="s">
        <v>8697</v>
      </c>
      <c r="F149" s="13" t="s">
        <v>5540</v>
      </c>
      <c r="G149" s="13" t="s">
        <v>4856</v>
      </c>
    </row>
    <row r="150" ht="12.75" customHeight="1">
      <c r="A150" s="13" t="s">
        <v>2579</v>
      </c>
      <c r="B150" s="13" t="s">
        <v>8702</v>
      </c>
      <c r="C150" s="13" t="s">
        <v>8711</v>
      </c>
      <c r="E150" s="13" t="s">
        <v>8713</v>
      </c>
      <c r="F150" s="13" t="s">
        <v>5540</v>
      </c>
      <c r="G150" s="13" t="s">
        <v>4856</v>
      </c>
    </row>
    <row r="151" ht="12.75" customHeight="1">
      <c r="A151" s="13" t="s">
        <v>8716</v>
      </c>
      <c r="B151" s="13" t="s">
        <v>8725</v>
      </c>
      <c r="C151" s="13" t="str">
        <f>#REF!</f>
        <v>#REF!</v>
      </c>
      <c r="E151" s="13" t="s">
        <v>8742</v>
      </c>
      <c r="F151" s="13" t="s">
        <v>5540</v>
      </c>
      <c r="G151" s="13" t="s">
        <v>4856</v>
      </c>
    </row>
    <row r="152" ht="12.75" customHeight="1">
      <c r="A152" s="13" t="s">
        <v>2573</v>
      </c>
      <c r="B152" s="13" t="s">
        <v>8747</v>
      </c>
      <c r="C152" s="13" t="s">
        <v>8755</v>
      </c>
      <c r="E152" s="13" t="s">
        <v>8757</v>
      </c>
      <c r="F152" s="13" t="s">
        <v>5540</v>
      </c>
      <c r="G152" s="13" t="s">
        <v>4856</v>
      </c>
    </row>
    <row r="153" ht="12.75" customHeight="1">
      <c r="A153" s="13" t="s">
        <v>2569</v>
      </c>
      <c r="B153" s="13" t="s">
        <v>8780</v>
      </c>
      <c r="C153" s="13" t="s">
        <v>8790</v>
      </c>
      <c r="E153" s="13" t="s">
        <v>8792</v>
      </c>
      <c r="F153" s="13" t="s">
        <v>5540</v>
      </c>
      <c r="G153" s="13" t="s">
        <v>4856</v>
      </c>
    </row>
    <row r="154" ht="12.75" customHeight="1">
      <c r="A154" s="13" t="s">
        <v>2565</v>
      </c>
      <c r="B154" s="13" t="s">
        <v>8821</v>
      </c>
      <c r="C154" s="13" t="s">
        <v>8831</v>
      </c>
      <c r="E154" s="13" t="s">
        <v>8833</v>
      </c>
      <c r="F154" s="13" t="s">
        <v>5540</v>
      </c>
      <c r="G154" s="13" t="s">
        <v>4856</v>
      </c>
    </row>
    <row r="155" ht="12.75" customHeight="1">
      <c r="A155" s="13" t="s">
        <v>2555</v>
      </c>
      <c r="B155" s="13" t="s">
        <v>8863</v>
      </c>
      <c r="C155" s="13" t="s">
        <v>8880</v>
      </c>
      <c r="E155" s="13" t="s">
        <v>8882</v>
      </c>
      <c r="F155" s="13" t="s">
        <v>5540</v>
      </c>
      <c r="G155" s="13" t="s">
        <v>4864</v>
      </c>
    </row>
    <row r="156" ht="12.75" customHeight="1">
      <c r="A156" s="13" t="s">
        <v>2553</v>
      </c>
      <c r="B156" s="13" t="s">
        <v>8886</v>
      </c>
      <c r="C156" s="13" t="s">
        <v>8898</v>
      </c>
      <c r="E156" s="13" t="s">
        <v>8900</v>
      </c>
      <c r="F156" s="13" t="s">
        <v>5540</v>
      </c>
      <c r="G156" s="13" t="s">
        <v>4886</v>
      </c>
    </row>
    <row r="157" ht="12.75" customHeight="1">
      <c r="A157" s="13" t="s">
        <v>2550</v>
      </c>
      <c r="B157" s="13" t="s">
        <v>8906</v>
      </c>
      <c r="C157" s="13" t="s">
        <v>8919</v>
      </c>
      <c r="E157" s="13" t="s">
        <v>8922</v>
      </c>
      <c r="F157" s="13" t="s">
        <v>5540</v>
      </c>
      <c r="G157" s="13" t="s">
        <v>4864</v>
      </c>
    </row>
    <row r="158" ht="12.75" customHeight="1">
      <c r="A158" s="13" t="s">
        <v>2546</v>
      </c>
      <c r="B158" s="13" t="s">
        <v>8949</v>
      </c>
      <c r="C158" s="13" t="s">
        <v>8959</v>
      </c>
      <c r="E158" s="13" t="s">
        <v>8961</v>
      </c>
      <c r="F158" s="13" t="s">
        <v>5540</v>
      </c>
      <c r="G158" s="13" t="s">
        <v>4856</v>
      </c>
    </row>
    <row r="159" ht="12.75" customHeight="1">
      <c r="A159" s="13" t="s">
        <v>2543</v>
      </c>
      <c r="B159" s="13" t="s">
        <v>8967</v>
      </c>
      <c r="C159" s="13" t="s">
        <v>8977</v>
      </c>
      <c r="E159" s="13" t="s">
        <v>8979</v>
      </c>
      <c r="F159" s="13" t="s">
        <v>5540</v>
      </c>
      <c r="G159" s="13" t="s">
        <v>4856</v>
      </c>
    </row>
    <row r="160" ht="12.75" customHeight="1">
      <c r="A160" s="13" t="s">
        <v>2539</v>
      </c>
      <c r="B160" s="13" t="s">
        <v>8984</v>
      </c>
      <c r="C160" s="13" t="str">
        <f>#REF!</f>
        <v>#REF!</v>
      </c>
      <c r="E160" s="13" t="s">
        <v>8997</v>
      </c>
      <c r="F160" s="13" t="s">
        <v>5540</v>
      </c>
      <c r="G160" s="13" t="s">
        <v>4856</v>
      </c>
    </row>
    <row r="161" ht="12.75" customHeight="1">
      <c r="A161" s="13" t="s">
        <v>9022</v>
      </c>
      <c r="B161" s="13" t="s">
        <v>9025</v>
      </c>
      <c r="C161" s="13" t="s">
        <v>9035</v>
      </c>
      <c r="E161" s="13" t="s">
        <v>9037</v>
      </c>
      <c r="F161" s="13" t="s">
        <v>5540</v>
      </c>
      <c r="G161" s="13" t="s">
        <v>4886</v>
      </c>
    </row>
    <row r="162" ht="12.75" customHeight="1">
      <c r="A162" s="13" t="s">
        <v>2527</v>
      </c>
      <c r="B162" s="13" t="s">
        <v>9042</v>
      </c>
      <c r="C162" s="13" t="s">
        <v>9049</v>
      </c>
      <c r="E162" s="13" t="s">
        <v>9051</v>
      </c>
      <c r="F162" s="13" t="s">
        <v>5540</v>
      </c>
      <c r="G162" s="13" t="s">
        <v>4856</v>
      </c>
    </row>
    <row r="163" ht="12.75" customHeight="1">
      <c r="A163" s="13" t="s">
        <v>2526</v>
      </c>
      <c r="B163" s="13" t="s">
        <v>9056</v>
      </c>
      <c r="C163" s="13" t="s">
        <v>9065</v>
      </c>
      <c r="E163" s="13" t="s">
        <v>9066</v>
      </c>
      <c r="F163" s="13" t="s">
        <v>5540</v>
      </c>
      <c r="G163" s="13" t="s">
        <v>4856</v>
      </c>
    </row>
    <row r="164" ht="12.75" customHeight="1">
      <c r="A164" s="13" t="s">
        <v>2523</v>
      </c>
      <c r="B164" s="13" t="s">
        <v>9071</v>
      </c>
      <c r="C164" s="13" t="s">
        <v>9078</v>
      </c>
      <c r="E164" s="13" t="s">
        <v>9080</v>
      </c>
      <c r="F164" s="13" t="s">
        <v>5540</v>
      </c>
      <c r="G164" s="13" t="s">
        <v>4864</v>
      </c>
    </row>
    <row r="165" ht="12.75" customHeight="1">
      <c r="A165" s="13" t="s">
        <v>2520</v>
      </c>
      <c r="B165" s="13" t="s">
        <v>9086</v>
      </c>
      <c r="C165" s="13" t="s">
        <v>9098</v>
      </c>
      <c r="E165" s="13" t="s">
        <v>9102</v>
      </c>
      <c r="F165" s="13" t="s">
        <v>5540</v>
      </c>
      <c r="G165" s="13" t="s">
        <v>4856</v>
      </c>
    </row>
    <row r="166" ht="12.75" customHeight="1">
      <c r="A166" s="13" t="s">
        <v>2517</v>
      </c>
      <c r="B166" s="13" t="s">
        <v>9107</v>
      </c>
      <c r="C166" s="13" t="s">
        <v>9115</v>
      </c>
      <c r="E166" s="13" t="s">
        <v>9117</v>
      </c>
      <c r="F166" s="13" t="s">
        <v>9118</v>
      </c>
      <c r="G166" s="13" t="s">
        <v>4864</v>
      </c>
    </row>
    <row r="167" ht="12.75" customHeight="1">
      <c r="A167" s="13" t="s">
        <v>9121</v>
      </c>
      <c r="B167" s="13" t="s">
        <v>9124</v>
      </c>
      <c r="C167" s="13" t="s">
        <v>9134</v>
      </c>
      <c r="E167" s="13" t="s">
        <v>9136</v>
      </c>
      <c r="F167" s="13" t="s">
        <v>5540</v>
      </c>
      <c r="G167" s="13" t="s">
        <v>4864</v>
      </c>
    </row>
    <row r="168" ht="12.75" customHeight="1">
      <c r="A168" s="13" t="s">
        <v>2504</v>
      </c>
      <c r="B168" s="13" t="s">
        <v>9141</v>
      </c>
      <c r="C168" s="13" t="s">
        <v>9150</v>
      </c>
      <c r="E168" s="13" t="s">
        <v>9152</v>
      </c>
      <c r="F168" s="13" t="s">
        <v>5540</v>
      </c>
      <c r="G168" s="13" t="s">
        <v>4864</v>
      </c>
    </row>
    <row r="169" ht="12.75" customHeight="1">
      <c r="A169" s="13" t="s">
        <v>2502</v>
      </c>
      <c r="B169" s="13" t="s">
        <v>9157</v>
      </c>
      <c r="C169" s="13" t="s">
        <v>9168</v>
      </c>
      <c r="E169" s="13" t="s">
        <v>9170</v>
      </c>
      <c r="F169" s="13" t="s">
        <v>5540</v>
      </c>
      <c r="G169" s="13" t="s">
        <v>4864</v>
      </c>
    </row>
    <row r="170" ht="12.75" customHeight="1">
      <c r="A170" s="13" t="s">
        <v>2498</v>
      </c>
      <c r="B170" s="13" t="s">
        <v>9176</v>
      </c>
      <c r="C170" s="13" t="s">
        <v>9193</v>
      </c>
      <c r="E170" s="13" t="s">
        <v>9197</v>
      </c>
      <c r="F170" s="13" t="s">
        <v>5540</v>
      </c>
      <c r="G170" s="13" t="s">
        <v>4864</v>
      </c>
    </row>
    <row r="171" ht="12.75" customHeight="1">
      <c r="A171" s="13" t="s">
        <v>2495</v>
      </c>
      <c r="B171" s="13" t="s">
        <v>9202</v>
      </c>
      <c r="C171" s="13" t="s">
        <v>9213</v>
      </c>
      <c r="E171" s="13" t="s">
        <v>9215</v>
      </c>
      <c r="F171" s="13" t="s">
        <v>5540</v>
      </c>
      <c r="G171" s="13" t="s">
        <v>4856</v>
      </c>
    </row>
    <row r="172" ht="12.75" customHeight="1">
      <c r="A172" s="13" t="s">
        <v>9217</v>
      </c>
      <c r="B172" s="13" t="s">
        <v>9220</v>
      </c>
      <c r="C172" s="13" t="s">
        <v>9228</v>
      </c>
      <c r="E172" s="13" t="s">
        <v>9230</v>
      </c>
      <c r="F172" s="13" t="s">
        <v>5540</v>
      </c>
      <c r="G172" s="13" t="s">
        <v>4864</v>
      </c>
    </row>
    <row r="173" ht="12.75" customHeight="1">
      <c r="A173" s="13" t="s">
        <v>9250</v>
      </c>
      <c r="B173" s="13" t="s">
        <v>9253</v>
      </c>
      <c r="C173" s="13" t="s">
        <v>9263</v>
      </c>
      <c r="E173" s="13" t="s">
        <v>9265</v>
      </c>
      <c r="F173" s="13" t="s">
        <v>5540</v>
      </c>
      <c r="G173" s="13" t="s">
        <v>4852</v>
      </c>
    </row>
    <row r="174" ht="12.75" customHeight="1">
      <c r="A174" s="13" t="s">
        <v>2484</v>
      </c>
      <c r="B174" s="13" t="s">
        <v>9269</v>
      </c>
      <c r="C174" s="13" t="s">
        <v>9280</v>
      </c>
      <c r="E174" s="13" t="s">
        <v>9282</v>
      </c>
      <c r="F174" s="13" t="s">
        <v>5540</v>
      </c>
      <c r="G174" s="13" t="s">
        <v>4856</v>
      </c>
    </row>
    <row r="175" ht="12.75" customHeight="1">
      <c r="A175" s="13" t="s">
        <v>2481</v>
      </c>
      <c r="B175" s="13" t="s">
        <v>9287</v>
      </c>
      <c r="C175" s="13" t="s">
        <v>9297</v>
      </c>
      <c r="E175" s="13" t="s">
        <v>9299</v>
      </c>
      <c r="F175" s="13" t="s">
        <v>5540</v>
      </c>
      <c r="G175" s="13" t="s">
        <v>4864</v>
      </c>
    </row>
    <row r="176" ht="12.75" customHeight="1">
      <c r="A176" s="13" t="s">
        <v>2477</v>
      </c>
      <c r="B176" s="13" t="s">
        <v>9305</v>
      </c>
      <c r="C176" s="13" t="s">
        <v>9319</v>
      </c>
      <c r="E176" s="13" t="s">
        <v>9321</v>
      </c>
      <c r="F176" s="13" t="s">
        <v>5540</v>
      </c>
      <c r="G176" s="13" t="s">
        <v>4864</v>
      </c>
    </row>
    <row r="177" ht="12.75" customHeight="1">
      <c r="A177" s="2" t="s">
        <v>2474</v>
      </c>
      <c r="B177" s="13" t="s">
        <v>5510</v>
      </c>
      <c r="C177" s="13" t="s">
        <v>9325</v>
      </c>
      <c r="E177" s="13" t="s">
        <v>9327</v>
      </c>
      <c r="F177" s="13" t="s">
        <v>5540</v>
      </c>
      <c r="G177" s="13" t="s">
        <v>4864</v>
      </c>
    </row>
    <row r="178" ht="12.75" customHeight="1">
      <c r="A178" s="13" t="s">
        <v>2474</v>
      </c>
      <c r="B178" s="13" t="s">
        <v>9331</v>
      </c>
      <c r="C178" s="13" t="s">
        <v>9341</v>
      </c>
      <c r="E178" s="13" t="s">
        <v>9343</v>
      </c>
      <c r="F178" s="13" t="s">
        <v>5540</v>
      </c>
      <c r="G178" s="13" t="s">
        <v>4864</v>
      </c>
    </row>
    <row r="179" ht="12.75" customHeight="1">
      <c r="A179" s="13" t="s">
        <v>9346</v>
      </c>
      <c r="B179" s="13" t="s">
        <v>9348</v>
      </c>
      <c r="C179" s="13" t="s">
        <v>9359</v>
      </c>
      <c r="E179" s="13" t="s">
        <v>9361</v>
      </c>
      <c r="F179" s="13" t="s">
        <v>5540</v>
      </c>
      <c r="G179" s="13" t="s">
        <v>4852</v>
      </c>
    </row>
    <row r="180" ht="12.75" customHeight="1">
      <c r="A180" s="13" t="s">
        <v>2469</v>
      </c>
      <c r="B180" s="13" t="s">
        <v>9366</v>
      </c>
      <c r="C180" s="13" t="s">
        <v>9375</v>
      </c>
      <c r="E180" s="13" t="s">
        <v>9377</v>
      </c>
      <c r="F180" s="13" t="s">
        <v>5540</v>
      </c>
      <c r="G180" s="13" t="s">
        <v>4864</v>
      </c>
    </row>
    <row r="181" ht="12.75" customHeight="1">
      <c r="A181" s="13" t="s">
        <v>2466</v>
      </c>
      <c r="B181" s="13" t="s">
        <v>5510</v>
      </c>
      <c r="C181" s="13" t="str">
        <f>#REF!</f>
        <v>#REF!</v>
      </c>
      <c r="E181" s="13" t="s">
        <v>9394</v>
      </c>
      <c r="F181" s="13" t="s">
        <v>5540</v>
      </c>
      <c r="G181" s="13" t="s">
        <v>4855</v>
      </c>
    </row>
    <row r="182" ht="12.75" customHeight="1">
      <c r="A182" s="13" t="s">
        <v>2466</v>
      </c>
      <c r="B182" s="13" t="s">
        <v>9399</v>
      </c>
      <c r="C182" s="13" t="s">
        <v>9409</v>
      </c>
      <c r="E182" s="13" t="s">
        <v>9411</v>
      </c>
      <c r="F182" s="13" t="s">
        <v>5540</v>
      </c>
      <c r="G182" s="13" t="s">
        <v>4855</v>
      </c>
    </row>
    <row r="183" ht="12.75" customHeight="1">
      <c r="A183" s="2" t="s">
        <v>2458</v>
      </c>
      <c r="B183" s="13" t="s">
        <v>9458</v>
      </c>
      <c r="C183" s="13" t="s">
        <v>9468</v>
      </c>
      <c r="E183" s="13" t="s">
        <v>9472</v>
      </c>
      <c r="F183" s="13" t="s">
        <v>5540</v>
      </c>
      <c r="G183" s="13" t="s">
        <v>4856</v>
      </c>
    </row>
    <row r="184" ht="12.75" customHeight="1">
      <c r="A184" s="13" t="s">
        <v>2455</v>
      </c>
      <c r="B184" s="13" t="s">
        <v>9477</v>
      </c>
      <c r="C184" s="13" t="s">
        <v>9487</v>
      </c>
      <c r="E184" s="13" t="s">
        <v>9489</v>
      </c>
      <c r="F184" s="13" t="s">
        <v>5540</v>
      </c>
      <c r="G184" s="13" t="s">
        <v>4864</v>
      </c>
    </row>
    <row r="185" ht="12.75" customHeight="1">
      <c r="A185" s="13" t="s">
        <v>2452</v>
      </c>
      <c r="B185" s="13" t="s">
        <v>9494</v>
      </c>
      <c r="C185" s="13" t="s">
        <v>9503</v>
      </c>
      <c r="E185" s="13" t="s">
        <v>9505</v>
      </c>
      <c r="F185" s="13" t="s">
        <v>5540</v>
      </c>
      <c r="G185" s="13" t="s">
        <v>4856</v>
      </c>
    </row>
    <row r="186" ht="12.75" customHeight="1">
      <c r="A186" s="13" t="s">
        <v>2445</v>
      </c>
      <c r="B186" s="13" t="s">
        <v>9530</v>
      </c>
      <c r="C186" s="13" t="s">
        <v>9541</v>
      </c>
      <c r="E186" s="13" t="s">
        <v>9543</v>
      </c>
      <c r="F186" s="13" t="s">
        <v>5540</v>
      </c>
      <c r="G186" s="13" t="s">
        <v>4856</v>
      </c>
    </row>
    <row r="187" ht="12.75" customHeight="1">
      <c r="A187" s="13" t="s">
        <v>2443</v>
      </c>
      <c r="B187" s="13" t="s">
        <v>9549</v>
      </c>
      <c r="C187" s="13" t="s">
        <v>9563</v>
      </c>
      <c r="E187" s="13" t="s">
        <v>9565</v>
      </c>
      <c r="F187" s="13" t="s">
        <v>5540</v>
      </c>
      <c r="G187" s="13" t="s">
        <v>4856</v>
      </c>
    </row>
    <row r="188" ht="12.75" customHeight="1">
      <c r="A188" s="13" t="s">
        <v>9568</v>
      </c>
      <c r="B188" s="13" t="s">
        <v>9571</v>
      </c>
      <c r="C188" s="13" t="s">
        <v>9580</v>
      </c>
      <c r="E188" s="13" t="s">
        <v>9582</v>
      </c>
      <c r="F188" s="13" t="s">
        <v>5540</v>
      </c>
      <c r="G188" s="13" t="s">
        <v>4856</v>
      </c>
    </row>
    <row r="189" ht="12.75" customHeight="1">
      <c r="A189" s="13" t="s">
        <v>2438</v>
      </c>
      <c r="B189" s="13" t="s">
        <v>9588</v>
      </c>
      <c r="C189" s="13" t="s">
        <v>9604</v>
      </c>
      <c r="E189" s="13" t="s">
        <v>9608</v>
      </c>
      <c r="F189" s="13" t="s">
        <v>5540</v>
      </c>
      <c r="G189" s="13" t="s">
        <v>4856</v>
      </c>
    </row>
    <row r="190" ht="12.75" customHeight="1">
      <c r="A190" s="13" t="s">
        <v>2434</v>
      </c>
      <c r="B190" s="13" t="s">
        <v>9614</v>
      </c>
      <c r="C190" s="13" t="s">
        <v>9627</v>
      </c>
      <c r="E190" s="13" t="s">
        <v>9629</v>
      </c>
      <c r="F190" s="13" t="s">
        <v>5540</v>
      </c>
      <c r="G190" s="13" t="s">
        <v>4856</v>
      </c>
    </row>
    <row r="191" ht="12.75" customHeight="1">
      <c r="A191" s="13" t="s">
        <v>2433</v>
      </c>
      <c r="B191" s="13" t="s">
        <v>9634</v>
      </c>
      <c r="C191" s="13" t="s">
        <v>9643</v>
      </c>
      <c r="E191" s="13" t="s">
        <v>9645</v>
      </c>
      <c r="F191" s="13" t="s">
        <v>5540</v>
      </c>
      <c r="G191" s="13" t="s">
        <v>4856</v>
      </c>
    </row>
    <row r="192" ht="12.75" customHeight="1">
      <c r="A192" s="13" t="s">
        <v>9648</v>
      </c>
      <c r="B192" s="13" t="s">
        <v>9650</v>
      </c>
      <c r="C192" s="13" t="s">
        <v>9661</v>
      </c>
      <c r="E192" s="13" t="s">
        <v>9663</v>
      </c>
      <c r="F192" s="13" t="s">
        <v>5540</v>
      </c>
      <c r="G192" s="13" t="s">
        <v>4856</v>
      </c>
    </row>
    <row r="193" ht="12.75" customHeight="1">
      <c r="A193" s="13" t="s">
        <v>2430</v>
      </c>
      <c r="B193" s="13" t="s">
        <v>9668</v>
      </c>
      <c r="C193" s="13" t="s">
        <v>9678</v>
      </c>
      <c r="E193" s="13" t="s">
        <v>9680</v>
      </c>
      <c r="F193" s="13" t="s">
        <v>5540</v>
      </c>
      <c r="G193" s="13" t="s">
        <v>4864</v>
      </c>
    </row>
    <row r="194" ht="12.75" customHeight="1">
      <c r="A194" s="13" t="s">
        <v>2427</v>
      </c>
      <c r="B194" s="13" t="s">
        <v>9685</v>
      </c>
      <c r="C194" s="13" t="s">
        <v>9699</v>
      </c>
      <c r="E194" s="13" t="s">
        <v>9701</v>
      </c>
      <c r="F194" s="13" t="s">
        <v>5540</v>
      </c>
      <c r="G194" s="13" t="s">
        <v>4856</v>
      </c>
    </row>
    <row r="195" ht="12.75" customHeight="1">
      <c r="A195" s="13" t="s">
        <v>2425</v>
      </c>
      <c r="B195" s="13" t="s">
        <v>9706</v>
      </c>
      <c r="C195" s="13" t="s">
        <v>9716</v>
      </c>
      <c r="E195" s="13" t="s">
        <v>9718</v>
      </c>
      <c r="F195" s="13" t="s">
        <v>5540</v>
      </c>
      <c r="G195" s="13" t="s">
        <v>4856</v>
      </c>
    </row>
    <row r="196" ht="12.75" customHeight="1">
      <c r="A196" s="13" t="s">
        <v>2422</v>
      </c>
      <c r="B196" s="13" t="s">
        <v>9723</v>
      </c>
      <c r="C196" s="13" t="s">
        <v>9730</v>
      </c>
      <c r="E196" s="13" t="s">
        <v>9732</v>
      </c>
      <c r="F196" s="13" t="s">
        <v>5540</v>
      </c>
      <c r="G196" s="13" t="s">
        <v>4852</v>
      </c>
    </row>
    <row r="197" ht="12.75" customHeight="1">
      <c r="A197" s="13" t="s">
        <v>2420</v>
      </c>
      <c r="B197" s="13" t="s">
        <v>9737</v>
      </c>
      <c r="C197" s="13" t="s">
        <v>9748</v>
      </c>
      <c r="E197" s="13" t="s">
        <v>9750</v>
      </c>
      <c r="F197" s="13" t="s">
        <v>5540</v>
      </c>
      <c r="G197" s="13" t="s">
        <v>4864</v>
      </c>
    </row>
    <row r="198" ht="12.75" customHeight="1">
      <c r="A198" s="13" t="s">
        <v>9753</v>
      </c>
      <c r="B198" s="13" t="s">
        <v>9755</v>
      </c>
      <c r="C198" s="13" t="s">
        <v>9767</v>
      </c>
      <c r="E198" s="13" t="s">
        <v>9769</v>
      </c>
      <c r="F198" s="13" t="s">
        <v>5540</v>
      </c>
      <c r="G198" s="13" t="s">
        <v>4852</v>
      </c>
    </row>
    <row r="199" ht="12.75" customHeight="1">
      <c r="A199" s="13" t="s">
        <v>2413</v>
      </c>
      <c r="B199" s="13" t="s">
        <v>9797</v>
      </c>
      <c r="C199" s="13" t="s">
        <v>9805</v>
      </c>
      <c r="E199" s="13" t="s">
        <v>9807</v>
      </c>
      <c r="F199" s="13" t="s">
        <v>5540</v>
      </c>
      <c r="G199" s="13" t="s">
        <v>4852</v>
      </c>
    </row>
    <row r="200" ht="12.75" customHeight="1">
      <c r="A200" s="13" t="s">
        <v>2409</v>
      </c>
      <c r="B200" s="13" t="s">
        <v>9812</v>
      </c>
      <c r="C200" s="13" t="s">
        <v>9824</v>
      </c>
      <c r="E200" s="13" t="s">
        <v>9826</v>
      </c>
      <c r="F200" s="13" t="s">
        <v>5540</v>
      </c>
      <c r="G200" s="13" t="s">
        <v>4856</v>
      </c>
    </row>
    <row r="201" ht="12.75" customHeight="1">
      <c r="A201" s="13" t="s">
        <v>2406</v>
      </c>
      <c r="B201" s="13" t="s">
        <v>9831</v>
      </c>
      <c r="C201" s="13" t="s">
        <v>9838</v>
      </c>
      <c r="E201" s="13" t="s">
        <v>9840</v>
      </c>
      <c r="F201" s="13" t="s">
        <v>5540</v>
      </c>
      <c r="G201" s="13" t="s">
        <v>4864</v>
      </c>
    </row>
    <row r="202" ht="12.75" customHeight="1">
      <c r="A202" s="13" t="s">
        <v>2398</v>
      </c>
      <c r="B202" s="13" t="s">
        <v>9857</v>
      </c>
      <c r="C202" s="13" t="s">
        <v>9868</v>
      </c>
      <c r="E202" s="13" t="s">
        <v>9870</v>
      </c>
      <c r="F202" s="13" t="s">
        <v>5540</v>
      </c>
      <c r="G202" s="13" t="s">
        <v>4856</v>
      </c>
    </row>
    <row r="203" ht="12.75" customHeight="1">
      <c r="A203" s="13" t="s">
        <v>9873</v>
      </c>
      <c r="B203" s="13" t="s">
        <v>9876</v>
      </c>
      <c r="C203" s="13" t="s">
        <v>9885</v>
      </c>
      <c r="E203" s="13" t="s">
        <v>9886</v>
      </c>
      <c r="F203" s="13" t="s">
        <v>5540</v>
      </c>
      <c r="G203" s="13" t="s">
        <v>4856</v>
      </c>
    </row>
    <row r="204" ht="12.75" customHeight="1">
      <c r="A204" s="13" t="s">
        <v>2393</v>
      </c>
      <c r="B204" s="13" t="s">
        <v>9891</v>
      </c>
      <c r="C204" s="13" t="s">
        <v>9901</v>
      </c>
      <c r="E204" s="13" t="s">
        <v>9903</v>
      </c>
      <c r="F204" s="13" t="s">
        <v>5540</v>
      </c>
      <c r="G204" s="13" t="s">
        <v>4856</v>
      </c>
    </row>
    <row r="205" ht="12.75" customHeight="1">
      <c r="A205" s="13" t="s">
        <v>2389</v>
      </c>
      <c r="B205" s="13" t="s">
        <v>9908</v>
      </c>
      <c r="C205" s="13" t="s">
        <v>9924</v>
      </c>
      <c r="E205" s="13" t="s">
        <v>9926</v>
      </c>
      <c r="F205" s="13" t="s">
        <v>5540</v>
      </c>
      <c r="G205" s="13" t="s">
        <v>4856</v>
      </c>
    </row>
    <row r="206" ht="12.75" customHeight="1">
      <c r="A206" s="13" t="s">
        <v>9962</v>
      </c>
      <c r="B206" s="13" t="s">
        <v>9964</v>
      </c>
      <c r="C206" s="13" t="s">
        <v>9976</v>
      </c>
      <c r="E206" s="13" t="s">
        <v>9978</v>
      </c>
      <c r="F206" s="13" t="s">
        <v>5540</v>
      </c>
      <c r="G206" s="13" t="s">
        <v>4856</v>
      </c>
    </row>
    <row r="207" ht="12.75" customHeight="1">
      <c r="A207" s="2" t="s">
        <v>2379</v>
      </c>
      <c r="B207" s="13" t="s">
        <v>9983</v>
      </c>
      <c r="C207" s="13" t="s">
        <v>9998</v>
      </c>
      <c r="E207" s="13" t="s">
        <v>10000</v>
      </c>
      <c r="F207" s="13" t="s">
        <v>5540</v>
      </c>
      <c r="G207" s="13" t="s">
        <v>4856</v>
      </c>
    </row>
    <row r="208" ht="12.75" customHeight="1">
      <c r="A208" s="13" t="s">
        <v>2376</v>
      </c>
      <c r="B208" s="13" t="s">
        <v>10005</v>
      </c>
      <c r="C208" s="13" t="s">
        <v>10015</v>
      </c>
      <c r="E208" s="13" t="s">
        <v>10018</v>
      </c>
      <c r="F208" s="13" t="s">
        <v>5540</v>
      </c>
      <c r="G208" s="13" t="s">
        <v>4856</v>
      </c>
    </row>
    <row r="209" ht="12.75" customHeight="1">
      <c r="A209" s="13" t="s">
        <v>10038</v>
      </c>
      <c r="B209" s="13" t="s">
        <v>10042</v>
      </c>
      <c r="C209" s="13" t="str">
        <f>#REF!</f>
        <v>#REF!</v>
      </c>
      <c r="E209" s="13" t="s">
        <v>10055</v>
      </c>
      <c r="F209" s="13" t="s">
        <v>5540</v>
      </c>
      <c r="G209" s="13" t="s">
        <v>4856</v>
      </c>
    </row>
    <row r="210" ht="12.75" customHeight="1">
      <c r="A210" s="13" t="s">
        <v>2366</v>
      </c>
      <c r="B210" s="13" t="s">
        <v>10060</v>
      </c>
      <c r="C210" s="13" t="s">
        <v>10069</v>
      </c>
      <c r="E210" s="13" t="s">
        <v>10071</v>
      </c>
      <c r="F210" s="13" t="s">
        <v>5540</v>
      </c>
      <c r="G210" s="13" t="s">
        <v>4856</v>
      </c>
    </row>
    <row r="211" ht="12.75" customHeight="1">
      <c r="A211" s="13" t="s">
        <v>2356</v>
      </c>
      <c r="B211" s="13" t="s">
        <v>10115</v>
      </c>
      <c r="C211" s="13" t="s">
        <v>10125</v>
      </c>
      <c r="E211" s="13" t="s">
        <v>10127</v>
      </c>
      <c r="F211" s="13" t="s">
        <v>5540</v>
      </c>
      <c r="G211" s="13" t="s">
        <v>4852</v>
      </c>
    </row>
    <row r="212" ht="12.75" customHeight="1">
      <c r="A212" s="13" t="s">
        <v>2353</v>
      </c>
      <c r="B212" s="13" t="s">
        <v>10132</v>
      </c>
      <c r="C212" s="13" t="s">
        <v>10140</v>
      </c>
      <c r="E212" s="13" t="s">
        <v>10142</v>
      </c>
      <c r="F212" s="13" t="s">
        <v>5540</v>
      </c>
      <c r="G212" s="13" t="s">
        <v>4864</v>
      </c>
    </row>
    <row r="213" ht="12.75" customHeight="1">
      <c r="A213" s="13" t="s">
        <v>2345</v>
      </c>
      <c r="B213" s="13" t="s">
        <v>10147</v>
      </c>
      <c r="C213" s="13" t="s">
        <v>10156</v>
      </c>
      <c r="E213" s="13" t="s">
        <v>10158</v>
      </c>
      <c r="F213" s="13" t="s">
        <v>5540</v>
      </c>
      <c r="G213" s="13" t="s">
        <v>4856</v>
      </c>
    </row>
    <row r="214" ht="12.75" customHeight="1">
      <c r="A214" s="13" t="s">
        <v>2330</v>
      </c>
      <c r="B214" s="13" t="s">
        <v>10196</v>
      </c>
      <c r="C214" s="13" t="s">
        <v>10207</v>
      </c>
      <c r="E214" s="13" t="s">
        <v>10210</v>
      </c>
      <c r="F214" s="13" t="s">
        <v>5540</v>
      </c>
      <c r="G214" s="13" t="s">
        <v>4855</v>
      </c>
    </row>
    <row r="215" ht="12.75" customHeight="1">
      <c r="A215" s="13" t="s">
        <v>2315</v>
      </c>
      <c r="B215" s="13" t="s">
        <v>10262</v>
      </c>
      <c r="C215" s="13" t="s">
        <v>10272</v>
      </c>
      <c r="E215" s="13" t="s">
        <v>10274</v>
      </c>
      <c r="F215" s="13" t="s">
        <v>5540</v>
      </c>
      <c r="G215" s="13" t="s">
        <v>4864</v>
      </c>
    </row>
    <row r="216" ht="12.75" customHeight="1">
      <c r="A216" s="13" t="s">
        <v>2311</v>
      </c>
      <c r="B216" s="13" t="s">
        <v>10279</v>
      </c>
      <c r="C216" s="13" t="s">
        <v>10289</v>
      </c>
      <c r="E216" s="13" t="s">
        <v>10291</v>
      </c>
      <c r="F216" s="13" t="s">
        <v>5540</v>
      </c>
      <c r="G216" s="13" t="s">
        <v>4864</v>
      </c>
    </row>
    <row r="217" ht="12.75" customHeight="1">
      <c r="A217" s="13" t="s">
        <v>2307</v>
      </c>
      <c r="B217" s="13" t="s">
        <v>10297</v>
      </c>
      <c r="C217" s="13" t="s">
        <v>10311</v>
      </c>
      <c r="E217" s="13" t="s">
        <v>10313</v>
      </c>
      <c r="F217" s="13" t="s">
        <v>5540</v>
      </c>
      <c r="G217" s="13" t="s">
        <v>4856</v>
      </c>
    </row>
    <row r="218" ht="12.75" customHeight="1">
      <c r="A218" s="13" t="s">
        <v>2304</v>
      </c>
      <c r="B218" s="13" t="s">
        <v>10335</v>
      </c>
      <c r="C218" s="13" t="s">
        <v>10345</v>
      </c>
      <c r="E218" s="13" t="s">
        <v>10347</v>
      </c>
      <c r="F218" s="13" t="s">
        <v>5540</v>
      </c>
      <c r="G218" s="13" t="s">
        <v>4856</v>
      </c>
    </row>
    <row r="219" ht="12.75" customHeight="1">
      <c r="A219" s="13" t="s">
        <v>2301</v>
      </c>
      <c r="B219" s="13" t="s">
        <v>10352</v>
      </c>
      <c r="C219" s="13" t="s">
        <v>10362</v>
      </c>
      <c r="E219" s="13" t="s">
        <v>10364</v>
      </c>
      <c r="F219" s="13" t="s">
        <v>5540</v>
      </c>
      <c r="G219" s="13" t="s">
        <v>4856</v>
      </c>
    </row>
    <row r="220" ht="12.75" customHeight="1">
      <c r="A220" s="13" t="s">
        <v>2297</v>
      </c>
      <c r="B220" s="13" t="s">
        <v>10370</v>
      </c>
      <c r="C220" s="13" t="s">
        <v>10380</v>
      </c>
      <c r="E220" s="13" t="s">
        <v>10382</v>
      </c>
      <c r="F220" s="13" t="s">
        <v>5540</v>
      </c>
      <c r="G220" s="13" t="s">
        <v>4852</v>
      </c>
    </row>
    <row r="221" ht="12.75" customHeight="1">
      <c r="A221" s="13" t="s">
        <v>10385</v>
      </c>
      <c r="B221" s="13" t="s">
        <v>10387</v>
      </c>
      <c r="C221" s="13" t="s">
        <v>10399</v>
      </c>
      <c r="E221" s="13" t="s">
        <v>10401</v>
      </c>
      <c r="F221" s="13" t="s">
        <v>5540</v>
      </c>
      <c r="G221" s="13" t="s">
        <v>4856</v>
      </c>
    </row>
    <row r="222" ht="12.75" customHeight="1">
      <c r="A222" s="13" t="s">
        <v>2291</v>
      </c>
      <c r="B222" s="13" t="s">
        <v>10406</v>
      </c>
      <c r="C222" s="13" t="s">
        <v>10413</v>
      </c>
      <c r="E222" s="13" t="s">
        <v>10415</v>
      </c>
      <c r="F222" s="13" t="s">
        <v>5540</v>
      </c>
      <c r="G222" s="13" t="s">
        <v>4856</v>
      </c>
    </row>
    <row r="223" ht="12.75" customHeight="1">
      <c r="A223" s="13" t="s">
        <v>2277</v>
      </c>
      <c r="B223" s="13" t="s">
        <v>10438</v>
      </c>
      <c r="C223" s="13" t="s">
        <v>10449</v>
      </c>
      <c r="E223" s="13" t="s">
        <v>10452</v>
      </c>
      <c r="F223" s="13" t="s">
        <v>5540</v>
      </c>
      <c r="G223" s="13" t="s">
        <v>4856</v>
      </c>
    </row>
    <row r="224" ht="12.75" customHeight="1">
      <c r="A224" s="13" t="s">
        <v>2274</v>
      </c>
      <c r="B224" s="13" t="s">
        <v>10457</v>
      </c>
      <c r="C224" s="13" t="s">
        <v>10467</v>
      </c>
      <c r="E224" s="13" t="s">
        <v>10469</v>
      </c>
      <c r="F224" s="13" t="s">
        <v>5540</v>
      </c>
      <c r="G224" s="13" t="s">
        <v>4880</v>
      </c>
    </row>
    <row r="225" ht="12.75" customHeight="1">
      <c r="A225" s="13" t="s">
        <v>2268</v>
      </c>
      <c r="B225" s="13" t="s">
        <v>10474</v>
      </c>
      <c r="C225" s="13" t="s">
        <v>10482</v>
      </c>
      <c r="E225" s="13" t="s">
        <v>10484</v>
      </c>
      <c r="F225" s="13" t="s">
        <v>5540</v>
      </c>
      <c r="G225" s="13" t="s">
        <v>4856</v>
      </c>
    </row>
    <row r="226" ht="12.75" customHeight="1">
      <c r="A226" s="13" t="s">
        <v>10487</v>
      </c>
      <c r="B226" s="13" t="s">
        <v>10490</v>
      </c>
      <c r="C226" s="13" t="s">
        <v>10499</v>
      </c>
      <c r="E226" s="13" t="s">
        <v>10501</v>
      </c>
      <c r="F226" s="13" t="s">
        <v>5540</v>
      </c>
      <c r="G226" s="13" t="s">
        <v>4852</v>
      </c>
    </row>
    <row r="227" ht="12.75" customHeight="1">
      <c r="A227" s="13" t="s">
        <v>2262</v>
      </c>
      <c r="B227" s="13" t="s">
        <v>10522</v>
      </c>
      <c r="C227" s="13" t="s">
        <v>10532</v>
      </c>
      <c r="E227" s="13" t="s">
        <v>10534</v>
      </c>
      <c r="F227" s="13" t="s">
        <v>5540</v>
      </c>
      <c r="G227" s="13" t="s">
        <v>4864</v>
      </c>
    </row>
    <row r="228" ht="12.75" customHeight="1">
      <c r="A228" s="13" t="s">
        <v>2251</v>
      </c>
      <c r="B228" s="13" t="s">
        <v>10553</v>
      </c>
      <c r="C228" s="13" t="s">
        <v>10562</v>
      </c>
      <c r="E228" s="13" t="s">
        <v>10564</v>
      </c>
      <c r="F228" s="13" t="s">
        <v>5540</v>
      </c>
      <c r="G228" s="13" t="s">
        <v>4856</v>
      </c>
    </row>
    <row r="229" ht="12.75" customHeight="1">
      <c r="A229" s="13" t="s">
        <v>10567</v>
      </c>
      <c r="B229" s="13" t="s">
        <v>10569</v>
      </c>
      <c r="C229" s="13" t="s">
        <v>10581</v>
      </c>
      <c r="E229" s="13" t="s">
        <v>10583</v>
      </c>
      <c r="F229" s="13" t="s">
        <v>5540</v>
      </c>
      <c r="G229" s="13" t="s">
        <v>4856</v>
      </c>
    </row>
    <row r="230" ht="12.75" customHeight="1">
      <c r="A230" s="13" t="s">
        <v>2248</v>
      </c>
      <c r="B230" s="13" t="s">
        <v>10588</v>
      </c>
      <c r="C230" s="13" t="s">
        <v>10598</v>
      </c>
      <c r="E230" s="13" t="s">
        <v>10600</v>
      </c>
      <c r="F230" s="13" t="s">
        <v>5540</v>
      </c>
      <c r="G230" s="13" t="s">
        <v>4856</v>
      </c>
    </row>
    <row r="231" ht="12.75" customHeight="1">
      <c r="A231" s="13" t="s">
        <v>2245</v>
      </c>
      <c r="B231" s="13" t="s">
        <v>10605</v>
      </c>
      <c r="C231" s="13" t="s">
        <v>10615</v>
      </c>
      <c r="E231" s="13" t="s">
        <v>10618</v>
      </c>
      <c r="F231" s="13" t="s">
        <v>5540</v>
      </c>
      <c r="G231" s="13" t="s">
        <v>4856</v>
      </c>
    </row>
    <row r="232" ht="12.75" customHeight="1">
      <c r="A232" s="13" t="s">
        <v>2239</v>
      </c>
      <c r="B232" s="13" t="s">
        <v>10636</v>
      </c>
      <c r="C232" s="13" t="s">
        <v>10641</v>
      </c>
      <c r="E232" s="13" t="s">
        <v>10643</v>
      </c>
      <c r="F232" s="13" t="s">
        <v>5540</v>
      </c>
      <c r="G232" s="13" t="s">
        <v>4864</v>
      </c>
    </row>
    <row r="233" ht="12.75" customHeight="1">
      <c r="A233" s="13" t="s">
        <v>10701</v>
      </c>
      <c r="B233" s="13" t="s">
        <v>10704</v>
      </c>
      <c r="C233" s="13" t="s">
        <v>10714</v>
      </c>
      <c r="E233" s="13" t="s">
        <v>10716</v>
      </c>
      <c r="F233" s="13" t="s">
        <v>5540</v>
      </c>
      <c r="G233" s="13" t="s">
        <v>4856</v>
      </c>
    </row>
    <row r="234" ht="12.75" customHeight="1">
      <c r="A234" s="2" t="s">
        <v>2220</v>
      </c>
      <c r="B234" s="13" t="s">
        <v>10722</v>
      </c>
      <c r="C234" s="13" t="s">
        <v>10739</v>
      </c>
      <c r="E234" s="13" t="s">
        <v>10741</v>
      </c>
      <c r="F234" s="13" t="s">
        <v>5540</v>
      </c>
      <c r="G234" s="13" t="s">
        <v>4856</v>
      </c>
    </row>
    <row r="235" ht="12.75" customHeight="1">
      <c r="A235" s="13" t="s">
        <v>2217</v>
      </c>
      <c r="B235" s="13" t="s">
        <v>10746</v>
      </c>
      <c r="C235" s="13" t="s">
        <v>10757</v>
      </c>
      <c r="E235" s="13" t="s">
        <v>10759</v>
      </c>
      <c r="F235" s="13" t="s">
        <v>5540</v>
      </c>
      <c r="G235" s="13" t="s">
        <v>4856</v>
      </c>
    </row>
    <row r="236" ht="12.75" customHeight="1">
      <c r="A236" s="13" t="s">
        <v>2216</v>
      </c>
      <c r="B236" s="13" t="s">
        <v>10764</v>
      </c>
      <c r="C236" s="13" t="s">
        <v>10775</v>
      </c>
      <c r="E236" s="13" t="s">
        <v>10778</v>
      </c>
      <c r="F236" s="13" t="s">
        <v>5540</v>
      </c>
      <c r="G236" s="13" t="s">
        <v>4856</v>
      </c>
    </row>
    <row r="237" ht="12.75" customHeight="1">
      <c r="A237" s="13" t="s">
        <v>2213</v>
      </c>
      <c r="B237" s="13" t="s">
        <v>10783</v>
      </c>
      <c r="C237" s="13" t="s">
        <v>10791</v>
      </c>
      <c r="E237" s="13" t="s">
        <v>10793</v>
      </c>
      <c r="F237" s="13" t="s">
        <v>5540</v>
      </c>
      <c r="G237" s="13" t="s">
        <v>4856</v>
      </c>
    </row>
    <row r="238" ht="12.75" customHeight="1">
      <c r="A238" s="13" t="s">
        <v>2210</v>
      </c>
      <c r="B238" s="13" t="s">
        <v>10798</v>
      </c>
      <c r="C238" s="13" t="s">
        <v>10807</v>
      </c>
      <c r="E238" s="13" t="s">
        <v>10808</v>
      </c>
      <c r="F238" s="13" t="s">
        <v>5540</v>
      </c>
      <c r="G238" s="13" t="s">
        <v>4864</v>
      </c>
    </row>
    <row r="239" ht="12.75" customHeight="1">
      <c r="A239" s="13" t="s">
        <v>2208</v>
      </c>
      <c r="B239" s="13" t="s">
        <v>5510</v>
      </c>
      <c r="C239" s="13" t="s">
        <v>10814</v>
      </c>
      <c r="E239" s="13" t="s">
        <v>10816</v>
      </c>
      <c r="F239" s="13" t="s">
        <v>5540</v>
      </c>
      <c r="G239" s="13" t="s">
        <v>4856</v>
      </c>
    </row>
    <row r="240" ht="12.75" customHeight="1">
      <c r="A240" s="13" t="s">
        <v>2208</v>
      </c>
      <c r="B240" s="13" t="s">
        <v>10818</v>
      </c>
      <c r="C240" s="13" t="s">
        <v>10830</v>
      </c>
      <c r="E240" s="13" t="s">
        <v>10832</v>
      </c>
      <c r="F240" s="13" t="s">
        <v>5540</v>
      </c>
      <c r="G240" s="13" t="s">
        <v>4856</v>
      </c>
    </row>
    <row r="241" ht="12.75" customHeight="1">
      <c r="A241" s="13" t="s">
        <v>2206</v>
      </c>
      <c r="B241" s="13" t="s">
        <v>10837</v>
      </c>
      <c r="C241" s="13" t="s">
        <v>10847</v>
      </c>
      <c r="E241" s="13" t="s">
        <v>10849</v>
      </c>
      <c r="F241" s="13" t="s">
        <v>5540</v>
      </c>
      <c r="G241" s="13" t="s">
        <v>4864</v>
      </c>
    </row>
    <row r="242" ht="12.75" customHeight="1">
      <c r="A242" s="13" t="s">
        <v>2202</v>
      </c>
      <c r="B242" s="13" t="s">
        <v>10855</v>
      </c>
      <c r="C242" s="13" t="s">
        <v>10864</v>
      </c>
      <c r="E242" s="13" t="s">
        <v>10867</v>
      </c>
      <c r="F242" s="13" t="s">
        <v>5540</v>
      </c>
      <c r="G242" s="13" t="s">
        <v>4864</v>
      </c>
    </row>
    <row r="243" ht="12.75" customHeight="1">
      <c r="A243" s="13" t="s">
        <v>2199</v>
      </c>
      <c r="B243" s="13" t="s">
        <v>10871</v>
      </c>
      <c r="C243" s="13" t="s">
        <v>10877</v>
      </c>
      <c r="E243" s="13" t="s">
        <v>10879</v>
      </c>
      <c r="F243" s="13" t="s">
        <v>5540</v>
      </c>
      <c r="G243" s="13" t="s">
        <v>4856</v>
      </c>
    </row>
    <row r="244" ht="12.75" customHeight="1">
      <c r="A244" s="13" t="s">
        <v>10882</v>
      </c>
      <c r="B244" s="13" t="s">
        <v>10886</v>
      </c>
      <c r="C244" s="13" t="s">
        <v>10901</v>
      </c>
      <c r="E244" s="13" t="s">
        <v>10903</v>
      </c>
      <c r="F244" s="13" t="s">
        <v>5540</v>
      </c>
      <c r="G244" s="13" t="s">
        <v>4856</v>
      </c>
    </row>
    <row r="245" ht="12.75" customHeight="1">
      <c r="A245" s="13" t="s">
        <v>2194</v>
      </c>
      <c r="B245" s="13" t="s">
        <v>10908</v>
      </c>
      <c r="C245" s="13" t="s">
        <v>10917</v>
      </c>
      <c r="E245" s="13" t="s">
        <v>10919</v>
      </c>
      <c r="F245" s="13" t="s">
        <v>5540</v>
      </c>
      <c r="G245" s="13" t="s">
        <v>4864</v>
      </c>
    </row>
    <row r="246" ht="12.75" customHeight="1">
      <c r="A246" s="13" t="s">
        <v>2192</v>
      </c>
      <c r="B246" s="13" t="s">
        <v>10924</v>
      </c>
      <c r="C246" s="13" t="s">
        <v>10933</v>
      </c>
      <c r="E246" s="13" t="s">
        <v>10935</v>
      </c>
      <c r="F246" s="13" t="s">
        <v>5540</v>
      </c>
      <c r="G246" s="13" t="s">
        <v>4864</v>
      </c>
    </row>
    <row r="247" ht="12.75" customHeight="1">
      <c r="A247" s="13" t="s">
        <v>2189</v>
      </c>
      <c r="B247" s="13" t="s">
        <v>10940</v>
      </c>
      <c r="C247" s="13" t="s">
        <v>10947</v>
      </c>
      <c r="E247" s="13" t="s">
        <v>10949</v>
      </c>
      <c r="F247" s="13" t="s">
        <v>5540</v>
      </c>
      <c r="G247" s="13" t="s">
        <v>4856</v>
      </c>
    </row>
    <row r="248" ht="12.75" customHeight="1">
      <c r="A248" s="13" t="s">
        <v>2185</v>
      </c>
      <c r="B248" s="13" t="s">
        <v>10955</v>
      </c>
      <c r="C248" s="13" t="s">
        <v>10969</v>
      </c>
      <c r="E248" s="13" t="s">
        <v>10971</v>
      </c>
      <c r="F248" s="13" t="s">
        <v>5540</v>
      </c>
      <c r="G248" s="13" t="s">
        <v>4856</v>
      </c>
    </row>
    <row r="249" ht="12.75" customHeight="1">
      <c r="A249" s="13" t="s">
        <v>2182</v>
      </c>
      <c r="B249" s="13" t="s">
        <v>10976</v>
      </c>
      <c r="C249" s="13" t="s">
        <v>10983</v>
      </c>
      <c r="E249" s="13" t="s">
        <v>10985</v>
      </c>
      <c r="F249" s="13" t="s">
        <v>5540</v>
      </c>
      <c r="G249" s="13" t="s">
        <v>4856</v>
      </c>
    </row>
    <row r="250" ht="12.75" customHeight="1">
      <c r="A250" s="13" t="s">
        <v>10988</v>
      </c>
      <c r="B250" s="13" t="s">
        <v>10991</v>
      </c>
      <c r="C250" s="13" t="s">
        <v>11000</v>
      </c>
      <c r="E250" s="13" t="s">
        <v>11002</v>
      </c>
      <c r="F250" s="13" t="s">
        <v>5540</v>
      </c>
      <c r="G250" s="13" t="s">
        <v>4864</v>
      </c>
    </row>
    <row r="251" ht="12.75" customHeight="1">
      <c r="A251" s="13" t="s">
        <v>11005</v>
      </c>
      <c r="B251" s="13" t="s">
        <v>11008</v>
      </c>
      <c r="C251" s="13" t="s">
        <v>11016</v>
      </c>
      <c r="E251" s="13" t="s">
        <v>11018</v>
      </c>
      <c r="F251" s="13" t="s">
        <v>5540</v>
      </c>
      <c r="G251" s="13" t="s">
        <v>4856</v>
      </c>
    </row>
    <row r="252" ht="12.75" customHeight="1">
      <c r="A252" s="13" t="s">
        <v>11021</v>
      </c>
      <c r="B252" s="13" t="s">
        <v>11025</v>
      </c>
      <c r="C252" s="13" t="s">
        <v>11034</v>
      </c>
      <c r="E252" s="13" t="s">
        <v>11036</v>
      </c>
      <c r="F252" s="13" t="s">
        <v>5540</v>
      </c>
      <c r="G252" s="13" t="s">
        <v>4856</v>
      </c>
    </row>
    <row r="253" ht="12.75" customHeight="1">
      <c r="A253" s="13" t="s">
        <v>2171</v>
      </c>
      <c r="B253" s="13" t="s">
        <v>11041</v>
      </c>
      <c r="C253" s="13" t="s">
        <v>11049</v>
      </c>
      <c r="E253" s="13" t="s">
        <v>11051</v>
      </c>
      <c r="F253" s="13" t="s">
        <v>5540</v>
      </c>
      <c r="G253" s="13" t="s">
        <v>4856</v>
      </c>
    </row>
    <row r="254" ht="12.75" customHeight="1">
      <c r="A254" s="13" t="s">
        <v>2164</v>
      </c>
      <c r="B254" s="13" t="s">
        <v>11056</v>
      </c>
      <c r="C254" s="13" t="s">
        <v>11066</v>
      </c>
      <c r="E254" s="13" t="s">
        <v>11067</v>
      </c>
      <c r="F254" s="13" t="s">
        <v>5540</v>
      </c>
      <c r="G254" s="13" t="s">
        <v>4856</v>
      </c>
    </row>
    <row r="255" ht="12.75" customHeight="1">
      <c r="A255" s="13" t="s">
        <v>11070</v>
      </c>
      <c r="B255" s="13" t="s">
        <v>11073</v>
      </c>
      <c r="C255" s="13" t="s">
        <v>11083</v>
      </c>
      <c r="E255" s="13" t="s">
        <v>11085</v>
      </c>
      <c r="F255" s="13" t="s">
        <v>5540</v>
      </c>
      <c r="G255" s="13" t="s">
        <v>4856</v>
      </c>
    </row>
    <row r="256" ht="12.75" customHeight="1">
      <c r="A256" s="13" t="s">
        <v>11088</v>
      </c>
      <c r="B256" s="13" t="s">
        <v>11091</v>
      </c>
      <c r="C256" s="13" t="s">
        <v>11099</v>
      </c>
      <c r="E256" s="13" t="s">
        <v>11101</v>
      </c>
      <c r="F256" s="13" t="s">
        <v>5540</v>
      </c>
      <c r="G256" s="13" t="s">
        <v>4864</v>
      </c>
    </row>
    <row r="257" ht="12.75" customHeight="1">
      <c r="A257" s="13" t="s">
        <v>2155</v>
      </c>
      <c r="B257" s="13" t="s">
        <v>11106</v>
      </c>
      <c r="C257" s="13" t="s">
        <v>11116</v>
      </c>
      <c r="E257" s="13" t="s">
        <v>11118</v>
      </c>
      <c r="F257" s="13" t="s">
        <v>5540</v>
      </c>
      <c r="G257" s="13" t="s">
        <v>4864</v>
      </c>
    </row>
    <row r="258" ht="12.75" customHeight="1">
      <c r="A258" s="13" t="s">
        <v>2147</v>
      </c>
      <c r="B258" s="13" t="s">
        <v>11136</v>
      </c>
      <c r="C258" s="13" t="s">
        <v>11146</v>
      </c>
      <c r="E258" s="13" t="s">
        <v>11148</v>
      </c>
      <c r="F258" s="13" t="s">
        <v>5540</v>
      </c>
      <c r="G258" s="13" t="s">
        <v>4856</v>
      </c>
    </row>
    <row r="259" ht="12.75" customHeight="1">
      <c r="A259" s="13" t="s">
        <v>11152</v>
      </c>
      <c r="B259" s="13" t="s">
        <v>11160</v>
      </c>
      <c r="C259" s="13" t="s">
        <v>11168</v>
      </c>
      <c r="E259" s="13" t="s">
        <v>11172</v>
      </c>
      <c r="F259" s="13" t="s">
        <v>5540</v>
      </c>
      <c r="G259" s="13" t="s">
        <v>4856</v>
      </c>
    </row>
    <row r="260" ht="12.75" customHeight="1">
      <c r="A260" s="13" t="s">
        <v>2142</v>
      </c>
      <c r="B260" s="13" t="s">
        <v>11177</v>
      </c>
      <c r="C260" s="13" t="s">
        <v>11187</v>
      </c>
      <c r="E260" s="13" t="s">
        <v>11189</v>
      </c>
      <c r="F260" s="13" t="s">
        <v>5540</v>
      </c>
      <c r="G260" s="13" t="s">
        <v>4864</v>
      </c>
    </row>
    <row r="261" ht="12.75" customHeight="1">
      <c r="A261" s="13" t="s">
        <v>11191</v>
      </c>
      <c r="B261" s="13" t="s">
        <v>11195</v>
      </c>
      <c r="C261" s="13" t="str">
        <f>#REF!</f>
        <v>#REF!</v>
      </c>
      <c r="E261" s="13" t="s">
        <v>11209</v>
      </c>
      <c r="F261" s="13" t="s">
        <v>5540</v>
      </c>
      <c r="G261" s="13" t="s">
        <v>4856</v>
      </c>
    </row>
    <row r="262" ht="12.75" customHeight="1">
      <c r="A262" s="13" t="s">
        <v>2133</v>
      </c>
      <c r="B262" s="13" t="s">
        <v>11214</v>
      </c>
      <c r="C262" s="13" t="s">
        <v>11224</v>
      </c>
      <c r="E262" s="13" t="s">
        <v>11227</v>
      </c>
      <c r="F262" s="13" t="s">
        <v>5540</v>
      </c>
      <c r="G262" s="13" t="s">
        <v>4864</v>
      </c>
    </row>
    <row r="263" ht="12.75" customHeight="1">
      <c r="A263" s="13" t="s">
        <v>2132</v>
      </c>
      <c r="B263" s="13" t="s">
        <v>11232</v>
      </c>
      <c r="C263" s="13" t="s">
        <v>11243</v>
      </c>
      <c r="E263" s="13" t="s">
        <v>11245</v>
      </c>
      <c r="F263" s="13" t="s">
        <v>5540</v>
      </c>
      <c r="G263" s="13" t="s">
        <v>4852</v>
      </c>
    </row>
    <row r="264" ht="12.75" customHeight="1">
      <c r="A264" s="13" t="s">
        <v>2129</v>
      </c>
      <c r="B264" s="13" t="s">
        <v>11250</v>
      </c>
      <c r="C264" s="13" t="s">
        <v>11259</v>
      </c>
      <c r="E264" s="13" t="s">
        <v>11261</v>
      </c>
      <c r="F264" s="13" t="s">
        <v>5540</v>
      </c>
      <c r="G264" s="13" t="s">
        <v>4864</v>
      </c>
    </row>
    <row r="265" ht="12.75" customHeight="1">
      <c r="A265" s="2" t="s">
        <v>2128</v>
      </c>
      <c r="B265" s="13" t="s">
        <v>11265</v>
      </c>
      <c r="C265" s="13" t="s">
        <v>11274</v>
      </c>
      <c r="E265" s="13" t="s">
        <v>11276</v>
      </c>
      <c r="F265" s="13" t="s">
        <v>5540</v>
      </c>
      <c r="G265" s="13" t="s">
        <v>4856</v>
      </c>
    </row>
    <row r="266" ht="12.75" customHeight="1">
      <c r="A266" s="13" t="s">
        <v>11279</v>
      </c>
      <c r="B266" s="13" t="s">
        <v>11282</v>
      </c>
      <c r="C266" s="13" t="s">
        <v>11292</v>
      </c>
      <c r="E266" s="13" t="s">
        <v>11294</v>
      </c>
      <c r="F266" s="13" t="s">
        <v>5540</v>
      </c>
      <c r="G266" s="13" t="s">
        <v>4864</v>
      </c>
    </row>
    <row r="267" ht="12.75" customHeight="1">
      <c r="A267" s="2" t="s">
        <v>2119</v>
      </c>
      <c r="B267" s="13" t="s">
        <v>11299</v>
      </c>
      <c r="C267" s="13" t="s">
        <v>11306</v>
      </c>
      <c r="E267" s="13" t="s">
        <v>11308</v>
      </c>
      <c r="F267" s="13" t="s">
        <v>5540</v>
      </c>
      <c r="G267" s="13" t="s">
        <v>4856</v>
      </c>
    </row>
    <row r="268" ht="12.75" customHeight="1">
      <c r="A268" s="13" t="s">
        <v>2116</v>
      </c>
      <c r="B268" s="13" t="s">
        <v>11313</v>
      </c>
      <c r="C268" s="13" t="s">
        <v>11322</v>
      </c>
      <c r="E268" s="13" t="s">
        <v>11324</v>
      </c>
      <c r="F268" s="13" t="s">
        <v>5540</v>
      </c>
      <c r="G268" s="13" t="s">
        <v>4852</v>
      </c>
    </row>
    <row r="269" ht="12.75" customHeight="1">
      <c r="A269" s="13" t="s">
        <v>2113</v>
      </c>
      <c r="B269" s="13" t="s">
        <v>11329</v>
      </c>
      <c r="C269" s="13" t="s">
        <v>11339</v>
      </c>
      <c r="E269" s="13" t="s">
        <v>11341</v>
      </c>
      <c r="F269" s="13" t="s">
        <v>5540</v>
      </c>
      <c r="G269" s="13" t="s">
        <v>4852</v>
      </c>
    </row>
    <row r="270" ht="12.75" customHeight="1">
      <c r="A270" s="13" t="s">
        <v>2102</v>
      </c>
      <c r="B270" s="13" t="s">
        <v>11398</v>
      </c>
      <c r="C270" s="13" t="s">
        <v>11411</v>
      </c>
      <c r="E270" s="13" t="s">
        <v>11414</v>
      </c>
      <c r="F270" s="13" t="s">
        <v>5540</v>
      </c>
      <c r="G270" s="13" t="s">
        <v>4852</v>
      </c>
    </row>
    <row r="271" ht="12.75" customHeight="1">
      <c r="A271" s="13" t="s">
        <v>2096</v>
      </c>
      <c r="B271" s="13" t="s">
        <v>11419</v>
      </c>
      <c r="C271" s="13" t="s">
        <v>11429</v>
      </c>
      <c r="E271" s="13" t="s">
        <v>11431</v>
      </c>
      <c r="F271" s="13" t="s">
        <v>5540</v>
      </c>
      <c r="G271" s="13" t="s">
        <v>4856</v>
      </c>
    </row>
    <row r="272" ht="12.75" customHeight="1">
      <c r="A272" s="2" t="s">
        <v>2093</v>
      </c>
      <c r="B272" s="13" t="s">
        <v>5510</v>
      </c>
      <c r="C272" s="13" t="s">
        <v>11439</v>
      </c>
      <c r="E272" s="13" t="s">
        <v>11441</v>
      </c>
      <c r="F272" s="13" t="s">
        <v>5540</v>
      </c>
      <c r="G272" s="13" t="s">
        <v>4864</v>
      </c>
    </row>
    <row r="273" ht="12.75" customHeight="1">
      <c r="A273" s="13" t="s">
        <v>2093</v>
      </c>
      <c r="B273" s="13" t="s">
        <v>11444</v>
      </c>
      <c r="C273" s="13" t="s">
        <v>11454</v>
      </c>
      <c r="E273" s="13" t="s">
        <v>11456</v>
      </c>
      <c r="F273" s="13" t="s">
        <v>5540</v>
      </c>
      <c r="G273" s="13" t="s">
        <v>4864</v>
      </c>
    </row>
    <row r="274" ht="12.75" customHeight="1">
      <c r="A274" s="13" t="s">
        <v>2089</v>
      </c>
      <c r="B274" s="13" t="s">
        <v>11461</v>
      </c>
      <c r="C274" s="13" t="s">
        <v>11471</v>
      </c>
      <c r="E274" s="13" t="s">
        <v>11473</v>
      </c>
      <c r="F274" s="13" t="s">
        <v>5540</v>
      </c>
      <c r="G274" s="13" t="s">
        <v>4856</v>
      </c>
    </row>
    <row r="275" ht="12.75" customHeight="1">
      <c r="A275" s="13" t="s">
        <v>11476</v>
      </c>
      <c r="B275" s="13" t="s">
        <v>11479</v>
      </c>
      <c r="C275" s="13" t="s">
        <v>11489</v>
      </c>
      <c r="E275" s="13" t="s">
        <v>11491</v>
      </c>
      <c r="F275" s="13" t="s">
        <v>5540</v>
      </c>
      <c r="G275" s="13" t="s">
        <v>4856</v>
      </c>
    </row>
    <row r="276" ht="12.75" customHeight="1">
      <c r="A276" s="2" t="s">
        <v>2083</v>
      </c>
      <c r="B276" s="13" t="s">
        <v>11497</v>
      </c>
      <c r="C276" s="13" t="s">
        <v>11508</v>
      </c>
      <c r="E276" s="13" t="s">
        <v>11510</v>
      </c>
      <c r="F276" s="13" t="s">
        <v>5540</v>
      </c>
      <c r="G276" s="13" t="s">
        <v>4856</v>
      </c>
    </row>
    <row r="277" ht="12.75" customHeight="1">
      <c r="A277" s="13" t="s">
        <v>11513</v>
      </c>
      <c r="B277" s="13" t="s">
        <v>11516</v>
      </c>
      <c r="C277" s="13" t="s">
        <v>11526</v>
      </c>
      <c r="E277" s="13" t="s">
        <v>11528</v>
      </c>
      <c r="F277" s="13" t="s">
        <v>5540</v>
      </c>
      <c r="G277" s="13" t="s">
        <v>4864</v>
      </c>
    </row>
    <row r="278" ht="12.75" customHeight="1">
      <c r="A278" s="13" t="s">
        <v>2078</v>
      </c>
      <c r="B278" s="13" t="s">
        <v>11533</v>
      </c>
      <c r="C278" s="13" t="s">
        <v>11543</v>
      </c>
      <c r="E278" s="13" t="s">
        <v>11545</v>
      </c>
      <c r="F278" s="13" t="s">
        <v>5540</v>
      </c>
      <c r="G278" s="13" t="s">
        <v>4856</v>
      </c>
    </row>
    <row r="279" ht="12.75" customHeight="1">
      <c r="A279" s="13" t="s">
        <v>2073</v>
      </c>
      <c r="B279" s="13" t="s">
        <v>11566</v>
      </c>
      <c r="C279" s="13" t="s">
        <v>11577</v>
      </c>
      <c r="E279" s="13" t="s">
        <v>11579</v>
      </c>
      <c r="F279" s="13" t="s">
        <v>5540</v>
      </c>
      <c r="G279" s="13" t="s">
        <v>4852</v>
      </c>
    </row>
    <row r="280" ht="12.75" customHeight="1">
      <c r="A280" s="13" t="s">
        <v>2070</v>
      </c>
      <c r="B280" s="13" t="s">
        <v>11584</v>
      </c>
      <c r="C280" s="13" t="s">
        <v>11592</v>
      </c>
      <c r="E280" s="13" t="s">
        <v>11594</v>
      </c>
      <c r="F280" s="13" t="s">
        <v>5540</v>
      </c>
      <c r="G280" s="13" t="s">
        <v>4856</v>
      </c>
    </row>
    <row r="281" ht="12.75" customHeight="1">
      <c r="A281" s="13" t="s">
        <v>11597</v>
      </c>
      <c r="B281" s="13" t="s">
        <v>11601</v>
      </c>
      <c r="C281" s="13" t="s">
        <v>11612</v>
      </c>
      <c r="E281" s="13" t="s">
        <v>11614</v>
      </c>
      <c r="F281" s="13" t="s">
        <v>5540</v>
      </c>
      <c r="G281" s="13" t="s">
        <v>4856</v>
      </c>
    </row>
    <row r="282" ht="12.75" customHeight="1">
      <c r="A282" s="13" t="s">
        <v>11617</v>
      </c>
      <c r="B282" s="13" t="s">
        <v>11619</v>
      </c>
      <c r="C282" s="13" t="s">
        <v>11628</v>
      </c>
      <c r="E282" s="13" t="s">
        <v>11630</v>
      </c>
      <c r="F282" s="13" t="s">
        <v>5540</v>
      </c>
      <c r="G282" s="13" t="s">
        <v>4856</v>
      </c>
    </row>
    <row r="283" ht="12.75" customHeight="1">
      <c r="A283" s="13" t="s">
        <v>2062</v>
      </c>
      <c r="B283" s="13" t="s">
        <v>11635</v>
      </c>
      <c r="C283" s="13" t="s">
        <v>11644</v>
      </c>
      <c r="E283" s="13" t="s">
        <v>11646</v>
      </c>
      <c r="F283" s="13" t="s">
        <v>5540</v>
      </c>
      <c r="G283" s="13" t="s">
        <v>4864</v>
      </c>
    </row>
    <row r="284" ht="12.75" customHeight="1">
      <c r="A284" s="13" t="s">
        <v>2061</v>
      </c>
      <c r="B284" s="13" t="s">
        <v>11650</v>
      </c>
      <c r="C284" s="13" t="s">
        <v>11662</v>
      </c>
      <c r="E284" s="13" t="s">
        <v>11664</v>
      </c>
      <c r="F284" s="13" t="s">
        <v>5540</v>
      </c>
      <c r="G284" s="13" t="s">
        <v>4864</v>
      </c>
    </row>
    <row r="285" ht="12.75" customHeight="1">
      <c r="A285" s="13" t="s">
        <v>11667</v>
      </c>
      <c r="B285" s="13" t="s">
        <v>11670</v>
      </c>
      <c r="C285" s="13" t="s">
        <v>11680</v>
      </c>
      <c r="E285" s="13" t="s">
        <v>11682</v>
      </c>
      <c r="F285" s="13" t="s">
        <v>11683</v>
      </c>
      <c r="G285" s="13" t="s">
        <v>4856</v>
      </c>
    </row>
    <row r="286" ht="12.75" customHeight="1">
      <c r="A286" s="13" t="s">
        <v>2055</v>
      </c>
      <c r="B286" s="13" t="s">
        <v>11689</v>
      </c>
      <c r="C286" s="13" t="s">
        <v>11701</v>
      </c>
      <c r="E286" s="13" t="s">
        <v>11703</v>
      </c>
      <c r="F286" s="13" t="s">
        <v>5540</v>
      </c>
      <c r="G286" s="13" t="s">
        <v>4852</v>
      </c>
    </row>
    <row r="287" ht="12.75" customHeight="1">
      <c r="A287" s="13" t="s">
        <v>11706</v>
      </c>
      <c r="B287" s="13" t="s">
        <v>11710</v>
      </c>
      <c r="C287" s="13" t="str">
        <f>#REF!</f>
        <v>#REF!</v>
      </c>
      <c r="E287" s="13" t="s">
        <v>11726</v>
      </c>
      <c r="F287" s="13" t="s">
        <v>5540</v>
      </c>
      <c r="G287" s="13" t="s">
        <v>4856</v>
      </c>
    </row>
    <row r="288" ht="12.75" customHeight="1">
      <c r="A288" s="13" t="s">
        <v>11729</v>
      </c>
      <c r="B288" s="13" t="s">
        <v>11736</v>
      </c>
      <c r="C288" s="13" t="s">
        <v>11745</v>
      </c>
      <c r="E288" s="13" t="s">
        <v>11747</v>
      </c>
      <c r="F288" s="13" t="s">
        <v>5540</v>
      </c>
      <c r="G288" s="13" t="s">
        <v>4852</v>
      </c>
    </row>
    <row r="289" ht="12.75" customHeight="1">
      <c r="A289" s="13" t="s">
        <v>11769</v>
      </c>
      <c r="B289" s="13" t="s">
        <v>11773</v>
      </c>
      <c r="C289" s="13" t="s">
        <v>11785</v>
      </c>
      <c r="E289" s="13" t="s">
        <v>11790</v>
      </c>
      <c r="F289" s="13" t="s">
        <v>5540</v>
      </c>
      <c r="G289" s="13" t="s">
        <v>4856</v>
      </c>
    </row>
    <row r="290" ht="12.75" customHeight="1">
      <c r="A290" s="13" t="s">
        <v>2029</v>
      </c>
      <c r="B290" s="13" t="s">
        <v>11795</v>
      </c>
      <c r="C290" s="13" t="s">
        <v>11808</v>
      </c>
      <c r="E290" s="13" t="s">
        <v>11811</v>
      </c>
      <c r="F290" s="13" t="s">
        <v>5540</v>
      </c>
      <c r="G290" s="13" t="s">
        <v>4852</v>
      </c>
    </row>
    <row r="291" ht="12.75" customHeight="1">
      <c r="A291" s="13" t="s">
        <v>2026</v>
      </c>
      <c r="B291" s="13" t="s">
        <v>11817</v>
      </c>
      <c r="C291" s="13" t="s">
        <v>11833</v>
      </c>
      <c r="E291" s="13" t="s">
        <v>11837</v>
      </c>
      <c r="F291" s="13" t="s">
        <v>5540</v>
      </c>
      <c r="G291" s="13" t="s">
        <v>4856</v>
      </c>
    </row>
    <row r="292" ht="12.75" customHeight="1">
      <c r="A292" s="13" t="s">
        <v>2018</v>
      </c>
      <c r="B292" s="13" t="s">
        <v>11874</v>
      </c>
      <c r="C292" s="13" t="s">
        <v>11884</v>
      </c>
      <c r="E292" s="13" t="s">
        <v>11886</v>
      </c>
      <c r="F292" s="13" t="s">
        <v>5540</v>
      </c>
      <c r="G292" s="13" t="s">
        <v>4864</v>
      </c>
    </row>
    <row r="293" ht="12.75" customHeight="1">
      <c r="A293" s="13" t="s">
        <v>2013</v>
      </c>
      <c r="B293" s="13" t="s">
        <v>11911</v>
      </c>
      <c r="C293" s="13" t="s">
        <v>11922</v>
      </c>
      <c r="E293" s="13" t="s">
        <v>11925</v>
      </c>
      <c r="F293" s="13" t="s">
        <v>5540</v>
      </c>
      <c r="G293" s="13" t="s">
        <v>4864</v>
      </c>
    </row>
    <row r="294" ht="12.75" customHeight="1">
      <c r="A294" s="13" t="s">
        <v>11928</v>
      </c>
      <c r="B294" s="13" t="s">
        <v>11934</v>
      </c>
      <c r="C294" s="13" t="s">
        <v>11941</v>
      </c>
      <c r="E294" s="13" t="s">
        <v>11944</v>
      </c>
      <c r="F294" s="13" t="s">
        <v>5540</v>
      </c>
      <c r="G294" s="13" t="s">
        <v>4856</v>
      </c>
    </row>
    <row r="295" ht="12.75" customHeight="1">
      <c r="A295" s="13" t="s">
        <v>2004</v>
      </c>
      <c r="B295" s="13" t="s">
        <v>11971</v>
      </c>
      <c r="C295" s="13" t="s">
        <v>11981</v>
      </c>
      <c r="E295" s="13" t="s">
        <v>11983</v>
      </c>
      <c r="F295" s="13" t="s">
        <v>5540</v>
      </c>
      <c r="G295" s="13" t="s">
        <v>4856</v>
      </c>
    </row>
    <row r="296" ht="12.75" customHeight="1">
      <c r="A296" s="13" t="s">
        <v>2001</v>
      </c>
      <c r="B296" s="13" t="s">
        <v>11988</v>
      </c>
      <c r="C296" s="13" t="s">
        <v>11998</v>
      </c>
      <c r="E296" s="13" t="s">
        <v>12000</v>
      </c>
      <c r="F296" s="13" t="s">
        <v>11683</v>
      </c>
      <c r="G296" s="13" t="s">
        <v>4856</v>
      </c>
    </row>
    <row r="297" ht="12.75" customHeight="1">
      <c r="A297" s="13" t="s">
        <v>1998</v>
      </c>
      <c r="B297" s="13" t="s">
        <v>12004</v>
      </c>
      <c r="C297" s="13" t="s">
        <v>12012</v>
      </c>
      <c r="E297" s="13" t="s">
        <v>12014</v>
      </c>
      <c r="F297" s="13" t="s">
        <v>5540</v>
      </c>
      <c r="G297" s="13" t="s">
        <v>4864</v>
      </c>
    </row>
    <row r="298" ht="12.75" customHeight="1">
      <c r="A298" s="13" t="s">
        <v>12017</v>
      </c>
      <c r="B298" s="13" t="s">
        <v>12019</v>
      </c>
      <c r="C298" s="13" t="s">
        <v>12028</v>
      </c>
      <c r="E298" s="13" t="s">
        <v>12030</v>
      </c>
      <c r="F298" s="13" t="s">
        <v>5540</v>
      </c>
      <c r="G298" s="13" t="s">
        <v>4864</v>
      </c>
    </row>
    <row r="299" ht="12.75" customHeight="1">
      <c r="A299" s="13" t="s">
        <v>1986</v>
      </c>
      <c r="B299" s="13" t="s">
        <v>12035</v>
      </c>
      <c r="C299" s="13" t="s">
        <v>12041</v>
      </c>
      <c r="E299" s="13" t="s">
        <v>12042</v>
      </c>
      <c r="F299" s="13" t="s">
        <v>5540</v>
      </c>
      <c r="G299" s="13" t="s">
        <v>4856</v>
      </c>
    </row>
    <row r="300" ht="12.75" customHeight="1">
      <c r="A300" s="13" t="s">
        <v>1981</v>
      </c>
      <c r="B300" s="13" t="s">
        <v>12064</v>
      </c>
      <c r="C300" s="13" t="s">
        <v>12072</v>
      </c>
      <c r="E300" s="13" t="s">
        <v>12074</v>
      </c>
      <c r="F300" s="13" t="s">
        <v>5540</v>
      </c>
      <c r="G300" s="13" t="s">
        <v>4864</v>
      </c>
    </row>
    <row r="301" ht="12.75" customHeight="1">
      <c r="A301" s="13" t="s">
        <v>12077</v>
      </c>
      <c r="B301" s="13" t="s">
        <v>12081</v>
      </c>
      <c r="C301" s="13" t="str">
        <f>#REF!</f>
        <v>#REF!</v>
      </c>
      <c r="E301" s="13" t="s">
        <v>12097</v>
      </c>
      <c r="F301" s="13" t="s">
        <v>5540</v>
      </c>
      <c r="G301" s="13" t="s">
        <v>4864</v>
      </c>
    </row>
    <row r="302" ht="12.75" customHeight="1">
      <c r="A302" s="13" t="s">
        <v>1971</v>
      </c>
      <c r="B302" s="13" t="s">
        <v>12102</v>
      </c>
      <c r="C302" s="13" t="s">
        <v>12110</v>
      </c>
      <c r="E302" s="13" t="s">
        <v>12112</v>
      </c>
      <c r="F302" s="13" t="s">
        <v>5540</v>
      </c>
      <c r="G302" s="13" t="s">
        <v>4864</v>
      </c>
    </row>
    <row r="303" ht="12.75" customHeight="1">
      <c r="A303" s="13" t="s">
        <v>1969</v>
      </c>
      <c r="B303" s="13" t="s">
        <v>12117</v>
      </c>
      <c r="C303" s="13" t="s">
        <v>12128</v>
      </c>
      <c r="E303" s="13" t="s">
        <v>12130</v>
      </c>
      <c r="F303" s="13" t="s">
        <v>5540</v>
      </c>
      <c r="G303" s="13" t="s">
        <v>4864</v>
      </c>
    </row>
    <row r="304" ht="12.75" customHeight="1">
      <c r="A304" s="13" t="s">
        <v>1966</v>
      </c>
      <c r="B304" s="13" t="s">
        <v>12134</v>
      </c>
      <c r="C304" s="13" t="s">
        <v>12138</v>
      </c>
      <c r="E304" s="13" t="s">
        <v>12140</v>
      </c>
      <c r="F304" s="13" t="s">
        <v>5540</v>
      </c>
      <c r="G304" s="13" t="s">
        <v>4856</v>
      </c>
    </row>
    <row r="305" ht="12.75" customHeight="1">
      <c r="A305" s="13" t="s">
        <v>1963</v>
      </c>
      <c r="B305" s="13" t="s">
        <v>12145</v>
      </c>
      <c r="C305" s="13" t="s">
        <v>12155</v>
      </c>
      <c r="E305" s="13" t="s">
        <v>12157</v>
      </c>
      <c r="F305" s="13" t="s">
        <v>5540</v>
      </c>
      <c r="G305" s="13" t="s">
        <v>4856</v>
      </c>
    </row>
    <row r="306" ht="12.75" customHeight="1">
      <c r="A306" s="13" t="s">
        <v>1959</v>
      </c>
      <c r="B306" s="13" t="s">
        <v>12162</v>
      </c>
      <c r="C306" s="13" t="s">
        <v>12176</v>
      </c>
      <c r="E306" s="13" t="s">
        <v>12180</v>
      </c>
      <c r="F306" s="13" t="s">
        <v>5540</v>
      </c>
      <c r="G306" s="13" t="s">
        <v>4856</v>
      </c>
    </row>
    <row r="307" ht="12.75" customHeight="1">
      <c r="A307" s="13" t="s">
        <v>12183</v>
      </c>
      <c r="B307" s="13" t="s">
        <v>12186</v>
      </c>
      <c r="C307" s="13" t="s">
        <v>12196</v>
      </c>
      <c r="E307" s="13" t="s">
        <v>12198</v>
      </c>
      <c r="F307" s="13" t="s">
        <v>5540</v>
      </c>
      <c r="G307" s="13" t="s">
        <v>4852</v>
      </c>
    </row>
    <row r="308" ht="12.75" customHeight="1">
      <c r="A308" s="13" t="s">
        <v>12201</v>
      </c>
      <c r="B308" s="13" t="s">
        <v>12203</v>
      </c>
      <c r="C308" s="13" t="s">
        <v>12215</v>
      </c>
      <c r="E308" s="13" t="s">
        <v>12217</v>
      </c>
      <c r="F308" s="13" t="s">
        <v>5540</v>
      </c>
      <c r="G308" s="13" t="s">
        <v>4856</v>
      </c>
    </row>
    <row r="309" ht="12.75" customHeight="1">
      <c r="A309" s="13" t="s">
        <v>1952</v>
      </c>
      <c r="B309" s="13" t="s">
        <v>12223</v>
      </c>
      <c r="C309" s="13" t="s">
        <v>12237</v>
      </c>
      <c r="E309" s="13" t="s">
        <v>12241</v>
      </c>
      <c r="F309" s="13" t="s">
        <v>5540</v>
      </c>
      <c r="G309" s="13" t="s">
        <v>4864</v>
      </c>
    </row>
    <row r="310" ht="12.75" customHeight="1">
      <c r="A310" s="13" t="s">
        <v>12244</v>
      </c>
      <c r="B310" s="13" t="s">
        <v>12246</v>
      </c>
      <c r="C310" s="13" t="s">
        <v>12255</v>
      </c>
      <c r="E310" s="13" t="s">
        <v>12257</v>
      </c>
      <c r="F310" s="13" t="s">
        <v>5540</v>
      </c>
      <c r="G310" s="13" t="s">
        <v>4864</v>
      </c>
    </row>
    <row r="311" ht="12.75" customHeight="1">
      <c r="A311" s="13" t="s">
        <v>1942</v>
      </c>
      <c r="B311" s="13" t="s">
        <v>12279</v>
      </c>
      <c r="C311" s="13" t="s">
        <v>12286</v>
      </c>
      <c r="E311" s="13" t="s">
        <v>12288</v>
      </c>
      <c r="F311" s="13" t="s">
        <v>5540</v>
      </c>
      <c r="G311" s="13" t="s">
        <v>4864</v>
      </c>
    </row>
    <row r="312" ht="12.75" customHeight="1">
      <c r="A312" s="13" t="s">
        <v>12291</v>
      </c>
      <c r="B312" s="13" t="s">
        <v>12294</v>
      </c>
      <c r="C312" s="13" t="s">
        <v>12303</v>
      </c>
      <c r="E312" s="13" t="s">
        <v>12305</v>
      </c>
      <c r="F312" s="13" t="s">
        <v>9118</v>
      </c>
      <c r="G312" s="13" t="s">
        <v>4864</v>
      </c>
    </row>
    <row r="313" ht="12.75" customHeight="1">
      <c r="A313" s="13" t="s">
        <v>1936</v>
      </c>
      <c r="B313" s="13" t="s">
        <v>12309</v>
      </c>
      <c r="C313" s="13" t="s">
        <v>12321</v>
      </c>
      <c r="E313" s="13" t="s">
        <v>12323</v>
      </c>
      <c r="F313" s="13" t="s">
        <v>5540</v>
      </c>
      <c r="G313" s="13" t="s">
        <v>4856</v>
      </c>
    </row>
    <row r="314" ht="12.75" customHeight="1">
      <c r="A314" s="13" t="s">
        <v>1930</v>
      </c>
      <c r="B314" s="13" t="s">
        <v>12340</v>
      </c>
      <c r="C314" s="13" t="s">
        <v>12350</v>
      </c>
      <c r="E314" s="13" t="s">
        <v>12352</v>
      </c>
      <c r="F314" s="13" t="s">
        <v>5540</v>
      </c>
      <c r="G314" s="13" t="s">
        <v>4886</v>
      </c>
    </row>
    <row r="315" ht="12.75" customHeight="1">
      <c r="A315" s="13" t="s">
        <v>12355</v>
      </c>
      <c r="B315" s="13" t="s">
        <v>12358</v>
      </c>
      <c r="C315" s="13" t="s">
        <v>12367</v>
      </c>
      <c r="E315" s="13" t="s">
        <v>12368</v>
      </c>
      <c r="F315" s="13" t="s">
        <v>5540</v>
      </c>
      <c r="G315" s="13" t="s">
        <v>4864</v>
      </c>
    </row>
    <row r="316" ht="12.75" customHeight="1">
      <c r="A316" s="13" t="s">
        <v>1921</v>
      </c>
      <c r="B316" s="13" t="s">
        <v>12391</v>
      </c>
      <c r="C316" s="13" t="s">
        <v>12401</v>
      </c>
      <c r="E316" s="13" t="s">
        <v>12403</v>
      </c>
      <c r="F316" s="13" t="s">
        <v>5540</v>
      </c>
      <c r="G316" s="13" t="s">
        <v>4864</v>
      </c>
    </row>
    <row r="317" ht="12.75" customHeight="1">
      <c r="A317" s="13" t="s">
        <v>1918</v>
      </c>
      <c r="B317" s="13" t="s">
        <v>12408</v>
      </c>
      <c r="C317" s="13" t="s">
        <v>12418</v>
      </c>
      <c r="E317" s="13" t="s">
        <v>12420</v>
      </c>
      <c r="F317" s="13" t="s">
        <v>5540</v>
      </c>
      <c r="G317" s="13" t="s">
        <v>4864</v>
      </c>
    </row>
    <row r="318" ht="12.75" customHeight="1">
      <c r="A318" s="13" t="s">
        <v>1914</v>
      </c>
      <c r="B318" s="13" t="s">
        <v>12426</v>
      </c>
      <c r="C318" s="13" t="s">
        <v>12437</v>
      </c>
      <c r="E318" s="13" t="s">
        <v>12439</v>
      </c>
      <c r="F318" s="13" t="s">
        <v>5540</v>
      </c>
      <c r="G318" s="13" t="s">
        <v>4864</v>
      </c>
    </row>
    <row r="319" ht="12.75" customHeight="1">
      <c r="A319" s="13" t="s">
        <v>1911</v>
      </c>
      <c r="B319" s="13" t="s">
        <v>12444</v>
      </c>
      <c r="C319" s="13" t="s">
        <v>12451</v>
      </c>
      <c r="E319" s="13" t="s">
        <v>12453</v>
      </c>
      <c r="F319" s="13" t="s">
        <v>5540</v>
      </c>
      <c r="G319" s="13" t="s">
        <v>4864</v>
      </c>
    </row>
    <row r="320" ht="12.75" customHeight="1">
      <c r="A320" s="13" t="s">
        <v>1905</v>
      </c>
      <c r="B320" s="13" t="s">
        <v>12458</v>
      </c>
      <c r="C320" s="13" t="s">
        <v>12467</v>
      </c>
      <c r="E320" s="13" t="s">
        <v>12469</v>
      </c>
      <c r="F320" s="13" t="s">
        <v>5540</v>
      </c>
      <c r="G320" s="13" t="s">
        <v>4864</v>
      </c>
    </row>
    <row r="321" ht="12.75" customHeight="1">
      <c r="A321" s="13" t="s">
        <v>1902</v>
      </c>
      <c r="B321" s="13" t="s">
        <v>12474</v>
      </c>
      <c r="C321" s="13" t="s">
        <v>12484</v>
      </c>
      <c r="E321" s="13" t="s">
        <v>12487</v>
      </c>
      <c r="F321" s="13" t="s">
        <v>5540</v>
      </c>
      <c r="G321" s="13" t="s">
        <v>4856</v>
      </c>
    </row>
    <row r="322" ht="12.75" customHeight="1">
      <c r="A322" s="13" t="s">
        <v>1899</v>
      </c>
      <c r="B322" s="13" t="s">
        <v>12493</v>
      </c>
      <c r="C322" s="13" t="s">
        <v>12505</v>
      </c>
      <c r="E322" s="13" t="s">
        <v>12507</v>
      </c>
      <c r="F322" s="13" t="s">
        <v>5540</v>
      </c>
      <c r="G322" s="13" t="s">
        <v>4856</v>
      </c>
    </row>
    <row r="323" ht="12.75" customHeight="1">
      <c r="A323" s="13" t="s">
        <v>12510</v>
      </c>
      <c r="B323" s="13" t="s">
        <v>12514</v>
      </c>
      <c r="C323" s="13" t="s">
        <v>12527</v>
      </c>
      <c r="E323" s="13" t="s">
        <v>12530</v>
      </c>
      <c r="F323" s="13" t="s">
        <v>5540</v>
      </c>
      <c r="G323" s="13" t="s">
        <v>4856</v>
      </c>
    </row>
    <row r="324" ht="12.75" customHeight="1">
      <c r="A324" s="13" t="s">
        <v>1893</v>
      </c>
      <c r="B324" s="13" t="s">
        <v>12553</v>
      </c>
      <c r="C324" s="13" t="s">
        <v>12563</v>
      </c>
      <c r="E324" s="13" t="s">
        <v>12565</v>
      </c>
      <c r="F324" s="13" t="s">
        <v>5540</v>
      </c>
      <c r="G324" s="13" t="s">
        <v>4855</v>
      </c>
    </row>
    <row r="325" ht="12.75" customHeight="1">
      <c r="A325" s="13" t="s">
        <v>1890</v>
      </c>
      <c r="B325" s="13" t="s">
        <v>12570</v>
      </c>
      <c r="C325" s="13" t="s">
        <v>12580</v>
      </c>
      <c r="E325" s="13" t="s">
        <v>12582</v>
      </c>
      <c r="F325" s="13" t="s">
        <v>5540</v>
      </c>
      <c r="G325" s="13" t="s">
        <v>4852</v>
      </c>
    </row>
    <row r="326" ht="12.75" customHeight="1">
      <c r="A326" s="13" t="s">
        <v>1887</v>
      </c>
      <c r="B326" s="13" t="s">
        <v>12587</v>
      </c>
      <c r="C326" s="13" t="s">
        <v>12597</v>
      </c>
      <c r="E326" s="13" t="s">
        <v>12599</v>
      </c>
      <c r="F326" s="13" t="s">
        <v>5540</v>
      </c>
      <c r="G326" s="13" t="s">
        <v>4864</v>
      </c>
    </row>
    <row r="327" ht="12.75" customHeight="1">
      <c r="A327" s="13" t="s">
        <v>1886</v>
      </c>
      <c r="B327" s="13" t="s">
        <v>12603</v>
      </c>
      <c r="C327" s="13" t="s">
        <v>12615</v>
      </c>
      <c r="E327" s="13" t="s">
        <v>12617</v>
      </c>
      <c r="F327" s="13" t="s">
        <v>5540</v>
      </c>
      <c r="G327" s="13" t="s">
        <v>4856</v>
      </c>
    </row>
    <row r="328" ht="12.75" customHeight="1">
      <c r="A328" s="13" t="s">
        <v>12620</v>
      </c>
      <c r="B328" s="13" t="s">
        <v>12623</v>
      </c>
      <c r="C328" s="13" t="s">
        <v>12633</v>
      </c>
      <c r="E328" s="13" t="s">
        <v>12635</v>
      </c>
      <c r="F328" s="13" t="s">
        <v>5540</v>
      </c>
      <c r="G328" s="13" t="s">
        <v>4856</v>
      </c>
    </row>
    <row r="329" ht="12.75" customHeight="1">
      <c r="A329" s="13" t="s">
        <v>1879</v>
      </c>
      <c r="B329" s="13" t="s">
        <v>12640</v>
      </c>
      <c r="C329" s="13" t="s">
        <v>12650</v>
      </c>
      <c r="E329" s="13" t="s">
        <v>12652</v>
      </c>
      <c r="F329" s="13" t="s">
        <v>5540</v>
      </c>
      <c r="G329" s="13" t="s">
        <v>4855</v>
      </c>
    </row>
    <row r="330" ht="12.75" customHeight="1">
      <c r="A330" s="13" t="s">
        <v>1874</v>
      </c>
      <c r="B330" s="13" t="s">
        <v>12679</v>
      </c>
      <c r="C330" s="13" t="s">
        <v>12688</v>
      </c>
      <c r="E330" s="13" t="s">
        <v>12690</v>
      </c>
      <c r="F330" s="13" t="s">
        <v>5540</v>
      </c>
      <c r="G330" s="13" t="s">
        <v>4856</v>
      </c>
    </row>
    <row r="331" ht="12.75" customHeight="1">
      <c r="A331" s="13" t="s">
        <v>1871</v>
      </c>
      <c r="B331" s="13" t="s">
        <v>12695</v>
      </c>
      <c r="C331" s="13" t="s">
        <v>12705</v>
      </c>
      <c r="E331" s="13" t="s">
        <v>12707</v>
      </c>
      <c r="F331" s="13" t="s">
        <v>5540</v>
      </c>
      <c r="G331" s="13" t="s">
        <v>4856</v>
      </c>
    </row>
    <row r="332" ht="12.75" customHeight="1">
      <c r="A332" s="13" t="s">
        <v>1856</v>
      </c>
      <c r="B332" s="13" t="s">
        <v>12776</v>
      </c>
      <c r="C332" s="13" t="s">
        <v>12781</v>
      </c>
      <c r="E332" s="13" t="s">
        <v>12783</v>
      </c>
      <c r="F332" s="13" t="s">
        <v>5540</v>
      </c>
      <c r="G332" s="13" t="s">
        <v>4856</v>
      </c>
    </row>
    <row r="333" ht="12.75" customHeight="1">
      <c r="A333" s="13" t="s">
        <v>1852</v>
      </c>
      <c r="B333" s="13" t="s">
        <v>12789</v>
      </c>
      <c r="C333" s="13" t="s">
        <v>12800</v>
      </c>
      <c r="E333" s="13" t="s">
        <v>12804</v>
      </c>
      <c r="F333" s="13" t="s">
        <v>5540</v>
      </c>
      <c r="G333" s="13" t="s">
        <v>4856</v>
      </c>
    </row>
    <row r="334" ht="12.75" customHeight="1">
      <c r="A334" s="13" t="s">
        <v>1846</v>
      </c>
      <c r="B334" s="13" t="s">
        <v>12809</v>
      </c>
      <c r="C334" s="13" t="s">
        <v>12816</v>
      </c>
      <c r="E334" s="13" t="s">
        <v>12818</v>
      </c>
      <c r="F334" s="13" t="s">
        <v>5540</v>
      </c>
      <c r="G334" s="13" t="s">
        <v>4856</v>
      </c>
    </row>
    <row r="335" ht="12.75" customHeight="1">
      <c r="A335" s="13" t="s">
        <v>1843</v>
      </c>
      <c r="B335" s="13" t="s">
        <v>12823</v>
      </c>
      <c r="C335" s="13" t="s">
        <v>12829</v>
      </c>
      <c r="E335" s="13" t="s">
        <v>12831</v>
      </c>
      <c r="F335" s="13" t="s">
        <v>5540</v>
      </c>
      <c r="G335" s="13" t="s">
        <v>4864</v>
      </c>
    </row>
    <row r="336" ht="12.75" customHeight="1">
      <c r="A336" s="13" t="s">
        <v>1836</v>
      </c>
      <c r="B336" s="13" t="s">
        <v>12837</v>
      </c>
      <c r="C336" s="13" t="s">
        <v>12851</v>
      </c>
      <c r="E336" s="13" t="s">
        <v>12855</v>
      </c>
      <c r="F336" s="13" t="s">
        <v>5540</v>
      </c>
      <c r="G336" s="13" t="s">
        <v>4856</v>
      </c>
    </row>
    <row r="337" ht="12.75" customHeight="1">
      <c r="A337" s="13" t="s">
        <v>1833</v>
      </c>
      <c r="B337" s="13" t="s">
        <v>12860</v>
      </c>
      <c r="C337" s="13" t="s">
        <v>12870</v>
      </c>
      <c r="E337" s="13" t="s">
        <v>12872</v>
      </c>
      <c r="F337" s="13" t="s">
        <v>5540</v>
      </c>
      <c r="G337" s="13" t="s">
        <v>4856</v>
      </c>
    </row>
    <row r="338" ht="12.75" customHeight="1">
      <c r="A338" s="13" t="s">
        <v>1825</v>
      </c>
      <c r="B338" s="13" t="s">
        <v>12877</v>
      </c>
      <c r="C338" s="13" t="s">
        <v>12887</v>
      </c>
      <c r="E338" s="13" t="s">
        <v>12889</v>
      </c>
      <c r="F338" s="13" t="s">
        <v>5540</v>
      </c>
      <c r="G338" s="13" t="s">
        <v>4864</v>
      </c>
    </row>
    <row r="339" ht="12.75" customHeight="1">
      <c r="A339" s="13" t="s">
        <v>1817</v>
      </c>
      <c r="B339" s="13" t="s">
        <v>12894</v>
      </c>
      <c r="C339" s="13" t="s">
        <v>12901</v>
      </c>
      <c r="E339" s="13" t="s">
        <v>12903</v>
      </c>
      <c r="F339" s="13" t="s">
        <v>5540</v>
      </c>
      <c r="G339" s="13" t="s">
        <v>4864</v>
      </c>
    </row>
    <row r="340" ht="12.75" customHeight="1">
      <c r="A340" s="13" t="s">
        <v>1809</v>
      </c>
      <c r="B340" s="13" t="s">
        <v>12924</v>
      </c>
      <c r="C340" s="13" t="s">
        <v>12932</v>
      </c>
      <c r="E340" s="13" t="s">
        <v>12934</v>
      </c>
      <c r="F340" s="13" t="s">
        <v>5540</v>
      </c>
      <c r="G340" s="13" t="s">
        <v>4864</v>
      </c>
    </row>
    <row r="341" ht="12.75" customHeight="1">
      <c r="A341" s="13" t="s">
        <v>12954</v>
      </c>
      <c r="B341" s="13" t="s">
        <v>12957</v>
      </c>
      <c r="C341" s="13" t="s">
        <v>12968</v>
      </c>
      <c r="E341" s="13" t="s">
        <v>12970</v>
      </c>
      <c r="F341" s="13" t="s">
        <v>5540</v>
      </c>
      <c r="G341" s="13" t="s">
        <v>4864</v>
      </c>
    </row>
    <row r="342" ht="12.75" customHeight="1">
      <c r="A342" s="13" t="s">
        <v>1790</v>
      </c>
      <c r="B342" s="13" t="s">
        <v>12991</v>
      </c>
      <c r="C342" s="13" t="s">
        <v>13001</v>
      </c>
      <c r="E342" s="13" t="s">
        <v>13003</v>
      </c>
      <c r="F342" s="13" t="s">
        <v>5540</v>
      </c>
      <c r="G342" s="13" t="s">
        <v>4856</v>
      </c>
    </row>
    <row r="343" ht="12.75" customHeight="1">
      <c r="A343" s="13" t="s">
        <v>1784</v>
      </c>
      <c r="B343" s="13" t="s">
        <v>13022</v>
      </c>
      <c r="C343" s="13" t="s">
        <v>13028</v>
      </c>
      <c r="E343" s="13" t="s">
        <v>13030</v>
      </c>
      <c r="F343" s="13" t="s">
        <v>5540</v>
      </c>
      <c r="G343" s="13" t="s">
        <v>4856</v>
      </c>
    </row>
    <row r="344" ht="12.75" customHeight="1">
      <c r="A344" s="13" t="s">
        <v>1781</v>
      </c>
      <c r="B344" s="13" t="s">
        <v>13035</v>
      </c>
      <c r="C344" s="13" t="s">
        <v>13045</v>
      </c>
      <c r="E344" s="13" t="s">
        <v>13047</v>
      </c>
      <c r="F344" s="13" t="s">
        <v>5540</v>
      </c>
      <c r="G344" s="13" t="s">
        <v>4852</v>
      </c>
    </row>
    <row r="345" ht="12.75" customHeight="1">
      <c r="A345" s="13" t="s">
        <v>1779</v>
      </c>
      <c r="B345" s="13" t="s">
        <v>13052</v>
      </c>
      <c r="C345" s="13" t="s">
        <v>13060</v>
      </c>
      <c r="E345" s="13" t="s">
        <v>13062</v>
      </c>
      <c r="F345" s="13" t="s">
        <v>9118</v>
      </c>
      <c r="G345" s="13" t="s">
        <v>4856</v>
      </c>
    </row>
    <row r="346" ht="12.75" customHeight="1">
      <c r="A346" s="13" t="s">
        <v>13111</v>
      </c>
      <c r="B346" s="13" t="s">
        <v>13114</v>
      </c>
      <c r="C346" s="13" t="str">
        <f>#REF!</f>
        <v>#REF!</v>
      </c>
      <c r="E346" s="13" t="s">
        <v>13127</v>
      </c>
      <c r="F346" s="13" t="s">
        <v>5540</v>
      </c>
      <c r="G346" s="13" t="s">
        <v>4856</v>
      </c>
    </row>
    <row r="347" ht="12.75" customHeight="1">
      <c r="A347" s="13" t="s">
        <v>1764</v>
      </c>
      <c r="B347" s="13" t="s">
        <v>13131</v>
      </c>
      <c r="C347" s="13" t="s">
        <v>13140</v>
      </c>
      <c r="E347" s="13" t="s">
        <v>13142</v>
      </c>
      <c r="F347" s="13" t="s">
        <v>5540</v>
      </c>
      <c r="G347" s="13" t="s">
        <v>4856</v>
      </c>
    </row>
    <row r="348" ht="12.75" customHeight="1">
      <c r="A348" s="13" t="s">
        <v>1759</v>
      </c>
      <c r="B348" s="13" t="s">
        <v>13166</v>
      </c>
      <c r="C348" s="13" t="s">
        <v>13180</v>
      </c>
      <c r="E348" s="13" t="s">
        <v>13182</v>
      </c>
      <c r="F348" s="13" t="s">
        <v>5540</v>
      </c>
      <c r="G348" s="13" t="s">
        <v>4852</v>
      </c>
    </row>
    <row r="349" ht="12.75" customHeight="1">
      <c r="A349" s="13" t="s">
        <v>1754</v>
      </c>
      <c r="B349" s="13" t="s">
        <v>13214</v>
      </c>
      <c r="C349" s="13" t="s">
        <v>13223</v>
      </c>
      <c r="E349" s="13" t="s">
        <v>13225</v>
      </c>
      <c r="F349" s="13" t="s">
        <v>5540</v>
      </c>
      <c r="G349" s="13" t="s">
        <v>4856</v>
      </c>
    </row>
    <row r="350" ht="12.75" customHeight="1">
      <c r="A350" s="13" t="s">
        <v>1750</v>
      </c>
      <c r="B350" s="13" t="s">
        <v>13254</v>
      </c>
      <c r="C350" s="13" t="s">
        <v>13266</v>
      </c>
      <c r="E350" s="13" t="s">
        <v>13268</v>
      </c>
      <c r="F350" s="13" t="s">
        <v>5540</v>
      </c>
      <c r="G350" s="13" t="s">
        <v>4886</v>
      </c>
    </row>
    <row r="351" ht="12.75" customHeight="1">
      <c r="A351" s="13" t="s">
        <v>1748</v>
      </c>
      <c r="B351" s="13" t="s">
        <v>13273</v>
      </c>
      <c r="C351" s="13" t="s">
        <v>13284</v>
      </c>
      <c r="E351" s="13" t="s">
        <v>13286</v>
      </c>
      <c r="F351" s="13" t="s">
        <v>5540</v>
      </c>
      <c r="G351" s="13" t="s">
        <v>4856</v>
      </c>
    </row>
    <row r="352" ht="12.75" customHeight="1">
      <c r="A352" s="13" t="s">
        <v>1744</v>
      </c>
      <c r="B352" s="13" t="s">
        <v>13290</v>
      </c>
      <c r="C352" s="13" t="str">
        <f>#REF!</f>
        <v>#REF!</v>
      </c>
      <c r="E352" s="13" t="s">
        <v>13300</v>
      </c>
      <c r="F352" s="13" t="s">
        <v>5540</v>
      </c>
      <c r="G352" s="13" t="s">
        <v>4886</v>
      </c>
    </row>
    <row r="353" ht="12.75" customHeight="1">
      <c r="A353" s="13" t="s">
        <v>1738</v>
      </c>
      <c r="B353" s="13" t="s">
        <v>13323</v>
      </c>
      <c r="C353" s="13" t="s">
        <v>13333</v>
      </c>
      <c r="E353" s="13" t="s">
        <v>13336</v>
      </c>
      <c r="F353" s="13" t="s">
        <v>5540</v>
      </c>
      <c r="G353" s="13" t="s">
        <v>4886</v>
      </c>
    </row>
    <row r="354" ht="12.75" customHeight="1">
      <c r="A354" s="13" t="s">
        <v>1727</v>
      </c>
      <c r="B354" s="13" t="s">
        <v>13358</v>
      </c>
      <c r="C354" s="13" t="s">
        <v>13369</v>
      </c>
      <c r="E354" s="13" t="s">
        <v>13371</v>
      </c>
      <c r="F354" s="13" t="s">
        <v>5540</v>
      </c>
      <c r="G354" s="13" t="s">
        <v>4856</v>
      </c>
    </row>
    <row r="355" ht="12.75" customHeight="1">
      <c r="A355" s="13" t="s">
        <v>1721</v>
      </c>
      <c r="B355" s="13" t="s">
        <v>13388</v>
      </c>
      <c r="C355" s="13" t="s">
        <v>13394</v>
      </c>
      <c r="E355" s="13" t="s">
        <v>13396</v>
      </c>
      <c r="F355" s="13" t="s">
        <v>5540</v>
      </c>
      <c r="G355" s="13" t="s">
        <v>4856</v>
      </c>
    </row>
    <row r="356" ht="12.75" customHeight="1">
      <c r="A356" s="13" t="s">
        <v>1711</v>
      </c>
      <c r="B356" s="13" t="s">
        <v>13433</v>
      </c>
      <c r="C356" s="13" t="s">
        <v>13443</v>
      </c>
      <c r="E356" s="13" t="s">
        <v>13445</v>
      </c>
      <c r="F356" s="13" t="s">
        <v>5540</v>
      </c>
      <c r="G356" s="13" t="s">
        <v>4855</v>
      </c>
    </row>
    <row r="357" ht="12.75" customHeight="1">
      <c r="A357" s="13" t="s">
        <v>13448</v>
      </c>
      <c r="B357" s="13" t="s">
        <v>13450</v>
      </c>
      <c r="C357" s="13" t="s">
        <v>13457</v>
      </c>
      <c r="E357" s="13" t="s">
        <v>13459</v>
      </c>
      <c r="F357" s="13" t="s">
        <v>5540</v>
      </c>
      <c r="G357" s="13" t="s">
        <v>4856</v>
      </c>
    </row>
    <row r="358" ht="12.75" customHeight="1">
      <c r="A358" s="13" t="s">
        <v>1703</v>
      </c>
      <c r="B358" s="13" t="s">
        <v>13480</v>
      </c>
      <c r="C358" s="13" t="s">
        <v>13487</v>
      </c>
      <c r="E358" s="13" t="s">
        <v>13488</v>
      </c>
      <c r="F358" s="13" t="s">
        <v>5540</v>
      </c>
      <c r="G358" s="13" t="s">
        <v>4864</v>
      </c>
    </row>
    <row r="359" ht="12.75" customHeight="1">
      <c r="A359" s="13" t="s">
        <v>1695</v>
      </c>
      <c r="B359" s="13" t="s">
        <v>13513</v>
      </c>
      <c r="C359" s="13" t="s">
        <v>13520</v>
      </c>
      <c r="E359" s="13" t="s">
        <v>13522</v>
      </c>
      <c r="F359" s="13" t="s">
        <v>5540</v>
      </c>
      <c r="G359" s="13" t="s">
        <v>4856</v>
      </c>
    </row>
    <row r="360" ht="12.75" customHeight="1">
      <c r="A360" s="13" t="s">
        <v>1692</v>
      </c>
      <c r="B360" s="13" t="s">
        <v>13528</v>
      </c>
      <c r="C360" s="13" t="str">
        <f>#REF!</f>
        <v>#REF!</v>
      </c>
      <c r="E360" s="13" t="s">
        <v>13544</v>
      </c>
      <c r="F360" s="13" t="s">
        <v>5540</v>
      </c>
      <c r="G360" s="13" t="s">
        <v>4852</v>
      </c>
    </row>
    <row r="361" ht="12.75" customHeight="1">
      <c r="A361" s="13" t="s">
        <v>1688</v>
      </c>
      <c r="B361" s="13" t="s">
        <v>13550</v>
      </c>
      <c r="C361" s="13" t="s">
        <v>13560</v>
      </c>
      <c r="E361" s="13" t="s">
        <v>13564</v>
      </c>
      <c r="F361" s="13" t="s">
        <v>5540</v>
      </c>
      <c r="G361" s="13" t="s">
        <v>4852</v>
      </c>
    </row>
    <row r="362" ht="12.75" customHeight="1">
      <c r="A362" s="13" t="s">
        <v>1678</v>
      </c>
      <c r="B362" s="13" t="s">
        <v>13569</v>
      </c>
      <c r="C362" s="13" t="s">
        <v>13579</v>
      </c>
      <c r="E362" s="13" t="s">
        <v>13581</v>
      </c>
      <c r="F362" s="13" t="s">
        <v>5540</v>
      </c>
      <c r="G362" s="13" t="s">
        <v>4856</v>
      </c>
    </row>
    <row r="363" ht="12.75" customHeight="1">
      <c r="A363" s="13" t="s">
        <v>1673</v>
      </c>
      <c r="B363" s="13" t="s">
        <v>13601</v>
      </c>
      <c r="C363" s="13" t="s">
        <v>13610</v>
      </c>
      <c r="E363" s="13" t="s">
        <v>13612</v>
      </c>
      <c r="F363" s="13" t="s">
        <v>5540</v>
      </c>
      <c r="G363" s="13" t="s">
        <v>4856</v>
      </c>
    </row>
    <row r="364" ht="12.75" customHeight="1">
      <c r="A364" s="13" t="s">
        <v>1667</v>
      </c>
      <c r="B364" s="13" t="s">
        <v>13633</v>
      </c>
      <c r="C364" s="13" t="s">
        <v>13644</v>
      </c>
      <c r="E364" s="13" t="s">
        <v>13646</v>
      </c>
      <c r="F364" s="13" t="s">
        <v>5540</v>
      </c>
      <c r="G364" s="13" t="s">
        <v>4864</v>
      </c>
    </row>
    <row r="365" ht="12.75" customHeight="1">
      <c r="A365" s="13" t="s">
        <v>1664</v>
      </c>
      <c r="B365" s="13" t="s">
        <v>13652</v>
      </c>
      <c r="C365" s="13" t="s">
        <v>13663</v>
      </c>
      <c r="E365" s="13" t="s">
        <v>13665</v>
      </c>
      <c r="F365" s="13" t="s">
        <v>5540</v>
      </c>
      <c r="G365" s="13" t="s">
        <v>4852</v>
      </c>
    </row>
    <row r="366" ht="12.75" customHeight="1">
      <c r="A366" s="2" t="s">
        <v>1658</v>
      </c>
      <c r="B366" s="13" t="s">
        <v>13670</v>
      </c>
      <c r="C366" s="13" t="s">
        <v>13680</v>
      </c>
      <c r="E366" s="13" t="s">
        <v>13682</v>
      </c>
      <c r="F366" s="13" t="s">
        <v>5540</v>
      </c>
      <c r="G366" s="13" t="s">
        <v>5083</v>
      </c>
    </row>
    <row r="367" ht="12.75" customHeight="1">
      <c r="A367" s="13" t="s">
        <v>13758</v>
      </c>
      <c r="B367" s="13" t="s">
        <v>13761</v>
      </c>
      <c r="C367" s="13" t="s">
        <v>13771</v>
      </c>
      <c r="E367" s="13" t="s">
        <v>13773</v>
      </c>
      <c r="F367" s="13" t="s">
        <v>5540</v>
      </c>
      <c r="G367" s="13" t="s">
        <v>4856</v>
      </c>
    </row>
    <row r="368" ht="12.75" customHeight="1">
      <c r="A368" s="13" t="s">
        <v>1625</v>
      </c>
      <c r="B368" s="13" t="s">
        <v>13823</v>
      </c>
      <c r="C368" s="13" t="s">
        <v>13833</v>
      </c>
      <c r="E368" s="13" t="s">
        <v>13834</v>
      </c>
      <c r="F368" s="13" t="s">
        <v>5540</v>
      </c>
      <c r="G368" s="13" t="s">
        <v>4852</v>
      </c>
    </row>
    <row r="369" ht="12.75" customHeight="1">
      <c r="A369" s="13" t="s">
        <v>13837</v>
      </c>
      <c r="B369" s="13" t="s">
        <v>13839</v>
      </c>
      <c r="C369" s="13" t="s">
        <v>13851</v>
      </c>
      <c r="E369" s="13" t="s">
        <v>13853</v>
      </c>
      <c r="F369" s="13" t="s">
        <v>5540</v>
      </c>
      <c r="G369" s="13" t="s">
        <v>4856</v>
      </c>
    </row>
    <row r="370" ht="12.75" customHeight="1">
      <c r="A370" s="13" t="s">
        <v>1615</v>
      </c>
      <c r="B370" s="13" t="s">
        <v>13892</v>
      </c>
      <c r="C370" s="13" t="s">
        <v>13901</v>
      </c>
      <c r="E370" s="13" t="s">
        <v>13903</v>
      </c>
      <c r="F370" s="13" t="s">
        <v>5540</v>
      </c>
      <c r="G370" s="13" t="s">
        <v>4856</v>
      </c>
    </row>
    <row r="371" ht="12.75" customHeight="1">
      <c r="A371" s="13" t="s">
        <v>1607</v>
      </c>
      <c r="B371" s="13" t="s">
        <v>13953</v>
      </c>
      <c r="C371" s="13" t="s">
        <v>13964</v>
      </c>
      <c r="E371" s="13" t="s">
        <v>13966</v>
      </c>
      <c r="F371" s="13" t="s">
        <v>5540</v>
      </c>
      <c r="G371" s="13" t="s">
        <v>4852</v>
      </c>
    </row>
    <row r="372" ht="12.75" customHeight="1">
      <c r="A372" s="13" t="s">
        <v>1602</v>
      </c>
      <c r="B372" s="13" t="s">
        <v>13988</v>
      </c>
      <c r="C372" s="13" t="s">
        <v>13998</v>
      </c>
      <c r="E372" s="13" t="s">
        <v>14000</v>
      </c>
      <c r="F372" s="13" t="s">
        <v>5540</v>
      </c>
      <c r="G372" s="13" t="s">
        <v>4856</v>
      </c>
    </row>
    <row r="373" ht="12.75" customHeight="1">
      <c r="A373" s="13" t="s">
        <v>1598</v>
      </c>
      <c r="B373" s="13" t="s">
        <v>14006</v>
      </c>
      <c r="C373" s="13" t="s">
        <v>14020</v>
      </c>
      <c r="E373" s="13" t="s">
        <v>14022</v>
      </c>
      <c r="F373" s="13" t="s">
        <v>5540</v>
      </c>
      <c r="G373" s="13" t="s">
        <v>4856</v>
      </c>
    </row>
    <row r="374" ht="12.75" customHeight="1">
      <c r="A374" s="13" t="s">
        <v>1593</v>
      </c>
      <c r="B374" s="13" t="s">
        <v>14043</v>
      </c>
      <c r="C374" s="13" t="s">
        <v>14054</v>
      </c>
      <c r="E374" s="13" t="s">
        <v>14056</v>
      </c>
      <c r="F374" s="13" t="s">
        <v>5540</v>
      </c>
      <c r="G374" s="13" t="s">
        <v>4856</v>
      </c>
    </row>
    <row r="375" ht="12.75" customHeight="1">
      <c r="A375" s="13" t="s">
        <v>1591</v>
      </c>
      <c r="B375" s="13" t="s">
        <v>14060</v>
      </c>
      <c r="C375" s="13" t="s">
        <v>14071</v>
      </c>
      <c r="E375" s="13" t="s">
        <v>14073</v>
      </c>
      <c r="F375" s="13" t="s">
        <v>5540</v>
      </c>
      <c r="G375" s="13" t="s">
        <v>4864</v>
      </c>
    </row>
    <row r="376" ht="12.75" customHeight="1">
      <c r="A376" s="13" t="s">
        <v>14076</v>
      </c>
      <c r="B376" s="13" t="s">
        <v>14079</v>
      </c>
      <c r="C376" s="13" t="s">
        <v>14088</v>
      </c>
      <c r="E376" s="13" t="s">
        <v>14090</v>
      </c>
      <c r="F376" s="13" t="s">
        <v>5540</v>
      </c>
      <c r="G376" s="13" t="s">
        <v>4864</v>
      </c>
    </row>
    <row r="377" ht="12.75" customHeight="1">
      <c r="A377" s="13" t="s">
        <v>14093</v>
      </c>
      <c r="B377" s="13" t="s">
        <v>14095</v>
      </c>
      <c r="C377" s="13" t="s">
        <v>14106</v>
      </c>
      <c r="E377" s="13" t="s">
        <v>14108</v>
      </c>
      <c r="F377" s="13" t="s">
        <v>5540</v>
      </c>
      <c r="G377" s="13" t="s">
        <v>4852</v>
      </c>
    </row>
    <row r="378" ht="12.75" customHeight="1">
      <c r="A378" s="13" t="s">
        <v>1585</v>
      </c>
      <c r="B378" s="13" t="s">
        <v>14113</v>
      </c>
      <c r="C378" s="13" t="s">
        <v>14124</v>
      </c>
      <c r="E378" s="13" t="s">
        <v>14126</v>
      </c>
      <c r="F378" s="13" t="s">
        <v>5540</v>
      </c>
      <c r="G378" s="13" t="s">
        <v>4852</v>
      </c>
    </row>
    <row r="379" ht="12.75" customHeight="1">
      <c r="A379" s="13" t="s">
        <v>1571</v>
      </c>
      <c r="B379" s="13" t="s">
        <v>14151</v>
      </c>
      <c r="C379" s="13" t="s">
        <v>14161</v>
      </c>
      <c r="E379" s="13" t="s">
        <v>14163</v>
      </c>
      <c r="F379" s="13" t="s">
        <v>11683</v>
      </c>
      <c r="G379" s="13" t="s">
        <v>4856</v>
      </c>
    </row>
    <row r="380" ht="12.75" customHeight="1">
      <c r="A380" s="13" t="s">
        <v>1568</v>
      </c>
      <c r="B380" s="13" t="s">
        <v>14168</v>
      </c>
      <c r="C380" s="13" t="s">
        <v>14178</v>
      </c>
      <c r="E380" s="13" t="s">
        <v>14179</v>
      </c>
      <c r="F380" s="13" t="s">
        <v>5540</v>
      </c>
      <c r="G380" s="13" t="s">
        <v>4864</v>
      </c>
    </row>
    <row r="381" ht="12.75" customHeight="1">
      <c r="A381" s="13" t="s">
        <v>1565</v>
      </c>
      <c r="B381" s="13" t="s">
        <v>14184</v>
      </c>
      <c r="C381" s="13" t="s">
        <v>14194</v>
      </c>
      <c r="E381" s="13" t="s">
        <v>14196</v>
      </c>
      <c r="F381" s="13" t="s">
        <v>5540</v>
      </c>
      <c r="G381" s="13" t="s">
        <v>4856</v>
      </c>
    </row>
    <row r="382" ht="12.75" customHeight="1">
      <c r="A382" s="13" t="s">
        <v>1559</v>
      </c>
      <c r="B382" s="13" t="s">
        <v>14220</v>
      </c>
      <c r="C382" s="13" t="str">
        <f>#REF!</f>
        <v>#REF!</v>
      </c>
      <c r="E382" s="13" t="s">
        <v>14236</v>
      </c>
      <c r="F382" s="13" t="s">
        <v>5540</v>
      </c>
      <c r="G382" s="13" t="s">
        <v>4852</v>
      </c>
    </row>
    <row r="383" ht="12.75" customHeight="1">
      <c r="A383" s="13" t="s">
        <v>1555</v>
      </c>
      <c r="B383" s="13" t="s">
        <v>14242</v>
      </c>
      <c r="C383" s="13" t="s">
        <v>14251</v>
      </c>
      <c r="E383" s="13" t="s">
        <v>14253</v>
      </c>
      <c r="F383" s="13" t="s">
        <v>5540</v>
      </c>
      <c r="G383" s="13" t="s">
        <v>4856</v>
      </c>
    </row>
    <row r="384" ht="12.75" customHeight="1">
      <c r="A384" s="13" t="s">
        <v>1550</v>
      </c>
      <c r="B384" s="13" t="s">
        <v>14272</v>
      </c>
      <c r="C384" s="13" t="s">
        <v>14281</v>
      </c>
      <c r="E384" s="13" t="s">
        <v>14283</v>
      </c>
      <c r="F384" s="13" t="s">
        <v>5540</v>
      </c>
      <c r="G384" s="13" t="s">
        <v>4852</v>
      </c>
    </row>
    <row r="385" ht="12.75" customHeight="1">
      <c r="A385" s="13" t="s">
        <v>1543</v>
      </c>
      <c r="B385" s="13" t="s">
        <v>14306</v>
      </c>
      <c r="C385" s="13" t="s">
        <v>14313</v>
      </c>
      <c r="E385" s="13" t="s">
        <v>14315</v>
      </c>
      <c r="F385" s="13" t="s">
        <v>5540</v>
      </c>
      <c r="G385" s="13" t="s">
        <v>4864</v>
      </c>
    </row>
    <row r="386" ht="12.75" customHeight="1">
      <c r="A386" s="13" t="s">
        <v>1534</v>
      </c>
      <c r="B386" s="13" t="s">
        <v>14354</v>
      </c>
      <c r="C386" s="13" t="s">
        <v>14363</v>
      </c>
      <c r="E386" s="13" t="s">
        <v>14365</v>
      </c>
      <c r="F386" s="13" t="s">
        <v>5540</v>
      </c>
      <c r="G386" s="13" t="s">
        <v>4856</v>
      </c>
    </row>
    <row r="387" ht="12.75" customHeight="1">
      <c r="A387" s="13" t="s">
        <v>1532</v>
      </c>
      <c r="B387" s="13" t="s">
        <v>14370</v>
      </c>
      <c r="C387" s="13" t="s">
        <v>14380</v>
      </c>
      <c r="E387" s="13" t="s">
        <v>14381</v>
      </c>
      <c r="F387" s="13" t="s">
        <v>5540</v>
      </c>
      <c r="G387" s="13" t="s">
        <v>4856</v>
      </c>
    </row>
    <row r="388" ht="12.75" customHeight="1">
      <c r="A388" s="13" t="s">
        <v>1529</v>
      </c>
      <c r="B388" s="13" t="s">
        <v>14385</v>
      </c>
      <c r="C388" s="13" t="s">
        <v>14395</v>
      </c>
      <c r="E388" s="13" t="s">
        <v>14397</v>
      </c>
      <c r="F388" s="13" t="s">
        <v>5540</v>
      </c>
      <c r="G388" s="13" t="s">
        <v>4864</v>
      </c>
    </row>
    <row r="389" ht="12.75" customHeight="1">
      <c r="A389" s="13" t="s">
        <v>1527</v>
      </c>
      <c r="B389" s="13" t="s">
        <v>14402</v>
      </c>
      <c r="C389" s="13" t="s">
        <v>14411</v>
      </c>
      <c r="E389" s="13" t="s">
        <v>14413</v>
      </c>
      <c r="F389" s="13" t="s">
        <v>5540</v>
      </c>
      <c r="G389" s="13" t="s">
        <v>4856</v>
      </c>
    </row>
    <row r="390" ht="12.75" customHeight="1">
      <c r="A390" s="2" t="s">
        <v>1525</v>
      </c>
      <c r="B390" s="13" t="s">
        <v>5510</v>
      </c>
      <c r="C390" s="13" t="s">
        <v>14419</v>
      </c>
      <c r="E390" s="13" t="s">
        <v>14420</v>
      </c>
      <c r="F390" s="13" t="s">
        <v>5540</v>
      </c>
      <c r="G390" s="13" t="s">
        <v>4864</v>
      </c>
    </row>
    <row r="391" ht="12.75" customHeight="1">
      <c r="A391" s="13" t="s">
        <v>14423</v>
      </c>
      <c r="B391" s="13" t="s">
        <v>14425</v>
      </c>
      <c r="C391" s="13" t="s">
        <v>14437</v>
      </c>
      <c r="E391" s="13" t="s">
        <v>14439</v>
      </c>
      <c r="F391" s="13" t="s">
        <v>5540</v>
      </c>
      <c r="G391" s="13" t="s">
        <v>4864</v>
      </c>
    </row>
    <row r="392" ht="12.75" customHeight="1">
      <c r="A392" s="13" t="s">
        <v>14458</v>
      </c>
      <c r="B392" s="13" t="s">
        <v>14466</v>
      </c>
      <c r="C392" s="13" t="str">
        <f>#REF!</f>
        <v>#REF!</v>
      </c>
      <c r="E392" s="13" t="s">
        <v>14475</v>
      </c>
      <c r="F392" s="13" t="s">
        <v>5540</v>
      </c>
      <c r="G392" s="13" t="s">
        <v>4856</v>
      </c>
    </row>
    <row r="393" ht="12.75" customHeight="1">
      <c r="A393" s="13" t="s">
        <v>1517</v>
      </c>
      <c r="B393" s="13" t="s">
        <v>14480</v>
      </c>
      <c r="C393" s="13" t="s">
        <v>14488</v>
      </c>
      <c r="E393" s="13" t="s">
        <v>14489</v>
      </c>
      <c r="F393" s="13" t="s">
        <v>5540</v>
      </c>
      <c r="G393" s="13" t="s">
        <v>4856</v>
      </c>
    </row>
    <row r="394" ht="12.75" customHeight="1">
      <c r="A394" s="13" t="s">
        <v>1514</v>
      </c>
      <c r="B394" s="13" t="s">
        <v>14493</v>
      </c>
      <c r="C394" s="13" t="s">
        <v>14503</v>
      </c>
      <c r="E394" s="13" t="s">
        <v>14505</v>
      </c>
      <c r="F394" s="13" t="s">
        <v>5540</v>
      </c>
      <c r="G394" s="13" t="s">
        <v>4864</v>
      </c>
    </row>
    <row r="395" ht="12.75" customHeight="1">
      <c r="A395" s="13" t="s">
        <v>14508</v>
      </c>
      <c r="B395" s="13" t="s">
        <v>14510</v>
      </c>
      <c r="C395" s="13" t="s">
        <v>14522</v>
      </c>
      <c r="E395" s="13" t="s">
        <v>14524</v>
      </c>
      <c r="F395" s="13" t="s">
        <v>5540</v>
      </c>
      <c r="G395" s="13" t="s">
        <v>4856</v>
      </c>
    </row>
    <row r="396" ht="12.75" customHeight="1">
      <c r="A396" s="13" t="s">
        <v>14527</v>
      </c>
      <c r="B396" s="13" t="s">
        <v>14529</v>
      </c>
      <c r="C396" s="13" t="s">
        <v>14539</v>
      </c>
      <c r="E396" s="13" t="s">
        <v>14541</v>
      </c>
      <c r="F396" s="13" t="s">
        <v>5540</v>
      </c>
      <c r="G396" s="13" t="s">
        <v>4856</v>
      </c>
    </row>
    <row r="397" ht="12.75" customHeight="1">
      <c r="A397" s="2" t="s">
        <v>1507</v>
      </c>
      <c r="B397" s="13" t="s">
        <v>14546</v>
      </c>
      <c r="C397" s="13" t="s">
        <v>14556</v>
      </c>
      <c r="E397" s="13" t="s">
        <v>14558</v>
      </c>
      <c r="F397" s="13" t="s">
        <v>5540</v>
      </c>
      <c r="G397" s="13" t="s">
        <v>4856</v>
      </c>
    </row>
    <row r="398" ht="12.75" customHeight="1">
      <c r="A398" s="13" t="s">
        <v>1500</v>
      </c>
      <c r="B398" s="13" t="s">
        <v>14584</v>
      </c>
      <c r="C398" s="13" t="s">
        <v>14590</v>
      </c>
      <c r="E398" s="13" t="s">
        <v>14592</v>
      </c>
      <c r="F398" s="13" t="s">
        <v>5540</v>
      </c>
      <c r="G398" s="13" t="s">
        <v>4856</v>
      </c>
    </row>
    <row r="399" ht="12.75" customHeight="1">
      <c r="A399" s="13" t="s">
        <v>1497</v>
      </c>
      <c r="B399" s="13" t="s">
        <v>14597</v>
      </c>
      <c r="C399" s="13" t="s">
        <v>14606</v>
      </c>
      <c r="E399" s="13" t="s">
        <v>14608</v>
      </c>
      <c r="F399" s="13" t="s">
        <v>5540</v>
      </c>
      <c r="G399" s="13" t="s">
        <v>4864</v>
      </c>
    </row>
    <row r="400" ht="12.75" customHeight="1">
      <c r="A400" s="13" t="s">
        <v>1488</v>
      </c>
      <c r="B400" s="13" t="s">
        <v>14645</v>
      </c>
      <c r="C400" s="13" t="s">
        <v>14655</v>
      </c>
      <c r="E400" s="13" t="s">
        <v>14657</v>
      </c>
      <c r="F400" s="13" t="s">
        <v>5540</v>
      </c>
      <c r="G400" s="13" t="s">
        <v>4864</v>
      </c>
    </row>
    <row r="401" ht="12.75" customHeight="1">
      <c r="A401" s="2" t="s">
        <v>1486</v>
      </c>
      <c r="B401" s="13" t="s">
        <v>14662</v>
      </c>
      <c r="C401" s="13" t="s">
        <v>14669</v>
      </c>
      <c r="E401" s="13" t="s">
        <v>14671</v>
      </c>
      <c r="F401" s="13" t="s">
        <v>5540</v>
      </c>
      <c r="G401" s="13" t="s">
        <v>4856</v>
      </c>
    </row>
    <row r="402" ht="12.75" customHeight="1">
      <c r="A402" s="13" t="s">
        <v>1483</v>
      </c>
      <c r="B402" s="13" t="s">
        <v>14676</v>
      </c>
      <c r="C402" s="13" t="s">
        <v>14682</v>
      </c>
      <c r="E402" s="13" t="s">
        <v>14684</v>
      </c>
      <c r="F402" s="13" t="s">
        <v>9118</v>
      </c>
      <c r="G402" s="13" t="s">
        <v>4856</v>
      </c>
    </row>
    <row r="403" ht="12.75" customHeight="1">
      <c r="A403" s="13" t="s">
        <v>1480</v>
      </c>
      <c r="B403" s="13" t="s">
        <v>14689</v>
      </c>
      <c r="C403" s="13" t="s">
        <v>14699</v>
      </c>
      <c r="E403" s="13" t="s">
        <v>14701</v>
      </c>
      <c r="F403" s="13" t="s">
        <v>5540</v>
      </c>
      <c r="G403" s="13" t="s">
        <v>4856</v>
      </c>
    </row>
    <row r="404" ht="12.75" customHeight="1">
      <c r="A404" s="13" t="s">
        <v>1475</v>
      </c>
      <c r="B404" s="13" t="s">
        <v>14721</v>
      </c>
      <c r="C404" s="13" t="s">
        <v>14730</v>
      </c>
      <c r="E404" s="13" t="s">
        <v>14732</v>
      </c>
      <c r="F404" s="13" t="s">
        <v>5540</v>
      </c>
      <c r="G404" s="13" t="s">
        <v>4856</v>
      </c>
    </row>
    <row r="405" ht="12.75" customHeight="1">
      <c r="A405" s="13" t="s">
        <v>1469</v>
      </c>
      <c r="B405" s="13" t="s">
        <v>14753</v>
      </c>
      <c r="C405" s="13" t="s">
        <v>14762</v>
      </c>
      <c r="E405" s="13" t="s">
        <v>14764</v>
      </c>
      <c r="F405" s="13" t="s">
        <v>5540</v>
      </c>
      <c r="G405" s="13" t="s">
        <v>4856</v>
      </c>
    </row>
    <row r="406" ht="12.75" customHeight="1">
      <c r="A406" s="13" t="s">
        <v>1466</v>
      </c>
      <c r="B406" s="13" t="s">
        <v>14769</v>
      </c>
      <c r="C406" s="13" t="s">
        <v>14776</v>
      </c>
      <c r="E406" s="13" t="s">
        <v>14778</v>
      </c>
      <c r="F406" s="13" t="s">
        <v>5540</v>
      </c>
      <c r="G406" s="13" t="s">
        <v>4856</v>
      </c>
    </row>
    <row r="407" ht="12.75" customHeight="1">
      <c r="A407" s="13" t="s">
        <v>1464</v>
      </c>
      <c r="B407" s="13" t="s">
        <v>14783</v>
      </c>
      <c r="C407" s="13" t="s">
        <v>14792</v>
      </c>
      <c r="E407" s="13" t="s">
        <v>14794</v>
      </c>
      <c r="F407" s="13" t="s">
        <v>5540</v>
      </c>
      <c r="G407" s="13" t="s">
        <v>4856</v>
      </c>
    </row>
    <row r="408" ht="12.75" customHeight="1">
      <c r="A408" s="13" t="s">
        <v>1458</v>
      </c>
      <c r="B408" s="13" t="s">
        <v>14815</v>
      </c>
      <c r="C408" s="13" t="s">
        <v>14825</v>
      </c>
      <c r="E408" s="13" t="s">
        <v>14827</v>
      </c>
      <c r="F408" s="13" t="s">
        <v>5540</v>
      </c>
      <c r="G408" s="13" t="s">
        <v>4856</v>
      </c>
    </row>
    <row r="409" ht="12.75" customHeight="1">
      <c r="A409" s="13" t="s">
        <v>1433</v>
      </c>
      <c r="B409" s="13" t="s">
        <v>14905</v>
      </c>
      <c r="C409" s="13" t="s">
        <v>14912</v>
      </c>
      <c r="E409" s="13" t="s">
        <v>14914</v>
      </c>
      <c r="F409" s="13" t="s">
        <v>5540</v>
      </c>
      <c r="G409" s="13" t="s">
        <v>4852</v>
      </c>
    </row>
    <row r="410" ht="12.75" customHeight="1">
      <c r="A410" s="13" t="s">
        <v>1431</v>
      </c>
      <c r="B410" s="13" t="s">
        <v>14920</v>
      </c>
      <c r="C410" s="13" t="s">
        <v>14931</v>
      </c>
      <c r="E410" s="13" t="s">
        <v>14933</v>
      </c>
      <c r="F410" s="13" t="s">
        <v>5540</v>
      </c>
      <c r="G410" s="13" t="s">
        <v>4864</v>
      </c>
    </row>
    <row r="411" ht="12.75" customHeight="1">
      <c r="A411" s="13" t="s">
        <v>1428</v>
      </c>
      <c r="B411" s="13" t="s">
        <v>14938</v>
      </c>
      <c r="C411" s="13" t="s">
        <v>14948</v>
      </c>
      <c r="E411" s="13" t="s">
        <v>14951</v>
      </c>
      <c r="F411" s="13" t="s">
        <v>5540</v>
      </c>
      <c r="G411" s="13" t="s">
        <v>4856</v>
      </c>
    </row>
    <row r="412" ht="12.75" customHeight="1">
      <c r="A412" s="13" t="s">
        <v>1424</v>
      </c>
      <c r="B412" s="13" t="s">
        <v>14982</v>
      </c>
      <c r="C412" s="13" t="s">
        <v>14990</v>
      </c>
      <c r="E412" s="13" t="s">
        <v>14992</v>
      </c>
      <c r="F412" s="13" t="s">
        <v>5540</v>
      </c>
      <c r="G412" s="13" t="s">
        <v>4864</v>
      </c>
    </row>
    <row r="413" ht="12.75" customHeight="1">
      <c r="A413" s="13" t="s">
        <v>14995</v>
      </c>
      <c r="B413" s="13" t="s">
        <v>14997</v>
      </c>
      <c r="C413" s="13" t="s">
        <v>15009</v>
      </c>
      <c r="E413" s="13" t="s">
        <v>15011</v>
      </c>
      <c r="F413" s="13" t="s">
        <v>5540</v>
      </c>
      <c r="G413" s="13" t="s">
        <v>4856</v>
      </c>
    </row>
    <row r="414" ht="12.75" customHeight="1">
      <c r="A414" s="13" t="s">
        <v>1407</v>
      </c>
      <c r="B414" s="13" t="s">
        <v>15031</v>
      </c>
      <c r="C414" s="13" t="s">
        <v>15045</v>
      </c>
      <c r="E414" s="13" t="s">
        <v>15047</v>
      </c>
      <c r="F414" s="13" t="s">
        <v>5540</v>
      </c>
      <c r="G414" s="13" t="s">
        <v>4856</v>
      </c>
    </row>
    <row r="415" ht="12.75" customHeight="1">
      <c r="A415" s="13" t="s">
        <v>1394</v>
      </c>
      <c r="B415" s="13" t="s">
        <v>15068</v>
      </c>
      <c r="C415" s="13" t="s">
        <v>15077</v>
      </c>
      <c r="E415" s="13" t="s">
        <v>15079</v>
      </c>
      <c r="F415" s="13" t="s">
        <v>5540</v>
      </c>
      <c r="G415" s="13" t="s">
        <v>4856</v>
      </c>
    </row>
    <row r="416" ht="12.75" customHeight="1">
      <c r="A416" s="13" t="s">
        <v>1392</v>
      </c>
      <c r="B416" s="13" t="s">
        <v>15083</v>
      </c>
      <c r="C416" s="13" t="s">
        <v>15093</v>
      </c>
      <c r="E416" s="13" t="s">
        <v>15095</v>
      </c>
      <c r="F416" s="13" t="s">
        <v>5540</v>
      </c>
      <c r="G416" s="13" t="s">
        <v>4864</v>
      </c>
    </row>
    <row r="417" ht="12.75" customHeight="1">
      <c r="A417" s="13" t="s">
        <v>15098</v>
      </c>
      <c r="B417" s="13" t="s">
        <v>15101</v>
      </c>
      <c r="C417" s="13" t="s">
        <v>15110</v>
      </c>
      <c r="E417" s="13" t="s">
        <v>15112</v>
      </c>
      <c r="F417" s="13" t="s">
        <v>5540</v>
      </c>
      <c r="G417" s="13" t="s">
        <v>4856</v>
      </c>
    </row>
    <row r="418" ht="12.75" customHeight="1">
      <c r="A418" s="13" t="s">
        <v>1387</v>
      </c>
      <c r="B418" s="13" t="s">
        <v>15117</v>
      </c>
      <c r="C418" s="13" t="s">
        <v>15128</v>
      </c>
      <c r="E418" s="13" t="s">
        <v>15130</v>
      </c>
      <c r="F418" s="13" t="s">
        <v>5540</v>
      </c>
      <c r="G418" s="13" t="s">
        <v>4856</v>
      </c>
    </row>
    <row r="419" ht="12.75" customHeight="1">
      <c r="A419" s="13" t="s">
        <v>1383</v>
      </c>
      <c r="B419" s="13" t="s">
        <v>15135</v>
      </c>
      <c r="C419" s="13" t="s">
        <v>15147</v>
      </c>
      <c r="E419" s="13" t="s">
        <v>15149</v>
      </c>
      <c r="F419" s="13" t="s">
        <v>5540</v>
      </c>
      <c r="G419" s="13" t="s">
        <v>4864</v>
      </c>
    </row>
    <row r="420" ht="12.75" customHeight="1">
      <c r="A420" s="13" t="s">
        <v>15152</v>
      </c>
      <c r="B420" s="13" t="s">
        <v>15156</v>
      </c>
      <c r="C420" s="13" t="s">
        <v>15168</v>
      </c>
      <c r="E420" s="13" t="s">
        <v>15170</v>
      </c>
      <c r="F420" s="13" t="s">
        <v>5540</v>
      </c>
      <c r="G420" s="13" t="s">
        <v>4856</v>
      </c>
    </row>
    <row r="421" ht="12.75" customHeight="1">
      <c r="A421" s="13" t="s">
        <v>1376</v>
      </c>
      <c r="B421" s="13" t="s">
        <v>15175</v>
      </c>
      <c r="C421" s="13" t="s">
        <v>15184</v>
      </c>
      <c r="E421" s="13" t="s">
        <v>15186</v>
      </c>
      <c r="F421" s="13" t="s">
        <v>5540</v>
      </c>
      <c r="G421" s="13" t="s">
        <v>4852</v>
      </c>
    </row>
    <row r="422" ht="12.75" customHeight="1">
      <c r="A422" s="13" t="s">
        <v>1374</v>
      </c>
      <c r="B422" s="13" t="s">
        <v>15191</v>
      </c>
      <c r="C422" s="13" t="s">
        <v>15201</v>
      </c>
      <c r="E422" s="13" t="s">
        <v>15203</v>
      </c>
      <c r="F422" s="13" t="s">
        <v>5540</v>
      </c>
      <c r="G422" s="13" t="s">
        <v>4856</v>
      </c>
    </row>
    <row r="423" ht="12.75" customHeight="1">
      <c r="A423" s="13" t="s">
        <v>1365</v>
      </c>
      <c r="B423" s="13" t="s">
        <v>15250</v>
      </c>
      <c r="C423" s="13" t="s">
        <v>15263</v>
      </c>
      <c r="E423" s="13" t="s">
        <v>15265</v>
      </c>
      <c r="F423" s="13" t="s">
        <v>5540</v>
      </c>
      <c r="G423" s="13" t="s">
        <v>4856</v>
      </c>
    </row>
    <row r="424" ht="12.75" customHeight="1">
      <c r="A424" s="13" t="s">
        <v>1361</v>
      </c>
      <c r="B424" s="13" t="s">
        <v>15269</v>
      </c>
      <c r="C424" s="13" t="s">
        <v>15278</v>
      </c>
      <c r="E424" s="13" t="s">
        <v>15280</v>
      </c>
      <c r="F424" s="13" t="s">
        <v>5540</v>
      </c>
      <c r="G424" s="13" t="s">
        <v>4864</v>
      </c>
    </row>
    <row r="425" ht="12.75" customHeight="1">
      <c r="A425" s="13" t="s">
        <v>15314</v>
      </c>
      <c r="B425" s="13" t="s">
        <v>15316</v>
      </c>
      <c r="C425" s="13" t="s">
        <v>15328</v>
      </c>
      <c r="E425" s="13" t="s">
        <v>15330</v>
      </c>
      <c r="F425" s="13" t="s">
        <v>5540</v>
      </c>
      <c r="G425" s="13" t="s">
        <v>4856</v>
      </c>
    </row>
    <row r="426" ht="12.75" customHeight="1">
      <c r="A426" s="13" t="s">
        <v>1352</v>
      </c>
      <c r="B426" s="13" t="s">
        <v>15335</v>
      </c>
      <c r="C426" s="13" t="s">
        <v>15345</v>
      </c>
      <c r="E426" s="13" t="s">
        <v>15347</v>
      </c>
      <c r="F426" s="13" t="s">
        <v>5540</v>
      </c>
      <c r="G426" s="13" t="s">
        <v>4856</v>
      </c>
    </row>
    <row r="427" ht="12.75" customHeight="1">
      <c r="A427" s="13" t="s">
        <v>1349</v>
      </c>
      <c r="B427" s="13" t="s">
        <v>15352</v>
      </c>
      <c r="C427" s="13" t="s">
        <v>15362</v>
      </c>
      <c r="E427" s="13" t="s">
        <v>15364</v>
      </c>
      <c r="F427" s="13" t="s">
        <v>5540</v>
      </c>
      <c r="G427" s="13" t="s">
        <v>4856</v>
      </c>
    </row>
    <row r="428" ht="12.75" customHeight="1">
      <c r="A428" s="13" t="s">
        <v>1347</v>
      </c>
      <c r="B428" s="13" t="s">
        <v>15369</v>
      </c>
      <c r="C428" s="13" t="s">
        <v>15379</v>
      </c>
      <c r="E428" s="13" t="s">
        <v>15381</v>
      </c>
      <c r="F428" s="13" t="s">
        <v>5540</v>
      </c>
      <c r="G428" s="13" t="s">
        <v>4856</v>
      </c>
    </row>
    <row r="429" ht="12.75" customHeight="1">
      <c r="A429" s="13" t="s">
        <v>1345</v>
      </c>
      <c r="B429" s="13" t="s">
        <v>15385</v>
      </c>
      <c r="C429" s="13" t="s">
        <v>15396</v>
      </c>
      <c r="E429" s="13" t="s">
        <v>15398</v>
      </c>
      <c r="F429" s="13" t="s">
        <v>9118</v>
      </c>
      <c r="G429" s="13" t="s">
        <v>4856</v>
      </c>
    </row>
    <row r="430" ht="12.75" customHeight="1">
      <c r="A430" s="13" t="s">
        <v>1342</v>
      </c>
      <c r="B430" s="13" t="s">
        <v>15403</v>
      </c>
      <c r="C430" s="13" t="s">
        <v>15413</v>
      </c>
      <c r="E430" s="13" t="s">
        <v>15415</v>
      </c>
      <c r="F430" s="13" t="s">
        <v>5540</v>
      </c>
      <c r="G430" s="13" t="s">
        <v>4856</v>
      </c>
    </row>
    <row r="431" ht="12.75" customHeight="1">
      <c r="A431" s="13" t="s">
        <v>1339</v>
      </c>
      <c r="B431" s="13" t="s">
        <v>15420</v>
      </c>
      <c r="C431" s="13" t="s">
        <v>15428</v>
      </c>
      <c r="E431" s="13" t="s">
        <v>15430</v>
      </c>
      <c r="F431" s="13" t="s">
        <v>5540</v>
      </c>
      <c r="G431" s="13" t="s">
        <v>4856</v>
      </c>
    </row>
    <row r="432" ht="12.75" customHeight="1">
      <c r="A432" s="2" t="s">
        <v>1337</v>
      </c>
      <c r="B432" s="13" t="s">
        <v>5510</v>
      </c>
      <c r="C432" s="13" t="s">
        <v>15440</v>
      </c>
      <c r="E432" s="13" t="s">
        <v>15442</v>
      </c>
      <c r="F432" s="13" t="s">
        <v>5540</v>
      </c>
      <c r="G432" s="13" t="s">
        <v>4856</v>
      </c>
    </row>
    <row r="433" ht="12.75" customHeight="1">
      <c r="A433" s="2" t="s">
        <v>1333</v>
      </c>
      <c r="B433" s="13" t="s">
        <v>15464</v>
      </c>
      <c r="C433" s="13" t="s">
        <v>15475</v>
      </c>
      <c r="E433" s="13" t="s">
        <v>15477</v>
      </c>
      <c r="F433" s="13" t="s">
        <v>5540</v>
      </c>
      <c r="G433" s="13" t="s">
        <v>4856</v>
      </c>
    </row>
    <row r="434" ht="12.75" customHeight="1">
      <c r="A434" s="13" t="s">
        <v>1328</v>
      </c>
      <c r="B434" s="13" t="s">
        <v>15500</v>
      </c>
      <c r="C434" s="13" t="s">
        <v>15510</v>
      </c>
      <c r="E434" s="13" t="s">
        <v>15512</v>
      </c>
      <c r="F434" s="13" t="s">
        <v>5540</v>
      </c>
      <c r="G434" s="13" t="s">
        <v>4864</v>
      </c>
    </row>
    <row r="435" ht="12.75" customHeight="1">
      <c r="A435" s="13" t="s">
        <v>1322</v>
      </c>
      <c r="B435" s="13" t="s">
        <v>15534</v>
      </c>
      <c r="C435" s="13" t="s">
        <v>15544</v>
      </c>
      <c r="E435" s="13" t="s">
        <v>15545</v>
      </c>
      <c r="F435" s="13" t="s">
        <v>9118</v>
      </c>
      <c r="G435" s="13" t="s">
        <v>4864</v>
      </c>
    </row>
    <row r="436" ht="12.75" customHeight="1">
      <c r="A436" s="13" t="s">
        <v>1320</v>
      </c>
      <c r="B436" s="13" t="s">
        <v>15550</v>
      </c>
      <c r="C436" s="13" t="s">
        <v>15560</v>
      </c>
      <c r="E436" s="13" t="s">
        <v>15562</v>
      </c>
      <c r="F436" s="13" t="s">
        <v>5540</v>
      </c>
      <c r="G436" s="13" t="s">
        <v>4856</v>
      </c>
    </row>
    <row r="437" ht="12.75" customHeight="1">
      <c r="A437" s="13" t="s">
        <v>15609</v>
      </c>
      <c r="B437" s="13" t="s">
        <v>15613</v>
      </c>
      <c r="C437" s="13" t="s">
        <v>15627</v>
      </c>
      <c r="E437" s="13" t="s">
        <v>15631</v>
      </c>
      <c r="F437" s="13" t="s">
        <v>5540</v>
      </c>
      <c r="G437" s="13" t="s">
        <v>4856</v>
      </c>
    </row>
    <row r="438" ht="12.75" customHeight="1">
      <c r="A438" s="13" t="s">
        <v>15690</v>
      </c>
      <c r="B438" s="13" t="s">
        <v>15693</v>
      </c>
      <c r="C438" s="13" t="s">
        <v>15701</v>
      </c>
      <c r="E438" s="13" t="s">
        <v>15703</v>
      </c>
      <c r="F438" s="13" t="s">
        <v>5540</v>
      </c>
      <c r="G438" s="13" t="s">
        <v>4856</v>
      </c>
    </row>
    <row r="439" ht="12.75" customHeight="1">
      <c r="A439" s="13" t="s">
        <v>15706</v>
      </c>
      <c r="B439" s="13" t="s">
        <v>15710</v>
      </c>
      <c r="C439" s="13" t="s">
        <v>15724</v>
      </c>
      <c r="E439" s="13" t="s">
        <v>15727</v>
      </c>
      <c r="F439" s="13" t="s">
        <v>5540</v>
      </c>
      <c r="G439" s="13" t="s">
        <v>4852</v>
      </c>
    </row>
    <row r="440" ht="12.75" customHeight="1">
      <c r="A440" s="13" t="s">
        <v>1284</v>
      </c>
      <c r="B440" s="13" t="s">
        <v>15733</v>
      </c>
      <c r="C440" s="13" t="s">
        <v>15746</v>
      </c>
      <c r="E440" s="13" t="s">
        <v>15749</v>
      </c>
      <c r="F440" s="13" t="s">
        <v>5540</v>
      </c>
      <c r="G440" s="13" t="s">
        <v>4852</v>
      </c>
    </row>
    <row r="441" ht="12.75" customHeight="1">
      <c r="A441" s="13" t="s">
        <v>15765</v>
      </c>
      <c r="B441" s="13" t="s">
        <v>15769</v>
      </c>
      <c r="C441" s="13" t="s">
        <v>15780</v>
      </c>
      <c r="E441" s="13" t="s">
        <v>15784</v>
      </c>
      <c r="F441" s="13" t="s">
        <v>5540</v>
      </c>
      <c r="G441" s="13" t="s">
        <v>4856</v>
      </c>
    </row>
    <row r="442" ht="12.75" customHeight="1">
      <c r="A442" s="13" t="s">
        <v>1274</v>
      </c>
      <c r="B442" s="13" t="s">
        <v>15788</v>
      </c>
      <c r="C442" s="13" t="s">
        <v>15798</v>
      </c>
      <c r="E442" s="13" t="s">
        <v>15800</v>
      </c>
      <c r="F442" s="13" t="s">
        <v>5540</v>
      </c>
      <c r="G442" s="13" t="s">
        <v>4852</v>
      </c>
    </row>
    <row r="443" ht="12.75" customHeight="1">
      <c r="A443" s="13" t="s">
        <v>1265</v>
      </c>
      <c r="B443" s="13" t="s">
        <v>15834</v>
      </c>
      <c r="C443" s="13" t="s">
        <v>15843</v>
      </c>
      <c r="E443" s="13" t="s">
        <v>15845</v>
      </c>
      <c r="F443" s="13" t="s">
        <v>5540</v>
      </c>
      <c r="G443" s="13" t="s">
        <v>4864</v>
      </c>
    </row>
    <row r="444" ht="12.75" customHeight="1">
      <c r="A444" s="13" t="s">
        <v>1262</v>
      </c>
      <c r="B444" s="13" t="s">
        <v>15850</v>
      </c>
      <c r="C444" s="13" t="s">
        <v>15857</v>
      </c>
      <c r="E444" s="13" t="s">
        <v>15859</v>
      </c>
      <c r="F444" s="13" t="s">
        <v>5540</v>
      </c>
      <c r="G444" s="13" t="s">
        <v>4856</v>
      </c>
    </row>
    <row r="445" ht="12.75" customHeight="1">
      <c r="A445" s="13" t="s">
        <v>1257</v>
      </c>
      <c r="B445" s="13" t="s">
        <v>15881</v>
      </c>
      <c r="C445" s="13" t="s">
        <v>15890</v>
      </c>
      <c r="E445" s="13" t="s">
        <v>15892</v>
      </c>
      <c r="F445" s="13" t="s">
        <v>5540</v>
      </c>
      <c r="G445" s="13" t="s">
        <v>4886</v>
      </c>
    </row>
    <row r="446" ht="12.75" customHeight="1">
      <c r="A446" s="13" t="s">
        <v>1255</v>
      </c>
      <c r="B446" s="13" t="s">
        <v>15896</v>
      </c>
      <c r="C446" s="13" t="s">
        <v>15906</v>
      </c>
      <c r="E446" s="13" t="s">
        <v>15908</v>
      </c>
      <c r="F446" s="13" t="s">
        <v>5540</v>
      </c>
      <c r="G446" s="13" t="s">
        <v>4856</v>
      </c>
    </row>
    <row r="447" ht="12.75" customHeight="1">
      <c r="A447" s="13" t="s">
        <v>1253</v>
      </c>
      <c r="B447" s="13" t="s">
        <v>15913</v>
      </c>
      <c r="C447" s="13" t="s">
        <v>15923</v>
      </c>
      <c r="E447" s="13" t="s">
        <v>15925</v>
      </c>
      <c r="F447" s="13" t="s">
        <v>5540</v>
      </c>
      <c r="G447" s="13" t="s">
        <v>4856</v>
      </c>
    </row>
    <row r="448" ht="12.75" customHeight="1">
      <c r="A448" s="13" t="s">
        <v>15928</v>
      </c>
      <c r="B448" s="13" t="s">
        <v>15931</v>
      </c>
      <c r="C448" s="13" t="s">
        <v>15943</v>
      </c>
      <c r="E448" s="13" t="s">
        <v>15945</v>
      </c>
      <c r="F448" s="13" t="s">
        <v>5540</v>
      </c>
      <c r="G448" s="13" t="s">
        <v>4856</v>
      </c>
    </row>
    <row r="449" ht="12.75" customHeight="1">
      <c r="A449" s="13" t="s">
        <v>1236</v>
      </c>
      <c r="B449" s="13" t="s">
        <v>15962</v>
      </c>
      <c r="C449" s="13" t="s">
        <v>15972</v>
      </c>
      <c r="E449" s="13" t="s">
        <v>15974</v>
      </c>
      <c r="F449" s="13" t="s">
        <v>5540</v>
      </c>
      <c r="G449" s="13" t="s">
        <v>4856</v>
      </c>
    </row>
    <row r="450" ht="12.75" customHeight="1">
      <c r="A450" s="13" t="s">
        <v>1229</v>
      </c>
      <c r="B450" s="13" t="s">
        <v>16014</v>
      </c>
      <c r="C450" s="13" t="s">
        <v>16021</v>
      </c>
      <c r="E450" s="13" t="s">
        <v>16023</v>
      </c>
      <c r="F450" s="13" t="s">
        <v>5540</v>
      </c>
      <c r="G450" s="13" t="s">
        <v>4856</v>
      </c>
    </row>
    <row r="451" ht="12.75" customHeight="1">
      <c r="A451" s="2" t="s">
        <v>1221</v>
      </c>
      <c r="B451" s="13" t="s">
        <v>5510</v>
      </c>
      <c r="C451" s="13" t="s">
        <v>16029</v>
      </c>
      <c r="E451" s="13" t="s">
        <v>16031</v>
      </c>
      <c r="F451" s="13" t="s">
        <v>5540</v>
      </c>
      <c r="G451" s="13" t="s">
        <v>4852</v>
      </c>
    </row>
    <row r="452" ht="12.75" customHeight="1">
      <c r="A452" s="13" t="s">
        <v>1221</v>
      </c>
      <c r="B452" s="13" t="s">
        <v>16033</v>
      </c>
      <c r="C452" s="13" t="s">
        <v>16041</v>
      </c>
      <c r="E452" s="13" t="s">
        <v>16043</v>
      </c>
      <c r="F452" s="13" t="s">
        <v>5540</v>
      </c>
      <c r="G452" s="13" t="s">
        <v>4852</v>
      </c>
    </row>
    <row r="453" ht="12.75" customHeight="1">
      <c r="A453" s="13" t="s">
        <v>1217</v>
      </c>
      <c r="B453" s="13" t="s">
        <v>16048</v>
      </c>
      <c r="C453" s="13" t="s">
        <v>16056</v>
      </c>
      <c r="E453" s="13" t="s">
        <v>16058</v>
      </c>
      <c r="F453" s="13" t="s">
        <v>5540</v>
      </c>
      <c r="G453" s="13" t="s">
        <v>4864</v>
      </c>
    </row>
    <row r="454" ht="12.75" customHeight="1">
      <c r="A454" s="13" t="s">
        <v>1213</v>
      </c>
      <c r="B454" s="13" t="s">
        <v>16082</v>
      </c>
      <c r="C454" s="13" t="s">
        <v>16090</v>
      </c>
      <c r="E454" s="13" t="s">
        <v>16092</v>
      </c>
      <c r="F454" s="13" t="s">
        <v>5540</v>
      </c>
      <c r="G454" s="13" t="s">
        <v>4856</v>
      </c>
    </row>
    <row r="455" ht="12.75" customHeight="1">
      <c r="A455" s="13" t="s">
        <v>1209</v>
      </c>
      <c r="B455" s="13" t="s">
        <v>16098</v>
      </c>
      <c r="C455" s="13" t="s">
        <v>16111</v>
      </c>
      <c r="E455" s="13" t="s">
        <v>16115</v>
      </c>
      <c r="F455" s="13" t="s">
        <v>5540</v>
      </c>
      <c r="G455" s="13" t="s">
        <v>4856</v>
      </c>
    </row>
    <row r="456" ht="12.75" customHeight="1">
      <c r="A456" s="13" t="s">
        <v>1206</v>
      </c>
      <c r="B456" s="13" t="s">
        <v>16120</v>
      </c>
      <c r="C456" s="13" t="s">
        <v>16128</v>
      </c>
      <c r="E456" s="13" t="s">
        <v>16130</v>
      </c>
      <c r="F456" s="13" t="s">
        <v>5540</v>
      </c>
      <c r="G456" s="13" t="s">
        <v>4856</v>
      </c>
    </row>
    <row r="457" ht="12.75" customHeight="1">
      <c r="A457" s="13" t="s">
        <v>1202</v>
      </c>
      <c r="B457" s="13" t="s">
        <v>16135</v>
      </c>
      <c r="C457" s="13" t="s">
        <v>16142</v>
      </c>
      <c r="E457" s="13" t="s">
        <v>16144</v>
      </c>
      <c r="F457" s="13" t="s">
        <v>5540</v>
      </c>
      <c r="G457" s="13" t="s">
        <v>4856</v>
      </c>
    </row>
    <row r="458" ht="12.75" customHeight="1">
      <c r="A458" s="13" t="s">
        <v>1199</v>
      </c>
      <c r="B458" s="13" t="s">
        <v>16149</v>
      </c>
      <c r="C458" s="13" t="s">
        <v>16158</v>
      </c>
      <c r="E458" s="13" t="s">
        <v>16160</v>
      </c>
      <c r="F458" s="13" t="s">
        <v>5540</v>
      </c>
      <c r="G458" s="13" t="s">
        <v>4864</v>
      </c>
    </row>
    <row r="459" ht="12.75" customHeight="1">
      <c r="A459" s="2" t="s">
        <v>1195</v>
      </c>
      <c r="B459" s="13" t="s">
        <v>16165</v>
      </c>
      <c r="C459" s="13" t="s">
        <v>16174</v>
      </c>
      <c r="E459" s="13" t="s">
        <v>16176</v>
      </c>
      <c r="F459" s="13" t="s">
        <v>5540</v>
      </c>
      <c r="G459" s="13" t="s">
        <v>4856</v>
      </c>
    </row>
    <row r="460" ht="12.75" customHeight="1">
      <c r="A460" s="13" t="s">
        <v>1193</v>
      </c>
      <c r="B460" s="13" t="s">
        <v>16180</v>
      </c>
      <c r="C460" s="13" t="s">
        <v>16186</v>
      </c>
      <c r="E460" s="13" t="s">
        <v>16188</v>
      </c>
      <c r="F460" s="13" t="s">
        <v>5540</v>
      </c>
      <c r="G460" s="13" t="s">
        <v>4856</v>
      </c>
    </row>
    <row r="461" ht="12.75" customHeight="1">
      <c r="A461" s="13" t="s">
        <v>1190</v>
      </c>
      <c r="B461" s="13" t="s">
        <v>16193</v>
      </c>
      <c r="C461" s="13" t="s">
        <v>16208</v>
      </c>
      <c r="E461" s="13" t="s">
        <v>16210</v>
      </c>
      <c r="F461" s="13" t="s">
        <v>5540</v>
      </c>
      <c r="G461" s="13" t="s">
        <v>4864</v>
      </c>
    </row>
    <row r="462" ht="12.75" customHeight="1">
      <c r="A462" s="13" t="s">
        <v>1186</v>
      </c>
      <c r="B462" s="13" t="s">
        <v>16216</v>
      </c>
      <c r="C462" s="13" t="s">
        <v>16227</v>
      </c>
      <c r="E462" s="13" t="s">
        <v>16229</v>
      </c>
      <c r="F462" s="13" t="s">
        <v>5540</v>
      </c>
      <c r="G462" s="13" t="s">
        <v>4856</v>
      </c>
    </row>
    <row r="463" ht="12.75" customHeight="1">
      <c r="A463" s="13" t="s">
        <v>1178</v>
      </c>
      <c r="B463" s="13" t="s">
        <v>16268</v>
      </c>
      <c r="C463" s="13" t="s">
        <v>16277</v>
      </c>
      <c r="E463" s="13" t="s">
        <v>16279</v>
      </c>
      <c r="F463" s="13" t="s">
        <v>5540</v>
      </c>
      <c r="G463" s="13" t="s">
        <v>4856</v>
      </c>
    </row>
    <row r="464" ht="12.75" customHeight="1">
      <c r="A464" s="13" t="s">
        <v>1176</v>
      </c>
      <c r="B464" s="13" t="s">
        <v>16284</v>
      </c>
      <c r="C464" s="13" t="s">
        <v>16290</v>
      </c>
      <c r="E464" s="13" t="s">
        <v>16292</v>
      </c>
      <c r="F464" s="13" t="s">
        <v>5540</v>
      </c>
      <c r="G464" s="13" t="s">
        <v>4856</v>
      </c>
    </row>
    <row r="465" ht="12.75" customHeight="1">
      <c r="A465" s="13" t="s">
        <v>16295</v>
      </c>
      <c r="B465" s="13" t="s">
        <v>16297</v>
      </c>
      <c r="C465" s="13" t="s">
        <v>16307</v>
      </c>
      <c r="E465" s="13" t="s">
        <v>16309</v>
      </c>
      <c r="F465" s="13" t="s">
        <v>5540</v>
      </c>
      <c r="G465" s="13" t="s">
        <v>4864</v>
      </c>
    </row>
    <row r="466" ht="12.75" customHeight="1">
      <c r="A466" s="13" t="s">
        <v>1169</v>
      </c>
      <c r="B466" s="13" t="s">
        <v>16331</v>
      </c>
      <c r="C466" s="13" t="s">
        <v>16340</v>
      </c>
      <c r="E466" s="13" t="s">
        <v>16342</v>
      </c>
      <c r="F466" s="13" t="s">
        <v>5540</v>
      </c>
      <c r="G466" s="13" t="s">
        <v>4852</v>
      </c>
    </row>
    <row r="467" ht="12.75" customHeight="1">
      <c r="A467" s="2" t="s">
        <v>1167</v>
      </c>
      <c r="B467" s="13" t="s">
        <v>16346</v>
      </c>
      <c r="C467" s="13" t="s">
        <v>16356</v>
      </c>
      <c r="E467" s="13" t="s">
        <v>16358</v>
      </c>
      <c r="F467" s="13" t="s">
        <v>5540</v>
      </c>
      <c r="G467" s="13" t="s">
        <v>4856</v>
      </c>
    </row>
    <row r="468" ht="12.75" customHeight="1">
      <c r="A468" s="13" t="s">
        <v>16374</v>
      </c>
      <c r="B468" s="13" t="s">
        <v>16377</v>
      </c>
      <c r="C468" s="13" t="s">
        <v>16394</v>
      </c>
      <c r="E468" s="13" t="s">
        <v>16397</v>
      </c>
      <c r="F468" s="13" t="s">
        <v>5540</v>
      </c>
      <c r="G468" s="13" t="s">
        <v>4856</v>
      </c>
    </row>
    <row r="469" ht="12.75" customHeight="1">
      <c r="A469" s="13" t="s">
        <v>1158</v>
      </c>
      <c r="B469" s="13" t="s">
        <v>16402</v>
      </c>
      <c r="C469" s="13" t="s">
        <v>16410</v>
      </c>
      <c r="E469" s="13" t="s">
        <v>16412</v>
      </c>
      <c r="F469" s="13" t="s">
        <v>5540</v>
      </c>
      <c r="G469" s="13" t="s">
        <v>4864</v>
      </c>
    </row>
    <row r="470" ht="12.75" customHeight="1">
      <c r="A470" s="13" t="s">
        <v>1156</v>
      </c>
      <c r="B470" s="13" t="s">
        <v>16417</v>
      </c>
      <c r="C470" s="13" t="s">
        <v>16427</v>
      </c>
      <c r="E470" s="13" t="s">
        <v>16429</v>
      </c>
      <c r="F470" s="13" t="s">
        <v>5540</v>
      </c>
      <c r="G470" s="13" t="s">
        <v>4864</v>
      </c>
    </row>
    <row r="471" ht="12.75" customHeight="1">
      <c r="A471" s="2" t="s">
        <v>1153</v>
      </c>
      <c r="B471" s="13" t="s">
        <v>5510</v>
      </c>
      <c r="C471" s="13" t="s">
        <v>16438</v>
      </c>
      <c r="E471" s="13" t="s">
        <v>16440</v>
      </c>
      <c r="F471" s="13" t="s">
        <v>5540</v>
      </c>
      <c r="G471" s="13" t="s">
        <v>4856</v>
      </c>
    </row>
    <row r="472" ht="12.75" customHeight="1">
      <c r="A472" s="13" t="s">
        <v>1153</v>
      </c>
      <c r="B472" s="13" t="s">
        <v>16443</v>
      </c>
      <c r="C472" s="13" t="s">
        <v>16448</v>
      </c>
      <c r="E472" s="13" t="s">
        <v>16450</v>
      </c>
      <c r="F472" s="13" t="s">
        <v>5540</v>
      </c>
      <c r="G472" s="13" t="s">
        <v>4856</v>
      </c>
    </row>
    <row r="473" ht="12.75" customHeight="1">
      <c r="A473" s="13" t="s">
        <v>16468</v>
      </c>
      <c r="B473" s="13" t="s">
        <v>16470</v>
      </c>
      <c r="C473" s="13" t="s">
        <v>16478</v>
      </c>
      <c r="E473" s="13" t="s">
        <v>16480</v>
      </c>
      <c r="F473" s="13" t="s">
        <v>5540</v>
      </c>
      <c r="G473" s="13" t="s">
        <v>4864</v>
      </c>
    </row>
    <row r="474" ht="12.75" customHeight="1">
      <c r="A474" s="13" t="s">
        <v>16504</v>
      </c>
      <c r="B474" s="13" t="s">
        <v>16508</v>
      </c>
      <c r="C474" s="13" t="str">
        <f>#REF!</f>
        <v>#REF!</v>
      </c>
      <c r="E474" s="13" t="s">
        <v>16519</v>
      </c>
      <c r="F474" s="13" t="s">
        <v>5540</v>
      </c>
      <c r="G474" s="13" t="s">
        <v>4856</v>
      </c>
    </row>
    <row r="475" ht="12.75" customHeight="1">
      <c r="A475" s="13" t="s">
        <v>1138</v>
      </c>
      <c r="B475" s="13" t="s">
        <v>16524</v>
      </c>
      <c r="C475" s="13" t="s">
        <v>16534</v>
      </c>
      <c r="E475" s="13" t="s">
        <v>16536</v>
      </c>
      <c r="F475" s="13" t="s">
        <v>5540</v>
      </c>
      <c r="G475" s="13" t="s">
        <v>4852</v>
      </c>
    </row>
    <row r="476" ht="12.75" customHeight="1">
      <c r="A476" s="13" t="s">
        <v>1136</v>
      </c>
      <c r="B476" s="13" t="s">
        <v>16541</v>
      </c>
      <c r="C476" s="13" t="s">
        <v>16548</v>
      </c>
      <c r="E476" s="13" t="s">
        <v>16550</v>
      </c>
      <c r="F476" s="13" t="s">
        <v>5540</v>
      </c>
      <c r="G476" s="13" t="s">
        <v>4856</v>
      </c>
    </row>
    <row r="477" ht="12.75" customHeight="1">
      <c r="A477" s="13" t="s">
        <v>16553</v>
      </c>
      <c r="B477" s="13" t="s">
        <v>16556</v>
      </c>
      <c r="C477" s="13" t="s">
        <v>16565</v>
      </c>
      <c r="E477" s="13" t="s">
        <v>16567</v>
      </c>
      <c r="F477" s="13" t="s">
        <v>5540</v>
      </c>
      <c r="G477" s="13" t="s">
        <v>4856</v>
      </c>
    </row>
    <row r="478" ht="12.75" customHeight="1">
      <c r="A478" s="13" t="s">
        <v>1130</v>
      </c>
      <c r="B478" s="13" t="s">
        <v>16572</v>
      </c>
      <c r="C478" s="13" t="s">
        <v>16582</v>
      </c>
      <c r="E478" s="13" t="s">
        <v>16584</v>
      </c>
      <c r="F478" s="13" t="s">
        <v>5540</v>
      </c>
      <c r="G478" s="13" t="s">
        <v>4856</v>
      </c>
    </row>
    <row r="479" ht="12.75" customHeight="1">
      <c r="A479" s="13" t="s">
        <v>1128</v>
      </c>
      <c r="B479" s="13" t="s">
        <v>16589</v>
      </c>
      <c r="C479" s="13" t="s">
        <v>16598</v>
      </c>
      <c r="E479" s="13" t="s">
        <v>16600</v>
      </c>
      <c r="F479" s="13" t="s">
        <v>5540</v>
      </c>
      <c r="G479" s="13" t="s">
        <v>4856</v>
      </c>
    </row>
    <row r="480" ht="12.75" customHeight="1">
      <c r="A480" s="13" t="s">
        <v>1125</v>
      </c>
      <c r="B480" s="13" t="s">
        <v>16605</v>
      </c>
      <c r="C480" s="13" t="s">
        <v>16615</v>
      </c>
      <c r="E480" s="13" t="s">
        <v>16617</v>
      </c>
      <c r="F480" s="13" t="s">
        <v>5540</v>
      </c>
      <c r="G480" s="13" t="s">
        <v>4864</v>
      </c>
    </row>
    <row r="481" ht="12.75" customHeight="1">
      <c r="A481" s="13" t="s">
        <v>1122</v>
      </c>
      <c r="B481" s="13" t="s">
        <v>16622</v>
      </c>
      <c r="C481" s="13" t="s">
        <v>16632</v>
      </c>
      <c r="E481" s="13" t="s">
        <v>16634</v>
      </c>
      <c r="F481" s="13" t="s">
        <v>5540</v>
      </c>
      <c r="G481" s="13" t="s">
        <v>4852</v>
      </c>
    </row>
    <row r="482" ht="12.75" customHeight="1">
      <c r="A482" s="13" t="s">
        <v>1117</v>
      </c>
      <c r="B482" s="13" t="s">
        <v>16655</v>
      </c>
      <c r="C482" s="13" t="s">
        <v>16665</v>
      </c>
      <c r="E482" s="13" t="s">
        <v>16667</v>
      </c>
      <c r="F482" s="13" t="s">
        <v>5540</v>
      </c>
      <c r="G482" s="13" t="s">
        <v>4856</v>
      </c>
    </row>
    <row r="483" ht="12.75" customHeight="1">
      <c r="A483" s="13" t="s">
        <v>1114</v>
      </c>
      <c r="B483" s="13" t="s">
        <v>16672</v>
      </c>
      <c r="C483" s="13" t="s">
        <v>16682</v>
      </c>
      <c r="E483" s="13" t="s">
        <v>16684</v>
      </c>
      <c r="F483" s="13" t="s">
        <v>5540</v>
      </c>
      <c r="G483" s="13" t="s">
        <v>4864</v>
      </c>
    </row>
    <row r="484" ht="12.75" customHeight="1">
      <c r="A484" s="13" t="s">
        <v>1108</v>
      </c>
      <c r="B484" s="13" t="s">
        <v>16702</v>
      </c>
      <c r="C484" s="13" t="s">
        <v>16712</v>
      </c>
      <c r="E484" s="13" t="s">
        <v>16714</v>
      </c>
      <c r="F484" s="13" t="s">
        <v>5540</v>
      </c>
      <c r="G484" s="13" t="s">
        <v>4852</v>
      </c>
    </row>
    <row r="485" ht="12.75" customHeight="1">
      <c r="A485" s="13" t="s">
        <v>1105</v>
      </c>
      <c r="B485" s="13" t="s">
        <v>16719</v>
      </c>
      <c r="C485" s="13" t="s">
        <v>16728</v>
      </c>
      <c r="E485" s="13" t="s">
        <v>16730</v>
      </c>
      <c r="F485" s="13" t="s">
        <v>5540</v>
      </c>
      <c r="G485" s="13" t="s">
        <v>4856</v>
      </c>
    </row>
    <row r="486" ht="12.75" customHeight="1">
      <c r="A486" s="13" t="s">
        <v>16733</v>
      </c>
      <c r="B486" s="13" t="s">
        <v>16736</v>
      </c>
      <c r="C486" s="13" t="s">
        <v>16746</v>
      </c>
      <c r="E486" s="13" t="s">
        <v>16748</v>
      </c>
      <c r="F486" s="13" t="s">
        <v>5540</v>
      </c>
      <c r="G486" s="13" t="s">
        <v>4856</v>
      </c>
    </row>
    <row r="487" ht="12.75" customHeight="1">
      <c r="A487" s="13" t="s">
        <v>1101</v>
      </c>
      <c r="B487" s="13" t="s">
        <v>16752</v>
      </c>
      <c r="C487" s="13" t="s">
        <v>16763</v>
      </c>
      <c r="E487" s="13" t="s">
        <v>16765</v>
      </c>
      <c r="F487" s="13" t="s">
        <v>5540</v>
      </c>
      <c r="G487" s="13" t="s">
        <v>4886</v>
      </c>
    </row>
    <row r="488" ht="12.75" customHeight="1">
      <c r="A488" s="13" t="s">
        <v>1099</v>
      </c>
      <c r="B488" s="13" t="s">
        <v>16770</v>
      </c>
      <c r="C488" s="13" t="s">
        <v>16780</v>
      </c>
      <c r="E488" s="13" t="s">
        <v>16782</v>
      </c>
      <c r="F488" s="13" t="s">
        <v>5540</v>
      </c>
      <c r="G488" s="13" t="s">
        <v>4864</v>
      </c>
    </row>
    <row r="489" ht="12.75" customHeight="1">
      <c r="A489" s="13" t="s">
        <v>1096</v>
      </c>
      <c r="B489" s="13" t="s">
        <v>16787</v>
      </c>
      <c r="C489" s="13" t="s">
        <v>16797</v>
      </c>
      <c r="E489" s="13" t="s">
        <v>16799</v>
      </c>
      <c r="F489" s="13" t="s">
        <v>5540</v>
      </c>
      <c r="G489" s="13" t="s">
        <v>4856</v>
      </c>
    </row>
    <row r="490" ht="12.75" customHeight="1">
      <c r="A490" s="13" t="s">
        <v>1085</v>
      </c>
      <c r="B490" s="13" t="s">
        <v>16824</v>
      </c>
      <c r="C490" s="13" t="s">
        <v>16837</v>
      </c>
      <c r="E490" s="13" t="s">
        <v>16841</v>
      </c>
      <c r="F490" s="13" t="s">
        <v>5540</v>
      </c>
      <c r="G490" s="13" t="s">
        <v>4852</v>
      </c>
    </row>
    <row r="491" ht="12.75" customHeight="1">
      <c r="A491" s="13" t="s">
        <v>1082</v>
      </c>
      <c r="B491" s="13" t="s">
        <v>16846</v>
      </c>
      <c r="C491" s="13" t="s">
        <v>16852</v>
      </c>
      <c r="E491" s="13" t="s">
        <v>16854</v>
      </c>
      <c r="F491" s="13" t="s">
        <v>5540</v>
      </c>
      <c r="G491" s="13" t="s">
        <v>4856</v>
      </c>
    </row>
    <row r="492" ht="12.75" customHeight="1">
      <c r="A492" s="2" t="s">
        <v>1076</v>
      </c>
      <c r="B492" s="13" t="s">
        <v>16876</v>
      </c>
      <c r="C492" s="13" t="s">
        <v>16886</v>
      </c>
      <c r="E492" s="13" t="s">
        <v>16888</v>
      </c>
      <c r="F492" s="13" t="s">
        <v>5540</v>
      </c>
      <c r="G492" s="13" t="s">
        <v>4856</v>
      </c>
    </row>
    <row r="493" ht="12.75" customHeight="1">
      <c r="A493" s="13" t="s">
        <v>1067</v>
      </c>
      <c r="B493" s="13" t="s">
        <v>16930</v>
      </c>
      <c r="C493" s="13" t="s">
        <v>16937</v>
      </c>
      <c r="E493" s="13" t="s">
        <v>16939</v>
      </c>
      <c r="F493" s="13" t="s">
        <v>5540</v>
      </c>
      <c r="G493" s="13" t="s">
        <v>4856</v>
      </c>
    </row>
    <row r="494" ht="12.75" customHeight="1">
      <c r="A494" s="13" t="s">
        <v>1062</v>
      </c>
      <c r="B494" s="13" t="s">
        <v>16944</v>
      </c>
      <c r="C494" s="13" t="s">
        <v>16951</v>
      </c>
      <c r="E494" s="13" t="s">
        <v>16953</v>
      </c>
      <c r="F494" s="13" t="s">
        <v>5540</v>
      </c>
      <c r="G494" s="13" t="s">
        <v>4886</v>
      </c>
    </row>
    <row r="495" ht="12.75" customHeight="1">
      <c r="A495" s="13" t="s">
        <v>1057</v>
      </c>
      <c r="B495" s="13" t="s">
        <v>16975</v>
      </c>
      <c r="C495" s="13" t="s">
        <v>16985</v>
      </c>
      <c r="E495" s="13" t="s">
        <v>16987</v>
      </c>
      <c r="F495" s="13" t="s">
        <v>5540</v>
      </c>
      <c r="G495" s="13" t="s">
        <v>4856</v>
      </c>
    </row>
    <row r="496" ht="12.75" customHeight="1">
      <c r="A496" s="13" t="s">
        <v>1050</v>
      </c>
      <c r="B496" s="13" t="s">
        <v>16992</v>
      </c>
      <c r="C496" s="13" t="s">
        <v>17002</v>
      </c>
      <c r="E496" s="13" t="s">
        <v>17004</v>
      </c>
      <c r="F496" s="13" t="s">
        <v>5540</v>
      </c>
      <c r="G496" s="13" t="s">
        <v>4852</v>
      </c>
    </row>
    <row r="497" ht="12.75" customHeight="1">
      <c r="A497" s="2" t="s">
        <v>1047</v>
      </c>
      <c r="B497" s="13" t="s">
        <v>17009</v>
      </c>
      <c r="C497" s="13" t="s">
        <v>17017</v>
      </c>
      <c r="E497" s="13" t="s">
        <v>17019</v>
      </c>
      <c r="F497" s="13" t="s">
        <v>5540</v>
      </c>
      <c r="G497" s="13" t="s">
        <v>4856</v>
      </c>
    </row>
    <row r="498" ht="12.75" customHeight="1">
      <c r="A498" s="13" t="s">
        <v>1043</v>
      </c>
      <c r="B498" s="13" t="s">
        <v>17024</v>
      </c>
      <c r="C498" s="13" t="s">
        <v>17035</v>
      </c>
      <c r="E498" s="13" t="s">
        <v>17037</v>
      </c>
      <c r="F498" s="13" t="s">
        <v>5540</v>
      </c>
      <c r="G498" s="13" t="s">
        <v>4856</v>
      </c>
    </row>
    <row r="499" ht="12.75" customHeight="1">
      <c r="A499" s="13" t="s">
        <v>1039</v>
      </c>
      <c r="B499" s="13" t="s">
        <v>17043</v>
      </c>
      <c r="C499" s="13" t="s">
        <v>17055</v>
      </c>
      <c r="E499" s="13" t="s">
        <v>17057</v>
      </c>
      <c r="F499" s="13" t="s">
        <v>5540</v>
      </c>
      <c r="G499" s="13" t="s">
        <v>4856</v>
      </c>
    </row>
    <row r="500" ht="12.75" customHeight="1">
      <c r="A500" s="13" t="s">
        <v>1033</v>
      </c>
      <c r="B500" s="13" t="s">
        <v>17077</v>
      </c>
      <c r="C500" s="13" t="s">
        <v>17087</v>
      </c>
      <c r="E500" s="13" t="s">
        <v>17090</v>
      </c>
      <c r="F500" s="13" t="s">
        <v>5540</v>
      </c>
      <c r="G500" s="13" t="s">
        <v>4856</v>
      </c>
    </row>
    <row r="501" ht="12.75" customHeight="1">
      <c r="A501" s="13" t="s">
        <v>1030</v>
      </c>
      <c r="B501" s="13" t="s">
        <v>17096</v>
      </c>
      <c r="C501" s="13" t="s">
        <v>17110</v>
      </c>
      <c r="E501" s="13" t="s">
        <v>17112</v>
      </c>
      <c r="F501" s="13" t="s">
        <v>5540</v>
      </c>
      <c r="G501" s="13" t="s">
        <v>4856</v>
      </c>
    </row>
    <row r="502" ht="12.75" customHeight="1">
      <c r="A502" s="13" t="s">
        <v>1027</v>
      </c>
      <c r="B502" s="13" t="s">
        <v>17118</v>
      </c>
      <c r="C502" s="13" t="s">
        <v>17130</v>
      </c>
      <c r="E502" s="13" t="s">
        <v>17132</v>
      </c>
      <c r="F502" s="13" t="s">
        <v>5540</v>
      </c>
      <c r="G502" s="13" t="s">
        <v>4856</v>
      </c>
    </row>
    <row r="503" ht="12.75" customHeight="1">
      <c r="A503" s="13" t="s">
        <v>1023</v>
      </c>
      <c r="B503" s="13" t="s">
        <v>17138</v>
      </c>
      <c r="C503" s="13" t="s">
        <v>17150</v>
      </c>
      <c r="E503" s="13" t="s">
        <v>17154</v>
      </c>
      <c r="F503" s="13" t="s">
        <v>5540</v>
      </c>
      <c r="G503" s="13" t="s">
        <v>4856</v>
      </c>
    </row>
    <row r="504" ht="12.75" customHeight="1">
      <c r="A504" s="13" t="s">
        <v>1019</v>
      </c>
      <c r="B504" s="13" t="s">
        <v>17160</v>
      </c>
      <c r="C504" s="13" t="s">
        <v>17170</v>
      </c>
      <c r="E504" s="13" t="s">
        <v>17174</v>
      </c>
      <c r="F504" s="13" t="s">
        <v>5540</v>
      </c>
      <c r="G504" s="13" t="s">
        <v>4856</v>
      </c>
    </row>
    <row r="505" ht="12.75" customHeight="1">
      <c r="A505" s="13" t="s">
        <v>1012</v>
      </c>
      <c r="B505" s="13" t="s">
        <v>17196</v>
      </c>
      <c r="C505" s="13" t="s">
        <v>17203</v>
      </c>
      <c r="E505" s="13" t="s">
        <v>17205</v>
      </c>
      <c r="F505" s="13" t="s">
        <v>5540</v>
      </c>
      <c r="G505" s="13" t="s">
        <v>4856</v>
      </c>
    </row>
    <row r="506" ht="12.75" customHeight="1">
      <c r="A506" s="13" t="s">
        <v>1009</v>
      </c>
      <c r="B506" s="13" t="s">
        <v>17210</v>
      </c>
      <c r="C506" s="13" t="s">
        <v>17219</v>
      </c>
      <c r="E506" s="13" t="s">
        <v>17221</v>
      </c>
      <c r="F506" s="13" t="s">
        <v>5540</v>
      </c>
      <c r="G506" s="13" t="s">
        <v>4856</v>
      </c>
    </row>
    <row r="507" ht="12.75" customHeight="1">
      <c r="A507" s="13" t="s">
        <v>1001</v>
      </c>
      <c r="B507" s="13" t="s">
        <v>17243</v>
      </c>
      <c r="C507" s="13" t="s">
        <v>17252</v>
      </c>
      <c r="E507" s="13" t="s">
        <v>17254</v>
      </c>
      <c r="F507" s="13" t="s">
        <v>11683</v>
      </c>
      <c r="G507" s="13" t="s">
        <v>4852</v>
      </c>
    </row>
    <row r="508" ht="12.75" customHeight="1">
      <c r="A508" s="2" t="s">
        <v>994</v>
      </c>
      <c r="B508" s="13" t="s">
        <v>17293</v>
      </c>
      <c r="C508" s="13" t="s">
        <v>17303</v>
      </c>
      <c r="E508" s="13" t="s">
        <v>17305</v>
      </c>
      <c r="F508" s="13" t="s">
        <v>5540</v>
      </c>
      <c r="G508" s="13" t="s">
        <v>4856</v>
      </c>
    </row>
    <row r="509" ht="12.75" customHeight="1">
      <c r="A509" s="13" t="s">
        <v>17308</v>
      </c>
      <c r="B509" s="13" t="s">
        <v>17311</v>
      </c>
      <c r="C509" s="13" t="s">
        <v>17321</v>
      </c>
      <c r="E509" s="13" t="s">
        <v>17323</v>
      </c>
      <c r="F509" s="13" t="s">
        <v>5540</v>
      </c>
      <c r="G509" s="13" t="s">
        <v>4864</v>
      </c>
    </row>
    <row r="510" ht="12.75" customHeight="1">
      <c r="A510" s="13" t="s">
        <v>988</v>
      </c>
      <c r="B510" s="13" t="s">
        <v>17329</v>
      </c>
      <c r="C510" s="13" t="s">
        <v>17342</v>
      </c>
      <c r="E510" s="13" t="s">
        <v>17345</v>
      </c>
      <c r="F510" s="13" t="s">
        <v>5540</v>
      </c>
      <c r="G510" s="13" t="s">
        <v>4852</v>
      </c>
    </row>
    <row r="511" ht="12.75" customHeight="1">
      <c r="A511" s="13" t="s">
        <v>985</v>
      </c>
      <c r="B511" s="13" t="s">
        <v>17350</v>
      </c>
      <c r="C511" s="13" t="s">
        <v>17359</v>
      </c>
      <c r="E511" s="13" t="s">
        <v>17361</v>
      </c>
      <c r="F511" s="13" t="s">
        <v>5540</v>
      </c>
      <c r="G511" s="13" t="s">
        <v>4852</v>
      </c>
    </row>
    <row r="512" ht="12.75" customHeight="1">
      <c r="A512" s="13" t="s">
        <v>981</v>
      </c>
      <c r="B512" s="13" t="s">
        <v>17367</v>
      </c>
      <c r="C512" s="13" t="s">
        <v>17380</v>
      </c>
      <c r="E512" s="13" t="s">
        <v>17382</v>
      </c>
      <c r="F512" s="13" t="s">
        <v>5540</v>
      </c>
      <c r="G512" s="13" t="s">
        <v>4852</v>
      </c>
    </row>
    <row r="513" ht="12.75" customHeight="1">
      <c r="A513" s="13" t="s">
        <v>17385</v>
      </c>
      <c r="B513" s="13" t="s">
        <v>17388</v>
      </c>
      <c r="C513" s="13" t="s">
        <v>17398</v>
      </c>
      <c r="E513" s="13" t="s">
        <v>17400</v>
      </c>
      <c r="F513" s="13" t="s">
        <v>5540</v>
      </c>
      <c r="G513" s="13" t="s">
        <v>4864</v>
      </c>
    </row>
    <row r="514" ht="12.75" customHeight="1">
      <c r="A514" s="13" t="s">
        <v>976</v>
      </c>
      <c r="B514" s="13" t="s">
        <v>17405</v>
      </c>
      <c r="C514" s="13" t="s">
        <v>17415</v>
      </c>
      <c r="E514" s="13" t="s">
        <v>17417</v>
      </c>
      <c r="F514" s="13" t="s">
        <v>5540</v>
      </c>
      <c r="G514" s="13" t="s">
        <v>4856</v>
      </c>
    </row>
    <row r="515" ht="12.75" customHeight="1">
      <c r="A515" s="13" t="s">
        <v>17420</v>
      </c>
      <c r="B515" s="13" t="s">
        <v>17424</v>
      </c>
      <c r="C515" s="13" t="s">
        <v>17440</v>
      </c>
      <c r="E515" s="13" t="s">
        <v>17444</v>
      </c>
      <c r="F515" s="13" t="s">
        <v>5540</v>
      </c>
      <c r="G515" s="13" t="s">
        <v>4864</v>
      </c>
    </row>
    <row r="516" ht="12.75" customHeight="1">
      <c r="A516" s="13" t="s">
        <v>964</v>
      </c>
      <c r="B516" s="13" t="s">
        <v>17464</v>
      </c>
      <c r="C516" s="13" t="s">
        <v>17476</v>
      </c>
      <c r="E516" s="13" t="s">
        <v>17478</v>
      </c>
      <c r="F516" s="13" t="s">
        <v>5540</v>
      </c>
      <c r="G516" s="13" t="s">
        <v>4856</v>
      </c>
    </row>
    <row r="517" ht="12.75" customHeight="1">
      <c r="A517" s="13" t="s">
        <v>961</v>
      </c>
      <c r="B517" s="13" t="s">
        <v>17483</v>
      </c>
      <c r="C517" s="13" t="s">
        <v>17492</v>
      </c>
      <c r="E517" s="13" t="s">
        <v>17494</v>
      </c>
      <c r="F517" s="13" t="s">
        <v>5540</v>
      </c>
      <c r="G517" s="13" t="s">
        <v>4856</v>
      </c>
    </row>
    <row r="518" ht="12.75" customHeight="1">
      <c r="A518" s="13" t="s">
        <v>958</v>
      </c>
      <c r="B518" s="13" t="s">
        <v>17500</v>
      </c>
      <c r="C518" s="13" t="s">
        <v>17513</v>
      </c>
      <c r="E518" s="13" t="s">
        <v>17517</v>
      </c>
      <c r="F518" s="13" t="s">
        <v>5540</v>
      </c>
      <c r="G518" s="13" t="s">
        <v>4864</v>
      </c>
    </row>
    <row r="519" ht="12.75" customHeight="1">
      <c r="A519" s="13" t="s">
        <v>955</v>
      </c>
      <c r="B519" s="13" t="s">
        <v>17522</v>
      </c>
      <c r="C519" s="13" t="s">
        <v>17532</v>
      </c>
      <c r="E519" s="13" t="s">
        <v>17534</v>
      </c>
      <c r="F519" s="13" t="s">
        <v>5540</v>
      </c>
      <c r="G519" s="13" t="s">
        <v>4864</v>
      </c>
    </row>
    <row r="520" ht="12.75" customHeight="1">
      <c r="A520" s="13" t="s">
        <v>951</v>
      </c>
      <c r="B520" s="13" t="s">
        <v>17540</v>
      </c>
      <c r="C520" s="13" t="s">
        <v>17554</v>
      </c>
      <c r="E520" s="13" t="s">
        <v>17556</v>
      </c>
      <c r="F520" s="13" t="s">
        <v>5540</v>
      </c>
      <c r="G520" s="13" t="s">
        <v>4856</v>
      </c>
    </row>
    <row r="521" ht="12.75" customHeight="1">
      <c r="A521" s="13" t="s">
        <v>946</v>
      </c>
      <c r="B521" s="13" t="s">
        <v>17577</v>
      </c>
      <c r="C521" s="13" t="s">
        <v>17586</v>
      </c>
      <c r="E521" s="13" t="s">
        <v>17588</v>
      </c>
      <c r="F521" s="13" t="s">
        <v>5540</v>
      </c>
      <c r="G521" s="13" t="s">
        <v>4856</v>
      </c>
    </row>
    <row r="522" ht="12.75" customHeight="1">
      <c r="A522" s="13" t="s">
        <v>937</v>
      </c>
      <c r="B522" s="13" t="s">
        <v>17592</v>
      </c>
      <c r="C522" s="13" t="s">
        <v>17603</v>
      </c>
      <c r="E522" s="13" t="s">
        <v>17605</v>
      </c>
      <c r="F522" s="13" t="s">
        <v>5540</v>
      </c>
      <c r="G522" s="13" t="s">
        <v>4856</v>
      </c>
    </row>
    <row r="523" ht="12.75" customHeight="1">
      <c r="A523" s="13" t="s">
        <v>932</v>
      </c>
      <c r="B523" s="13" t="s">
        <v>17609</v>
      </c>
      <c r="C523" s="13" t="s">
        <v>17619</v>
      </c>
      <c r="E523" s="13" t="s">
        <v>17621</v>
      </c>
      <c r="F523" s="13" t="s">
        <v>5540</v>
      </c>
      <c r="G523" s="13" t="s">
        <v>4864</v>
      </c>
    </row>
    <row r="524" ht="12.75" customHeight="1">
      <c r="A524" s="13" t="s">
        <v>17624</v>
      </c>
      <c r="B524" s="13" t="s">
        <v>17628</v>
      </c>
      <c r="C524" s="13" t="s">
        <v>17642</v>
      </c>
      <c r="E524" s="13" t="s">
        <v>17644</v>
      </c>
      <c r="F524" s="13" t="s">
        <v>9118</v>
      </c>
      <c r="G524" s="13" t="s">
        <v>4856</v>
      </c>
    </row>
    <row r="525" ht="12.75" customHeight="1">
      <c r="A525" s="13" t="s">
        <v>919</v>
      </c>
      <c r="B525" s="13" t="s">
        <v>17650</v>
      </c>
      <c r="C525" s="13" t="str">
        <f>#REF!</f>
        <v>#REF!</v>
      </c>
      <c r="E525" s="13" t="s">
        <v>17665</v>
      </c>
      <c r="F525" s="13" t="s">
        <v>5540</v>
      </c>
      <c r="G525" s="13" t="s">
        <v>4886</v>
      </c>
    </row>
    <row r="526" ht="12.75" customHeight="1">
      <c r="A526" s="13" t="s">
        <v>916</v>
      </c>
      <c r="B526" s="13" t="s">
        <v>17670</v>
      </c>
      <c r="C526" s="13" t="s">
        <v>17679</v>
      </c>
      <c r="E526" s="13" t="s">
        <v>17681</v>
      </c>
      <c r="F526" s="13" t="s">
        <v>5540</v>
      </c>
      <c r="G526" s="13" t="s">
        <v>4856</v>
      </c>
    </row>
    <row r="527" ht="12.75" customHeight="1">
      <c r="A527" s="13" t="s">
        <v>912</v>
      </c>
      <c r="B527" s="13" t="s">
        <v>17686</v>
      </c>
      <c r="C527" s="13" t="s">
        <v>17697</v>
      </c>
      <c r="E527" s="13" t="s">
        <v>17699</v>
      </c>
      <c r="F527" s="13" t="s">
        <v>5540</v>
      </c>
      <c r="G527" s="13" t="s">
        <v>4856</v>
      </c>
    </row>
    <row r="528" ht="12.75" customHeight="1">
      <c r="A528" s="13" t="s">
        <v>17702</v>
      </c>
      <c r="B528" s="13" t="s">
        <v>17705</v>
      </c>
      <c r="C528" s="13" t="s">
        <v>17714</v>
      </c>
      <c r="E528" s="13" t="s">
        <v>17716</v>
      </c>
      <c r="F528" s="13" t="s">
        <v>5540</v>
      </c>
      <c r="G528" s="13" t="s">
        <v>4864</v>
      </c>
    </row>
    <row r="529" ht="12.75" customHeight="1">
      <c r="A529" s="13" t="s">
        <v>907</v>
      </c>
      <c r="B529" s="13" t="s">
        <v>17721</v>
      </c>
      <c r="C529" s="13" t="s">
        <v>17731</v>
      </c>
      <c r="E529" s="13" t="s">
        <v>17733</v>
      </c>
      <c r="F529" s="13" t="s">
        <v>5540</v>
      </c>
      <c r="G529" s="13" t="s">
        <v>4856</v>
      </c>
    </row>
    <row r="530" ht="12.75" customHeight="1">
      <c r="A530" s="13" t="s">
        <v>898</v>
      </c>
      <c r="B530" s="13" t="s">
        <v>17764</v>
      </c>
      <c r="C530" s="13" t="s">
        <v>17778</v>
      </c>
      <c r="E530" s="13" t="s">
        <v>17780</v>
      </c>
      <c r="F530" s="13" t="s">
        <v>5540</v>
      </c>
      <c r="G530" s="13" t="s">
        <v>4864</v>
      </c>
    </row>
    <row r="531" ht="12.75" customHeight="1">
      <c r="A531" s="13" t="s">
        <v>17783</v>
      </c>
      <c r="B531" s="13" t="s">
        <v>17786</v>
      </c>
      <c r="C531" s="13" t="s">
        <v>17797</v>
      </c>
      <c r="E531" s="13" t="s">
        <v>17800</v>
      </c>
      <c r="F531" s="13" t="s">
        <v>5540</v>
      </c>
      <c r="G531" s="13" t="s">
        <v>4856</v>
      </c>
    </row>
    <row r="532" ht="12.75" customHeight="1">
      <c r="A532" s="13" t="s">
        <v>891</v>
      </c>
      <c r="B532" s="13" t="s">
        <v>17805</v>
      </c>
      <c r="C532" s="13" t="s">
        <v>17815</v>
      </c>
      <c r="E532" s="13" t="s">
        <v>17817</v>
      </c>
      <c r="F532" s="13" t="s">
        <v>5540</v>
      </c>
      <c r="G532" s="13" t="s">
        <v>4856</v>
      </c>
    </row>
    <row r="533" ht="12.75" customHeight="1">
      <c r="A533" s="13" t="s">
        <v>889</v>
      </c>
      <c r="B533" s="13" t="s">
        <v>17821</v>
      </c>
      <c r="C533" s="13" t="s">
        <v>17833</v>
      </c>
      <c r="E533" s="13" t="s">
        <v>17835</v>
      </c>
      <c r="F533" s="13" t="s">
        <v>5540</v>
      </c>
      <c r="G533" s="13" t="s">
        <v>4880</v>
      </c>
    </row>
    <row r="534" ht="12.75" customHeight="1">
      <c r="A534" s="13" t="s">
        <v>886</v>
      </c>
      <c r="B534" s="13" t="s">
        <v>17840</v>
      </c>
      <c r="C534" s="13" t="s">
        <v>17850</v>
      </c>
      <c r="E534" s="13" t="s">
        <v>17851</v>
      </c>
      <c r="F534" s="13" t="s">
        <v>5540</v>
      </c>
      <c r="G534" s="13" t="s">
        <v>4864</v>
      </c>
    </row>
    <row r="535" ht="12.75" customHeight="1">
      <c r="A535" s="13" t="s">
        <v>883</v>
      </c>
      <c r="B535" s="13" t="s">
        <v>17856</v>
      </c>
      <c r="C535" s="13" t="s">
        <v>17864</v>
      </c>
      <c r="E535" s="13" t="s">
        <v>17866</v>
      </c>
      <c r="F535" s="13" t="s">
        <v>5540</v>
      </c>
      <c r="G535" s="13" t="s">
        <v>4856</v>
      </c>
    </row>
    <row r="536" ht="12.75" customHeight="1">
      <c r="A536" s="2" t="s">
        <v>878</v>
      </c>
      <c r="B536" s="13" t="s">
        <v>17870</v>
      </c>
      <c r="C536" s="13" t="s">
        <v>17880</v>
      </c>
      <c r="E536" s="13" t="s">
        <v>17882</v>
      </c>
      <c r="F536" s="13" t="s">
        <v>5540</v>
      </c>
      <c r="G536" s="13" t="s">
        <v>4864</v>
      </c>
    </row>
    <row r="537" ht="12.75" customHeight="1">
      <c r="A537" s="13" t="s">
        <v>874</v>
      </c>
      <c r="B537" s="13" t="s">
        <v>17887</v>
      </c>
      <c r="C537" s="13" t="s">
        <v>17901</v>
      </c>
      <c r="E537" s="13" t="s">
        <v>17903</v>
      </c>
      <c r="F537" s="13" t="s">
        <v>5540</v>
      </c>
      <c r="G537" s="13" t="s">
        <v>4856</v>
      </c>
    </row>
    <row r="538" ht="12.75" customHeight="1">
      <c r="A538" s="13" t="s">
        <v>17936</v>
      </c>
      <c r="B538" s="13" t="s">
        <v>17939</v>
      </c>
      <c r="C538" s="13" t="s">
        <v>17949</v>
      </c>
      <c r="E538" s="13" t="s">
        <v>17951</v>
      </c>
      <c r="F538" s="13" t="s">
        <v>11683</v>
      </c>
      <c r="G538" s="13" t="s">
        <v>4856</v>
      </c>
    </row>
    <row r="539" ht="12.75" customHeight="1">
      <c r="A539" s="13" t="s">
        <v>17954</v>
      </c>
      <c r="B539" s="13" t="s">
        <v>17957</v>
      </c>
      <c r="C539" s="13" t="s">
        <v>17965</v>
      </c>
      <c r="E539" s="13" t="s">
        <v>17967</v>
      </c>
      <c r="F539" s="13" t="s">
        <v>5540</v>
      </c>
      <c r="G539" s="13" t="s">
        <v>4856</v>
      </c>
    </row>
    <row r="540" ht="12.75" customHeight="1">
      <c r="A540" s="13" t="s">
        <v>844</v>
      </c>
      <c r="B540" s="13" t="s">
        <v>17993</v>
      </c>
      <c r="C540" s="13" t="s">
        <v>18002</v>
      </c>
      <c r="E540" s="13" t="s">
        <v>18004</v>
      </c>
      <c r="F540" s="13" t="s">
        <v>5540</v>
      </c>
      <c r="G540" s="13" t="s">
        <v>4856</v>
      </c>
    </row>
    <row r="541" ht="12.75" customHeight="1">
      <c r="A541" s="2" t="s">
        <v>841</v>
      </c>
      <c r="B541" s="13" t="s">
        <v>18009</v>
      </c>
      <c r="C541" s="13" t="s">
        <v>18019</v>
      </c>
      <c r="E541" s="13" t="s">
        <v>18021</v>
      </c>
      <c r="F541" s="13" t="s">
        <v>5540</v>
      </c>
      <c r="G541" s="13" t="s">
        <v>4852</v>
      </c>
    </row>
    <row r="542" ht="12.75" customHeight="1">
      <c r="A542" s="2" t="s">
        <v>832</v>
      </c>
      <c r="B542" s="13" t="s">
        <v>18044</v>
      </c>
      <c r="C542" s="13" t="s">
        <v>18055</v>
      </c>
      <c r="E542" s="13" t="s">
        <v>18057</v>
      </c>
      <c r="F542" s="13" t="s">
        <v>5540</v>
      </c>
      <c r="G542" s="13" t="s">
        <v>4856</v>
      </c>
    </row>
    <row r="543" ht="12.75" customHeight="1">
      <c r="A543" s="13" t="s">
        <v>828</v>
      </c>
      <c r="B543" s="13" t="s">
        <v>18062</v>
      </c>
      <c r="C543" s="13" t="s">
        <v>18072</v>
      </c>
      <c r="E543" s="13" t="s">
        <v>18074</v>
      </c>
      <c r="F543" s="13" t="s">
        <v>5540</v>
      </c>
      <c r="G543" s="13" t="s">
        <v>4856</v>
      </c>
    </row>
    <row r="544" ht="12.75" customHeight="1">
      <c r="A544" s="13" t="s">
        <v>795</v>
      </c>
      <c r="B544" s="13" t="s">
        <v>18226</v>
      </c>
      <c r="C544" s="13" t="s">
        <v>18236</v>
      </c>
      <c r="E544" s="13" t="s">
        <v>18238</v>
      </c>
      <c r="F544" s="13" t="s">
        <v>5540</v>
      </c>
      <c r="G544" s="13" t="s">
        <v>4856</v>
      </c>
    </row>
    <row r="545" ht="12.75" customHeight="1">
      <c r="A545" s="13" t="s">
        <v>789</v>
      </c>
      <c r="B545" s="13" t="s">
        <v>18259</v>
      </c>
      <c r="C545" s="13" t="s">
        <v>18267</v>
      </c>
      <c r="E545" s="13" t="s">
        <v>18269</v>
      </c>
      <c r="F545" s="13" t="s">
        <v>5540</v>
      </c>
      <c r="G545" s="13" t="s">
        <v>4856</v>
      </c>
    </row>
    <row r="546" ht="12.75" customHeight="1">
      <c r="A546" s="13" t="s">
        <v>786</v>
      </c>
      <c r="B546" s="13" t="s">
        <v>18274</v>
      </c>
      <c r="C546" s="13" t="s">
        <v>18284</v>
      </c>
      <c r="E546" s="13" t="s">
        <v>18286</v>
      </c>
      <c r="F546" s="13" t="s">
        <v>5540</v>
      </c>
      <c r="G546" s="13" t="s">
        <v>4856</v>
      </c>
    </row>
    <row r="547" ht="12.75" customHeight="1">
      <c r="A547" s="13" t="s">
        <v>779</v>
      </c>
      <c r="B547" s="13" t="s">
        <v>18309</v>
      </c>
      <c r="C547" s="13" t="s">
        <v>18325</v>
      </c>
      <c r="E547" s="13" t="s">
        <v>18327</v>
      </c>
      <c r="F547" s="13" t="s">
        <v>5540</v>
      </c>
      <c r="G547" s="13" t="s">
        <v>4856</v>
      </c>
    </row>
    <row r="548" ht="12.75" customHeight="1">
      <c r="A548" s="13" t="s">
        <v>776</v>
      </c>
      <c r="B548" s="13" t="s">
        <v>18332</v>
      </c>
      <c r="C548" s="13" t="s">
        <v>18338</v>
      </c>
      <c r="E548" s="13" t="s">
        <v>18340</v>
      </c>
      <c r="F548" s="13" t="s">
        <v>5540</v>
      </c>
      <c r="G548" s="13" t="s">
        <v>4852</v>
      </c>
    </row>
    <row r="549" ht="12.75" customHeight="1">
      <c r="A549" s="13" t="s">
        <v>768</v>
      </c>
      <c r="B549" s="13" t="s">
        <v>18359</v>
      </c>
      <c r="C549" s="13" t="s">
        <v>18369</v>
      </c>
      <c r="E549" s="13" t="s">
        <v>18371</v>
      </c>
      <c r="F549" s="13" t="s">
        <v>5540</v>
      </c>
      <c r="G549" s="13" t="s">
        <v>4855</v>
      </c>
    </row>
    <row r="550" ht="12.75" customHeight="1">
      <c r="A550" s="13" t="s">
        <v>18374</v>
      </c>
      <c r="B550" s="13" t="s">
        <v>18377</v>
      </c>
      <c r="C550" s="13" t="s">
        <v>18386</v>
      </c>
      <c r="E550" s="13" t="s">
        <v>18388</v>
      </c>
      <c r="F550" s="13" t="s">
        <v>5540</v>
      </c>
      <c r="G550" s="13" t="s">
        <v>4856</v>
      </c>
    </row>
    <row r="551" ht="12.75" customHeight="1">
      <c r="A551" s="13" t="s">
        <v>18391</v>
      </c>
      <c r="B551" s="13" t="s">
        <v>18394</v>
      </c>
      <c r="C551" s="13" t="s">
        <v>18403</v>
      </c>
      <c r="E551" s="13" t="s">
        <v>18405</v>
      </c>
      <c r="F551" s="13" t="s">
        <v>5540</v>
      </c>
      <c r="G551" s="13" t="s">
        <v>4856</v>
      </c>
    </row>
    <row r="552" ht="12.75" customHeight="1">
      <c r="A552" s="13" t="s">
        <v>759</v>
      </c>
      <c r="B552" s="13" t="s">
        <v>18410</v>
      </c>
      <c r="C552" s="13" t="s">
        <v>18420</v>
      </c>
      <c r="E552" s="13" t="s">
        <v>18421</v>
      </c>
      <c r="F552" s="13" t="s">
        <v>5540</v>
      </c>
      <c r="G552" s="13" t="s">
        <v>4856</v>
      </c>
    </row>
    <row r="553" ht="12.75" customHeight="1">
      <c r="A553" s="13" t="s">
        <v>18441</v>
      </c>
      <c r="B553" s="13" t="s">
        <v>18448</v>
      </c>
      <c r="C553" s="13" t="s">
        <v>18457</v>
      </c>
      <c r="E553" s="13" t="s">
        <v>18459</v>
      </c>
      <c r="F553" s="13" t="s">
        <v>5540</v>
      </c>
      <c r="G553" s="13" t="s">
        <v>4852</v>
      </c>
    </row>
    <row r="554" ht="12.75" customHeight="1">
      <c r="A554" s="13" t="s">
        <v>745</v>
      </c>
      <c r="B554" s="13" t="s">
        <v>18464</v>
      </c>
      <c r="C554" s="13" t="s">
        <v>18474</v>
      </c>
      <c r="E554" s="13" t="s">
        <v>18476</v>
      </c>
      <c r="F554" s="13" t="s">
        <v>11683</v>
      </c>
      <c r="G554" s="13" t="s">
        <v>4856</v>
      </c>
    </row>
    <row r="555" ht="12.75" customHeight="1">
      <c r="A555" s="13" t="s">
        <v>18479</v>
      </c>
      <c r="B555" s="13" t="s">
        <v>18483</v>
      </c>
      <c r="C555" s="13" t="s">
        <v>18497</v>
      </c>
      <c r="E555" s="13" t="s">
        <v>18499</v>
      </c>
      <c r="F555" s="13" t="s">
        <v>5540</v>
      </c>
      <c r="G555" s="13" t="s">
        <v>4856</v>
      </c>
    </row>
    <row r="556" ht="12.75" customHeight="1">
      <c r="A556" s="2" t="s">
        <v>735</v>
      </c>
      <c r="B556" s="13" t="s">
        <v>18524</v>
      </c>
      <c r="C556" s="13" t="s">
        <v>18533</v>
      </c>
      <c r="E556" s="13" t="s">
        <v>18535</v>
      </c>
      <c r="F556" s="13" t="s">
        <v>5540</v>
      </c>
      <c r="G556" s="13" t="s">
        <v>4856</v>
      </c>
    </row>
    <row r="557" ht="12.75" customHeight="1">
      <c r="A557" s="13" t="s">
        <v>728</v>
      </c>
      <c r="B557" s="13" t="s">
        <v>18574</v>
      </c>
      <c r="C557" s="13" t="s">
        <v>18583</v>
      </c>
      <c r="E557" s="13" t="s">
        <v>18585</v>
      </c>
      <c r="F557" s="13" t="s">
        <v>5540</v>
      </c>
      <c r="G557" s="13" t="s">
        <v>4856</v>
      </c>
    </row>
    <row r="558" ht="12.75" customHeight="1">
      <c r="A558" s="13" t="s">
        <v>726</v>
      </c>
      <c r="B558" s="13" t="s">
        <v>18589</v>
      </c>
      <c r="C558" s="13" t="s">
        <v>18600</v>
      </c>
      <c r="E558" s="13" t="s">
        <v>18602</v>
      </c>
      <c r="F558" s="13" t="s">
        <v>5540</v>
      </c>
      <c r="G558" s="13" t="s">
        <v>4856</v>
      </c>
    </row>
    <row r="559" ht="12.75" customHeight="1">
      <c r="A559" s="13" t="s">
        <v>724</v>
      </c>
      <c r="B559" s="13" t="s">
        <v>18607</v>
      </c>
      <c r="C559" s="13" t="s">
        <v>18617</v>
      </c>
      <c r="E559" s="13" t="s">
        <v>18619</v>
      </c>
      <c r="F559" s="13" t="s">
        <v>5540</v>
      </c>
      <c r="G559" s="13" t="s">
        <v>4856</v>
      </c>
    </row>
    <row r="560" ht="12.75" customHeight="1">
      <c r="A560" s="13" t="s">
        <v>721</v>
      </c>
      <c r="B560" s="13" t="s">
        <v>18624</v>
      </c>
      <c r="C560" s="13" t="s">
        <v>18631</v>
      </c>
      <c r="E560" s="13" t="s">
        <v>18633</v>
      </c>
      <c r="F560" s="13" t="s">
        <v>5540</v>
      </c>
      <c r="G560" s="13" t="s">
        <v>4856</v>
      </c>
    </row>
    <row r="561" ht="12.75" customHeight="1">
      <c r="A561" s="13" t="s">
        <v>718</v>
      </c>
      <c r="B561" s="13" t="s">
        <v>18638</v>
      </c>
      <c r="C561" s="13" t="s">
        <v>18648</v>
      </c>
      <c r="E561" s="13" t="s">
        <v>18650</v>
      </c>
      <c r="F561" s="13" t="s">
        <v>5540</v>
      </c>
      <c r="G561" s="13" t="s">
        <v>4852</v>
      </c>
    </row>
    <row r="562" ht="12.75" customHeight="1">
      <c r="A562" s="13" t="s">
        <v>714</v>
      </c>
      <c r="B562" s="13" t="s">
        <v>18654</v>
      </c>
      <c r="C562" s="13" t="s">
        <v>18663</v>
      </c>
      <c r="E562" s="13" t="s">
        <v>18665</v>
      </c>
      <c r="F562" s="13" t="s">
        <v>5540</v>
      </c>
      <c r="G562" s="13" t="s">
        <v>5083</v>
      </c>
    </row>
    <row r="563" ht="12.75" customHeight="1">
      <c r="A563" s="13" t="s">
        <v>711</v>
      </c>
      <c r="B563" s="13" t="s">
        <v>18670</v>
      </c>
      <c r="C563" s="13" t="s">
        <v>18678</v>
      </c>
      <c r="E563" s="13" t="s">
        <v>18680</v>
      </c>
      <c r="F563" s="13" t="s">
        <v>5540</v>
      </c>
      <c r="G563" s="13" t="s">
        <v>4852</v>
      </c>
    </row>
    <row r="564" ht="12.75" customHeight="1">
      <c r="A564" s="13" t="s">
        <v>708</v>
      </c>
      <c r="B564" s="13" t="s">
        <v>18686</v>
      </c>
      <c r="C564" s="13" t="s">
        <v>18703</v>
      </c>
      <c r="E564" s="13" t="s">
        <v>18705</v>
      </c>
      <c r="F564" s="13" t="s">
        <v>5540</v>
      </c>
      <c r="G564" s="13" t="s">
        <v>4856</v>
      </c>
    </row>
    <row r="565" ht="12.75" customHeight="1">
      <c r="A565" s="13" t="s">
        <v>18724</v>
      </c>
      <c r="B565" s="13" t="s">
        <v>18726</v>
      </c>
      <c r="C565" s="13" t="s">
        <v>18735</v>
      </c>
      <c r="E565" s="13" t="s">
        <v>18737</v>
      </c>
      <c r="F565" s="13" t="s">
        <v>5540</v>
      </c>
      <c r="G565" s="13" t="s">
        <v>4856</v>
      </c>
    </row>
    <row r="566" ht="12.75" customHeight="1">
      <c r="A566" s="13" t="s">
        <v>700</v>
      </c>
      <c r="B566" s="13" t="s">
        <v>18742</v>
      </c>
      <c r="C566" s="13" t="s">
        <v>18754</v>
      </c>
      <c r="E566" s="13" t="s">
        <v>18756</v>
      </c>
      <c r="F566" s="13" t="s">
        <v>5540</v>
      </c>
      <c r="G566" s="13" t="s">
        <v>4856</v>
      </c>
    </row>
    <row r="567" ht="12.75" customHeight="1">
      <c r="A567" s="13" t="s">
        <v>18759</v>
      </c>
      <c r="B567" s="13" t="s">
        <v>18761</v>
      </c>
      <c r="C567" s="13" t="s">
        <v>18773</v>
      </c>
      <c r="E567" s="13" t="s">
        <v>18775</v>
      </c>
      <c r="F567" s="13" t="s">
        <v>5540</v>
      </c>
      <c r="G567" s="13" t="s">
        <v>4856</v>
      </c>
    </row>
    <row r="568" ht="12.75" customHeight="1">
      <c r="A568" s="13" t="s">
        <v>692</v>
      </c>
      <c r="B568" s="13" t="s">
        <v>18797</v>
      </c>
      <c r="C568" s="13" t="s">
        <v>18806</v>
      </c>
      <c r="E568" s="13" t="s">
        <v>18808</v>
      </c>
      <c r="F568" s="13" t="s">
        <v>5540</v>
      </c>
      <c r="G568" s="13" t="s">
        <v>4856</v>
      </c>
    </row>
    <row r="569" ht="12.75" customHeight="1">
      <c r="A569" s="13" t="s">
        <v>18811</v>
      </c>
      <c r="B569" s="13" t="s">
        <v>18815</v>
      </c>
      <c r="C569" s="13" t="s">
        <v>18829</v>
      </c>
      <c r="E569" s="13" t="s">
        <v>18831</v>
      </c>
      <c r="F569" s="13" t="s">
        <v>9118</v>
      </c>
      <c r="G569" s="13" t="s">
        <v>4886</v>
      </c>
    </row>
    <row r="570" ht="12.75" customHeight="1">
      <c r="A570" s="13" t="s">
        <v>677</v>
      </c>
      <c r="B570" s="13" t="s">
        <v>18836</v>
      </c>
      <c r="C570" s="13" t="s">
        <v>18845</v>
      </c>
      <c r="E570" s="13" t="s">
        <v>18847</v>
      </c>
      <c r="F570" s="13" t="s">
        <v>5540</v>
      </c>
      <c r="G570" s="13" t="s">
        <v>4856</v>
      </c>
    </row>
    <row r="571" ht="12.75" customHeight="1">
      <c r="A571" s="13" t="s">
        <v>18864</v>
      </c>
      <c r="B571" s="13" t="s">
        <v>18866</v>
      </c>
      <c r="C571" s="13" t="s">
        <v>18878</v>
      </c>
      <c r="E571" s="13" t="s">
        <v>18880</v>
      </c>
      <c r="F571" s="13" t="s">
        <v>5540</v>
      </c>
      <c r="G571" s="13" t="s">
        <v>4864</v>
      </c>
    </row>
    <row r="572" ht="12.75" customHeight="1">
      <c r="A572" s="2" t="s">
        <v>670</v>
      </c>
      <c r="B572" s="13" t="s">
        <v>18885</v>
      </c>
      <c r="C572" s="13" t="s">
        <v>18893</v>
      </c>
      <c r="E572" s="13" t="s">
        <v>18895</v>
      </c>
      <c r="F572" s="13" t="s">
        <v>5540</v>
      </c>
      <c r="G572" s="13" t="s">
        <v>4864</v>
      </c>
    </row>
    <row r="573" ht="12.75" customHeight="1">
      <c r="A573" s="13" t="s">
        <v>18898</v>
      </c>
      <c r="B573" s="13" t="s">
        <v>18901</v>
      </c>
      <c r="C573" s="13" t="s">
        <v>18916</v>
      </c>
      <c r="E573" s="13" t="s">
        <v>18918</v>
      </c>
      <c r="F573" s="13" t="s">
        <v>5540</v>
      </c>
      <c r="G573" s="13" t="s">
        <v>4856</v>
      </c>
    </row>
    <row r="574" ht="12.75" customHeight="1">
      <c r="A574" s="2" t="s">
        <v>663</v>
      </c>
      <c r="B574" s="13" t="s">
        <v>18923</v>
      </c>
      <c r="C574" s="13" t="s">
        <v>18933</v>
      </c>
      <c r="E574" s="13" t="s">
        <v>18935</v>
      </c>
      <c r="F574" s="13" t="s">
        <v>5540</v>
      </c>
      <c r="G574" s="13" t="s">
        <v>4856</v>
      </c>
    </row>
    <row r="575" ht="12.75" customHeight="1">
      <c r="A575" s="13" t="s">
        <v>18968</v>
      </c>
      <c r="B575" s="13" t="s">
        <v>18971</v>
      </c>
      <c r="C575" s="13" t="s">
        <v>18981</v>
      </c>
      <c r="E575" s="13" t="s">
        <v>18982</v>
      </c>
      <c r="F575" s="13" t="s">
        <v>5540</v>
      </c>
      <c r="G575" s="13" t="s">
        <v>4852</v>
      </c>
    </row>
    <row r="576" ht="12.75" customHeight="1">
      <c r="A576" s="2" t="s">
        <v>647</v>
      </c>
      <c r="B576" s="13" t="s">
        <v>18987</v>
      </c>
      <c r="C576" s="13" t="s">
        <v>18996</v>
      </c>
      <c r="E576" s="13" t="s">
        <v>18998</v>
      </c>
      <c r="F576" s="13" t="s">
        <v>5540</v>
      </c>
      <c r="G576" s="13" t="s">
        <v>4856</v>
      </c>
    </row>
    <row r="577" ht="12.75" customHeight="1">
      <c r="A577" s="13" t="s">
        <v>644</v>
      </c>
      <c r="B577" s="13" t="s">
        <v>19004</v>
      </c>
      <c r="C577" s="13" t="s">
        <v>19018</v>
      </c>
      <c r="E577" s="13" t="s">
        <v>19021</v>
      </c>
      <c r="F577" s="13" t="s">
        <v>5540</v>
      </c>
      <c r="G577" s="13" t="s">
        <v>4864</v>
      </c>
    </row>
    <row r="578" ht="12.75" customHeight="1">
      <c r="A578" s="13" t="s">
        <v>641</v>
      </c>
      <c r="B578" s="13" t="s">
        <v>19025</v>
      </c>
      <c r="C578" s="13" t="s">
        <v>19035</v>
      </c>
      <c r="E578" s="13" t="s">
        <v>19037</v>
      </c>
      <c r="F578" s="13" t="s">
        <v>5540</v>
      </c>
      <c r="G578" s="13" t="s">
        <v>4864</v>
      </c>
    </row>
    <row r="579" ht="12.75" customHeight="1">
      <c r="A579" s="13" t="s">
        <v>19040</v>
      </c>
      <c r="B579" s="13" t="s">
        <v>19043</v>
      </c>
      <c r="C579" s="13" t="s">
        <v>19055</v>
      </c>
      <c r="E579" s="13" t="s">
        <v>19058</v>
      </c>
      <c r="F579" s="13" t="s">
        <v>5540</v>
      </c>
      <c r="G579" s="13" t="s">
        <v>4856</v>
      </c>
    </row>
    <row r="580" ht="12.75" customHeight="1">
      <c r="A580" s="13" t="s">
        <v>635</v>
      </c>
      <c r="B580" s="13" t="s">
        <v>19064</v>
      </c>
      <c r="C580" s="13" t="s">
        <v>19078</v>
      </c>
      <c r="E580" s="13" t="s">
        <v>19080</v>
      </c>
      <c r="F580" s="13" t="s">
        <v>5540</v>
      </c>
      <c r="G580" s="13" t="s">
        <v>4852</v>
      </c>
    </row>
    <row r="581" ht="12.75" customHeight="1">
      <c r="A581" s="13" t="s">
        <v>629</v>
      </c>
      <c r="B581" s="13" t="s">
        <v>19085</v>
      </c>
      <c r="C581" s="13" t="s">
        <v>19092</v>
      </c>
      <c r="E581" s="13" t="s">
        <v>19093</v>
      </c>
      <c r="F581" s="13" t="s">
        <v>9118</v>
      </c>
      <c r="G581" s="13" t="s">
        <v>4864</v>
      </c>
    </row>
    <row r="582" ht="12.75" customHeight="1">
      <c r="A582" s="2" t="s">
        <v>626</v>
      </c>
      <c r="B582" s="13" t="s">
        <v>19099</v>
      </c>
      <c r="C582" s="13" t="s">
        <v>19109</v>
      </c>
      <c r="E582" s="13" t="s">
        <v>19111</v>
      </c>
      <c r="F582" s="13" t="s">
        <v>5540</v>
      </c>
      <c r="G582" s="13" t="s">
        <v>4856</v>
      </c>
    </row>
    <row r="583" ht="12.75" customHeight="1">
      <c r="A583" s="13" t="s">
        <v>621</v>
      </c>
      <c r="B583" s="13" t="s">
        <v>19133</v>
      </c>
      <c r="C583" s="13" t="s">
        <v>19144</v>
      </c>
      <c r="E583" s="13" t="s">
        <v>19146</v>
      </c>
      <c r="F583" s="13" t="s">
        <v>5540</v>
      </c>
      <c r="G583" s="13" t="s">
        <v>4864</v>
      </c>
    </row>
    <row r="584" ht="12.75" customHeight="1">
      <c r="A584" s="13" t="s">
        <v>611</v>
      </c>
      <c r="B584" s="13" t="s">
        <v>19190</v>
      </c>
      <c r="C584" s="13" t="s">
        <v>19200</v>
      </c>
      <c r="E584" s="13" t="s">
        <v>19202</v>
      </c>
      <c r="F584" s="13" t="s">
        <v>5540</v>
      </c>
      <c r="G584" s="13" t="s">
        <v>4856</v>
      </c>
    </row>
    <row r="585" ht="12.75" customHeight="1">
      <c r="A585" s="13" t="s">
        <v>608</v>
      </c>
      <c r="B585" s="13" t="s">
        <v>19210</v>
      </c>
      <c r="C585" s="13" t="s">
        <v>19215</v>
      </c>
      <c r="E585" s="13" t="s">
        <v>19218</v>
      </c>
      <c r="F585" s="13" t="s">
        <v>5540</v>
      </c>
      <c r="G585" s="13" t="s">
        <v>4856</v>
      </c>
    </row>
    <row r="586" ht="12.75" customHeight="1">
      <c r="A586" s="13" t="s">
        <v>594</v>
      </c>
      <c r="B586" s="13" t="s">
        <v>19257</v>
      </c>
      <c r="C586" s="13" t="s">
        <v>19266</v>
      </c>
      <c r="E586" s="13" t="s">
        <v>19268</v>
      </c>
      <c r="F586" s="13" t="s">
        <v>5540</v>
      </c>
      <c r="G586" s="13" t="s">
        <v>4856</v>
      </c>
    </row>
    <row r="587" ht="12.75" customHeight="1">
      <c r="A587" s="13" t="s">
        <v>590</v>
      </c>
      <c r="B587" s="13" t="s">
        <v>19274</v>
      </c>
      <c r="C587" s="13" t="s">
        <v>19285</v>
      </c>
      <c r="E587" s="13" t="s">
        <v>19287</v>
      </c>
      <c r="F587" s="13" t="s">
        <v>5540</v>
      </c>
      <c r="G587" s="13" t="s">
        <v>4856</v>
      </c>
    </row>
    <row r="588" ht="12.75" customHeight="1">
      <c r="A588" s="13" t="s">
        <v>586</v>
      </c>
      <c r="B588" s="13" t="s">
        <v>19293</v>
      </c>
      <c r="C588" s="13" t="s">
        <v>19304</v>
      </c>
      <c r="E588" s="13" t="s">
        <v>19308</v>
      </c>
      <c r="F588" s="13" t="s">
        <v>5540</v>
      </c>
      <c r="G588" s="13" t="s">
        <v>4856</v>
      </c>
    </row>
    <row r="589" ht="12.75" customHeight="1">
      <c r="A589" s="13" t="s">
        <v>571</v>
      </c>
      <c r="B589" s="13" t="s">
        <v>5510</v>
      </c>
      <c r="C589" s="13" t="s">
        <v>19353</v>
      </c>
      <c r="E589" s="13" t="s">
        <v>19355</v>
      </c>
      <c r="F589" s="13" t="s">
        <v>5540</v>
      </c>
      <c r="G589" s="13" t="s">
        <v>4852</v>
      </c>
    </row>
    <row r="590" ht="12.75" customHeight="1">
      <c r="A590" s="13" t="s">
        <v>19358</v>
      </c>
      <c r="B590" s="13" t="s">
        <v>19362</v>
      </c>
      <c r="C590" s="13" t="s">
        <v>19378</v>
      </c>
      <c r="E590" s="13" t="s">
        <v>19380</v>
      </c>
      <c r="F590" s="13" t="s">
        <v>5540</v>
      </c>
      <c r="G590" s="13" t="s">
        <v>5083</v>
      </c>
    </row>
    <row r="591" ht="12.75" customHeight="1">
      <c r="A591" s="13" t="s">
        <v>564</v>
      </c>
      <c r="B591" s="13" t="s">
        <v>19385</v>
      </c>
      <c r="C591" s="13" t="s">
        <v>19394</v>
      </c>
      <c r="E591" s="13" t="s">
        <v>19397</v>
      </c>
      <c r="F591" s="13" t="s">
        <v>5540</v>
      </c>
      <c r="G591" s="13" t="s">
        <v>4856</v>
      </c>
    </row>
    <row r="592" ht="12.75" customHeight="1">
      <c r="A592" s="13" t="s">
        <v>561</v>
      </c>
      <c r="B592" s="13" t="s">
        <v>19402</v>
      </c>
      <c r="C592" s="13" t="s">
        <v>19409</v>
      </c>
      <c r="E592" s="13" t="s">
        <v>19411</v>
      </c>
      <c r="F592" s="13" t="s">
        <v>5540</v>
      </c>
      <c r="G592" s="13" t="s">
        <v>4852</v>
      </c>
    </row>
    <row r="593" ht="12.75" customHeight="1">
      <c r="A593" s="13" t="s">
        <v>19413</v>
      </c>
      <c r="B593" s="13" t="s">
        <v>19416</v>
      </c>
      <c r="C593" s="13" t="s">
        <v>19423</v>
      </c>
      <c r="E593" s="13" t="s">
        <v>19425</v>
      </c>
      <c r="F593" s="13" t="s">
        <v>5540</v>
      </c>
      <c r="G593" s="13" t="s">
        <v>4856</v>
      </c>
    </row>
    <row r="594" ht="12.75" customHeight="1">
      <c r="A594" s="13" t="s">
        <v>555</v>
      </c>
      <c r="B594" s="13" t="s">
        <v>19430</v>
      </c>
      <c r="C594" s="13" t="s">
        <v>19439</v>
      </c>
      <c r="E594" s="13" t="s">
        <v>19441</v>
      </c>
      <c r="F594" s="13" t="s">
        <v>5540</v>
      </c>
      <c r="G594" s="13" t="s">
        <v>4864</v>
      </c>
    </row>
    <row r="595" ht="12.75" customHeight="1">
      <c r="A595" s="13" t="s">
        <v>551</v>
      </c>
      <c r="B595" s="13" t="s">
        <v>19446</v>
      </c>
      <c r="C595" s="13" t="s">
        <v>19454</v>
      </c>
      <c r="E595" s="13" t="s">
        <v>19456</v>
      </c>
      <c r="F595" s="13" t="s">
        <v>5540</v>
      </c>
      <c r="G595" s="13" t="s">
        <v>4864</v>
      </c>
    </row>
    <row r="596" ht="12.75" customHeight="1">
      <c r="A596" s="13" t="s">
        <v>547</v>
      </c>
      <c r="B596" s="13" t="s">
        <v>19461</v>
      </c>
      <c r="C596" s="13" t="s">
        <v>19467</v>
      </c>
      <c r="E596" s="13" t="s">
        <v>19469</v>
      </c>
      <c r="F596" s="13" t="s">
        <v>5540</v>
      </c>
      <c r="G596" s="13" t="s">
        <v>4864</v>
      </c>
    </row>
    <row r="597" ht="12.75" customHeight="1">
      <c r="A597" s="13" t="s">
        <v>19472</v>
      </c>
      <c r="B597" s="13" t="s">
        <v>19475</v>
      </c>
      <c r="C597" s="13" t="s">
        <v>19485</v>
      </c>
      <c r="E597" s="13" t="s">
        <v>19487</v>
      </c>
      <c r="F597" s="13" t="s">
        <v>5540</v>
      </c>
      <c r="G597" s="13" t="s">
        <v>4852</v>
      </c>
    </row>
    <row r="598" ht="12.75" customHeight="1">
      <c r="A598" s="13" t="s">
        <v>541</v>
      </c>
      <c r="B598" s="13" t="s">
        <v>19491</v>
      </c>
      <c r="C598" s="13" t="s">
        <v>19498</v>
      </c>
      <c r="E598" s="13" t="s">
        <v>19500</v>
      </c>
      <c r="F598" s="13" t="s">
        <v>5540</v>
      </c>
      <c r="G598" s="13" t="s">
        <v>4856</v>
      </c>
    </row>
    <row r="599" ht="12.75" customHeight="1">
      <c r="A599" s="13" t="s">
        <v>530</v>
      </c>
      <c r="B599" s="13" t="s">
        <v>19523</v>
      </c>
      <c r="C599" s="13" t="s">
        <v>19539</v>
      </c>
      <c r="E599" s="13" t="s">
        <v>19541</v>
      </c>
      <c r="F599" s="13" t="s">
        <v>5540</v>
      </c>
      <c r="G599" s="13" t="s">
        <v>4856</v>
      </c>
    </row>
    <row r="600" ht="12.75" customHeight="1">
      <c r="A600" s="2" t="s">
        <v>527</v>
      </c>
      <c r="B600" s="13" t="s">
        <v>19546</v>
      </c>
      <c r="C600" s="13" t="s">
        <v>19555</v>
      </c>
      <c r="E600" s="13" t="s">
        <v>19557</v>
      </c>
      <c r="F600" s="13" t="s">
        <v>5540</v>
      </c>
      <c r="G600" s="13" t="s">
        <v>4856</v>
      </c>
    </row>
    <row r="601" ht="12.75" customHeight="1">
      <c r="A601" s="13" t="s">
        <v>514</v>
      </c>
      <c r="B601" s="13" t="s">
        <v>19593</v>
      </c>
      <c r="C601" s="13" t="s">
        <v>19601</v>
      </c>
      <c r="E601" s="13" t="s">
        <v>19603</v>
      </c>
      <c r="F601" s="13" t="s">
        <v>5540</v>
      </c>
      <c r="G601" s="13" t="s">
        <v>4886</v>
      </c>
    </row>
    <row r="602" ht="12.75" customHeight="1">
      <c r="A602" s="13" t="s">
        <v>512</v>
      </c>
      <c r="B602" s="13" t="s">
        <v>19608</v>
      </c>
      <c r="C602" s="13" t="s">
        <v>19616</v>
      </c>
      <c r="E602" s="13" t="s">
        <v>19618</v>
      </c>
      <c r="F602" s="13" t="s">
        <v>5540</v>
      </c>
      <c r="G602" s="13" t="s">
        <v>4856</v>
      </c>
    </row>
    <row r="603" ht="12.75" customHeight="1">
      <c r="A603" s="13" t="s">
        <v>505</v>
      </c>
      <c r="B603" s="13" t="s">
        <v>19637</v>
      </c>
      <c r="C603" s="13" t="s">
        <v>19647</v>
      </c>
      <c r="E603" s="13" t="s">
        <v>19648</v>
      </c>
      <c r="F603" s="13" t="s">
        <v>5540</v>
      </c>
      <c r="G603" s="13" t="s">
        <v>4856</v>
      </c>
    </row>
    <row r="604" ht="12.75" customHeight="1">
      <c r="A604" s="13" t="s">
        <v>497</v>
      </c>
      <c r="B604" s="13" t="s">
        <v>19694</v>
      </c>
      <c r="C604" s="13" t="s">
        <v>19703</v>
      </c>
      <c r="E604" s="13" t="s">
        <v>19705</v>
      </c>
      <c r="F604" s="13" t="s">
        <v>5540</v>
      </c>
      <c r="G604" s="13" t="s">
        <v>4852</v>
      </c>
    </row>
    <row r="605" ht="12.75" customHeight="1">
      <c r="A605" s="13" t="s">
        <v>19708</v>
      </c>
      <c r="B605" s="13" t="s">
        <v>19712</v>
      </c>
      <c r="C605" s="13" t="s">
        <v>19728</v>
      </c>
      <c r="E605" s="13" t="s">
        <v>19731</v>
      </c>
      <c r="F605" s="13" t="s">
        <v>5540</v>
      </c>
      <c r="G605" s="13" t="s">
        <v>4856</v>
      </c>
    </row>
    <row r="606" ht="12.75" customHeight="1">
      <c r="A606" s="13" t="s">
        <v>490</v>
      </c>
      <c r="B606" s="13" t="s">
        <v>19736</v>
      </c>
      <c r="C606" s="13" t="s">
        <v>19746</v>
      </c>
      <c r="E606" s="13" t="s">
        <v>19748</v>
      </c>
      <c r="F606" s="13" t="s">
        <v>5540</v>
      </c>
      <c r="G606" s="13" t="s">
        <v>4864</v>
      </c>
    </row>
    <row r="607" ht="12.75" customHeight="1">
      <c r="A607" s="13" t="s">
        <v>19751</v>
      </c>
      <c r="B607" s="13" t="s">
        <v>19753</v>
      </c>
      <c r="C607" s="13" t="s">
        <v>19765</v>
      </c>
      <c r="E607" s="13" t="s">
        <v>19767</v>
      </c>
      <c r="F607" s="13" t="s">
        <v>5540</v>
      </c>
      <c r="G607" s="13" t="s">
        <v>4886</v>
      </c>
    </row>
    <row r="608" ht="12.75" customHeight="1">
      <c r="A608" s="13" t="s">
        <v>484</v>
      </c>
      <c r="B608" s="13" t="s">
        <v>19772</v>
      </c>
      <c r="C608" s="13" t="s">
        <v>19777</v>
      </c>
      <c r="E608" s="13" t="s">
        <v>19779</v>
      </c>
      <c r="F608" s="13" t="s">
        <v>5540</v>
      </c>
      <c r="G608" s="13" t="s">
        <v>4856</v>
      </c>
    </row>
    <row r="609" ht="12.75" customHeight="1">
      <c r="A609" s="13" t="s">
        <v>478</v>
      </c>
      <c r="B609" s="13" t="s">
        <v>19798</v>
      </c>
      <c r="C609" s="13" t="s">
        <v>19805</v>
      </c>
      <c r="E609" s="13" t="s">
        <v>19807</v>
      </c>
      <c r="F609" s="13" t="s">
        <v>5540</v>
      </c>
      <c r="G609" s="13" t="s">
        <v>4864</v>
      </c>
    </row>
    <row r="610" ht="12.75" customHeight="1">
      <c r="A610" s="13" t="s">
        <v>475</v>
      </c>
      <c r="B610" s="13" t="s">
        <v>19811</v>
      </c>
      <c r="C610" s="13" t="s">
        <v>19820</v>
      </c>
      <c r="E610" s="13" t="s">
        <v>19822</v>
      </c>
      <c r="F610" s="13" t="s">
        <v>5540</v>
      </c>
      <c r="G610" s="13" t="s">
        <v>4856</v>
      </c>
    </row>
    <row r="611" ht="12.75" customHeight="1">
      <c r="A611" s="13" t="s">
        <v>472</v>
      </c>
      <c r="B611" s="13" t="s">
        <v>19827</v>
      </c>
      <c r="C611" s="13" t="s">
        <v>19834</v>
      </c>
      <c r="E611" s="13" t="s">
        <v>19836</v>
      </c>
      <c r="F611" s="13" t="s">
        <v>5540</v>
      </c>
      <c r="G611" s="13" t="s">
        <v>4856</v>
      </c>
    </row>
    <row r="612" ht="12.75" customHeight="1">
      <c r="A612" s="13" t="s">
        <v>470</v>
      </c>
      <c r="B612" s="13" t="s">
        <v>19841</v>
      </c>
      <c r="C612" s="13" t="s">
        <v>19848</v>
      </c>
      <c r="E612" s="13" t="s">
        <v>19850</v>
      </c>
      <c r="F612" s="13" t="s">
        <v>5540</v>
      </c>
      <c r="G612" s="13" t="s">
        <v>4864</v>
      </c>
    </row>
    <row r="613" ht="12.75" customHeight="1">
      <c r="A613" s="13" t="s">
        <v>467</v>
      </c>
      <c r="B613" s="13" t="s">
        <v>19855</v>
      </c>
      <c r="C613" s="13" t="s">
        <v>19865</v>
      </c>
      <c r="E613" s="13" t="s">
        <v>19867</v>
      </c>
      <c r="F613" s="13" t="s">
        <v>5540</v>
      </c>
      <c r="G613" s="13" t="s">
        <v>4856</v>
      </c>
    </row>
    <row r="614" ht="12.75" customHeight="1">
      <c r="A614" s="13" t="s">
        <v>464</v>
      </c>
      <c r="B614" s="13" t="s">
        <v>19871</v>
      </c>
      <c r="C614" s="13" t="s">
        <v>19877</v>
      </c>
      <c r="E614" s="13" t="s">
        <v>19879</v>
      </c>
      <c r="F614" s="13" t="s">
        <v>5540</v>
      </c>
      <c r="G614" s="13" t="s">
        <v>4856</v>
      </c>
    </row>
    <row r="615" ht="12.75" customHeight="1">
      <c r="A615" s="13" t="s">
        <v>19882</v>
      </c>
      <c r="B615" s="13" t="s">
        <v>19885</v>
      </c>
      <c r="C615" s="13" t="s">
        <v>19895</v>
      </c>
      <c r="E615" s="13" t="s">
        <v>19897</v>
      </c>
      <c r="F615" s="13" t="s">
        <v>5540</v>
      </c>
      <c r="G615" s="13" t="s">
        <v>4856</v>
      </c>
    </row>
    <row r="616" ht="12.75" customHeight="1">
      <c r="A616" s="13" t="s">
        <v>457</v>
      </c>
      <c r="B616" s="13" t="s">
        <v>19902</v>
      </c>
      <c r="C616" s="13" t="s">
        <v>19911</v>
      </c>
      <c r="E616" s="13" t="s">
        <v>19913</v>
      </c>
      <c r="F616" s="13" t="s">
        <v>5540</v>
      </c>
      <c r="G616" s="13" t="s">
        <v>4864</v>
      </c>
    </row>
    <row r="617" ht="12.75" customHeight="1">
      <c r="A617" s="13" t="s">
        <v>444</v>
      </c>
      <c r="B617" s="13" t="s">
        <v>19967</v>
      </c>
      <c r="C617" s="13" t="s">
        <v>19984</v>
      </c>
      <c r="E617" s="13" t="s">
        <v>19986</v>
      </c>
      <c r="F617" s="13" t="s">
        <v>5540</v>
      </c>
      <c r="G617" s="13" t="s">
        <v>4852</v>
      </c>
    </row>
    <row r="618" ht="12.75" customHeight="1">
      <c r="A618" s="13" t="s">
        <v>19989</v>
      </c>
      <c r="B618" s="13" t="s">
        <v>19992</v>
      </c>
      <c r="C618" s="13" t="s">
        <v>20002</v>
      </c>
      <c r="E618" s="13" t="s">
        <v>20004</v>
      </c>
      <c r="F618" s="13" t="s">
        <v>5540</v>
      </c>
      <c r="G618" s="13" t="s">
        <v>4886</v>
      </c>
    </row>
    <row r="619" ht="12.75" customHeight="1">
      <c r="A619" s="13" t="s">
        <v>437</v>
      </c>
      <c r="B619" s="13" t="s">
        <v>20009</v>
      </c>
      <c r="C619" s="13" t="s">
        <v>20016</v>
      </c>
      <c r="E619" s="13" t="s">
        <v>20018</v>
      </c>
      <c r="F619" s="13" t="s">
        <v>5540</v>
      </c>
      <c r="G619" s="13" t="s">
        <v>4856</v>
      </c>
    </row>
    <row r="620" ht="12.75" customHeight="1">
      <c r="A620" s="13" t="s">
        <v>434</v>
      </c>
      <c r="B620" s="13" t="s">
        <v>20023</v>
      </c>
      <c r="C620" s="13" t="s">
        <v>20033</v>
      </c>
      <c r="E620" s="13" t="s">
        <v>20034</v>
      </c>
      <c r="F620" s="13" t="s">
        <v>5540</v>
      </c>
      <c r="G620" s="13" t="s">
        <v>4852</v>
      </c>
    </row>
    <row r="621" ht="12.75" customHeight="1">
      <c r="A621" s="13" t="s">
        <v>429</v>
      </c>
      <c r="B621" s="13" t="s">
        <v>20056</v>
      </c>
      <c r="C621" s="13" t="s">
        <v>20067</v>
      </c>
      <c r="E621" s="13" t="s">
        <v>20069</v>
      </c>
      <c r="F621" s="13" t="s">
        <v>5540</v>
      </c>
      <c r="G621" s="13" t="s">
        <v>4856</v>
      </c>
    </row>
    <row r="622" ht="12.75" customHeight="1">
      <c r="A622" s="13" t="s">
        <v>425</v>
      </c>
      <c r="B622" s="13" t="s">
        <v>20075</v>
      </c>
      <c r="C622" s="13" t="s">
        <v>20089</v>
      </c>
      <c r="E622" s="13" t="s">
        <v>20091</v>
      </c>
      <c r="F622" s="13" t="s">
        <v>5540</v>
      </c>
      <c r="G622" s="13" t="s">
        <v>4852</v>
      </c>
    </row>
    <row r="623" ht="12.75" customHeight="1">
      <c r="A623" s="13" t="s">
        <v>417</v>
      </c>
      <c r="B623" s="13" t="s">
        <v>20127</v>
      </c>
      <c r="C623" s="13" t="s">
        <v>20138</v>
      </c>
      <c r="E623" s="13" t="s">
        <v>20140</v>
      </c>
      <c r="F623" s="13" t="s">
        <v>5540</v>
      </c>
      <c r="G623" s="13" t="s">
        <v>4852</v>
      </c>
    </row>
    <row r="624" ht="12.75" customHeight="1">
      <c r="A624" s="13" t="s">
        <v>20143</v>
      </c>
      <c r="B624" s="13" t="s">
        <v>20146</v>
      </c>
      <c r="C624" s="13" t="s">
        <v>20156</v>
      </c>
      <c r="E624" s="13" t="s">
        <v>20158</v>
      </c>
      <c r="F624" s="13" t="s">
        <v>5540</v>
      </c>
      <c r="G624" s="13" t="s">
        <v>4864</v>
      </c>
    </row>
    <row r="625" ht="12.75" customHeight="1">
      <c r="A625" s="13" t="s">
        <v>411</v>
      </c>
      <c r="B625" s="13" t="s">
        <v>20163</v>
      </c>
      <c r="C625" s="13" t="s">
        <v>20173</v>
      </c>
      <c r="E625" s="13" t="s">
        <v>20175</v>
      </c>
      <c r="F625" s="13" t="s">
        <v>5540</v>
      </c>
      <c r="G625" s="13" t="s">
        <v>4856</v>
      </c>
    </row>
    <row r="626" ht="12.75" customHeight="1">
      <c r="A626" s="13" t="s">
        <v>407</v>
      </c>
      <c r="B626" s="13" t="s">
        <v>20184</v>
      </c>
      <c r="C626" s="13" t="s">
        <v>20195</v>
      </c>
      <c r="E626" s="13" t="s">
        <v>20198</v>
      </c>
      <c r="F626" s="13" t="s">
        <v>5540</v>
      </c>
      <c r="G626" s="13" t="s">
        <v>4856</v>
      </c>
    </row>
    <row r="627" ht="12.75" customHeight="1">
      <c r="A627" s="13" t="s">
        <v>399</v>
      </c>
      <c r="B627" s="13" t="s">
        <v>20220</v>
      </c>
      <c r="C627" s="13" t="s">
        <v>20230</v>
      </c>
      <c r="E627" s="13" t="s">
        <v>20232</v>
      </c>
      <c r="F627" s="13" t="s">
        <v>5540</v>
      </c>
      <c r="G627" s="13" t="s">
        <v>4856</v>
      </c>
    </row>
    <row r="628" ht="12.75" customHeight="1">
      <c r="A628" s="13" t="s">
        <v>396</v>
      </c>
      <c r="B628" s="13" t="s">
        <v>20237</v>
      </c>
      <c r="C628" s="13" t="s">
        <v>20247</v>
      </c>
      <c r="E628" s="13" t="s">
        <v>20249</v>
      </c>
      <c r="F628" s="13" t="s">
        <v>5540</v>
      </c>
      <c r="G628" s="13" t="s">
        <v>4864</v>
      </c>
    </row>
    <row r="629" ht="12.75" customHeight="1">
      <c r="A629" s="13" t="s">
        <v>392</v>
      </c>
      <c r="B629" s="13" t="s">
        <v>20255</v>
      </c>
      <c r="C629" s="13" t="s">
        <v>20269</v>
      </c>
      <c r="E629" s="13" t="s">
        <v>20271</v>
      </c>
      <c r="F629" s="13" t="s">
        <v>5540</v>
      </c>
      <c r="G629" s="13" t="s">
        <v>4856</v>
      </c>
    </row>
    <row r="630" ht="12.75" customHeight="1">
      <c r="A630" s="13" t="s">
        <v>388</v>
      </c>
      <c r="B630" s="13" t="s">
        <v>20276</v>
      </c>
      <c r="C630" s="13" t="s">
        <v>20283</v>
      </c>
      <c r="E630" s="13" t="s">
        <v>20284</v>
      </c>
      <c r="F630" s="13" t="s">
        <v>5540</v>
      </c>
      <c r="G630" s="13" t="s">
        <v>4856</v>
      </c>
    </row>
    <row r="631" ht="12.75" customHeight="1">
      <c r="A631" s="13" t="s">
        <v>385</v>
      </c>
      <c r="B631" s="13" t="s">
        <v>20288</v>
      </c>
      <c r="C631" s="13" t="s">
        <v>20299</v>
      </c>
      <c r="E631" s="13" t="s">
        <v>20301</v>
      </c>
      <c r="F631" s="13" t="s">
        <v>5540</v>
      </c>
      <c r="G631" s="13" t="s">
        <v>4856</v>
      </c>
    </row>
    <row r="632" ht="12.75" customHeight="1">
      <c r="A632" s="13" t="s">
        <v>371</v>
      </c>
      <c r="B632" s="13" t="s">
        <v>20305</v>
      </c>
      <c r="C632" s="13" t="s">
        <v>20317</v>
      </c>
      <c r="E632" s="13" t="s">
        <v>20319</v>
      </c>
      <c r="F632" s="13" t="s">
        <v>5540</v>
      </c>
      <c r="G632" s="13" t="s">
        <v>4864</v>
      </c>
    </row>
    <row r="633" ht="12.75" customHeight="1">
      <c r="A633" s="13" t="s">
        <v>364</v>
      </c>
      <c r="B633" s="13" t="s">
        <v>20339</v>
      </c>
      <c r="C633" s="13" t="s">
        <v>20349</v>
      </c>
      <c r="E633" s="13" t="s">
        <v>20351</v>
      </c>
      <c r="F633" s="13" t="s">
        <v>5540</v>
      </c>
      <c r="G633" s="13" t="s">
        <v>4856</v>
      </c>
    </row>
    <row r="634" ht="12.75" customHeight="1">
      <c r="A634" s="13" t="s">
        <v>20369</v>
      </c>
      <c r="B634" s="13" t="s">
        <v>20376</v>
      </c>
      <c r="C634" s="13" t="str">
        <f>#REF!</f>
        <v>#REF!</v>
      </c>
      <c r="E634" s="13" t="s">
        <v>20385</v>
      </c>
      <c r="F634" s="13" t="s">
        <v>5540</v>
      </c>
      <c r="G634" s="13" t="s">
        <v>4852</v>
      </c>
    </row>
    <row r="635" ht="12.75" customHeight="1">
      <c r="A635" s="13" t="s">
        <v>356</v>
      </c>
      <c r="B635" s="13" t="s">
        <v>20390</v>
      </c>
      <c r="C635" s="13" t="s">
        <v>20400</v>
      </c>
      <c r="E635" s="13" t="s">
        <v>20402</v>
      </c>
      <c r="F635" s="13" t="s">
        <v>5540</v>
      </c>
      <c r="G635" s="13" t="s">
        <v>4856</v>
      </c>
    </row>
    <row r="636" ht="12.75" customHeight="1">
      <c r="A636" s="13" t="s">
        <v>20405</v>
      </c>
      <c r="B636" s="13" t="s">
        <v>20409</v>
      </c>
      <c r="C636" s="13" t="s">
        <v>20421</v>
      </c>
      <c r="E636" s="13" t="s">
        <v>20425</v>
      </c>
      <c r="F636" s="13" t="s">
        <v>5540</v>
      </c>
      <c r="G636" s="13" t="s">
        <v>4864</v>
      </c>
    </row>
    <row r="637" ht="12.75" customHeight="1">
      <c r="A637" s="13" t="s">
        <v>351</v>
      </c>
      <c r="B637" s="13" t="s">
        <v>20430</v>
      </c>
      <c r="C637" s="13" t="s">
        <v>20440</v>
      </c>
      <c r="E637" s="13" t="s">
        <v>20442</v>
      </c>
      <c r="F637" s="13" t="s">
        <v>5540</v>
      </c>
      <c r="G637" s="13" t="s">
        <v>4856</v>
      </c>
    </row>
    <row r="638" ht="12.75" customHeight="1">
      <c r="A638" s="13" t="s">
        <v>20445</v>
      </c>
      <c r="B638" s="13" t="s">
        <v>20447</v>
      </c>
      <c r="C638" s="13" t="s">
        <v>20456</v>
      </c>
      <c r="E638" s="13" t="s">
        <v>20458</v>
      </c>
      <c r="F638" s="13" t="s">
        <v>5540</v>
      </c>
      <c r="G638" s="13" t="s">
        <v>4856</v>
      </c>
    </row>
    <row r="639" ht="12.75" customHeight="1">
      <c r="A639" s="13" t="s">
        <v>342</v>
      </c>
      <c r="B639" s="13" t="s">
        <v>20486</v>
      </c>
      <c r="C639" s="13" t="s">
        <v>20496</v>
      </c>
      <c r="E639" s="13" t="s">
        <v>20498</v>
      </c>
      <c r="F639" s="13" t="s">
        <v>5540</v>
      </c>
      <c r="G639" s="13" t="s">
        <v>4856</v>
      </c>
    </row>
    <row r="640" ht="12.75" customHeight="1">
      <c r="A640" s="13" t="s">
        <v>339</v>
      </c>
      <c r="B640" s="13" t="s">
        <v>20503</v>
      </c>
      <c r="C640" s="13" t="s">
        <v>20513</v>
      </c>
      <c r="E640" s="13" t="s">
        <v>20514</v>
      </c>
      <c r="F640" s="13" t="s">
        <v>5540</v>
      </c>
      <c r="G640" s="13" t="s">
        <v>4856</v>
      </c>
    </row>
    <row r="641" ht="12.75" customHeight="1">
      <c r="A641" s="13" t="s">
        <v>20531</v>
      </c>
      <c r="B641" s="13" t="s">
        <v>20535</v>
      </c>
      <c r="C641" s="13" t="s">
        <v>20550</v>
      </c>
      <c r="E641" s="13" t="s">
        <v>20552</v>
      </c>
      <c r="F641" s="13" t="s">
        <v>5540</v>
      </c>
      <c r="G641" s="13" t="s">
        <v>4856</v>
      </c>
    </row>
    <row r="642" ht="12.75" customHeight="1">
      <c r="A642" s="13" t="s">
        <v>328</v>
      </c>
      <c r="B642" s="13" t="s">
        <v>20557</v>
      </c>
      <c r="C642" s="13" t="s">
        <v>20565</v>
      </c>
      <c r="E642" s="13" t="s">
        <v>20567</v>
      </c>
      <c r="F642" s="13" t="s">
        <v>5540</v>
      </c>
      <c r="G642" s="13" t="s">
        <v>4856</v>
      </c>
    </row>
    <row r="643" ht="12.75" customHeight="1">
      <c r="A643" s="13" t="s">
        <v>310</v>
      </c>
      <c r="B643" s="13" t="s">
        <v>20608</v>
      </c>
      <c r="C643" s="13" t="s">
        <v>20620</v>
      </c>
      <c r="E643" s="13" t="s">
        <v>20622</v>
      </c>
      <c r="F643" s="13" t="s">
        <v>5540</v>
      </c>
      <c r="G643" s="13" t="s">
        <v>4852</v>
      </c>
    </row>
    <row r="644" ht="12.75" customHeight="1">
      <c r="A644" s="13" t="s">
        <v>306</v>
      </c>
      <c r="B644" s="13" t="s">
        <v>20628</v>
      </c>
      <c r="C644" s="13" t="s">
        <v>20642</v>
      </c>
      <c r="E644" s="13" t="s">
        <v>20644</v>
      </c>
      <c r="F644" s="13" t="s">
        <v>5540</v>
      </c>
      <c r="G644" s="13" t="s">
        <v>4856</v>
      </c>
    </row>
    <row r="645" ht="12.75" customHeight="1">
      <c r="A645" s="13" t="s">
        <v>301</v>
      </c>
      <c r="B645" s="13" t="s">
        <v>20649</v>
      </c>
      <c r="C645" s="13" t="s">
        <v>20659</v>
      </c>
      <c r="E645" s="13" t="s">
        <v>20661</v>
      </c>
      <c r="F645" s="13" t="s">
        <v>5540</v>
      </c>
      <c r="G645" s="13" t="s">
        <v>4864</v>
      </c>
    </row>
    <row r="646" ht="12.75" customHeight="1">
      <c r="A646" s="13" t="s">
        <v>294</v>
      </c>
      <c r="B646" s="13" t="s">
        <v>20692</v>
      </c>
      <c r="C646" s="13" t="s">
        <v>20705</v>
      </c>
      <c r="E646" s="13" t="s">
        <v>20709</v>
      </c>
      <c r="F646" s="13" t="s">
        <v>5540</v>
      </c>
      <c r="G646" s="13" t="s">
        <v>4856</v>
      </c>
    </row>
    <row r="647" ht="12.75" customHeight="1">
      <c r="A647" s="13" t="s">
        <v>284</v>
      </c>
      <c r="B647" s="13" t="s">
        <v>20760</v>
      </c>
      <c r="C647" s="13" t="s">
        <v>20769</v>
      </c>
      <c r="E647" s="13" t="s">
        <v>20770</v>
      </c>
      <c r="F647" s="13" t="s">
        <v>5540</v>
      </c>
      <c r="G647" s="13" t="s">
        <v>4856</v>
      </c>
    </row>
    <row r="648" ht="12.75" customHeight="1">
      <c r="A648" s="13" t="s">
        <v>281</v>
      </c>
      <c r="B648" s="13" t="s">
        <v>20774</v>
      </c>
      <c r="C648" s="13" t="s">
        <v>20784</v>
      </c>
      <c r="E648" s="13" t="s">
        <v>20786</v>
      </c>
      <c r="F648" s="13" t="s">
        <v>5540</v>
      </c>
      <c r="G648" s="13" t="s">
        <v>4886</v>
      </c>
    </row>
    <row r="649" ht="12.75" customHeight="1">
      <c r="A649" s="13" t="s">
        <v>277</v>
      </c>
      <c r="B649" s="13" t="s">
        <v>20792</v>
      </c>
      <c r="C649" s="13" t="s">
        <v>20806</v>
      </c>
      <c r="E649" s="13" t="s">
        <v>20810</v>
      </c>
      <c r="F649" s="13" t="s">
        <v>5540</v>
      </c>
      <c r="G649" s="13" t="s">
        <v>4856</v>
      </c>
    </row>
    <row r="650" ht="12.75" customHeight="1">
      <c r="A650" s="13" t="s">
        <v>274</v>
      </c>
      <c r="B650" s="13" t="s">
        <v>20815</v>
      </c>
      <c r="C650" s="13" t="s">
        <v>20825</v>
      </c>
      <c r="E650" s="13" t="s">
        <v>20827</v>
      </c>
      <c r="F650" s="13" t="s">
        <v>5540</v>
      </c>
      <c r="G650" s="13" t="s">
        <v>4856</v>
      </c>
    </row>
    <row r="651" ht="12.75" customHeight="1">
      <c r="A651" s="13" t="s">
        <v>20830</v>
      </c>
      <c r="B651" s="13" t="s">
        <v>20833</v>
      </c>
      <c r="C651" s="13" t="s">
        <v>20843</v>
      </c>
      <c r="E651" s="13" t="s">
        <v>20845</v>
      </c>
      <c r="F651" s="13" t="s">
        <v>5540</v>
      </c>
      <c r="G651" s="13" t="s">
        <v>4856</v>
      </c>
    </row>
    <row r="652" ht="12.75" customHeight="1">
      <c r="A652" s="13" t="s">
        <v>20848</v>
      </c>
      <c r="B652" s="13" t="s">
        <v>20851</v>
      </c>
      <c r="C652" s="13" t="s">
        <v>20860</v>
      </c>
      <c r="E652" s="13" t="s">
        <v>20862</v>
      </c>
      <c r="F652" s="13" t="s">
        <v>5540</v>
      </c>
      <c r="G652" s="13" t="s">
        <v>4864</v>
      </c>
    </row>
    <row r="653" ht="12.75" customHeight="1">
      <c r="A653" s="2" t="s">
        <v>262</v>
      </c>
      <c r="B653" s="13" t="s">
        <v>20868</v>
      </c>
      <c r="C653" s="13" t="s">
        <v>20883</v>
      </c>
      <c r="E653" s="13" t="s">
        <v>20885</v>
      </c>
      <c r="F653" s="13" t="s">
        <v>5540</v>
      </c>
      <c r="G653" s="13" t="s">
        <v>4852</v>
      </c>
    </row>
    <row r="654" ht="12.75" customHeight="1">
      <c r="A654" s="13" t="s">
        <v>259</v>
      </c>
      <c r="B654" s="13" t="s">
        <v>20889</v>
      </c>
      <c r="C654" s="13" t="s">
        <v>20899</v>
      </c>
      <c r="E654" s="13" t="s">
        <v>20901</v>
      </c>
      <c r="F654" s="13" t="s">
        <v>5540</v>
      </c>
      <c r="G654" s="13" t="s">
        <v>4856</v>
      </c>
    </row>
    <row r="655" ht="12.75" customHeight="1">
      <c r="A655" s="13" t="s">
        <v>20918</v>
      </c>
      <c r="B655" s="13" t="s">
        <v>20922</v>
      </c>
      <c r="C655" s="13" t="s">
        <v>20935</v>
      </c>
      <c r="E655" s="13" t="s">
        <v>20938</v>
      </c>
      <c r="F655" s="13" t="s">
        <v>5540</v>
      </c>
      <c r="G655" s="13" t="s">
        <v>4856</v>
      </c>
    </row>
    <row r="656" ht="12.75" customHeight="1">
      <c r="A656" s="13" t="s">
        <v>245</v>
      </c>
      <c r="B656" s="13" t="s">
        <v>20965</v>
      </c>
      <c r="C656" s="13" t="s">
        <v>20975</v>
      </c>
      <c r="E656" s="13" t="s">
        <v>20977</v>
      </c>
      <c r="F656" s="13" t="s">
        <v>5540</v>
      </c>
      <c r="G656" s="13" t="s">
        <v>4856</v>
      </c>
    </row>
    <row r="657" ht="12.75" customHeight="1">
      <c r="A657" s="13" t="s">
        <v>241</v>
      </c>
      <c r="B657" s="13" t="s">
        <v>20982</v>
      </c>
      <c r="C657" s="13" t="s">
        <v>20992</v>
      </c>
      <c r="E657" s="13" t="s">
        <v>20994</v>
      </c>
      <c r="F657" s="13" t="s">
        <v>5540</v>
      </c>
      <c r="G657" s="13" t="s">
        <v>4856</v>
      </c>
    </row>
    <row r="658" ht="12.75" customHeight="1">
      <c r="A658" s="13" t="s">
        <v>234</v>
      </c>
      <c r="B658" s="13" t="s">
        <v>21017</v>
      </c>
      <c r="C658" s="13" t="s">
        <v>21027</v>
      </c>
      <c r="E658" s="13" t="s">
        <v>21029</v>
      </c>
      <c r="F658" s="13" t="s">
        <v>5540</v>
      </c>
      <c r="G658" s="13" t="s">
        <v>4886</v>
      </c>
    </row>
    <row r="659" ht="12.75" customHeight="1">
      <c r="A659" s="13" t="s">
        <v>21032</v>
      </c>
      <c r="B659" s="13" t="s">
        <v>21035</v>
      </c>
      <c r="C659" s="13" t="s">
        <v>21045</v>
      </c>
      <c r="E659" s="13" t="s">
        <v>21047</v>
      </c>
      <c r="F659" s="13" t="s">
        <v>5540</v>
      </c>
      <c r="G659" s="13" t="s">
        <v>4864</v>
      </c>
    </row>
    <row r="660" ht="12.75" customHeight="1">
      <c r="A660" s="13" t="s">
        <v>227</v>
      </c>
      <c r="B660" s="13" t="s">
        <v>21057</v>
      </c>
      <c r="C660" s="13" t="str">
        <f>#REF!</f>
        <v>#REF!</v>
      </c>
      <c r="E660" s="13" t="s">
        <v>21071</v>
      </c>
      <c r="F660" s="13" t="s">
        <v>5540</v>
      </c>
      <c r="G660" s="13" t="s">
        <v>4856</v>
      </c>
    </row>
    <row r="661" ht="12.75" customHeight="1">
      <c r="A661" s="13" t="s">
        <v>21093</v>
      </c>
      <c r="B661" s="13" t="s">
        <v>21094</v>
      </c>
      <c r="C661" s="13" t="s">
        <v>21104</v>
      </c>
      <c r="E661" s="13" t="s">
        <v>21106</v>
      </c>
      <c r="F661" s="13" t="s">
        <v>5540</v>
      </c>
      <c r="G661" s="13" t="s">
        <v>4864</v>
      </c>
    </row>
    <row r="662" ht="12.75" customHeight="1">
      <c r="A662" s="13" t="s">
        <v>214</v>
      </c>
      <c r="B662" s="13" t="s">
        <v>21112</v>
      </c>
      <c r="C662" s="13" t="s">
        <v>21126</v>
      </c>
      <c r="E662" s="13" t="s">
        <v>21128</v>
      </c>
      <c r="F662" s="13" t="s">
        <v>5540</v>
      </c>
      <c r="G662" s="13" t="s">
        <v>4886</v>
      </c>
    </row>
    <row r="663" ht="12.75" customHeight="1">
      <c r="A663" s="13" t="s">
        <v>212</v>
      </c>
      <c r="B663" s="13" t="s">
        <v>21132</v>
      </c>
      <c r="C663" s="13" t="s">
        <v>21143</v>
      </c>
      <c r="E663" s="13" t="s">
        <v>21145</v>
      </c>
      <c r="F663" s="13" t="s">
        <v>5540</v>
      </c>
      <c r="G663" s="13" t="s">
        <v>4864</v>
      </c>
    </row>
    <row r="664" ht="12.75" customHeight="1">
      <c r="A664" s="13" t="s">
        <v>209</v>
      </c>
      <c r="B664" s="13" t="s">
        <v>21150</v>
      </c>
      <c r="C664" s="13" t="s">
        <v>21158</v>
      </c>
      <c r="E664" s="13" t="s">
        <v>21160</v>
      </c>
      <c r="F664" s="13" t="s">
        <v>5540</v>
      </c>
      <c r="G664" s="13" t="s">
        <v>4864</v>
      </c>
    </row>
    <row r="665" ht="12.75" customHeight="1">
      <c r="A665" s="13" t="s">
        <v>21163</v>
      </c>
      <c r="B665" s="13" t="s">
        <v>21167</v>
      </c>
      <c r="C665" s="13" t="s">
        <v>21182</v>
      </c>
      <c r="E665" s="13" t="s">
        <v>21184</v>
      </c>
      <c r="F665" s="13" t="s">
        <v>5540</v>
      </c>
      <c r="G665" s="13" t="s">
        <v>4856</v>
      </c>
    </row>
    <row r="666" ht="12.75" customHeight="1">
      <c r="A666" s="13" t="s">
        <v>198</v>
      </c>
      <c r="B666" s="13" t="s">
        <v>21189</v>
      </c>
      <c r="C666" s="13" t="s">
        <v>21199</v>
      </c>
      <c r="E666" s="13" t="s">
        <v>21200</v>
      </c>
      <c r="F666" s="13" t="s">
        <v>5540</v>
      </c>
      <c r="G666" s="13" t="s">
        <v>4856</v>
      </c>
    </row>
    <row r="667" ht="12.75" customHeight="1">
      <c r="A667" s="13" t="s">
        <v>194</v>
      </c>
      <c r="B667" s="13" t="s">
        <v>21205</v>
      </c>
      <c r="C667" s="13" t="s">
        <v>21212</v>
      </c>
      <c r="E667" s="13" t="s">
        <v>21214</v>
      </c>
      <c r="F667" s="13" t="s">
        <v>5540</v>
      </c>
      <c r="G667" s="13" t="s">
        <v>4864</v>
      </c>
    </row>
    <row r="668" ht="12.75" customHeight="1">
      <c r="A668" s="13" t="s">
        <v>191</v>
      </c>
      <c r="B668" s="13" t="s">
        <v>21219</v>
      </c>
      <c r="C668" s="13" t="s">
        <v>21226</v>
      </c>
      <c r="E668" s="13" t="s">
        <v>21228</v>
      </c>
      <c r="F668" s="13" t="s">
        <v>5540</v>
      </c>
      <c r="G668" s="13" t="s">
        <v>4856</v>
      </c>
    </row>
    <row r="669" ht="12.75" customHeight="1">
      <c r="A669" s="13" t="s">
        <v>188</v>
      </c>
      <c r="B669" s="13" t="s">
        <v>21233</v>
      </c>
      <c r="C669" s="13" t="s">
        <v>21244</v>
      </c>
      <c r="E669" s="13" t="s">
        <v>21246</v>
      </c>
      <c r="F669" s="13" t="s">
        <v>5540</v>
      </c>
      <c r="G669" s="13" t="s">
        <v>4864</v>
      </c>
    </row>
    <row r="670" ht="12.75" customHeight="1">
      <c r="A670" s="13" t="s">
        <v>21248</v>
      </c>
      <c r="B670" s="13" t="s">
        <v>21252</v>
      </c>
      <c r="C670" s="13" t="s">
        <v>21262</v>
      </c>
      <c r="E670" s="13" t="s">
        <v>21265</v>
      </c>
      <c r="F670" s="13" t="s">
        <v>11683</v>
      </c>
      <c r="G670" s="13" t="s">
        <v>4886</v>
      </c>
    </row>
    <row r="671" ht="12.75" customHeight="1">
      <c r="A671" s="13" t="s">
        <v>173</v>
      </c>
      <c r="B671" s="13" t="s">
        <v>21270</v>
      </c>
      <c r="C671" s="13" t="s">
        <v>21281</v>
      </c>
      <c r="E671" s="13" t="s">
        <v>21283</v>
      </c>
      <c r="F671" s="13" t="s">
        <v>5540</v>
      </c>
      <c r="G671" s="13" t="s">
        <v>4864</v>
      </c>
    </row>
    <row r="672" ht="12.75" customHeight="1">
      <c r="A672" s="13" t="s">
        <v>169</v>
      </c>
      <c r="B672" s="13" t="s">
        <v>21288</v>
      </c>
      <c r="C672" s="13" t="s">
        <v>21298</v>
      </c>
      <c r="E672" s="13" t="s">
        <v>21300</v>
      </c>
      <c r="F672" s="13" t="s">
        <v>5540</v>
      </c>
      <c r="G672" s="13" t="s">
        <v>4856</v>
      </c>
    </row>
    <row r="673" ht="12.75" customHeight="1">
      <c r="A673" s="13" t="s">
        <v>21321</v>
      </c>
      <c r="B673" s="13" t="s">
        <v>21325</v>
      </c>
      <c r="C673" s="13" t="s">
        <v>21337</v>
      </c>
      <c r="E673" s="13" t="s">
        <v>21339</v>
      </c>
      <c r="F673" s="13" t="s">
        <v>5540</v>
      </c>
      <c r="G673" s="13" t="s">
        <v>4856</v>
      </c>
    </row>
    <row r="674" ht="12.75" customHeight="1">
      <c r="A674" s="13" t="s">
        <v>21358</v>
      </c>
      <c r="B674" s="13" t="s">
        <v>21361</v>
      </c>
      <c r="C674" s="13" t="s">
        <v>21370</v>
      </c>
      <c r="E674" s="13" t="s">
        <v>21372</v>
      </c>
      <c r="F674" s="13" t="s">
        <v>5540</v>
      </c>
      <c r="G674" s="13" t="s">
        <v>4856</v>
      </c>
    </row>
    <row r="675" ht="12.75" customHeight="1">
      <c r="A675" s="13" t="s">
        <v>148</v>
      </c>
      <c r="B675" s="13" t="s">
        <v>5510</v>
      </c>
      <c r="C675" s="13" t="str">
        <f>#REF!</f>
        <v>#REF!</v>
      </c>
      <c r="E675" s="13" t="s">
        <v>21403</v>
      </c>
      <c r="F675" s="13" t="s">
        <v>5540</v>
      </c>
      <c r="G675" s="13" t="s">
        <v>4886</v>
      </c>
    </row>
    <row r="676" ht="12.75" customHeight="1">
      <c r="A676" s="13" t="s">
        <v>148</v>
      </c>
      <c r="B676" s="13" t="s">
        <v>21408</v>
      </c>
      <c r="C676" s="13" t="s">
        <v>21419</v>
      </c>
      <c r="E676" s="13" t="s">
        <v>21423</v>
      </c>
      <c r="F676" s="13" t="s">
        <v>5540</v>
      </c>
      <c r="G676" s="13" t="s">
        <v>4886</v>
      </c>
    </row>
    <row r="677" ht="12.75" customHeight="1">
      <c r="A677" s="13" t="s">
        <v>144</v>
      </c>
      <c r="B677" s="13" t="s">
        <v>21428</v>
      </c>
      <c r="C677" s="13" t="s">
        <v>21437</v>
      </c>
      <c r="E677" s="13" t="s">
        <v>21439</v>
      </c>
      <c r="F677" s="13" t="s">
        <v>5540</v>
      </c>
      <c r="G677" s="13" t="s">
        <v>4864</v>
      </c>
    </row>
    <row r="678" ht="12.75" customHeight="1">
      <c r="A678" s="13" t="s">
        <v>141</v>
      </c>
      <c r="B678" s="13" t="s">
        <v>21444</v>
      </c>
      <c r="C678" s="13" t="s">
        <v>21454</v>
      </c>
      <c r="E678" s="13" t="s">
        <v>21456</v>
      </c>
      <c r="F678" s="13" t="s">
        <v>5540</v>
      </c>
      <c r="G678" s="13" t="s">
        <v>5083</v>
      </c>
    </row>
    <row r="679" ht="12.75" customHeight="1">
      <c r="A679" s="13" t="s">
        <v>135</v>
      </c>
      <c r="B679" s="13" t="s">
        <v>21477</v>
      </c>
      <c r="C679" s="13" t="s">
        <v>21488</v>
      </c>
      <c r="E679" s="13" t="s">
        <v>21490</v>
      </c>
      <c r="F679" s="13" t="s">
        <v>5540</v>
      </c>
      <c r="G679" s="13" t="s">
        <v>4864</v>
      </c>
    </row>
    <row r="680" ht="12.75" customHeight="1">
      <c r="A680" s="13" t="s">
        <v>124</v>
      </c>
      <c r="B680" s="13" t="s">
        <v>21529</v>
      </c>
      <c r="C680" s="13" t="s">
        <v>21539</v>
      </c>
      <c r="E680" s="13" t="s">
        <v>21541</v>
      </c>
      <c r="F680" s="13" t="s">
        <v>5540</v>
      </c>
      <c r="G680" s="13" t="s">
        <v>4856</v>
      </c>
    </row>
    <row r="681" ht="12.75" customHeight="1">
      <c r="A681" s="13" t="s">
        <v>21579</v>
      </c>
      <c r="B681" s="13" t="s">
        <v>21582</v>
      </c>
      <c r="C681" s="13" t="s">
        <v>21591</v>
      </c>
      <c r="E681" s="13" t="s">
        <v>21593</v>
      </c>
      <c r="F681" s="13" t="s">
        <v>5540</v>
      </c>
      <c r="G681" s="13" t="s">
        <v>4856</v>
      </c>
    </row>
    <row r="682" ht="12.75" customHeight="1">
      <c r="A682" s="13" t="s">
        <v>21596</v>
      </c>
      <c r="B682" s="13" t="s">
        <v>21597</v>
      </c>
      <c r="C682" s="13" t="str">
        <f>#REF!</f>
        <v>#REF!</v>
      </c>
      <c r="E682" s="13" t="s">
        <v>21600</v>
      </c>
      <c r="F682" s="13" t="s">
        <v>5540</v>
      </c>
      <c r="G682" s="13" t="s">
        <v>4852</v>
      </c>
    </row>
    <row r="683" ht="12.75" customHeight="1">
      <c r="A683" s="13" t="s">
        <v>100</v>
      </c>
      <c r="B683" s="13" t="s">
        <v>21604</v>
      </c>
      <c r="C683" s="13" t="s">
        <v>21608</v>
      </c>
      <c r="E683" s="13" t="s">
        <v>21610</v>
      </c>
      <c r="F683" s="13" t="s">
        <v>5540</v>
      </c>
      <c r="G683" s="13" t="s">
        <v>4864</v>
      </c>
    </row>
    <row r="684" ht="12.75" customHeight="1">
      <c r="A684" s="13" t="s">
        <v>21612</v>
      </c>
      <c r="B684" s="13" t="s">
        <v>21615</v>
      </c>
      <c r="C684" s="13" t="s">
        <v>21624</v>
      </c>
      <c r="E684" s="13" t="s">
        <v>21626</v>
      </c>
      <c r="F684" s="13" t="s">
        <v>5540</v>
      </c>
      <c r="G684" s="13" t="s">
        <v>4856</v>
      </c>
    </row>
    <row r="685" ht="12.75" customHeight="1">
      <c r="A685" s="13" t="s">
        <v>86</v>
      </c>
      <c r="B685" s="13" t="s">
        <v>21670</v>
      </c>
      <c r="C685" s="13" t="s">
        <v>21680</v>
      </c>
      <c r="E685" s="13" t="s">
        <v>21681</v>
      </c>
      <c r="F685" s="13" t="s">
        <v>5540</v>
      </c>
      <c r="G685" s="13" t="s">
        <v>4856</v>
      </c>
    </row>
    <row r="686" ht="12.75" customHeight="1">
      <c r="A686" s="13" t="s">
        <v>77</v>
      </c>
      <c r="B686" s="13" t="s">
        <v>21721</v>
      </c>
      <c r="C686" s="13" t="s">
        <v>21730</v>
      </c>
      <c r="E686" s="13" t="s">
        <v>21731</v>
      </c>
      <c r="F686" s="13" t="s">
        <v>5540</v>
      </c>
      <c r="G686" s="13" t="s">
        <v>4856</v>
      </c>
    </row>
    <row r="687" ht="12.75" customHeight="1">
      <c r="A687" s="13" t="s">
        <v>73</v>
      </c>
      <c r="B687" s="13" t="s">
        <v>21736</v>
      </c>
      <c r="C687" s="13" t="s">
        <v>21745</v>
      </c>
      <c r="E687" s="13" t="s">
        <v>21747</v>
      </c>
      <c r="F687" s="13" t="s">
        <v>5540</v>
      </c>
      <c r="G687" s="13" t="s">
        <v>4864</v>
      </c>
    </row>
    <row r="688" ht="12.75" customHeight="1">
      <c r="A688" s="13" t="s">
        <v>66</v>
      </c>
      <c r="B688" s="13" t="s">
        <v>21766</v>
      </c>
      <c r="C688" s="13" t="s">
        <v>21776</v>
      </c>
      <c r="E688" s="13" t="s">
        <v>21778</v>
      </c>
      <c r="F688" s="13" t="s">
        <v>9118</v>
      </c>
      <c r="G688" s="13" t="s">
        <v>4856</v>
      </c>
    </row>
    <row r="689" ht="12.75" customHeight="1">
      <c r="A689" s="13" t="s">
        <v>63</v>
      </c>
      <c r="B689" s="13" t="s">
        <v>21783</v>
      </c>
      <c r="C689" s="13" t="s">
        <v>21788</v>
      </c>
      <c r="E689" s="13" t="s">
        <v>21790</v>
      </c>
      <c r="F689" s="13" t="s">
        <v>5540</v>
      </c>
      <c r="G689" s="13" t="s">
        <v>4856</v>
      </c>
    </row>
    <row r="690" ht="12.75" customHeight="1">
      <c r="A690" s="13" t="s">
        <v>21793</v>
      </c>
      <c r="B690" s="13" t="s">
        <v>21796</v>
      </c>
      <c r="C690" s="13" t="s">
        <v>21804</v>
      </c>
      <c r="E690" s="13" t="s">
        <v>21806</v>
      </c>
      <c r="F690" s="13" t="s">
        <v>5540</v>
      </c>
      <c r="G690" s="13" t="s">
        <v>4856</v>
      </c>
    </row>
    <row r="691" ht="12.75" customHeight="1">
      <c r="A691" s="13" t="s">
        <v>55</v>
      </c>
      <c r="B691" s="13" t="s">
        <v>21811</v>
      </c>
      <c r="C691" s="13" t="s">
        <v>21820</v>
      </c>
      <c r="E691" s="13" t="s">
        <v>21822</v>
      </c>
      <c r="F691" s="13" t="s">
        <v>5540</v>
      </c>
      <c r="G691" s="13" t="s">
        <v>4864</v>
      </c>
    </row>
    <row r="692" ht="12.75" customHeight="1">
      <c r="A692" s="13" t="s">
        <v>52</v>
      </c>
      <c r="B692" s="13" t="s">
        <v>21827</v>
      </c>
      <c r="C692" s="13" t="s">
        <v>21836</v>
      </c>
      <c r="E692" s="13" t="s">
        <v>21838</v>
      </c>
      <c r="F692" s="13" t="s">
        <v>5540</v>
      </c>
      <c r="G692" s="13" t="s">
        <v>4856</v>
      </c>
    </row>
    <row r="693" ht="12.75" customHeight="1">
      <c r="A693" s="13" t="s">
        <v>45</v>
      </c>
      <c r="B693" s="13" t="s">
        <v>21859</v>
      </c>
      <c r="C693" s="13" t="s">
        <v>21870</v>
      </c>
      <c r="E693" s="13" t="s">
        <v>21872</v>
      </c>
      <c r="F693" s="13" t="s">
        <v>5540</v>
      </c>
      <c r="G693" s="13" t="s">
        <v>4856</v>
      </c>
    </row>
    <row r="694" ht="12.75" customHeight="1">
      <c r="A694" s="13" t="s">
        <v>35</v>
      </c>
      <c r="B694" s="13" t="s">
        <v>21876</v>
      </c>
      <c r="C694" s="13" t="s">
        <v>21887</v>
      </c>
      <c r="E694" s="13" t="s">
        <v>21889</v>
      </c>
      <c r="F694" s="13" t="s">
        <v>5540</v>
      </c>
      <c r="G694" s="13" t="s">
        <v>4856</v>
      </c>
    </row>
  </sheetData>
  <autoFilter ref="$A$1:$K$694">
    <sortState ref="A1:K694">
      <sortCondition ref="J1:J694"/>
      <sortCondition ref="K1:K694"/>
      <sortCondition descending="1" ref="C1:C694"/>
    </sortState>
  </autoFilter>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1" width="28.13"/>
    <col customWidth="1" min="2" max="3" width="8.0"/>
    <col customWidth="1" min="4" max="5" width="19.5"/>
    <col customWidth="1" min="6" max="6" width="25.38"/>
    <col customWidth="1" min="7" max="7" width="14.13"/>
    <col customWidth="1" min="8" max="8" width="51.5"/>
    <col customWidth="1" min="9" max="9" width="49.0"/>
  </cols>
  <sheetData>
    <row r="1" ht="12.75" customHeight="1">
      <c r="A1" s="13" t="s">
        <v>5446</v>
      </c>
      <c r="B1" s="13" t="s">
        <v>5459</v>
      </c>
      <c r="C1" s="13" t="s">
        <v>5492</v>
      </c>
      <c r="D1" s="2" t="s">
        <v>22</v>
      </c>
      <c r="E1" s="13" t="s">
        <v>5506</v>
      </c>
      <c r="F1" s="51" t="s">
        <v>4845</v>
      </c>
      <c r="G1" s="51" t="s">
        <v>4846</v>
      </c>
      <c r="H1" s="51"/>
      <c r="I1" s="51"/>
    </row>
    <row r="2" ht="12.75" customHeight="1">
      <c r="A2" s="13" t="s">
        <v>3130</v>
      </c>
      <c r="B2" s="13" t="s">
        <v>5517</v>
      </c>
      <c r="C2" s="13" t="s">
        <v>5532</v>
      </c>
      <c r="D2" s="2" t="s">
        <v>0</v>
      </c>
      <c r="E2" s="13" t="s">
        <v>5539</v>
      </c>
      <c r="F2" s="13" t="s">
        <v>5540</v>
      </c>
      <c r="G2" s="13" t="s">
        <v>4856</v>
      </c>
    </row>
    <row r="3" ht="12.75" customHeight="1">
      <c r="A3" s="13" t="s">
        <v>3128</v>
      </c>
      <c r="B3" s="13" t="s">
        <v>5545</v>
      </c>
      <c r="C3" s="13" t="s">
        <v>5559</v>
      </c>
      <c r="D3" s="2" t="s">
        <v>0</v>
      </c>
      <c r="E3" s="13" t="s">
        <v>5565</v>
      </c>
      <c r="F3" s="13" t="s">
        <v>5540</v>
      </c>
      <c r="G3" s="13" t="s">
        <v>4856</v>
      </c>
    </row>
    <row r="4" ht="12.75" customHeight="1">
      <c r="A4" s="13" t="s">
        <v>3125</v>
      </c>
      <c r="B4" s="13" t="s">
        <v>5571</v>
      </c>
      <c r="C4" s="13" t="s">
        <v>5583</v>
      </c>
      <c r="D4" s="2" t="s">
        <v>0</v>
      </c>
      <c r="E4" s="13" t="s">
        <v>5588</v>
      </c>
      <c r="F4" s="13" t="s">
        <v>5540</v>
      </c>
      <c r="G4" s="13" t="s">
        <v>4856</v>
      </c>
    </row>
    <row r="5" ht="12.75" customHeight="1">
      <c r="A5" s="13" t="s">
        <v>5591</v>
      </c>
      <c r="B5" s="13" t="s">
        <v>5593</v>
      </c>
      <c r="C5" s="13" t="s">
        <v>5604</v>
      </c>
      <c r="D5" s="2" t="s">
        <v>0</v>
      </c>
      <c r="E5" s="13" t="s">
        <v>5606</v>
      </c>
      <c r="F5" s="13" t="s">
        <v>5540</v>
      </c>
      <c r="G5" s="13" t="s">
        <v>4856</v>
      </c>
    </row>
    <row r="6" ht="12.75" customHeight="1">
      <c r="A6" s="13" t="s">
        <v>5609</v>
      </c>
      <c r="B6" s="13" t="s">
        <v>5611</v>
      </c>
      <c r="C6" s="13" t="s">
        <v>5620</v>
      </c>
      <c r="D6" s="2" t="s">
        <v>0</v>
      </c>
      <c r="E6" s="13" t="s">
        <v>5622</v>
      </c>
      <c r="F6" s="13" t="s">
        <v>5540</v>
      </c>
      <c r="G6" s="13" t="s">
        <v>4856</v>
      </c>
    </row>
    <row r="7" ht="12.75" customHeight="1">
      <c r="A7" s="13" t="s">
        <v>3113</v>
      </c>
      <c r="B7" s="13" t="s">
        <v>5634</v>
      </c>
      <c r="C7" s="13" t="s">
        <v>5647</v>
      </c>
      <c r="D7" s="2" t="s">
        <v>0</v>
      </c>
      <c r="E7" s="13" t="s">
        <v>5652</v>
      </c>
      <c r="F7" s="13" t="s">
        <v>5540</v>
      </c>
      <c r="G7" s="13" t="s">
        <v>4856</v>
      </c>
    </row>
    <row r="8" ht="12.75" customHeight="1">
      <c r="A8" s="13" t="s">
        <v>3110</v>
      </c>
      <c r="B8" s="13" t="s">
        <v>5658</v>
      </c>
      <c r="C8" s="13" t="s">
        <v>5668</v>
      </c>
      <c r="D8" s="2" t="s">
        <v>0</v>
      </c>
      <c r="E8" s="13" t="s">
        <v>5673</v>
      </c>
      <c r="F8" s="13" t="s">
        <v>5540</v>
      </c>
      <c r="G8" s="13" t="s">
        <v>4856</v>
      </c>
    </row>
    <row r="9" ht="12.75" customHeight="1">
      <c r="A9" s="13" t="s">
        <v>5676</v>
      </c>
      <c r="B9" s="13" t="s">
        <v>5680</v>
      </c>
      <c r="C9" s="13" t="s">
        <v>5697</v>
      </c>
      <c r="D9" s="2" t="s">
        <v>0</v>
      </c>
      <c r="E9" s="13" t="s">
        <v>5701</v>
      </c>
      <c r="F9" s="13" t="s">
        <v>5540</v>
      </c>
      <c r="G9" s="13" t="s">
        <v>4856</v>
      </c>
    </row>
    <row r="10" ht="12.75" customHeight="1">
      <c r="A10" s="13" t="s">
        <v>3103</v>
      </c>
      <c r="B10" s="13" t="s">
        <v>5707</v>
      </c>
      <c r="C10" s="13" t="s">
        <v>5721</v>
      </c>
      <c r="D10" s="2" t="s">
        <v>0</v>
      </c>
      <c r="E10" s="13" t="s">
        <v>5724</v>
      </c>
      <c r="F10" s="13" t="s">
        <v>5540</v>
      </c>
      <c r="G10" s="13" t="s">
        <v>4856</v>
      </c>
    </row>
    <row r="11" ht="12.75" customHeight="1">
      <c r="A11" s="13" t="s">
        <v>5727</v>
      </c>
      <c r="B11" s="13" t="s">
        <v>5729</v>
      </c>
      <c r="C11" s="13" t="s">
        <v>5741</v>
      </c>
      <c r="D11" s="2" t="s">
        <v>0</v>
      </c>
      <c r="E11" s="13" t="s">
        <v>5743</v>
      </c>
      <c r="F11" s="13" t="s">
        <v>5540</v>
      </c>
      <c r="G11" s="13" t="s">
        <v>4856</v>
      </c>
    </row>
    <row r="12" ht="12.75" customHeight="1">
      <c r="A12" s="13" t="s">
        <v>3098</v>
      </c>
      <c r="B12" s="13" t="s">
        <v>5749</v>
      </c>
      <c r="C12" s="13" t="s">
        <v>5767</v>
      </c>
      <c r="D12" s="2" t="s">
        <v>0</v>
      </c>
      <c r="E12" s="13" t="s">
        <v>5770</v>
      </c>
      <c r="F12" s="13" t="s">
        <v>5540</v>
      </c>
      <c r="G12" s="13" t="s">
        <v>4856</v>
      </c>
    </row>
    <row r="13" ht="12.75" customHeight="1">
      <c r="A13" s="13" t="s">
        <v>3094</v>
      </c>
      <c r="B13" s="13" t="s">
        <v>5775</v>
      </c>
      <c r="C13" s="13" t="s">
        <v>5785</v>
      </c>
      <c r="D13" s="2" t="s">
        <v>0</v>
      </c>
      <c r="E13" s="13" t="s">
        <v>5788</v>
      </c>
      <c r="F13" s="13" t="s">
        <v>5540</v>
      </c>
      <c r="G13" s="13" t="s">
        <v>4855</v>
      </c>
    </row>
    <row r="14" ht="12.75" customHeight="1">
      <c r="A14" s="13" t="s">
        <v>5791</v>
      </c>
      <c r="B14" s="13" t="s">
        <v>5794</v>
      </c>
      <c r="C14" s="13" t="s">
        <v>5807</v>
      </c>
      <c r="D14" s="2" t="s">
        <v>0</v>
      </c>
      <c r="E14" s="13" t="s">
        <v>5810</v>
      </c>
      <c r="F14" s="13" t="s">
        <v>5540</v>
      </c>
      <c r="G14" s="13" t="s">
        <v>4864</v>
      </c>
    </row>
    <row r="15" ht="12.75" customHeight="1">
      <c r="A15" s="13" t="s">
        <v>3074</v>
      </c>
      <c r="B15" s="13" t="s">
        <v>5815</v>
      </c>
      <c r="C15" s="13" t="s">
        <v>5825</v>
      </c>
      <c r="D15" s="2" t="s">
        <v>0</v>
      </c>
      <c r="E15" s="13" t="s">
        <v>5827</v>
      </c>
      <c r="F15" s="13" t="s">
        <v>5540</v>
      </c>
      <c r="G15" s="13" t="s">
        <v>4856</v>
      </c>
    </row>
    <row r="16" ht="12.75" customHeight="1">
      <c r="A16" s="13" t="s">
        <v>5830</v>
      </c>
      <c r="B16" s="13" t="s">
        <v>5832</v>
      </c>
      <c r="C16" s="13" t="s">
        <v>5844</v>
      </c>
      <c r="D16" s="2" t="s">
        <v>0</v>
      </c>
      <c r="E16" s="13" t="s">
        <v>5846</v>
      </c>
      <c r="F16" s="13" t="s">
        <v>5540</v>
      </c>
      <c r="G16" s="13" t="s">
        <v>4864</v>
      </c>
    </row>
    <row r="17" ht="12.75" customHeight="1">
      <c r="A17" s="36" t="s">
        <v>3062</v>
      </c>
      <c r="B17" s="36" t="s">
        <v>5852</v>
      </c>
      <c r="C17" s="36" t="s">
        <v>5867</v>
      </c>
      <c r="D17" s="54" t="s">
        <v>0</v>
      </c>
      <c r="E17" s="36" t="s">
        <v>5873</v>
      </c>
      <c r="F17" s="13" t="s">
        <v>5540</v>
      </c>
      <c r="G17" s="13" t="s">
        <v>4852</v>
      </c>
    </row>
    <row r="18" ht="12.75" customHeight="1">
      <c r="A18" s="13" t="s">
        <v>3060</v>
      </c>
      <c r="B18" s="13" t="s">
        <v>5878</v>
      </c>
      <c r="C18" s="13" t="s">
        <v>5889</v>
      </c>
      <c r="D18" s="2" t="s">
        <v>0</v>
      </c>
      <c r="E18" s="13" t="s">
        <v>5891</v>
      </c>
      <c r="F18" s="13" t="s">
        <v>5540</v>
      </c>
      <c r="G18" s="13" t="s">
        <v>4856</v>
      </c>
    </row>
    <row r="19" ht="12.75" customHeight="1">
      <c r="A19" s="13" t="s">
        <v>5894</v>
      </c>
      <c r="B19" s="13" t="s">
        <v>5898</v>
      </c>
      <c r="C19" s="13" t="s">
        <v>5914</v>
      </c>
      <c r="D19" s="2" t="s">
        <v>0</v>
      </c>
      <c r="E19" s="13" t="s">
        <v>5916</v>
      </c>
      <c r="F19" s="13" t="s">
        <v>5540</v>
      </c>
      <c r="G19" s="13" t="s">
        <v>4864</v>
      </c>
    </row>
    <row r="20" ht="12.75" customHeight="1">
      <c r="A20" s="13" t="s">
        <v>3051</v>
      </c>
      <c r="B20" s="13" t="s">
        <v>5922</v>
      </c>
      <c r="C20" s="13" t="s">
        <v>5938</v>
      </c>
      <c r="D20" s="2" t="s">
        <v>0</v>
      </c>
      <c r="E20" s="13" t="s">
        <v>5940</v>
      </c>
      <c r="F20" s="13" t="s">
        <v>5540</v>
      </c>
      <c r="G20" s="13" t="s">
        <v>4856</v>
      </c>
    </row>
    <row r="21" ht="12.75" customHeight="1">
      <c r="A21" s="13" t="s">
        <v>3048</v>
      </c>
      <c r="B21" s="13" t="s">
        <v>5946</v>
      </c>
      <c r="C21" s="13" t="s">
        <v>5957</v>
      </c>
      <c r="D21" s="2" t="s">
        <v>0</v>
      </c>
      <c r="E21" s="13" t="s">
        <v>5960</v>
      </c>
      <c r="F21" s="13" t="s">
        <v>5540</v>
      </c>
      <c r="G21" s="13" t="s">
        <v>4856</v>
      </c>
    </row>
    <row r="22" ht="12.75" customHeight="1">
      <c r="A22" s="13" t="s">
        <v>3045</v>
      </c>
      <c r="B22" s="13" t="s">
        <v>5966</v>
      </c>
      <c r="C22" s="13" t="s">
        <v>5979</v>
      </c>
      <c r="D22" s="2" t="s">
        <v>0</v>
      </c>
      <c r="E22" s="13" t="s">
        <v>5981</v>
      </c>
      <c r="F22" s="13" t="s">
        <v>5540</v>
      </c>
      <c r="G22" s="13" t="s">
        <v>4856</v>
      </c>
    </row>
    <row r="23" ht="12.75" customHeight="1">
      <c r="A23" s="13" t="s">
        <v>5984</v>
      </c>
      <c r="B23" s="13" t="s">
        <v>5988</v>
      </c>
      <c r="C23" s="13" t="s">
        <v>6003</v>
      </c>
      <c r="D23" s="2" t="s">
        <v>0</v>
      </c>
      <c r="E23" s="13" t="s">
        <v>6005</v>
      </c>
      <c r="F23" s="13" t="s">
        <v>5540</v>
      </c>
      <c r="G23" s="13" t="s">
        <v>4856</v>
      </c>
    </row>
    <row r="24" ht="12.75" customHeight="1">
      <c r="A24" s="13" t="s">
        <v>3038</v>
      </c>
      <c r="B24" s="13" t="s">
        <v>6011</v>
      </c>
      <c r="C24" s="13" t="s">
        <v>6024</v>
      </c>
      <c r="D24" s="2" t="s">
        <v>0</v>
      </c>
      <c r="E24" s="13" t="s">
        <v>6029</v>
      </c>
      <c r="F24" s="13" t="s">
        <v>5540</v>
      </c>
      <c r="G24" s="13" t="s">
        <v>4864</v>
      </c>
    </row>
    <row r="25" ht="12.75" customHeight="1">
      <c r="A25" s="13" t="s">
        <v>3036</v>
      </c>
      <c r="B25" s="13" t="s">
        <v>6035</v>
      </c>
      <c r="C25" s="13" t="s">
        <v>6051</v>
      </c>
      <c r="D25" s="2" t="s">
        <v>0</v>
      </c>
      <c r="E25" s="13" t="s">
        <v>6053</v>
      </c>
      <c r="F25" s="13" t="s">
        <v>5540</v>
      </c>
      <c r="G25" s="13" t="s">
        <v>4852</v>
      </c>
    </row>
    <row r="26" ht="12.75" customHeight="1">
      <c r="A26" s="13" t="s">
        <v>6056</v>
      </c>
      <c r="B26" s="13" t="s">
        <v>6058</v>
      </c>
      <c r="C26" s="13" t="s">
        <v>6070</v>
      </c>
      <c r="D26" s="2" t="s">
        <v>0</v>
      </c>
      <c r="E26" s="13" t="s">
        <v>6072</v>
      </c>
      <c r="F26" s="13" t="s">
        <v>5540</v>
      </c>
      <c r="G26" s="13" t="s">
        <v>4856</v>
      </c>
    </row>
    <row r="27" ht="12.75" customHeight="1">
      <c r="A27" s="13" t="s">
        <v>3031</v>
      </c>
      <c r="B27" s="13" t="s">
        <v>6078</v>
      </c>
      <c r="C27" s="13" t="s">
        <v>6090</v>
      </c>
      <c r="D27" s="2" t="s">
        <v>0</v>
      </c>
      <c r="E27" s="13" t="s">
        <v>6094</v>
      </c>
      <c r="F27" s="13" t="s">
        <v>5540</v>
      </c>
      <c r="G27" s="13" t="s">
        <v>4852</v>
      </c>
    </row>
    <row r="28" ht="12.75" customHeight="1">
      <c r="A28" s="13" t="s">
        <v>3028</v>
      </c>
      <c r="B28" s="13" t="s">
        <v>6099</v>
      </c>
      <c r="C28" s="13" t="s">
        <v>6109</v>
      </c>
      <c r="D28" s="2" t="s">
        <v>0</v>
      </c>
      <c r="E28" s="13" t="s">
        <v>6111</v>
      </c>
      <c r="F28" s="13" t="s">
        <v>5540</v>
      </c>
      <c r="G28" s="13" t="s">
        <v>4864</v>
      </c>
    </row>
    <row r="29" ht="12.75" customHeight="1">
      <c r="A29" s="13" t="s">
        <v>3026</v>
      </c>
      <c r="B29" s="13" t="s">
        <v>6117</v>
      </c>
      <c r="C29" s="13" t="s">
        <v>6132</v>
      </c>
      <c r="D29" s="2" t="s">
        <v>0</v>
      </c>
      <c r="E29" s="13" t="s">
        <v>6135</v>
      </c>
      <c r="F29" s="13" t="s">
        <v>5540</v>
      </c>
      <c r="G29" s="13" t="s">
        <v>4864</v>
      </c>
    </row>
    <row r="30" ht="12.75" customHeight="1">
      <c r="A30" s="13" t="s">
        <v>3023</v>
      </c>
      <c r="B30" s="13" t="s">
        <v>6140</v>
      </c>
      <c r="C30" s="13" t="s">
        <v>6150</v>
      </c>
      <c r="D30" s="2" t="s">
        <v>0</v>
      </c>
      <c r="E30" s="13" t="s">
        <v>6152</v>
      </c>
      <c r="F30" s="13" t="s">
        <v>5540</v>
      </c>
      <c r="G30" s="13" t="s">
        <v>4856</v>
      </c>
    </row>
    <row r="31" ht="12.75" customHeight="1">
      <c r="A31" s="13" t="s">
        <v>3022</v>
      </c>
      <c r="B31" s="13" t="s">
        <v>6156</v>
      </c>
      <c r="C31" s="13" t="s">
        <v>6163</v>
      </c>
      <c r="D31" s="2" t="s">
        <v>0</v>
      </c>
      <c r="E31" s="13" t="s">
        <v>6165</v>
      </c>
      <c r="F31" s="13" t="s">
        <v>5540</v>
      </c>
      <c r="G31" s="13" t="s">
        <v>4864</v>
      </c>
    </row>
    <row r="32" ht="12.75" customHeight="1">
      <c r="A32" s="2" t="s">
        <v>3019</v>
      </c>
      <c r="B32" s="13" t="s">
        <v>5510</v>
      </c>
      <c r="C32" s="13" t="s">
        <v>6177</v>
      </c>
      <c r="D32" s="2" t="s">
        <v>0</v>
      </c>
      <c r="E32" s="13" t="s">
        <v>6179</v>
      </c>
      <c r="F32" s="13" t="s">
        <v>5540</v>
      </c>
      <c r="G32" s="13" t="s">
        <v>4856</v>
      </c>
    </row>
    <row r="33" ht="12.75" customHeight="1">
      <c r="A33" s="13" t="s">
        <v>3019</v>
      </c>
      <c r="B33" s="13" t="s">
        <v>6182</v>
      </c>
      <c r="C33" s="13" t="s">
        <v>6190</v>
      </c>
      <c r="D33" s="2" t="s">
        <v>0</v>
      </c>
      <c r="E33" s="13" t="s">
        <v>6192</v>
      </c>
      <c r="F33" s="13" t="s">
        <v>5540</v>
      </c>
      <c r="G33" s="13" t="s">
        <v>4856</v>
      </c>
    </row>
    <row r="34" ht="12.75" customHeight="1">
      <c r="A34" s="13" t="s">
        <v>3015</v>
      </c>
      <c r="B34" s="13" t="s">
        <v>6197</v>
      </c>
      <c r="C34" s="13" t="s">
        <v>6207</v>
      </c>
      <c r="D34" s="2" t="s">
        <v>0</v>
      </c>
      <c r="E34" s="13" t="s">
        <v>6209</v>
      </c>
      <c r="F34" s="13" t="s">
        <v>5540</v>
      </c>
      <c r="G34" s="13" t="s">
        <v>4856</v>
      </c>
    </row>
    <row r="35" ht="12.75" customHeight="1">
      <c r="A35" s="13" t="s">
        <v>3013</v>
      </c>
      <c r="B35" s="13" t="s">
        <v>6215</v>
      </c>
      <c r="C35" s="13" t="s">
        <v>6229</v>
      </c>
      <c r="D35" s="2" t="s">
        <v>0</v>
      </c>
      <c r="E35" s="13" t="s">
        <v>6231</v>
      </c>
      <c r="F35" s="13" t="s">
        <v>5540</v>
      </c>
      <c r="G35" s="13" t="s">
        <v>4856</v>
      </c>
    </row>
    <row r="36" ht="12.75" customHeight="1">
      <c r="A36" s="13" t="s">
        <v>6236</v>
      </c>
      <c r="B36" s="13" t="s">
        <v>6243</v>
      </c>
      <c r="D36" s="2" t="s">
        <v>0</v>
      </c>
      <c r="E36" s="13" t="s">
        <v>6258</v>
      </c>
      <c r="F36" s="13" t="s">
        <v>5540</v>
      </c>
      <c r="G36" s="13" t="s">
        <v>4852</v>
      </c>
    </row>
    <row r="37" ht="12.75" customHeight="1">
      <c r="A37" s="13" t="s">
        <v>3008</v>
      </c>
      <c r="B37" s="13" t="s">
        <v>6262</v>
      </c>
      <c r="C37" s="13" t="s">
        <v>6274</v>
      </c>
      <c r="D37" s="2" t="s">
        <v>0</v>
      </c>
      <c r="E37" s="13" t="s">
        <v>6276</v>
      </c>
      <c r="F37" s="13" t="s">
        <v>5540</v>
      </c>
      <c r="G37" s="13" t="s">
        <v>4864</v>
      </c>
    </row>
    <row r="38" ht="12.75" customHeight="1">
      <c r="A38" s="13" t="s">
        <v>3001</v>
      </c>
      <c r="B38" s="13" t="s">
        <v>6282</v>
      </c>
      <c r="C38" s="13" t="s">
        <v>6299</v>
      </c>
      <c r="D38" s="2" t="s">
        <v>0</v>
      </c>
      <c r="E38" s="13" t="s">
        <v>6303</v>
      </c>
      <c r="F38" s="13" t="s">
        <v>5540</v>
      </c>
      <c r="G38" s="13" t="s">
        <v>4856</v>
      </c>
    </row>
    <row r="39" ht="12.75" customHeight="1">
      <c r="A39" s="13" t="s">
        <v>2999</v>
      </c>
      <c r="B39" s="13" t="s">
        <v>6309</v>
      </c>
      <c r="C39" s="13" t="s">
        <v>6326</v>
      </c>
      <c r="D39" s="2" t="s">
        <v>0</v>
      </c>
      <c r="E39" s="13" t="s">
        <v>6330</v>
      </c>
      <c r="F39" s="13" t="s">
        <v>5540</v>
      </c>
      <c r="G39" s="13" t="s">
        <v>4864</v>
      </c>
    </row>
    <row r="40" ht="12.75" customHeight="1">
      <c r="A40" s="13" t="s">
        <v>2996</v>
      </c>
      <c r="B40" s="13" t="s">
        <v>6336</v>
      </c>
      <c r="C40" s="13" t="s">
        <v>6346</v>
      </c>
      <c r="D40" s="2" t="s">
        <v>0</v>
      </c>
      <c r="E40" s="13" t="s">
        <v>6348</v>
      </c>
      <c r="F40" s="13" t="s">
        <v>5540</v>
      </c>
      <c r="G40" s="13" t="s">
        <v>4864</v>
      </c>
    </row>
    <row r="41" ht="12.75" customHeight="1">
      <c r="A41" s="13" t="s">
        <v>2993</v>
      </c>
      <c r="B41" s="13" t="s">
        <v>6353</v>
      </c>
      <c r="C41" s="13" t="s">
        <v>6363</v>
      </c>
      <c r="D41" s="2" t="s">
        <v>0</v>
      </c>
      <c r="E41" s="13" t="s">
        <v>6365</v>
      </c>
      <c r="F41" s="13" t="s">
        <v>5540</v>
      </c>
      <c r="G41" s="13" t="s">
        <v>4886</v>
      </c>
    </row>
    <row r="42" ht="12.75" customHeight="1">
      <c r="A42" s="13" t="s">
        <v>2986</v>
      </c>
      <c r="B42" s="13" t="s">
        <v>6370</v>
      </c>
      <c r="C42" s="13" t="s">
        <v>6386</v>
      </c>
      <c r="D42" s="2" t="s">
        <v>0</v>
      </c>
      <c r="E42" s="13" t="s">
        <v>6388</v>
      </c>
      <c r="F42" s="13" t="s">
        <v>5540</v>
      </c>
      <c r="G42" s="13" t="s">
        <v>4856</v>
      </c>
    </row>
    <row r="43" ht="12.75" customHeight="1">
      <c r="A43" s="13" t="s">
        <v>2983</v>
      </c>
      <c r="B43" s="13" t="s">
        <v>6393</v>
      </c>
      <c r="C43" s="13" t="s">
        <v>6402</v>
      </c>
      <c r="D43" s="2" t="s">
        <v>0</v>
      </c>
      <c r="E43" s="13" t="s">
        <v>6404</v>
      </c>
      <c r="F43" s="13" t="s">
        <v>5540</v>
      </c>
      <c r="G43" s="13" t="s">
        <v>4864</v>
      </c>
    </row>
    <row r="44" ht="12.75" customHeight="1">
      <c r="A44" s="13" t="s">
        <v>2976</v>
      </c>
      <c r="B44" s="13" t="s">
        <v>6410</v>
      </c>
      <c r="C44" s="13" t="s">
        <v>6421</v>
      </c>
      <c r="D44" s="2" t="s">
        <v>0</v>
      </c>
      <c r="E44" s="13" t="s">
        <v>6424</v>
      </c>
      <c r="F44" s="13" t="s">
        <v>5540</v>
      </c>
      <c r="G44" s="13" t="s">
        <v>4886</v>
      </c>
    </row>
    <row r="45" ht="12.75" customHeight="1">
      <c r="A45" s="13" t="s">
        <v>2973</v>
      </c>
      <c r="B45" s="13" t="s">
        <v>6429</v>
      </c>
      <c r="C45" s="13" t="s">
        <v>6440</v>
      </c>
      <c r="D45" s="2" t="s">
        <v>0</v>
      </c>
      <c r="E45" s="13" t="s">
        <v>6442</v>
      </c>
      <c r="F45" s="13" t="s">
        <v>5540</v>
      </c>
      <c r="G45" s="13" t="s">
        <v>4856</v>
      </c>
    </row>
    <row r="46" ht="12.75" customHeight="1">
      <c r="A46" s="13" t="s">
        <v>2970</v>
      </c>
      <c r="B46" s="13" t="s">
        <v>6448</v>
      </c>
      <c r="C46" s="13" t="s">
        <v>6461</v>
      </c>
      <c r="D46" s="2" t="s">
        <v>0</v>
      </c>
      <c r="E46" s="13" t="s">
        <v>6466</v>
      </c>
      <c r="F46" s="13" t="s">
        <v>5540</v>
      </c>
      <c r="G46" s="13" t="s">
        <v>4856</v>
      </c>
    </row>
    <row r="47" ht="12.75" customHeight="1">
      <c r="A47" s="13" t="s">
        <v>2966</v>
      </c>
      <c r="B47" s="13" t="s">
        <v>6472</v>
      </c>
      <c r="C47" s="13" t="s">
        <v>6486</v>
      </c>
      <c r="D47" s="2" t="s">
        <v>0</v>
      </c>
      <c r="E47" s="13" t="s">
        <v>6490</v>
      </c>
      <c r="F47" s="13" t="s">
        <v>5540</v>
      </c>
      <c r="G47" s="13" t="s">
        <v>4886</v>
      </c>
    </row>
    <row r="48" ht="12.75" customHeight="1">
      <c r="A48" s="13" t="s">
        <v>6492</v>
      </c>
      <c r="B48" s="13" t="s">
        <v>6496</v>
      </c>
      <c r="C48" s="13" t="s">
        <v>6507</v>
      </c>
      <c r="D48" s="2" t="s">
        <v>0</v>
      </c>
      <c r="E48" s="13" t="s">
        <v>6510</v>
      </c>
      <c r="F48" s="13" t="s">
        <v>5540</v>
      </c>
      <c r="G48" s="13" t="s">
        <v>4864</v>
      </c>
    </row>
    <row r="49" ht="12.75" customHeight="1">
      <c r="A49" s="13" t="s">
        <v>2961</v>
      </c>
      <c r="B49" s="13" t="s">
        <v>6515</v>
      </c>
      <c r="C49" s="13" t="s">
        <v>6523</v>
      </c>
      <c r="D49" s="2" t="s">
        <v>0</v>
      </c>
      <c r="E49" s="13" t="s">
        <v>6525</v>
      </c>
      <c r="F49" s="13" t="s">
        <v>5540</v>
      </c>
      <c r="G49" s="13" t="s">
        <v>4856</v>
      </c>
    </row>
    <row r="50" ht="12.75" customHeight="1">
      <c r="A50" s="13" t="s">
        <v>2954</v>
      </c>
      <c r="B50" s="13" t="s">
        <v>6535</v>
      </c>
      <c r="C50" s="13" t="s">
        <v>6549</v>
      </c>
      <c r="D50" s="2" t="s">
        <v>0</v>
      </c>
      <c r="E50" s="13" t="s">
        <v>6553</v>
      </c>
      <c r="F50" s="13" t="s">
        <v>5540</v>
      </c>
      <c r="G50" s="13" t="s">
        <v>4864</v>
      </c>
    </row>
    <row r="51" ht="12.75" customHeight="1">
      <c r="A51" s="13" t="s">
        <v>2951</v>
      </c>
      <c r="B51" s="13" t="s">
        <v>6558</v>
      </c>
      <c r="C51" s="13" t="s">
        <v>6567</v>
      </c>
      <c r="D51" s="2" t="s">
        <v>0</v>
      </c>
      <c r="E51" s="13" t="s">
        <v>6569</v>
      </c>
      <c r="F51" s="13" t="s">
        <v>5540</v>
      </c>
      <c r="G51" s="13" t="s">
        <v>4864</v>
      </c>
    </row>
    <row r="52" ht="12.75" customHeight="1">
      <c r="A52" s="13" t="s">
        <v>2948</v>
      </c>
      <c r="B52" s="13" t="s">
        <v>6574</v>
      </c>
      <c r="C52" s="13" t="s">
        <v>6584</v>
      </c>
      <c r="D52" s="2" t="s">
        <v>0</v>
      </c>
      <c r="E52" s="13" t="s">
        <v>6587</v>
      </c>
      <c r="F52" s="13" t="s">
        <v>5540</v>
      </c>
      <c r="G52" s="13" t="s">
        <v>4856</v>
      </c>
    </row>
    <row r="53" ht="12.75" customHeight="1">
      <c r="A53" s="13" t="s">
        <v>2942</v>
      </c>
      <c r="B53" s="13" t="s">
        <v>6592</v>
      </c>
      <c r="C53" s="13" t="s">
        <v>6602</v>
      </c>
      <c r="D53" s="2" t="s">
        <v>0</v>
      </c>
      <c r="E53" s="13" t="s">
        <v>6604</v>
      </c>
      <c r="F53" s="13" t="s">
        <v>5540</v>
      </c>
      <c r="G53" s="13" t="s">
        <v>4864</v>
      </c>
    </row>
    <row r="54" ht="12.75" customHeight="1">
      <c r="A54" s="13" t="s">
        <v>2937</v>
      </c>
      <c r="B54" s="13" t="s">
        <v>6609</v>
      </c>
      <c r="C54" s="13" t="s">
        <v>6621</v>
      </c>
      <c r="D54" s="2" t="s">
        <v>0</v>
      </c>
      <c r="E54" s="13" t="s">
        <v>6624</v>
      </c>
      <c r="F54" s="13" t="s">
        <v>5540</v>
      </c>
      <c r="G54" s="13" t="s">
        <v>4856</v>
      </c>
    </row>
    <row r="55" ht="12.75" customHeight="1">
      <c r="A55" s="13" t="s">
        <v>2932</v>
      </c>
      <c r="B55" s="13" t="s">
        <v>6630</v>
      </c>
      <c r="C55" s="13" t="s">
        <v>6644</v>
      </c>
      <c r="D55" s="2" t="s">
        <v>0</v>
      </c>
      <c r="E55" s="13" t="s">
        <v>6646</v>
      </c>
      <c r="F55" s="13" t="s">
        <v>5540</v>
      </c>
      <c r="G55" s="13" t="s">
        <v>4856</v>
      </c>
    </row>
    <row r="56" ht="12.75" customHeight="1">
      <c r="A56" s="13" t="s">
        <v>6649</v>
      </c>
      <c r="B56" s="13" t="s">
        <v>6653</v>
      </c>
      <c r="C56" s="13" t="s">
        <v>6668</v>
      </c>
      <c r="D56" s="2" t="s">
        <v>0</v>
      </c>
      <c r="E56" s="13" t="s">
        <v>6672</v>
      </c>
      <c r="F56" s="13" t="s">
        <v>5540</v>
      </c>
      <c r="G56" s="13" t="s">
        <v>4864</v>
      </c>
    </row>
    <row r="57" ht="12.75" customHeight="1">
      <c r="A57" s="13" t="s">
        <v>2927</v>
      </c>
      <c r="B57" s="13" t="s">
        <v>6677</v>
      </c>
      <c r="C57" s="13" t="s">
        <v>6686</v>
      </c>
      <c r="D57" s="2" t="s">
        <v>0</v>
      </c>
      <c r="E57" s="13" t="s">
        <v>6688</v>
      </c>
      <c r="F57" s="13" t="s">
        <v>5540</v>
      </c>
      <c r="G57" s="13" t="s">
        <v>4864</v>
      </c>
    </row>
    <row r="58" ht="12.75" customHeight="1">
      <c r="A58" s="13" t="s">
        <v>2924</v>
      </c>
      <c r="B58" s="13" t="s">
        <v>6693</v>
      </c>
      <c r="C58" s="13" t="s">
        <v>6699</v>
      </c>
      <c r="D58" s="2" t="s">
        <v>0</v>
      </c>
      <c r="E58" s="13" t="s">
        <v>6701</v>
      </c>
      <c r="F58" s="13" t="s">
        <v>5540</v>
      </c>
      <c r="G58" s="13" t="s">
        <v>4852</v>
      </c>
    </row>
    <row r="59" ht="12.75" customHeight="1">
      <c r="A59" s="13" t="s">
        <v>2922</v>
      </c>
      <c r="B59" s="13" t="s">
        <v>6707</v>
      </c>
      <c r="C59" s="13" t="s">
        <v>6722</v>
      </c>
      <c r="D59" s="2" t="s">
        <v>0</v>
      </c>
      <c r="E59" s="13" t="s">
        <v>6726</v>
      </c>
      <c r="F59" s="13" t="s">
        <v>5540</v>
      </c>
      <c r="G59" s="13" t="s">
        <v>4856</v>
      </c>
    </row>
    <row r="60" ht="12.75" customHeight="1">
      <c r="A60" s="13" t="s">
        <v>2919</v>
      </c>
      <c r="B60" s="13" t="s">
        <v>6731</v>
      </c>
      <c r="C60" s="13" t="s">
        <v>6741</v>
      </c>
      <c r="D60" s="2" t="s">
        <v>0</v>
      </c>
      <c r="E60" s="13" t="s">
        <v>6743</v>
      </c>
      <c r="F60" s="13" t="s">
        <v>5540</v>
      </c>
      <c r="G60" s="13" t="s">
        <v>4856</v>
      </c>
    </row>
    <row r="61" ht="12.75" customHeight="1">
      <c r="A61" s="13" t="s">
        <v>2916</v>
      </c>
      <c r="B61" s="13" t="s">
        <v>6748</v>
      </c>
      <c r="C61" s="13" t="s">
        <v>6759</v>
      </c>
      <c r="D61" s="2" t="s">
        <v>0</v>
      </c>
      <c r="E61" s="13" t="s">
        <v>6761</v>
      </c>
      <c r="F61" s="13" t="s">
        <v>5540</v>
      </c>
      <c r="G61" s="13" t="s">
        <v>4864</v>
      </c>
    </row>
    <row r="62" ht="12.75" customHeight="1">
      <c r="A62" s="13" t="s">
        <v>2911</v>
      </c>
      <c r="B62" s="13" t="s">
        <v>6767</v>
      </c>
      <c r="C62" s="13" t="s">
        <v>6781</v>
      </c>
      <c r="D62" s="2" t="s">
        <v>0</v>
      </c>
      <c r="E62" s="13" t="s">
        <v>6783</v>
      </c>
      <c r="F62" s="13" t="s">
        <v>5540</v>
      </c>
      <c r="G62" s="13" t="s">
        <v>4852</v>
      </c>
    </row>
    <row r="63" ht="12.75" customHeight="1">
      <c r="A63" s="13" t="s">
        <v>2908</v>
      </c>
      <c r="B63" s="13" t="s">
        <v>6789</v>
      </c>
      <c r="C63" s="13" t="s">
        <v>6798</v>
      </c>
      <c r="D63" s="2" t="s">
        <v>0</v>
      </c>
      <c r="E63" s="13" t="s">
        <v>6800</v>
      </c>
      <c r="F63" s="13" t="s">
        <v>5540</v>
      </c>
      <c r="G63" s="13" t="s">
        <v>4852</v>
      </c>
    </row>
    <row r="64" ht="12.75" customHeight="1">
      <c r="A64" s="13" t="s">
        <v>2905</v>
      </c>
      <c r="B64" s="13" t="s">
        <v>6805</v>
      </c>
      <c r="C64" s="13" t="s">
        <v>6814</v>
      </c>
      <c r="D64" s="2" t="s">
        <v>0</v>
      </c>
      <c r="E64" s="13" t="s">
        <v>6816</v>
      </c>
      <c r="F64" s="13" t="s">
        <v>5540</v>
      </c>
      <c r="G64" s="13" t="s">
        <v>4864</v>
      </c>
    </row>
    <row r="65" ht="12.75" customHeight="1">
      <c r="A65" s="13" t="s">
        <v>6819</v>
      </c>
      <c r="B65" s="13" t="s">
        <v>6822</v>
      </c>
      <c r="C65" s="13" t="s">
        <v>6829</v>
      </c>
      <c r="D65" s="2" t="s">
        <v>0</v>
      </c>
      <c r="E65" s="13" t="s">
        <v>6832</v>
      </c>
      <c r="F65" s="13" t="s">
        <v>5540</v>
      </c>
      <c r="G65" s="13" t="s">
        <v>4856</v>
      </c>
    </row>
    <row r="66" ht="12.75" customHeight="1">
      <c r="A66" s="13" t="s">
        <v>6835</v>
      </c>
      <c r="B66" s="13" t="s">
        <v>6839</v>
      </c>
      <c r="C66" s="13" t="s">
        <v>6854</v>
      </c>
      <c r="D66" s="2" t="s">
        <v>0</v>
      </c>
      <c r="E66" s="13" t="s">
        <v>6857</v>
      </c>
      <c r="F66" s="13" t="s">
        <v>5540</v>
      </c>
      <c r="G66" s="13" t="s">
        <v>4856</v>
      </c>
    </row>
    <row r="67" ht="12.75" customHeight="1">
      <c r="A67" s="13" t="s">
        <v>2896</v>
      </c>
      <c r="B67" s="13" t="s">
        <v>6862</v>
      </c>
      <c r="C67" s="13" t="s">
        <v>6872</v>
      </c>
      <c r="D67" s="2" t="s">
        <v>0</v>
      </c>
      <c r="E67" s="13" t="s">
        <v>6874</v>
      </c>
      <c r="F67" s="13" t="s">
        <v>5540</v>
      </c>
      <c r="G67" s="13" t="s">
        <v>4852</v>
      </c>
    </row>
    <row r="68" ht="12.75" customHeight="1">
      <c r="A68" s="13" t="s">
        <v>2893</v>
      </c>
      <c r="B68" s="13" t="s">
        <v>6880</v>
      </c>
      <c r="C68" s="13" t="s">
        <v>6898</v>
      </c>
      <c r="D68" s="2" t="s">
        <v>0</v>
      </c>
      <c r="E68" s="13" t="s">
        <v>6901</v>
      </c>
      <c r="F68" s="13" t="s">
        <v>5540</v>
      </c>
      <c r="G68" s="13" t="s">
        <v>4856</v>
      </c>
    </row>
    <row r="69" ht="12.75" customHeight="1">
      <c r="A69" s="13" t="s">
        <v>2887</v>
      </c>
      <c r="B69" s="13" t="s">
        <v>6905</v>
      </c>
      <c r="C69" s="13" t="s">
        <v>6917</v>
      </c>
      <c r="D69" s="2" t="s">
        <v>0</v>
      </c>
      <c r="E69" s="13" t="s">
        <v>6919</v>
      </c>
      <c r="F69" s="13" t="s">
        <v>5540</v>
      </c>
      <c r="G69" s="13" t="s">
        <v>4856</v>
      </c>
    </row>
    <row r="70" ht="12.75" customHeight="1">
      <c r="A70" s="13" t="s">
        <v>2882</v>
      </c>
      <c r="B70" s="13" t="s">
        <v>6925</v>
      </c>
      <c r="C70" s="13" t="s">
        <v>6938</v>
      </c>
      <c r="D70" s="2" t="s">
        <v>0</v>
      </c>
      <c r="E70" s="13" t="s">
        <v>6942</v>
      </c>
      <c r="F70" s="13" t="s">
        <v>5540</v>
      </c>
      <c r="G70" s="13" t="s">
        <v>4856</v>
      </c>
    </row>
    <row r="71" ht="12.75" customHeight="1">
      <c r="A71" s="13" t="s">
        <v>2880</v>
      </c>
      <c r="B71" s="13" t="s">
        <v>6946</v>
      </c>
      <c r="C71" s="13" t="s">
        <v>6958</v>
      </c>
      <c r="D71" s="2" t="s">
        <v>0</v>
      </c>
      <c r="E71" s="13" t="s">
        <v>6960</v>
      </c>
      <c r="F71" s="13" t="s">
        <v>5540</v>
      </c>
      <c r="G71" s="13" t="s">
        <v>4864</v>
      </c>
    </row>
    <row r="72" ht="12.75" customHeight="1">
      <c r="A72" s="13" t="s">
        <v>2874</v>
      </c>
      <c r="B72" s="13" t="s">
        <v>6966</v>
      </c>
      <c r="C72" s="13" t="s">
        <v>6978</v>
      </c>
      <c r="D72" s="2" t="s">
        <v>0</v>
      </c>
      <c r="E72" s="13" t="s">
        <v>6982</v>
      </c>
      <c r="F72" s="13" t="s">
        <v>5540</v>
      </c>
      <c r="G72" s="13" t="s">
        <v>4856</v>
      </c>
    </row>
    <row r="73" ht="12.75" customHeight="1">
      <c r="A73" s="13" t="s">
        <v>6985</v>
      </c>
      <c r="B73" s="13" t="s">
        <v>6987</v>
      </c>
      <c r="C73" s="13" t="s">
        <v>6999</v>
      </c>
      <c r="D73" s="2" t="s">
        <v>0</v>
      </c>
      <c r="E73" s="13" t="s">
        <v>7001</v>
      </c>
      <c r="F73" s="13" t="s">
        <v>5540</v>
      </c>
      <c r="G73" s="13" t="s">
        <v>4864</v>
      </c>
    </row>
    <row r="74" ht="12.75" customHeight="1">
      <c r="A74" s="13" t="s">
        <v>7004</v>
      </c>
      <c r="B74" s="13" t="s">
        <v>7008</v>
      </c>
      <c r="C74" s="13" t="s">
        <v>7021</v>
      </c>
      <c r="D74" s="2" t="s">
        <v>0</v>
      </c>
      <c r="E74" s="13" t="s">
        <v>7025</v>
      </c>
      <c r="F74" s="13" t="s">
        <v>5540</v>
      </c>
      <c r="G74" s="13" t="s">
        <v>4886</v>
      </c>
    </row>
    <row r="75" ht="12.75" customHeight="1">
      <c r="A75" s="13" t="s">
        <v>2865</v>
      </c>
      <c r="B75" s="13" t="s">
        <v>7031</v>
      </c>
      <c r="C75" s="13" t="s">
        <v>7045</v>
      </c>
      <c r="D75" s="2" t="s">
        <v>0</v>
      </c>
      <c r="E75" s="13" t="s">
        <v>7049</v>
      </c>
      <c r="F75" s="13" t="s">
        <v>5540</v>
      </c>
      <c r="G75" s="13" t="s">
        <v>4856</v>
      </c>
    </row>
    <row r="76" ht="12.75" customHeight="1">
      <c r="A76" s="13" t="s">
        <v>2862</v>
      </c>
      <c r="B76" s="13" t="s">
        <v>7055</v>
      </c>
      <c r="C76" s="13" t="s">
        <v>7071</v>
      </c>
      <c r="D76" s="2" t="s">
        <v>0</v>
      </c>
      <c r="E76" s="13" t="s">
        <v>7073</v>
      </c>
      <c r="F76" s="13" t="s">
        <v>5540</v>
      </c>
      <c r="G76" s="13" t="s">
        <v>4856</v>
      </c>
    </row>
    <row r="77" ht="12.75" customHeight="1">
      <c r="A77" s="13" t="s">
        <v>2859</v>
      </c>
      <c r="B77" s="13" t="s">
        <v>7079</v>
      </c>
      <c r="C77" s="13" t="s">
        <v>7095</v>
      </c>
      <c r="D77" s="2" t="s">
        <v>0</v>
      </c>
      <c r="E77" s="13" t="s">
        <v>7099</v>
      </c>
      <c r="F77" s="13" t="s">
        <v>5540</v>
      </c>
      <c r="G77" s="13" t="s">
        <v>4856</v>
      </c>
    </row>
    <row r="78" ht="12.75" customHeight="1">
      <c r="A78" s="13" t="s">
        <v>2856</v>
      </c>
      <c r="B78" s="13" t="s">
        <v>7104</v>
      </c>
      <c r="C78" s="13" t="s">
        <v>7114</v>
      </c>
      <c r="D78" s="2" t="s">
        <v>0</v>
      </c>
      <c r="E78" s="13" t="s">
        <v>7116</v>
      </c>
      <c r="F78" s="13" t="s">
        <v>5540</v>
      </c>
      <c r="G78" s="13" t="s">
        <v>4856</v>
      </c>
    </row>
    <row r="79" ht="12.75" customHeight="1">
      <c r="A79" s="13" t="s">
        <v>2853</v>
      </c>
      <c r="B79" s="13" t="s">
        <v>7122</v>
      </c>
      <c r="C79" s="13" t="s">
        <v>7135</v>
      </c>
      <c r="D79" s="2" t="s">
        <v>0</v>
      </c>
      <c r="E79" s="13" t="s">
        <v>7137</v>
      </c>
      <c r="F79" s="13" t="s">
        <v>5540</v>
      </c>
      <c r="G79" s="13" t="s">
        <v>4864</v>
      </c>
    </row>
    <row r="80" ht="12.75" customHeight="1">
      <c r="A80" s="13" t="s">
        <v>2850</v>
      </c>
      <c r="B80" s="13" t="s">
        <v>7141</v>
      </c>
      <c r="C80" s="13" t="s">
        <v>7152</v>
      </c>
      <c r="D80" s="2" t="s">
        <v>0</v>
      </c>
      <c r="E80" s="13" t="s">
        <v>7154</v>
      </c>
      <c r="F80" s="13" t="s">
        <v>5540</v>
      </c>
      <c r="G80" s="13" t="s">
        <v>4856</v>
      </c>
    </row>
    <row r="81" ht="12.75" customHeight="1">
      <c r="A81" s="13" t="s">
        <v>2846</v>
      </c>
      <c r="B81" s="13" t="s">
        <v>7158</v>
      </c>
      <c r="C81" s="13" t="s">
        <v>7169</v>
      </c>
      <c r="D81" s="2" t="s">
        <v>0</v>
      </c>
      <c r="E81" s="13" t="s">
        <v>7171</v>
      </c>
      <c r="F81" s="13" t="s">
        <v>5540</v>
      </c>
      <c r="G81" s="13" t="s">
        <v>4856</v>
      </c>
    </row>
    <row r="82" ht="12.75" customHeight="1">
      <c r="A82" s="13" t="s">
        <v>2842</v>
      </c>
      <c r="B82" s="13" t="s">
        <v>7176</v>
      </c>
      <c r="C82" s="13" t="s">
        <v>7187</v>
      </c>
      <c r="D82" s="2" t="s">
        <v>0</v>
      </c>
      <c r="E82" s="13" t="s">
        <v>7189</v>
      </c>
      <c r="F82" s="13" t="s">
        <v>5540</v>
      </c>
      <c r="G82" s="13" t="s">
        <v>4856</v>
      </c>
    </row>
    <row r="83" ht="12.75" customHeight="1">
      <c r="A83" s="13" t="s">
        <v>7192</v>
      </c>
      <c r="B83" s="13" t="s">
        <v>7196</v>
      </c>
      <c r="C83" s="13" t="s">
        <v>7207</v>
      </c>
      <c r="D83" s="2" t="s">
        <v>0</v>
      </c>
      <c r="E83" s="13" t="s">
        <v>7209</v>
      </c>
      <c r="F83" s="13" t="s">
        <v>5540</v>
      </c>
      <c r="G83" s="13" t="s">
        <v>4852</v>
      </c>
    </row>
    <row r="84" ht="12.75" customHeight="1">
      <c r="A84" s="13" t="s">
        <v>7212</v>
      </c>
      <c r="B84" s="13" t="s">
        <v>7216</v>
      </c>
      <c r="C84" s="13" t="s">
        <v>7230</v>
      </c>
      <c r="D84" s="2" t="s">
        <v>0</v>
      </c>
      <c r="E84" s="13" t="s">
        <v>7232</v>
      </c>
      <c r="F84" s="13" t="s">
        <v>5540</v>
      </c>
      <c r="G84" s="13" t="s">
        <v>4864</v>
      </c>
    </row>
    <row r="85" ht="12.75" customHeight="1">
      <c r="A85" s="13" t="s">
        <v>2833</v>
      </c>
      <c r="B85" s="13" t="s">
        <v>7237</v>
      </c>
      <c r="C85" s="13" t="s">
        <v>7246</v>
      </c>
      <c r="D85" s="2" t="s">
        <v>0</v>
      </c>
      <c r="E85" s="13" t="s">
        <v>7247</v>
      </c>
      <c r="F85" s="13" t="s">
        <v>5540</v>
      </c>
      <c r="G85" s="13" t="s">
        <v>4856</v>
      </c>
    </row>
    <row r="86" ht="12.75" customHeight="1">
      <c r="A86" s="13" t="s">
        <v>2831</v>
      </c>
      <c r="B86" s="13" t="s">
        <v>7252</v>
      </c>
      <c r="C86" s="13" t="s">
        <v>7261</v>
      </c>
      <c r="D86" s="2" t="s">
        <v>0</v>
      </c>
      <c r="E86" s="13" t="s">
        <v>7263</v>
      </c>
      <c r="F86" s="13" t="s">
        <v>5540</v>
      </c>
      <c r="G86" s="13" t="s">
        <v>4852</v>
      </c>
    </row>
    <row r="87" ht="12.75" customHeight="1">
      <c r="A87" s="13" t="s">
        <v>2829</v>
      </c>
      <c r="B87" s="13" t="s">
        <v>7268</v>
      </c>
      <c r="C87" s="13" t="s">
        <v>7277</v>
      </c>
      <c r="D87" s="2" t="s">
        <v>0</v>
      </c>
      <c r="E87" s="13" t="s">
        <v>7279</v>
      </c>
      <c r="F87" s="13" t="s">
        <v>5540</v>
      </c>
      <c r="G87" s="13" t="s">
        <v>4856</v>
      </c>
    </row>
    <row r="88" ht="12.75" customHeight="1">
      <c r="A88" s="13" t="s">
        <v>2826</v>
      </c>
      <c r="B88" s="13" t="s">
        <v>7284</v>
      </c>
      <c r="C88" s="13" t="s">
        <v>7294</v>
      </c>
      <c r="D88" s="2" t="s">
        <v>0</v>
      </c>
      <c r="E88" s="13" t="s">
        <v>7296</v>
      </c>
      <c r="F88" s="13" t="s">
        <v>5540</v>
      </c>
      <c r="G88" s="13" t="s">
        <v>4856</v>
      </c>
    </row>
    <row r="89" ht="12.75" customHeight="1">
      <c r="A89" s="13" t="s">
        <v>7299</v>
      </c>
      <c r="B89" s="13" t="s">
        <v>7303</v>
      </c>
      <c r="C89" s="13" t="s">
        <v>7316</v>
      </c>
      <c r="D89" s="2" t="s">
        <v>0</v>
      </c>
      <c r="E89" s="13" t="s">
        <v>7320</v>
      </c>
      <c r="F89" s="13" t="s">
        <v>5540</v>
      </c>
      <c r="G89" s="13" t="s">
        <v>4856</v>
      </c>
    </row>
    <row r="90" ht="12.75" customHeight="1">
      <c r="A90" s="13" t="s">
        <v>2820</v>
      </c>
      <c r="B90" s="13" t="s">
        <v>7325</v>
      </c>
      <c r="C90" s="13" t="s">
        <v>7331</v>
      </c>
      <c r="D90" s="2" t="s">
        <v>0</v>
      </c>
      <c r="E90" s="13" t="s">
        <v>7333</v>
      </c>
      <c r="F90" s="13" t="s">
        <v>5540</v>
      </c>
      <c r="G90" s="13" t="s">
        <v>4856</v>
      </c>
    </row>
    <row r="91" ht="12.75" customHeight="1">
      <c r="A91" s="13" t="s">
        <v>7336</v>
      </c>
      <c r="B91" s="13" t="s">
        <v>7339</v>
      </c>
      <c r="C91" s="13" t="s">
        <v>7350</v>
      </c>
      <c r="D91" s="2" t="s">
        <v>0</v>
      </c>
      <c r="E91" s="13" t="s">
        <v>7352</v>
      </c>
      <c r="F91" s="13" t="s">
        <v>5540</v>
      </c>
      <c r="G91" s="13" t="s">
        <v>4856</v>
      </c>
    </row>
    <row r="92" ht="12.75" customHeight="1">
      <c r="A92" s="13" t="s">
        <v>7355</v>
      </c>
      <c r="B92" s="13" t="s">
        <v>7357</v>
      </c>
      <c r="C92" s="13" t="s">
        <v>7367</v>
      </c>
      <c r="D92" s="2" t="s">
        <v>0</v>
      </c>
      <c r="E92" s="13" t="s">
        <v>7369</v>
      </c>
      <c r="F92" s="13" t="s">
        <v>5540</v>
      </c>
      <c r="G92" s="13" t="s">
        <v>4856</v>
      </c>
    </row>
    <row r="93" ht="12.75" customHeight="1">
      <c r="A93" s="13" t="s">
        <v>2812</v>
      </c>
      <c r="B93" s="13" t="s">
        <v>7375</v>
      </c>
      <c r="C93" s="13" t="s">
        <v>7393</v>
      </c>
      <c r="D93" s="2" t="s">
        <v>0</v>
      </c>
      <c r="E93" s="13" t="s">
        <v>7396</v>
      </c>
      <c r="F93" s="13" t="s">
        <v>5540</v>
      </c>
      <c r="G93" s="13" t="s">
        <v>4856</v>
      </c>
    </row>
    <row r="94" ht="12.75" customHeight="1">
      <c r="A94" s="2" t="s">
        <v>2810</v>
      </c>
      <c r="B94" s="13" t="s">
        <v>7400</v>
      </c>
      <c r="C94" s="13" t="s">
        <v>7411</v>
      </c>
      <c r="D94" s="2" t="s">
        <v>0</v>
      </c>
      <c r="E94" s="13" t="s">
        <v>7413</v>
      </c>
      <c r="F94" s="13" t="s">
        <v>5540</v>
      </c>
      <c r="G94" s="13" t="s">
        <v>4864</v>
      </c>
    </row>
    <row r="95" ht="12.75" customHeight="1">
      <c r="A95" s="13" t="s">
        <v>2806</v>
      </c>
      <c r="B95" s="13" t="s">
        <v>7419</v>
      </c>
      <c r="C95" s="13" t="s">
        <v>7433</v>
      </c>
      <c r="D95" s="2" t="s">
        <v>0</v>
      </c>
      <c r="E95" s="13" t="s">
        <v>7437</v>
      </c>
      <c r="F95" s="13" t="s">
        <v>5540</v>
      </c>
      <c r="G95" s="13" t="s">
        <v>4852</v>
      </c>
    </row>
    <row r="96" ht="12.75" customHeight="1">
      <c r="A96" s="13" t="s">
        <v>2802</v>
      </c>
      <c r="B96" s="13" t="s">
        <v>7443</v>
      </c>
      <c r="C96" s="13" t="s">
        <v>7457</v>
      </c>
      <c r="D96" s="2" t="s">
        <v>0</v>
      </c>
      <c r="E96" s="13" t="s">
        <v>7460</v>
      </c>
      <c r="F96" s="13" t="s">
        <v>5540</v>
      </c>
      <c r="G96" s="13" t="s">
        <v>4864</v>
      </c>
    </row>
    <row r="97" ht="12.75" customHeight="1">
      <c r="A97" s="13" t="s">
        <v>2800</v>
      </c>
      <c r="B97" s="13" t="s">
        <v>7465</v>
      </c>
      <c r="C97" s="13" t="s">
        <v>7472</v>
      </c>
      <c r="D97" s="2" t="s">
        <v>0</v>
      </c>
      <c r="E97" s="13" t="s">
        <v>7474</v>
      </c>
      <c r="F97" s="13" t="s">
        <v>5540</v>
      </c>
      <c r="G97" s="13" t="s">
        <v>4856</v>
      </c>
    </row>
    <row r="98" ht="12.75" customHeight="1">
      <c r="A98" s="13" t="s">
        <v>2797</v>
      </c>
      <c r="B98" s="13" t="s">
        <v>7479</v>
      </c>
      <c r="C98" s="13" t="s">
        <v>7488</v>
      </c>
      <c r="D98" s="2" t="s">
        <v>0</v>
      </c>
      <c r="E98" s="13" t="s">
        <v>7489</v>
      </c>
      <c r="F98" s="13" t="s">
        <v>5540</v>
      </c>
      <c r="G98" s="13" t="s">
        <v>4856</v>
      </c>
    </row>
    <row r="99" ht="12.75" customHeight="1">
      <c r="A99" s="13" t="s">
        <v>2794</v>
      </c>
      <c r="B99" s="13" t="s">
        <v>7495</v>
      </c>
      <c r="C99" s="13" t="s">
        <v>7512</v>
      </c>
      <c r="D99" s="2" t="s">
        <v>0</v>
      </c>
      <c r="E99" s="13" t="s">
        <v>7515</v>
      </c>
      <c r="F99" s="13" t="s">
        <v>5540</v>
      </c>
      <c r="G99" s="13" t="s">
        <v>4856</v>
      </c>
    </row>
    <row r="100" ht="12.75" customHeight="1">
      <c r="A100" s="13" t="s">
        <v>2791</v>
      </c>
      <c r="B100" s="13" t="s">
        <v>7520</v>
      </c>
      <c r="C100" s="13" t="s">
        <v>7528</v>
      </c>
      <c r="D100" s="2" t="s">
        <v>0</v>
      </c>
      <c r="E100" s="13" t="s">
        <v>7530</v>
      </c>
      <c r="F100" s="13" t="s">
        <v>5540</v>
      </c>
      <c r="G100" s="13" t="s">
        <v>4856</v>
      </c>
    </row>
    <row r="101" ht="12.75" customHeight="1">
      <c r="A101" s="13" t="s">
        <v>2787</v>
      </c>
      <c r="B101" s="13" t="s">
        <v>7535</v>
      </c>
      <c r="C101" s="13" t="s">
        <v>7545</v>
      </c>
      <c r="D101" s="2" t="s">
        <v>0</v>
      </c>
      <c r="E101" s="13" t="s">
        <v>7547</v>
      </c>
      <c r="F101" s="13" t="s">
        <v>5540</v>
      </c>
      <c r="G101" s="13" t="s">
        <v>4856</v>
      </c>
    </row>
    <row r="102" ht="12.75" customHeight="1">
      <c r="A102" s="13" t="s">
        <v>2783</v>
      </c>
      <c r="B102" s="13" t="s">
        <v>7552</v>
      </c>
      <c r="C102" s="13" t="s">
        <v>7561</v>
      </c>
      <c r="D102" s="2" t="s">
        <v>0</v>
      </c>
      <c r="E102" s="13" t="s">
        <v>7565</v>
      </c>
      <c r="F102" s="13" t="s">
        <v>5540</v>
      </c>
      <c r="G102" s="13" t="s">
        <v>4856</v>
      </c>
    </row>
    <row r="103" ht="12.75" customHeight="1">
      <c r="A103" s="13" t="s">
        <v>7568</v>
      </c>
      <c r="B103" s="13" t="s">
        <v>7572</v>
      </c>
      <c r="C103" s="13" t="s">
        <v>7586</v>
      </c>
      <c r="D103" s="2" t="s">
        <v>0</v>
      </c>
      <c r="E103" s="13" t="s">
        <v>7590</v>
      </c>
      <c r="F103" s="13" t="s">
        <v>5540</v>
      </c>
      <c r="G103" s="13" t="s">
        <v>4886</v>
      </c>
    </row>
    <row r="104" ht="12.75" customHeight="1">
      <c r="A104" s="13" t="s">
        <v>2779</v>
      </c>
      <c r="B104" s="13" t="s">
        <v>7596</v>
      </c>
      <c r="C104" s="13" t="s">
        <v>7607</v>
      </c>
      <c r="D104" s="2" t="s">
        <v>0</v>
      </c>
      <c r="E104" s="13" t="s">
        <v>7610</v>
      </c>
      <c r="F104" s="13" t="s">
        <v>5540</v>
      </c>
      <c r="G104" s="13" t="s">
        <v>4864</v>
      </c>
    </row>
    <row r="105" ht="12.75" customHeight="1">
      <c r="A105" s="13" t="s">
        <v>2777</v>
      </c>
      <c r="B105" s="13" t="s">
        <v>7614</v>
      </c>
      <c r="C105" s="13" t="s">
        <v>7626</v>
      </c>
      <c r="D105" s="2" t="s">
        <v>0</v>
      </c>
      <c r="E105" s="13" t="s">
        <v>7628</v>
      </c>
      <c r="F105" s="13" t="s">
        <v>5540</v>
      </c>
      <c r="G105" s="13" t="s">
        <v>4855</v>
      </c>
    </row>
    <row r="106" ht="12.75" customHeight="1">
      <c r="A106" s="13" t="s">
        <v>2774</v>
      </c>
      <c r="B106" s="13" t="s">
        <v>7633</v>
      </c>
      <c r="C106" s="13" t="s">
        <v>7643</v>
      </c>
      <c r="D106" s="2" t="s">
        <v>0</v>
      </c>
      <c r="E106" s="13" t="s">
        <v>7645</v>
      </c>
      <c r="F106" s="13" t="s">
        <v>5540</v>
      </c>
      <c r="G106" s="13" t="s">
        <v>4852</v>
      </c>
    </row>
    <row r="107" ht="12.75" customHeight="1">
      <c r="A107" s="2" t="s">
        <v>2771</v>
      </c>
      <c r="B107" s="13" t="s">
        <v>7651</v>
      </c>
      <c r="C107" s="13" t="s">
        <v>7663</v>
      </c>
      <c r="D107" s="2" t="s">
        <v>0</v>
      </c>
      <c r="E107" s="13" t="s">
        <v>7667</v>
      </c>
      <c r="F107" s="13" t="s">
        <v>5540</v>
      </c>
      <c r="G107" s="13" t="s">
        <v>4856</v>
      </c>
    </row>
    <row r="108" ht="12.75" customHeight="1">
      <c r="A108" s="13" t="s">
        <v>2762</v>
      </c>
      <c r="B108" s="13" t="s">
        <v>7673</v>
      </c>
      <c r="C108" s="13" t="s">
        <v>7686</v>
      </c>
      <c r="D108" s="2" t="s">
        <v>0</v>
      </c>
      <c r="E108" s="13" t="s">
        <v>7688</v>
      </c>
      <c r="F108" s="13" t="s">
        <v>5540</v>
      </c>
      <c r="G108" s="13" t="s">
        <v>4856</v>
      </c>
    </row>
    <row r="109" ht="12.75" customHeight="1">
      <c r="A109" s="13" t="s">
        <v>2759</v>
      </c>
      <c r="B109" s="13" t="s">
        <v>7693</v>
      </c>
      <c r="C109" s="13" t="s">
        <v>7703</v>
      </c>
      <c r="D109" s="2" t="s">
        <v>0</v>
      </c>
      <c r="E109" s="13" t="s">
        <v>7705</v>
      </c>
      <c r="F109" s="13" t="s">
        <v>5540</v>
      </c>
      <c r="G109" s="13" t="s">
        <v>4856</v>
      </c>
    </row>
    <row r="110" ht="12.75" customHeight="1">
      <c r="A110" s="13" t="s">
        <v>2756</v>
      </c>
      <c r="B110" s="13" t="s">
        <v>7709</v>
      </c>
      <c r="C110" s="13" t="s">
        <v>7718</v>
      </c>
      <c r="D110" s="2" t="s">
        <v>0</v>
      </c>
      <c r="E110" s="13" t="s">
        <v>7720</v>
      </c>
      <c r="F110" s="13" t="s">
        <v>5540</v>
      </c>
      <c r="G110" s="13" t="s">
        <v>4886</v>
      </c>
    </row>
    <row r="111" ht="12.75" customHeight="1">
      <c r="A111" s="13" t="s">
        <v>7723</v>
      </c>
      <c r="B111" s="13" t="s">
        <v>7726</v>
      </c>
      <c r="C111" s="13" t="s">
        <v>7736</v>
      </c>
      <c r="D111" s="2" t="s">
        <v>0</v>
      </c>
      <c r="E111" s="13" t="s">
        <v>7738</v>
      </c>
      <c r="F111" s="13" t="s">
        <v>5540</v>
      </c>
      <c r="G111" s="13" t="s">
        <v>4852</v>
      </c>
    </row>
    <row r="112" ht="12.75" customHeight="1">
      <c r="A112" s="13" t="s">
        <v>2748</v>
      </c>
      <c r="B112" s="13" t="s">
        <v>7744</v>
      </c>
      <c r="C112" s="13" t="s">
        <v>7756</v>
      </c>
      <c r="D112" s="2" t="s">
        <v>0</v>
      </c>
      <c r="E112" s="13" t="s">
        <v>7758</v>
      </c>
      <c r="F112" s="13" t="s">
        <v>5540</v>
      </c>
      <c r="G112" s="13" t="s">
        <v>4864</v>
      </c>
    </row>
    <row r="113" ht="12.75" customHeight="1">
      <c r="A113" s="13" t="s">
        <v>2745</v>
      </c>
      <c r="B113" s="13" t="s">
        <v>7763</v>
      </c>
      <c r="C113" s="13" t="s">
        <v>7773</v>
      </c>
      <c r="D113" s="2" t="s">
        <v>0</v>
      </c>
      <c r="E113" s="13" t="s">
        <v>7774</v>
      </c>
      <c r="F113" s="13" t="s">
        <v>5540</v>
      </c>
      <c r="G113" s="13" t="s">
        <v>4855</v>
      </c>
    </row>
    <row r="114" ht="12.75" customHeight="1">
      <c r="A114" s="13" t="s">
        <v>7777</v>
      </c>
      <c r="B114" s="13" t="s">
        <v>7781</v>
      </c>
      <c r="C114" s="13" t="s">
        <v>7796</v>
      </c>
      <c r="D114" s="2" t="s">
        <v>0</v>
      </c>
      <c r="E114" s="13" t="s">
        <v>7799</v>
      </c>
      <c r="F114" s="13" t="s">
        <v>5540</v>
      </c>
      <c r="G114" s="13" t="s">
        <v>4864</v>
      </c>
    </row>
    <row r="115" ht="12.75" customHeight="1">
      <c r="A115" s="13" t="s">
        <v>2740</v>
      </c>
      <c r="B115" s="13" t="s">
        <v>7804</v>
      </c>
      <c r="C115" s="13" t="s">
        <v>7815</v>
      </c>
      <c r="D115" s="2" t="s">
        <v>0</v>
      </c>
      <c r="E115" s="13" t="s">
        <v>7817</v>
      </c>
      <c r="F115" s="13" t="s">
        <v>5540</v>
      </c>
      <c r="G115" s="13" t="s">
        <v>4856</v>
      </c>
    </row>
    <row r="116" ht="12.75" customHeight="1">
      <c r="A116" s="13" t="s">
        <v>7820</v>
      </c>
      <c r="B116" s="13" t="s">
        <v>7824</v>
      </c>
      <c r="C116" s="13" t="s">
        <v>7837</v>
      </c>
      <c r="D116" s="2" t="s">
        <v>0</v>
      </c>
      <c r="E116" s="13" t="s">
        <v>7839</v>
      </c>
      <c r="F116" s="13" t="s">
        <v>5540</v>
      </c>
      <c r="G116" s="13" t="s">
        <v>4856</v>
      </c>
    </row>
    <row r="117" ht="12.75" customHeight="1">
      <c r="A117" s="13" t="s">
        <v>2735</v>
      </c>
      <c r="B117" s="13" t="s">
        <v>7844</v>
      </c>
      <c r="C117" s="13" t="s">
        <v>7852</v>
      </c>
      <c r="D117" s="2" t="s">
        <v>0</v>
      </c>
      <c r="E117" s="13" t="s">
        <v>7854</v>
      </c>
      <c r="F117" s="13" t="s">
        <v>5540</v>
      </c>
      <c r="G117" s="13" t="s">
        <v>4864</v>
      </c>
    </row>
    <row r="118" ht="12.75" customHeight="1">
      <c r="A118" s="13" t="s">
        <v>2728</v>
      </c>
      <c r="B118" s="13" t="s">
        <v>7860</v>
      </c>
      <c r="C118" s="13" t="s">
        <v>7874</v>
      </c>
      <c r="D118" s="2" t="s">
        <v>0</v>
      </c>
      <c r="E118" s="13" t="s">
        <v>7876</v>
      </c>
      <c r="F118" s="13" t="s">
        <v>5540</v>
      </c>
      <c r="G118" s="13" t="s">
        <v>4864</v>
      </c>
    </row>
    <row r="119" ht="12.75" customHeight="1">
      <c r="A119" s="13" t="s">
        <v>2725</v>
      </c>
      <c r="B119" s="13" t="s">
        <v>7881</v>
      </c>
      <c r="C119" s="13" t="s">
        <v>7890</v>
      </c>
      <c r="D119" s="2" t="s">
        <v>0</v>
      </c>
      <c r="E119" s="13" t="s">
        <v>7892</v>
      </c>
      <c r="F119" s="13" t="s">
        <v>5540</v>
      </c>
      <c r="G119" s="13" t="s">
        <v>4856</v>
      </c>
    </row>
    <row r="120" ht="12.75" customHeight="1">
      <c r="A120" s="13" t="s">
        <v>2722</v>
      </c>
      <c r="B120" s="13" t="s">
        <v>7897</v>
      </c>
      <c r="C120" s="13" t="s">
        <v>7907</v>
      </c>
      <c r="D120" s="2" t="s">
        <v>0</v>
      </c>
      <c r="E120" s="13" t="s">
        <v>7909</v>
      </c>
      <c r="F120" s="13" t="s">
        <v>5540</v>
      </c>
      <c r="G120" s="13" t="s">
        <v>4864</v>
      </c>
    </row>
    <row r="121" ht="12.75" customHeight="1">
      <c r="A121" s="13" t="s">
        <v>2719</v>
      </c>
      <c r="B121" s="13" t="s">
        <v>7914</v>
      </c>
      <c r="C121" s="13" t="s">
        <v>7924</v>
      </c>
      <c r="D121" s="2" t="s">
        <v>0</v>
      </c>
      <c r="E121" s="13" t="s">
        <v>7926</v>
      </c>
      <c r="F121" s="13" t="s">
        <v>5540</v>
      </c>
      <c r="G121" s="13" t="s">
        <v>4856</v>
      </c>
    </row>
    <row r="122" ht="12.75" customHeight="1">
      <c r="A122" s="13" t="s">
        <v>2714</v>
      </c>
      <c r="B122" s="13" t="s">
        <v>7932</v>
      </c>
      <c r="C122" s="13" t="s">
        <v>7947</v>
      </c>
      <c r="D122" s="2" t="s">
        <v>0</v>
      </c>
      <c r="E122" s="13" t="s">
        <v>7951</v>
      </c>
      <c r="F122" s="13" t="s">
        <v>5540</v>
      </c>
      <c r="G122" s="13" t="s">
        <v>4856</v>
      </c>
    </row>
    <row r="123" ht="12.75" customHeight="1">
      <c r="A123" s="13" t="s">
        <v>2709</v>
      </c>
      <c r="B123" s="13" t="s">
        <v>7956</v>
      </c>
      <c r="C123" s="13" t="s">
        <v>7966</v>
      </c>
      <c r="D123" s="2" t="s">
        <v>0</v>
      </c>
      <c r="E123" s="13" t="s">
        <v>7968</v>
      </c>
      <c r="F123" s="13" t="s">
        <v>5540</v>
      </c>
      <c r="G123" s="13" t="s">
        <v>4852</v>
      </c>
    </row>
    <row r="124" ht="12.75" customHeight="1">
      <c r="A124" s="2" t="s">
        <v>2707</v>
      </c>
      <c r="B124" s="13" t="s">
        <v>7974</v>
      </c>
      <c r="C124" s="13" t="s">
        <v>7984</v>
      </c>
      <c r="D124" s="2" t="s">
        <v>0</v>
      </c>
      <c r="E124" s="13" t="s">
        <v>7987</v>
      </c>
      <c r="F124" s="13" t="s">
        <v>5540</v>
      </c>
      <c r="G124" s="13" t="s">
        <v>4856</v>
      </c>
    </row>
    <row r="125" ht="12.75" customHeight="1">
      <c r="A125" s="2" t="s">
        <v>2705</v>
      </c>
      <c r="B125" s="13" t="s">
        <v>7993</v>
      </c>
      <c r="C125" s="13" t="s">
        <v>8010</v>
      </c>
      <c r="D125" s="2" t="s">
        <v>0</v>
      </c>
      <c r="E125" s="13" t="s">
        <v>8012</v>
      </c>
      <c r="F125" s="13" t="s">
        <v>5540</v>
      </c>
      <c r="G125" s="13" t="s">
        <v>4856</v>
      </c>
    </row>
    <row r="126" ht="12.75" customHeight="1">
      <c r="A126" s="13" t="s">
        <v>8014</v>
      </c>
      <c r="B126" s="13" t="s">
        <v>8018</v>
      </c>
      <c r="C126" s="13" t="s">
        <v>8030</v>
      </c>
      <c r="D126" s="2" t="s">
        <v>0</v>
      </c>
      <c r="E126" s="13" t="s">
        <v>8032</v>
      </c>
      <c r="F126" s="13" t="s">
        <v>5540</v>
      </c>
      <c r="G126" s="13" t="s">
        <v>4856</v>
      </c>
    </row>
    <row r="127" ht="12.75" customHeight="1">
      <c r="A127" s="13" t="s">
        <v>2692</v>
      </c>
      <c r="B127" s="13" t="s">
        <v>8037</v>
      </c>
      <c r="C127" s="13" t="s">
        <v>8047</v>
      </c>
      <c r="D127" s="2" t="s">
        <v>0</v>
      </c>
      <c r="E127" s="13" t="s">
        <v>8049</v>
      </c>
      <c r="F127" s="13" t="s">
        <v>5540</v>
      </c>
      <c r="G127" s="13" t="s">
        <v>4864</v>
      </c>
    </row>
    <row r="128" ht="12.75" customHeight="1">
      <c r="A128" s="13" t="s">
        <v>2687</v>
      </c>
      <c r="B128" s="13" t="s">
        <v>8054</v>
      </c>
      <c r="C128" s="13" t="s">
        <v>8063</v>
      </c>
      <c r="D128" s="2" t="s">
        <v>0</v>
      </c>
      <c r="E128" s="13" t="s">
        <v>8065</v>
      </c>
      <c r="F128" s="13" t="s">
        <v>5540</v>
      </c>
      <c r="G128" s="13" t="s">
        <v>4864</v>
      </c>
    </row>
    <row r="129" ht="12.75" customHeight="1">
      <c r="A129" s="13" t="s">
        <v>8068</v>
      </c>
      <c r="B129" s="13" t="s">
        <v>8072</v>
      </c>
      <c r="C129" s="13" t="str">
        <f>#REF!</f>
        <v>#REF!</v>
      </c>
      <c r="D129" s="2" t="s">
        <v>0</v>
      </c>
      <c r="E129" s="13" t="s">
        <v>8088</v>
      </c>
      <c r="F129" s="13" t="s">
        <v>5540</v>
      </c>
      <c r="G129" s="13" t="s">
        <v>4886</v>
      </c>
    </row>
    <row r="130" ht="12.75" customHeight="1">
      <c r="A130" s="13" t="s">
        <v>2677</v>
      </c>
      <c r="B130" s="13" t="s">
        <v>8092</v>
      </c>
      <c r="C130" s="13" t="s">
        <v>8098</v>
      </c>
      <c r="D130" s="2" t="s">
        <v>0</v>
      </c>
      <c r="E130" s="13" t="s">
        <v>8100</v>
      </c>
      <c r="F130" s="13" t="s">
        <v>5540</v>
      </c>
      <c r="G130" s="13" t="s">
        <v>4864</v>
      </c>
    </row>
    <row r="131" ht="12.75" customHeight="1">
      <c r="A131" s="2" t="s">
        <v>2674</v>
      </c>
      <c r="B131" s="13" t="s">
        <v>8105</v>
      </c>
      <c r="C131" s="13" t="s">
        <v>8115</v>
      </c>
      <c r="D131" s="2" t="s">
        <v>0</v>
      </c>
      <c r="E131" s="13" t="s">
        <v>8117</v>
      </c>
      <c r="F131" s="13" t="s">
        <v>5540</v>
      </c>
      <c r="G131" s="13" t="s">
        <v>4852</v>
      </c>
    </row>
    <row r="132" ht="12.75" customHeight="1">
      <c r="A132" s="13" t="s">
        <v>2671</v>
      </c>
      <c r="B132" s="13" t="s">
        <v>8122</v>
      </c>
      <c r="C132" s="13" t="s">
        <v>8132</v>
      </c>
      <c r="D132" s="2" t="s">
        <v>0</v>
      </c>
      <c r="E132" s="13" t="s">
        <v>8134</v>
      </c>
      <c r="F132" s="13" t="s">
        <v>5540</v>
      </c>
      <c r="G132" s="13" t="s">
        <v>4852</v>
      </c>
    </row>
    <row r="133" ht="12.75" customHeight="1">
      <c r="A133" s="13" t="s">
        <v>2663</v>
      </c>
      <c r="B133" s="13" t="s">
        <v>8140</v>
      </c>
      <c r="C133" s="13" t="s">
        <v>8156</v>
      </c>
      <c r="D133" s="2" t="s">
        <v>0</v>
      </c>
      <c r="E133" s="13" t="s">
        <v>8160</v>
      </c>
      <c r="F133" s="13" t="s">
        <v>5540</v>
      </c>
      <c r="G133" s="13" t="s">
        <v>4856</v>
      </c>
    </row>
    <row r="134" ht="12.75" customHeight="1">
      <c r="A134" s="13" t="s">
        <v>2661</v>
      </c>
      <c r="B134" s="13" t="s">
        <v>8166</v>
      </c>
      <c r="C134" s="13" t="s">
        <v>8180</v>
      </c>
      <c r="D134" s="2" t="s">
        <v>0</v>
      </c>
      <c r="E134" s="13" t="s">
        <v>8183</v>
      </c>
      <c r="F134" s="13" t="s">
        <v>5540</v>
      </c>
      <c r="G134" s="13" t="s">
        <v>4856</v>
      </c>
    </row>
    <row r="135" ht="12.75" customHeight="1">
      <c r="A135" s="13" t="s">
        <v>2659</v>
      </c>
      <c r="B135" s="13" t="s">
        <v>8188</v>
      </c>
      <c r="C135" s="13" t="s">
        <v>8198</v>
      </c>
      <c r="D135" s="2" t="s">
        <v>0</v>
      </c>
      <c r="E135" s="13" t="s">
        <v>8200</v>
      </c>
      <c r="F135" s="13" t="s">
        <v>5540</v>
      </c>
      <c r="G135" s="13" t="s">
        <v>4856</v>
      </c>
    </row>
    <row r="136" ht="12.75" customHeight="1">
      <c r="A136" s="13" t="s">
        <v>2657</v>
      </c>
      <c r="B136" s="13" t="s">
        <v>8205</v>
      </c>
      <c r="C136" s="13" t="s">
        <v>8215</v>
      </c>
      <c r="D136" s="2" t="s">
        <v>0</v>
      </c>
      <c r="E136" s="13" t="s">
        <v>8217</v>
      </c>
      <c r="F136" s="13" t="s">
        <v>5540</v>
      </c>
      <c r="G136" s="13" t="s">
        <v>4856</v>
      </c>
    </row>
    <row r="137" ht="12.75" customHeight="1">
      <c r="A137" s="13" t="s">
        <v>2655</v>
      </c>
      <c r="B137" s="13" t="s">
        <v>8222</v>
      </c>
      <c r="C137" s="13" t="s">
        <v>8231</v>
      </c>
      <c r="D137" s="2" t="s">
        <v>0</v>
      </c>
      <c r="E137" s="13" t="s">
        <v>8234</v>
      </c>
      <c r="F137" s="13" t="s">
        <v>5540</v>
      </c>
      <c r="G137" s="13" t="s">
        <v>4856</v>
      </c>
    </row>
    <row r="138" ht="12.75" customHeight="1">
      <c r="A138" s="2" t="s">
        <v>2653</v>
      </c>
      <c r="B138" s="13" t="s">
        <v>8240</v>
      </c>
      <c r="C138" s="13" t="s">
        <v>8254</v>
      </c>
      <c r="D138" s="2" t="s">
        <v>0</v>
      </c>
      <c r="E138" s="13" t="s">
        <v>8256</v>
      </c>
      <c r="F138" s="13" t="s">
        <v>5540</v>
      </c>
      <c r="G138" s="13" t="s">
        <v>4864</v>
      </c>
    </row>
    <row r="139" ht="12.75" customHeight="1">
      <c r="A139" s="13" t="s">
        <v>8259</v>
      </c>
      <c r="B139" s="13" t="s">
        <v>8262</v>
      </c>
      <c r="C139" s="13" t="s">
        <v>8270</v>
      </c>
      <c r="D139" s="2" t="s">
        <v>0</v>
      </c>
      <c r="E139" s="13" t="s">
        <v>8272</v>
      </c>
      <c r="F139" s="13" t="s">
        <v>5540</v>
      </c>
      <c r="G139" s="13" t="s">
        <v>4852</v>
      </c>
    </row>
    <row r="140" ht="12.75" customHeight="1">
      <c r="A140" s="13" t="s">
        <v>2649</v>
      </c>
      <c r="B140" s="13" t="s">
        <v>8278</v>
      </c>
      <c r="C140" s="13" t="s">
        <v>8293</v>
      </c>
      <c r="D140" s="2" t="s">
        <v>0</v>
      </c>
      <c r="E140" s="13" t="s">
        <v>8296</v>
      </c>
      <c r="F140" s="13" t="s">
        <v>5540</v>
      </c>
      <c r="G140" s="13" t="s">
        <v>4856</v>
      </c>
    </row>
    <row r="141" ht="12.75" customHeight="1">
      <c r="A141" s="13" t="s">
        <v>2647</v>
      </c>
      <c r="B141" s="13" t="s">
        <v>8300</v>
      </c>
      <c r="C141" s="13" t="s">
        <v>8309</v>
      </c>
      <c r="D141" s="2" t="s">
        <v>0</v>
      </c>
      <c r="E141" s="13" t="s">
        <v>8311</v>
      </c>
      <c r="F141" s="13" t="s">
        <v>5540</v>
      </c>
      <c r="G141" s="13" t="s">
        <v>4856</v>
      </c>
    </row>
    <row r="142" ht="12.75" customHeight="1">
      <c r="A142" s="13" t="s">
        <v>2644</v>
      </c>
      <c r="B142" s="13" t="s">
        <v>8316</v>
      </c>
      <c r="C142" s="13" t="s">
        <v>8326</v>
      </c>
      <c r="D142" s="2" t="s">
        <v>0</v>
      </c>
      <c r="E142" s="13" t="s">
        <v>8328</v>
      </c>
      <c r="F142" s="13" t="s">
        <v>5540</v>
      </c>
      <c r="G142" s="13" t="s">
        <v>4864</v>
      </c>
    </row>
    <row r="143" ht="12.75" customHeight="1">
      <c r="A143" s="13" t="s">
        <v>2641</v>
      </c>
      <c r="B143" s="13" t="s">
        <v>8334</v>
      </c>
      <c r="C143" s="13" t="s">
        <v>8349</v>
      </c>
      <c r="D143" s="2" t="s">
        <v>0</v>
      </c>
      <c r="E143" s="13" t="s">
        <v>8353</v>
      </c>
      <c r="F143" s="13" t="s">
        <v>5540</v>
      </c>
      <c r="G143" s="13" t="s">
        <v>4856</v>
      </c>
    </row>
    <row r="144" ht="12.75" customHeight="1">
      <c r="A144" s="13" t="s">
        <v>2638</v>
      </c>
      <c r="B144" s="13" t="s">
        <v>8359</v>
      </c>
      <c r="C144" s="13" t="s">
        <v>8373</v>
      </c>
      <c r="D144" s="2" t="s">
        <v>0</v>
      </c>
      <c r="E144" s="13" t="s">
        <v>8377</v>
      </c>
      <c r="F144" s="13" t="s">
        <v>5540</v>
      </c>
      <c r="G144" s="13" t="s">
        <v>4856</v>
      </c>
    </row>
    <row r="145" ht="12.75" customHeight="1">
      <c r="A145" s="13" t="s">
        <v>2635</v>
      </c>
      <c r="B145" s="13" t="s">
        <v>8382</v>
      </c>
      <c r="C145" s="13" t="s">
        <v>8389</v>
      </c>
      <c r="D145" s="2" t="s">
        <v>0</v>
      </c>
      <c r="E145" s="13" t="s">
        <v>8391</v>
      </c>
      <c r="F145" s="13" t="s">
        <v>5540</v>
      </c>
      <c r="G145" s="13" t="s">
        <v>4864</v>
      </c>
    </row>
    <row r="146" ht="12.75" customHeight="1">
      <c r="A146" s="2" t="s">
        <v>2633</v>
      </c>
      <c r="B146" s="13" t="s">
        <v>5510</v>
      </c>
      <c r="C146" s="13" t="s">
        <v>8395</v>
      </c>
      <c r="D146" s="2" t="s">
        <v>0</v>
      </c>
      <c r="E146" s="13" t="s">
        <v>8397</v>
      </c>
      <c r="F146" s="13" t="s">
        <v>5540</v>
      </c>
      <c r="G146" s="13" t="s">
        <v>4856</v>
      </c>
    </row>
    <row r="147" ht="12.75" customHeight="1">
      <c r="A147" s="13" t="s">
        <v>8400</v>
      </c>
      <c r="B147" s="13" t="s">
        <v>8402</v>
      </c>
      <c r="C147" s="13" t="s">
        <v>8413</v>
      </c>
      <c r="D147" s="2" t="s">
        <v>0</v>
      </c>
      <c r="E147" s="13" t="s">
        <v>8415</v>
      </c>
      <c r="F147" s="13" t="s">
        <v>5540</v>
      </c>
      <c r="G147" s="13" t="s">
        <v>4856</v>
      </c>
    </row>
    <row r="148" ht="12.75" customHeight="1">
      <c r="A148" s="13" t="s">
        <v>2632</v>
      </c>
      <c r="B148" s="13" t="s">
        <v>8421</v>
      </c>
      <c r="C148" s="13" t="s">
        <v>8432</v>
      </c>
      <c r="D148" s="2" t="s">
        <v>0</v>
      </c>
      <c r="E148" s="13" t="s">
        <v>8434</v>
      </c>
      <c r="F148" s="13" t="s">
        <v>5540</v>
      </c>
      <c r="G148" s="13" t="s">
        <v>4856</v>
      </c>
    </row>
    <row r="149" ht="12.75" customHeight="1">
      <c r="A149" s="13" t="s">
        <v>2629</v>
      </c>
      <c r="B149" s="13" t="s">
        <v>8439</v>
      </c>
      <c r="C149" s="13" t="s">
        <v>8450</v>
      </c>
      <c r="D149" s="2" t="s">
        <v>0</v>
      </c>
      <c r="E149" s="13" t="s">
        <v>8452</v>
      </c>
      <c r="F149" s="13" t="s">
        <v>5540</v>
      </c>
      <c r="G149" s="13" t="s">
        <v>4864</v>
      </c>
    </row>
    <row r="150" ht="12.75" customHeight="1">
      <c r="A150" s="2" t="s">
        <v>2628</v>
      </c>
      <c r="B150" s="13" t="s">
        <v>5510</v>
      </c>
      <c r="C150" s="13" t="s">
        <v>8457</v>
      </c>
      <c r="D150" s="2" t="s">
        <v>0</v>
      </c>
      <c r="E150" s="13" t="s">
        <v>8459</v>
      </c>
      <c r="F150" s="13" t="s">
        <v>5540</v>
      </c>
      <c r="G150" s="13" t="s">
        <v>4856</v>
      </c>
    </row>
    <row r="151" ht="12.75" customHeight="1">
      <c r="A151" s="13" t="s">
        <v>2628</v>
      </c>
      <c r="B151" s="13" t="s">
        <v>8463</v>
      </c>
      <c r="C151" s="13" t="s">
        <v>8475</v>
      </c>
      <c r="D151" s="2" t="s">
        <v>0</v>
      </c>
      <c r="E151" s="13" t="s">
        <v>8478</v>
      </c>
      <c r="F151" s="13" t="s">
        <v>5540</v>
      </c>
      <c r="G151" s="13" t="s">
        <v>4856</v>
      </c>
    </row>
    <row r="152" ht="12.75" customHeight="1">
      <c r="A152" s="13" t="s">
        <v>8481</v>
      </c>
      <c r="B152" s="13" t="s">
        <v>8484</v>
      </c>
      <c r="C152" s="13" t="s">
        <v>8494</v>
      </c>
      <c r="D152" s="2" t="s">
        <v>0</v>
      </c>
      <c r="E152" s="13" t="s">
        <v>8496</v>
      </c>
      <c r="F152" s="13" t="s">
        <v>5540</v>
      </c>
      <c r="G152" s="13" t="s">
        <v>4856</v>
      </c>
    </row>
    <row r="153" ht="12.75" customHeight="1">
      <c r="A153" s="13" t="s">
        <v>2623</v>
      </c>
      <c r="B153" s="13" t="s">
        <v>8501</v>
      </c>
      <c r="C153" s="13" t="s">
        <v>8512</v>
      </c>
      <c r="D153" s="2" t="s">
        <v>0</v>
      </c>
      <c r="E153" s="13" t="s">
        <v>8514</v>
      </c>
      <c r="F153" s="13" t="s">
        <v>5540</v>
      </c>
      <c r="G153" s="13" t="s">
        <v>4856</v>
      </c>
    </row>
    <row r="154" ht="12.75" customHeight="1">
      <c r="A154" s="13" t="s">
        <v>8517</v>
      </c>
      <c r="B154" s="13" t="s">
        <v>8520</v>
      </c>
      <c r="C154" s="13" t="s">
        <v>8525</v>
      </c>
      <c r="D154" s="2" t="s">
        <v>0</v>
      </c>
      <c r="E154" s="13" t="s">
        <v>8527</v>
      </c>
      <c r="F154" s="13" t="s">
        <v>5540</v>
      </c>
      <c r="G154" s="13" t="s">
        <v>4864</v>
      </c>
    </row>
    <row r="155" ht="12.75" customHeight="1">
      <c r="A155" s="13" t="s">
        <v>2617</v>
      </c>
      <c r="B155" s="13" t="s">
        <v>8532</v>
      </c>
      <c r="C155" s="13" t="s">
        <v>8542</v>
      </c>
      <c r="D155" s="2" t="s">
        <v>0</v>
      </c>
      <c r="E155" s="13" t="s">
        <v>8544</v>
      </c>
      <c r="F155" s="13" t="s">
        <v>5540</v>
      </c>
      <c r="G155" s="13" t="s">
        <v>4856</v>
      </c>
    </row>
    <row r="156" ht="12.75" customHeight="1">
      <c r="A156" s="13" t="s">
        <v>2615</v>
      </c>
      <c r="B156" s="13" t="s">
        <v>8548</v>
      </c>
      <c r="C156" s="13" t="s">
        <v>8560</v>
      </c>
      <c r="D156" s="2" t="s">
        <v>0</v>
      </c>
      <c r="E156" s="13" t="s">
        <v>8562</v>
      </c>
      <c r="F156" s="13" t="s">
        <v>5540</v>
      </c>
      <c r="G156" s="13" t="s">
        <v>4856</v>
      </c>
    </row>
    <row r="157" ht="12.75" customHeight="1">
      <c r="A157" s="13" t="s">
        <v>2612</v>
      </c>
      <c r="B157" s="13" t="s">
        <v>8567</v>
      </c>
      <c r="C157" s="13" t="s">
        <v>8576</v>
      </c>
      <c r="D157" s="2" t="s">
        <v>0</v>
      </c>
      <c r="E157" s="13" t="s">
        <v>8578</v>
      </c>
      <c r="F157" s="13" t="s">
        <v>5540</v>
      </c>
      <c r="G157" s="13" t="s">
        <v>4856</v>
      </c>
    </row>
    <row r="158" ht="12.75" customHeight="1">
      <c r="A158" s="13" t="s">
        <v>8581</v>
      </c>
      <c r="B158" s="13" t="s">
        <v>8585</v>
      </c>
      <c r="C158" s="13" t="s">
        <v>8596</v>
      </c>
      <c r="D158" s="2" t="s">
        <v>0</v>
      </c>
      <c r="E158" s="13" t="s">
        <v>8598</v>
      </c>
      <c r="F158" s="13" t="s">
        <v>5540</v>
      </c>
      <c r="G158" s="13" t="s">
        <v>4856</v>
      </c>
    </row>
    <row r="159" ht="12.75" customHeight="1">
      <c r="A159" s="13" t="s">
        <v>2603</v>
      </c>
      <c r="B159" s="13" t="s">
        <v>8603</v>
      </c>
      <c r="C159" s="13" t="s">
        <v>8613</v>
      </c>
      <c r="D159" s="2" t="s">
        <v>0</v>
      </c>
      <c r="E159" s="13" t="s">
        <v>8615</v>
      </c>
      <c r="F159" s="13" t="s">
        <v>5540</v>
      </c>
      <c r="G159" s="13" t="s">
        <v>4856</v>
      </c>
    </row>
    <row r="160" ht="12.75" customHeight="1">
      <c r="A160" s="13" t="s">
        <v>8620</v>
      </c>
      <c r="B160" s="13" t="s">
        <v>8625</v>
      </c>
      <c r="C160" s="13" t="str">
        <f>#REF!</f>
        <v>#REF!</v>
      </c>
      <c r="D160" s="2" t="s">
        <v>0</v>
      </c>
      <c r="E160" s="13" t="s">
        <v>8638</v>
      </c>
      <c r="F160" s="13" t="s">
        <v>5540</v>
      </c>
      <c r="G160" s="13" t="s">
        <v>4856</v>
      </c>
    </row>
    <row r="161" ht="12.75" customHeight="1">
      <c r="A161" s="13" t="s">
        <v>2596</v>
      </c>
      <c r="B161" s="13" t="s">
        <v>8643</v>
      </c>
      <c r="C161" s="13" t="s">
        <v>8653</v>
      </c>
      <c r="D161" s="2" t="s">
        <v>0</v>
      </c>
      <c r="E161" s="13" t="s">
        <v>8655</v>
      </c>
      <c r="F161" s="13" t="s">
        <v>5540</v>
      </c>
      <c r="G161" s="13" t="s">
        <v>4864</v>
      </c>
    </row>
    <row r="162" ht="12.75" customHeight="1">
      <c r="A162" s="13" t="s">
        <v>2590</v>
      </c>
      <c r="B162" s="13" t="s">
        <v>8660</v>
      </c>
      <c r="C162" s="13" t="s">
        <v>8667</v>
      </c>
      <c r="D162" s="2" t="s">
        <v>0</v>
      </c>
      <c r="E162" s="13" t="s">
        <v>8669</v>
      </c>
      <c r="F162" s="13" t="s">
        <v>5540</v>
      </c>
      <c r="G162" s="13" t="s">
        <v>4856</v>
      </c>
    </row>
    <row r="163" ht="12.75" customHeight="1">
      <c r="A163" s="13" t="s">
        <v>8672</v>
      </c>
      <c r="B163" s="13" t="s">
        <v>8675</v>
      </c>
      <c r="C163" s="13" t="s">
        <v>8682</v>
      </c>
      <c r="D163" s="2" t="s">
        <v>0</v>
      </c>
      <c r="E163" s="13" t="s">
        <v>8684</v>
      </c>
      <c r="F163" s="13" t="s">
        <v>5540</v>
      </c>
      <c r="G163" s="13" t="s">
        <v>4864</v>
      </c>
    </row>
    <row r="164" ht="12.75" customHeight="1">
      <c r="A164" s="13" t="s">
        <v>2582</v>
      </c>
      <c r="B164" s="13" t="s">
        <v>8689</v>
      </c>
      <c r="C164" s="13" t="s">
        <v>8695</v>
      </c>
      <c r="D164" s="2" t="s">
        <v>0</v>
      </c>
      <c r="E164" s="13" t="s">
        <v>8697</v>
      </c>
      <c r="F164" s="13" t="s">
        <v>5540</v>
      </c>
      <c r="G164" s="13" t="s">
        <v>4856</v>
      </c>
    </row>
    <row r="165" ht="12.75" customHeight="1">
      <c r="A165" s="13" t="s">
        <v>2579</v>
      </c>
      <c r="B165" s="13" t="s">
        <v>8702</v>
      </c>
      <c r="C165" s="13" t="s">
        <v>8711</v>
      </c>
      <c r="D165" s="2" t="s">
        <v>0</v>
      </c>
      <c r="E165" s="13" t="s">
        <v>8713</v>
      </c>
      <c r="F165" s="13" t="s">
        <v>5540</v>
      </c>
      <c r="G165" s="13" t="s">
        <v>4856</v>
      </c>
    </row>
    <row r="166" ht="12.75" customHeight="1">
      <c r="A166" s="13" t="s">
        <v>8716</v>
      </c>
      <c r="B166" s="13" t="s">
        <v>8725</v>
      </c>
      <c r="C166" s="13" t="str">
        <f>#REF!</f>
        <v>#REF!</v>
      </c>
      <c r="D166" s="2" t="s">
        <v>0</v>
      </c>
      <c r="E166" s="13" t="s">
        <v>8742</v>
      </c>
      <c r="F166" s="13" t="s">
        <v>5540</v>
      </c>
      <c r="G166" s="13" t="s">
        <v>4856</v>
      </c>
    </row>
    <row r="167" ht="12.75" customHeight="1">
      <c r="A167" s="13" t="s">
        <v>2573</v>
      </c>
      <c r="B167" s="13" t="s">
        <v>8747</v>
      </c>
      <c r="C167" s="13" t="s">
        <v>8755</v>
      </c>
      <c r="D167" s="2" t="s">
        <v>0</v>
      </c>
      <c r="E167" s="13" t="s">
        <v>8757</v>
      </c>
      <c r="F167" s="13" t="s">
        <v>5540</v>
      </c>
      <c r="G167" s="13" t="s">
        <v>4856</v>
      </c>
    </row>
    <row r="168" ht="12.75" customHeight="1">
      <c r="A168" s="13" t="s">
        <v>8760</v>
      </c>
      <c r="B168" s="13" t="s">
        <v>8762</v>
      </c>
      <c r="C168" s="13" t="s">
        <v>8773</v>
      </c>
      <c r="D168" s="2" t="s">
        <v>0</v>
      </c>
      <c r="E168" s="13" t="s">
        <v>8775</v>
      </c>
      <c r="F168" s="13" t="s">
        <v>5540</v>
      </c>
      <c r="G168" s="13" t="s">
        <v>4856</v>
      </c>
    </row>
    <row r="169" ht="12.75" customHeight="1">
      <c r="A169" s="13" t="s">
        <v>2569</v>
      </c>
      <c r="B169" s="13" t="s">
        <v>8780</v>
      </c>
      <c r="C169" s="13" t="s">
        <v>8790</v>
      </c>
      <c r="D169" s="2" t="s">
        <v>0</v>
      </c>
      <c r="E169" s="13" t="s">
        <v>8792</v>
      </c>
      <c r="F169" s="13" t="s">
        <v>5540</v>
      </c>
      <c r="G169" s="13" t="s">
        <v>4856</v>
      </c>
    </row>
    <row r="170" ht="12.75" customHeight="1">
      <c r="A170" s="13" t="s">
        <v>2567</v>
      </c>
      <c r="B170" s="13" t="s">
        <v>8797</v>
      </c>
      <c r="C170" s="13" t="s">
        <v>8814</v>
      </c>
      <c r="D170" s="2" t="s">
        <v>0</v>
      </c>
      <c r="E170" s="13" t="s">
        <v>8816</v>
      </c>
      <c r="F170" s="13" t="s">
        <v>5540</v>
      </c>
      <c r="G170" s="13" t="s">
        <v>4864</v>
      </c>
    </row>
    <row r="171" ht="12.75" customHeight="1">
      <c r="A171" s="13" t="s">
        <v>2565</v>
      </c>
      <c r="B171" s="13" t="s">
        <v>8821</v>
      </c>
      <c r="C171" s="13" t="s">
        <v>8831</v>
      </c>
      <c r="D171" s="2" t="s">
        <v>0</v>
      </c>
      <c r="E171" s="13" t="s">
        <v>8833</v>
      </c>
      <c r="F171" s="13" t="s">
        <v>5540</v>
      </c>
      <c r="G171" s="13" t="s">
        <v>4856</v>
      </c>
    </row>
    <row r="172" ht="12.75" customHeight="1">
      <c r="A172" s="13" t="s">
        <v>8836</v>
      </c>
      <c r="B172" s="13" t="s">
        <v>8840</v>
      </c>
      <c r="C172" s="13" t="s">
        <v>8853</v>
      </c>
      <c r="D172" s="2" t="s">
        <v>0</v>
      </c>
      <c r="E172" s="13" t="s">
        <v>8857</v>
      </c>
      <c r="F172" s="13" t="s">
        <v>5540</v>
      </c>
      <c r="G172" s="13" t="s">
        <v>4856</v>
      </c>
    </row>
    <row r="173" ht="12.75" customHeight="1">
      <c r="A173" s="13" t="s">
        <v>2555</v>
      </c>
      <c r="B173" s="13" t="s">
        <v>8863</v>
      </c>
      <c r="C173" s="13" t="s">
        <v>8880</v>
      </c>
      <c r="D173" s="2" t="s">
        <v>0</v>
      </c>
      <c r="E173" s="13" t="s">
        <v>8882</v>
      </c>
      <c r="F173" s="13" t="s">
        <v>5540</v>
      </c>
      <c r="G173" s="13" t="s">
        <v>4864</v>
      </c>
    </row>
    <row r="174" ht="12.75" customHeight="1">
      <c r="A174" s="13" t="s">
        <v>2553</v>
      </c>
      <c r="B174" s="13" t="s">
        <v>8886</v>
      </c>
      <c r="C174" s="13" t="s">
        <v>8898</v>
      </c>
      <c r="D174" s="2" t="s">
        <v>0</v>
      </c>
      <c r="E174" s="13" t="s">
        <v>8900</v>
      </c>
      <c r="F174" s="13" t="s">
        <v>5540</v>
      </c>
      <c r="G174" s="13" t="s">
        <v>4886</v>
      </c>
    </row>
    <row r="175" ht="12.75" customHeight="1">
      <c r="A175" s="13" t="s">
        <v>2550</v>
      </c>
      <c r="B175" s="13" t="s">
        <v>8906</v>
      </c>
      <c r="C175" s="13" t="s">
        <v>8919</v>
      </c>
      <c r="D175" s="2" t="s">
        <v>0</v>
      </c>
      <c r="E175" s="13" t="s">
        <v>8922</v>
      </c>
      <c r="F175" s="13" t="s">
        <v>5540</v>
      </c>
      <c r="G175" s="13" t="s">
        <v>4864</v>
      </c>
    </row>
    <row r="176" ht="12.75" customHeight="1">
      <c r="A176" s="13" t="s">
        <v>2548</v>
      </c>
      <c r="B176" s="13" t="s">
        <v>8927</v>
      </c>
      <c r="C176" s="13" t="s">
        <v>8942</v>
      </c>
      <c r="D176" s="2" t="s">
        <v>0</v>
      </c>
      <c r="E176" s="13" t="s">
        <v>8944</v>
      </c>
      <c r="F176" s="13" t="s">
        <v>5540</v>
      </c>
      <c r="G176" s="13" t="s">
        <v>4864</v>
      </c>
    </row>
    <row r="177" ht="12.75" customHeight="1">
      <c r="A177" s="13" t="s">
        <v>2546</v>
      </c>
      <c r="B177" s="13" t="s">
        <v>8949</v>
      </c>
      <c r="C177" s="13" t="s">
        <v>8959</v>
      </c>
      <c r="D177" s="2" t="s">
        <v>0</v>
      </c>
      <c r="E177" s="13" t="s">
        <v>8961</v>
      </c>
      <c r="F177" s="13" t="s">
        <v>5540</v>
      </c>
      <c r="G177" s="13" t="s">
        <v>4856</v>
      </c>
    </row>
    <row r="178" ht="12.75" customHeight="1">
      <c r="A178" s="13" t="s">
        <v>2543</v>
      </c>
      <c r="B178" s="13" t="s">
        <v>8967</v>
      </c>
      <c r="C178" s="13" t="s">
        <v>8977</v>
      </c>
      <c r="D178" s="2" t="s">
        <v>0</v>
      </c>
      <c r="E178" s="13" t="s">
        <v>8979</v>
      </c>
      <c r="F178" s="13" t="s">
        <v>5540</v>
      </c>
      <c r="G178" s="13" t="s">
        <v>4856</v>
      </c>
    </row>
    <row r="179" ht="12.75" customHeight="1">
      <c r="A179" s="13" t="s">
        <v>2539</v>
      </c>
      <c r="B179" s="13" t="s">
        <v>8984</v>
      </c>
      <c r="C179" s="13" t="str">
        <f>#REF!</f>
        <v>#REF!</v>
      </c>
      <c r="D179" s="2" t="s">
        <v>0</v>
      </c>
      <c r="E179" s="13" t="s">
        <v>8997</v>
      </c>
      <c r="F179" s="13" t="s">
        <v>5540</v>
      </c>
      <c r="G179" s="13" t="s">
        <v>4856</v>
      </c>
    </row>
    <row r="180" ht="12.75" customHeight="1">
      <c r="A180" s="13" t="s">
        <v>2536</v>
      </c>
      <c r="B180" s="13" t="s">
        <v>9003</v>
      </c>
      <c r="C180" s="13" t="s">
        <v>9015</v>
      </c>
      <c r="D180" s="2" t="s">
        <v>0</v>
      </c>
      <c r="E180" s="13" t="s">
        <v>9019</v>
      </c>
      <c r="F180" s="13" t="s">
        <v>5540</v>
      </c>
      <c r="G180" s="13" t="s">
        <v>4856</v>
      </c>
    </row>
    <row r="181" ht="12.75" customHeight="1">
      <c r="A181" s="13" t="s">
        <v>9022</v>
      </c>
      <c r="B181" s="13" t="s">
        <v>9025</v>
      </c>
      <c r="C181" s="13" t="s">
        <v>9035</v>
      </c>
      <c r="D181" s="2" t="s">
        <v>0</v>
      </c>
      <c r="E181" s="13" t="s">
        <v>9037</v>
      </c>
      <c r="F181" s="13" t="s">
        <v>5540</v>
      </c>
      <c r="G181" s="13" t="s">
        <v>4886</v>
      </c>
    </row>
    <row r="182" ht="12.75" customHeight="1">
      <c r="A182" s="13" t="s">
        <v>2527</v>
      </c>
      <c r="B182" s="13" t="s">
        <v>9042</v>
      </c>
      <c r="C182" s="13" t="s">
        <v>9049</v>
      </c>
      <c r="D182" s="2" t="s">
        <v>0</v>
      </c>
      <c r="E182" s="13" t="s">
        <v>9051</v>
      </c>
      <c r="F182" s="13" t="s">
        <v>5540</v>
      </c>
      <c r="G182" s="13" t="s">
        <v>4856</v>
      </c>
    </row>
    <row r="183" ht="12.75" customHeight="1">
      <c r="A183" s="13" t="s">
        <v>2526</v>
      </c>
      <c r="B183" s="13" t="s">
        <v>9056</v>
      </c>
      <c r="C183" s="13" t="s">
        <v>9065</v>
      </c>
      <c r="D183" s="2" t="s">
        <v>0</v>
      </c>
      <c r="E183" s="13" t="s">
        <v>9066</v>
      </c>
      <c r="F183" s="13" t="s">
        <v>5540</v>
      </c>
      <c r="G183" s="13" t="s">
        <v>4856</v>
      </c>
    </row>
    <row r="184" ht="12.75" customHeight="1">
      <c r="A184" s="13" t="s">
        <v>2523</v>
      </c>
      <c r="B184" s="13" t="s">
        <v>9071</v>
      </c>
      <c r="C184" s="13" t="s">
        <v>9078</v>
      </c>
      <c r="D184" s="2" t="s">
        <v>0</v>
      </c>
      <c r="E184" s="13" t="s">
        <v>9080</v>
      </c>
      <c r="F184" s="13" t="s">
        <v>5540</v>
      </c>
      <c r="G184" s="13" t="s">
        <v>4864</v>
      </c>
    </row>
    <row r="185" ht="12.75" customHeight="1">
      <c r="A185" s="13" t="s">
        <v>2520</v>
      </c>
      <c r="B185" s="13" t="s">
        <v>9086</v>
      </c>
      <c r="C185" s="13" t="s">
        <v>9098</v>
      </c>
      <c r="D185" s="2" t="s">
        <v>0</v>
      </c>
      <c r="E185" s="13" t="s">
        <v>9102</v>
      </c>
      <c r="F185" s="13" t="s">
        <v>5540</v>
      </c>
      <c r="G185" s="13" t="s">
        <v>4856</v>
      </c>
    </row>
    <row r="186" ht="12.75" customHeight="1">
      <c r="A186" s="13" t="s">
        <v>2517</v>
      </c>
      <c r="B186" s="13" t="s">
        <v>9107</v>
      </c>
      <c r="C186" s="13" t="s">
        <v>9115</v>
      </c>
      <c r="D186" s="2" t="s">
        <v>0</v>
      </c>
      <c r="E186" s="13" t="s">
        <v>9117</v>
      </c>
      <c r="F186" s="13" t="s">
        <v>9118</v>
      </c>
      <c r="G186" s="13" t="s">
        <v>4864</v>
      </c>
    </row>
    <row r="187" ht="12.75" customHeight="1">
      <c r="A187" s="13" t="s">
        <v>9121</v>
      </c>
      <c r="B187" s="13" t="s">
        <v>9124</v>
      </c>
      <c r="C187" s="13" t="s">
        <v>9134</v>
      </c>
      <c r="D187" s="2" t="s">
        <v>0</v>
      </c>
      <c r="E187" s="13" t="s">
        <v>9136</v>
      </c>
      <c r="F187" s="13" t="s">
        <v>5540</v>
      </c>
      <c r="G187" s="13" t="s">
        <v>4864</v>
      </c>
    </row>
    <row r="188" ht="12.75" customHeight="1">
      <c r="A188" s="13" t="s">
        <v>2504</v>
      </c>
      <c r="B188" s="13" t="s">
        <v>9141</v>
      </c>
      <c r="C188" s="13" t="s">
        <v>9150</v>
      </c>
      <c r="D188" s="2" t="s">
        <v>0</v>
      </c>
      <c r="E188" s="13" t="s">
        <v>9152</v>
      </c>
      <c r="F188" s="13" t="s">
        <v>5540</v>
      </c>
      <c r="G188" s="13" t="s">
        <v>4864</v>
      </c>
    </row>
    <row r="189" ht="12.75" customHeight="1">
      <c r="A189" s="13" t="s">
        <v>2502</v>
      </c>
      <c r="B189" s="13" t="s">
        <v>9157</v>
      </c>
      <c r="C189" s="13" t="s">
        <v>9168</v>
      </c>
      <c r="D189" s="2" t="s">
        <v>0</v>
      </c>
      <c r="E189" s="13" t="s">
        <v>9170</v>
      </c>
      <c r="F189" s="13" t="s">
        <v>5540</v>
      </c>
      <c r="G189" s="13" t="s">
        <v>4864</v>
      </c>
    </row>
    <row r="190" ht="12.75" customHeight="1">
      <c r="A190" s="13" t="s">
        <v>2498</v>
      </c>
      <c r="B190" s="13" t="s">
        <v>9176</v>
      </c>
      <c r="C190" s="13" t="s">
        <v>9193</v>
      </c>
      <c r="D190" s="2" t="s">
        <v>0</v>
      </c>
      <c r="E190" s="13" t="s">
        <v>9197</v>
      </c>
      <c r="F190" s="13" t="s">
        <v>5540</v>
      </c>
      <c r="G190" s="13" t="s">
        <v>4864</v>
      </c>
    </row>
    <row r="191" ht="12.75" customHeight="1">
      <c r="A191" s="13" t="s">
        <v>2495</v>
      </c>
      <c r="B191" s="13" t="s">
        <v>9202</v>
      </c>
      <c r="C191" s="13" t="s">
        <v>9213</v>
      </c>
      <c r="D191" s="2" t="s">
        <v>0</v>
      </c>
      <c r="E191" s="13" t="s">
        <v>9215</v>
      </c>
      <c r="F191" s="13" t="s">
        <v>5540</v>
      </c>
      <c r="G191" s="13" t="s">
        <v>4856</v>
      </c>
    </row>
    <row r="192" ht="12.75" customHeight="1">
      <c r="A192" s="13" t="s">
        <v>9217</v>
      </c>
      <c r="B192" s="13" t="s">
        <v>9220</v>
      </c>
      <c r="C192" s="13" t="s">
        <v>9228</v>
      </c>
      <c r="D192" s="2" t="s">
        <v>0</v>
      </c>
      <c r="E192" s="13" t="s">
        <v>9230</v>
      </c>
      <c r="F192" s="13" t="s">
        <v>5540</v>
      </c>
      <c r="G192" s="13" t="s">
        <v>4864</v>
      </c>
    </row>
    <row r="193" ht="12.75" customHeight="1">
      <c r="A193" s="13" t="s">
        <v>2489</v>
      </c>
      <c r="B193" s="13" t="s">
        <v>9235</v>
      </c>
      <c r="C193" s="13" t="s">
        <v>9244</v>
      </c>
      <c r="D193" s="2" t="s">
        <v>0</v>
      </c>
      <c r="E193" s="13" t="s">
        <v>9247</v>
      </c>
      <c r="F193" s="13" t="s">
        <v>5540</v>
      </c>
      <c r="G193" s="13" t="s">
        <v>4856</v>
      </c>
    </row>
    <row r="194" ht="12.75" customHeight="1">
      <c r="A194" s="13" t="s">
        <v>9250</v>
      </c>
      <c r="B194" s="13" t="s">
        <v>9253</v>
      </c>
      <c r="C194" s="13" t="s">
        <v>9263</v>
      </c>
      <c r="D194" s="2" t="s">
        <v>0</v>
      </c>
      <c r="E194" s="13" t="s">
        <v>9265</v>
      </c>
      <c r="F194" s="13" t="s">
        <v>5540</v>
      </c>
      <c r="G194" s="13" t="s">
        <v>4852</v>
      </c>
    </row>
    <row r="195" ht="12.75" customHeight="1">
      <c r="A195" s="13" t="s">
        <v>2484</v>
      </c>
      <c r="B195" s="13" t="s">
        <v>9269</v>
      </c>
      <c r="C195" s="13" t="s">
        <v>9280</v>
      </c>
      <c r="D195" s="2" t="s">
        <v>0</v>
      </c>
      <c r="E195" s="13" t="s">
        <v>9282</v>
      </c>
      <c r="F195" s="13" t="s">
        <v>5540</v>
      </c>
      <c r="G195" s="13" t="s">
        <v>4856</v>
      </c>
    </row>
    <row r="196" ht="12.75" customHeight="1">
      <c r="A196" s="13" t="s">
        <v>2481</v>
      </c>
      <c r="B196" s="13" t="s">
        <v>9287</v>
      </c>
      <c r="C196" s="13" t="s">
        <v>9297</v>
      </c>
      <c r="D196" s="2" t="s">
        <v>0</v>
      </c>
      <c r="E196" s="13" t="s">
        <v>9299</v>
      </c>
      <c r="F196" s="13" t="s">
        <v>5540</v>
      </c>
      <c r="G196" s="13" t="s">
        <v>4864</v>
      </c>
    </row>
    <row r="197" ht="12.75" customHeight="1">
      <c r="A197" s="13" t="s">
        <v>2477</v>
      </c>
      <c r="B197" s="13" t="s">
        <v>9305</v>
      </c>
      <c r="C197" s="13" t="s">
        <v>9319</v>
      </c>
      <c r="D197" s="2" t="s">
        <v>0</v>
      </c>
      <c r="E197" s="13" t="s">
        <v>9321</v>
      </c>
      <c r="F197" s="13" t="s">
        <v>5540</v>
      </c>
      <c r="G197" s="13" t="s">
        <v>4864</v>
      </c>
    </row>
    <row r="198" ht="12.75" customHeight="1">
      <c r="A198" s="2" t="s">
        <v>2474</v>
      </c>
      <c r="B198" s="13" t="s">
        <v>5510</v>
      </c>
      <c r="C198" s="13" t="s">
        <v>9325</v>
      </c>
      <c r="D198" s="2" t="s">
        <v>0</v>
      </c>
      <c r="E198" s="13" t="s">
        <v>9327</v>
      </c>
      <c r="F198" s="13" t="s">
        <v>5540</v>
      </c>
      <c r="G198" s="13" t="s">
        <v>4864</v>
      </c>
    </row>
    <row r="199" ht="12.75" customHeight="1">
      <c r="A199" s="13" t="s">
        <v>2474</v>
      </c>
      <c r="B199" s="13" t="s">
        <v>9331</v>
      </c>
      <c r="C199" s="13" t="s">
        <v>9341</v>
      </c>
      <c r="D199" s="2" t="s">
        <v>0</v>
      </c>
      <c r="E199" s="13" t="s">
        <v>9343</v>
      </c>
      <c r="F199" s="13" t="s">
        <v>5540</v>
      </c>
      <c r="G199" s="13" t="s">
        <v>4864</v>
      </c>
    </row>
    <row r="200" ht="12.75" customHeight="1">
      <c r="A200" s="13" t="s">
        <v>9346</v>
      </c>
      <c r="B200" s="13" t="s">
        <v>9348</v>
      </c>
      <c r="C200" s="13" t="s">
        <v>9359</v>
      </c>
      <c r="D200" s="2" t="s">
        <v>0</v>
      </c>
      <c r="E200" s="13" t="s">
        <v>9361</v>
      </c>
      <c r="F200" s="13" t="s">
        <v>5540</v>
      </c>
      <c r="G200" s="13" t="s">
        <v>4852</v>
      </c>
    </row>
    <row r="201" ht="12.75" customHeight="1">
      <c r="A201" s="13" t="s">
        <v>2469</v>
      </c>
      <c r="B201" s="13" t="s">
        <v>9366</v>
      </c>
      <c r="C201" s="13" t="s">
        <v>9375</v>
      </c>
      <c r="D201" s="2" t="s">
        <v>0</v>
      </c>
      <c r="E201" s="13" t="s">
        <v>9377</v>
      </c>
      <c r="F201" s="13" t="s">
        <v>5540</v>
      </c>
      <c r="G201" s="13" t="s">
        <v>4864</v>
      </c>
    </row>
    <row r="202" ht="12.75" customHeight="1">
      <c r="A202" s="13" t="s">
        <v>2466</v>
      </c>
      <c r="B202" s="13" t="s">
        <v>5510</v>
      </c>
      <c r="C202" s="13" t="str">
        <f>#REF!</f>
        <v>#REF!</v>
      </c>
      <c r="D202" s="2" t="s">
        <v>0</v>
      </c>
      <c r="E202" s="13" t="s">
        <v>9394</v>
      </c>
      <c r="F202" s="13" t="s">
        <v>5540</v>
      </c>
      <c r="G202" s="13" t="s">
        <v>4855</v>
      </c>
    </row>
    <row r="203" ht="12.75" customHeight="1">
      <c r="A203" s="13" t="s">
        <v>2466</v>
      </c>
      <c r="B203" s="13" t="s">
        <v>9399</v>
      </c>
      <c r="C203" s="13" t="s">
        <v>9409</v>
      </c>
      <c r="D203" s="2" t="s">
        <v>0</v>
      </c>
      <c r="E203" s="13" t="s">
        <v>9411</v>
      </c>
      <c r="F203" s="13" t="s">
        <v>5540</v>
      </c>
      <c r="G203" s="13" t="s">
        <v>4855</v>
      </c>
    </row>
    <row r="204" ht="12.75" customHeight="1">
      <c r="A204" s="13" t="s">
        <v>2463</v>
      </c>
      <c r="B204" s="13" t="s">
        <v>9417</v>
      </c>
      <c r="C204" s="13" t="s">
        <v>9431</v>
      </c>
      <c r="D204" s="2" t="s">
        <v>0</v>
      </c>
      <c r="E204" s="13" t="s">
        <v>9435</v>
      </c>
      <c r="F204" s="13" t="s">
        <v>5540</v>
      </c>
      <c r="G204" s="13" t="s">
        <v>4864</v>
      </c>
    </row>
    <row r="205" ht="12.75" customHeight="1">
      <c r="A205" s="13" t="s">
        <v>2461</v>
      </c>
      <c r="B205" s="13" t="s">
        <v>9440</v>
      </c>
      <c r="C205" s="13" t="s">
        <v>9450</v>
      </c>
      <c r="D205" s="2" t="s">
        <v>0</v>
      </c>
      <c r="E205" s="13" t="s">
        <v>9452</v>
      </c>
      <c r="F205" s="13" t="s">
        <v>9118</v>
      </c>
      <c r="G205" s="13" t="s">
        <v>4864</v>
      </c>
    </row>
    <row r="206" ht="12.75" customHeight="1">
      <c r="A206" s="2" t="s">
        <v>2458</v>
      </c>
      <c r="B206" s="13" t="s">
        <v>9458</v>
      </c>
      <c r="C206" s="13" t="s">
        <v>9468</v>
      </c>
      <c r="D206" s="2" t="s">
        <v>0</v>
      </c>
      <c r="E206" s="13" t="s">
        <v>9472</v>
      </c>
      <c r="F206" s="13" t="s">
        <v>5540</v>
      </c>
      <c r="G206" s="13" t="s">
        <v>4856</v>
      </c>
    </row>
    <row r="207" ht="12.75" customHeight="1">
      <c r="A207" s="13" t="s">
        <v>2455</v>
      </c>
      <c r="B207" s="13" t="s">
        <v>9477</v>
      </c>
      <c r="C207" s="13" t="s">
        <v>9487</v>
      </c>
      <c r="D207" s="2" t="s">
        <v>0</v>
      </c>
      <c r="E207" s="13" t="s">
        <v>9489</v>
      </c>
      <c r="F207" s="13" t="s">
        <v>5540</v>
      </c>
      <c r="G207" s="13" t="s">
        <v>4864</v>
      </c>
    </row>
    <row r="208" ht="12.75" customHeight="1">
      <c r="A208" s="13" t="s">
        <v>2452</v>
      </c>
      <c r="B208" s="13" t="s">
        <v>9494</v>
      </c>
      <c r="C208" s="13" t="s">
        <v>9503</v>
      </c>
      <c r="D208" s="2" t="s">
        <v>0</v>
      </c>
      <c r="E208" s="13" t="s">
        <v>9505</v>
      </c>
      <c r="F208" s="13" t="s">
        <v>5540</v>
      </c>
      <c r="G208" s="13" t="s">
        <v>4856</v>
      </c>
    </row>
    <row r="209" ht="12.75" customHeight="1">
      <c r="A209" s="13" t="s">
        <v>2448</v>
      </c>
      <c r="B209" s="13" t="s">
        <v>9511</v>
      </c>
      <c r="C209" s="13" t="s">
        <v>9524</v>
      </c>
      <c r="D209" s="2" t="s">
        <v>0</v>
      </c>
      <c r="E209" s="13" t="s">
        <v>9526</v>
      </c>
      <c r="F209" s="13" t="s">
        <v>5540</v>
      </c>
      <c r="G209" s="13" t="s">
        <v>4855</v>
      </c>
    </row>
    <row r="210" ht="12.75" customHeight="1">
      <c r="A210" s="13" t="s">
        <v>2445</v>
      </c>
      <c r="B210" s="13" t="s">
        <v>9530</v>
      </c>
      <c r="C210" s="13" t="s">
        <v>9541</v>
      </c>
      <c r="D210" s="2" t="s">
        <v>0</v>
      </c>
      <c r="E210" s="13" t="s">
        <v>9543</v>
      </c>
      <c r="F210" s="13" t="s">
        <v>5540</v>
      </c>
      <c r="G210" s="13" t="s">
        <v>4856</v>
      </c>
    </row>
    <row r="211" ht="12.75" customHeight="1">
      <c r="A211" s="13" t="s">
        <v>2443</v>
      </c>
      <c r="B211" s="13" t="s">
        <v>9549</v>
      </c>
      <c r="C211" s="13" t="s">
        <v>9563</v>
      </c>
      <c r="D211" s="2" t="s">
        <v>0</v>
      </c>
      <c r="E211" s="13" t="s">
        <v>9565</v>
      </c>
      <c r="F211" s="13" t="s">
        <v>5540</v>
      </c>
      <c r="G211" s="13" t="s">
        <v>4856</v>
      </c>
    </row>
    <row r="212" ht="12.75" customHeight="1">
      <c r="A212" s="13" t="s">
        <v>9568</v>
      </c>
      <c r="B212" s="13" t="s">
        <v>9571</v>
      </c>
      <c r="C212" s="13" t="s">
        <v>9580</v>
      </c>
      <c r="D212" s="2" t="s">
        <v>0</v>
      </c>
      <c r="E212" s="13" t="s">
        <v>9582</v>
      </c>
      <c r="F212" s="13" t="s">
        <v>5540</v>
      </c>
      <c r="G212" s="13" t="s">
        <v>4856</v>
      </c>
    </row>
    <row r="213" ht="12.75" customHeight="1">
      <c r="A213" s="13" t="s">
        <v>2438</v>
      </c>
      <c r="B213" s="13" t="s">
        <v>9588</v>
      </c>
      <c r="C213" s="13" t="s">
        <v>9604</v>
      </c>
      <c r="D213" s="2" t="s">
        <v>0</v>
      </c>
      <c r="E213" s="13" t="s">
        <v>9608</v>
      </c>
      <c r="F213" s="13" t="s">
        <v>5540</v>
      </c>
      <c r="G213" s="13" t="s">
        <v>4856</v>
      </c>
    </row>
    <row r="214" ht="12.75" customHeight="1">
      <c r="A214" s="13" t="s">
        <v>2434</v>
      </c>
      <c r="B214" s="13" t="s">
        <v>9614</v>
      </c>
      <c r="C214" s="13" t="s">
        <v>9627</v>
      </c>
      <c r="D214" s="2" t="s">
        <v>0</v>
      </c>
      <c r="E214" s="13" t="s">
        <v>9629</v>
      </c>
      <c r="F214" s="13" t="s">
        <v>5540</v>
      </c>
      <c r="G214" s="13" t="s">
        <v>4856</v>
      </c>
    </row>
    <row r="215" ht="12.75" customHeight="1">
      <c r="A215" s="13" t="s">
        <v>2433</v>
      </c>
      <c r="B215" s="13" t="s">
        <v>9634</v>
      </c>
      <c r="C215" s="13" t="s">
        <v>9643</v>
      </c>
      <c r="D215" s="2" t="s">
        <v>0</v>
      </c>
      <c r="E215" s="13" t="s">
        <v>9645</v>
      </c>
      <c r="F215" s="13" t="s">
        <v>5540</v>
      </c>
      <c r="G215" s="13" t="s">
        <v>4856</v>
      </c>
    </row>
    <row r="216" ht="12.75" customHeight="1">
      <c r="A216" s="13" t="s">
        <v>9648</v>
      </c>
      <c r="B216" s="13" t="s">
        <v>9650</v>
      </c>
      <c r="C216" s="13" t="s">
        <v>9661</v>
      </c>
      <c r="D216" s="2" t="s">
        <v>0</v>
      </c>
      <c r="E216" s="13" t="s">
        <v>9663</v>
      </c>
      <c r="F216" s="13" t="s">
        <v>5540</v>
      </c>
      <c r="G216" s="13" t="s">
        <v>4856</v>
      </c>
    </row>
    <row r="217" ht="12.75" customHeight="1">
      <c r="A217" s="13" t="s">
        <v>2430</v>
      </c>
      <c r="B217" s="13" t="s">
        <v>9668</v>
      </c>
      <c r="C217" s="13" t="s">
        <v>9678</v>
      </c>
      <c r="D217" s="2" t="s">
        <v>0</v>
      </c>
      <c r="E217" s="13" t="s">
        <v>9680</v>
      </c>
      <c r="F217" s="13" t="s">
        <v>5540</v>
      </c>
      <c r="G217" s="13" t="s">
        <v>4864</v>
      </c>
    </row>
    <row r="218" ht="12.75" customHeight="1">
      <c r="A218" s="13" t="s">
        <v>2427</v>
      </c>
      <c r="B218" s="13" t="s">
        <v>9685</v>
      </c>
      <c r="C218" s="13" t="s">
        <v>9699</v>
      </c>
      <c r="D218" s="2" t="s">
        <v>0</v>
      </c>
      <c r="E218" s="13" t="s">
        <v>9701</v>
      </c>
      <c r="F218" s="13" t="s">
        <v>5540</v>
      </c>
      <c r="G218" s="13" t="s">
        <v>4856</v>
      </c>
    </row>
    <row r="219" ht="12.75" customHeight="1">
      <c r="A219" s="13" t="s">
        <v>2425</v>
      </c>
      <c r="B219" s="13" t="s">
        <v>9706</v>
      </c>
      <c r="C219" s="13" t="s">
        <v>9716</v>
      </c>
      <c r="D219" s="2" t="s">
        <v>0</v>
      </c>
      <c r="E219" s="13" t="s">
        <v>9718</v>
      </c>
      <c r="F219" s="13" t="s">
        <v>5540</v>
      </c>
      <c r="G219" s="13" t="s">
        <v>4856</v>
      </c>
    </row>
    <row r="220" ht="12.75" customHeight="1">
      <c r="A220" s="13" t="s">
        <v>2422</v>
      </c>
      <c r="B220" s="13" t="s">
        <v>9723</v>
      </c>
      <c r="C220" s="13" t="s">
        <v>9730</v>
      </c>
      <c r="D220" s="2" t="s">
        <v>0</v>
      </c>
      <c r="E220" s="13" t="s">
        <v>9732</v>
      </c>
      <c r="F220" s="13" t="s">
        <v>5540</v>
      </c>
      <c r="G220" s="13" t="s">
        <v>4852</v>
      </c>
    </row>
    <row r="221" ht="12.75" customHeight="1">
      <c r="A221" s="13" t="s">
        <v>2420</v>
      </c>
      <c r="B221" s="13" t="s">
        <v>9737</v>
      </c>
      <c r="C221" s="13" t="s">
        <v>9748</v>
      </c>
      <c r="D221" s="2" t="s">
        <v>0</v>
      </c>
      <c r="E221" s="13" t="s">
        <v>9750</v>
      </c>
      <c r="F221" s="13" t="s">
        <v>5540</v>
      </c>
      <c r="G221" s="13" t="s">
        <v>4864</v>
      </c>
    </row>
    <row r="222" ht="12.75" customHeight="1">
      <c r="A222" s="13" t="s">
        <v>9753</v>
      </c>
      <c r="B222" s="13" t="s">
        <v>9755</v>
      </c>
      <c r="C222" s="13" t="s">
        <v>9767</v>
      </c>
      <c r="D222" s="2" t="s">
        <v>0</v>
      </c>
      <c r="E222" s="13" t="s">
        <v>9769</v>
      </c>
      <c r="F222" s="13" t="s">
        <v>5540</v>
      </c>
      <c r="G222" s="13" t="s">
        <v>4852</v>
      </c>
    </row>
    <row r="223" ht="12.75" customHeight="1">
      <c r="A223" s="13" t="s">
        <v>2416</v>
      </c>
      <c r="B223" s="13" t="s">
        <v>9774</v>
      </c>
      <c r="C223" s="13" t="s">
        <v>9788</v>
      </c>
      <c r="D223" s="2" t="s">
        <v>0</v>
      </c>
      <c r="E223" s="13" t="s">
        <v>9792</v>
      </c>
      <c r="F223" s="13" t="s">
        <v>5540</v>
      </c>
      <c r="G223" s="13" t="s">
        <v>4856</v>
      </c>
    </row>
    <row r="224" ht="12.75" customHeight="1">
      <c r="A224" s="13" t="s">
        <v>2413</v>
      </c>
      <c r="B224" s="13" t="s">
        <v>9797</v>
      </c>
      <c r="C224" s="13" t="s">
        <v>9805</v>
      </c>
      <c r="D224" s="2" t="s">
        <v>0</v>
      </c>
      <c r="E224" s="13" t="s">
        <v>9807</v>
      </c>
      <c r="F224" s="13" t="s">
        <v>5540</v>
      </c>
      <c r="G224" s="13" t="s">
        <v>4852</v>
      </c>
    </row>
    <row r="225" ht="12.75" customHeight="1">
      <c r="A225" s="13" t="s">
        <v>2409</v>
      </c>
      <c r="B225" s="13" t="s">
        <v>9812</v>
      </c>
      <c r="C225" s="13" t="s">
        <v>9824</v>
      </c>
      <c r="D225" s="2" t="s">
        <v>0</v>
      </c>
      <c r="E225" s="13" t="s">
        <v>9826</v>
      </c>
      <c r="F225" s="13" t="s">
        <v>5540</v>
      </c>
      <c r="G225" s="13" t="s">
        <v>4856</v>
      </c>
    </row>
    <row r="226" ht="12.75" customHeight="1">
      <c r="A226" s="13" t="s">
        <v>2406</v>
      </c>
      <c r="B226" s="13" t="s">
        <v>9831</v>
      </c>
      <c r="C226" s="13" t="s">
        <v>9838</v>
      </c>
      <c r="D226" s="2" t="s">
        <v>0</v>
      </c>
      <c r="E226" s="13" t="s">
        <v>9840</v>
      </c>
      <c r="F226" s="13" t="s">
        <v>5540</v>
      </c>
      <c r="G226" s="13" t="s">
        <v>4864</v>
      </c>
    </row>
    <row r="227" ht="12.75" customHeight="1">
      <c r="A227" s="13" t="s">
        <v>9842</v>
      </c>
      <c r="B227" s="13" t="s">
        <v>9845</v>
      </c>
      <c r="C227" s="13" t="s">
        <v>9850</v>
      </c>
      <c r="D227" s="2" t="s">
        <v>0</v>
      </c>
      <c r="E227" s="13" t="s">
        <v>9852</v>
      </c>
      <c r="F227" s="13" t="s">
        <v>5540</v>
      </c>
      <c r="G227" s="13" t="s">
        <v>4856</v>
      </c>
    </row>
    <row r="228" ht="12.75" customHeight="1">
      <c r="A228" s="13" t="s">
        <v>2398</v>
      </c>
      <c r="B228" s="13" t="s">
        <v>9857</v>
      </c>
      <c r="C228" s="13" t="s">
        <v>9868</v>
      </c>
      <c r="D228" s="2" t="s">
        <v>0</v>
      </c>
      <c r="E228" s="13" t="s">
        <v>9870</v>
      </c>
      <c r="F228" s="13" t="s">
        <v>5540</v>
      </c>
      <c r="G228" s="13" t="s">
        <v>4856</v>
      </c>
    </row>
    <row r="229" ht="12.75" customHeight="1">
      <c r="A229" s="13" t="s">
        <v>9873</v>
      </c>
      <c r="B229" s="13" t="s">
        <v>9876</v>
      </c>
      <c r="C229" s="13" t="s">
        <v>9885</v>
      </c>
      <c r="D229" s="2" t="s">
        <v>0</v>
      </c>
      <c r="E229" s="13" t="s">
        <v>9886</v>
      </c>
      <c r="F229" s="13" t="s">
        <v>5540</v>
      </c>
      <c r="G229" s="13" t="s">
        <v>4856</v>
      </c>
    </row>
    <row r="230" ht="12.75" customHeight="1">
      <c r="A230" s="13" t="s">
        <v>2393</v>
      </c>
      <c r="B230" s="13" t="s">
        <v>9891</v>
      </c>
      <c r="C230" s="13" t="s">
        <v>9901</v>
      </c>
      <c r="D230" s="2" t="s">
        <v>0</v>
      </c>
      <c r="E230" s="13" t="s">
        <v>9903</v>
      </c>
      <c r="F230" s="13" t="s">
        <v>5540</v>
      </c>
      <c r="G230" s="13" t="s">
        <v>4856</v>
      </c>
    </row>
    <row r="231" ht="12.75" customHeight="1">
      <c r="A231" s="13" t="s">
        <v>2389</v>
      </c>
      <c r="B231" s="13" t="s">
        <v>9908</v>
      </c>
      <c r="C231" s="13" t="s">
        <v>9924</v>
      </c>
      <c r="D231" s="2" t="s">
        <v>0</v>
      </c>
      <c r="E231" s="13" t="s">
        <v>9926</v>
      </c>
      <c r="F231" s="13" t="s">
        <v>5540</v>
      </c>
      <c r="G231" s="13" t="s">
        <v>4856</v>
      </c>
    </row>
    <row r="232" ht="12.75" customHeight="1">
      <c r="A232" s="13" t="s">
        <v>2386</v>
      </c>
      <c r="B232" s="13" t="s">
        <v>9930</v>
      </c>
      <c r="C232" s="13" t="s">
        <v>9939</v>
      </c>
      <c r="D232" s="2" t="s">
        <v>0</v>
      </c>
      <c r="E232" s="13" t="s">
        <v>9941</v>
      </c>
      <c r="F232" s="13" t="s">
        <v>5540</v>
      </c>
      <c r="G232" s="13" t="s">
        <v>4856</v>
      </c>
    </row>
    <row r="233" ht="12.75" customHeight="1">
      <c r="A233" s="2" t="s">
        <v>2384</v>
      </c>
      <c r="B233" s="13" t="s">
        <v>9946</v>
      </c>
      <c r="C233" s="13" t="s">
        <v>9957</v>
      </c>
      <c r="D233" s="2" t="s">
        <v>0</v>
      </c>
      <c r="E233" s="13" t="s">
        <v>9959</v>
      </c>
      <c r="F233" s="13" t="s">
        <v>5540</v>
      </c>
      <c r="G233" s="13" t="s">
        <v>4864</v>
      </c>
    </row>
    <row r="234" ht="12.75" customHeight="1">
      <c r="A234" s="13" t="s">
        <v>9962</v>
      </c>
      <c r="B234" s="13" t="s">
        <v>9964</v>
      </c>
      <c r="C234" s="13" t="s">
        <v>9976</v>
      </c>
      <c r="D234" s="2" t="s">
        <v>0</v>
      </c>
      <c r="E234" s="13" t="s">
        <v>9978</v>
      </c>
      <c r="F234" s="13" t="s">
        <v>5540</v>
      </c>
      <c r="G234" s="13" t="s">
        <v>4856</v>
      </c>
    </row>
    <row r="235" ht="12.75" customHeight="1">
      <c r="A235" s="2" t="s">
        <v>2379</v>
      </c>
      <c r="B235" s="13" t="s">
        <v>9983</v>
      </c>
      <c r="C235" s="13" t="s">
        <v>9998</v>
      </c>
      <c r="D235" s="2" t="s">
        <v>0</v>
      </c>
      <c r="E235" s="13" t="s">
        <v>10000</v>
      </c>
      <c r="F235" s="13" t="s">
        <v>5540</v>
      </c>
      <c r="G235" s="13" t="s">
        <v>4856</v>
      </c>
    </row>
    <row r="236" ht="12.75" customHeight="1">
      <c r="A236" s="13" t="s">
        <v>2376</v>
      </c>
      <c r="B236" s="13" t="s">
        <v>10005</v>
      </c>
      <c r="C236" s="13" t="s">
        <v>10015</v>
      </c>
      <c r="D236" s="2" t="s">
        <v>0</v>
      </c>
      <c r="E236" s="13" t="s">
        <v>10018</v>
      </c>
      <c r="F236" s="13" t="s">
        <v>5540</v>
      </c>
      <c r="G236" s="13" t="s">
        <v>4856</v>
      </c>
    </row>
    <row r="237" ht="12.75" customHeight="1">
      <c r="A237" s="13" t="s">
        <v>2373</v>
      </c>
      <c r="B237" s="13" t="s">
        <v>10023</v>
      </c>
      <c r="C237" s="13" t="s">
        <v>10033</v>
      </c>
      <c r="D237" s="2" t="s">
        <v>0</v>
      </c>
      <c r="E237" s="13" t="s">
        <v>10035</v>
      </c>
      <c r="F237" s="13" t="s">
        <v>5540</v>
      </c>
      <c r="G237" s="13" t="s">
        <v>4856</v>
      </c>
    </row>
    <row r="238" ht="12.75" customHeight="1">
      <c r="A238" s="13" t="s">
        <v>10038</v>
      </c>
      <c r="B238" s="13" t="s">
        <v>10042</v>
      </c>
      <c r="C238" s="13" t="str">
        <f>#REF!</f>
        <v>#REF!</v>
      </c>
      <c r="D238" s="2" t="s">
        <v>0</v>
      </c>
      <c r="E238" s="13" t="s">
        <v>10055</v>
      </c>
      <c r="F238" s="13" t="s">
        <v>5540</v>
      </c>
      <c r="G238" s="13" t="s">
        <v>4856</v>
      </c>
    </row>
    <row r="239" ht="12.75" customHeight="1">
      <c r="A239" s="13" t="s">
        <v>2366</v>
      </c>
      <c r="B239" s="13" t="s">
        <v>10060</v>
      </c>
      <c r="C239" s="13" t="s">
        <v>10069</v>
      </c>
      <c r="D239" s="2" t="s">
        <v>0</v>
      </c>
      <c r="E239" s="13" t="s">
        <v>10071</v>
      </c>
      <c r="F239" s="13" t="s">
        <v>5540</v>
      </c>
      <c r="G239" s="13" t="s">
        <v>4856</v>
      </c>
    </row>
    <row r="240" ht="12.75" customHeight="1">
      <c r="A240" s="13" t="s">
        <v>10073</v>
      </c>
      <c r="B240" s="13" t="s">
        <v>10077</v>
      </c>
      <c r="C240" s="13" t="s">
        <v>10087</v>
      </c>
      <c r="D240" s="2" t="s">
        <v>0</v>
      </c>
      <c r="E240" s="13" t="s">
        <v>10089</v>
      </c>
      <c r="F240" s="13" t="s">
        <v>5540</v>
      </c>
      <c r="G240" s="13" t="s">
        <v>4864</v>
      </c>
    </row>
    <row r="241" ht="12.75" customHeight="1">
      <c r="A241" s="13" t="s">
        <v>10092</v>
      </c>
      <c r="B241" s="13" t="s">
        <v>10096</v>
      </c>
      <c r="C241" s="13" t="s">
        <v>10107</v>
      </c>
      <c r="D241" s="2" t="s">
        <v>0</v>
      </c>
      <c r="E241" s="13" t="s">
        <v>10110</v>
      </c>
      <c r="F241" s="13" t="s">
        <v>5540</v>
      </c>
      <c r="G241" s="13" t="s">
        <v>4856</v>
      </c>
    </row>
    <row r="242" ht="12.75" customHeight="1">
      <c r="A242" s="13" t="s">
        <v>2356</v>
      </c>
      <c r="B242" s="13" t="s">
        <v>10115</v>
      </c>
      <c r="C242" s="13" t="s">
        <v>10125</v>
      </c>
      <c r="D242" s="2" t="s">
        <v>0</v>
      </c>
      <c r="E242" s="13" t="s">
        <v>10127</v>
      </c>
      <c r="F242" s="13" t="s">
        <v>5540</v>
      </c>
      <c r="G242" s="13" t="s">
        <v>4852</v>
      </c>
    </row>
    <row r="243" ht="12.75" customHeight="1">
      <c r="A243" s="13" t="s">
        <v>2353</v>
      </c>
      <c r="B243" s="13" t="s">
        <v>10132</v>
      </c>
      <c r="C243" s="13" t="s">
        <v>10140</v>
      </c>
      <c r="D243" s="2" t="s">
        <v>0</v>
      </c>
      <c r="E243" s="13" t="s">
        <v>10142</v>
      </c>
      <c r="F243" s="13" t="s">
        <v>5540</v>
      </c>
      <c r="G243" s="13" t="s">
        <v>4864</v>
      </c>
    </row>
    <row r="244" ht="12.75" customHeight="1">
      <c r="A244" s="13" t="s">
        <v>2345</v>
      </c>
      <c r="B244" s="13" t="s">
        <v>10147</v>
      </c>
      <c r="C244" s="13" t="s">
        <v>10156</v>
      </c>
      <c r="D244" s="2" t="s">
        <v>0</v>
      </c>
      <c r="E244" s="13" t="s">
        <v>10158</v>
      </c>
      <c r="F244" s="13" t="s">
        <v>5540</v>
      </c>
      <c r="G244" s="13" t="s">
        <v>4856</v>
      </c>
    </row>
    <row r="245" ht="12.75" customHeight="1">
      <c r="A245" s="13" t="s">
        <v>2339</v>
      </c>
      <c r="B245" s="13" t="s">
        <v>10163</v>
      </c>
      <c r="C245" s="13" t="s">
        <v>10170</v>
      </c>
      <c r="D245" s="2" t="s">
        <v>0</v>
      </c>
      <c r="E245" s="13" t="s">
        <v>10172</v>
      </c>
      <c r="F245" s="13" t="s">
        <v>5540</v>
      </c>
      <c r="G245" s="13" t="s">
        <v>4856</v>
      </c>
    </row>
    <row r="246" ht="12.75" customHeight="1">
      <c r="A246" s="13" t="s">
        <v>2337</v>
      </c>
      <c r="B246" s="13" t="s">
        <v>10178</v>
      </c>
      <c r="C246" s="13" t="s">
        <v>10189</v>
      </c>
      <c r="D246" s="2" t="s">
        <v>0</v>
      </c>
      <c r="E246" s="13" t="s">
        <v>10191</v>
      </c>
      <c r="F246" s="13" t="s">
        <v>5540</v>
      </c>
      <c r="G246" s="13" t="s">
        <v>4856</v>
      </c>
    </row>
    <row r="247" ht="12.75" customHeight="1">
      <c r="A247" s="13" t="s">
        <v>2330</v>
      </c>
      <c r="B247" s="13" t="s">
        <v>10196</v>
      </c>
      <c r="C247" s="13" t="s">
        <v>10207</v>
      </c>
      <c r="D247" s="2" t="s">
        <v>0</v>
      </c>
      <c r="E247" s="13" t="s">
        <v>10210</v>
      </c>
      <c r="F247" s="13" t="s">
        <v>5540</v>
      </c>
      <c r="G247" s="13" t="s">
        <v>4855</v>
      </c>
    </row>
    <row r="248" ht="12.75" customHeight="1">
      <c r="A248" s="13" t="s">
        <v>10213</v>
      </c>
      <c r="B248" s="13" t="s">
        <v>10216</v>
      </c>
      <c r="C248" s="13" t="s">
        <v>10225</v>
      </c>
      <c r="D248" s="2" t="s">
        <v>0</v>
      </c>
      <c r="E248" s="13" t="s">
        <v>10227</v>
      </c>
      <c r="F248" s="13" t="s">
        <v>5540</v>
      </c>
      <c r="G248" s="13" t="s">
        <v>4856</v>
      </c>
    </row>
    <row r="249" ht="12.75" customHeight="1">
      <c r="A249" s="13" t="s">
        <v>2324</v>
      </c>
      <c r="B249" s="13" t="s">
        <v>10232</v>
      </c>
      <c r="C249" s="13" t="s">
        <v>10241</v>
      </c>
      <c r="D249" s="2" t="s">
        <v>0</v>
      </c>
      <c r="E249" s="13" t="s">
        <v>10243</v>
      </c>
      <c r="F249" s="13" t="s">
        <v>5540</v>
      </c>
      <c r="G249" s="13" t="s">
        <v>4856</v>
      </c>
    </row>
    <row r="250" ht="12.75" customHeight="1">
      <c r="A250" s="13" t="s">
        <v>2322</v>
      </c>
      <c r="B250" s="13" t="s">
        <v>10248</v>
      </c>
      <c r="C250" s="13" t="s">
        <v>10255</v>
      </c>
      <c r="D250" s="2" t="s">
        <v>0</v>
      </c>
      <c r="E250" s="13" t="s">
        <v>10257</v>
      </c>
      <c r="F250" s="13" t="s">
        <v>5540</v>
      </c>
      <c r="G250" s="13" t="s">
        <v>4864</v>
      </c>
    </row>
    <row r="251" ht="12.75" customHeight="1">
      <c r="A251" s="13" t="s">
        <v>2315</v>
      </c>
      <c r="B251" s="13" t="s">
        <v>10262</v>
      </c>
      <c r="C251" s="13" t="s">
        <v>10272</v>
      </c>
      <c r="D251" s="2" t="s">
        <v>0</v>
      </c>
      <c r="E251" s="13" t="s">
        <v>10274</v>
      </c>
      <c r="F251" s="13" t="s">
        <v>5540</v>
      </c>
      <c r="G251" s="13" t="s">
        <v>4864</v>
      </c>
    </row>
    <row r="252" ht="12.75" customHeight="1">
      <c r="A252" s="13" t="s">
        <v>2311</v>
      </c>
      <c r="B252" s="13" t="s">
        <v>10279</v>
      </c>
      <c r="C252" s="13" t="s">
        <v>10289</v>
      </c>
      <c r="D252" s="2" t="s">
        <v>0</v>
      </c>
      <c r="E252" s="13" t="s">
        <v>10291</v>
      </c>
      <c r="F252" s="13" t="s">
        <v>5540</v>
      </c>
      <c r="G252" s="13" t="s">
        <v>4864</v>
      </c>
    </row>
    <row r="253" ht="12.75" customHeight="1">
      <c r="A253" s="13" t="s">
        <v>2307</v>
      </c>
      <c r="B253" s="13" t="s">
        <v>10297</v>
      </c>
      <c r="C253" s="13" t="s">
        <v>10311</v>
      </c>
      <c r="D253" s="2" t="s">
        <v>0</v>
      </c>
      <c r="E253" s="13" t="s">
        <v>10313</v>
      </c>
      <c r="F253" s="13" t="s">
        <v>5540</v>
      </c>
      <c r="G253" s="13" t="s">
        <v>4856</v>
      </c>
    </row>
    <row r="254" ht="12.75" customHeight="1">
      <c r="A254" s="13" t="s">
        <v>2305</v>
      </c>
      <c r="B254" s="13" t="s">
        <v>10318</v>
      </c>
      <c r="C254" s="13" t="s">
        <v>10328</v>
      </c>
      <c r="D254" s="2" t="s">
        <v>0</v>
      </c>
      <c r="E254" s="13" t="s">
        <v>10330</v>
      </c>
      <c r="F254" s="13" t="s">
        <v>5540</v>
      </c>
      <c r="G254" s="13" t="s">
        <v>4856</v>
      </c>
    </row>
    <row r="255" ht="12.75" customHeight="1">
      <c r="A255" s="13" t="s">
        <v>2304</v>
      </c>
      <c r="B255" s="13" t="s">
        <v>10335</v>
      </c>
      <c r="C255" s="13" t="s">
        <v>10345</v>
      </c>
      <c r="D255" s="2" t="s">
        <v>0</v>
      </c>
      <c r="E255" s="13" t="s">
        <v>10347</v>
      </c>
      <c r="F255" s="13" t="s">
        <v>5540</v>
      </c>
      <c r="G255" s="13" t="s">
        <v>4856</v>
      </c>
    </row>
    <row r="256" ht="12.75" customHeight="1">
      <c r="A256" s="13" t="s">
        <v>2301</v>
      </c>
      <c r="B256" s="13" t="s">
        <v>10352</v>
      </c>
      <c r="C256" s="13" t="s">
        <v>10362</v>
      </c>
      <c r="D256" s="2" t="s">
        <v>0</v>
      </c>
      <c r="E256" s="13" t="s">
        <v>10364</v>
      </c>
      <c r="F256" s="13" t="s">
        <v>5540</v>
      </c>
      <c r="G256" s="13" t="s">
        <v>4856</v>
      </c>
    </row>
    <row r="257" ht="12.75" customHeight="1">
      <c r="A257" s="13" t="s">
        <v>2297</v>
      </c>
      <c r="B257" s="13" t="s">
        <v>10370</v>
      </c>
      <c r="C257" s="13" t="s">
        <v>10380</v>
      </c>
      <c r="D257" s="2" t="s">
        <v>0</v>
      </c>
      <c r="E257" s="13" t="s">
        <v>10382</v>
      </c>
      <c r="F257" s="13" t="s">
        <v>5540</v>
      </c>
      <c r="G257" s="13" t="s">
        <v>4852</v>
      </c>
    </row>
    <row r="258" ht="12.75" customHeight="1">
      <c r="A258" s="13" t="s">
        <v>10385</v>
      </c>
      <c r="B258" s="13" t="s">
        <v>10387</v>
      </c>
      <c r="C258" s="13" t="s">
        <v>10399</v>
      </c>
      <c r="D258" s="2" t="s">
        <v>0</v>
      </c>
      <c r="E258" s="13" t="s">
        <v>10401</v>
      </c>
      <c r="F258" s="13" t="s">
        <v>5540</v>
      </c>
      <c r="G258" s="13" t="s">
        <v>4856</v>
      </c>
    </row>
    <row r="259" ht="12.75" customHeight="1">
      <c r="A259" s="13" t="s">
        <v>2291</v>
      </c>
      <c r="B259" s="13" t="s">
        <v>10406</v>
      </c>
      <c r="C259" s="13" t="s">
        <v>10413</v>
      </c>
      <c r="D259" s="2" t="s">
        <v>0</v>
      </c>
      <c r="E259" s="13" t="s">
        <v>10415</v>
      </c>
      <c r="F259" s="13" t="s">
        <v>5540</v>
      </c>
      <c r="G259" s="13" t="s">
        <v>4856</v>
      </c>
    </row>
    <row r="260" ht="12.75" customHeight="1">
      <c r="A260" s="13" t="s">
        <v>2284</v>
      </c>
      <c r="B260" s="13" t="s">
        <v>10420</v>
      </c>
      <c r="C260" s="13" t="s">
        <v>10430</v>
      </c>
      <c r="D260" s="2" t="s">
        <v>0</v>
      </c>
      <c r="E260" s="13" t="s">
        <v>10432</v>
      </c>
      <c r="F260" s="13" t="s">
        <v>5540</v>
      </c>
      <c r="G260" s="13" t="s">
        <v>4856</v>
      </c>
    </row>
    <row r="261" ht="12.75" customHeight="1">
      <c r="A261" s="13" t="s">
        <v>2277</v>
      </c>
      <c r="B261" s="13" t="s">
        <v>10438</v>
      </c>
      <c r="C261" s="13" t="s">
        <v>10449</v>
      </c>
      <c r="D261" s="2" t="s">
        <v>0</v>
      </c>
      <c r="E261" s="13" t="s">
        <v>10452</v>
      </c>
      <c r="F261" s="13" t="s">
        <v>5540</v>
      </c>
      <c r="G261" s="13" t="s">
        <v>4856</v>
      </c>
    </row>
    <row r="262" ht="12.75" customHeight="1">
      <c r="A262" s="13" t="s">
        <v>2274</v>
      </c>
      <c r="B262" s="13" t="s">
        <v>10457</v>
      </c>
      <c r="C262" s="13" t="s">
        <v>10467</v>
      </c>
      <c r="D262" s="2" t="s">
        <v>0</v>
      </c>
      <c r="E262" s="13" t="s">
        <v>10469</v>
      </c>
      <c r="F262" s="13" t="s">
        <v>5540</v>
      </c>
      <c r="G262" s="13" t="s">
        <v>4880</v>
      </c>
    </row>
    <row r="263" ht="12.75" customHeight="1">
      <c r="A263" s="13" t="s">
        <v>2268</v>
      </c>
      <c r="B263" s="13" t="s">
        <v>10474</v>
      </c>
      <c r="C263" s="13" t="s">
        <v>10482</v>
      </c>
      <c r="D263" s="2" t="s">
        <v>0</v>
      </c>
      <c r="E263" s="13" t="s">
        <v>10484</v>
      </c>
      <c r="F263" s="13" t="s">
        <v>5540</v>
      </c>
      <c r="G263" s="13" t="s">
        <v>4856</v>
      </c>
    </row>
    <row r="264" ht="12.75" customHeight="1">
      <c r="A264" s="13" t="s">
        <v>10487</v>
      </c>
      <c r="B264" s="13" t="s">
        <v>10490</v>
      </c>
      <c r="C264" s="13" t="s">
        <v>10499</v>
      </c>
      <c r="D264" s="2" t="s">
        <v>0</v>
      </c>
      <c r="E264" s="13" t="s">
        <v>10501</v>
      </c>
      <c r="F264" s="13" t="s">
        <v>5540</v>
      </c>
      <c r="G264" s="13" t="s">
        <v>4852</v>
      </c>
    </row>
    <row r="265" ht="12.75" customHeight="1">
      <c r="A265" s="13" t="s">
        <v>2263</v>
      </c>
      <c r="B265" s="13" t="s">
        <v>10506</v>
      </c>
      <c r="C265" s="13" t="s">
        <v>10516</v>
      </c>
      <c r="D265" s="2" t="s">
        <v>0</v>
      </c>
      <c r="E265" s="13" t="s">
        <v>10518</v>
      </c>
      <c r="F265" s="13" t="s">
        <v>5540</v>
      </c>
      <c r="G265" s="13" t="s">
        <v>4856</v>
      </c>
    </row>
    <row r="266" ht="12.75" customHeight="1">
      <c r="A266" s="13" t="s">
        <v>2262</v>
      </c>
      <c r="B266" s="13" t="s">
        <v>10522</v>
      </c>
      <c r="C266" s="13" t="s">
        <v>10532</v>
      </c>
      <c r="D266" s="2" t="s">
        <v>0</v>
      </c>
      <c r="E266" s="13" t="s">
        <v>10534</v>
      </c>
      <c r="F266" s="13" t="s">
        <v>5540</v>
      </c>
      <c r="G266" s="13" t="s">
        <v>4864</v>
      </c>
    </row>
    <row r="267" ht="12.75" customHeight="1">
      <c r="A267" s="13" t="s">
        <v>2253</v>
      </c>
      <c r="B267" s="13" t="s">
        <v>10539</v>
      </c>
      <c r="C267" s="13" t="s">
        <v>10546</v>
      </c>
      <c r="D267" s="2" t="s">
        <v>0</v>
      </c>
      <c r="E267" s="13" t="s">
        <v>10548</v>
      </c>
      <c r="F267" s="13" t="s">
        <v>5540</v>
      </c>
      <c r="G267" s="13" t="s">
        <v>4856</v>
      </c>
    </row>
    <row r="268" ht="12.75" customHeight="1">
      <c r="A268" s="13" t="s">
        <v>2251</v>
      </c>
      <c r="B268" s="13" t="s">
        <v>10553</v>
      </c>
      <c r="C268" s="13" t="s">
        <v>10562</v>
      </c>
      <c r="D268" s="2" t="s">
        <v>0</v>
      </c>
      <c r="E268" s="13" t="s">
        <v>10564</v>
      </c>
      <c r="F268" s="13" t="s">
        <v>5540</v>
      </c>
      <c r="G268" s="13" t="s">
        <v>4856</v>
      </c>
    </row>
    <row r="269" ht="12.75" customHeight="1">
      <c r="A269" s="13" t="s">
        <v>10567</v>
      </c>
      <c r="B269" s="13" t="s">
        <v>10569</v>
      </c>
      <c r="C269" s="13" t="s">
        <v>10581</v>
      </c>
      <c r="D269" s="2" t="s">
        <v>0</v>
      </c>
      <c r="E269" s="13" t="s">
        <v>10583</v>
      </c>
      <c r="F269" s="13" t="s">
        <v>5540</v>
      </c>
      <c r="G269" s="13" t="s">
        <v>4856</v>
      </c>
    </row>
    <row r="270" ht="12.75" customHeight="1">
      <c r="A270" s="13" t="s">
        <v>2248</v>
      </c>
      <c r="B270" s="13" t="s">
        <v>10588</v>
      </c>
      <c r="C270" s="13" t="s">
        <v>10598</v>
      </c>
      <c r="D270" s="2" t="s">
        <v>0</v>
      </c>
      <c r="E270" s="13" t="s">
        <v>10600</v>
      </c>
      <c r="F270" s="13" t="s">
        <v>5540</v>
      </c>
      <c r="G270" s="13" t="s">
        <v>4856</v>
      </c>
    </row>
    <row r="271" ht="12.75" customHeight="1">
      <c r="A271" s="13" t="s">
        <v>2245</v>
      </c>
      <c r="B271" s="13" t="s">
        <v>10605</v>
      </c>
      <c r="C271" s="13" t="s">
        <v>10615</v>
      </c>
      <c r="D271" s="2" t="s">
        <v>0</v>
      </c>
      <c r="E271" s="13" t="s">
        <v>10618</v>
      </c>
      <c r="F271" s="13" t="s">
        <v>5540</v>
      </c>
      <c r="G271" s="13" t="s">
        <v>4856</v>
      </c>
    </row>
    <row r="272" ht="12.75" customHeight="1">
      <c r="A272" s="13" t="s">
        <v>2242</v>
      </c>
      <c r="B272" s="13" t="s">
        <v>10623</v>
      </c>
      <c r="C272" s="13" t="s">
        <v>10629</v>
      </c>
      <c r="D272" s="2" t="s">
        <v>0</v>
      </c>
      <c r="E272" s="13" t="s">
        <v>10631</v>
      </c>
      <c r="F272" s="13" t="s">
        <v>5540</v>
      </c>
      <c r="G272" s="13" t="s">
        <v>4856</v>
      </c>
    </row>
    <row r="273" ht="12.75" customHeight="1">
      <c r="A273" s="13" t="s">
        <v>2239</v>
      </c>
      <c r="B273" s="13" t="s">
        <v>10636</v>
      </c>
      <c r="C273" s="13" t="s">
        <v>10641</v>
      </c>
      <c r="D273" s="2" t="s">
        <v>0</v>
      </c>
      <c r="E273" s="13" t="s">
        <v>10643</v>
      </c>
      <c r="F273" s="13" t="s">
        <v>5540</v>
      </c>
      <c r="G273" s="13" t="s">
        <v>4864</v>
      </c>
    </row>
    <row r="274" ht="12.75" customHeight="1">
      <c r="A274" s="13" t="s">
        <v>2235</v>
      </c>
      <c r="B274" s="13" t="s">
        <v>10649</v>
      </c>
      <c r="C274" s="13" t="s">
        <v>10661</v>
      </c>
      <c r="D274" s="2" t="s">
        <v>0</v>
      </c>
      <c r="E274" s="13" t="s">
        <v>10664</v>
      </c>
      <c r="F274" s="13" t="s">
        <v>5540</v>
      </c>
      <c r="G274" s="13" t="s">
        <v>4852</v>
      </c>
    </row>
    <row r="275" ht="12.75" customHeight="1">
      <c r="A275" s="13" t="s">
        <v>2233</v>
      </c>
      <c r="B275" s="13" t="s">
        <v>10669</v>
      </c>
      <c r="C275" s="13" t="s">
        <v>10678</v>
      </c>
      <c r="D275" s="2" t="s">
        <v>0</v>
      </c>
      <c r="E275" s="13" t="s">
        <v>10680</v>
      </c>
      <c r="F275" s="13" t="s">
        <v>5540</v>
      </c>
      <c r="G275" s="13" t="s">
        <v>4856</v>
      </c>
    </row>
    <row r="276" ht="12.75" customHeight="1">
      <c r="A276" s="2" t="s">
        <v>2230</v>
      </c>
      <c r="B276" s="13" t="s">
        <v>10685</v>
      </c>
      <c r="C276" s="13" t="s">
        <v>10696</v>
      </c>
      <c r="D276" s="2" t="s">
        <v>0</v>
      </c>
      <c r="E276" s="13" t="s">
        <v>10698</v>
      </c>
      <c r="F276" s="13" t="s">
        <v>5540</v>
      </c>
      <c r="G276" s="13" t="s">
        <v>4856</v>
      </c>
    </row>
    <row r="277" ht="12.75" customHeight="1">
      <c r="A277" s="13" t="s">
        <v>10701</v>
      </c>
      <c r="B277" s="13" t="s">
        <v>10704</v>
      </c>
      <c r="C277" s="13" t="s">
        <v>10714</v>
      </c>
      <c r="D277" s="2" t="s">
        <v>0</v>
      </c>
      <c r="E277" s="13" t="s">
        <v>10716</v>
      </c>
      <c r="F277" s="13" t="s">
        <v>5540</v>
      </c>
      <c r="G277" s="13" t="s">
        <v>4856</v>
      </c>
    </row>
    <row r="278" ht="12.75" customHeight="1">
      <c r="A278" s="2" t="s">
        <v>2220</v>
      </c>
      <c r="B278" s="13" t="s">
        <v>10722</v>
      </c>
      <c r="C278" s="13" t="s">
        <v>10739</v>
      </c>
      <c r="D278" s="2" t="s">
        <v>0</v>
      </c>
      <c r="E278" s="13" t="s">
        <v>10741</v>
      </c>
      <c r="F278" s="13" t="s">
        <v>5540</v>
      </c>
      <c r="G278" s="13" t="s">
        <v>4856</v>
      </c>
    </row>
    <row r="279" ht="12.75" customHeight="1">
      <c r="A279" s="13" t="s">
        <v>2217</v>
      </c>
      <c r="B279" s="13" t="s">
        <v>10746</v>
      </c>
      <c r="C279" s="13" t="s">
        <v>10757</v>
      </c>
      <c r="D279" s="2" t="s">
        <v>0</v>
      </c>
      <c r="E279" s="13" t="s">
        <v>10759</v>
      </c>
      <c r="F279" s="13" t="s">
        <v>5540</v>
      </c>
      <c r="G279" s="13" t="s">
        <v>4856</v>
      </c>
    </row>
    <row r="280" ht="12.75" customHeight="1">
      <c r="A280" s="13" t="s">
        <v>2216</v>
      </c>
      <c r="B280" s="13" t="s">
        <v>10764</v>
      </c>
      <c r="C280" s="13" t="s">
        <v>10775</v>
      </c>
      <c r="D280" s="2" t="s">
        <v>0</v>
      </c>
      <c r="E280" s="13" t="s">
        <v>10778</v>
      </c>
      <c r="F280" s="13" t="s">
        <v>5540</v>
      </c>
      <c r="G280" s="13" t="s">
        <v>4856</v>
      </c>
    </row>
    <row r="281" ht="12.75" customHeight="1">
      <c r="A281" s="13" t="s">
        <v>2213</v>
      </c>
      <c r="B281" s="13" t="s">
        <v>10783</v>
      </c>
      <c r="C281" s="13" t="s">
        <v>10791</v>
      </c>
      <c r="D281" s="2" t="s">
        <v>0</v>
      </c>
      <c r="E281" s="13" t="s">
        <v>10793</v>
      </c>
      <c r="F281" s="13" t="s">
        <v>5540</v>
      </c>
      <c r="G281" s="13" t="s">
        <v>4856</v>
      </c>
    </row>
    <row r="282" ht="12.75" customHeight="1">
      <c r="A282" s="13" t="s">
        <v>2210</v>
      </c>
      <c r="B282" s="13" t="s">
        <v>10798</v>
      </c>
      <c r="C282" s="13" t="s">
        <v>10807</v>
      </c>
      <c r="D282" s="2" t="s">
        <v>0</v>
      </c>
      <c r="E282" s="13" t="s">
        <v>10808</v>
      </c>
      <c r="F282" s="13" t="s">
        <v>5540</v>
      </c>
      <c r="G282" s="13" t="s">
        <v>4864</v>
      </c>
    </row>
    <row r="283" ht="12.75" customHeight="1">
      <c r="A283" s="13" t="s">
        <v>2208</v>
      </c>
      <c r="B283" s="13" t="s">
        <v>5510</v>
      </c>
      <c r="C283" s="13" t="s">
        <v>10814</v>
      </c>
      <c r="D283" s="2" t="s">
        <v>0</v>
      </c>
      <c r="E283" s="13" t="s">
        <v>10816</v>
      </c>
      <c r="F283" s="13" t="s">
        <v>5540</v>
      </c>
      <c r="G283" s="13" t="s">
        <v>4856</v>
      </c>
    </row>
    <row r="284" ht="12.75" customHeight="1">
      <c r="A284" s="13" t="s">
        <v>2208</v>
      </c>
      <c r="B284" s="13" t="s">
        <v>10818</v>
      </c>
      <c r="C284" s="13" t="s">
        <v>10830</v>
      </c>
      <c r="D284" s="2" t="s">
        <v>0</v>
      </c>
      <c r="E284" s="13" t="s">
        <v>10832</v>
      </c>
      <c r="F284" s="13" t="s">
        <v>5540</v>
      </c>
      <c r="G284" s="13" t="s">
        <v>4856</v>
      </c>
    </row>
    <row r="285" ht="12.75" customHeight="1">
      <c r="A285" s="13" t="s">
        <v>2206</v>
      </c>
      <c r="B285" s="13" t="s">
        <v>10837</v>
      </c>
      <c r="C285" s="13" t="s">
        <v>10847</v>
      </c>
      <c r="D285" s="2" t="s">
        <v>0</v>
      </c>
      <c r="E285" s="13" t="s">
        <v>10849</v>
      </c>
      <c r="F285" s="13" t="s">
        <v>5540</v>
      </c>
      <c r="G285" s="13" t="s">
        <v>4864</v>
      </c>
    </row>
    <row r="286" ht="12.75" customHeight="1">
      <c r="A286" s="13" t="s">
        <v>2202</v>
      </c>
      <c r="B286" s="13" t="s">
        <v>10855</v>
      </c>
      <c r="C286" s="13" t="s">
        <v>10864</v>
      </c>
      <c r="D286" s="2" t="s">
        <v>0</v>
      </c>
      <c r="E286" s="13" t="s">
        <v>10867</v>
      </c>
      <c r="F286" s="13" t="s">
        <v>5540</v>
      </c>
      <c r="G286" s="13" t="s">
        <v>4864</v>
      </c>
    </row>
    <row r="287" ht="12.75" customHeight="1">
      <c r="A287" s="13" t="s">
        <v>2199</v>
      </c>
      <c r="B287" s="13" t="s">
        <v>10871</v>
      </c>
      <c r="C287" s="13" t="s">
        <v>10877</v>
      </c>
      <c r="D287" s="2" t="s">
        <v>0</v>
      </c>
      <c r="E287" s="13" t="s">
        <v>10879</v>
      </c>
      <c r="F287" s="13" t="s">
        <v>5540</v>
      </c>
      <c r="G287" s="13" t="s">
        <v>4856</v>
      </c>
    </row>
    <row r="288" ht="12.75" customHeight="1">
      <c r="A288" s="13" t="s">
        <v>10882</v>
      </c>
      <c r="B288" s="13" t="s">
        <v>10886</v>
      </c>
      <c r="C288" s="13" t="s">
        <v>10901</v>
      </c>
      <c r="D288" s="2" t="s">
        <v>0</v>
      </c>
      <c r="E288" s="13" t="s">
        <v>10903</v>
      </c>
      <c r="F288" s="13" t="s">
        <v>5540</v>
      </c>
      <c r="G288" s="13" t="s">
        <v>4856</v>
      </c>
    </row>
    <row r="289" ht="12.75" customHeight="1">
      <c r="A289" s="13" t="s">
        <v>2194</v>
      </c>
      <c r="B289" s="13" t="s">
        <v>10908</v>
      </c>
      <c r="C289" s="13" t="s">
        <v>10917</v>
      </c>
      <c r="D289" s="2" t="s">
        <v>0</v>
      </c>
      <c r="E289" s="13" t="s">
        <v>10919</v>
      </c>
      <c r="F289" s="13" t="s">
        <v>5540</v>
      </c>
      <c r="G289" s="13" t="s">
        <v>4864</v>
      </c>
    </row>
    <row r="290" ht="12.75" customHeight="1">
      <c r="A290" s="13" t="s">
        <v>2192</v>
      </c>
      <c r="B290" s="13" t="s">
        <v>10924</v>
      </c>
      <c r="C290" s="13" t="s">
        <v>10933</v>
      </c>
      <c r="D290" s="2" t="s">
        <v>0</v>
      </c>
      <c r="E290" s="13" t="s">
        <v>10935</v>
      </c>
      <c r="F290" s="13" t="s">
        <v>5540</v>
      </c>
      <c r="G290" s="13" t="s">
        <v>4864</v>
      </c>
    </row>
    <row r="291" ht="12.75" customHeight="1">
      <c r="A291" s="13" t="s">
        <v>2189</v>
      </c>
      <c r="B291" s="13" t="s">
        <v>10940</v>
      </c>
      <c r="C291" s="13" t="s">
        <v>10947</v>
      </c>
      <c r="D291" s="2" t="s">
        <v>0</v>
      </c>
      <c r="E291" s="13" t="s">
        <v>10949</v>
      </c>
      <c r="F291" s="13" t="s">
        <v>5540</v>
      </c>
      <c r="G291" s="13" t="s">
        <v>4856</v>
      </c>
    </row>
    <row r="292" ht="12.75" customHeight="1">
      <c r="A292" s="13" t="s">
        <v>2185</v>
      </c>
      <c r="B292" s="13" t="s">
        <v>10955</v>
      </c>
      <c r="C292" s="13" t="s">
        <v>10969</v>
      </c>
      <c r="D292" s="2" t="s">
        <v>0</v>
      </c>
      <c r="E292" s="13" t="s">
        <v>10971</v>
      </c>
      <c r="F292" s="13" t="s">
        <v>5540</v>
      </c>
      <c r="G292" s="13" t="s">
        <v>4856</v>
      </c>
    </row>
    <row r="293" ht="12.75" customHeight="1">
      <c r="A293" s="13" t="s">
        <v>2182</v>
      </c>
      <c r="B293" s="13" t="s">
        <v>10976</v>
      </c>
      <c r="C293" s="13" t="s">
        <v>10983</v>
      </c>
      <c r="D293" s="2" t="s">
        <v>0</v>
      </c>
      <c r="E293" s="13" t="s">
        <v>10985</v>
      </c>
      <c r="F293" s="13" t="s">
        <v>5540</v>
      </c>
      <c r="G293" s="13" t="s">
        <v>4856</v>
      </c>
    </row>
    <row r="294" ht="12.75" customHeight="1">
      <c r="A294" s="13" t="s">
        <v>10988</v>
      </c>
      <c r="B294" s="13" t="s">
        <v>10991</v>
      </c>
      <c r="C294" s="13" t="s">
        <v>11000</v>
      </c>
      <c r="D294" s="2" t="s">
        <v>0</v>
      </c>
      <c r="E294" s="13" t="s">
        <v>11002</v>
      </c>
      <c r="F294" s="13" t="s">
        <v>5540</v>
      </c>
      <c r="G294" s="13" t="s">
        <v>4864</v>
      </c>
    </row>
    <row r="295" ht="12.75" customHeight="1">
      <c r="A295" s="13" t="s">
        <v>11005</v>
      </c>
      <c r="B295" s="13" t="s">
        <v>11008</v>
      </c>
      <c r="C295" s="13" t="s">
        <v>11016</v>
      </c>
      <c r="D295" s="2" t="s">
        <v>0</v>
      </c>
      <c r="E295" s="13" t="s">
        <v>11018</v>
      </c>
      <c r="F295" s="13" t="s">
        <v>5540</v>
      </c>
      <c r="G295" s="13" t="s">
        <v>4856</v>
      </c>
    </row>
    <row r="296" ht="12.75" customHeight="1">
      <c r="A296" s="13" t="s">
        <v>11021</v>
      </c>
      <c r="B296" s="13" t="s">
        <v>11025</v>
      </c>
      <c r="C296" s="13" t="s">
        <v>11034</v>
      </c>
      <c r="D296" s="2" t="s">
        <v>0</v>
      </c>
      <c r="E296" s="13" t="s">
        <v>11036</v>
      </c>
      <c r="F296" s="13" t="s">
        <v>5540</v>
      </c>
      <c r="G296" s="13" t="s">
        <v>4856</v>
      </c>
    </row>
    <row r="297" ht="12.75" customHeight="1">
      <c r="A297" s="13" t="s">
        <v>2171</v>
      </c>
      <c r="B297" s="13" t="s">
        <v>11041</v>
      </c>
      <c r="C297" s="13" t="s">
        <v>11049</v>
      </c>
      <c r="D297" s="2" t="s">
        <v>0</v>
      </c>
      <c r="E297" s="13" t="s">
        <v>11051</v>
      </c>
      <c r="F297" s="13" t="s">
        <v>5540</v>
      </c>
      <c r="G297" s="13" t="s">
        <v>4856</v>
      </c>
    </row>
    <row r="298" ht="12.75" customHeight="1">
      <c r="A298" s="13" t="s">
        <v>2164</v>
      </c>
      <c r="B298" s="13" t="s">
        <v>11056</v>
      </c>
      <c r="C298" s="13" t="s">
        <v>11066</v>
      </c>
      <c r="D298" s="2" t="s">
        <v>0</v>
      </c>
      <c r="E298" s="13" t="s">
        <v>11067</v>
      </c>
      <c r="F298" s="13" t="s">
        <v>5540</v>
      </c>
      <c r="G298" s="13" t="s">
        <v>4856</v>
      </c>
    </row>
    <row r="299" ht="12.75" customHeight="1">
      <c r="A299" s="13" t="s">
        <v>11070</v>
      </c>
      <c r="B299" s="13" t="s">
        <v>11073</v>
      </c>
      <c r="C299" s="13" t="s">
        <v>11083</v>
      </c>
      <c r="D299" s="2" t="s">
        <v>0</v>
      </c>
      <c r="E299" s="13" t="s">
        <v>11085</v>
      </c>
      <c r="F299" s="13" t="s">
        <v>5540</v>
      </c>
      <c r="G299" s="13" t="s">
        <v>4856</v>
      </c>
    </row>
    <row r="300" ht="12.75" customHeight="1">
      <c r="A300" s="13" t="s">
        <v>11088</v>
      </c>
      <c r="B300" s="13" t="s">
        <v>11091</v>
      </c>
      <c r="C300" s="13" t="s">
        <v>11099</v>
      </c>
      <c r="D300" s="2" t="s">
        <v>0</v>
      </c>
      <c r="E300" s="13" t="s">
        <v>11101</v>
      </c>
      <c r="F300" s="13" t="s">
        <v>5540</v>
      </c>
      <c r="G300" s="13" t="s">
        <v>4864</v>
      </c>
    </row>
    <row r="301" ht="12.75" customHeight="1">
      <c r="A301" s="13" t="s">
        <v>2155</v>
      </c>
      <c r="B301" s="13" t="s">
        <v>11106</v>
      </c>
      <c r="C301" s="13" t="s">
        <v>11116</v>
      </c>
      <c r="D301" s="2" t="s">
        <v>0</v>
      </c>
      <c r="E301" s="13" t="s">
        <v>11118</v>
      </c>
      <c r="F301" s="13" t="s">
        <v>5540</v>
      </c>
      <c r="G301" s="13" t="s">
        <v>4864</v>
      </c>
    </row>
    <row r="302" ht="12.75" customHeight="1">
      <c r="A302" s="13" t="s">
        <v>2150</v>
      </c>
      <c r="B302" s="13" t="s">
        <v>11123</v>
      </c>
      <c r="C302" s="13" t="s">
        <v>11129</v>
      </c>
      <c r="D302" s="2" t="s">
        <v>0</v>
      </c>
      <c r="E302" s="13" t="s">
        <v>11131</v>
      </c>
      <c r="F302" s="13" t="s">
        <v>5540</v>
      </c>
      <c r="G302" s="13" t="s">
        <v>4864</v>
      </c>
    </row>
    <row r="303" ht="12.75" customHeight="1">
      <c r="A303" s="13" t="s">
        <v>2147</v>
      </c>
      <c r="B303" s="13" t="s">
        <v>11136</v>
      </c>
      <c r="C303" s="13" t="s">
        <v>11146</v>
      </c>
      <c r="D303" s="2" t="s">
        <v>0</v>
      </c>
      <c r="E303" s="13" t="s">
        <v>11148</v>
      </c>
      <c r="F303" s="13" t="s">
        <v>5540</v>
      </c>
      <c r="G303" s="13" t="s">
        <v>4856</v>
      </c>
    </row>
    <row r="304" ht="12.75" customHeight="1">
      <c r="A304" s="13" t="s">
        <v>11152</v>
      </c>
      <c r="B304" s="13" t="s">
        <v>11160</v>
      </c>
      <c r="C304" s="13" t="s">
        <v>11168</v>
      </c>
      <c r="D304" s="2" t="s">
        <v>0</v>
      </c>
      <c r="E304" s="13" t="s">
        <v>11172</v>
      </c>
      <c r="F304" s="13" t="s">
        <v>5540</v>
      </c>
      <c r="G304" s="13" t="s">
        <v>4856</v>
      </c>
    </row>
    <row r="305" ht="12.75" customHeight="1">
      <c r="A305" s="13" t="s">
        <v>2142</v>
      </c>
      <c r="B305" s="13" t="s">
        <v>11177</v>
      </c>
      <c r="C305" s="13" t="s">
        <v>11187</v>
      </c>
      <c r="D305" s="2" t="s">
        <v>0</v>
      </c>
      <c r="E305" s="13" t="s">
        <v>11189</v>
      </c>
      <c r="F305" s="13" t="s">
        <v>5540</v>
      </c>
      <c r="G305" s="13" t="s">
        <v>4864</v>
      </c>
    </row>
    <row r="306" ht="12.75" customHeight="1">
      <c r="A306" s="13" t="s">
        <v>11191</v>
      </c>
      <c r="B306" s="13" t="s">
        <v>11195</v>
      </c>
      <c r="C306" s="13" t="str">
        <f>#REF!</f>
        <v>#REF!</v>
      </c>
      <c r="D306" s="2" t="s">
        <v>0</v>
      </c>
      <c r="E306" s="13" t="s">
        <v>11209</v>
      </c>
      <c r="F306" s="13" t="s">
        <v>5540</v>
      </c>
      <c r="G306" s="13" t="s">
        <v>4856</v>
      </c>
    </row>
    <row r="307" ht="12.75" customHeight="1">
      <c r="A307" s="13" t="s">
        <v>2133</v>
      </c>
      <c r="B307" s="13" t="s">
        <v>11214</v>
      </c>
      <c r="C307" s="13" t="s">
        <v>11224</v>
      </c>
      <c r="D307" s="2" t="s">
        <v>0</v>
      </c>
      <c r="E307" s="13" t="s">
        <v>11227</v>
      </c>
      <c r="F307" s="13" t="s">
        <v>5540</v>
      </c>
      <c r="G307" s="13" t="s">
        <v>4864</v>
      </c>
    </row>
    <row r="308" ht="12.75" customHeight="1">
      <c r="A308" s="13" t="s">
        <v>2132</v>
      </c>
      <c r="B308" s="13" t="s">
        <v>11232</v>
      </c>
      <c r="C308" s="13" t="s">
        <v>11243</v>
      </c>
      <c r="D308" s="2" t="s">
        <v>0</v>
      </c>
      <c r="E308" s="13" t="s">
        <v>11245</v>
      </c>
      <c r="F308" s="13" t="s">
        <v>5540</v>
      </c>
      <c r="G308" s="13" t="s">
        <v>4852</v>
      </c>
    </row>
    <row r="309" ht="12.75" customHeight="1">
      <c r="A309" s="13" t="s">
        <v>2129</v>
      </c>
      <c r="B309" s="13" t="s">
        <v>11250</v>
      </c>
      <c r="C309" s="13" t="s">
        <v>11259</v>
      </c>
      <c r="D309" s="2" t="s">
        <v>0</v>
      </c>
      <c r="E309" s="13" t="s">
        <v>11261</v>
      </c>
      <c r="F309" s="13" t="s">
        <v>5540</v>
      </c>
      <c r="G309" s="13" t="s">
        <v>4864</v>
      </c>
    </row>
    <row r="310" ht="12.75" customHeight="1">
      <c r="A310" s="2" t="s">
        <v>2128</v>
      </c>
      <c r="B310" s="13" t="s">
        <v>11265</v>
      </c>
      <c r="C310" s="13" t="s">
        <v>11274</v>
      </c>
      <c r="D310" s="2" t="s">
        <v>0</v>
      </c>
      <c r="E310" s="13" t="s">
        <v>11276</v>
      </c>
      <c r="F310" s="13" t="s">
        <v>5540</v>
      </c>
      <c r="G310" s="13" t="s">
        <v>4856</v>
      </c>
    </row>
    <row r="311" ht="12.75" customHeight="1">
      <c r="A311" s="13" t="s">
        <v>11279</v>
      </c>
      <c r="B311" s="13" t="s">
        <v>11282</v>
      </c>
      <c r="C311" s="13" t="s">
        <v>11292</v>
      </c>
      <c r="D311" s="2" t="s">
        <v>0</v>
      </c>
      <c r="E311" s="13" t="s">
        <v>11294</v>
      </c>
      <c r="F311" s="13" t="s">
        <v>5540</v>
      </c>
      <c r="G311" s="13" t="s">
        <v>4864</v>
      </c>
    </row>
    <row r="312" ht="12.75" customHeight="1">
      <c r="A312" s="2" t="s">
        <v>2119</v>
      </c>
      <c r="B312" s="13" t="s">
        <v>11299</v>
      </c>
      <c r="C312" s="13" t="s">
        <v>11306</v>
      </c>
      <c r="D312" s="2" t="s">
        <v>0</v>
      </c>
      <c r="E312" s="13" t="s">
        <v>11308</v>
      </c>
      <c r="F312" s="13" t="s">
        <v>5540</v>
      </c>
      <c r="G312" s="13" t="s">
        <v>4856</v>
      </c>
    </row>
    <row r="313" ht="12.75" customHeight="1">
      <c r="A313" s="13" t="s">
        <v>2116</v>
      </c>
      <c r="B313" s="13" t="s">
        <v>11313</v>
      </c>
      <c r="C313" s="13" t="s">
        <v>11322</v>
      </c>
      <c r="D313" s="2" t="s">
        <v>0</v>
      </c>
      <c r="E313" s="13" t="s">
        <v>11324</v>
      </c>
      <c r="F313" s="13" t="s">
        <v>5540</v>
      </c>
      <c r="G313" s="13" t="s">
        <v>4852</v>
      </c>
    </row>
    <row r="314" ht="12.75" customHeight="1">
      <c r="A314" s="13" t="s">
        <v>2113</v>
      </c>
      <c r="B314" s="13" t="s">
        <v>11329</v>
      </c>
      <c r="C314" s="13" t="s">
        <v>11339</v>
      </c>
      <c r="D314" s="2" t="s">
        <v>0</v>
      </c>
      <c r="E314" s="13" t="s">
        <v>11341</v>
      </c>
      <c r="F314" s="13" t="s">
        <v>5540</v>
      </c>
      <c r="G314" s="13" t="s">
        <v>4852</v>
      </c>
    </row>
    <row r="315" ht="12.75" customHeight="1">
      <c r="A315" s="13" t="s">
        <v>2111</v>
      </c>
      <c r="B315" s="13" t="s">
        <v>11346</v>
      </c>
      <c r="C315" s="13" t="s">
        <v>11352</v>
      </c>
      <c r="D315" s="2" t="s">
        <v>0</v>
      </c>
      <c r="E315" s="13" t="s">
        <v>11353</v>
      </c>
      <c r="F315" s="13" t="s">
        <v>5540</v>
      </c>
      <c r="G315" s="13" t="s">
        <v>4856</v>
      </c>
    </row>
    <row r="316" ht="12.75" customHeight="1">
      <c r="A316" s="13" t="s">
        <v>11356</v>
      </c>
      <c r="B316" s="13" t="s">
        <v>11359</v>
      </c>
      <c r="C316" s="13" t="s">
        <v>11368</v>
      </c>
      <c r="D316" s="2" t="s">
        <v>0</v>
      </c>
      <c r="E316" s="13" t="s">
        <v>11370</v>
      </c>
      <c r="F316" s="13" t="s">
        <v>5540</v>
      </c>
      <c r="G316" s="13" t="s">
        <v>4856</v>
      </c>
    </row>
    <row r="317" ht="12.75" customHeight="1">
      <c r="A317" s="13" t="s">
        <v>2104</v>
      </c>
      <c r="B317" s="13" t="s">
        <v>11376</v>
      </c>
      <c r="C317" s="13" t="s">
        <v>11390</v>
      </c>
      <c r="D317" s="2" t="s">
        <v>0</v>
      </c>
      <c r="E317" s="13" t="s">
        <v>11392</v>
      </c>
      <c r="F317" s="13" t="s">
        <v>5540</v>
      </c>
      <c r="G317" s="13" t="s">
        <v>4856</v>
      </c>
    </row>
    <row r="318" ht="12.75" customHeight="1">
      <c r="A318" s="13" t="s">
        <v>2102</v>
      </c>
      <c r="B318" s="13" t="s">
        <v>11398</v>
      </c>
      <c r="C318" s="13" t="s">
        <v>11411</v>
      </c>
      <c r="D318" s="2" t="s">
        <v>0</v>
      </c>
      <c r="E318" s="13" t="s">
        <v>11414</v>
      </c>
      <c r="F318" s="13" t="s">
        <v>5540</v>
      </c>
      <c r="G318" s="13" t="s">
        <v>4852</v>
      </c>
    </row>
    <row r="319" ht="12.75" customHeight="1">
      <c r="A319" s="13" t="s">
        <v>2096</v>
      </c>
      <c r="B319" s="13" t="s">
        <v>11419</v>
      </c>
      <c r="C319" s="13" t="s">
        <v>11429</v>
      </c>
      <c r="D319" s="2" t="s">
        <v>0</v>
      </c>
      <c r="E319" s="13" t="s">
        <v>11431</v>
      </c>
      <c r="F319" s="13" t="s">
        <v>5540</v>
      </c>
      <c r="G319" s="13" t="s">
        <v>4856</v>
      </c>
    </row>
    <row r="320" ht="12.75" customHeight="1">
      <c r="A320" s="2" t="s">
        <v>2093</v>
      </c>
      <c r="B320" s="13" t="s">
        <v>5510</v>
      </c>
      <c r="C320" s="13" t="s">
        <v>11439</v>
      </c>
      <c r="D320" s="2" t="s">
        <v>0</v>
      </c>
      <c r="E320" s="13" t="s">
        <v>11441</v>
      </c>
      <c r="F320" s="13" t="s">
        <v>5540</v>
      </c>
      <c r="G320" s="13" t="s">
        <v>4864</v>
      </c>
    </row>
    <row r="321" ht="12.75" customHeight="1">
      <c r="A321" s="13" t="s">
        <v>2093</v>
      </c>
      <c r="B321" s="13" t="s">
        <v>11444</v>
      </c>
      <c r="C321" s="13" t="s">
        <v>11454</v>
      </c>
      <c r="D321" s="2" t="s">
        <v>0</v>
      </c>
      <c r="E321" s="13" t="s">
        <v>11456</v>
      </c>
      <c r="F321" s="13" t="s">
        <v>5540</v>
      </c>
      <c r="G321" s="13" t="s">
        <v>4864</v>
      </c>
    </row>
    <row r="322" ht="12.75" customHeight="1">
      <c r="A322" s="13" t="s">
        <v>2089</v>
      </c>
      <c r="B322" s="13" t="s">
        <v>11461</v>
      </c>
      <c r="C322" s="13" t="s">
        <v>11471</v>
      </c>
      <c r="D322" s="2" t="s">
        <v>0</v>
      </c>
      <c r="E322" s="13" t="s">
        <v>11473</v>
      </c>
      <c r="F322" s="13" t="s">
        <v>5540</v>
      </c>
      <c r="G322" s="13" t="s">
        <v>4856</v>
      </c>
    </row>
    <row r="323" ht="12.75" customHeight="1">
      <c r="A323" s="13" t="s">
        <v>11476</v>
      </c>
      <c r="B323" s="13" t="s">
        <v>11479</v>
      </c>
      <c r="C323" s="13" t="s">
        <v>11489</v>
      </c>
      <c r="D323" s="2" t="s">
        <v>0</v>
      </c>
      <c r="E323" s="13" t="s">
        <v>11491</v>
      </c>
      <c r="F323" s="13" t="s">
        <v>5540</v>
      </c>
      <c r="G323" s="13" t="s">
        <v>4856</v>
      </c>
    </row>
    <row r="324" ht="12.75" customHeight="1">
      <c r="A324" s="2" t="s">
        <v>2083</v>
      </c>
      <c r="B324" s="13" t="s">
        <v>11497</v>
      </c>
      <c r="C324" s="13" t="s">
        <v>11508</v>
      </c>
      <c r="D324" s="2" t="s">
        <v>0</v>
      </c>
      <c r="E324" s="13" t="s">
        <v>11510</v>
      </c>
      <c r="F324" s="13" t="s">
        <v>5540</v>
      </c>
      <c r="G324" s="13" t="s">
        <v>4856</v>
      </c>
    </row>
    <row r="325" ht="12.75" customHeight="1">
      <c r="A325" s="13" t="s">
        <v>11513</v>
      </c>
      <c r="B325" s="13" t="s">
        <v>11516</v>
      </c>
      <c r="C325" s="13" t="s">
        <v>11526</v>
      </c>
      <c r="D325" s="2" t="s">
        <v>0</v>
      </c>
      <c r="E325" s="13" t="s">
        <v>11528</v>
      </c>
      <c r="F325" s="13" t="s">
        <v>5540</v>
      </c>
      <c r="G325" s="13" t="s">
        <v>4864</v>
      </c>
    </row>
    <row r="326" ht="12.75" customHeight="1">
      <c r="A326" s="13" t="s">
        <v>2078</v>
      </c>
      <c r="B326" s="13" t="s">
        <v>11533</v>
      </c>
      <c r="C326" s="13" t="s">
        <v>11543</v>
      </c>
      <c r="D326" s="2" t="s">
        <v>0</v>
      </c>
      <c r="E326" s="13" t="s">
        <v>11545</v>
      </c>
      <c r="F326" s="13" t="s">
        <v>5540</v>
      </c>
      <c r="G326" s="13" t="s">
        <v>4856</v>
      </c>
    </row>
    <row r="327" ht="12.75" customHeight="1">
      <c r="A327" s="13" t="s">
        <v>2075</v>
      </c>
      <c r="B327" s="13" t="s">
        <v>11550</v>
      </c>
      <c r="C327" s="13" t="s">
        <v>11560</v>
      </c>
      <c r="D327" s="2" t="s">
        <v>0</v>
      </c>
      <c r="E327" s="13" t="s">
        <v>11562</v>
      </c>
      <c r="F327" s="13" t="s">
        <v>5540</v>
      </c>
      <c r="G327" s="13" t="s">
        <v>4886</v>
      </c>
    </row>
    <row r="328" ht="12.75" customHeight="1">
      <c r="A328" s="13" t="s">
        <v>2073</v>
      </c>
      <c r="B328" s="13" t="s">
        <v>11566</v>
      </c>
      <c r="C328" s="13" t="s">
        <v>11577</v>
      </c>
      <c r="D328" s="2" t="s">
        <v>0</v>
      </c>
      <c r="E328" s="13" t="s">
        <v>11579</v>
      </c>
      <c r="F328" s="13" t="s">
        <v>5540</v>
      </c>
      <c r="G328" s="13" t="s">
        <v>4852</v>
      </c>
    </row>
    <row r="329" ht="12.75" customHeight="1">
      <c r="A329" s="13" t="s">
        <v>2070</v>
      </c>
      <c r="B329" s="13" t="s">
        <v>11584</v>
      </c>
      <c r="C329" s="13" t="s">
        <v>11592</v>
      </c>
      <c r="D329" s="2" t="s">
        <v>0</v>
      </c>
      <c r="E329" s="13" t="s">
        <v>11594</v>
      </c>
      <c r="F329" s="13" t="s">
        <v>5540</v>
      </c>
      <c r="G329" s="13" t="s">
        <v>4856</v>
      </c>
    </row>
    <row r="330" ht="12.75" customHeight="1">
      <c r="A330" s="13" t="s">
        <v>11597</v>
      </c>
      <c r="B330" s="13" t="s">
        <v>11601</v>
      </c>
      <c r="C330" s="13" t="s">
        <v>11612</v>
      </c>
      <c r="D330" s="2" t="s">
        <v>0</v>
      </c>
      <c r="E330" s="13" t="s">
        <v>11614</v>
      </c>
      <c r="F330" s="13" t="s">
        <v>5540</v>
      </c>
      <c r="G330" s="13" t="s">
        <v>4856</v>
      </c>
    </row>
    <row r="331" ht="12.75" customHeight="1">
      <c r="A331" s="13" t="s">
        <v>11617</v>
      </c>
      <c r="B331" s="13" t="s">
        <v>11619</v>
      </c>
      <c r="C331" s="13" t="s">
        <v>11628</v>
      </c>
      <c r="D331" s="2" t="s">
        <v>0</v>
      </c>
      <c r="E331" s="13" t="s">
        <v>11630</v>
      </c>
      <c r="F331" s="13" t="s">
        <v>5540</v>
      </c>
      <c r="G331" s="13" t="s">
        <v>4856</v>
      </c>
    </row>
    <row r="332" ht="12.75" customHeight="1">
      <c r="A332" s="13" t="s">
        <v>2062</v>
      </c>
      <c r="B332" s="13" t="s">
        <v>11635</v>
      </c>
      <c r="C332" s="13" t="s">
        <v>11644</v>
      </c>
      <c r="D332" s="2" t="s">
        <v>0</v>
      </c>
      <c r="E332" s="13" t="s">
        <v>11646</v>
      </c>
      <c r="F332" s="13" t="s">
        <v>5540</v>
      </c>
      <c r="G332" s="13" t="s">
        <v>4864</v>
      </c>
    </row>
    <row r="333" ht="12.75" customHeight="1">
      <c r="A333" s="13" t="s">
        <v>2061</v>
      </c>
      <c r="B333" s="13" t="s">
        <v>11650</v>
      </c>
      <c r="C333" s="13" t="s">
        <v>11662</v>
      </c>
      <c r="D333" s="2" t="s">
        <v>0</v>
      </c>
      <c r="E333" s="13" t="s">
        <v>11664</v>
      </c>
      <c r="F333" s="13" t="s">
        <v>5540</v>
      </c>
      <c r="G333" s="13" t="s">
        <v>4864</v>
      </c>
    </row>
    <row r="334" ht="12.75" customHeight="1">
      <c r="A334" s="13" t="s">
        <v>11667</v>
      </c>
      <c r="B334" s="13" t="s">
        <v>11670</v>
      </c>
      <c r="C334" s="13" t="s">
        <v>11680</v>
      </c>
      <c r="D334" s="2" t="s">
        <v>0</v>
      </c>
      <c r="E334" s="13" t="s">
        <v>11682</v>
      </c>
      <c r="F334" s="13" t="s">
        <v>11683</v>
      </c>
      <c r="G334" s="13" t="s">
        <v>4856</v>
      </c>
    </row>
    <row r="335" ht="12.75" customHeight="1">
      <c r="A335" s="13" t="s">
        <v>2055</v>
      </c>
      <c r="B335" s="13" t="s">
        <v>11689</v>
      </c>
      <c r="C335" s="13" t="s">
        <v>11701</v>
      </c>
      <c r="D335" s="2" t="s">
        <v>0</v>
      </c>
      <c r="E335" s="13" t="s">
        <v>11703</v>
      </c>
      <c r="F335" s="13" t="s">
        <v>5540</v>
      </c>
      <c r="G335" s="13" t="s">
        <v>4852</v>
      </c>
    </row>
    <row r="336" ht="12.75" customHeight="1">
      <c r="A336" s="13" t="s">
        <v>11706</v>
      </c>
      <c r="B336" s="13" t="s">
        <v>11710</v>
      </c>
      <c r="C336" s="13" t="str">
        <f>#REF!</f>
        <v>#REF!</v>
      </c>
      <c r="D336" s="2" t="s">
        <v>0</v>
      </c>
      <c r="E336" s="13" t="s">
        <v>11726</v>
      </c>
      <c r="F336" s="13" t="s">
        <v>5540</v>
      </c>
      <c r="G336" s="13" t="s">
        <v>4856</v>
      </c>
    </row>
    <row r="337" ht="12.75" customHeight="1">
      <c r="A337" s="13" t="s">
        <v>11729</v>
      </c>
      <c r="B337" s="13" t="s">
        <v>11736</v>
      </c>
      <c r="C337" s="13" t="s">
        <v>11745</v>
      </c>
      <c r="D337" s="2" t="s">
        <v>0</v>
      </c>
      <c r="E337" s="13" t="s">
        <v>11747</v>
      </c>
      <c r="F337" s="13" t="s">
        <v>5540</v>
      </c>
      <c r="G337" s="13" t="s">
        <v>4852</v>
      </c>
    </row>
    <row r="338" ht="12.75" customHeight="1">
      <c r="A338" s="13" t="s">
        <v>2036</v>
      </c>
      <c r="B338" s="13" t="s">
        <v>11753</v>
      </c>
      <c r="C338" s="13" t="s">
        <v>11761</v>
      </c>
      <c r="D338" s="2" t="s">
        <v>0</v>
      </c>
      <c r="E338" s="13" t="s">
        <v>11765</v>
      </c>
      <c r="F338" s="13" t="s">
        <v>5540</v>
      </c>
      <c r="G338" s="13" t="s">
        <v>4856</v>
      </c>
    </row>
    <row r="339" ht="12.75" customHeight="1">
      <c r="A339" s="13" t="s">
        <v>11769</v>
      </c>
      <c r="B339" s="13" t="s">
        <v>11773</v>
      </c>
      <c r="C339" s="13" t="s">
        <v>11785</v>
      </c>
      <c r="D339" s="2" t="s">
        <v>0</v>
      </c>
      <c r="E339" s="13" t="s">
        <v>11790</v>
      </c>
      <c r="F339" s="13" t="s">
        <v>5540</v>
      </c>
      <c r="G339" s="13" t="s">
        <v>4856</v>
      </c>
    </row>
    <row r="340" ht="12.75" customHeight="1">
      <c r="A340" s="13" t="s">
        <v>2029</v>
      </c>
      <c r="B340" s="13" t="s">
        <v>11795</v>
      </c>
      <c r="C340" s="13" t="s">
        <v>11808</v>
      </c>
      <c r="D340" s="2" t="s">
        <v>0</v>
      </c>
      <c r="E340" s="13" t="s">
        <v>11811</v>
      </c>
      <c r="F340" s="13" t="s">
        <v>5540</v>
      </c>
      <c r="G340" s="13" t="s">
        <v>4852</v>
      </c>
    </row>
    <row r="341" ht="12.75" customHeight="1">
      <c r="A341" s="13" t="s">
        <v>2026</v>
      </c>
      <c r="B341" s="13" t="s">
        <v>11817</v>
      </c>
      <c r="C341" s="13" t="s">
        <v>11833</v>
      </c>
      <c r="D341" s="2" t="s">
        <v>0</v>
      </c>
      <c r="E341" s="13" t="s">
        <v>11837</v>
      </c>
      <c r="F341" s="13" t="s">
        <v>5540</v>
      </c>
      <c r="G341" s="13" t="s">
        <v>4856</v>
      </c>
    </row>
    <row r="342" ht="12.75" customHeight="1">
      <c r="A342" s="13" t="s">
        <v>2023</v>
      </c>
      <c r="B342" s="13" t="s">
        <v>11842</v>
      </c>
      <c r="C342" s="13" t="s">
        <v>11851</v>
      </c>
      <c r="D342" s="2" t="s">
        <v>0</v>
      </c>
      <c r="E342" s="13" t="s">
        <v>11853</v>
      </c>
      <c r="F342" s="13" t="s">
        <v>5540</v>
      </c>
      <c r="G342" s="13" t="s">
        <v>4864</v>
      </c>
    </row>
    <row r="343" ht="12.75" customHeight="1">
      <c r="A343" s="13" t="s">
        <v>2021</v>
      </c>
      <c r="B343" s="13" t="s">
        <v>11858</v>
      </c>
      <c r="C343" s="13" t="s">
        <v>11867</v>
      </c>
      <c r="D343" s="2" t="s">
        <v>0</v>
      </c>
      <c r="E343" s="13" t="s">
        <v>11869</v>
      </c>
      <c r="F343" s="13" t="s">
        <v>5540</v>
      </c>
      <c r="G343" s="13" t="s">
        <v>4864</v>
      </c>
    </row>
    <row r="344" ht="12.75" customHeight="1">
      <c r="A344" s="13" t="s">
        <v>2018</v>
      </c>
      <c r="B344" s="13" t="s">
        <v>11874</v>
      </c>
      <c r="C344" s="13" t="s">
        <v>11884</v>
      </c>
      <c r="D344" s="2" t="s">
        <v>0</v>
      </c>
      <c r="E344" s="13" t="s">
        <v>11886</v>
      </c>
      <c r="F344" s="13" t="s">
        <v>5540</v>
      </c>
      <c r="G344" s="13" t="s">
        <v>4864</v>
      </c>
    </row>
    <row r="345" ht="12.75" customHeight="1">
      <c r="A345" s="13" t="s">
        <v>11889</v>
      </c>
      <c r="B345" s="13" t="s">
        <v>11891</v>
      </c>
      <c r="C345" s="13" t="s">
        <v>11903</v>
      </c>
      <c r="D345" s="2" t="s">
        <v>0</v>
      </c>
      <c r="E345" s="13" t="s">
        <v>11905</v>
      </c>
      <c r="F345" s="13" t="s">
        <v>5540</v>
      </c>
      <c r="G345" s="13" t="s">
        <v>4864</v>
      </c>
    </row>
    <row r="346" ht="12.75" customHeight="1">
      <c r="A346" s="13" t="s">
        <v>2013</v>
      </c>
      <c r="B346" s="13" t="s">
        <v>11911</v>
      </c>
      <c r="C346" s="13" t="s">
        <v>11922</v>
      </c>
      <c r="D346" s="2" t="s">
        <v>0</v>
      </c>
      <c r="E346" s="13" t="s">
        <v>11925</v>
      </c>
      <c r="F346" s="13" t="s">
        <v>5540</v>
      </c>
      <c r="G346" s="13" t="s">
        <v>4864</v>
      </c>
    </row>
    <row r="347" ht="12.75" customHeight="1">
      <c r="A347" s="13" t="s">
        <v>11928</v>
      </c>
      <c r="B347" s="13" t="s">
        <v>11934</v>
      </c>
      <c r="C347" s="13" t="s">
        <v>11941</v>
      </c>
      <c r="D347" s="2" t="s">
        <v>0</v>
      </c>
      <c r="E347" s="13" t="s">
        <v>11944</v>
      </c>
      <c r="F347" s="13" t="s">
        <v>5540</v>
      </c>
      <c r="G347" s="13" t="s">
        <v>4856</v>
      </c>
    </row>
    <row r="348" ht="12.75" customHeight="1">
      <c r="A348" s="13" t="s">
        <v>2007</v>
      </c>
      <c r="B348" s="13" t="s">
        <v>11949</v>
      </c>
      <c r="C348" s="13" t="s">
        <v>11964</v>
      </c>
      <c r="D348" s="2" t="s">
        <v>0</v>
      </c>
      <c r="E348" s="13" t="s">
        <v>11966</v>
      </c>
      <c r="F348" s="13" t="s">
        <v>5540</v>
      </c>
      <c r="G348" s="13" t="s">
        <v>4856</v>
      </c>
    </row>
    <row r="349" ht="12.75" customHeight="1">
      <c r="A349" s="13" t="s">
        <v>2004</v>
      </c>
      <c r="B349" s="13" t="s">
        <v>11971</v>
      </c>
      <c r="C349" s="13" t="s">
        <v>11981</v>
      </c>
      <c r="D349" s="2" t="s">
        <v>0</v>
      </c>
      <c r="E349" s="13" t="s">
        <v>11983</v>
      </c>
      <c r="F349" s="13" t="s">
        <v>5540</v>
      </c>
      <c r="G349" s="13" t="s">
        <v>4856</v>
      </c>
    </row>
    <row r="350" ht="12.75" customHeight="1">
      <c r="A350" s="13" t="s">
        <v>2001</v>
      </c>
      <c r="B350" s="13" t="s">
        <v>11988</v>
      </c>
      <c r="C350" s="13" t="s">
        <v>11998</v>
      </c>
      <c r="D350" s="2" t="s">
        <v>0</v>
      </c>
      <c r="E350" s="13" t="s">
        <v>12000</v>
      </c>
      <c r="F350" s="13" t="s">
        <v>11683</v>
      </c>
      <c r="G350" s="13" t="s">
        <v>4856</v>
      </c>
    </row>
    <row r="351" ht="12.75" customHeight="1">
      <c r="A351" s="13" t="s">
        <v>1998</v>
      </c>
      <c r="B351" s="13" t="s">
        <v>12004</v>
      </c>
      <c r="C351" s="13" t="s">
        <v>12012</v>
      </c>
      <c r="D351" s="2" t="s">
        <v>0</v>
      </c>
      <c r="E351" s="13" t="s">
        <v>12014</v>
      </c>
      <c r="F351" s="13" t="s">
        <v>5540</v>
      </c>
      <c r="G351" s="13" t="s">
        <v>4864</v>
      </c>
    </row>
    <row r="352" ht="12.75" customHeight="1">
      <c r="A352" s="13" t="s">
        <v>12017</v>
      </c>
      <c r="B352" s="13" t="s">
        <v>12019</v>
      </c>
      <c r="C352" s="13" t="s">
        <v>12028</v>
      </c>
      <c r="D352" s="2" t="s">
        <v>0</v>
      </c>
      <c r="E352" s="13" t="s">
        <v>12030</v>
      </c>
      <c r="F352" s="13" t="s">
        <v>5540</v>
      </c>
      <c r="G352" s="13" t="s">
        <v>4864</v>
      </c>
    </row>
    <row r="353" ht="12.75" customHeight="1">
      <c r="A353" s="13" t="s">
        <v>1986</v>
      </c>
      <c r="B353" s="13" t="s">
        <v>12035</v>
      </c>
      <c r="C353" s="13" t="s">
        <v>12041</v>
      </c>
      <c r="D353" s="2" t="s">
        <v>0</v>
      </c>
      <c r="E353" s="13" t="s">
        <v>12042</v>
      </c>
      <c r="F353" s="13" t="s">
        <v>5540</v>
      </c>
      <c r="G353" s="13" t="s">
        <v>4856</v>
      </c>
    </row>
    <row r="354" ht="12.75" customHeight="1">
      <c r="A354" s="13" t="s">
        <v>1983</v>
      </c>
      <c r="B354" s="13" t="s">
        <v>12047</v>
      </c>
      <c r="C354" s="13" t="s">
        <v>12057</v>
      </c>
      <c r="D354" s="2" t="s">
        <v>0</v>
      </c>
      <c r="E354" s="13" t="s">
        <v>12059</v>
      </c>
      <c r="F354" s="13" t="s">
        <v>5540</v>
      </c>
      <c r="G354" s="13" t="s">
        <v>4856</v>
      </c>
    </row>
    <row r="355" ht="12.75" customHeight="1">
      <c r="A355" s="13" t="s">
        <v>1981</v>
      </c>
      <c r="B355" s="13" t="s">
        <v>12064</v>
      </c>
      <c r="C355" s="13" t="s">
        <v>12072</v>
      </c>
      <c r="D355" s="2" t="s">
        <v>0</v>
      </c>
      <c r="E355" s="13" t="s">
        <v>12074</v>
      </c>
      <c r="F355" s="13" t="s">
        <v>5540</v>
      </c>
      <c r="G355" s="13" t="s">
        <v>4864</v>
      </c>
    </row>
    <row r="356" ht="12.75" customHeight="1">
      <c r="A356" s="13" t="s">
        <v>12077</v>
      </c>
      <c r="B356" s="13" t="s">
        <v>12081</v>
      </c>
      <c r="C356" s="13" t="str">
        <f>#REF!</f>
        <v>#REF!</v>
      </c>
      <c r="D356" s="2" t="s">
        <v>0</v>
      </c>
      <c r="E356" s="13" t="s">
        <v>12097</v>
      </c>
      <c r="F356" s="13" t="s">
        <v>5540</v>
      </c>
      <c r="G356" s="13" t="s">
        <v>4864</v>
      </c>
    </row>
    <row r="357" ht="12.75" customHeight="1">
      <c r="A357" s="13" t="s">
        <v>1971</v>
      </c>
      <c r="B357" s="13" t="s">
        <v>12102</v>
      </c>
      <c r="C357" s="13" t="s">
        <v>12110</v>
      </c>
      <c r="D357" s="2" t="s">
        <v>0</v>
      </c>
      <c r="E357" s="13" t="s">
        <v>12112</v>
      </c>
      <c r="F357" s="13" t="s">
        <v>5540</v>
      </c>
      <c r="G357" s="13" t="s">
        <v>4864</v>
      </c>
    </row>
    <row r="358" ht="12.75" customHeight="1">
      <c r="A358" s="13" t="s">
        <v>1969</v>
      </c>
      <c r="B358" s="13" t="s">
        <v>12117</v>
      </c>
      <c r="C358" s="13" t="s">
        <v>12128</v>
      </c>
      <c r="D358" s="2" t="s">
        <v>0</v>
      </c>
      <c r="E358" s="13" t="s">
        <v>12130</v>
      </c>
      <c r="F358" s="13" t="s">
        <v>5540</v>
      </c>
      <c r="G358" s="13" t="s">
        <v>4864</v>
      </c>
    </row>
    <row r="359" ht="12.75" customHeight="1">
      <c r="A359" s="13" t="s">
        <v>1966</v>
      </c>
      <c r="B359" s="13" t="s">
        <v>12134</v>
      </c>
      <c r="C359" s="13" t="s">
        <v>12138</v>
      </c>
      <c r="D359" s="2" t="s">
        <v>0</v>
      </c>
      <c r="E359" s="13" t="s">
        <v>12140</v>
      </c>
      <c r="F359" s="13" t="s">
        <v>5540</v>
      </c>
      <c r="G359" s="13" t="s">
        <v>4856</v>
      </c>
    </row>
    <row r="360" ht="12.75" customHeight="1">
      <c r="A360" s="13" t="s">
        <v>1963</v>
      </c>
      <c r="B360" s="13" t="s">
        <v>12145</v>
      </c>
      <c r="C360" s="13" t="s">
        <v>12155</v>
      </c>
      <c r="D360" s="2" t="s">
        <v>0</v>
      </c>
      <c r="E360" s="13" t="s">
        <v>12157</v>
      </c>
      <c r="F360" s="13" t="s">
        <v>5540</v>
      </c>
      <c r="G360" s="13" t="s">
        <v>4856</v>
      </c>
    </row>
    <row r="361" ht="12.75" customHeight="1">
      <c r="A361" s="13" t="s">
        <v>1959</v>
      </c>
      <c r="B361" s="13" t="s">
        <v>12162</v>
      </c>
      <c r="C361" s="13" t="s">
        <v>12176</v>
      </c>
      <c r="D361" s="2" t="s">
        <v>0</v>
      </c>
      <c r="E361" s="13" t="s">
        <v>12180</v>
      </c>
      <c r="F361" s="13" t="s">
        <v>5540</v>
      </c>
      <c r="G361" s="13" t="s">
        <v>4856</v>
      </c>
    </row>
    <row r="362" ht="12.75" customHeight="1">
      <c r="A362" s="13" t="s">
        <v>12183</v>
      </c>
      <c r="B362" s="13" t="s">
        <v>12186</v>
      </c>
      <c r="C362" s="13" t="s">
        <v>12196</v>
      </c>
      <c r="D362" s="2" t="s">
        <v>0</v>
      </c>
      <c r="E362" s="13" t="s">
        <v>12198</v>
      </c>
      <c r="F362" s="13" t="s">
        <v>5540</v>
      </c>
      <c r="G362" s="13" t="s">
        <v>4852</v>
      </c>
    </row>
    <row r="363" ht="12.75" customHeight="1">
      <c r="A363" s="13" t="s">
        <v>12201</v>
      </c>
      <c r="B363" s="13" t="s">
        <v>12203</v>
      </c>
      <c r="C363" s="13" t="s">
        <v>12215</v>
      </c>
      <c r="D363" s="2" t="s">
        <v>0</v>
      </c>
      <c r="E363" s="13" t="s">
        <v>12217</v>
      </c>
      <c r="F363" s="13" t="s">
        <v>5540</v>
      </c>
      <c r="G363" s="13" t="s">
        <v>4856</v>
      </c>
    </row>
    <row r="364" ht="12.75" customHeight="1">
      <c r="A364" s="13" t="s">
        <v>1952</v>
      </c>
      <c r="B364" s="13" t="s">
        <v>12223</v>
      </c>
      <c r="C364" s="13" t="s">
        <v>12237</v>
      </c>
      <c r="D364" s="2" t="s">
        <v>0</v>
      </c>
      <c r="E364" s="13" t="s">
        <v>12241</v>
      </c>
      <c r="F364" s="13" t="s">
        <v>5540</v>
      </c>
      <c r="G364" s="13" t="s">
        <v>4864</v>
      </c>
    </row>
    <row r="365" ht="12.75" customHeight="1">
      <c r="A365" s="13" t="s">
        <v>12244</v>
      </c>
      <c r="B365" s="13" t="s">
        <v>12246</v>
      </c>
      <c r="C365" s="13" t="s">
        <v>12255</v>
      </c>
      <c r="D365" s="2" t="s">
        <v>0</v>
      </c>
      <c r="E365" s="13" t="s">
        <v>12257</v>
      </c>
      <c r="F365" s="13" t="s">
        <v>5540</v>
      </c>
      <c r="G365" s="13" t="s">
        <v>4864</v>
      </c>
    </row>
    <row r="366" ht="12.75" customHeight="1">
      <c r="A366" s="13" t="s">
        <v>1949</v>
      </c>
      <c r="B366" s="13" t="s">
        <v>12262</v>
      </c>
      <c r="C366" s="13" t="s">
        <v>12272</v>
      </c>
      <c r="D366" s="2" t="s">
        <v>0</v>
      </c>
      <c r="E366" s="13" t="s">
        <v>12274</v>
      </c>
      <c r="F366" s="13" t="s">
        <v>5540</v>
      </c>
      <c r="G366" s="13" t="s">
        <v>4852</v>
      </c>
    </row>
    <row r="367" ht="12.75" customHeight="1">
      <c r="A367" s="13" t="s">
        <v>1942</v>
      </c>
      <c r="B367" s="13" t="s">
        <v>12279</v>
      </c>
      <c r="C367" s="13" t="s">
        <v>12286</v>
      </c>
      <c r="D367" s="2" t="s">
        <v>0</v>
      </c>
      <c r="E367" s="13" t="s">
        <v>12288</v>
      </c>
      <c r="F367" s="13" t="s">
        <v>5540</v>
      </c>
      <c r="G367" s="13" t="s">
        <v>4864</v>
      </c>
    </row>
    <row r="368" ht="12.75" customHeight="1">
      <c r="A368" s="13" t="s">
        <v>12291</v>
      </c>
      <c r="B368" s="13" t="s">
        <v>12294</v>
      </c>
      <c r="C368" s="13" t="s">
        <v>12303</v>
      </c>
      <c r="D368" s="2" t="s">
        <v>0</v>
      </c>
      <c r="E368" s="13" t="s">
        <v>12305</v>
      </c>
      <c r="F368" s="13" t="s">
        <v>9118</v>
      </c>
      <c r="G368" s="13" t="s">
        <v>4864</v>
      </c>
    </row>
    <row r="369" ht="12.75" customHeight="1">
      <c r="A369" s="13" t="s">
        <v>1936</v>
      </c>
      <c r="B369" s="13" t="s">
        <v>12309</v>
      </c>
      <c r="C369" s="13" t="s">
        <v>12321</v>
      </c>
      <c r="D369" s="2" t="s">
        <v>0</v>
      </c>
      <c r="E369" s="13" t="s">
        <v>12323</v>
      </c>
      <c r="F369" s="13" t="s">
        <v>5540</v>
      </c>
      <c r="G369" s="13" t="s">
        <v>4856</v>
      </c>
    </row>
    <row r="370" ht="12.75" customHeight="1">
      <c r="A370" s="13" t="s">
        <v>1933</v>
      </c>
      <c r="B370" s="13" t="s">
        <v>12327</v>
      </c>
      <c r="C370" s="13" t="s">
        <v>12334</v>
      </c>
      <c r="D370" s="2" t="s">
        <v>0</v>
      </c>
      <c r="E370" s="13" t="s">
        <v>12335</v>
      </c>
      <c r="F370" s="13" t="s">
        <v>5540</v>
      </c>
      <c r="G370" s="13" t="s">
        <v>4856</v>
      </c>
    </row>
    <row r="371" ht="12.75" customHeight="1">
      <c r="A371" s="13" t="s">
        <v>1930</v>
      </c>
      <c r="B371" s="13" t="s">
        <v>12340</v>
      </c>
      <c r="C371" s="13" t="s">
        <v>12350</v>
      </c>
      <c r="D371" s="2" t="s">
        <v>0</v>
      </c>
      <c r="E371" s="13" t="s">
        <v>12352</v>
      </c>
      <c r="F371" s="13" t="s">
        <v>5540</v>
      </c>
      <c r="G371" s="13" t="s">
        <v>4886</v>
      </c>
    </row>
    <row r="372" ht="12.75" customHeight="1">
      <c r="A372" s="13" t="s">
        <v>12355</v>
      </c>
      <c r="B372" s="13" t="s">
        <v>12358</v>
      </c>
      <c r="C372" s="13" t="s">
        <v>12367</v>
      </c>
      <c r="D372" s="2" t="s">
        <v>0</v>
      </c>
      <c r="E372" s="13" t="s">
        <v>12368</v>
      </c>
      <c r="F372" s="13" t="s">
        <v>5540</v>
      </c>
      <c r="G372" s="13" t="s">
        <v>4864</v>
      </c>
    </row>
    <row r="373" ht="12.75" customHeight="1">
      <c r="A373" s="13" t="s">
        <v>12371</v>
      </c>
      <c r="B373" s="13" t="s">
        <v>12374</v>
      </c>
      <c r="C373" s="13" t="s">
        <v>12384</v>
      </c>
      <c r="D373" s="2" t="s">
        <v>0</v>
      </c>
      <c r="E373" s="13" t="s">
        <v>12386</v>
      </c>
      <c r="F373" s="13" t="s">
        <v>5540</v>
      </c>
      <c r="G373" s="13" t="s">
        <v>4864</v>
      </c>
    </row>
    <row r="374" ht="12.75" customHeight="1">
      <c r="A374" s="13" t="s">
        <v>1921</v>
      </c>
      <c r="B374" s="13" t="s">
        <v>12391</v>
      </c>
      <c r="C374" s="13" t="s">
        <v>12401</v>
      </c>
      <c r="D374" s="2" t="s">
        <v>0</v>
      </c>
      <c r="E374" s="13" t="s">
        <v>12403</v>
      </c>
      <c r="F374" s="13" t="s">
        <v>5540</v>
      </c>
      <c r="G374" s="13" t="s">
        <v>4864</v>
      </c>
    </row>
    <row r="375" ht="12.75" customHeight="1">
      <c r="A375" s="13" t="s">
        <v>1918</v>
      </c>
      <c r="B375" s="13" t="s">
        <v>12408</v>
      </c>
      <c r="C375" s="13" t="s">
        <v>12418</v>
      </c>
      <c r="D375" s="2" t="s">
        <v>0</v>
      </c>
      <c r="E375" s="13" t="s">
        <v>12420</v>
      </c>
      <c r="F375" s="13" t="s">
        <v>5540</v>
      </c>
      <c r="G375" s="13" t="s">
        <v>4864</v>
      </c>
    </row>
    <row r="376" ht="12.75" customHeight="1">
      <c r="A376" s="13" t="s">
        <v>1914</v>
      </c>
      <c r="B376" s="13" t="s">
        <v>12426</v>
      </c>
      <c r="C376" s="13" t="s">
        <v>12437</v>
      </c>
      <c r="D376" s="2" t="s">
        <v>0</v>
      </c>
      <c r="E376" s="13" t="s">
        <v>12439</v>
      </c>
      <c r="F376" s="13" t="s">
        <v>5540</v>
      </c>
      <c r="G376" s="13" t="s">
        <v>4864</v>
      </c>
    </row>
    <row r="377" ht="12.75" customHeight="1">
      <c r="A377" s="13" t="s">
        <v>1911</v>
      </c>
      <c r="B377" s="13" t="s">
        <v>12444</v>
      </c>
      <c r="C377" s="13" t="s">
        <v>12451</v>
      </c>
      <c r="D377" s="2" t="s">
        <v>0</v>
      </c>
      <c r="E377" s="13" t="s">
        <v>12453</v>
      </c>
      <c r="F377" s="13" t="s">
        <v>5540</v>
      </c>
      <c r="G377" s="13" t="s">
        <v>4864</v>
      </c>
    </row>
    <row r="378" ht="12.75" customHeight="1">
      <c r="A378" s="13" t="s">
        <v>1905</v>
      </c>
      <c r="B378" s="13" t="s">
        <v>12458</v>
      </c>
      <c r="C378" s="13" t="s">
        <v>12467</v>
      </c>
      <c r="D378" s="2" t="s">
        <v>0</v>
      </c>
      <c r="E378" s="13" t="s">
        <v>12469</v>
      </c>
      <c r="F378" s="13" t="s">
        <v>5540</v>
      </c>
      <c r="G378" s="13" t="s">
        <v>4864</v>
      </c>
    </row>
    <row r="379" ht="12.75" customHeight="1">
      <c r="A379" s="13" t="s">
        <v>1902</v>
      </c>
      <c r="B379" s="13" t="s">
        <v>12474</v>
      </c>
      <c r="C379" s="13" t="s">
        <v>12484</v>
      </c>
      <c r="D379" s="2" t="s">
        <v>0</v>
      </c>
      <c r="E379" s="13" t="s">
        <v>12487</v>
      </c>
      <c r="F379" s="13" t="s">
        <v>5540</v>
      </c>
      <c r="G379" s="13" t="s">
        <v>4856</v>
      </c>
    </row>
    <row r="380" ht="12.75" customHeight="1">
      <c r="A380" s="13" t="s">
        <v>1899</v>
      </c>
      <c r="B380" s="13" t="s">
        <v>12493</v>
      </c>
      <c r="C380" s="13" t="s">
        <v>12505</v>
      </c>
      <c r="D380" s="2" t="s">
        <v>0</v>
      </c>
      <c r="E380" s="13" t="s">
        <v>12507</v>
      </c>
      <c r="F380" s="13" t="s">
        <v>5540</v>
      </c>
      <c r="G380" s="13" t="s">
        <v>4856</v>
      </c>
    </row>
    <row r="381" ht="12.75" customHeight="1">
      <c r="A381" s="13" t="s">
        <v>12510</v>
      </c>
      <c r="B381" s="13" t="s">
        <v>12514</v>
      </c>
      <c r="C381" s="13" t="s">
        <v>12527</v>
      </c>
      <c r="D381" s="2" t="s">
        <v>0</v>
      </c>
      <c r="E381" s="13" t="s">
        <v>12530</v>
      </c>
      <c r="F381" s="13" t="s">
        <v>5540</v>
      </c>
      <c r="G381" s="13" t="s">
        <v>4856</v>
      </c>
    </row>
    <row r="382" ht="12.75" customHeight="1">
      <c r="A382" s="13" t="s">
        <v>1895</v>
      </c>
      <c r="B382" s="13" t="s">
        <v>12535</v>
      </c>
      <c r="C382" s="13" t="s">
        <v>12546</v>
      </c>
      <c r="D382" s="2" t="s">
        <v>0</v>
      </c>
      <c r="E382" s="13" t="s">
        <v>12548</v>
      </c>
      <c r="F382" s="13" t="s">
        <v>5540</v>
      </c>
      <c r="G382" s="13" t="s">
        <v>4864</v>
      </c>
    </row>
    <row r="383" ht="12.75" customHeight="1">
      <c r="A383" s="13" t="s">
        <v>1893</v>
      </c>
      <c r="B383" s="13" t="s">
        <v>12553</v>
      </c>
      <c r="C383" s="13" t="s">
        <v>12563</v>
      </c>
      <c r="D383" s="2" t="s">
        <v>0</v>
      </c>
      <c r="E383" s="13" t="s">
        <v>12565</v>
      </c>
      <c r="F383" s="13" t="s">
        <v>5540</v>
      </c>
      <c r="G383" s="13" t="s">
        <v>4855</v>
      </c>
    </row>
    <row r="384" ht="12.75" customHeight="1">
      <c r="A384" s="13" t="s">
        <v>1890</v>
      </c>
      <c r="B384" s="13" t="s">
        <v>12570</v>
      </c>
      <c r="C384" s="13" t="s">
        <v>12580</v>
      </c>
      <c r="D384" s="2" t="s">
        <v>0</v>
      </c>
      <c r="E384" s="13" t="s">
        <v>12582</v>
      </c>
      <c r="F384" s="13" t="s">
        <v>5540</v>
      </c>
      <c r="G384" s="13" t="s">
        <v>4852</v>
      </c>
    </row>
    <row r="385" ht="12.75" customHeight="1">
      <c r="A385" s="13" t="s">
        <v>1887</v>
      </c>
      <c r="B385" s="13" t="s">
        <v>12587</v>
      </c>
      <c r="C385" s="13" t="s">
        <v>12597</v>
      </c>
      <c r="D385" s="2" t="s">
        <v>0</v>
      </c>
      <c r="E385" s="13" t="s">
        <v>12599</v>
      </c>
      <c r="F385" s="13" t="s">
        <v>5540</v>
      </c>
      <c r="G385" s="13" t="s">
        <v>4864</v>
      </c>
    </row>
    <row r="386" ht="12.75" customHeight="1">
      <c r="A386" s="13" t="s">
        <v>1886</v>
      </c>
      <c r="B386" s="13" t="s">
        <v>12603</v>
      </c>
      <c r="C386" s="13" t="s">
        <v>12615</v>
      </c>
      <c r="D386" s="2" t="s">
        <v>0</v>
      </c>
      <c r="E386" s="13" t="s">
        <v>12617</v>
      </c>
      <c r="F386" s="13" t="s">
        <v>5540</v>
      </c>
      <c r="G386" s="13" t="s">
        <v>4856</v>
      </c>
    </row>
    <row r="387" ht="12.75" customHeight="1">
      <c r="A387" s="13" t="s">
        <v>12620</v>
      </c>
      <c r="B387" s="13" t="s">
        <v>12623</v>
      </c>
      <c r="C387" s="13" t="s">
        <v>12633</v>
      </c>
      <c r="D387" s="2" t="s">
        <v>0</v>
      </c>
      <c r="E387" s="13" t="s">
        <v>12635</v>
      </c>
      <c r="F387" s="13" t="s">
        <v>5540</v>
      </c>
      <c r="G387" s="13" t="s">
        <v>4856</v>
      </c>
    </row>
    <row r="388" ht="12.75" customHeight="1">
      <c r="A388" s="13" t="s">
        <v>1879</v>
      </c>
      <c r="B388" s="13" t="s">
        <v>12640</v>
      </c>
      <c r="C388" s="13" t="s">
        <v>12650</v>
      </c>
      <c r="D388" s="2" t="s">
        <v>0</v>
      </c>
      <c r="E388" s="13" t="s">
        <v>12652</v>
      </c>
      <c r="F388" s="13" t="s">
        <v>5540</v>
      </c>
      <c r="G388" s="13" t="s">
        <v>4855</v>
      </c>
    </row>
    <row r="389" ht="12.75" customHeight="1">
      <c r="A389" s="13" t="s">
        <v>1876</v>
      </c>
      <c r="B389" s="13" t="s">
        <v>12658</v>
      </c>
      <c r="C389" s="13" t="s">
        <v>12671</v>
      </c>
      <c r="D389" s="2" t="s">
        <v>0</v>
      </c>
      <c r="E389" s="13" t="s">
        <v>12674</v>
      </c>
      <c r="F389" s="13" t="s">
        <v>5540</v>
      </c>
      <c r="G389" s="13" t="s">
        <v>4856</v>
      </c>
    </row>
    <row r="390" ht="12.75" customHeight="1">
      <c r="A390" s="13" t="s">
        <v>1874</v>
      </c>
      <c r="B390" s="13" t="s">
        <v>12679</v>
      </c>
      <c r="C390" s="13" t="s">
        <v>12688</v>
      </c>
      <c r="D390" s="2" t="s">
        <v>0</v>
      </c>
      <c r="E390" s="13" t="s">
        <v>12690</v>
      </c>
      <c r="F390" s="13" t="s">
        <v>5540</v>
      </c>
      <c r="G390" s="13" t="s">
        <v>4856</v>
      </c>
    </row>
    <row r="391" ht="12.75" customHeight="1">
      <c r="A391" s="13" t="s">
        <v>1871</v>
      </c>
      <c r="B391" s="13" t="s">
        <v>12695</v>
      </c>
      <c r="C391" s="13" t="s">
        <v>12705</v>
      </c>
      <c r="D391" s="2" t="s">
        <v>0</v>
      </c>
      <c r="E391" s="13" t="s">
        <v>12707</v>
      </c>
      <c r="F391" s="13" t="s">
        <v>5540</v>
      </c>
      <c r="G391" s="13" t="s">
        <v>4856</v>
      </c>
    </row>
    <row r="392" ht="12.75" customHeight="1">
      <c r="A392" s="13" t="s">
        <v>1867</v>
      </c>
      <c r="B392" s="13" t="s">
        <v>12713</v>
      </c>
      <c r="C392" s="13" t="s">
        <v>12725</v>
      </c>
      <c r="D392" s="2" t="s">
        <v>0</v>
      </c>
      <c r="E392" s="13" t="s">
        <v>12727</v>
      </c>
      <c r="F392" s="13" t="s">
        <v>5540</v>
      </c>
      <c r="G392" s="13" t="s">
        <v>4864</v>
      </c>
    </row>
    <row r="393" ht="12.75" customHeight="1">
      <c r="A393" s="13" t="s">
        <v>12730</v>
      </c>
      <c r="B393" s="13" t="s">
        <v>12733</v>
      </c>
      <c r="C393" s="13" t="s">
        <v>12747</v>
      </c>
      <c r="D393" s="2" t="s">
        <v>0</v>
      </c>
      <c r="E393" s="13" t="s">
        <v>12750</v>
      </c>
      <c r="F393" s="13" t="s">
        <v>5540</v>
      </c>
      <c r="G393" s="13" t="s">
        <v>4856</v>
      </c>
    </row>
    <row r="394" ht="12.75" customHeight="1">
      <c r="A394" s="13" t="s">
        <v>1858</v>
      </c>
      <c r="B394" s="13" t="s">
        <v>12756</v>
      </c>
      <c r="C394" s="13" t="s">
        <v>12769</v>
      </c>
      <c r="D394" s="2" t="s">
        <v>0</v>
      </c>
      <c r="E394" s="13" t="s">
        <v>12771</v>
      </c>
      <c r="F394" s="13" t="s">
        <v>5540</v>
      </c>
      <c r="G394" s="13" t="s">
        <v>4864</v>
      </c>
    </row>
    <row r="395" ht="12.75" customHeight="1">
      <c r="A395" s="13" t="s">
        <v>1856</v>
      </c>
      <c r="B395" s="13" t="s">
        <v>12776</v>
      </c>
      <c r="C395" s="13" t="s">
        <v>12781</v>
      </c>
      <c r="D395" s="2" t="s">
        <v>0</v>
      </c>
      <c r="E395" s="13" t="s">
        <v>12783</v>
      </c>
      <c r="F395" s="13" t="s">
        <v>5540</v>
      </c>
      <c r="G395" s="13" t="s">
        <v>4856</v>
      </c>
    </row>
    <row r="396" ht="12.75" customHeight="1">
      <c r="A396" s="13" t="s">
        <v>1852</v>
      </c>
      <c r="B396" s="13" t="s">
        <v>12789</v>
      </c>
      <c r="C396" s="13" t="s">
        <v>12800</v>
      </c>
      <c r="D396" s="2" t="s">
        <v>0</v>
      </c>
      <c r="E396" s="13" t="s">
        <v>12804</v>
      </c>
      <c r="F396" s="13" t="s">
        <v>5540</v>
      </c>
      <c r="G396" s="13" t="s">
        <v>4856</v>
      </c>
    </row>
    <row r="397" ht="12.75" customHeight="1">
      <c r="A397" s="13" t="s">
        <v>1846</v>
      </c>
      <c r="B397" s="13" t="s">
        <v>12809</v>
      </c>
      <c r="C397" s="13" t="s">
        <v>12816</v>
      </c>
      <c r="D397" s="2" t="s">
        <v>0</v>
      </c>
      <c r="E397" s="13" t="s">
        <v>12818</v>
      </c>
      <c r="F397" s="13" t="s">
        <v>5540</v>
      </c>
      <c r="G397" s="13" t="s">
        <v>4856</v>
      </c>
    </row>
    <row r="398" ht="12.75" customHeight="1">
      <c r="A398" s="13" t="s">
        <v>1843</v>
      </c>
      <c r="B398" s="13" t="s">
        <v>12823</v>
      </c>
      <c r="C398" s="13" t="s">
        <v>12829</v>
      </c>
      <c r="D398" s="2" t="s">
        <v>0</v>
      </c>
      <c r="E398" s="13" t="s">
        <v>12831</v>
      </c>
      <c r="F398" s="13" t="s">
        <v>5540</v>
      </c>
      <c r="G398" s="13" t="s">
        <v>4864</v>
      </c>
    </row>
    <row r="399" ht="12.75" customHeight="1">
      <c r="A399" s="13" t="s">
        <v>1836</v>
      </c>
      <c r="B399" s="13" t="s">
        <v>12837</v>
      </c>
      <c r="C399" s="13" t="s">
        <v>12851</v>
      </c>
      <c r="D399" s="2" t="s">
        <v>0</v>
      </c>
      <c r="E399" s="13" t="s">
        <v>12855</v>
      </c>
      <c r="F399" s="13" t="s">
        <v>5540</v>
      </c>
      <c r="G399" s="13" t="s">
        <v>4856</v>
      </c>
    </row>
    <row r="400" ht="12.75" customHeight="1">
      <c r="A400" s="13" t="s">
        <v>1833</v>
      </c>
      <c r="B400" s="13" t="s">
        <v>12860</v>
      </c>
      <c r="C400" s="13" t="s">
        <v>12870</v>
      </c>
      <c r="D400" s="2" t="s">
        <v>0</v>
      </c>
      <c r="E400" s="13" t="s">
        <v>12872</v>
      </c>
      <c r="F400" s="13" t="s">
        <v>5540</v>
      </c>
      <c r="G400" s="13" t="s">
        <v>4856</v>
      </c>
    </row>
    <row r="401" ht="12.75" customHeight="1">
      <c r="A401" s="13" t="s">
        <v>1825</v>
      </c>
      <c r="B401" s="13" t="s">
        <v>12877</v>
      </c>
      <c r="C401" s="13" t="s">
        <v>12887</v>
      </c>
      <c r="D401" s="2" t="s">
        <v>0</v>
      </c>
      <c r="E401" s="13" t="s">
        <v>12889</v>
      </c>
      <c r="F401" s="13" t="s">
        <v>5540</v>
      </c>
      <c r="G401" s="13" t="s">
        <v>4864</v>
      </c>
    </row>
    <row r="402" ht="12.75" customHeight="1">
      <c r="A402" s="13" t="s">
        <v>1817</v>
      </c>
      <c r="B402" s="13" t="s">
        <v>12894</v>
      </c>
      <c r="C402" s="13" t="s">
        <v>12901</v>
      </c>
      <c r="D402" s="2" t="s">
        <v>0</v>
      </c>
      <c r="E402" s="13" t="s">
        <v>12903</v>
      </c>
      <c r="F402" s="13" t="s">
        <v>5540</v>
      </c>
      <c r="G402" s="13" t="s">
        <v>4864</v>
      </c>
    </row>
    <row r="403" ht="12.75" customHeight="1">
      <c r="A403" s="2" t="s">
        <v>1815</v>
      </c>
      <c r="B403" s="13" t="s">
        <v>12908</v>
      </c>
      <c r="C403" s="13" t="s">
        <v>12917</v>
      </c>
      <c r="D403" s="2" t="s">
        <v>0</v>
      </c>
      <c r="E403" s="13" t="s">
        <v>12919</v>
      </c>
      <c r="F403" s="13" t="s">
        <v>5540</v>
      </c>
      <c r="G403" s="13" t="s">
        <v>4856</v>
      </c>
    </row>
    <row r="404" ht="12.75" customHeight="1">
      <c r="A404" s="13" t="s">
        <v>1809</v>
      </c>
      <c r="B404" s="13" t="s">
        <v>12924</v>
      </c>
      <c r="C404" s="13" t="s">
        <v>12932</v>
      </c>
      <c r="D404" s="2" t="s">
        <v>0</v>
      </c>
      <c r="E404" s="13" t="s">
        <v>12934</v>
      </c>
      <c r="F404" s="13" t="s">
        <v>5540</v>
      </c>
      <c r="G404" s="13" t="s">
        <v>4864</v>
      </c>
    </row>
    <row r="405" ht="12.75" customHeight="1">
      <c r="A405" s="13" t="s">
        <v>1806</v>
      </c>
      <c r="B405" s="13" t="s">
        <v>12939</v>
      </c>
      <c r="C405" s="13" t="s">
        <v>12949</v>
      </c>
      <c r="D405" s="2" t="s">
        <v>0</v>
      </c>
      <c r="E405" s="13" t="s">
        <v>12951</v>
      </c>
      <c r="F405" s="13" t="s">
        <v>5540</v>
      </c>
      <c r="G405" s="13" t="s">
        <v>4856</v>
      </c>
    </row>
    <row r="406" ht="12.75" customHeight="1">
      <c r="A406" s="13" t="s">
        <v>12954</v>
      </c>
      <c r="B406" s="13" t="s">
        <v>12957</v>
      </c>
      <c r="C406" s="13" t="s">
        <v>12968</v>
      </c>
      <c r="D406" s="2" t="s">
        <v>0</v>
      </c>
      <c r="E406" s="13" t="s">
        <v>12970</v>
      </c>
      <c r="F406" s="13" t="s">
        <v>5540</v>
      </c>
      <c r="G406" s="13" t="s">
        <v>4864</v>
      </c>
    </row>
    <row r="407" ht="12.75" customHeight="1">
      <c r="A407" s="13" t="s">
        <v>1796</v>
      </c>
      <c r="B407" s="13" t="s">
        <v>12975</v>
      </c>
      <c r="C407" s="13" t="s">
        <v>12984</v>
      </c>
      <c r="D407" s="2" t="s">
        <v>0</v>
      </c>
      <c r="E407" s="13" t="s">
        <v>12986</v>
      </c>
      <c r="F407" s="13" t="s">
        <v>5540</v>
      </c>
      <c r="G407" s="13" t="s">
        <v>4864</v>
      </c>
    </row>
    <row r="408" ht="12.75" customHeight="1">
      <c r="A408" s="13" t="s">
        <v>1790</v>
      </c>
      <c r="B408" s="13" t="s">
        <v>12991</v>
      </c>
      <c r="C408" s="13" t="s">
        <v>13001</v>
      </c>
      <c r="D408" s="2" t="s">
        <v>0</v>
      </c>
      <c r="E408" s="13" t="s">
        <v>13003</v>
      </c>
      <c r="F408" s="13" t="s">
        <v>5540</v>
      </c>
      <c r="G408" s="13" t="s">
        <v>4856</v>
      </c>
    </row>
    <row r="409" ht="12.75" customHeight="1">
      <c r="A409" s="13" t="s">
        <v>1787</v>
      </c>
      <c r="B409" s="13" t="s">
        <v>13008</v>
      </c>
      <c r="C409" s="13" t="s">
        <v>13016</v>
      </c>
      <c r="D409" s="2" t="s">
        <v>0</v>
      </c>
      <c r="E409" s="13" t="s">
        <v>13017</v>
      </c>
      <c r="F409" s="13" t="s">
        <v>5540</v>
      </c>
      <c r="G409" s="13" t="s">
        <v>4864</v>
      </c>
    </row>
    <row r="410" ht="12.75" customHeight="1">
      <c r="A410" s="13" t="s">
        <v>1784</v>
      </c>
      <c r="B410" s="13" t="s">
        <v>13022</v>
      </c>
      <c r="C410" s="13" t="s">
        <v>13028</v>
      </c>
      <c r="D410" s="2" t="s">
        <v>0</v>
      </c>
      <c r="E410" s="13" t="s">
        <v>13030</v>
      </c>
      <c r="F410" s="13" t="s">
        <v>5540</v>
      </c>
      <c r="G410" s="13" t="s">
        <v>4856</v>
      </c>
    </row>
    <row r="411" ht="12.75" customHeight="1">
      <c r="A411" s="13" t="s">
        <v>1781</v>
      </c>
      <c r="B411" s="13" t="s">
        <v>13035</v>
      </c>
      <c r="C411" s="13" t="s">
        <v>13045</v>
      </c>
      <c r="D411" s="2" t="s">
        <v>0</v>
      </c>
      <c r="E411" s="13" t="s">
        <v>13047</v>
      </c>
      <c r="F411" s="13" t="s">
        <v>5540</v>
      </c>
      <c r="G411" s="13" t="s">
        <v>4852</v>
      </c>
    </row>
    <row r="412" ht="12.75" customHeight="1">
      <c r="A412" s="13" t="s">
        <v>1779</v>
      </c>
      <c r="B412" s="13" t="s">
        <v>13052</v>
      </c>
      <c r="C412" s="13" t="s">
        <v>13060</v>
      </c>
      <c r="D412" s="2" t="s">
        <v>0</v>
      </c>
      <c r="E412" s="13" t="s">
        <v>13062</v>
      </c>
      <c r="F412" s="13" t="s">
        <v>9118</v>
      </c>
      <c r="G412" s="13" t="s">
        <v>4856</v>
      </c>
    </row>
    <row r="413" ht="12.75" customHeight="1">
      <c r="A413" s="13" t="s">
        <v>1772</v>
      </c>
      <c r="B413" s="13" t="s">
        <v>13068</v>
      </c>
      <c r="C413" s="13" t="s">
        <v>13085</v>
      </c>
      <c r="D413" s="2" t="s">
        <v>0</v>
      </c>
      <c r="E413" s="13" t="s">
        <v>13089</v>
      </c>
      <c r="F413" s="13" t="s">
        <v>5540</v>
      </c>
      <c r="G413" s="13" t="s">
        <v>4856</v>
      </c>
    </row>
    <row r="414" ht="12.75" customHeight="1">
      <c r="A414" s="13" t="s">
        <v>13092</v>
      </c>
      <c r="B414" s="13" t="s">
        <v>13094</v>
      </c>
      <c r="C414" s="13" t="s">
        <v>13107</v>
      </c>
      <c r="D414" s="2" t="s">
        <v>0</v>
      </c>
      <c r="E414" s="13" t="s">
        <v>13109</v>
      </c>
      <c r="F414" s="13" t="s">
        <v>5540</v>
      </c>
      <c r="G414" s="13" t="s">
        <v>4864</v>
      </c>
    </row>
    <row r="415" ht="12.75" customHeight="1">
      <c r="A415" s="13" t="s">
        <v>13111</v>
      </c>
      <c r="B415" s="13" t="s">
        <v>13114</v>
      </c>
      <c r="C415" s="13" t="str">
        <f>#REF!</f>
        <v>#REF!</v>
      </c>
      <c r="D415" s="2" t="s">
        <v>0</v>
      </c>
      <c r="E415" s="13" t="s">
        <v>13127</v>
      </c>
      <c r="F415" s="13" t="s">
        <v>5540</v>
      </c>
      <c r="G415" s="13" t="s">
        <v>4856</v>
      </c>
    </row>
    <row r="416" ht="12.75" customHeight="1">
      <c r="A416" s="13" t="s">
        <v>1764</v>
      </c>
      <c r="B416" s="13" t="s">
        <v>13131</v>
      </c>
      <c r="C416" s="13" t="s">
        <v>13140</v>
      </c>
      <c r="D416" s="2" t="s">
        <v>0</v>
      </c>
      <c r="E416" s="13" t="s">
        <v>13142</v>
      </c>
      <c r="F416" s="13" t="s">
        <v>5540</v>
      </c>
      <c r="G416" s="13" t="s">
        <v>4856</v>
      </c>
    </row>
    <row r="417" ht="12.75" customHeight="1">
      <c r="A417" s="13" t="s">
        <v>1762</v>
      </c>
      <c r="B417" s="13" t="s">
        <v>13146</v>
      </c>
      <c r="C417" s="13" t="s">
        <v>13158</v>
      </c>
      <c r="D417" s="2" t="s">
        <v>0</v>
      </c>
      <c r="E417" s="13" t="s">
        <v>13160</v>
      </c>
      <c r="F417" s="13" t="s">
        <v>5540</v>
      </c>
      <c r="G417" s="13" t="s">
        <v>4856</v>
      </c>
    </row>
    <row r="418" ht="12.75" customHeight="1">
      <c r="A418" s="13" t="s">
        <v>1759</v>
      </c>
      <c r="B418" s="13" t="s">
        <v>13166</v>
      </c>
      <c r="C418" s="13" t="s">
        <v>13180</v>
      </c>
      <c r="D418" s="2" t="s">
        <v>0</v>
      </c>
      <c r="E418" s="13" t="s">
        <v>13182</v>
      </c>
      <c r="F418" s="13" t="s">
        <v>5540</v>
      </c>
      <c r="G418" s="13" t="s">
        <v>4852</v>
      </c>
    </row>
    <row r="419" ht="12.75" customHeight="1">
      <c r="A419" s="13" t="s">
        <v>1757</v>
      </c>
      <c r="B419" s="13" t="s">
        <v>13188</v>
      </c>
      <c r="C419" s="13" t="s">
        <v>13205</v>
      </c>
      <c r="D419" s="2" t="s">
        <v>0</v>
      </c>
      <c r="E419" s="13" t="s">
        <v>13209</v>
      </c>
      <c r="F419" s="13" t="s">
        <v>5540</v>
      </c>
      <c r="G419" s="13" t="s">
        <v>4856</v>
      </c>
    </row>
    <row r="420" ht="12.75" customHeight="1">
      <c r="A420" s="13" t="s">
        <v>1754</v>
      </c>
      <c r="B420" s="13" t="s">
        <v>13214</v>
      </c>
      <c r="C420" s="13" t="s">
        <v>13223</v>
      </c>
      <c r="D420" s="2" t="s">
        <v>0</v>
      </c>
      <c r="E420" s="13" t="s">
        <v>13225</v>
      </c>
      <c r="F420" s="13" t="s">
        <v>5540</v>
      </c>
      <c r="G420" s="13" t="s">
        <v>4856</v>
      </c>
    </row>
    <row r="421" ht="12.75" customHeight="1">
      <c r="A421" s="2" t="s">
        <v>1752</v>
      </c>
      <c r="B421" s="13" t="s">
        <v>5510</v>
      </c>
      <c r="C421" s="13" t="s">
        <v>13232</v>
      </c>
      <c r="D421" s="2" t="s">
        <v>0</v>
      </c>
      <c r="E421" s="13" t="s">
        <v>13234</v>
      </c>
      <c r="F421" s="13" t="s">
        <v>5540</v>
      </c>
      <c r="G421" s="13" t="s">
        <v>4856</v>
      </c>
    </row>
    <row r="422" ht="12.75" customHeight="1">
      <c r="A422" s="13" t="s">
        <v>1752</v>
      </c>
      <c r="B422" s="13" t="s">
        <v>13236</v>
      </c>
      <c r="C422" s="13" t="s">
        <v>13246</v>
      </c>
      <c r="D422" s="2" t="s">
        <v>0</v>
      </c>
      <c r="E422" s="13" t="s">
        <v>13248</v>
      </c>
      <c r="F422" s="13" t="s">
        <v>5540</v>
      </c>
      <c r="G422" s="13" t="s">
        <v>4856</v>
      </c>
    </row>
    <row r="423" ht="12.75" customHeight="1">
      <c r="A423" s="13" t="s">
        <v>1750</v>
      </c>
      <c r="B423" s="13" t="s">
        <v>13254</v>
      </c>
      <c r="C423" s="13" t="s">
        <v>13266</v>
      </c>
      <c r="D423" s="2" t="s">
        <v>0</v>
      </c>
      <c r="E423" s="13" t="s">
        <v>13268</v>
      </c>
      <c r="F423" s="13" t="s">
        <v>5540</v>
      </c>
      <c r="G423" s="13" t="s">
        <v>4886</v>
      </c>
    </row>
    <row r="424" ht="12.75" customHeight="1">
      <c r="A424" s="13" t="s">
        <v>1748</v>
      </c>
      <c r="B424" s="13" t="s">
        <v>13273</v>
      </c>
      <c r="C424" s="13" t="s">
        <v>13284</v>
      </c>
      <c r="D424" s="2" t="s">
        <v>0</v>
      </c>
      <c r="E424" s="13" t="s">
        <v>13286</v>
      </c>
      <c r="F424" s="13" t="s">
        <v>5540</v>
      </c>
      <c r="G424" s="13" t="s">
        <v>4856</v>
      </c>
    </row>
    <row r="425" ht="12.75" customHeight="1">
      <c r="A425" s="13" t="s">
        <v>1744</v>
      </c>
      <c r="B425" s="13" t="s">
        <v>13290</v>
      </c>
      <c r="C425" s="13" t="str">
        <f>#REF!</f>
        <v>#REF!</v>
      </c>
      <c r="D425" s="2" t="s">
        <v>0</v>
      </c>
      <c r="E425" s="13" t="s">
        <v>13300</v>
      </c>
      <c r="F425" s="13" t="s">
        <v>5540</v>
      </c>
      <c r="G425" s="13" t="s">
        <v>4886</v>
      </c>
    </row>
    <row r="426" ht="12.75" customHeight="1">
      <c r="A426" s="13" t="s">
        <v>1741</v>
      </c>
      <c r="B426" s="13" t="s">
        <v>13306</v>
      </c>
      <c r="C426" s="13" t="s">
        <v>13316</v>
      </c>
      <c r="D426" s="2" t="s">
        <v>0</v>
      </c>
      <c r="E426" s="13" t="s">
        <v>13318</v>
      </c>
      <c r="F426" s="13" t="s">
        <v>5540</v>
      </c>
      <c r="G426" s="13" t="s">
        <v>4886</v>
      </c>
    </row>
    <row r="427" ht="12.75" customHeight="1">
      <c r="A427" s="13" t="s">
        <v>1738</v>
      </c>
      <c r="B427" s="13" t="s">
        <v>13323</v>
      </c>
      <c r="C427" s="13" t="s">
        <v>13333</v>
      </c>
      <c r="D427" s="2" t="s">
        <v>0</v>
      </c>
      <c r="E427" s="13" t="s">
        <v>13336</v>
      </c>
      <c r="F427" s="13" t="s">
        <v>5540</v>
      </c>
      <c r="G427" s="13" t="s">
        <v>4886</v>
      </c>
    </row>
    <row r="428" ht="12.75" customHeight="1">
      <c r="A428" s="13" t="s">
        <v>1731</v>
      </c>
      <c r="B428" s="13" t="s">
        <v>13341</v>
      </c>
      <c r="C428" s="13" t="s">
        <v>13351</v>
      </c>
      <c r="D428" s="2" t="s">
        <v>0</v>
      </c>
      <c r="E428" s="13" t="s">
        <v>13353</v>
      </c>
      <c r="F428" s="13" t="s">
        <v>5540</v>
      </c>
      <c r="G428" s="13" t="s">
        <v>4856</v>
      </c>
    </row>
    <row r="429" ht="12.75" customHeight="1">
      <c r="A429" s="13" t="s">
        <v>1727</v>
      </c>
      <c r="B429" s="13" t="s">
        <v>13358</v>
      </c>
      <c r="C429" s="13" t="s">
        <v>13369</v>
      </c>
      <c r="D429" s="2" t="s">
        <v>0</v>
      </c>
      <c r="E429" s="13" t="s">
        <v>13371</v>
      </c>
      <c r="F429" s="13" t="s">
        <v>5540</v>
      </c>
      <c r="G429" s="13" t="s">
        <v>4856</v>
      </c>
    </row>
    <row r="430" ht="12.75" customHeight="1">
      <c r="A430" s="13" t="s">
        <v>1724</v>
      </c>
      <c r="B430" s="13" t="s">
        <v>13376</v>
      </c>
      <c r="C430" s="13" t="s">
        <v>13382</v>
      </c>
      <c r="D430" s="2" t="s">
        <v>0</v>
      </c>
      <c r="E430" s="13" t="s">
        <v>13384</v>
      </c>
      <c r="F430" s="13" t="s">
        <v>5540</v>
      </c>
      <c r="G430" s="13" t="s">
        <v>4886</v>
      </c>
    </row>
    <row r="431" ht="12.75" customHeight="1">
      <c r="A431" s="13" t="s">
        <v>1721</v>
      </c>
      <c r="B431" s="13" t="s">
        <v>13388</v>
      </c>
      <c r="C431" s="13" t="s">
        <v>13394</v>
      </c>
      <c r="D431" s="2" t="s">
        <v>0</v>
      </c>
      <c r="E431" s="13" t="s">
        <v>13396</v>
      </c>
      <c r="F431" s="13" t="s">
        <v>5540</v>
      </c>
      <c r="G431" s="13" t="s">
        <v>4856</v>
      </c>
    </row>
    <row r="432" ht="12.75" customHeight="1">
      <c r="A432" s="13" t="s">
        <v>1717</v>
      </c>
      <c r="B432" s="13" t="s">
        <v>13401</v>
      </c>
      <c r="C432" s="13" t="s">
        <v>13410</v>
      </c>
      <c r="D432" s="2" t="s">
        <v>0</v>
      </c>
      <c r="E432" s="13" t="s">
        <v>13412</v>
      </c>
      <c r="F432" s="13" t="s">
        <v>5540</v>
      </c>
      <c r="G432" s="13" t="s">
        <v>4856</v>
      </c>
    </row>
    <row r="433" ht="12.75" customHeight="1">
      <c r="A433" s="13" t="s">
        <v>1714</v>
      </c>
      <c r="B433" s="13" t="s">
        <v>13417</v>
      </c>
      <c r="C433" s="13" t="s">
        <v>13426</v>
      </c>
      <c r="D433" s="2" t="s">
        <v>0</v>
      </c>
      <c r="E433" s="13" t="s">
        <v>13428</v>
      </c>
      <c r="F433" s="13" t="s">
        <v>5540</v>
      </c>
      <c r="G433" s="13" t="s">
        <v>4856</v>
      </c>
    </row>
    <row r="434" ht="12.75" customHeight="1">
      <c r="A434" s="13" t="s">
        <v>1711</v>
      </c>
      <c r="B434" s="13" t="s">
        <v>13433</v>
      </c>
      <c r="C434" s="13" t="s">
        <v>13443</v>
      </c>
      <c r="D434" s="2" t="s">
        <v>0</v>
      </c>
      <c r="E434" s="13" t="s">
        <v>13445</v>
      </c>
      <c r="F434" s="13" t="s">
        <v>5540</v>
      </c>
      <c r="G434" s="13" t="s">
        <v>4855</v>
      </c>
    </row>
    <row r="435" ht="12.75" customHeight="1">
      <c r="A435" s="13" t="s">
        <v>13448</v>
      </c>
      <c r="B435" s="13" t="s">
        <v>13450</v>
      </c>
      <c r="C435" s="13" t="s">
        <v>13457</v>
      </c>
      <c r="D435" s="2" t="s">
        <v>0</v>
      </c>
      <c r="E435" s="13" t="s">
        <v>13459</v>
      </c>
      <c r="F435" s="13" t="s">
        <v>5540</v>
      </c>
      <c r="G435" s="13" t="s">
        <v>4856</v>
      </c>
    </row>
    <row r="436" ht="12.75" customHeight="1">
      <c r="A436" s="13" t="s">
        <v>13462</v>
      </c>
      <c r="B436" s="13" t="s">
        <v>13465</v>
      </c>
      <c r="C436" s="13" t="s">
        <v>13473</v>
      </c>
      <c r="D436" s="2" t="s">
        <v>0</v>
      </c>
      <c r="E436" s="13" t="s">
        <v>13475</v>
      </c>
      <c r="F436" s="13" t="s">
        <v>5540</v>
      </c>
      <c r="G436" s="13" t="s">
        <v>4856</v>
      </c>
    </row>
    <row r="437" ht="12.75" customHeight="1">
      <c r="A437" s="13" t="s">
        <v>1703</v>
      </c>
      <c r="B437" s="13" t="s">
        <v>13480</v>
      </c>
      <c r="C437" s="13" t="s">
        <v>13487</v>
      </c>
      <c r="D437" s="2" t="s">
        <v>0</v>
      </c>
      <c r="E437" s="13" t="s">
        <v>13488</v>
      </c>
      <c r="F437" s="13" t="s">
        <v>5540</v>
      </c>
      <c r="G437" s="13" t="s">
        <v>4864</v>
      </c>
    </row>
    <row r="438" ht="12.75" customHeight="1">
      <c r="A438" s="13" t="s">
        <v>13491</v>
      </c>
      <c r="B438" s="13" t="s">
        <v>13495</v>
      </c>
      <c r="C438" s="13" t="s">
        <v>13506</v>
      </c>
      <c r="D438" s="2" t="s">
        <v>0</v>
      </c>
      <c r="E438" s="13" t="s">
        <v>13508</v>
      </c>
      <c r="F438" s="13" t="s">
        <v>5540</v>
      </c>
      <c r="G438" s="13" t="s">
        <v>4856</v>
      </c>
    </row>
    <row r="439" ht="12.75" customHeight="1">
      <c r="A439" s="13" t="s">
        <v>1695</v>
      </c>
      <c r="B439" s="13" t="s">
        <v>13513</v>
      </c>
      <c r="C439" s="13" t="s">
        <v>13520</v>
      </c>
      <c r="D439" s="2" t="s">
        <v>0</v>
      </c>
      <c r="E439" s="13" t="s">
        <v>13522</v>
      </c>
      <c r="F439" s="13" t="s">
        <v>5540</v>
      </c>
      <c r="G439" s="13" t="s">
        <v>4856</v>
      </c>
    </row>
    <row r="440" ht="12.75" customHeight="1">
      <c r="A440" s="13" t="s">
        <v>1692</v>
      </c>
      <c r="B440" s="13" t="s">
        <v>13528</v>
      </c>
      <c r="C440" s="13" t="str">
        <f>#REF!</f>
        <v>#REF!</v>
      </c>
      <c r="D440" s="2" t="s">
        <v>0</v>
      </c>
      <c r="E440" s="13" t="s">
        <v>13544</v>
      </c>
      <c r="F440" s="13" t="s">
        <v>5540</v>
      </c>
      <c r="G440" s="13" t="s">
        <v>4852</v>
      </c>
    </row>
    <row r="441" ht="12.75" customHeight="1">
      <c r="A441" s="13" t="s">
        <v>1688</v>
      </c>
      <c r="B441" s="13" t="s">
        <v>13550</v>
      </c>
      <c r="C441" s="13" t="s">
        <v>13560</v>
      </c>
      <c r="D441" s="2" t="s">
        <v>0</v>
      </c>
      <c r="E441" s="13" t="s">
        <v>13564</v>
      </c>
      <c r="F441" s="13" t="s">
        <v>5540</v>
      </c>
      <c r="G441" s="13" t="s">
        <v>4852</v>
      </c>
    </row>
    <row r="442" ht="12.75" customHeight="1">
      <c r="A442" s="13" t="s">
        <v>1678</v>
      </c>
      <c r="B442" s="13" t="s">
        <v>13569</v>
      </c>
      <c r="C442" s="13" t="s">
        <v>13579</v>
      </c>
      <c r="D442" s="2" t="s">
        <v>0</v>
      </c>
      <c r="E442" s="13" t="s">
        <v>13581</v>
      </c>
      <c r="F442" s="13" t="s">
        <v>5540</v>
      </c>
      <c r="G442" s="13" t="s">
        <v>4856</v>
      </c>
    </row>
    <row r="443" ht="12.75" customHeight="1">
      <c r="A443" s="13" t="s">
        <v>1676</v>
      </c>
      <c r="B443" s="13" t="s">
        <v>13586</v>
      </c>
      <c r="C443" s="13" t="s">
        <v>13594</v>
      </c>
      <c r="D443" s="2" t="s">
        <v>0</v>
      </c>
      <c r="E443" s="13" t="s">
        <v>13596</v>
      </c>
      <c r="F443" s="13" t="s">
        <v>5540</v>
      </c>
      <c r="G443" s="13" t="s">
        <v>4856</v>
      </c>
    </row>
    <row r="444" ht="12.75" customHeight="1">
      <c r="A444" s="13" t="s">
        <v>1673</v>
      </c>
      <c r="B444" s="13" t="s">
        <v>13601</v>
      </c>
      <c r="C444" s="13" t="s">
        <v>13610</v>
      </c>
      <c r="D444" s="2" t="s">
        <v>0</v>
      </c>
      <c r="E444" s="13" t="s">
        <v>13612</v>
      </c>
      <c r="F444" s="13" t="s">
        <v>5540</v>
      </c>
      <c r="G444" s="13" t="s">
        <v>4856</v>
      </c>
    </row>
    <row r="445" ht="12.75" customHeight="1">
      <c r="A445" s="13" t="s">
        <v>1670</v>
      </c>
      <c r="B445" s="13" t="s">
        <v>13617</v>
      </c>
      <c r="C445" s="13" t="s">
        <v>13627</v>
      </c>
      <c r="D445" s="2" t="s">
        <v>0</v>
      </c>
      <c r="E445" s="13" t="s">
        <v>13628</v>
      </c>
      <c r="F445" s="13" t="s">
        <v>5540</v>
      </c>
      <c r="G445" s="13" t="s">
        <v>4864</v>
      </c>
    </row>
    <row r="446" ht="12.75" customHeight="1">
      <c r="A446" s="13" t="s">
        <v>1667</v>
      </c>
      <c r="B446" s="13" t="s">
        <v>13633</v>
      </c>
      <c r="C446" s="13" t="s">
        <v>13644</v>
      </c>
      <c r="D446" s="2" t="s">
        <v>0</v>
      </c>
      <c r="E446" s="13" t="s">
        <v>13646</v>
      </c>
      <c r="F446" s="13" t="s">
        <v>5540</v>
      </c>
      <c r="G446" s="13" t="s">
        <v>4864</v>
      </c>
    </row>
    <row r="447" ht="12.75" customHeight="1">
      <c r="A447" s="13" t="s">
        <v>1664</v>
      </c>
      <c r="B447" s="13" t="s">
        <v>13652</v>
      </c>
      <c r="C447" s="13" t="s">
        <v>13663</v>
      </c>
      <c r="D447" s="2" t="s">
        <v>0</v>
      </c>
      <c r="E447" s="13" t="s">
        <v>13665</v>
      </c>
      <c r="F447" s="13" t="s">
        <v>5540</v>
      </c>
      <c r="G447" s="13" t="s">
        <v>4852</v>
      </c>
    </row>
    <row r="448" ht="12.75" customHeight="1">
      <c r="A448" s="2" t="s">
        <v>1658</v>
      </c>
      <c r="B448" s="13" t="s">
        <v>13670</v>
      </c>
      <c r="C448" s="13" t="s">
        <v>13680</v>
      </c>
      <c r="D448" s="2" t="s">
        <v>0</v>
      </c>
      <c r="E448" s="13" t="s">
        <v>13682</v>
      </c>
      <c r="F448" s="13" t="s">
        <v>5540</v>
      </c>
      <c r="G448" s="13" t="s">
        <v>5083</v>
      </c>
    </row>
    <row r="449" ht="12.75" customHeight="1">
      <c r="A449" s="13" t="s">
        <v>1655</v>
      </c>
      <c r="B449" s="13" t="s">
        <v>13686</v>
      </c>
      <c r="C449" s="13" t="s">
        <v>13690</v>
      </c>
      <c r="D449" s="2" t="s">
        <v>0</v>
      </c>
      <c r="E449" s="13" t="s">
        <v>13692</v>
      </c>
      <c r="F449" s="13" t="s">
        <v>5540</v>
      </c>
      <c r="G449" s="13" t="s">
        <v>4856</v>
      </c>
    </row>
    <row r="450" ht="12.75" customHeight="1">
      <c r="A450" s="13" t="s">
        <v>1649</v>
      </c>
      <c r="B450" s="13" t="s">
        <v>13697</v>
      </c>
      <c r="C450" s="13" t="s">
        <v>13706</v>
      </c>
      <c r="D450" s="2" t="s">
        <v>0</v>
      </c>
      <c r="E450" s="13" t="s">
        <v>13708</v>
      </c>
      <c r="F450" s="13" t="s">
        <v>5540</v>
      </c>
      <c r="G450" s="13" t="s">
        <v>4864</v>
      </c>
    </row>
    <row r="451" ht="12.75" customHeight="1">
      <c r="A451" s="13" t="s">
        <v>1646</v>
      </c>
      <c r="B451" s="13" t="s">
        <v>13713</v>
      </c>
      <c r="C451" s="13" t="s">
        <v>13723</v>
      </c>
      <c r="D451" s="2" t="s">
        <v>0</v>
      </c>
      <c r="E451" s="13" t="s">
        <v>13725</v>
      </c>
      <c r="F451" s="13" t="s">
        <v>5540</v>
      </c>
      <c r="G451" s="13" t="s">
        <v>4856</v>
      </c>
    </row>
    <row r="452" ht="12.75" customHeight="1">
      <c r="A452" s="13" t="s">
        <v>1644</v>
      </c>
      <c r="B452" s="13" t="s">
        <v>13729</v>
      </c>
      <c r="C452" s="13" t="s">
        <v>13739</v>
      </c>
      <c r="D452" s="2" t="s">
        <v>0</v>
      </c>
      <c r="E452" s="13" t="s">
        <v>13741</v>
      </c>
      <c r="F452" s="13" t="s">
        <v>5540</v>
      </c>
      <c r="G452" s="13" t="s">
        <v>4880</v>
      </c>
    </row>
    <row r="453" ht="12.75" customHeight="1">
      <c r="A453" s="13" t="s">
        <v>1641</v>
      </c>
      <c r="B453" s="13" t="s">
        <v>13746</v>
      </c>
      <c r="C453" s="13" t="s">
        <v>13753</v>
      </c>
      <c r="D453" s="2" t="s">
        <v>0</v>
      </c>
      <c r="E453" s="13" t="s">
        <v>13755</v>
      </c>
      <c r="F453" s="13" t="s">
        <v>5540</v>
      </c>
      <c r="G453" s="13" t="s">
        <v>4856</v>
      </c>
    </row>
    <row r="454" ht="12.75" customHeight="1">
      <c r="A454" s="13" t="s">
        <v>13758</v>
      </c>
      <c r="B454" s="13" t="s">
        <v>13761</v>
      </c>
      <c r="C454" s="13" t="s">
        <v>13771</v>
      </c>
      <c r="D454" s="2" t="s">
        <v>0</v>
      </c>
      <c r="E454" s="13" t="s">
        <v>13773</v>
      </c>
      <c r="F454" s="13" t="s">
        <v>5540</v>
      </c>
      <c r="G454" s="13" t="s">
        <v>4856</v>
      </c>
    </row>
    <row r="455" ht="12.75" customHeight="1">
      <c r="A455" s="13" t="s">
        <v>1632</v>
      </c>
      <c r="B455" s="13" t="s">
        <v>13778</v>
      </c>
      <c r="C455" s="13" t="s">
        <v>13788</v>
      </c>
      <c r="D455" s="2" t="s">
        <v>0</v>
      </c>
      <c r="E455" s="13" t="s">
        <v>13791</v>
      </c>
      <c r="F455" s="13" t="s">
        <v>5540</v>
      </c>
      <c r="G455" s="13" t="s">
        <v>4856</v>
      </c>
    </row>
    <row r="456" ht="12.75" customHeight="1">
      <c r="A456" s="13" t="s">
        <v>1630</v>
      </c>
      <c r="B456" s="13" t="s">
        <v>13796</v>
      </c>
      <c r="C456" s="13" t="s">
        <v>13805</v>
      </c>
      <c r="D456" s="2" t="s">
        <v>0</v>
      </c>
      <c r="E456" s="13" t="s">
        <v>13806</v>
      </c>
      <c r="F456" s="13" t="s">
        <v>5540</v>
      </c>
      <c r="G456" s="13" t="s">
        <v>4856</v>
      </c>
    </row>
    <row r="457" ht="12.75" customHeight="1">
      <c r="A457" s="13" t="s">
        <v>1627</v>
      </c>
      <c r="B457" s="13" t="s">
        <v>13809</v>
      </c>
      <c r="C457" s="13" t="s">
        <v>13816</v>
      </c>
      <c r="D457" s="2" t="s">
        <v>0</v>
      </c>
      <c r="E457" s="13" t="s">
        <v>13818</v>
      </c>
      <c r="F457" s="13" t="s">
        <v>5540</v>
      </c>
      <c r="G457" s="13" t="s">
        <v>4856</v>
      </c>
    </row>
    <row r="458" ht="12.75" customHeight="1">
      <c r="A458" s="13" t="s">
        <v>1625</v>
      </c>
      <c r="B458" s="13" t="s">
        <v>13823</v>
      </c>
      <c r="C458" s="13" t="s">
        <v>13833</v>
      </c>
      <c r="D458" s="2" t="s">
        <v>0</v>
      </c>
      <c r="E458" s="13" t="s">
        <v>13834</v>
      </c>
      <c r="F458" s="13" t="s">
        <v>5540</v>
      </c>
      <c r="G458" s="13" t="s">
        <v>4852</v>
      </c>
    </row>
    <row r="459" ht="12.75" customHeight="1">
      <c r="A459" s="13" t="s">
        <v>13837</v>
      </c>
      <c r="B459" s="13" t="s">
        <v>13839</v>
      </c>
      <c r="C459" s="13" t="s">
        <v>13851</v>
      </c>
      <c r="D459" s="2" t="s">
        <v>0</v>
      </c>
      <c r="E459" s="13" t="s">
        <v>13853</v>
      </c>
      <c r="F459" s="13" t="s">
        <v>5540</v>
      </c>
      <c r="G459" s="13" t="s">
        <v>4856</v>
      </c>
    </row>
    <row r="460" ht="12.75" customHeight="1">
      <c r="A460" s="13" t="s">
        <v>1621</v>
      </c>
      <c r="B460" s="13" t="s">
        <v>13858</v>
      </c>
      <c r="C460" s="13" t="s">
        <v>13869</v>
      </c>
      <c r="D460" s="2" t="s">
        <v>0</v>
      </c>
      <c r="E460" s="13" t="s">
        <v>13871</v>
      </c>
      <c r="F460" s="13" t="s">
        <v>5540</v>
      </c>
      <c r="G460" s="13" t="s">
        <v>4864</v>
      </c>
    </row>
    <row r="461" ht="12.75" customHeight="1">
      <c r="A461" s="13" t="s">
        <v>1618</v>
      </c>
      <c r="B461" s="13" t="s">
        <v>13876</v>
      </c>
      <c r="C461" s="13" t="s">
        <v>13885</v>
      </c>
      <c r="D461" s="2" t="s">
        <v>0</v>
      </c>
      <c r="E461" s="13" t="s">
        <v>13887</v>
      </c>
      <c r="F461" s="13" t="s">
        <v>5540</v>
      </c>
      <c r="G461" s="13" t="s">
        <v>4856</v>
      </c>
    </row>
    <row r="462" ht="12.75" customHeight="1">
      <c r="A462" s="13" t="s">
        <v>1615</v>
      </c>
      <c r="B462" s="13" t="s">
        <v>13892</v>
      </c>
      <c r="C462" s="13" t="s">
        <v>13901</v>
      </c>
      <c r="D462" s="2" t="s">
        <v>0</v>
      </c>
      <c r="E462" s="13" t="s">
        <v>13903</v>
      </c>
      <c r="F462" s="13" t="s">
        <v>5540</v>
      </c>
      <c r="G462" s="13" t="s">
        <v>4856</v>
      </c>
    </row>
    <row r="463" ht="12.75" customHeight="1">
      <c r="A463" s="13" t="s">
        <v>1613</v>
      </c>
      <c r="B463" s="13" t="s">
        <v>13909</v>
      </c>
      <c r="C463" s="13" t="s">
        <v>13925</v>
      </c>
      <c r="D463" s="2" t="s">
        <v>0</v>
      </c>
      <c r="E463" s="13" t="s">
        <v>13928</v>
      </c>
      <c r="F463" s="13" t="s">
        <v>5540</v>
      </c>
      <c r="G463" s="13" t="s">
        <v>4855</v>
      </c>
    </row>
    <row r="464" ht="12.75" customHeight="1">
      <c r="A464" s="13" t="s">
        <v>13931</v>
      </c>
      <c r="B464" s="13" t="s">
        <v>13935</v>
      </c>
      <c r="C464" s="13" t="s">
        <v>13946</v>
      </c>
      <c r="D464" s="2" t="s">
        <v>0</v>
      </c>
      <c r="E464" s="13" t="s">
        <v>13948</v>
      </c>
      <c r="F464" s="13" t="s">
        <v>5540</v>
      </c>
      <c r="G464" s="13" t="s">
        <v>4856</v>
      </c>
    </row>
    <row r="465" ht="12.75" customHeight="1">
      <c r="A465" s="13" t="s">
        <v>1607</v>
      </c>
      <c r="B465" s="13" t="s">
        <v>13953</v>
      </c>
      <c r="C465" s="13" t="s">
        <v>13964</v>
      </c>
      <c r="D465" s="2" t="s">
        <v>0</v>
      </c>
      <c r="E465" s="13" t="s">
        <v>13966</v>
      </c>
      <c r="F465" s="13" t="s">
        <v>5540</v>
      </c>
      <c r="G465" s="13" t="s">
        <v>4852</v>
      </c>
    </row>
    <row r="466" ht="12.75" customHeight="1">
      <c r="A466" s="13" t="s">
        <v>1605</v>
      </c>
      <c r="B466" s="13" t="s">
        <v>13971</v>
      </c>
      <c r="C466" s="13" t="s">
        <v>13981</v>
      </c>
      <c r="D466" s="2" t="s">
        <v>0</v>
      </c>
      <c r="E466" s="13" t="s">
        <v>13983</v>
      </c>
      <c r="F466" s="13" t="s">
        <v>5540</v>
      </c>
      <c r="G466" s="13" t="s">
        <v>4856</v>
      </c>
    </row>
    <row r="467" ht="12.75" customHeight="1">
      <c r="A467" s="13" t="s">
        <v>1602</v>
      </c>
      <c r="B467" s="13" t="s">
        <v>13988</v>
      </c>
      <c r="C467" s="13" t="s">
        <v>13998</v>
      </c>
      <c r="D467" s="2" t="s">
        <v>0</v>
      </c>
      <c r="E467" s="13" t="s">
        <v>14000</v>
      </c>
      <c r="F467" s="13" t="s">
        <v>5540</v>
      </c>
      <c r="G467" s="13" t="s">
        <v>4856</v>
      </c>
    </row>
    <row r="468" ht="12.75" customHeight="1">
      <c r="A468" s="13" t="s">
        <v>1598</v>
      </c>
      <c r="B468" s="13" t="s">
        <v>14006</v>
      </c>
      <c r="C468" s="13" t="s">
        <v>14020</v>
      </c>
      <c r="D468" s="2" t="s">
        <v>0</v>
      </c>
      <c r="E468" s="13" t="s">
        <v>14022</v>
      </c>
      <c r="F468" s="13" t="s">
        <v>5540</v>
      </c>
      <c r="G468" s="13" t="s">
        <v>4856</v>
      </c>
    </row>
    <row r="469" ht="12.75" customHeight="1">
      <c r="A469" s="13" t="s">
        <v>1595</v>
      </c>
      <c r="B469" s="13" t="s">
        <v>14027</v>
      </c>
      <c r="C469" s="13" t="s">
        <v>14037</v>
      </c>
      <c r="D469" s="2" t="s">
        <v>0</v>
      </c>
      <c r="E469" s="13" t="s">
        <v>14039</v>
      </c>
      <c r="F469" s="13" t="s">
        <v>5540</v>
      </c>
      <c r="G469" s="13" t="s">
        <v>4856</v>
      </c>
    </row>
    <row r="470" ht="12.75" customHeight="1">
      <c r="A470" s="13" t="s">
        <v>1593</v>
      </c>
      <c r="B470" s="13" t="s">
        <v>14043</v>
      </c>
      <c r="C470" s="13" t="s">
        <v>14054</v>
      </c>
      <c r="D470" s="2" t="s">
        <v>0</v>
      </c>
      <c r="E470" s="13" t="s">
        <v>14056</v>
      </c>
      <c r="F470" s="13" t="s">
        <v>5540</v>
      </c>
      <c r="G470" s="13" t="s">
        <v>4856</v>
      </c>
    </row>
    <row r="471" ht="12.75" customHeight="1">
      <c r="A471" s="13" t="s">
        <v>1591</v>
      </c>
      <c r="B471" s="13" t="s">
        <v>14060</v>
      </c>
      <c r="C471" s="13" t="s">
        <v>14071</v>
      </c>
      <c r="D471" s="2" t="s">
        <v>0</v>
      </c>
      <c r="E471" s="13" t="s">
        <v>14073</v>
      </c>
      <c r="F471" s="13" t="s">
        <v>5540</v>
      </c>
      <c r="G471" s="13" t="s">
        <v>4864</v>
      </c>
    </row>
    <row r="472" ht="12.75" customHeight="1">
      <c r="A472" s="13" t="s">
        <v>14076</v>
      </c>
      <c r="B472" s="13" t="s">
        <v>14079</v>
      </c>
      <c r="C472" s="13" t="s">
        <v>14088</v>
      </c>
      <c r="D472" s="2" t="s">
        <v>0</v>
      </c>
      <c r="E472" s="13" t="s">
        <v>14090</v>
      </c>
      <c r="F472" s="13" t="s">
        <v>5540</v>
      </c>
      <c r="G472" s="13" t="s">
        <v>4864</v>
      </c>
    </row>
    <row r="473" ht="12.75" customHeight="1">
      <c r="A473" s="13" t="s">
        <v>14093</v>
      </c>
      <c r="B473" s="13" t="s">
        <v>14095</v>
      </c>
      <c r="C473" s="13" t="s">
        <v>14106</v>
      </c>
      <c r="D473" s="2" t="s">
        <v>0</v>
      </c>
      <c r="E473" s="13" t="s">
        <v>14108</v>
      </c>
      <c r="F473" s="13" t="s">
        <v>5540</v>
      </c>
      <c r="G473" s="13" t="s">
        <v>4852</v>
      </c>
    </row>
    <row r="474" ht="12.75" customHeight="1">
      <c r="A474" s="13" t="s">
        <v>1585</v>
      </c>
      <c r="B474" s="13" t="s">
        <v>14113</v>
      </c>
      <c r="C474" s="13" t="s">
        <v>14124</v>
      </c>
      <c r="D474" s="2" t="s">
        <v>0</v>
      </c>
      <c r="E474" s="13" t="s">
        <v>14126</v>
      </c>
      <c r="F474" s="13" t="s">
        <v>5540</v>
      </c>
      <c r="G474" s="13" t="s">
        <v>4852</v>
      </c>
    </row>
    <row r="475" ht="12.75" customHeight="1">
      <c r="A475" s="13" t="s">
        <v>1577</v>
      </c>
      <c r="B475" s="13" t="s">
        <v>14132</v>
      </c>
      <c r="C475" s="13" t="s">
        <v>14144</v>
      </c>
      <c r="D475" s="2" t="s">
        <v>0</v>
      </c>
      <c r="E475" s="13" t="s">
        <v>14146</v>
      </c>
      <c r="F475" s="13" t="s">
        <v>5540</v>
      </c>
      <c r="G475" s="13" t="s">
        <v>4880</v>
      </c>
    </row>
    <row r="476" ht="12.75" customHeight="1">
      <c r="A476" s="13" t="s">
        <v>1571</v>
      </c>
      <c r="B476" s="13" t="s">
        <v>14151</v>
      </c>
      <c r="C476" s="13" t="s">
        <v>14161</v>
      </c>
      <c r="D476" s="2" t="s">
        <v>0</v>
      </c>
      <c r="E476" s="13" t="s">
        <v>14163</v>
      </c>
      <c r="F476" s="13" t="s">
        <v>11683</v>
      </c>
      <c r="G476" s="13" t="s">
        <v>4856</v>
      </c>
    </row>
    <row r="477" ht="12.75" customHeight="1">
      <c r="A477" s="13" t="s">
        <v>1568</v>
      </c>
      <c r="B477" s="13" t="s">
        <v>14168</v>
      </c>
      <c r="C477" s="13" t="s">
        <v>14178</v>
      </c>
      <c r="D477" s="2" t="s">
        <v>0</v>
      </c>
      <c r="E477" s="13" t="s">
        <v>14179</v>
      </c>
      <c r="F477" s="13" t="s">
        <v>5540</v>
      </c>
      <c r="G477" s="13" t="s">
        <v>4864</v>
      </c>
    </row>
    <row r="478" ht="12.75" customHeight="1">
      <c r="A478" s="13" t="s">
        <v>1565</v>
      </c>
      <c r="B478" s="13" t="s">
        <v>14184</v>
      </c>
      <c r="C478" s="13" t="s">
        <v>14194</v>
      </c>
      <c r="D478" s="2" t="s">
        <v>0</v>
      </c>
      <c r="E478" s="13" t="s">
        <v>14196</v>
      </c>
      <c r="F478" s="13" t="s">
        <v>5540</v>
      </c>
      <c r="G478" s="13" t="s">
        <v>4856</v>
      </c>
    </row>
    <row r="479" ht="12.75" customHeight="1">
      <c r="A479" s="13" t="s">
        <v>1563</v>
      </c>
      <c r="B479" s="13" t="s">
        <v>14201</v>
      </c>
      <c r="C479" s="13" t="s">
        <v>14212</v>
      </c>
      <c r="D479" s="2" t="s">
        <v>0</v>
      </c>
      <c r="E479" s="13" t="s">
        <v>14214</v>
      </c>
      <c r="F479" s="13" t="s">
        <v>5540</v>
      </c>
      <c r="G479" s="13" t="s">
        <v>4856</v>
      </c>
    </row>
    <row r="480" ht="12.75" customHeight="1">
      <c r="A480" s="13" t="s">
        <v>1559</v>
      </c>
      <c r="B480" s="13" t="s">
        <v>14220</v>
      </c>
      <c r="C480" s="13" t="str">
        <f>#REF!</f>
        <v>#REF!</v>
      </c>
      <c r="D480" s="2" t="s">
        <v>0</v>
      </c>
      <c r="E480" s="13" t="s">
        <v>14236</v>
      </c>
      <c r="F480" s="13" t="s">
        <v>5540</v>
      </c>
      <c r="G480" s="13" t="s">
        <v>4852</v>
      </c>
    </row>
    <row r="481" ht="12.75" customHeight="1">
      <c r="A481" s="13" t="s">
        <v>1555</v>
      </c>
      <c r="B481" s="13" t="s">
        <v>14242</v>
      </c>
      <c r="C481" s="13" t="s">
        <v>14251</v>
      </c>
      <c r="D481" s="2" t="s">
        <v>0</v>
      </c>
      <c r="E481" s="13" t="s">
        <v>14253</v>
      </c>
      <c r="F481" s="13" t="s">
        <v>5540</v>
      </c>
      <c r="G481" s="13" t="s">
        <v>4856</v>
      </c>
    </row>
    <row r="482" ht="12.75" customHeight="1">
      <c r="A482" s="13" t="s">
        <v>1553</v>
      </c>
      <c r="B482" s="13" t="s">
        <v>14258</v>
      </c>
      <c r="C482" s="13" t="s">
        <v>14265</v>
      </c>
      <c r="D482" s="2" t="s">
        <v>0</v>
      </c>
      <c r="E482" s="13" t="s">
        <v>14267</v>
      </c>
      <c r="F482" s="13" t="s">
        <v>5540</v>
      </c>
      <c r="G482" s="13" t="s">
        <v>4856</v>
      </c>
    </row>
    <row r="483" ht="12.75" customHeight="1">
      <c r="A483" s="13" t="s">
        <v>1550</v>
      </c>
      <c r="B483" s="13" t="s">
        <v>14272</v>
      </c>
      <c r="C483" s="13" t="s">
        <v>14281</v>
      </c>
      <c r="D483" s="2" t="s">
        <v>0</v>
      </c>
      <c r="E483" s="13" t="s">
        <v>14283</v>
      </c>
      <c r="F483" s="13" t="s">
        <v>5540</v>
      </c>
      <c r="G483" s="13" t="s">
        <v>4852</v>
      </c>
    </row>
    <row r="484" ht="12.75" customHeight="1">
      <c r="A484" s="13" t="s">
        <v>1548</v>
      </c>
      <c r="B484" s="13" t="s">
        <v>14288</v>
      </c>
      <c r="C484" s="13" t="s">
        <v>14299</v>
      </c>
      <c r="D484" s="2" t="s">
        <v>0</v>
      </c>
      <c r="E484" s="13" t="s">
        <v>14301</v>
      </c>
      <c r="F484" s="13" t="s">
        <v>5540</v>
      </c>
      <c r="G484" s="13" t="s">
        <v>4886</v>
      </c>
    </row>
    <row r="485" ht="12.75" customHeight="1">
      <c r="A485" s="13" t="s">
        <v>1543</v>
      </c>
      <c r="B485" s="13" t="s">
        <v>14306</v>
      </c>
      <c r="C485" s="13" t="s">
        <v>14313</v>
      </c>
      <c r="D485" s="2" t="s">
        <v>0</v>
      </c>
      <c r="E485" s="13" t="s">
        <v>14315</v>
      </c>
      <c r="F485" s="13" t="s">
        <v>5540</v>
      </c>
      <c r="G485" s="13" t="s">
        <v>4864</v>
      </c>
    </row>
    <row r="486" ht="12.75" customHeight="1">
      <c r="A486" s="13" t="s">
        <v>1541</v>
      </c>
      <c r="B486" s="13" t="s">
        <v>14319</v>
      </c>
      <c r="C486" s="13" t="s">
        <v>14331</v>
      </c>
      <c r="D486" s="2" t="s">
        <v>0</v>
      </c>
      <c r="E486" s="13" t="s">
        <v>14333</v>
      </c>
      <c r="F486" s="13" t="s">
        <v>5540</v>
      </c>
      <c r="G486" s="13" t="s">
        <v>4880</v>
      </c>
    </row>
    <row r="487" ht="12.75" customHeight="1">
      <c r="A487" s="13" t="s">
        <v>1537</v>
      </c>
      <c r="B487" s="13" t="s">
        <v>14338</v>
      </c>
      <c r="C487" s="13" t="s">
        <v>14347</v>
      </c>
      <c r="D487" s="2" t="s">
        <v>0</v>
      </c>
      <c r="E487" s="13" t="s">
        <v>14349</v>
      </c>
      <c r="F487" s="13" t="s">
        <v>5540</v>
      </c>
      <c r="G487" s="13" t="s">
        <v>4864</v>
      </c>
    </row>
    <row r="488" ht="12.75" customHeight="1">
      <c r="A488" s="13" t="s">
        <v>1534</v>
      </c>
      <c r="B488" s="13" t="s">
        <v>14354</v>
      </c>
      <c r="C488" s="13" t="s">
        <v>14363</v>
      </c>
      <c r="D488" s="2" t="s">
        <v>0</v>
      </c>
      <c r="E488" s="13" t="s">
        <v>14365</v>
      </c>
      <c r="F488" s="13" t="s">
        <v>5540</v>
      </c>
      <c r="G488" s="13" t="s">
        <v>4856</v>
      </c>
    </row>
    <row r="489" ht="12.75" customHeight="1">
      <c r="A489" s="13" t="s">
        <v>1532</v>
      </c>
      <c r="B489" s="13" t="s">
        <v>14370</v>
      </c>
      <c r="C489" s="13" t="s">
        <v>14380</v>
      </c>
      <c r="D489" s="2" t="s">
        <v>0</v>
      </c>
      <c r="E489" s="13" t="s">
        <v>14381</v>
      </c>
      <c r="F489" s="13" t="s">
        <v>5540</v>
      </c>
      <c r="G489" s="13" t="s">
        <v>4856</v>
      </c>
    </row>
    <row r="490" ht="12.75" customHeight="1">
      <c r="A490" s="13" t="s">
        <v>1529</v>
      </c>
      <c r="B490" s="13" t="s">
        <v>14385</v>
      </c>
      <c r="C490" s="13" t="s">
        <v>14395</v>
      </c>
      <c r="D490" s="2" t="s">
        <v>0</v>
      </c>
      <c r="E490" s="13" t="s">
        <v>14397</v>
      </c>
      <c r="F490" s="13" t="s">
        <v>5540</v>
      </c>
      <c r="G490" s="13" t="s">
        <v>4864</v>
      </c>
    </row>
    <row r="491" ht="12.75" customHeight="1">
      <c r="A491" s="13" t="s">
        <v>1527</v>
      </c>
      <c r="B491" s="13" t="s">
        <v>14402</v>
      </c>
      <c r="C491" s="13" t="s">
        <v>14411</v>
      </c>
      <c r="D491" s="2" t="s">
        <v>0</v>
      </c>
      <c r="E491" s="13" t="s">
        <v>14413</v>
      </c>
      <c r="F491" s="13" t="s">
        <v>5540</v>
      </c>
      <c r="G491" s="13" t="s">
        <v>4856</v>
      </c>
    </row>
    <row r="492" ht="12.75" customHeight="1">
      <c r="A492" s="2" t="s">
        <v>1525</v>
      </c>
      <c r="B492" s="13" t="s">
        <v>5510</v>
      </c>
      <c r="C492" s="13" t="s">
        <v>14419</v>
      </c>
      <c r="D492" s="2" t="s">
        <v>0</v>
      </c>
      <c r="E492" s="13" t="s">
        <v>14420</v>
      </c>
      <c r="F492" s="13" t="s">
        <v>5540</v>
      </c>
      <c r="G492" s="13" t="s">
        <v>4864</v>
      </c>
    </row>
    <row r="493" ht="12.75" customHeight="1">
      <c r="A493" s="13" t="s">
        <v>14423</v>
      </c>
      <c r="B493" s="13" t="s">
        <v>14425</v>
      </c>
      <c r="C493" s="13" t="s">
        <v>14437</v>
      </c>
      <c r="D493" s="2" t="s">
        <v>0</v>
      </c>
      <c r="E493" s="13" t="s">
        <v>14439</v>
      </c>
      <c r="F493" s="13" t="s">
        <v>5540</v>
      </c>
      <c r="G493" s="13" t="s">
        <v>4864</v>
      </c>
    </row>
    <row r="494" ht="12.75" customHeight="1">
      <c r="A494" s="13" t="s">
        <v>1522</v>
      </c>
      <c r="B494" s="13" t="s">
        <v>14444</v>
      </c>
      <c r="C494" s="13" t="s">
        <v>14453</v>
      </c>
      <c r="D494" s="2" t="s">
        <v>0</v>
      </c>
      <c r="E494" s="13" t="s">
        <v>14455</v>
      </c>
      <c r="F494" s="13" t="s">
        <v>5540</v>
      </c>
      <c r="G494" s="13" t="s">
        <v>4856</v>
      </c>
    </row>
    <row r="495" ht="12.75" customHeight="1">
      <c r="A495" s="13" t="s">
        <v>14458</v>
      </c>
      <c r="B495" s="13" t="s">
        <v>14466</v>
      </c>
      <c r="C495" s="13" t="str">
        <f>#REF!</f>
        <v>#REF!</v>
      </c>
      <c r="D495" s="2" t="s">
        <v>0</v>
      </c>
      <c r="E495" s="13" t="s">
        <v>14475</v>
      </c>
      <c r="F495" s="13" t="s">
        <v>5540</v>
      </c>
      <c r="G495" s="13" t="s">
        <v>4856</v>
      </c>
    </row>
    <row r="496" ht="12.75" customHeight="1">
      <c r="A496" s="13" t="s">
        <v>1517</v>
      </c>
      <c r="B496" s="13" t="s">
        <v>14480</v>
      </c>
      <c r="C496" s="13" t="s">
        <v>14488</v>
      </c>
      <c r="D496" s="2" t="s">
        <v>0</v>
      </c>
      <c r="E496" s="13" t="s">
        <v>14489</v>
      </c>
      <c r="F496" s="13" t="s">
        <v>5540</v>
      </c>
      <c r="G496" s="13" t="s">
        <v>4856</v>
      </c>
    </row>
    <row r="497" ht="12.75" customHeight="1">
      <c r="A497" s="13" t="s">
        <v>1514</v>
      </c>
      <c r="B497" s="13" t="s">
        <v>14493</v>
      </c>
      <c r="C497" s="13" t="s">
        <v>14503</v>
      </c>
      <c r="D497" s="2" t="s">
        <v>0</v>
      </c>
      <c r="E497" s="13" t="s">
        <v>14505</v>
      </c>
      <c r="F497" s="13" t="s">
        <v>5540</v>
      </c>
      <c r="G497" s="13" t="s">
        <v>4864</v>
      </c>
    </row>
    <row r="498" ht="12.75" customHeight="1">
      <c r="A498" s="13" t="s">
        <v>14508</v>
      </c>
      <c r="B498" s="13" t="s">
        <v>14510</v>
      </c>
      <c r="C498" s="13" t="s">
        <v>14522</v>
      </c>
      <c r="D498" s="2" t="s">
        <v>0</v>
      </c>
      <c r="E498" s="13" t="s">
        <v>14524</v>
      </c>
      <c r="F498" s="13" t="s">
        <v>5540</v>
      </c>
      <c r="G498" s="13" t="s">
        <v>4856</v>
      </c>
    </row>
    <row r="499" ht="12.75" customHeight="1">
      <c r="A499" s="13" t="s">
        <v>14527</v>
      </c>
      <c r="B499" s="13" t="s">
        <v>14529</v>
      </c>
      <c r="C499" s="13" t="s">
        <v>14539</v>
      </c>
      <c r="D499" s="2" t="s">
        <v>0</v>
      </c>
      <c r="E499" s="13" t="s">
        <v>14541</v>
      </c>
      <c r="F499" s="13" t="s">
        <v>5540</v>
      </c>
      <c r="G499" s="13" t="s">
        <v>4856</v>
      </c>
    </row>
    <row r="500" ht="12.75" customHeight="1">
      <c r="A500" s="2" t="s">
        <v>1507</v>
      </c>
      <c r="B500" s="13" t="s">
        <v>14546</v>
      </c>
      <c r="C500" s="13" t="s">
        <v>14556</v>
      </c>
      <c r="D500" s="2" t="s">
        <v>0</v>
      </c>
      <c r="E500" s="13" t="s">
        <v>14558</v>
      </c>
      <c r="F500" s="13" t="s">
        <v>5540</v>
      </c>
      <c r="G500" s="13" t="s">
        <v>4856</v>
      </c>
    </row>
    <row r="501" ht="12.75" customHeight="1">
      <c r="A501" s="13" t="s">
        <v>1504</v>
      </c>
      <c r="B501" s="13" t="s">
        <v>14564</v>
      </c>
      <c r="C501" s="13" t="s">
        <v>14578</v>
      </c>
      <c r="D501" s="2" t="s">
        <v>0</v>
      </c>
      <c r="E501" s="13" t="s">
        <v>14580</v>
      </c>
      <c r="F501" s="13" t="s">
        <v>5540</v>
      </c>
      <c r="G501" s="13" t="s">
        <v>4880</v>
      </c>
    </row>
    <row r="502" ht="12.75" customHeight="1">
      <c r="A502" s="13" t="s">
        <v>1500</v>
      </c>
      <c r="B502" s="13" t="s">
        <v>14584</v>
      </c>
      <c r="C502" s="13" t="s">
        <v>14590</v>
      </c>
      <c r="D502" s="2" t="s">
        <v>0</v>
      </c>
      <c r="E502" s="13" t="s">
        <v>14592</v>
      </c>
      <c r="F502" s="13" t="s">
        <v>5540</v>
      </c>
      <c r="G502" s="13" t="s">
        <v>4856</v>
      </c>
    </row>
    <row r="503" ht="12.75" customHeight="1">
      <c r="A503" s="13" t="s">
        <v>1497</v>
      </c>
      <c r="B503" s="13" t="s">
        <v>14597</v>
      </c>
      <c r="C503" s="13" t="s">
        <v>14606</v>
      </c>
      <c r="D503" s="2" t="s">
        <v>0</v>
      </c>
      <c r="E503" s="13" t="s">
        <v>14608</v>
      </c>
      <c r="F503" s="13" t="s">
        <v>5540</v>
      </c>
      <c r="G503" s="13" t="s">
        <v>4864</v>
      </c>
    </row>
    <row r="504" ht="12.75" customHeight="1">
      <c r="A504" s="13" t="s">
        <v>1494</v>
      </c>
      <c r="B504" s="13" t="s">
        <v>14612</v>
      </c>
      <c r="C504" s="13" t="s">
        <v>14622</v>
      </c>
      <c r="D504" s="2" t="s">
        <v>0</v>
      </c>
      <c r="E504" s="13" t="s">
        <v>14624</v>
      </c>
      <c r="F504" s="13" t="s">
        <v>5540</v>
      </c>
      <c r="G504" s="13" t="s">
        <v>4856</v>
      </c>
    </row>
    <row r="505" ht="12.75" customHeight="1">
      <c r="A505" s="13" t="s">
        <v>1491</v>
      </c>
      <c r="B505" s="13" t="s">
        <v>14629</v>
      </c>
      <c r="C505" s="13" t="s">
        <v>14638</v>
      </c>
      <c r="D505" s="2" t="s">
        <v>0</v>
      </c>
      <c r="E505" s="13" t="s">
        <v>14640</v>
      </c>
      <c r="F505" s="13" t="s">
        <v>5540</v>
      </c>
      <c r="G505" s="13" t="s">
        <v>4864</v>
      </c>
    </row>
    <row r="506" ht="12.75" customHeight="1">
      <c r="A506" s="13" t="s">
        <v>1488</v>
      </c>
      <c r="B506" s="13" t="s">
        <v>14645</v>
      </c>
      <c r="C506" s="13" t="s">
        <v>14655</v>
      </c>
      <c r="D506" s="2" t="s">
        <v>0</v>
      </c>
      <c r="E506" s="13" t="s">
        <v>14657</v>
      </c>
      <c r="F506" s="13" t="s">
        <v>5540</v>
      </c>
      <c r="G506" s="13" t="s">
        <v>4864</v>
      </c>
    </row>
    <row r="507" ht="12.75" customHeight="1">
      <c r="A507" s="2" t="s">
        <v>1486</v>
      </c>
      <c r="B507" s="13" t="s">
        <v>14662</v>
      </c>
      <c r="C507" s="13" t="s">
        <v>14669</v>
      </c>
      <c r="D507" s="2" t="s">
        <v>0</v>
      </c>
      <c r="E507" s="13" t="s">
        <v>14671</v>
      </c>
      <c r="F507" s="13" t="s">
        <v>5540</v>
      </c>
      <c r="G507" s="13" t="s">
        <v>4856</v>
      </c>
    </row>
    <row r="508" ht="12.75" customHeight="1">
      <c r="A508" s="13" t="s">
        <v>1483</v>
      </c>
      <c r="B508" s="13" t="s">
        <v>14676</v>
      </c>
      <c r="C508" s="13" t="s">
        <v>14682</v>
      </c>
      <c r="D508" s="2" t="s">
        <v>0</v>
      </c>
      <c r="E508" s="13" t="s">
        <v>14684</v>
      </c>
      <c r="F508" s="13" t="s">
        <v>9118</v>
      </c>
      <c r="G508" s="13" t="s">
        <v>4856</v>
      </c>
    </row>
    <row r="509" ht="12.75" customHeight="1">
      <c r="A509" s="13" t="s">
        <v>1480</v>
      </c>
      <c r="B509" s="13" t="s">
        <v>14689</v>
      </c>
      <c r="C509" s="13" t="s">
        <v>14699</v>
      </c>
      <c r="D509" s="2" t="s">
        <v>0</v>
      </c>
      <c r="E509" s="13" t="s">
        <v>14701</v>
      </c>
      <c r="F509" s="13" t="s">
        <v>5540</v>
      </c>
      <c r="G509" s="13" t="s">
        <v>4856</v>
      </c>
    </row>
    <row r="510" ht="12.75" customHeight="1">
      <c r="A510" s="13" t="s">
        <v>1478</v>
      </c>
      <c r="B510" s="13" t="s">
        <v>14705</v>
      </c>
      <c r="C510" s="13" t="s">
        <v>14714</v>
      </c>
      <c r="D510" s="2" t="s">
        <v>0</v>
      </c>
      <c r="E510" s="13" t="s">
        <v>14716</v>
      </c>
      <c r="F510" s="13" t="s">
        <v>5540</v>
      </c>
      <c r="G510" s="13" t="s">
        <v>4864</v>
      </c>
    </row>
    <row r="511" ht="12.75" customHeight="1">
      <c r="A511" s="13" t="s">
        <v>1475</v>
      </c>
      <c r="B511" s="13" t="s">
        <v>14721</v>
      </c>
      <c r="C511" s="13" t="s">
        <v>14730</v>
      </c>
      <c r="D511" s="2" t="s">
        <v>0</v>
      </c>
      <c r="E511" s="13" t="s">
        <v>14732</v>
      </c>
      <c r="F511" s="13" t="s">
        <v>5540</v>
      </c>
      <c r="G511" s="13" t="s">
        <v>4856</v>
      </c>
    </row>
    <row r="512" ht="12.75" customHeight="1">
      <c r="A512" s="2" t="s">
        <v>1471</v>
      </c>
      <c r="B512" s="13" t="s">
        <v>14737</v>
      </c>
      <c r="C512" s="13" t="s">
        <v>14745</v>
      </c>
      <c r="D512" s="2" t="s">
        <v>0</v>
      </c>
      <c r="E512" s="13" t="s">
        <v>14748</v>
      </c>
      <c r="F512" s="13" t="s">
        <v>9118</v>
      </c>
      <c r="G512" s="13" t="s">
        <v>4864</v>
      </c>
    </row>
    <row r="513" ht="12.75" customHeight="1">
      <c r="A513" s="13" t="s">
        <v>1469</v>
      </c>
      <c r="B513" s="13" t="s">
        <v>14753</v>
      </c>
      <c r="C513" s="13" t="s">
        <v>14762</v>
      </c>
      <c r="D513" s="2" t="s">
        <v>0</v>
      </c>
      <c r="E513" s="13" t="s">
        <v>14764</v>
      </c>
      <c r="F513" s="13" t="s">
        <v>5540</v>
      </c>
      <c r="G513" s="13" t="s">
        <v>4856</v>
      </c>
    </row>
    <row r="514" ht="12.75" customHeight="1">
      <c r="A514" s="13" t="s">
        <v>1466</v>
      </c>
      <c r="B514" s="13" t="s">
        <v>14769</v>
      </c>
      <c r="C514" s="13" t="s">
        <v>14776</v>
      </c>
      <c r="D514" s="2" t="s">
        <v>0</v>
      </c>
      <c r="E514" s="13" t="s">
        <v>14778</v>
      </c>
      <c r="F514" s="13" t="s">
        <v>5540</v>
      </c>
      <c r="G514" s="13" t="s">
        <v>4856</v>
      </c>
    </row>
    <row r="515" ht="12.75" customHeight="1">
      <c r="A515" s="13" t="s">
        <v>1464</v>
      </c>
      <c r="B515" s="13" t="s">
        <v>14783</v>
      </c>
      <c r="C515" s="13" t="s">
        <v>14792</v>
      </c>
      <c r="D515" s="2" t="s">
        <v>0</v>
      </c>
      <c r="E515" s="13" t="s">
        <v>14794</v>
      </c>
      <c r="F515" s="13" t="s">
        <v>5540</v>
      </c>
      <c r="G515" s="13" t="s">
        <v>4856</v>
      </c>
    </row>
    <row r="516" ht="12.75" customHeight="1">
      <c r="A516" s="13" t="s">
        <v>1461</v>
      </c>
      <c r="B516" s="13" t="s">
        <v>14799</v>
      </c>
      <c r="C516" s="13" t="s">
        <v>14809</v>
      </c>
      <c r="D516" s="2" t="s">
        <v>0</v>
      </c>
      <c r="E516" s="13" t="s">
        <v>14811</v>
      </c>
      <c r="F516" s="13" t="s">
        <v>5540</v>
      </c>
      <c r="G516" s="13" t="s">
        <v>4856</v>
      </c>
    </row>
    <row r="517" ht="12.75" customHeight="1">
      <c r="A517" s="13" t="s">
        <v>1458</v>
      </c>
      <c r="B517" s="13" t="s">
        <v>14815</v>
      </c>
      <c r="C517" s="13" t="s">
        <v>14825</v>
      </c>
      <c r="D517" s="2" t="s">
        <v>0</v>
      </c>
      <c r="E517" s="13" t="s">
        <v>14827</v>
      </c>
      <c r="F517" s="13" t="s">
        <v>5540</v>
      </c>
      <c r="G517" s="13" t="s">
        <v>4856</v>
      </c>
    </row>
    <row r="518" ht="12.75" customHeight="1">
      <c r="A518" s="13" t="s">
        <v>1455</v>
      </c>
      <c r="B518" s="13" t="s">
        <v>14832</v>
      </c>
      <c r="C518" s="13" t="s">
        <v>14840</v>
      </c>
      <c r="D518" s="2" t="s">
        <v>0</v>
      </c>
      <c r="E518" s="13" t="s">
        <v>14842</v>
      </c>
      <c r="F518" s="13" t="s">
        <v>5540</v>
      </c>
      <c r="G518" s="13" t="s">
        <v>4856</v>
      </c>
    </row>
    <row r="519" ht="12.75" customHeight="1">
      <c r="A519" s="13" t="s">
        <v>1441</v>
      </c>
      <c r="B519" s="13" t="s">
        <v>14847</v>
      </c>
      <c r="C519" s="13" t="s">
        <v>14855</v>
      </c>
      <c r="D519" s="2" t="s">
        <v>0</v>
      </c>
      <c r="E519" s="13" t="s">
        <v>14857</v>
      </c>
      <c r="F519" s="13" t="s">
        <v>5540</v>
      </c>
      <c r="G519" s="13" t="s">
        <v>4886</v>
      </c>
    </row>
    <row r="520" ht="12.75" customHeight="1">
      <c r="A520" s="2" t="s">
        <v>1439</v>
      </c>
      <c r="B520" s="13" t="s">
        <v>5510</v>
      </c>
      <c r="C520" s="13" t="s">
        <v>14868</v>
      </c>
      <c r="D520" s="2" t="s">
        <v>0</v>
      </c>
      <c r="E520" s="13" t="s">
        <v>14872</v>
      </c>
      <c r="F520" s="13" t="s">
        <v>5540</v>
      </c>
      <c r="G520" s="13" t="s">
        <v>4856</v>
      </c>
    </row>
    <row r="521" ht="12.75" customHeight="1">
      <c r="A521" s="13" t="s">
        <v>1439</v>
      </c>
      <c r="B521" s="13" t="s">
        <v>14874</v>
      </c>
      <c r="C521" s="13" t="s">
        <v>14882</v>
      </c>
      <c r="D521" s="2" t="s">
        <v>0</v>
      </c>
      <c r="E521" s="13" t="s">
        <v>14884</v>
      </c>
      <c r="F521" s="13" t="s">
        <v>5540</v>
      </c>
      <c r="G521" s="13" t="s">
        <v>4856</v>
      </c>
    </row>
    <row r="522" ht="12.75" customHeight="1">
      <c r="A522" s="13" t="s">
        <v>1436</v>
      </c>
      <c r="B522" s="13" t="s">
        <v>14889</v>
      </c>
      <c r="C522" s="13" t="s">
        <v>14898</v>
      </c>
      <c r="D522" s="2" t="s">
        <v>0</v>
      </c>
      <c r="E522" s="13" t="s">
        <v>14900</v>
      </c>
      <c r="F522" s="13" t="s">
        <v>5540</v>
      </c>
      <c r="G522" s="13" t="s">
        <v>4855</v>
      </c>
    </row>
    <row r="523" ht="12.75" customHeight="1">
      <c r="A523" s="13" t="s">
        <v>1433</v>
      </c>
      <c r="B523" s="13" t="s">
        <v>14905</v>
      </c>
      <c r="C523" s="13" t="s">
        <v>14912</v>
      </c>
      <c r="D523" s="2" t="s">
        <v>0</v>
      </c>
      <c r="E523" s="13" t="s">
        <v>14914</v>
      </c>
      <c r="F523" s="13" t="s">
        <v>5540</v>
      </c>
      <c r="G523" s="13" t="s">
        <v>4852</v>
      </c>
    </row>
    <row r="524" ht="12.75" customHeight="1">
      <c r="A524" s="13" t="s">
        <v>1431</v>
      </c>
      <c r="B524" s="13" t="s">
        <v>14920</v>
      </c>
      <c r="C524" s="13" t="s">
        <v>14931</v>
      </c>
      <c r="D524" s="2" t="s">
        <v>0</v>
      </c>
      <c r="E524" s="13" t="s">
        <v>14933</v>
      </c>
      <c r="F524" s="13" t="s">
        <v>5540</v>
      </c>
      <c r="G524" s="13" t="s">
        <v>4864</v>
      </c>
    </row>
    <row r="525" ht="12.75" customHeight="1">
      <c r="A525" s="13" t="s">
        <v>1428</v>
      </c>
      <c r="B525" s="13" t="s">
        <v>14938</v>
      </c>
      <c r="C525" s="13" t="s">
        <v>14948</v>
      </c>
      <c r="D525" s="2" t="s">
        <v>0</v>
      </c>
      <c r="E525" s="13" t="s">
        <v>14951</v>
      </c>
      <c r="F525" s="13" t="s">
        <v>5540</v>
      </c>
      <c r="G525" s="13" t="s">
        <v>4856</v>
      </c>
    </row>
    <row r="526" ht="12.75" customHeight="1">
      <c r="A526" s="2" t="s">
        <v>1427</v>
      </c>
      <c r="B526" s="13" t="s">
        <v>5510</v>
      </c>
      <c r="C526" s="13" t="s">
        <v>14958</v>
      </c>
      <c r="D526" s="2" t="s">
        <v>0</v>
      </c>
      <c r="E526" s="13" t="s">
        <v>14960</v>
      </c>
      <c r="F526" s="13" t="s">
        <v>5540</v>
      </c>
      <c r="G526" s="13" t="s">
        <v>4856</v>
      </c>
    </row>
    <row r="527" ht="12.75" customHeight="1">
      <c r="A527" s="13" t="s">
        <v>14961</v>
      </c>
      <c r="B527" s="13" t="s">
        <v>14963</v>
      </c>
      <c r="C527" s="13" t="s">
        <v>14975</v>
      </c>
      <c r="D527" s="2" t="s">
        <v>0</v>
      </c>
      <c r="E527" s="13" t="s">
        <v>14977</v>
      </c>
      <c r="F527" s="13" t="s">
        <v>5540</v>
      </c>
      <c r="G527" s="13" t="s">
        <v>4856</v>
      </c>
    </row>
    <row r="528" ht="12.75" customHeight="1">
      <c r="A528" s="13" t="s">
        <v>1424</v>
      </c>
      <c r="B528" s="13" t="s">
        <v>14982</v>
      </c>
      <c r="C528" s="13" t="s">
        <v>14990</v>
      </c>
      <c r="D528" s="2" t="s">
        <v>0</v>
      </c>
      <c r="E528" s="13" t="s">
        <v>14992</v>
      </c>
      <c r="F528" s="13" t="s">
        <v>5540</v>
      </c>
      <c r="G528" s="13" t="s">
        <v>4864</v>
      </c>
    </row>
    <row r="529" ht="12.75" customHeight="1">
      <c r="A529" s="13" t="s">
        <v>14995</v>
      </c>
      <c r="B529" s="13" t="s">
        <v>14997</v>
      </c>
      <c r="C529" s="13" t="s">
        <v>15009</v>
      </c>
      <c r="D529" s="2" t="s">
        <v>0</v>
      </c>
      <c r="E529" s="13" t="s">
        <v>15011</v>
      </c>
      <c r="F529" s="13" t="s">
        <v>5540</v>
      </c>
      <c r="G529" s="13" t="s">
        <v>4856</v>
      </c>
    </row>
    <row r="530" ht="12.75" customHeight="1">
      <c r="A530" s="13" t="s">
        <v>15014</v>
      </c>
      <c r="B530" s="13" t="s">
        <v>15017</v>
      </c>
      <c r="C530" s="13" t="s">
        <v>15023</v>
      </c>
      <c r="D530" s="2" t="s">
        <v>0</v>
      </c>
      <c r="E530" s="13" t="s">
        <v>15025</v>
      </c>
      <c r="F530" s="13" t="s">
        <v>5540</v>
      </c>
      <c r="G530" s="13" t="s">
        <v>4856</v>
      </c>
    </row>
    <row r="531" ht="12.75" customHeight="1">
      <c r="A531" s="13" t="s">
        <v>1407</v>
      </c>
      <c r="B531" s="13" t="s">
        <v>15031</v>
      </c>
      <c r="C531" s="13" t="s">
        <v>15045</v>
      </c>
      <c r="D531" s="2" t="s">
        <v>0</v>
      </c>
      <c r="E531" s="13" t="s">
        <v>15047</v>
      </c>
      <c r="F531" s="13" t="s">
        <v>5540</v>
      </c>
      <c r="G531" s="13" t="s">
        <v>4856</v>
      </c>
    </row>
    <row r="532" ht="12.75" customHeight="1">
      <c r="A532" s="13" t="s">
        <v>1399</v>
      </c>
      <c r="B532" s="13" t="s">
        <v>15052</v>
      </c>
      <c r="C532" s="13" t="s">
        <v>15061</v>
      </c>
      <c r="D532" s="2" t="s">
        <v>0</v>
      </c>
      <c r="E532" s="13" t="s">
        <v>15063</v>
      </c>
      <c r="F532" s="13" t="s">
        <v>5540</v>
      </c>
      <c r="G532" s="13" t="s">
        <v>4852</v>
      </c>
    </row>
    <row r="533" ht="12.75" customHeight="1">
      <c r="A533" s="13" t="s">
        <v>1394</v>
      </c>
      <c r="B533" s="13" t="s">
        <v>15068</v>
      </c>
      <c r="C533" s="13" t="s">
        <v>15077</v>
      </c>
      <c r="D533" s="2" t="s">
        <v>0</v>
      </c>
      <c r="E533" s="13" t="s">
        <v>15079</v>
      </c>
      <c r="F533" s="13" t="s">
        <v>5540</v>
      </c>
      <c r="G533" s="13" t="s">
        <v>4856</v>
      </c>
    </row>
    <row r="534" ht="12.75" customHeight="1">
      <c r="A534" s="13" t="s">
        <v>1392</v>
      </c>
      <c r="B534" s="13" t="s">
        <v>15083</v>
      </c>
      <c r="C534" s="13" t="s">
        <v>15093</v>
      </c>
      <c r="D534" s="2" t="s">
        <v>0</v>
      </c>
      <c r="E534" s="13" t="s">
        <v>15095</v>
      </c>
      <c r="F534" s="13" t="s">
        <v>5540</v>
      </c>
      <c r="G534" s="13" t="s">
        <v>4864</v>
      </c>
    </row>
    <row r="535" ht="12.75" customHeight="1">
      <c r="A535" s="13" t="s">
        <v>15098</v>
      </c>
      <c r="B535" s="13" t="s">
        <v>15101</v>
      </c>
      <c r="C535" s="13" t="s">
        <v>15110</v>
      </c>
      <c r="D535" s="2" t="s">
        <v>0</v>
      </c>
      <c r="E535" s="13" t="s">
        <v>15112</v>
      </c>
      <c r="F535" s="13" t="s">
        <v>5540</v>
      </c>
      <c r="G535" s="13" t="s">
        <v>4856</v>
      </c>
    </row>
    <row r="536" ht="12.75" customHeight="1">
      <c r="A536" s="13" t="s">
        <v>1387</v>
      </c>
      <c r="B536" s="13" t="s">
        <v>15117</v>
      </c>
      <c r="C536" s="13" t="s">
        <v>15128</v>
      </c>
      <c r="D536" s="2" t="s">
        <v>0</v>
      </c>
      <c r="E536" s="13" t="s">
        <v>15130</v>
      </c>
      <c r="F536" s="13" t="s">
        <v>5540</v>
      </c>
      <c r="G536" s="13" t="s">
        <v>4856</v>
      </c>
    </row>
    <row r="537" ht="12.75" customHeight="1">
      <c r="A537" s="13" t="s">
        <v>1383</v>
      </c>
      <c r="B537" s="13" t="s">
        <v>15135</v>
      </c>
      <c r="C537" s="13" t="s">
        <v>15147</v>
      </c>
      <c r="D537" s="2" t="s">
        <v>0</v>
      </c>
      <c r="E537" s="13" t="s">
        <v>15149</v>
      </c>
      <c r="F537" s="13" t="s">
        <v>5540</v>
      </c>
      <c r="G537" s="13" t="s">
        <v>4864</v>
      </c>
    </row>
    <row r="538" ht="12.75" customHeight="1">
      <c r="A538" s="13" t="s">
        <v>15152</v>
      </c>
      <c r="B538" s="13" t="s">
        <v>15156</v>
      </c>
      <c r="C538" s="13" t="s">
        <v>15168</v>
      </c>
      <c r="D538" s="2" t="s">
        <v>0</v>
      </c>
      <c r="E538" s="13" t="s">
        <v>15170</v>
      </c>
      <c r="F538" s="13" t="s">
        <v>5540</v>
      </c>
      <c r="G538" s="13" t="s">
        <v>4856</v>
      </c>
    </row>
    <row r="539" ht="12.75" customHeight="1">
      <c r="A539" s="13" t="s">
        <v>1376</v>
      </c>
      <c r="B539" s="13" t="s">
        <v>15175</v>
      </c>
      <c r="C539" s="13" t="s">
        <v>15184</v>
      </c>
      <c r="D539" s="2" t="s">
        <v>0</v>
      </c>
      <c r="E539" s="13" t="s">
        <v>15186</v>
      </c>
      <c r="F539" s="13" t="s">
        <v>5540</v>
      </c>
      <c r="G539" s="13" t="s">
        <v>4852</v>
      </c>
    </row>
    <row r="540" ht="12.75" customHeight="1">
      <c r="A540" s="13" t="s">
        <v>1374</v>
      </c>
      <c r="B540" s="13" t="s">
        <v>15191</v>
      </c>
      <c r="C540" s="13" t="s">
        <v>15201</v>
      </c>
      <c r="D540" s="2" t="s">
        <v>0</v>
      </c>
      <c r="E540" s="13" t="s">
        <v>15203</v>
      </c>
      <c r="F540" s="13" t="s">
        <v>5540</v>
      </c>
      <c r="G540" s="13" t="s">
        <v>4856</v>
      </c>
    </row>
    <row r="541" ht="12.75" customHeight="1">
      <c r="A541" s="13" t="s">
        <v>1371</v>
      </c>
      <c r="B541" s="13" t="s">
        <v>15208</v>
      </c>
      <c r="C541" s="13" t="s">
        <v>15218</v>
      </c>
      <c r="D541" s="2" t="s">
        <v>0</v>
      </c>
      <c r="E541" s="13" t="s">
        <v>15220</v>
      </c>
      <c r="F541" s="13" t="s">
        <v>5540</v>
      </c>
      <c r="G541" s="13" t="s">
        <v>4856</v>
      </c>
    </row>
    <row r="542" ht="12.75" customHeight="1">
      <c r="A542" s="2" t="s">
        <v>1368</v>
      </c>
      <c r="B542" s="13" t="s">
        <v>5510</v>
      </c>
      <c r="C542" s="13" t="s">
        <v>15227</v>
      </c>
      <c r="D542" s="2" t="s">
        <v>0</v>
      </c>
      <c r="E542" s="13" t="s">
        <v>15229</v>
      </c>
      <c r="F542" s="13" t="s">
        <v>5540</v>
      </c>
      <c r="G542" s="13" t="s">
        <v>4852</v>
      </c>
    </row>
    <row r="543" ht="12.75" customHeight="1">
      <c r="A543" s="13" t="s">
        <v>1368</v>
      </c>
      <c r="B543" s="13" t="s">
        <v>15231</v>
      </c>
      <c r="C543" s="13" t="s">
        <v>15242</v>
      </c>
      <c r="D543" s="2" t="s">
        <v>0</v>
      </c>
      <c r="E543" s="13" t="s">
        <v>15244</v>
      </c>
      <c r="F543" s="13" t="s">
        <v>5540</v>
      </c>
      <c r="G543" s="13" t="s">
        <v>4852</v>
      </c>
    </row>
    <row r="544" ht="12.75" customHeight="1">
      <c r="A544" s="13" t="s">
        <v>1365</v>
      </c>
      <c r="B544" s="13" t="s">
        <v>15250</v>
      </c>
      <c r="C544" s="13" t="s">
        <v>15263</v>
      </c>
      <c r="D544" s="2" t="s">
        <v>0</v>
      </c>
      <c r="E544" s="13" t="s">
        <v>15265</v>
      </c>
      <c r="F544" s="13" t="s">
        <v>5540</v>
      </c>
      <c r="G544" s="13" t="s">
        <v>4856</v>
      </c>
    </row>
    <row r="545" ht="12.75" customHeight="1">
      <c r="A545" s="13" t="s">
        <v>1361</v>
      </c>
      <c r="B545" s="13" t="s">
        <v>15269</v>
      </c>
      <c r="C545" s="13" t="s">
        <v>15278</v>
      </c>
      <c r="D545" s="2" t="s">
        <v>0</v>
      </c>
      <c r="E545" s="13" t="s">
        <v>15280</v>
      </c>
      <c r="F545" s="13" t="s">
        <v>5540</v>
      </c>
      <c r="G545" s="13" t="s">
        <v>4864</v>
      </c>
    </row>
    <row r="546" ht="12.75" customHeight="1">
      <c r="A546" s="13" t="s">
        <v>1358</v>
      </c>
      <c r="B546" s="13" t="s">
        <v>15285</v>
      </c>
      <c r="C546" s="13" t="s">
        <v>15293</v>
      </c>
      <c r="D546" s="2" t="s">
        <v>0</v>
      </c>
      <c r="E546" s="13" t="s">
        <v>15295</v>
      </c>
      <c r="F546" s="13" t="s">
        <v>5540</v>
      </c>
      <c r="G546" s="13" t="s">
        <v>4855</v>
      </c>
    </row>
    <row r="547" ht="12.75" customHeight="1">
      <c r="A547" s="13" t="s">
        <v>1357</v>
      </c>
      <c r="B547" s="13" t="s">
        <v>15299</v>
      </c>
      <c r="C547" s="13" t="s">
        <v>15309</v>
      </c>
      <c r="D547" s="2" t="s">
        <v>0</v>
      </c>
      <c r="E547" s="13" t="s">
        <v>15311</v>
      </c>
      <c r="F547" s="13" t="s">
        <v>5540</v>
      </c>
      <c r="G547" s="13" t="s">
        <v>4856</v>
      </c>
    </row>
    <row r="548" ht="12.75" customHeight="1">
      <c r="A548" s="13" t="s">
        <v>15314</v>
      </c>
      <c r="B548" s="13" t="s">
        <v>15316</v>
      </c>
      <c r="C548" s="13" t="s">
        <v>15328</v>
      </c>
      <c r="D548" s="2" t="s">
        <v>0</v>
      </c>
      <c r="E548" s="13" t="s">
        <v>15330</v>
      </c>
      <c r="F548" s="13" t="s">
        <v>5540</v>
      </c>
      <c r="G548" s="13" t="s">
        <v>4856</v>
      </c>
    </row>
    <row r="549" ht="12.75" customHeight="1">
      <c r="A549" s="13" t="s">
        <v>1352</v>
      </c>
      <c r="B549" s="13" t="s">
        <v>15335</v>
      </c>
      <c r="C549" s="13" t="s">
        <v>15345</v>
      </c>
      <c r="D549" s="2" t="s">
        <v>0</v>
      </c>
      <c r="E549" s="13" t="s">
        <v>15347</v>
      </c>
      <c r="F549" s="13" t="s">
        <v>5540</v>
      </c>
      <c r="G549" s="13" t="s">
        <v>4856</v>
      </c>
    </row>
    <row r="550" ht="12.75" customHeight="1">
      <c r="A550" s="13" t="s">
        <v>1349</v>
      </c>
      <c r="B550" s="13" t="s">
        <v>15352</v>
      </c>
      <c r="C550" s="13" t="s">
        <v>15362</v>
      </c>
      <c r="D550" s="2" t="s">
        <v>0</v>
      </c>
      <c r="E550" s="13" t="s">
        <v>15364</v>
      </c>
      <c r="F550" s="13" t="s">
        <v>5540</v>
      </c>
      <c r="G550" s="13" t="s">
        <v>4856</v>
      </c>
    </row>
    <row r="551" ht="12.75" customHeight="1">
      <c r="A551" s="13" t="s">
        <v>1347</v>
      </c>
      <c r="B551" s="13" t="s">
        <v>15369</v>
      </c>
      <c r="C551" s="13" t="s">
        <v>15379</v>
      </c>
      <c r="D551" s="2" t="s">
        <v>0</v>
      </c>
      <c r="E551" s="13" t="s">
        <v>15381</v>
      </c>
      <c r="F551" s="13" t="s">
        <v>5540</v>
      </c>
      <c r="G551" s="13" t="s">
        <v>4856</v>
      </c>
    </row>
    <row r="552" ht="12.75" customHeight="1">
      <c r="A552" s="13" t="s">
        <v>1345</v>
      </c>
      <c r="B552" s="13" t="s">
        <v>15385</v>
      </c>
      <c r="C552" s="13" t="s">
        <v>15396</v>
      </c>
      <c r="D552" s="2" t="s">
        <v>0</v>
      </c>
      <c r="E552" s="13" t="s">
        <v>15398</v>
      </c>
      <c r="F552" s="13" t="s">
        <v>9118</v>
      </c>
      <c r="G552" s="13" t="s">
        <v>4856</v>
      </c>
    </row>
    <row r="553" ht="12.75" customHeight="1">
      <c r="A553" s="13" t="s">
        <v>1342</v>
      </c>
      <c r="B553" s="13" t="s">
        <v>15403</v>
      </c>
      <c r="C553" s="13" t="s">
        <v>15413</v>
      </c>
      <c r="D553" s="2" t="s">
        <v>0</v>
      </c>
      <c r="E553" s="13" t="s">
        <v>15415</v>
      </c>
      <c r="F553" s="13" t="s">
        <v>5540</v>
      </c>
      <c r="G553" s="13" t="s">
        <v>4856</v>
      </c>
    </row>
    <row r="554" ht="12.75" customHeight="1">
      <c r="A554" s="13" t="s">
        <v>1339</v>
      </c>
      <c r="B554" s="13" t="s">
        <v>15420</v>
      </c>
      <c r="C554" s="13" t="s">
        <v>15428</v>
      </c>
      <c r="D554" s="2" t="s">
        <v>0</v>
      </c>
      <c r="E554" s="13" t="s">
        <v>15430</v>
      </c>
      <c r="F554" s="13" t="s">
        <v>5540</v>
      </c>
      <c r="G554" s="13" t="s">
        <v>4856</v>
      </c>
    </row>
    <row r="555" ht="12.75" customHeight="1">
      <c r="A555" s="2" t="s">
        <v>1337</v>
      </c>
      <c r="B555" s="13" t="s">
        <v>5510</v>
      </c>
      <c r="C555" s="13" t="s">
        <v>15440</v>
      </c>
      <c r="D555" s="2" t="s">
        <v>0</v>
      </c>
      <c r="E555" s="13" t="s">
        <v>15442</v>
      </c>
      <c r="F555" s="13" t="s">
        <v>5540</v>
      </c>
      <c r="G555" s="13" t="s">
        <v>4856</v>
      </c>
    </row>
    <row r="556" ht="12.75" customHeight="1">
      <c r="A556" s="13" t="s">
        <v>1335</v>
      </c>
      <c r="B556" s="13" t="s">
        <v>15447</v>
      </c>
      <c r="C556" s="13" t="s">
        <v>15457</v>
      </c>
      <c r="D556" s="2" t="s">
        <v>0</v>
      </c>
      <c r="E556" s="13" t="s">
        <v>15460</v>
      </c>
      <c r="F556" s="13" t="s">
        <v>5540</v>
      </c>
      <c r="G556" s="13" t="s">
        <v>4855</v>
      </c>
    </row>
    <row r="557" ht="12.75" customHeight="1">
      <c r="A557" s="2" t="s">
        <v>1333</v>
      </c>
      <c r="B557" s="13" t="s">
        <v>15464</v>
      </c>
      <c r="C557" s="13" t="s">
        <v>15475</v>
      </c>
      <c r="D557" s="2" t="s">
        <v>0</v>
      </c>
      <c r="E557" s="13" t="s">
        <v>15477</v>
      </c>
      <c r="F557" s="13" t="s">
        <v>5540</v>
      </c>
      <c r="G557" s="13" t="s">
        <v>4856</v>
      </c>
    </row>
    <row r="558" ht="12.75" customHeight="1">
      <c r="A558" s="13" t="s">
        <v>15480</v>
      </c>
      <c r="B558" s="13" t="s">
        <v>15482</v>
      </c>
      <c r="C558" s="13" t="s">
        <v>15493</v>
      </c>
      <c r="D558" s="2" t="s">
        <v>0</v>
      </c>
      <c r="E558" s="13" t="s">
        <v>15495</v>
      </c>
      <c r="F558" s="13" t="s">
        <v>5540</v>
      </c>
      <c r="G558" s="13" t="s">
        <v>4864</v>
      </c>
    </row>
    <row r="559" ht="12.75" customHeight="1">
      <c r="A559" s="13" t="s">
        <v>1328</v>
      </c>
      <c r="B559" s="13" t="s">
        <v>15500</v>
      </c>
      <c r="C559" s="13" t="s">
        <v>15510</v>
      </c>
      <c r="D559" s="2" t="s">
        <v>0</v>
      </c>
      <c r="E559" s="13" t="s">
        <v>15512</v>
      </c>
      <c r="F559" s="13" t="s">
        <v>5540</v>
      </c>
      <c r="G559" s="13" t="s">
        <v>4864</v>
      </c>
    </row>
    <row r="560" ht="12.75" customHeight="1">
      <c r="A560" s="13" t="s">
        <v>1325</v>
      </c>
      <c r="B560" s="13" t="s">
        <v>15517</v>
      </c>
      <c r="C560" s="13" t="s">
        <v>15527</v>
      </c>
      <c r="D560" s="2" t="s">
        <v>0</v>
      </c>
      <c r="E560" s="13" t="s">
        <v>15529</v>
      </c>
      <c r="F560" s="13" t="s">
        <v>5540</v>
      </c>
      <c r="G560" s="13" t="s">
        <v>4864</v>
      </c>
    </row>
    <row r="561" ht="12.75" customHeight="1">
      <c r="A561" s="13" t="s">
        <v>1322</v>
      </c>
      <c r="B561" s="13" t="s">
        <v>15534</v>
      </c>
      <c r="C561" s="13" t="s">
        <v>15544</v>
      </c>
      <c r="D561" s="2" t="s">
        <v>0</v>
      </c>
      <c r="E561" s="13" t="s">
        <v>15545</v>
      </c>
      <c r="F561" s="13" t="s">
        <v>9118</v>
      </c>
      <c r="G561" s="13" t="s">
        <v>4864</v>
      </c>
    </row>
    <row r="562" ht="12.75" customHeight="1">
      <c r="A562" s="13" t="s">
        <v>1320</v>
      </c>
      <c r="B562" s="13" t="s">
        <v>15550</v>
      </c>
      <c r="C562" s="13" t="s">
        <v>15560</v>
      </c>
      <c r="D562" s="2" t="s">
        <v>0</v>
      </c>
      <c r="E562" s="13" t="s">
        <v>15562</v>
      </c>
      <c r="F562" s="13" t="s">
        <v>5540</v>
      </c>
      <c r="G562" s="13" t="s">
        <v>4856</v>
      </c>
    </row>
    <row r="563" ht="12.75" customHeight="1">
      <c r="A563" s="13" t="s">
        <v>1317</v>
      </c>
      <c r="B563" s="13" t="s">
        <v>15567</v>
      </c>
      <c r="C563" s="13" t="s">
        <v>15576</v>
      </c>
      <c r="D563" s="2" t="s">
        <v>0</v>
      </c>
      <c r="E563" s="13" t="s">
        <v>15578</v>
      </c>
      <c r="F563" s="13" t="s">
        <v>5540</v>
      </c>
      <c r="G563" s="13" t="s">
        <v>4856</v>
      </c>
    </row>
    <row r="564" ht="12.75" customHeight="1">
      <c r="A564" s="13" t="s">
        <v>1313</v>
      </c>
      <c r="B564" s="13" t="s">
        <v>15583</v>
      </c>
      <c r="C564" s="13" t="s">
        <v>15587</v>
      </c>
      <c r="D564" s="2" t="s">
        <v>0</v>
      </c>
      <c r="E564" s="13" t="s">
        <v>15589</v>
      </c>
      <c r="F564" s="13" t="s">
        <v>5540</v>
      </c>
      <c r="G564" s="13" t="s">
        <v>4856</v>
      </c>
    </row>
    <row r="565" ht="12.75" customHeight="1">
      <c r="A565" s="13" t="s">
        <v>1310</v>
      </c>
      <c r="B565" s="13" t="s">
        <v>15593</v>
      </c>
      <c r="C565" s="13" t="s">
        <v>15604</v>
      </c>
      <c r="D565" s="2" t="s">
        <v>0</v>
      </c>
      <c r="E565" s="13" t="s">
        <v>15606</v>
      </c>
      <c r="F565" s="13" t="s">
        <v>5540</v>
      </c>
      <c r="G565" s="13" t="s">
        <v>4856</v>
      </c>
    </row>
    <row r="566" ht="12.75" customHeight="1">
      <c r="A566" s="13" t="s">
        <v>15609</v>
      </c>
      <c r="B566" s="13" t="s">
        <v>15613</v>
      </c>
      <c r="C566" s="13" t="s">
        <v>15627</v>
      </c>
      <c r="D566" s="2" t="s">
        <v>0</v>
      </c>
      <c r="E566" s="13" t="s">
        <v>15631</v>
      </c>
      <c r="F566" s="13" t="s">
        <v>5540</v>
      </c>
      <c r="G566" s="13" t="s">
        <v>4856</v>
      </c>
    </row>
    <row r="567" ht="12.75" customHeight="1">
      <c r="A567" s="13" t="s">
        <v>1302</v>
      </c>
      <c r="B567" s="13" t="s">
        <v>15637</v>
      </c>
      <c r="C567" s="13" t="s">
        <v>15648</v>
      </c>
      <c r="D567" s="2" t="s">
        <v>0</v>
      </c>
      <c r="E567" s="13" t="s">
        <v>15652</v>
      </c>
      <c r="F567" s="13" t="s">
        <v>5540</v>
      </c>
      <c r="G567" s="13" t="s">
        <v>4856</v>
      </c>
    </row>
    <row r="568" ht="12.75" customHeight="1">
      <c r="A568" s="13" t="s">
        <v>1299</v>
      </c>
      <c r="B568" s="13" t="s">
        <v>15657</v>
      </c>
      <c r="C568" s="13" t="s">
        <v>15667</v>
      </c>
      <c r="D568" s="2" t="s">
        <v>0</v>
      </c>
      <c r="E568" s="13" t="s">
        <v>15670</v>
      </c>
      <c r="F568" s="13" t="s">
        <v>5540</v>
      </c>
      <c r="G568" s="13" t="s">
        <v>4852</v>
      </c>
    </row>
    <row r="569" ht="12.75" customHeight="1">
      <c r="A569" s="2" t="s">
        <v>1295</v>
      </c>
      <c r="B569" s="13" t="s">
        <v>15675</v>
      </c>
      <c r="C569" s="13" t="s">
        <v>15685</v>
      </c>
      <c r="D569" s="2" t="s">
        <v>0</v>
      </c>
      <c r="E569" s="13" t="s">
        <v>15687</v>
      </c>
      <c r="F569" s="13" t="s">
        <v>5540</v>
      </c>
      <c r="G569" s="13" t="s">
        <v>4886</v>
      </c>
    </row>
    <row r="570" ht="12.75" customHeight="1">
      <c r="A570" s="13" t="s">
        <v>15690</v>
      </c>
      <c r="B570" s="13" t="s">
        <v>15693</v>
      </c>
      <c r="C570" s="13" t="s">
        <v>15701</v>
      </c>
      <c r="D570" s="2" t="s">
        <v>0</v>
      </c>
      <c r="E570" s="13" t="s">
        <v>15703</v>
      </c>
      <c r="F570" s="13" t="s">
        <v>5540</v>
      </c>
      <c r="G570" s="13" t="s">
        <v>4856</v>
      </c>
    </row>
    <row r="571" ht="12.75" customHeight="1">
      <c r="A571" s="13" t="s">
        <v>15706</v>
      </c>
      <c r="B571" s="13" t="s">
        <v>15710</v>
      </c>
      <c r="C571" s="13" t="s">
        <v>15724</v>
      </c>
      <c r="D571" s="2" t="s">
        <v>0</v>
      </c>
      <c r="E571" s="13" t="s">
        <v>15727</v>
      </c>
      <c r="F571" s="13" t="s">
        <v>5540</v>
      </c>
      <c r="G571" s="13" t="s">
        <v>4852</v>
      </c>
    </row>
    <row r="572" ht="12.75" customHeight="1">
      <c r="A572" s="13" t="s">
        <v>1284</v>
      </c>
      <c r="B572" s="13" t="s">
        <v>15733</v>
      </c>
      <c r="C572" s="13" t="s">
        <v>15746</v>
      </c>
      <c r="D572" s="2" t="s">
        <v>0</v>
      </c>
      <c r="E572" s="13" t="s">
        <v>15749</v>
      </c>
      <c r="F572" s="13" t="s">
        <v>5540</v>
      </c>
      <c r="G572" s="13" t="s">
        <v>4852</v>
      </c>
    </row>
    <row r="573" ht="12.75" customHeight="1">
      <c r="A573" s="13" t="s">
        <v>1282</v>
      </c>
      <c r="B573" s="13" t="s">
        <v>15754</v>
      </c>
      <c r="C573" s="13" t="s">
        <v>15761</v>
      </c>
      <c r="D573" s="2" t="s">
        <v>0</v>
      </c>
      <c r="E573" s="13" t="s">
        <v>15763</v>
      </c>
      <c r="F573" s="13" t="s">
        <v>5540</v>
      </c>
      <c r="G573" s="13" t="s">
        <v>4856</v>
      </c>
    </row>
    <row r="574" ht="12.75" customHeight="1">
      <c r="A574" s="13" t="s">
        <v>15765</v>
      </c>
      <c r="B574" s="13" t="s">
        <v>15769</v>
      </c>
      <c r="C574" s="13" t="s">
        <v>15780</v>
      </c>
      <c r="D574" s="2" t="s">
        <v>0</v>
      </c>
      <c r="E574" s="13" t="s">
        <v>15784</v>
      </c>
      <c r="F574" s="13" t="s">
        <v>5540</v>
      </c>
      <c r="G574" s="13" t="s">
        <v>4856</v>
      </c>
    </row>
    <row r="575" ht="12.75" customHeight="1">
      <c r="A575" s="13" t="s">
        <v>1274</v>
      </c>
      <c r="B575" s="13" t="s">
        <v>15788</v>
      </c>
      <c r="C575" s="13" t="s">
        <v>15798</v>
      </c>
      <c r="D575" s="2" t="s">
        <v>0</v>
      </c>
      <c r="E575" s="13" t="s">
        <v>15800</v>
      </c>
      <c r="F575" s="13" t="s">
        <v>5540</v>
      </c>
      <c r="G575" s="13" t="s">
        <v>4852</v>
      </c>
    </row>
    <row r="576" ht="12.75" customHeight="1">
      <c r="A576" s="13" t="s">
        <v>1271</v>
      </c>
      <c r="B576" s="13" t="s">
        <v>15805</v>
      </c>
      <c r="C576" s="13" t="s">
        <v>15812</v>
      </c>
      <c r="D576" s="2" t="s">
        <v>0</v>
      </c>
      <c r="E576" s="13" t="s">
        <v>15814</v>
      </c>
      <c r="F576" s="13" t="s">
        <v>5540</v>
      </c>
      <c r="G576" s="13" t="s">
        <v>4856</v>
      </c>
    </row>
    <row r="577" ht="12.75" customHeight="1">
      <c r="A577" s="13" t="s">
        <v>1267</v>
      </c>
      <c r="B577" s="13" t="s">
        <v>15819</v>
      </c>
      <c r="C577" s="13" t="s">
        <v>15827</v>
      </c>
      <c r="D577" s="2" t="s">
        <v>0</v>
      </c>
      <c r="E577" s="13" t="s">
        <v>15829</v>
      </c>
      <c r="F577" s="13" t="s">
        <v>5540</v>
      </c>
      <c r="G577" s="13" t="s">
        <v>4856</v>
      </c>
    </row>
    <row r="578" ht="12.75" customHeight="1">
      <c r="A578" s="13" t="s">
        <v>1265</v>
      </c>
      <c r="B578" s="13" t="s">
        <v>15834</v>
      </c>
      <c r="C578" s="13" t="s">
        <v>15843</v>
      </c>
      <c r="D578" s="2" t="s">
        <v>0</v>
      </c>
      <c r="E578" s="13" t="s">
        <v>15845</v>
      </c>
      <c r="F578" s="13" t="s">
        <v>5540</v>
      </c>
      <c r="G578" s="13" t="s">
        <v>4864</v>
      </c>
    </row>
    <row r="579" ht="12.75" customHeight="1">
      <c r="A579" s="13" t="s">
        <v>1262</v>
      </c>
      <c r="B579" s="13" t="s">
        <v>15850</v>
      </c>
      <c r="C579" s="13" t="s">
        <v>15857</v>
      </c>
      <c r="D579" s="2" t="s">
        <v>0</v>
      </c>
      <c r="E579" s="13" t="s">
        <v>15859</v>
      </c>
      <c r="F579" s="13" t="s">
        <v>5540</v>
      </c>
      <c r="G579" s="13" t="s">
        <v>4856</v>
      </c>
    </row>
    <row r="580" ht="12.75" customHeight="1">
      <c r="A580" s="13" t="s">
        <v>1260</v>
      </c>
      <c r="B580" s="13" t="s">
        <v>15864</v>
      </c>
      <c r="C580" s="13" t="s">
        <v>15874</v>
      </c>
      <c r="D580" s="2" t="s">
        <v>0</v>
      </c>
      <c r="E580" s="13" t="s">
        <v>15876</v>
      </c>
      <c r="F580" s="13" t="s">
        <v>5540</v>
      </c>
      <c r="G580" s="13" t="s">
        <v>4852</v>
      </c>
    </row>
    <row r="581" ht="12.75" customHeight="1">
      <c r="A581" s="13" t="s">
        <v>1257</v>
      </c>
      <c r="B581" s="13" t="s">
        <v>15881</v>
      </c>
      <c r="C581" s="13" t="s">
        <v>15890</v>
      </c>
      <c r="D581" s="2" t="s">
        <v>0</v>
      </c>
      <c r="E581" s="13" t="s">
        <v>15892</v>
      </c>
      <c r="F581" s="13" t="s">
        <v>5540</v>
      </c>
      <c r="G581" s="13" t="s">
        <v>4886</v>
      </c>
    </row>
    <row r="582" ht="12.75" customHeight="1">
      <c r="A582" s="13" t="s">
        <v>1255</v>
      </c>
      <c r="B582" s="13" t="s">
        <v>15896</v>
      </c>
      <c r="C582" s="13" t="s">
        <v>15906</v>
      </c>
      <c r="D582" s="2" t="s">
        <v>0</v>
      </c>
      <c r="E582" s="13" t="s">
        <v>15908</v>
      </c>
      <c r="F582" s="13" t="s">
        <v>5540</v>
      </c>
      <c r="G582" s="13" t="s">
        <v>4856</v>
      </c>
    </row>
    <row r="583" ht="12.75" customHeight="1">
      <c r="A583" s="13" t="s">
        <v>1253</v>
      </c>
      <c r="B583" s="13" t="s">
        <v>15913</v>
      </c>
      <c r="C583" s="13" t="s">
        <v>15923</v>
      </c>
      <c r="D583" s="2" t="s">
        <v>0</v>
      </c>
      <c r="E583" s="13" t="s">
        <v>15925</v>
      </c>
      <c r="F583" s="13" t="s">
        <v>5540</v>
      </c>
      <c r="G583" s="13" t="s">
        <v>4856</v>
      </c>
    </row>
    <row r="584" ht="12.75" customHeight="1">
      <c r="A584" s="13" t="s">
        <v>15928</v>
      </c>
      <c r="B584" s="13" t="s">
        <v>15931</v>
      </c>
      <c r="C584" s="13" t="s">
        <v>15943</v>
      </c>
      <c r="D584" s="2" t="s">
        <v>0</v>
      </c>
      <c r="E584" s="13" t="s">
        <v>15945</v>
      </c>
      <c r="F584" s="13" t="s">
        <v>5540</v>
      </c>
      <c r="G584" s="13" t="s">
        <v>4856</v>
      </c>
    </row>
    <row r="585" ht="12.75" customHeight="1">
      <c r="A585" s="13" t="s">
        <v>1242</v>
      </c>
      <c r="B585" s="13" t="s">
        <v>15949</v>
      </c>
      <c r="C585" s="13" t="s">
        <v>15955</v>
      </c>
      <c r="D585" s="2" t="s">
        <v>0</v>
      </c>
      <c r="E585" s="13" t="s">
        <v>15957</v>
      </c>
      <c r="F585" s="13" t="s">
        <v>5540</v>
      </c>
      <c r="G585" s="13" t="s">
        <v>4856</v>
      </c>
    </row>
    <row r="586" ht="12.75" customHeight="1">
      <c r="A586" s="13" t="s">
        <v>1236</v>
      </c>
      <c r="B586" s="13" t="s">
        <v>15962</v>
      </c>
      <c r="C586" s="13" t="s">
        <v>15972</v>
      </c>
      <c r="D586" s="2" t="s">
        <v>0</v>
      </c>
      <c r="E586" s="13" t="s">
        <v>15974</v>
      </c>
      <c r="F586" s="13" t="s">
        <v>5540</v>
      </c>
      <c r="G586" s="13" t="s">
        <v>4856</v>
      </c>
    </row>
    <row r="587" ht="12.75" customHeight="1">
      <c r="A587" s="13" t="s">
        <v>1234</v>
      </c>
      <c r="B587" s="13" t="s">
        <v>15979</v>
      </c>
      <c r="C587" s="13" t="s">
        <v>15986</v>
      </c>
      <c r="D587" s="2" t="s">
        <v>0</v>
      </c>
      <c r="E587" s="13" t="s">
        <v>15988</v>
      </c>
      <c r="F587" s="13" t="s">
        <v>5540</v>
      </c>
      <c r="G587" s="13" t="s">
        <v>4852</v>
      </c>
    </row>
    <row r="588" ht="12.75" customHeight="1">
      <c r="A588" s="13" t="s">
        <v>1232</v>
      </c>
      <c r="B588" s="13" t="s">
        <v>15993</v>
      </c>
      <c r="C588" s="13" t="s">
        <v>16003</v>
      </c>
      <c r="D588" s="2" t="s">
        <v>0</v>
      </c>
      <c r="E588" s="13" t="s">
        <v>16005</v>
      </c>
      <c r="F588" s="13" t="s">
        <v>5540</v>
      </c>
      <c r="G588" s="13" t="s">
        <v>4856</v>
      </c>
    </row>
    <row r="589" ht="12.75" customHeight="1">
      <c r="A589" s="13" t="s">
        <v>1229</v>
      </c>
      <c r="B589" s="13" t="s">
        <v>16014</v>
      </c>
      <c r="C589" s="13" t="s">
        <v>16021</v>
      </c>
      <c r="D589" s="2" t="s">
        <v>0</v>
      </c>
      <c r="E589" s="13" t="s">
        <v>16023</v>
      </c>
      <c r="F589" s="13" t="s">
        <v>5540</v>
      </c>
      <c r="G589" s="13" t="s">
        <v>4856</v>
      </c>
    </row>
    <row r="590" ht="12.75" customHeight="1">
      <c r="A590" s="2" t="s">
        <v>1221</v>
      </c>
      <c r="B590" s="13" t="s">
        <v>5510</v>
      </c>
      <c r="C590" s="13" t="s">
        <v>16029</v>
      </c>
      <c r="D590" s="2" t="s">
        <v>0</v>
      </c>
      <c r="E590" s="13" t="s">
        <v>16031</v>
      </c>
      <c r="F590" s="13" t="s">
        <v>5540</v>
      </c>
      <c r="G590" s="13" t="s">
        <v>4852</v>
      </c>
    </row>
    <row r="591" ht="12.75" customHeight="1">
      <c r="A591" s="13" t="s">
        <v>1221</v>
      </c>
      <c r="B591" s="13" t="s">
        <v>16033</v>
      </c>
      <c r="C591" s="13" t="s">
        <v>16041</v>
      </c>
      <c r="D591" s="2" t="s">
        <v>0</v>
      </c>
      <c r="E591" s="13" t="s">
        <v>16043</v>
      </c>
      <c r="F591" s="13" t="s">
        <v>5540</v>
      </c>
      <c r="G591" s="13" t="s">
        <v>4852</v>
      </c>
    </row>
    <row r="592" ht="12.75" customHeight="1">
      <c r="A592" s="13" t="s">
        <v>1217</v>
      </c>
      <c r="B592" s="13" t="s">
        <v>16048</v>
      </c>
      <c r="C592" s="13" t="s">
        <v>16056</v>
      </c>
      <c r="D592" s="2" t="s">
        <v>0</v>
      </c>
      <c r="E592" s="13" t="s">
        <v>16058</v>
      </c>
      <c r="F592" s="13" t="s">
        <v>5540</v>
      </c>
      <c r="G592" s="13" t="s">
        <v>4864</v>
      </c>
    </row>
    <row r="593" ht="12.75" customHeight="1">
      <c r="A593" s="13" t="s">
        <v>16061</v>
      </c>
      <c r="B593" s="13" t="s">
        <v>16063</v>
      </c>
      <c r="C593" s="13" t="s">
        <v>16075</v>
      </c>
      <c r="D593" s="2" t="s">
        <v>0</v>
      </c>
      <c r="E593" s="13" t="s">
        <v>16077</v>
      </c>
      <c r="F593" s="13" t="s">
        <v>5540</v>
      </c>
      <c r="G593" s="13" t="s">
        <v>4864</v>
      </c>
    </row>
    <row r="594" ht="12.75" customHeight="1">
      <c r="A594" s="13" t="s">
        <v>1213</v>
      </c>
      <c r="B594" s="13" t="s">
        <v>16082</v>
      </c>
      <c r="C594" s="13" t="s">
        <v>16090</v>
      </c>
      <c r="D594" s="2" t="s">
        <v>0</v>
      </c>
      <c r="E594" s="13" t="s">
        <v>16092</v>
      </c>
      <c r="F594" s="13" t="s">
        <v>5540</v>
      </c>
      <c r="G594" s="13" t="s">
        <v>4856</v>
      </c>
    </row>
    <row r="595" ht="12.75" customHeight="1">
      <c r="A595" s="13" t="s">
        <v>1209</v>
      </c>
      <c r="B595" s="13" t="s">
        <v>16098</v>
      </c>
      <c r="C595" s="13" t="s">
        <v>16111</v>
      </c>
      <c r="D595" s="2" t="s">
        <v>0</v>
      </c>
      <c r="E595" s="13" t="s">
        <v>16115</v>
      </c>
      <c r="F595" s="13" t="s">
        <v>5540</v>
      </c>
      <c r="G595" s="13" t="s">
        <v>4856</v>
      </c>
    </row>
    <row r="596" ht="12.75" customHeight="1">
      <c r="A596" s="13" t="s">
        <v>1206</v>
      </c>
      <c r="B596" s="13" t="s">
        <v>16120</v>
      </c>
      <c r="C596" s="13" t="s">
        <v>16128</v>
      </c>
      <c r="D596" s="2" t="s">
        <v>0</v>
      </c>
      <c r="E596" s="13" t="s">
        <v>16130</v>
      </c>
      <c r="F596" s="13" t="s">
        <v>5540</v>
      </c>
      <c r="G596" s="13" t="s">
        <v>4856</v>
      </c>
    </row>
    <row r="597" ht="12.75" customHeight="1">
      <c r="A597" s="13" t="s">
        <v>1202</v>
      </c>
      <c r="B597" s="13" t="s">
        <v>16135</v>
      </c>
      <c r="C597" s="13" t="s">
        <v>16142</v>
      </c>
      <c r="D597" s="2" t="s">
        <v>0</v>
      </c>
      <c r="E597" s="13" t="s">
        <v>16144</v>
      </c>
      <c r="F597" s="13" t="s">
        <v>5540</v>
      </c>
      <c r="G597" s="13" t="s">
        <v>4856</v>
      </c>
    </row>
    <row r="598" ht="12.75" customHeight="1">
      <c r="A598" s="13" t="s">
        <v>1199</v>
      </c>
      <c r="B598" s="13" t="s">
        <v>16149</v>
      </c>
      <c r="C598" s="13" t="s">
        <v>16158</v>
      </c>
      <c r="D598" s="2" t="s">
        <v>0</v>
      </c>
      <c r="E598" s="13" t="s">
        <v>16160</v>
      </c>
      <c r="F598" s="13" t="s">
        <v>5540</v>
      </c>
      <c r="G598" s="13" t="s">
        <v>4864</v>
      </c>
    </row>
    <row r="599" ht="12.75" customHeight="1">
      <c r="A599" s="2" t="s">
        <v>1195</v>
      </c>
      <c r="B599" s="13" t="s">
        <v>16165</v>
      </c>
      <c r="C599" s="13" t="s">
        <v>16174</v>
      </c>
      <c r="D599" s="2" t="s">
        <v>0</v>
      </c>
      <c r="E599" s="13" t="s">
        <v>16176</v>
      </c>
      <c r="F599" s="13" t="s">
        <v>5540</v>
      </c>
      <c r="G599" s="13" t="s">
        <v>4856</v>
      </c>
    </row>
    <row r="600" ht="12.75" customHeight="1">
      <c r="A600" s="13" t="s">
        <v>1193</v>
      </c>
      <c r="B600" s="13" t="s">
        <v>16180</v>
      </c>
      <c r="C600" s="13" t="s">
        <v>16186</v>
      </c>
      <c r="D600" s="2" t="s">
        <v>0</v>
      </c>
      <c r="E600" s="13" t="s">
        <v>16188</v>
      </c>
      <c r="F600" s="13" t="s">
        <v>5540</v>
      </c>
      <c r="G600" s="13" t="s">
        <v>4856</v>
      </c>
    </row>
    <row r="601" ht="12.75" customHeight="1">
      <c r="A601" s="13" t="s">
        <v>1190</v>
      </c>
      <c r="B601" s="13" t="s">
        <v>16193</v>
      </c>
      <c r="C601" s="13" t="s">
        <v>16208</v>
      </c>
      <c r="D601" s="2" t="s">
        <v>0</v>
      </c>
      <c r="E601" s="13" t="s">
        <v>16210</v>
      </c>
      <c r="F601" s="13" t="s">
        <v>5540</v>
      </c>
      <c r="G601" s="13" t="s">
        <v>4864</v>
      </c>
    </row>
    <row r="602" ht="12.75" customHeight="1">
      <c r="A602" s="13" t="s">
        <v>1186</v>
      </c>
      <c r="B602" s="13" t="s">
        <v>16216</v>
      </c>
      <c r="C602" s="13" t="s">
        <v>16227</v>
      </c>
      <c r="D602" s="2" t="s">
        <v>0</v>
      </c>
      <c r="E602" s="13" t="s">
        <v>16229</v>
      </c>
      <c r="F602" s="13" t="s">
        <v>5540</v>
      </c>
      <c r="G602" s="13" t="s">
        <v>4856</v>
      </c>
    </row>
    <row r="603" ht="12.75" customHeight="1">
      <c r="A603" s="13" t="s">
        <v>1184</v>
      </c>
      <c r="B603" s="13" t="s">
        <v>16234</v>
      </c>
      <c r="C603" s="13" t="s">
        <v>16244</v>
      </c>
      <c r="D603" s="2" t="s">
        <v>0</v>
      </c>
      <c r="E603" s="13" t="s">
        <v>16245</v>
      </c>
      <c r="F603" s="13" t="s">
        <v>5540</v>
      </c>
      <c r="G603" s="13" t="s">
        <v>4852</v>
      </c>
    </row>
    <row r="604" ht="12.75" customHeight="1">
      <c r="A604" s="13" t="s">
        <v>16248</v>
      </c>
      <c r="B604" s="13" t="s">
        <v>16251</v>
      </c>
      <c r="C604" s="13" t="s">
        <v>16261</v>
      </c>
      <c r="D604" s="2" t="s">
        <v>0</v>
      </c>
      <c r="E604" s="13" t="s">
        <v>16263</v>
      </c>
      <c r="F604" s="13" t="s">
        <v>5540</v>
      </c>
      <c r="G604" s="13" t="s">
        <v>4886</v>
      </c>
    </row>
    <row r="605" ht="12.75" customHeight="1">
      <c r="A605" s="13" t="s">
        <v>1178</v>
      </c>
      <c r="B605" s="13" t="s">
        <v>16268</v>
      </c>
      <c r="C605" s="13" t="s">
        <v>16277</v>
      </c>
      <c r="D605" s="2" t="s">
        <v>0</v>
      </c>
      <c r="E605" s="13" t="s">
        <v>16279</v>
      </c>
      <c r="F605" s="13" t="s">
        <v>5540</v>
      </c>
      <c r="G605" s="13" t="s">
        <v>4856</v>
      </c>
    </row>
    <row r="606" ht="12.75" customHeight="1">
      <c r="A606" s="13" t="s">
        <v>1176</v>
      </c>
      <c r="B606" s="13" t="s">
        <v>16284</v>
      </c>
      <c r="C606" s="13" t="s">
        <v>16290</v>
      </c>
      <c r="D606" s="2" t="s">
        <v>0</v>
      </c>
      <c r="E606" s="13" t="s">
        <v>16292</v>
      </c>
      <c r="F606" s="13" t="s">
        <v>5540</v>
      </c>
      <c r="G606" s="13" t="s">
        <v>4856</v>
      </c>
    </row>
    <row r="607" ht="12.75" customHeight="1">
      <c r="A607" s="13" t="s">
        <v>16295</v>
      </c>
      <c r="B607" s="13" t="s">
        <v>16297</v>
      </c>
      <c r="C607" s="13" t="s">
        <v>16307</v>
      </c>
      <c r="D607" s="2" t="s">
        <v>0</v>
      </c>
      <c r="E607" s="13" t="s">
        <v>16309</v>
      </c>
      <c r="F607" s="13" t="s">
        <v>5540</v>
      </c>
      <c r="G607" s="13" t="s">
        <v>4864</v>
      </c>
    </row>
    <row r="608" ht="12.75" customHeight="1">
      <c r="A608" s="13" t="s">
        <v>1172</v>
      </c>
      <c r="B608" s="13" t="s">
        <v>16314</v>
      </c>
      <c r="C608" s="13" t="s">
        <v>16324</v>
      </c>
      <c r="D608" s="2" t="s">
        <v>0</v>
      </c>
      <c r="E608" s="13" t="s">
        <v>16326</v>
      </c>
      <c r="F608" s="13" t="s">
        <v>5540</v>
      </c>
      <c r="G608" s="13" t="s">
        <v>4856</v>
      </c>
    </row>
    <row r="609" ht="12.75" customHeight="1">
      <c r="A609" s="13" t="s">
        <v>1169</v>
      </c>
      <c r="B609" s="13" t="s">
        <v>16331</v>
      </c>
      <c r="C609" s="13" t="s">
        <v>16340</v>
      </c>
      <c r="D609" s="2" t="s">
        <v>0</v>
      </c>
      <c r="E609" s="13" t="s">
        <v>16342</v>
      </c>
      <c r="F609" s="13" t="s">
        <v>5540</v>
      </c>
      <c r="G609" s="13" t="s">
        <v>4852</v>
      </c>
    </row>
    <row r="610" ht="12.75" customHeight="1">
      <c r="A610" s="2" t="s">
        <v>1167</v>
      </c>
      <c r="B610" s="13" t="s">
        <v>16346</v>
      </c>
      <c r="C610" s="13" t="s">
        <v>16356</v>
      </c>
      <c r="D610" s="2" t="s">
        <v>0</v>
      </c>
      <c r="E610" s="13" t="s">
        <v>16358</v>
      </c>
      <c r="F610" s="13" t="s">
        <v>5540</v>
      </c>
      <c r="G610" s="13" t="s">
        <v>4856</v>
      </c>
    </row>
    <row r="611" ht="12.75" customHeight="1">
      <c r="A611" s="13" t="s">
        <v>1165</v>
      </c>
      <c r="B611" s="13" t="s">
        <v>16362</v>
      </c>
      <c r="C611" s="13" t="s">
        <v>16369</v>
      </c>
      <c r="D611" s="2" t="s">
        <v>0</v>
      </c>
      <c r="E611" s="13" t="s">
        <v>16371</v>
      </c>
      <c r="F611" s="13" t="s">
        <v>5540</v>
      </c>
      <c r="G611" s="13" t="s">
        <v>4856</v>
      </c>
    </row>
    <row r="612" ht="12.75" customHeight="1">
      <c r="A612" s="13" t="s">
        <v>16374</v>
      </c>
      <c r="B612" s="13" t="s">
        <v>16377</v>
      </c>
      <c r="C612" s="13" t="s">
        <v>16394</v>
      </c>
      <c r="D612" s="2" t="s">
        <v>0</v>
      </c>
      <c r="E612" s="13" t="s">
        <v>16397</v>
      </c>
      <c r="F612" s="13" t="s">
        <v>5540</v>
      </c>
      <c r="G612" s="13" t="s">
        <v>4856</v>
      </c>
    </row>
    <row r="613" ht="12.75" customHeight="1">
      <c r="A613" s="13" t="s">
        <v>1158</v>
      </c>
      <c r="B613" s="13" t="s">
        <v>16402</v>
      </c>
      <c r="C613" s="13" t="s">
        <v>16410</v>
      </c>
      <c r="D613" s="2" t="s">
        <v>0</v>
      </c>
      <c r="E613" s="13" t="s">
        <v>16412</v>
      </c>
      <c r="F613" s="13" t="s">
        <v>5540</v>
      </c>
      <c r="G613" s="13" t="s">
        <v>4864</v>
      </c>
    </row>
    <row r="614" ht="12.75" customHeight="1">
      <c r="A614" s="13" t="s">
        <v>1156</v>
      </c>
      <c r="B614" s="13" t="s">
        <v>16417</v>
      </c>
      <c r="C614" s="13" t="s">
        <v>16427</v>
      </c>
      <c r="D614" s="2" t="s">
        <v>0</v>
      </c>
      <c r="E614" s="13" t="s">
        <v>16429</v>
      </c>
      <c r="F614" s="13" t="s">
        <v>5540</v>
      </c>
      <c r="G614" s="13" t="s">
        <v>4864</v>
      </c>
    </row>
    <row r="615" ht="12.75" customHeight="1">
      <c r="A615" s="2" t="s">
        <v>1153</v>
      </c>
      <c r="B615" s="13" t="s">
        <v>5510</v>
      </c>
      <c r="C615" s="13" t="s">
        <v>16438</v>
      </c>
      <c r="D615" s="2" t="s">
        <v>0</v>
      </c>
      <c r="E615" s="13" t="s">
        <v>16440</v>
      </c>
      <c r="F615" s="13" t="s">
        <v>5540</v>
      </c>
      <c r="G615" s="13" t="s">
        <v>4856</v>
      </c>
    </row>
    <row r="616" ht="12.75" customHeight="1">
      <c r="A616" s="13" t="s">
        <v>1153</v>
      </c>
      <c r="B616" s="13" t="s">
        <v>16443</v>
      </c>
      <c r="C616" s="13" t="s">
        <v>16448</v>
      </c>
      <c r="D616" s="2" t="s">
        <v>0</v>
      </c>
      <c r="E616" s="13" t="s">
        <v>16450</v>
      </c>
      <c r="F616" s="13" t="s">
        <v>5540</v>
      </c>
      <c r="G616" s="13" t="s">
        <v>4856</v>
      </c>
    </row>
    <row r="617" ht="12.75" customHeight="1">
      <c r="A617" s="2" t="s">
        <v>1150</v>
      </c>
      <c r="B617" s="13" t="s">
        <v>16455</v>
      </c>
      <c r="C617" s="13" t="s">
        <v>16463</v>
      </c>
      <c r="D617" s="2" t="s">
        <v>0</v>
      </c>
      <c r="E617" s="13" t="s">
        <v>16465</v>
      </c>
      <c r="F617" s="13" t="s">
        <v>9118</v>
      </c>
      <c r="G617" s="13" t="s">
        <v>4864</v>
      </c>
    </row>
    <row r="618" ht="12.75" customHeight="1">
      <c r="A618" s="13" t="s">
        <v>16468</v>
      </c>
      <c r="B618" s="13" t="s">
        <v>16470</v>
      </c>
      <c r="C618" s="13" t="s">
        <v>16478</v>
      </c>
      <c r="D618" s="2" t="s">
        <v>0</v>
      </c>
      <c r="E618" s="13" t="s">
        <v>16480</v>
      </c>
      <c r="F618" s="13" t="s">
        <v>5540</v>
      </c>
      <c r="G618" s="13" t="s">
        <v>4864</v>
      </c>
    </row>
    <row r="619" ht="12.75" customHeight="1">
      <c r="A619" s="13" t="s">
        <v>1144</v>
      </c>
      <c r="B619" s="13" t="s">
        <v>16486</v>
      </c>
      <c r="C619" s="13" t="str">
        <f t="shared" ref="C619:C620" si="1">#REF!</f>
        <v>#REF!</v>
      </c>
      <c r="D619" s="2" t="s">
        <v>0</v>
      </c>
      <c r="E619" s="13" t="s">
        <v>16501</v>
      </c>
      <c r="F619" s="13" t="s">
        <v>5540</v>
      </c>
      <c r="G619" s="13" t="s">
        <v>4856</v>
      </c>
    </row>
    <row r="620" ht="12.75" customHeight="1">
      <c r="A620" s="13" t="s">
        <v>16504</v>
      </c>
      <c r="B620" s="13" t="s">
        <v>16508</v>
      </c>
      <c r="C620" s="13" t="str">
        <f t="shared" si="1"/>
        <v>#REF!</v>
      </c>
      <c r="D620" s="2" t="s">
        <v>0</v>
      </c>
      <c r="E620" s="13" t="s">
        <v>16519</v>
      </c>
      <c r="F620" s="13" t="s">
        <v>5540</v>
      </c>
      <c r="G620" s="13" t="s">
        <v>4856</v>
      </c>
    </row>
    <row r="621" ht="12.75" customHeight="1">
      <c r="A621" s="13" t="s">
        <v>1138</v>
      </c>
      <c r="B621" s="13" t="s">
        <v>16524</v>
      </c>
      <c r="C621" s="13" t="s">
        <v>16534</v>
      </c>
      <c r="D621" s="2" t="s">
        <v>0</v>
      </c>
      <c r="E621" s="13" t="s">
        <v>16536</v>
      </c>
      <c r="F621" s="13" t="s">
        <v>5540</v>
      </c>
      <c r="G621" s="13" t="s">
        <v>4852</v>
      </c>
    </row>
    <row r="622" ht="12.75" customHeight="1">
      <c r="A622" s="13" t="s">
        <v>1136</v>
      </c>
      <c r="B622" s="13" t="s">
        <v>16541</v>
      </c>
      <c r="C622" s="13" t="s">
        <v>16548</v>
      </c>
      <c r="D622" s="2" t="s">
        <v>0</v>
      </c>
      <c r="E622" s="13" t="s">
        <v>16550</v>
      </c>
      <c r="F622" s="13" t="s">
        <v>5540</v>
      </c>
      <c r="G622" s="13" t="s">
        <v>4856</v>
      </c>
    </row>
    <row r="623" ht="12.75" customHeight="1">
      <c r="A623" s="13" t="s">
        <v>16553</v>
      </c>
      <c r="B623" s="13" t="s">
        <v>16556</v>
      </c>
      <c r="C623" s="13" t="s">
        <v>16565</v>
      </c>
      <c r="D623" s="2" t="s">
        <v>0</v>
      </c>
      <c r="E623" s="13" t="s">
        <v>16567</v>
      </c>
      <c r="F623" s="13" t="s">
        <v>5540</v>
      </c>
      <c r="G623" s="13" t="s">
        <v>4856</v>
      </c>
    </row>
    <row r="624" ht="12.75" customHeight="1">
      <c r="A624" s="13" t="s">
        <v>1130</v>
      </c>
      <c r="B624" s="13" t="s">
        <v>16572</v>
      </c>
      <c r="C624" s="13" t="s">
        <v>16582</v>
      </c>
      <c r="D624" s="2" t="s">
        <v>0</v>
      </c>
      <c r="E624" s="13" t="s">
        <v>16584</v>
      </c>
      <c r="F624" s="13" t="s">
        <v>5540</v>
      </c>
      <c r="G624" s="13" t="s">
        <v>4856</v>
      </c>
    </row>
    <row r="625" ht="12.75" customHeight="1">
      <c r="A625" s="13" t="s">
        <v>1128</v>
      </c>
      <c r="B625" s="13" t="s">
        <v>16589</v>
      </c>
      <c r="C625" s="13" t="s">
        <v>16598</v>
      </c>
      <c r="D625" s="2" t="s">
        <v>0</v>
      </c>
      <c r="E625" s="13" t="s">
        <v>16600</v>
      </c>
      <c r="F625" s="13" t="s">
        <v>5540</v>
      </c>
      <c r="G625" s="13" t="s">
        <v>4856</v>
      </c>
    </row>
    <row r="626" ht="12.75" customHeight="1">
      <c r="A626" s="13" t="s">
        <v>1125</v>
      </c>
      <c r="B626" s="13" t="s">
        <v>16605</v>
      </c>
      <c r="C626" s="13" t="s">
        <v>16615</v>
      </c>
      <c r="D626" s="2" t="s">
        <v>0</v>
      </c>
      <c r="E626" s="13" t="s">
        <v>16617</v>
      </c>
      <c r="F626" s="13" t="s">
        <v>5540</v>
      </c>
      <c r="G626" s="13" t="s">
        <v>4864</v>
      </c>
    </row>
    <row r="627" ht="12.75" customHeight="1">
      <c r="A627" s="13" t="s">
        <v>1122</v>
      </c>
      <c r="B627" s="13" t="s">
        <v>16622</v>
      </c>
      <c r="C627" s="13" t="s">
        <v>16632</v>
      </c>
      <c r="D627" s="2" t="s">
        <v>0</v>
      </c>
      <c r="E627" s="13" t="s">
        <v>16634</v>
      </c>
      <c r="F627" s="13" t="s">
        <v>5540</v>
      </c>
      <c r="G627" s="13" t="s">
        <v>4852</v>
      </c>
    </row>
    <row r="628" ht="12.75" customHeight="1">
      <c r="A628" s="13" t="s">
        <v>1119</v>
      </c>
      <c r="B628" s="13" t="s">
        <v>16639</v>
      </c>
      <c r="C628" s="13" t="s">
        <v>16648</v>
      </c>
      <c r="D628" s="2" t="s">
        <v>0</v>
      </c>
      <c r="E628" s="13" t="s">
        <v>16650</v>
      </c>
      <c r="F628" s="13" t="s">
        <v>11683</v>
      </c>
      <c r="G628" s="13" t="s">
        <v>4856</v>
      </c>
    </row>
    <row r="629" ht="12.75" customHeight="1">
      <c r="A629" s="13" t="s">
        <v>1117</v>
      </c>
      <c r="B629" s="13" t="s">
        <v>16655</v>
      </c>
      <c r="C629" s="13" t="s">
        <v>16665</v>
      </c>
      <c r="D629" s="2" t="s">
        <v>0</v>
      </c>
      <c r="E629" s="13" t="s">
        <v>16667</v>
      </c>
      <c r="F629" s="13" t="s">
        <v>5540</v>
      </c>
      <c r="G629" s="13" t="s">
        <v>4856</v>
      </c>
    </row>
    <row r="630" ht="12.75" customHeight="1">
      <c r="A630" s="13" t="s">
        <v>1114</v>
      </c>
      <c r="B630" s="13" t="s">
        <v>16672</v>
      </c>
      <c r="C630" s="13" t="s">
        <v>16682</v>
      </c>
      <c r="D630" s="2" t="s">
        <v>0</v>
      </c>
      <c r="E630" s="13" t="s">
        <v>16684</v>
      </c>
      <c r="F630" s="13" t="s">
        <v>5540</v>
      </c>
      <c r="G630" s="13" t="s">
        <v>4864</v>
      </c>
    </row>
    <row r="631" ht="12.75" customHeight="1">
      <c r="A631" s="13" t="s">
        <v>16687</v>
      </c>
      <c r="B631" s="13" t="s">
        <v>16690</v>
      </c>
      <c r="C631" s="13" t="s">
        <v>16695</v>
      </c>
      <c r="D631" s="2" t="s">
        <v>0</v>
      </c>
      <c r="E631" s="13" t="s">
        <v>16697</v>
      </c>
      <c r="F631" s="13" t="s">
        <v>5540</v>
      </c>
      <c r="G631" s="13" t="s">
        <v>4886</v>
      </c>
    </row>
    <row r="632" ht="12.75" customHeight="1">
      <c r="A632" s="13" t="s">
        <v>1108</v>
      </c>
      <c r="B632" s="13" t="s">
        <v>16702</v>
      </c>
      <c r="C632" s="13" t="s">
        <v>16712</v>
      </c>
      <c r="D632" s="2" t="s">
        <v>0</v>
      </c>
      <c r="E632" s="13" t="s">
        <v>16714</v>
      </c>
      <c r="F632" s="13" t="s">
        <v>5540</v>
      </c>
      <c r="G632" s="13" t="s">
        <v>4852</v>
      </c>
    </row>
    <row r="633" ht="12.75" customHeight="1">
      <c r="A633" s="13" t="s">
        <v>1105</v>
      </c>
      <c r="B633" s="13" t="s">
        <v>16719</v>
      </c>
      <c r="C633" s="13" t="s">
        <v>16728</v>
      </c>
      <c r="D633" s="2" t="s">
        <v>0</v>
      </c>
      <c r="E633" s="13" t="s">
        <v>16730</v>
      </c>
      <c r="F633" s="13" t="s">
        <v>5540</v>
      </c>
      <c r="G633" s="13" t="s">
        <v>4856</v>
      </c>
    </row>
    <row r="634" ht="12.75" customHeight="1">
      <c r="A634" s="13" t="s">
        <v>16733</v>
      </c>
      <c r="B634" s="13" t="s">
        <v>16736</v>
      </c>
      <c r="C634" s="13" t="s">
        <v>16746</v>
      </c>
      <c r="D634" s="2" t="s">
        <v>0</v>
      </c>
      <c r="E634" s="13" t="s">
        <v>16748</v>
      </c>
      <c r="F634" s="13" t="s">
        <v>5540</v>
      </c>
      <c r="G634" s="13" t="s">
        <v>4856</v>
      </c>
    </row>
    <row r="635" ht="12.75" customHeight="1">
      <c r="A635" s="13" t="s">
        <v>1101</v>
      </c>
      <c r="B635" s="13" t="s">
        <v>16752</v>
      </c>
      <c r="C635" s="13" t="s">
        <v>16763</v>
      </c>
      <c r="D635" s="2" t="s">
        <v>0</v>
      </c>
      <c r="E635" s="13" t="s">
        <v>16765</v>
      </c>
      <c r="F635" s="13" t="s">
        <v>5540</v>
      </c>
      <c r="G635" s="13" t="s">
        <v>4886</v>
      </c>
    </row>
    <row r="636" ht="12.75" customHeight="1">
      <c r="A636" s="13" t="s">
        <v>1099</v>
      </c>
      <c r="B636" s="13" t="s">
        <v>16770</v>
      </c>
      <c r="C636" s="13" t="s">
        <v>16780</v>
      </c>
      <c r="D636" s="2" t="s">
        <v>0</v>
      </c>
      <c r="E636" s="13" t="s">
        <v>16782</v>
      </c>
      <c r="F636" s="13" t="s">
        <v>5540</v>
      </c>
      <c r="G636" s="13" t="s">
        <v>4864</v>
      </c>
    </row>
    <row r="637" ht="12.75" customHeight="1">
      <c r="A637" s="13" t="s">
        <v>1096</v>
      </c>
      <c r="B637" s="13" t="s">
        <v>16787</v>
      </c>
      <c r="C637" s="13" t="s">
        <v>16797</v>
      </c>
      <c r="D637" s="2" t="s">
        <v>0</v>
      </c>
      <c r="E637" s="13" t="s">
        <v>16799</v>
      </c>
      <c r="F637" s="13" t="s">
        <v>5540</v>
      </c>
      <c r="G637" s="13" t="s">
        <v>4856</v>
      </c>
    </row>
    <row r="638" ht="12.75" customHeight="1">
      <c r="A638" s="13" t="s">
        <v>16802</v>
      </c>
      <c r="B638" s="13" t="s">
        <v>16804</v>
      </c>
      <c r="C638" s="13" t="s">
        <v>16816</v>
      </c>
      <c r="D638" s="2" t="s">
        <v>0</v>
      </c>
      <c r="E638" s="13" t="s">
        <v>16818</v>
      </c>
      <c r="F638" s="13" t="s">
        <v>5540</v>
      </c>
      <c r="G638" s="13" t="s">
        <v>4856</v>
      </c>
    </row>
    <row r="639" ht="12.75" customHeight="1">
      <c r="A639" s="13" t="s">
        <v>1085</v>
      </c>
      <c r="B639" s="13" t="s">
        <v>16824</v>
      </c>
      <c r="C639" s="13" t="s">
        <v>16837</v>
      </c>
      <c r="D639" s="2" t="s">
        <v>0</v>
      </c>
      <c r="E639" s="13" t="s">
        <v>16841</v>
      </c>
      <c r="F639" s="13" t="s">
        <v>5540</v>
      </c>
      <c r="G639" s="13" t="s">
        <v>4852</v>
      </c>
    </row>
    <row r="640" ht="12.75" customHeight="1">
      <c r="A640" s="13" t="s">
        <v>1082</v>
      </c>
      <c r="B640" s="13" t="s">
        <v>16846</v>
      </c>
      <c r="C640" s="13" t="s">
        <v>16852</v>
      </c>
      <c r="D640" s="2" t="s">
        <v>0</v>
      </c>
      <c r="E640" s="13" t="s">
        <v>16854</v>
      </c>
      <c r="F640" s="13" t="s">
        <v>5540</v>
      </c>
      <c r="G640" s="13" t="s">
        <v>4856</v>
      </c>
    </row>
    <row r="641" ht="12.75" customHeight="1">
      <c r="A641" s="13" t="s">
        <v>1079</v>
      </c>
      <c r="B641" s="13" t="s">
        <v>16859</v>
      </c>
      <c r="C641" s="13" t="s">
        <v>16869</v>
      </c>
      <c r="D641" s="2" t="s">
        <v>0</v>
      </c>
      <c r="E641" s="13" t="s">
        <v>16871</v>
      </c>
      <c r="F641" s="13" t="s">
        <v>5540</v>
      </c>
      <c r="G641" s="13" t="s">
        <v>4856</v>
      </c>
    </row>
    <row r="642" ht="12.75" customHeight="1">
      <c r="A642" s="2" t="s">
        <v>1076</v>
      </c>
      <c r="B642" s="13" t="s">
        <v>16876</v>
      </c>
      <c r="C642" s="13" t="s">
        <v>16886</v>
      </c>
      <c r="D642" s="2" t="s">
        <v>0</v>
      </c>
      <c r="E642" s="13" t="s">
        <v>16888</v>
      </c>
      <c r="F642" s="13" t="s">
        <v>5540</v>
      </c>
      <c r="G642" s="13" t="s">
        <v>4856</v>
      </c>
    </row>
    <row r="643" ht="12.75" customHeight="1">
      <c r="A643" s="13" t="s">
        <v>1073</v>
      </c>
      <c r="B643" s="13" t="s">
        <v>16893</v>
      </c>
      <c r="C643" s="13" t="s">
        <v>16902</v>
      </c>
      <c r="D643" s="2" t="s">
        <v>0</v>
      </c>
      <c r="E643" s="13" t="s">
        <v>16904</v>
      </c>
      <c r="F643" s="13" t="s">
        <v>5540</v>
      </c>
      <c r="G643" s="13" t="s">
        <v>4856</v>
      </c>
    </row>
    <row r="644" ht="12.75" customHeight="1">
      <c r="A644" s="13" t="s">
        <v>1070</v>
      </c>
      <c r="B644" s="13" t="s">
        <v>16909</v>
      </c>
      <c r="C644" s="13" t="s">
        <v>16922</v>
      </c>
      <c r="D644" s="2" t="s">
        <v>0</v>
      </c>
      <c r="E644" s="13" t="s">
        <v>16925</v>
      </c>
      <c r="F644" s="13" t="s">
        <v>5540</v>
      </c>
      <c r="G644" s="13" t="s">
        <v>4864</v>
      </c>
    </row>
    <row r="645" ht="12.75" customHeight="1">
      <c r="A645" s="13" t="s">
        <v>1067</v>
      </c>
      <c r="B645" s="13" t="s">
        <v>16930</v>
      </c>
      <c r="C645" s="13" t="s">
        <v>16937</v>
      </c>
      <c r="D645" s="2" t="s">
        <v>0</v>
      </c>
      <c r="E645" s="13" t="s">
        <v>16939</v>
      </c>
      <c r="F645" s="13" t="s">
        <v>5540</v>
      </c>
      <c r="G645" s="13" t="s">
        <v>4856</v>
      </c>
    </row>
    <row r="646" ht="12.75" customHeight="1">
      <c r="A646" s="13" t="s">
        <v>1062</v>
      </c>
      <c r="B646" s="13" t="s">
        <v>16944</v>
      </c>
      <c r="C646" s="13" t="s">
        <v>16951</v>
      </c>
      <c r="D646" s="2" t="s">
        <v>0</v>
      </c>
      <c r="E646" s="13" t="s">
        <v>16953</v>
      </c>
      <c r="F646" s="13" t="s">
        <v>5540</v>
      </c>
      <c r="G646" s="13" t="s">
        <v>4886</v>
      </c>
    </row>
    <row r="647" ht="12.75" customHeight="1">
      <c r="A647" s="13" t="s">
        <v>1060</v>
      </c>
      <c r="B647" s="13" t="s">
        <v>16958</v>
      </c>
      <c r="C647" s="13" t="s">
        <v>16968</v>
      </c>
      <c r="D647" s="2" t="s">
        <v>0</v>
      </c>
      <c r="E647" s="13" t="s">
        <v>16970</v>
      </c>
      <c r="F647" s="13" t="s">
        <v>5540</v>
      </c>
      <c r="G647" s="13" t="s">
        <v>4856</v>
      </c>
    </row>
    <row r="648" ht="12.75" customHeight="1">
      <c r="A648" s="13" t="s">
        <v>1057</v>
      </c>
      <c r="B648" s="13" t="s">
        <v>16975</v>
      </c>
      <c r="C648" s="13" t="s">
        <v>16985</v>
      </c>
      <c r="D648" s="2" t="s">
        <v>0</v>
      </c>
      <c r="E648" s="13" t="s">
        <v>16987</v>
      </c>
      <c r="F648" s="13" t="s">
        <v>5540</v>
      </c>
      <c r="G648" s="13" t="s">
        <v>4856</v>
      </c>
    </row>
    <row r="649" ht="12.75" customHeight="1">
      <c r="A649" s="13" t="s">
        <v>1050</v>
      </c>
      <c r="B649" s="13" t="s">
        <v>16992</v>
      </c>
      <c r="C649" s="13" t="s">
        <v>17002</v>
      </c>
      <c r="D649" s="2" t="s">
        <v>0</v>
      </c>
      <c r="E649" s="13" t="s">
        <v>17004</v>
      </c>
      <c r="F649" s="13" t="s">
        <v>5540</v>
      </c>
      <c r="G649" s="13" t="s">
        <v>4852</v>
      </c>
    </row>
    <row r="650" ht="12.75" customHeight="1">
      <c r="A650" s="2" t="s">
        <v>1047</v>
      </c>
      <c r="B650" s="13" t="s">
        <v>17009</v>
      </c>
      <c r="C650" s="13" t="s">
        <v>17017</v>
      </c>
      <c r="D650" s="2" t="s">
        <v>0</v>
      </c>
      <c r="E650" s="13" t="s">
        <v>17019</v>
      </c>
      <c r="F650" s="13" t="s">
        <v>5540</v>
      </c>
      <c r="G650" s="13" t="s">
        <v>4856</v>
      </c>
    </row>
    <row r="651" ht="12.75" customHeight="1">
      <c r="A651" s="13" t="s">
        <v>1043</v>
      </c>
      <c r="B651" s="13" t="s">
        <v>17024</v>
      </c>
      <c r="C651" s="13" t="s">
        <v>17035</v>
      </c>
      <c r="D651" s="2" t="s">
        <v>0</v>
      </c>
      <c r="E651" s="13" t="s">
        <v>17037</v>
      </c>
      <c r="F651" s="13" t="s">
        <v>5540</v>
      </c>
      <c r="G651" s="13" t="s">
        <v>4856</v>
      </c>
    </row>
    <row r="652" ht="12.75" customHeight="1">
      <c r="A652" s="13" t="s">
        <v>1039</v>
      </c>
      <c r="B652" s="13" t="s">
        <v>17043</v>
      </c>
      <c r="C652" s="13" t="s">
        <v>17055</v>
      </c>
      <c r="D652" s="2" t="s">
        <v>0</v>
      </c>
      <c r="E652" s="13" t="s">
        <v>17057</v>
      </c>
      <c r="F652" s="13" t="s">
        <v>5540</v>
      </c>
      <c r="G652" s="13" t="s">
        <v>4856</v>
      </c>
    </row>
    <row r="653" ht="12.75" customHeight="1">
      <c r="A653" s="13" t="s">
        <v>1036</v>
      </c>
      <c r="B653" s="13" t="s">
        <v>17062</v>
      </c>
      <c r="C653" s="13" t="s">
        <v>17071</v>
      </c>
      <c r="D653" s="2" t="s">
        <v>0</v>
      </c>
      <c r="E653" s="13" t="s">
        <v>17072</v>
      </c>
      <c r="F653" s="13" t="s">
        <v>5540</v>
      </c>
      <c r="G653" s="13" t="s">
        <v>4856</v>
      </c>
    </row>
    <row r="654" ht="12.75" customHeight="1">
      <c r="A654" s="13" t="s">
        <v>1033</v>
      </c>
      <c r="B654" s="13" t="s">
        <v>17077</v>
      </c>
      <c r="C654" s="13" t="s">
        <v>17087</v>
      </c>
      <c r="D654" s="2" t="s">
        <v>0</v>
      </c>
      <c r="E654" s="13" t="s">
        <v>17090</v>
      </c>
      <c r="F654" s="13" t="s">
        <v>5540</v>
      </c>
      <c r="G654" s="13" t="s">
        <v>4856</v>
      </c>
    </row>
    <row r="655" ht="12.75" customHeight="1">
      <c r="A655" s="13" t="s">
        <v>1030</v>
      </c>
      <c r="B655" s="13" t="s">
        <v>17096</v>
      </c>
      <c r="C655" s="13" t="s">
        <v>17110</v>
      </c>
      <c r="D655" s="2" t="s">
        <v>0</v>
      </c>
      <c r="E655" s="13" t="s">
        <v>17112</v>
      </c>
      <c r="F655" s="13" t="s">
        <v>5540</v>
      </c>
      <c r="G655" s="13" t="s">
        <v>4856</v>
      </c>
    </row>
    <row r="656" ht="12.75" customHeight="1">
      <c r="A656" s="13" t="s">
        <v>1027</v>
      </c>
      <c r="B656" s="13" t="s">
        <v>17118</v>
      </c>
      <c r="C656" s="13" t="s">
        <v>17130</v>
      </c>
      <c r="D656" s="2" t="s">
        <v>0</v>
      </c>
      <c r="E656" s="13" t="s">
        <v>17132</v>
      </c>
      <c r="F656" s="13" t="s">
        <v>5540</v>
      </c>
      <c r="G656" s="13" t="s">
        <v>4856</v>
      </c>
    </row>
    <row r="657" ht="12.75" customHeight="1">
      <c r="A657" s="13" t="s">
        <v>1023</v>
      </c>
      <c r="B657" s="13" t="s">
        <v>17138</v>
      </c>
      <c r="C657" s="13" t="s">
        <v>17150</v>
      </c>
      <c r="D657" s="2" t="s">
        <v>0</v>
      </c>
      <c r="E657" s="13" t="s">
        <v>17154</v>
      </c>
      <c r="F657" s="13" t="s">
        <v>5540</v>
      </c>
      <c r="G657" s="13" t="s">
        <v>4856</v>
      </c>
    </row>
    <row r="658" ht="12.75" customHeight="1">
      <c r="A658" s="13" t="s">
        <v>1019</v>
      </c>
      <c r="B658" s="13" t="s">
        <v>17160</v>
      </c>
      <c r="C658" s="13" t="s">
        <v>17170</v>
      </c>
      <c r="D658" s="2" t="s">
        <v>0</v>
      </c>
      <c r="E658" s="13" t="s">
        <v>17174</v>
      </c>
      <c r="F658" s="13" t="s">
        <v>5540</v>
      </c>
      <c r="G658" s="13" t="s">
        <v>4856</v>
      </c>
    </row>
    <row r="659" ht="12.75" customHeight="1">
      <c r="A659" s="13" t="s">
        <v>1015</v>
      </c>
      <c r="B659" s="13" t="s">
        <v>17179</v>
      </c>
      <c r="C659" s="13" t="s">
        <v>17189</v>
      </c>
      <c r="D659" s="2" t="s">
        <v>0</v>
      </c>
      <c r="E659" s="13" t="s">
        <v>17191</v>
      </c>
      <c r="F659" s="13" t="s">
        <v>5540</v>
      </c>
      <c r="G659" s="13" t="s">
        <v>4856</v>
      </c>
    </row>
    <row r="660" ht="12.75" customHeight="1">
      <c r="A660" s="13" t="s">
        <v>1012</v>
      </c>
      <c r="B660" s="13" t="s">
        <v>17196</v>
      </c>
      <c r="C660" s="13" t="s">
        <v>17203</v>
      </c>
      <c r="D660" s="2" t="s">
        <v>0</v>
      </c>
      <c r="E660" s="13" t="s">
        <v>17205</v>
      </c>
      <c r="F660" s="13" t="s">
        <v>5540</v>
      </c>
      <c r="G660" s="13" t="s">
        <v>4856</v>
      </c>
    </row>
    <row r="661" ht="12.75" customHeight="1">
      <c r="A661" s="13" t="s">
        <v>1009</v>
      </c>
      <c r="B661" s="13" t="s">
        <v>17210</v>
      </c>
      <c r="C661" s="13" t="s">
        <v>17219</v>
      </c>
      <c r="D661" s="2" t="s">
        <v>0</v>
      </c>
      <c r="E661" s="13" t="s">
        <v>17221</v>
      </c>
      <c r="F661" s="13" t="s">
        <v>5540</v>
      </c>
      <c r="G661" s="13" t="s">
        <v>4856</v>
      </c>
    </row>
    <row r="662" ht="12.75" customHeight="1">
      <c r="A662" s="13" t="s">
        <v>1005</v>
      </c>
      <c r="B662" s="13" t="s">
        <v>17227</v>
      </c>
      <c r="C662" s="13" t="s">
        <v>17236</v>
      </c>
      <c r="D662" s="2" t="s">
        <v>0</v>
      </c>
      <c r="E662" s="13" t="s">
        <v>17238</v>
      </c>
      <c r="F662" s="13" t="s">
        <v>5540</v>
      </c>
      <c r="G662" s="13" t="s">
        <v>4856</v>
      </c>
    </row>
    <row r="663" ht="12.75" customHeight="1">
      <c r="A663" s="13" t="s">
        <v>1001</v>
      </c>
      <c r="B663" s="13" t="s">
        <v>17243</v>
      </c>
      <c r="C663" s="13" t="s">
        <v>17252</v>
      </c>
      <c r="D663" s="2" t="s">
        <v>0</v>
      </c>
      <c r="E663" s="13" t="s">
        <v>17254</v>
      </c>
      <c r="F663" s="13" t="s">
        <v>11683</v>
      </c>
      <c r="G663" s="13" t="s">
        <v>4852</v>
      </c>
    </row>
    <row r="664" ht="12.75" customHeight="1">
      <c r="A664" s="13" t="s">
        <v>17257</v>
      </c>
      <c r="B664" s="13" t="s">
        <v>17259</v>
      </c>
      <c r="C664" s="13" t="s">
        <v>17269</v>
      </c>
      <c r="D664" s="2" t="s">
        <v>0</v>
      </c>
      <c r="E664" s="13" t="s">
        <v>17271</v>
      </c>
      <c r="F664" s="13" t="s">
        <v>5540</v>
      </c>
      <c r="G664" s="13" t="s">
        <v>4856</v>
      </c>
    </row>
    <row r="665" ht="12.75" customHeight="1">
      <c r="A665" s="13" t="s">
        <v>996</v>
      </c>
      <c r="B665" s="13" t="s">
        <v>17276</v>
      </c>
      <c r="C665" s="13" t="s">
        <v>17286</v>
      </c>
      <c r="D665" s="2" t="s">
        <v>0</v>
      </c>
      <c r="E665" s="13" t="s">
        <v>17288</v>
      </c>
      <c r="F665" s="13" t="s">
        <v>5540</v>
      </c>
      <c r="G665" s="13" t="s">
        <v>4852</v>
      </c>
    </row>
    <row r="666" ht="12.75" customHeight="1">
      <c r="A666" s="2" t="s">
        <v>994</v>
      </c>
      <c r="B666" s="13" t="s">
        <v>17293</v>
      </c>
      <c r="C666" s="13" t="s">
        <v>17303</v>
      </c>
      <c r="D666" s="2" t="s">
        <v>0</v>
      </c>
      <c r="E666" s="13" t="s">
        <v>17305</v>
      </c>
      <c r="F666" s="13" t="s">
        <v>5540</v>
      </c>
      <c r="G666" s="13" t="s">
        <v>4856</v>
      </c>
    </row>
    <row r="667" ht="12.75" customHeight="1">
      <c r="A667" s="13" t="s">
        <v>17308</v>
      </c>
      <c r="B667" s="13" t="s">
        <v>17311</v>
      </c>
      <c r="C667" s="13" t="s">
        <v>17321</v>
      </c>
      <c r="D667" s="2" t="s">
        <v>0</v>
      </c>
      <c r="E667" s="13" t="s">
        <v>17323</v>
      </c>
      <c r="F667" s="13" t="s">
        <v>5540</v>
      </c>
      <c r="G667" s="13" t="s">
        <v>4864</v>
      </c>
    </row>
    <row r="668" ht="12.75" customHeight="1">
      <c r="A668" s="13" t="s">
        <v>988</v>
      </c>
      <c r="B668" s="13" t="s">
        <v>17329</v>
      </c>
      <c r="C668" s="13" t="s">
        <v>17342</v>
      </c>
      <c r="D668" s="2" t="s">
        <v>0</v>
      </c>
      <c r="E668" s="13" t="s">
        <v>17345</v>
      </c>
      <c r="F668" s="13" t="s">
        <v>5540</v>
      </c>
      <c r="G668" s="13" t="s">
        <v>4852</v>
      </c>
    </row>
    <row r="669" ht="12.75" customHeight="1">
      <c r="A669" s="13" t="s">
        <v>985</v>
      </c>
      <c r="B669" s="13" t="s">
        <v>17350</v>
      </c>
      <c r="C669" s="13" t="s">
        <v>17359</v>
      </c>
      <c r="D669" s="2" t="s">
        <v>0</v>
      </c>
      <c r="E669" s="13" t="s">
        <v>17361</v>
      </c>
      <c r="F669" s="13" t="s">
        <v>5540</v>
      </c>
      <c r="G669" s="13" t="s">
        <v>4852</v>
      </c>
    </row>
    <row r="670" ht="12.75" customHeight="1">
      <c r="A670" s="13" t="s">
        <v>981</v>
      </c>
      <c r="B670" s="13" t="s">
        <v>17367</v>
      </c>
      <c r="C670" s="13" t="s">
        <v>17380</v>
      </c>
      <c r="D670" s="2" t="s">
        <v>0</v>
      </c>
      <c r="E670" s="13" t="s">
        <v>17382</v>
      </c>
      <c r="F670" s="13" t="s">
        <v>5540</v>
      </c>
      <c r="G670" s="13" t="s">
        <v>4852</v>
      </c>
    </row>
    <row r="671" ht="12.75" customHeight="1">
      <c r="A671" s="13" t="s">
        <v>17385</v>
      </c>
      <c r="B671" s="13" t="s">
        <v>17388</v>
      </c>
      <c r="C671" s="13" t="s">
        <v>17398</v>
      </c>
      <c r="D671" s="2" t="s">
        <v>0</v>
      </c>
      <c r="E671" s="13" t="s">
        <v>17400</v>
      </c>
      <c r="F671" s="13" t="s">
        <v>5540</v>
      </c>
      <c r="G671" s="13" t="s">
        <v>4864</v>
      </c>
    </row>
    <row r="672" ht="12.75" customHeight="1">
      <c r="A672" s="13" t="s">
        <v>976</v>
      </c>
      <c r="B672" s="13" t="s">
        <v>17405</v>
      </c>
      <c r="C672" s="13" t="s">
        <v>17415</v>
      </c>
      <c r="D672" s="2" t="s">
        <v>0</v>
      </c>
      <c r="E672" s="13" t="s">
        <v>17417</v>
      </c>
      <c r="F672" s="13" t="s">
        <v>5540</v>
      </c>
      <c r="G672" s="13" t="s">
        <v>4856</v>
      </c>
    </row>
    <row r="673" ht="12.75" customHeight="1">
      <c r="A673" s="13" t="s">
        <v>17420</v>
      </c>
      <c r="B673" s="13" t="s">
        <v>17424</v>
      </c>
      <c r="C673" s="13" t="s">
        <v>17440</v>
      </c>
      <c r="D673" s="2" t="s">
        <v>0</v>
      </c>
      <c r="E673" s="13" t="s">
        <v>17444</v>
      </c>
      <c r="F673" s="13" t="s">
        <v>5540</v>
      </c>
      <c r="G673" s="13" t="s">
        <v>4864</v>
      </c>
    </row>
    <row r="674" ht="12.75" customHeight="1">
      <c r="A674" s="13" t="s">
        <v>967</v>
      </c>
      <c r="B674" s="13" t="s">
        <v>17449</v>
      </c>
      <c r="C674" s="13" t="s">
        <v>17458</v>
      </c>
      <c r="D674" s="2" t="s">
        <v>0</v>
      </c>
      <c r="E674" s="13" t="s">
        <v>17460</v>
      </c>
      <c r="F674" s="13" t="s">
        <v>5540</v>
      </c>
      <c r="G674" s="13" t="s">
        <v>4856</v>
      </c>
    </row>
    <row r="675" ht="12.75" customHeight="1">
      <c r="A675" s="13" t="s">
        <v>964</v>
      </c>
      <c r="B675" s="13" t="s">
        <v>17464</v>
      </c>
      <c r="C675" s="13" t="s">
        <v>17476</v>
      </c>
      <c r="D675" s="2" t="s">
        <v>0</v>
      </c>
      <c r="E675" s="13" t="s">
        <v>17478</v>
      </c>
      <c r="F675" s="13" t="s">
        <v>5540</v>
      </c>
      <c r="G675" s="13" t="s">
        <v>4856</v>
      </c>
    </row>
    <row r="676" ht="12.75" customHeight="1">
      <c r="A676" s="13" t="s">
        <v>961</v>
      </c>
      <c r="B676" s="13" t="s">
        <v>17483</v>
      </c>
      <c r="C676" s="13" t="s">
        <v>17492</v>
      </c>
      <c r="D676" s="2" t="s">
        <v>0</v>
      </c>
      <c r="E676" s="13" t="s">
        <v>17494</v>
      </c>
      <c r="F676" s="13" t="s">
        <v>5540</v>
      </c>
      <c r="G676" s="13" t="s">
        <v>4856</v>
      </c>
    </row>
    <row r="677" ht="12.75" customHeight="1">
      <c r="A677" s="13" t="s">
        <v>958</v>
      </c>
      <c r="B677" s="13" t="s">
        <v>17500</v>
      </c>
      <c r="C677" s="13" t="s">
        <v>17513</v>
      </c>
      <c r="D677" s="2" t="s">
        <v>0</v>
      </c>
      <c r="E677" s="13" t="s">
        <v>17517</v>
      </c>
      <c r="F677" s="13" t="s">
        <v>5540</v>
      </c>
      <c r="G677" s="13" t="s">
        <v>4864</v>
      </c>
    </row>
    <row r="678" ht="12.75" customHeight="1">
      <c r="A678" s="13" t="s">
        <v>955</v>
      </c>
      <c r="B678" s="13" t="s">
        <v>17522</v>
      </c>
      <c r="C678" s="13" t="s">
        <v>17532</v>
      </c>
      <c r="D678" s="2" t="s">
        <v>0</v>
      </c>
      <c r="E678" s="13" t="s">
        <v>17534</v>
      </c>
      <c r="F678" s="13" t="s">
        <v>5540</v>
      </c>
      <c r="G678" s="13" t="s">
        <v>4864</v>
      </c>
    </row>
    <row r="679" ht="12.75" customHeight="1">
      <c r="A679" s="13" t="s">
        <v>951</v>
      </c>
      <c r="B679" s="13" t="s">
        <v>17540</v>
      </c>
      <c r="C679" s="13" t="s">
        <v>17554</v>
      </c>
      <c r="D679" s="2" t="s">
        <v>0</v>
      </c>
      <c r="E679" s="13" t="s">
        <v>17556</v>
      </c>
      <c r="F679" s="13" t="s">
        <v>5540</v>
      </c>
      <c r="G679" s="13" t="s">
        <v>4856</v>
      </c>
    </row>
    <row r="680" ht="12.75" customHeight="1">
      <c r="A680" s="13" t="s">
        <v>949</v>
      </c>
      <c r="B680" s="13" t="s">
        <v>17561</v>
      </c>
      <c r="C680" s="13" t="s">
        <v>17570</v>
      </c>
      <c r="D680" s="2" t="s">
        <v>0</v>
      </c>
      <c r="E680" s="13" t="s">
        <v>17572</v>
      </c>
      <c r="F680" s="13" t="s">
        <v>5540</v>
      </c>
      <c r="G680" s="13" t="s">
        <v>4852</v>
      </c>
    </row>
    <row r="681" ht="12.75" customHeight="1">
      <c r="A681" s="13" t="s">
        <v>946</v>
      </c>
      <c r="B681" s="13" t="s">
        <v>17577</v>
      </c>
      <c r="C681" s="13" t="s">
        <v>17586</v>
      </c>
      <c r="D681" s="2" t="s">
        <v>0</v>
      </c>
      <c r="E681" s="13" t="s">
        <v>17588</v>
      </c>
      <c r="F681" s="13" t="s">
        <v>5540</v>
      </c>
      <c r="G681" s="13" t="s">
        <v>4856</v>
      </c>
    </row>
    <row r="682" ht="12.75" customHeight="1">
      <c r="A682" s="13" t="s">
        <v>937</v>
      </c>
      <c r="B682" s="13" t="s">
        <v>17592</v>
      </c>
      <c r="C682" s="13" t="s">
        <v>17603</v>
      </c>
      <c r="D682" s="2" t="s">
        <v>0</v>
      </c>
      <c r="E682" s="13" t="s">
        <v>17605</v>
      </c>
      <c r="F682" s="13" t="s">
        <v>5540</v>
      </c>
      <c r="G682" s="13" t="s">
        <v>4856</v>
      </c>
    </row>
    <row r="683" ht="12.75" customHeight="1">
      <c r="A683" s="13" t="s">
        <v>932</v>
      </c>
      <c r="B683" s="13" t="s">
        <v>17609</v>
      </c>
      <c r="C683" s="13" t="s">
        <v>17619</v>
      </c>
      <c r="D683" s="2" t="s">
        <v>0</v>
      </c>
      <c r="E683" s="13" t="s">
        <v>17621</v>
      </c>
      <c r="F683" s="13" t="s">
        <v>5540</v>
      </c>
      <c r="G683" s="13" t="s">
        <v>4864</v>
      </c>
    </row>
    <row r="684" ht="12.75" customHeight="1">
      <c r="A684" s="13" t="s">
        <v>17624</v>
      </c>
      <c r="B684" s="13" t="s">
        <v>17628</v>
      </c>
      <c r="C684" s="13" t="s">
        <v>17642</v>
      </c>
      <c r="D684" s="2" t="s">
        <v>0</v>
      </c>
      <c r="E684" s="13" t="s">
        <v>17644</v>
      </c>
      <c r="F684" s="13" t="s">
        <v>9118</v>
      </c>
      <c r="G684" s="13" t="s">
        <v>4856</v>
      </c>
    </row>
    <row r="685" ht="12.75" customHeight="1">
      <c r="A685" s="13" t="s">
        <v>919</v>
      </c>
      <c r="B685" s="13" t="s">
        <v>17650</v>
      </c>
      <c r="C685" s="13" t="str">
        <f>#REF!</f>
        <v>#REF!</v>
      </c>
      <c r="D685" s="2" t="s">
        <v>0</v>
      </c>
      <c r="E685" s="13" t="s">
        <v>17665</v>
      </c>
      <c r="F685" s="13" t="s">
        <v>5540</v>
      </c>
      <c r="G685" s="13" t="s">
        <v>4886</v>
      </c>
    </row>
    <row r="686" ht="12.75" customHeight="1">
      <c r="A686" s="13" t="s">
        <v>916</v>
      </c>
      <c r="B686" s="13" t="s">
        <v>17670</v>
      </c>
      <c r="C686" s="13" t="s">
        <v>17679</v>
      </c>
      <c r="D686" s="2" t="s">
        <v>0</v>
      </c>
      <c r="E686" s="13" t="s">
        <v>17681</v>
      </c>
      <c r="F686" s="13" t="s">
        <v>5540</v>
      </c>
      <c r="G686" s="13" t="s">
        <v>4856</v>
      </c>
    </row>
    <row r="687" ht="12.75" customHeight="1">
      <c r="A687" s="13" t="s">
        <v>912</v>
      </c>
      <c r="B687" s="13" t="s">
        <v>17686</v>
      </c>
      <c r="C687" s="13" t="s">
        <v>17697</v>
      </c>
      <c r="D687" s="2" t="s">
        <v>0</v>
      </c>
      <c r="E687" s="13" t="s">
        <v>17699</v>
      </c>
      <c r="F687" s="13" t="s">
        <v>5540</v>
      </c>
      <c r="G687" s="13" t="s">
        <v>4856</v>
      </c>
    </row>
    <row r="688" ht="12.75" customHeight="1">
      <c r="A688" s="13" t="s">
        <v>17702</v>
      </c>
      <c r="B688" s="13" t="s">
        <v>17705</v>
      </c>
      <c r="C688" s="13" t="s">
        <v>17714</v>
      </c>
      <c r="D688" s="2" t="s">
        <v>0</v>
      </c>
      <c r="E688" s="13" t="s">
        <v>17716</v>
      </c>
      <c r="F688" s="13" t="s">
        <v>5540</v>
      </c>
      <c r="G688" s="13" t="s">
        <v>4864</v>
      </c>
    </row>
    <row r="689" ht="12.75" customHeight="1">
      <c r="A689" s="13" t="s">
        <v>907</v>
      </c>
      <c r="B689" s="13" t="s">
        <v>17721</v>
      </c>
      <c r="C689" s="13" t="s">
        <v>17731</v>
      </c>
      <c r="D689" s="2" t="s">
        <v>0</v>
      </c>
      <c r="E689" s="13" t="s">
        <v>17733</v>
      </c>
      <c r="F689" s="13" t="s">
        <v>5540</v>
      </c>
      <c r="G689" s="13" t="s">
        <v>4856</v>
      </c>
    </row>
    <row r="690" ht="12.75" customHeight="1">
      <c r="A690" s="13" t="s">
        <v>900</v>
      </c>
      <c r="B690" s="13" t="s">
        <v>17739</v>
      </c>
      <c r="C690" s="13" t="s">
        <v>17754</v>
      </c>
      <c r="D690" s="2" t="s">
        <v>0</v>
      </c>
      <c r="E690" s="13" t="s">
        <v>17758</v>
      </c>
      <c r="F690" s="13" t="s">
        <v>5540</v>
      </c>
      <c r="G690" s="13" t="s">
        <v>4856</v>
      </c>
    </row>
    <row r="691" ht="12.75" customHeight="1">
      <c r="A691" s="13" t="s">
        <v>898</v>
      </c>
      <c r="B691" s="13" t="s">
        <v>17764</v>
      </c>
      <c r="C691" s="13" t="s">
        <v>17778</v>
      </c>
      <c r="D691" s="2" t="s">
        <v>0</v>
      </c>
      <c r="E691" s="13" t="s">
        <v>17780</v>
      </c>
      <c r="F691" s="13" t="s">
        <v>5540</v>
      </c>
      <c r="G691" s="13" t="s">
        <v>4864</v>
      </c>
    </row>
    <row r="692" ht="12.75" customHeight="1">
      <c r="A692" s="13" t="s">
        <v>17783</v>
      </c>
      <c r="B692" s="13" t="s">
        <v>17786</v>
      </c>
      <c r="C692" s="13" t="s">
        <v>17797</v>
      </c>
      <c r="D692" s="2" t="s">
        <v>0</v>
      </c>
      <c r="E692" s="13" t="s">
        <v>17800</v>
      </c>
      <c r="F692" s="13" t="s">
        <v>5540</v>
      </c>
      <c r="G692" s="13" t="s">
        <v>4856</v>
      </c>
    </row>
    <row r="693" ht="12.75" customHeight="1">
      <c r="A693" s="13" t="s">
        <v>891</v>
      </c>
      <c r="B693" s="13" t="s">
        <v>17805</v>
      </c>
      <c r="C693" s="13" t="s">
        <v>17815</v>
      </c>
      <c r="D693" s="2" t="s">
        <v>0</v>
      </c>
      <c r="E693" s="13" t="s">
        <v>17817</v>
      </c>
      <c r="F693" s="13" t="s">
        <v>5540</v>
      </c>
      <c r="G693" s="13" t="s">
        <v>4856</v>
      </c>
    </row>
    <row r="694" ht="12.75" customHeight="1">
      <c r="A694" s="13" t="s">
        <v>889</v>
      </c>
      <c r="B694" s="13" t="s">
        <v>17821</v>
      </c>
      <c r="C694" s="13" t="s">
        <v>17833</v>
      </c>
      <c r="D694" s="2" t="s">
        <v>0</v>
      </c>
      <c r="E694" s="13" t="s">
        <v>17835</v>
      </c>
      <c r="F694" s="13" t="s">
        <v>5540</v>
      </c>
      <c r="G694" s="13" t="s">
        <v>4880</v>
      </c>
    </row>
    <row r="695" ht="12.75" customHeight="1">
      <c r="A695" s="13" t="s">
        <v>886</v>
      </c>
      <c r="B695" s="13" t="s">
        <v>17840</v>
      </c>
      <c r="C695" s="13" t="s">
        <v>17850</v>
      </c>
      <c r="D695" s="2" t="s">
        <v>0</v>
      </c>
      <c r="E695" s="13" t="s">
        <v>17851</v>
      </c>
      <c r="F695" s="13" t="s">
        <v>5540</v>
      </c>
      <c r="G695" s="13" t="s">
        <v>4864</v>
      </c>
    </row>
    <row r="696" ht="12.75" customHeight="1">
      <c r="A696" s="13" t="s">
        <v>883</v>
      </c>
      <c r="B696" s="13" t="s">
        <v>17856</v>
      </c>
      <c r="C696" s="13" t="s">
        <v>17864</v>
      </c>
      <c r="D696" s="2" t="s">
        <v>0</v>
      </c>
      <c r="E696" s="13" t="s">
        <v>17866</v>
      </c>
      <c r="F696" s="13" t="s">
        <v>5540</v>
      </c>
      <c r="G696" s="13" t="s">
        <v>4856</v>
      </c>
    </row>
    <row r="697" ht="12.75" customHeight="1">
      <c r="A697" s="2" t="s">
        <v>878</v>
      </c>
      <c r="B697" s="13" t="s">
        <v>17870</v>
      </c>
      <c r="C697" s="13" t="s">
        <v>17880</v>
      </c>
      <c r="D697" s="2" t="s">
        <v>0</v>
      </c>
      <c r="E697" s="13" t="s">
        <v>17882</v>
      </c>
      <c r="F697" s="13" t="s">
        <v>5540</v>
      </c>
      <c r="G697" s="13" t="s">
        <v>4864</v>
      </c>
    </row>
    <row r="698" ht="12.75" customHeight="1">
      <c r="A698" s="13" t="s">
        <v>874</v>
      </c>
      <c r="B698" s="13" t="s">
        <v>17887</v>
      </c>
      <c r="C698" s="13" t="s">
        <v>17901</v>
      </c>
      <c r="D698" s="2" t="s">
        <v>0</v>
      </c>
      <c r="E698" s="13" t="s">
        <v>17903</v>
      </c>
      <c r="F698" s="13" t="s">
        <v>5540</v>
      </c>
      <c r="G698" s="13" t="s">
        <v>4856</v>
      </c>
    </row>
    <row r="699" ht="12.75" customHeight="1">
      <c r="A699" s="13" t="s">
        <v>872</v>
      </c>
      <c r="B699" s="13" t="s">
        <v>17907</v>
      </c>
      <c r="C699" s="13" t="s">
        <v>17917</v>
      </c>
      <c r="D699" s="2" t="s">
        <v>0</v>
      </c>
      <c r="E699" s="13" t="s">
        <v>17919</v>
      </c>
      <c r="F699" s="13" t="s">
        <v>5540</v>
      </c>
      <c r="G699" s="13" t="s">
        <v>4856</v>
      </c>
    </row>
    <row r="700" ht="12.75" customHeight="1">
      <c r="A700" s="13" t="s">
        <v>868</v>
      </c>
      <c r="B700" s="13" t="s">
        <v>17924</v>
      </c>
      <c r="C700" s="13" t="s">
        <v>17931</v>
      </c>
      <c r="D700" s="2" t="s">
        <v>0</v>
      </c>
      <c r="E700" s="13" t="s">
        <v>17933</v>
      </c>
      <c r="F700" s="13" t="s">
        <v>5540</v>
      </c>
      <c r="G700" s="13" t="s">
        <v>4886</v>
      </c>
    </row>
    <row r="701" ht="12.75" customHeight="1">
      <c r="A701" s="13" t="s">
        <v>17936</v>
      </c>
      <c r="B701" s="13" t="s">
        <v>17939</v>
      </c>
      <c r="C701" s="13" t="s">
        <v>17949</v>
      </c>
      <c r="D701" s="2" t="s">
        <v>0</v>
      </c>
      <c r="E701" s="13" t="s">
        <v>17951</v>
      </c>
      <c r="F701" s="13" t="s">
        <v>11683</v>
      </c>
      <c r="G701" s="13" t="s">
        <v>4856</v>
      </c>
    </row>
    <row r="702" ht="12.75" customHeight="1">
      <c r="A702" s="13" t="s">
        <v>17954</v>
      </c>
      <c r="B702" s="13" t="s">
        <v>17957</v>
      </c>
      <c r="C702" s="13" t="s">
        <v>17965</v>
      </c>
      <c r="D702" s="2" t="s">
        <v>0</v>
      </c>
      <c r="E702" s="13" t="s">
        <v>17967</v>
      </c>
      <c r="F702" s="13" t="s">
        <v>5540</v>
      </c>
      <c r="G702" s="13" t="s">
        <v>4856</v>
      </c>
    </row>
    <row r="703" ht="12.75" customHeight="1">
      <c r="A703" s="13" t="s">
        <v>849</v>
      </c>
      <c r="B703" s="13" t="s">
        <v>17973</v>
      </c>
      <c r="C703" s="13" t="s">
        <v>17986</v>
      </c>
      <c r="D703" s="2" t="s">
        <v>0</v>
      </c>
      <c r="E703" s="13" t="s">
        <v>17988</v>
      </c>
      <c r="F703" s="13" t="s">
        <v>5540</v>
      </c>
      <c r="G703" s="13" t="s">
        <v>4856</v>
      </c>
    </row>
    <row r="704" ht="12.75" customHeight="1">
      <c r="A704" s="13" t="s">
        <v>844</v>
      </c>
      <c r="B704" s="13" t="s">
        <v>17993</v>
      </c>
      <c r="C704" s="13" t="s">
        <v>18002</v>
      </c>
      <c r="D704" s="2" t="s">
        <v>0</v>
      </c>
      <c r="E704" s="13" t="s">
        <v>18004</v>
      </c>
      <c r="F704" s="13" t="s">
        <v>5540</v>
      </c>
      <c r="G704" s="13" t="s">
        <v>4856</v>
      </c>
    </row>
    <row r="705" ht="12.75" customHeight="1">
      <c r="A705" s="2" t="s">
        <v>841</v>
      </c>
      <c r="B705" s="13" t="s">
        <v>18009</v>
      </c>
      <c r="C705" s="13" t="s">
        <v>18019</v>
      </c>
      <c r="D705" s="2" t="s">
        <v>0</v>
      </c>
      <c r="E705" s="13" t="s">
        <v>18021</v>
      </c>
      <c r="F705" s="13" t="s">
        <v>5540</v>
      </c>
      <c r="G705" s="13" t="s">
        <v>4852</v>
      </c>
    </row>
    <row r="706" ht="12.75" customHeight="1">
      <c r="A706" s="13" t="s">
        <v>835</v>
      </c>
      <c r="B706" s="13" t="s">
        <v>18026</v>
      </c>
      <c r="C706" s="13" t="s">
        <v>18036</v>
      </c>
      <c r="D706" s="2" t="s">
        <v>0</v>
      </c>
      <c r="E706" s="13" t="s">
        <v>18038</v>
      </c>
      <c r="F706" s="13" t="s">
        <v>9118</v>
      </c>
      <c r="G706" s="13" t="s">
        <v>4864</v>
      </c>
    </row>
    <row r="707" ht="12.75" customHeight="1">
      <c r="A707" s="2" t="s">
        <v>832</v>
      </c>
      <c r="B707" s="13" t="s">
        <v>18044</v>
      </c>
      <c r="C707" s="13" t="s">
        <v>18055</v>
      </c>
      <c r="D707" s="2" t="s">
        <v>0</v>
      </c>
      <c r="E707" s="13" t="s">
        <v>18057</v>
      </c>
      <c r="F707" s="13" t="s">
        <v>5540</v>
      </c>
      <c r="G707" s="13" t="s">
        <v>4856</v>
      </c>
    </row>
    <row r="708" ht="12.75" customHeight="1">
      <c r="A708" s="13" t="s">
        <v>828</v>
      </c>
      <c r="B708" s="13" t="s">
        <v>18062</v>
      </c>
      <c r="C708" s="13" t="s">
        <v>18072</v>
      </c>
      <c r="D708" s="2" t="s">
        <v>0</v>
      </c>
      <c r="E708" s="13" t="s">
        <v>18074</v>
      </c>
      <c r="F708" s="13" t="s">
        <v>5540</v>
      </c>
      <c r="G708" s="13" t="s">
        <v>4856</v>
      </c>
    </row>
    <row r="709" ht="12.75" customHeight="1">
      <c r="A709" s="13" t="s">
        <v>825</v>
      </c>
      <c r="B709" s="13" t="s">
        <v>18079</v>
      </c>
      <c r="C709" s="13" t="s">
        <v>18089</v>
      </c>
      <c r="D709" s="2" t="s">
        <v>0</v>
      </c>
      <c r="E709" s="13" t="s">
        <v>18091</v>
      </c>
      <c r="F709" s="13" t="s">
        <v>5540</v>
      </c>
      <c r="G709" s="13" t="s">
        <v>4864</v>
      </c>
    </row>
    <row r="710" ht="12.75" customHeight="1">
      <c r="A710" s="13" t="s">
        <v>823</v>
      </c>
      <c r="B710" s="13" t="s">
        <v>18096</v>
      </c>
      <c r="C710" s="13" t="str">
        <f>#REF!</f>
        <v>#REF!</v>
      </c>
      <c r="D710" s="2" t="s">
        <v>0</v>
      </c>
      <c r="E710" s="13" t="s">
        <v>18106</v>
      </c>
      <c r="F710" s="13" t="s">
        <v>5540</v>
      </c>
      <c r="G710" s="13" t="s">
        <v>4864</v>
      </c>
    </row>
    <row r="711" ht="12.75" customHeight="1">
      <c r="A711" s="13" t="s">
        <v>18109</v>
      </c>
      <c r="B711" s="13" t="s">
        <v>18111</v>
      </c>
      <c r="C711" s="13" t="s">
        <v>18122</v>
      </c>
      <c r="D711" s="2" t="s">
        <v>0</v>
      </c>
      <c r="E711" s="13" t="s">
        <v>18123</v>
      </c>
      <c r="F711" s="13" t="s">
        <v>5540</v>
      </c>
      <c r="G711" s="13" t="s">
        <v>4864</v>
      </c>
    </row>
    <row r="712" ht="12.75" customHeight="1">
      <c r="A712" s="13" t="s">
        <v>814</v>
      </c>
      <c r="B712" s="13" t="s">
        <v>18128</v>
      </c>
      <c r="C712" s="13" t="s">
        <v>18138</v>
      </c>
      <c r="D712" s="2" t="s">
        <v>0</v>
      </c>
      <c r="E712" s="13" t="s">
        <v>18139</v>
      </c>
      <c r="F712" s="13" t="s">
        <v>5540</v>
      </c>
      <c r="G712" s="13" t="s">
        <v>4864</v>
      </c>
    </row>
    <row r="713" ht="12.75" customHeight="1">
      <c r="A713" s="13" t="s">
        <v>812</v>
      </c>
      <c r="B713" s="13" t="s">
        <v>18144</v>
      </c>
      <c r="C713" s="13" t="s">
        <v>18154</v>
      </c>
      <c r="D713" s="2" t="s">
        <v>0</v>
      </c>
      <c r="E713" s="13" t="s">
        <v>18156</v>
      </c>
      <c r="F713" s="13" t="s">
        <v>5540</v>
      </c>
      <c r="G713" s="13" t="s">
        <v>4852</v>
      </c>
    </row>
    <row r="714" ht="12.75" customHeight="1">
      <c r="A714" s="13" t="s">
        <v>807</v>
      </c>
      <c r="B714" s="13" t="s">
        <v>18161</v>
      </c>
      <c r="C714" s="13" t="s">
        <v>18171</v>
      </c>
      <c r="D714" s="2" t="s">
        <v>0</v>
      </c>
      <c r="E714" s="13" t="s">
        <v>18173</v>
      </c>
      <c r="F714" s="13" t="s">
        <v>5540</v>
      </c>
      <c r="G714" s="13" t="s">
        <v>4855</v>
      </c>
    </row>
    <row r="715" ht="12.75" customHeight="1">
      <c r="A715" s="13" t="s">
        <v>804</v>
      </c>
      <c r="B715" s="13" t="s">
        <v>18178</v>
      </c>
      <c r="C715" s="13" t="s">
        <v>18188</v>
      </c>
      <c r="D715" s="2" t="s">
        <v>0</v>
      </c>
      <c r="E715" s="13" t="s">
        <v>18190</v>
      </c>
      <c r="F715" s="13" t="s">
        <v>5540</v>
      </c>
      <c r="G715" s="13" t="s">
        <v>4856</v>
      </c>
    </row>
    <row r="716" ht="12.75" customHeight="1">
      <c r="A716" s="13" t="s">
        <v>801</v>
      </c>
      <c r="B716" s="13" t="s">
        <v>18195</v>
      </c>
      <c r="C716" s="13" t="s">
        <v>18203</v>
      </c>
      <c r="D716" s="2" t="s">
        <v>0</v>
      </c>
      <c r="E716" s="13" t="s">
        <v>18206</v>
      </c>
      <c r="F716" s="13" t="s">
        <v>9118</v>
      </c>
      <c r="G716" s="13" t="s">
        <v>4855</v>
      </c>
    </row>
    <row r="717" ht="12.75" customHeight="1">
      <c r="A717" s="13" t="s">
        <v>798</v>
      </c>
      <c r="B717" s="13" t="s">
        <v>18211</v>
      </c>
      <c r="C717" s="13" t="s">
        <v>18220</v>
      </c>
      <c r="D717" s="2" t="s">
        <v>0</v>
      </c>
      <c r="E717" s="13" t="s">
        <v>18222</v>
      </c>
      <c r="F717" s="13" t="s">
        <v>5540</v>
      </c>
      <c r="G717" s="13" t="s">
        <v>4856</v>
      </c>
    </row>
    <row r="718" ht="12.75" customHeight="1">
      <c r="A718" s="13" t="s">
        <v>795</v>
      </c>
      <c r="B718" s="13" t="s">
        <v>18226</v>
      </c>
      <c r="C718" s="13" t="s">
        <v>18236</v>
      </c>
      <c r="D718" s="2" t="s">
        <v>0</v>
      </c>
      <c r="E718" s="13" t="s">
        <v>18238</v>
      </c>
      <c r="F718" s="13" t="s">
        <v>5540</v>
      </c>
      <c r="G718" s="13" t="s">
        <v>4856</v>
      </c>
    </row>
    <row r="719" ht="12.75" customHeight="1">
      <c r="A719" s="13" t="s">
        <v>792</v>
      </c>
      <c r="B719" s="13" t="s">
        <v>18243</v>
      </c>
      <c r="C719" s="13" t="s">
        <v>18252</v>
      </c>
      <c r="D719" s="2" t="s">
        <v>0</v>
      </c>
      <c r="E719" s="13" t="s">
        <v>18254</v>
      </c>
      <c r="F719" s="13" t="s">
        <v>5540</v>
      </c>
      <c r="G719" s="13" t="s">
        <v>4856</v>
      </c>
    </row>
    <row r="720" ht="12.75" customHeight="1">
      <c r="A720" s="13" t="s">
        <v>789</v>
      </c>
      <c r="B720" s="13" t="s">
        <v>18259</v>
      </c>
      <c r="C720" s="13" t="s">
        <v>18267</v>
      </c>
      <c r="D720" s="2" t="s">
        <v>0</v>
      </c>
      <c r="E720" s="13" t="s">
        <v>18269</v>
      </c>
      <c r="F720" s="13" t="s">
        <v>5540</v>
      </c>
      <c r="G720" s="13" t="s">
        <v>4856</v>
      </c>
    </row>
    <row r="721" ht="12.75" customHeight="1">
      <c r="A721" s="13" t="s">
        <v>786</v>
      </c>
      <c r="B721" s="13" t="s">
        <v>18274</v>
      </c>
      <c r="C721" s="13" t="s">
        <v>18284</v>
      </c>
      <c r="D721" s="2" t="s">
        <v>0</v>
      </c>
      <c r="E721" s="13" t="s">
        <v>18286</v>
      </c>
      <c r="F721" s="13" t="s">
        <v>5540</v>
      </c>
      <c r="G721" s="13" t="s">
        <v>4856</v>
      </c>
    </row>
    <row r="722" ht="12.75" customHeight="1">
      <c r="A722" s="13" t="s">
        <v>783</v>
      </c>
      <c r="B722" s="13" t="s">
        <v>18291</v>
      </c>
      <c r="C722" s="13" t="s">
        <v>18301</v>
      </c>
      <c r="D722" s="2" t="s">
        <v>0</v>
      </c>
      <c r="E722" s="13" t="s">
        <v>18303</v>
      </c>
      <c r="F722" s="13" t="s">
        <v>5540</v>
      </c>
      <c r="G722" s="13" t="s">
        <v>4856</v>
      </c>
    </row>
    <row r="723" ht="12.75" customHeight="1">
      <c r="A723" s="13" t="s">
        <v>779</v>
      </c>
      <c r="B723" s="13" t="s">
        <v>18309</v>
      </c>
      <c r="C723" s="13" t="s">
        <v>18325</v>
      </c>
      <c r="D723" s="2" t="s">
        <v>0</v>
      </c>
      <c r="E723" s="13" t="s">
        <v>18327</v>
      </c>
      <c r="F723" s="13" t="s">
        <v>5540</v>
      </c>
      <c r="G723" s="13" t="s">
        <v>4856</v>
      </c>
    </row>
    <row r="724" ht="12.75" customHeight="1">
      <c r="A724" s="13" t="s">
        <v>776</v>
      </c>
      <c r="B724" s="13" t="s">
        <v>18332</v>
      </c>
      <c r="C724" s="13" t="s">
        <v>18338</v>
      </c>
      <c r="D724" s="2" t="s">
        <v>0</v>
      </c>
      <c r="E724" s="13" t="s">
        <v>18340</v>
      </c>
      <c r="F724" s="13" t="s">
        <v>5540</v>
      </c>
      <c r="G724" s="13" t="s">
        <v>4852</v>
      </c>
    </row>
    <row r="725" ht="12.75" customHeight="1">
      <c r="A725" s="13" t="s">
        <v>18342</v>
      </c>
      <c r="B725" s="13" t="s">
        <v>18344</v>
      </c>
      <c r="C725" s="13" t="str">
        <f>#REF!</f>
        <v>#REF!</v>
      </c>
      <c r="D725" s="2" t="s">
        <v>0</v>
      </c>
      <c r="E725" s="13" t="s">
        <v>18354</v>
      </c>
      <c r="F725" s="13" t="s">
        <v>5540</v>
      </c>
      <c r="G725" s="13" t="s">
        <v>4856</v>
      </c>
    </row>
    <row r="726" ht="12.75" customHeight="1">
      <c r="A726" s="13" t="s">
        <v>768</v>
      </c>
      <c r="B726" s="13" t="s">
        <v>18359</v>
      </c>
      <c r="C726" s="13" t="s">
        <v>18369</v>
      </c>
      <c r="D726" s="2" t="s">
        <v>0</v>
      </c>
      <c r="E726" s="13" t="s">
        <v>18371</v>
      </c>
      <c r="F726" s="13" t="s">
        <v>5540</v>
      </c>
      <c r="G726" s="13" t="s">
        <v>4855</v>
      </c>
    </row>
    <row r="727" ht="12.75" customHeight="1">
      <c r="A727" s="13" t="s">
        <v>18374</v>
      </c>
      <c r="B727" s="13" t="s">
        <v>18377</v>
      </c>
      <c r="C727" s="13" t="s">
        <v>18386</v>
      </c>
      <c r="D727" s="2" t="s">
        <v>0</v>
      </c>
      <c r="E727" s="13" t="s">
        <v>18388</v>
      </c>
      <c r="F727" s="13" t="s">
        <v>5540</v>
      </c>
      <c r="G727" s="13" t="s">
        <v>4856</v>
      </c>
    </row>
    <row r="728" ht="12.75" customHeight="1">
      <c r="A728" s="13" t="s">
        <v>18391</v>
      </c>
      <c r="B728" s="13" t="s">
        <v>18394</v>
      </c>
      <c r="C728" s="13" t="s">
        <v>18403</v>
      </c>
      <c r="D728" s="2" t="s">
        <v>0</v>
      </c>
      <c r="E728" s="13" t="s">
        <v>18405</v>
      </c>
      <c r="F728" s="13" t="s">
        <v>5540</v>
      </c>
      <c r="G728" s="13" t="s">
        <v>4856</v>
      </c>
    </row>
    <row r="729" ht="12.75" customHeight="1">
      <c r="A729" s="13" t="s">
        <v>759</v>
      </c>
      <c r="B729" s="13" t="s">
        <v>18410</v>
      </c>
      <c r="C729" s="13" t="s">
        <v>18420</v>
      </c>
      <c r="D729" s="2" t="s">
        <v>0</v>
      </c>
      <c r="E729" s="13" t="s">
        <v>18421</v>
      </c>
      <c r="F729" s="13" t="s">
        <v>5540</v>
      </c>
      <c r="G729" s="13" t="s">
        <v>4856</v>
      </c>
    </row>
    <row r="730" ht="12.75" customHeight="1">
      <c r="A730" s="13" t="s">
        <v>752</v>
      </c>
      <c r="B730" s="13" t="s">
        <v>18426</v>
      </c>
      <c r="C730" s="13" t="s">
        <v>18436</v>
      </c>
      <c r="D730" s="2" t="s">
        <v>0</v>
      </c>
      <c r="E730" s="13" t="s">
        <v>18438</v>
      </c>
      <c r="F730" s="13" t="s">
        <v>5540</v>
      </c>
      <c r="G730" s="13" t="s">
        <v>4856</v>
      </c>
    </row>
    <row r="731" ht="12.75" customHeight="1">
      <c r="A731" s="13" t="s">
        <v>18441</v>
      </c>
      <c r="B731" s="13" t="s">
        <v>18448</v>
      </c>
      <c r="C731" s="13" t="s">
        <v>18457</v>
      </c>
      <c r="D731" s="2" t="s">
        <v>0</v>
      </c>
      <c r="E731" s="13" t="s">
        <v>18459</v>
      </c>
      <c r="F731" s="13" t="s">
        <v>5540</v>
      </c>
      <c r="G731" s="13" t="s">
        <v>4852</v>
      </c>
    </row>
    <row r="732" ht="12.75" customHeight="1">
      <c r="A732" s="13" t="s">
        <v>745</v>
      </c>
      <c r="B732" s="13" t="s">
        <v>18464</v>
      </c>
      <c r="C732" s="13" t="s">
        <v>18474</v>
      </c>
      <c r="D732" s="2" t="s">
        <v>0</v>
      </c>
      <c r="E732" s="13" t="s">
        <v>18476</v>
      </c>
      <c r="F732" s="13" t="s">
        <v>11683</v>
      </c>
      <c r="G732" s="13" t="s">
        <v>4856</v>
      </c>
    </row>
    <row r="733" ht="12.75" customHeight="1">
      <c r="A733" s="13" t="s">
        <v>18479</v>
      </c>
      <c r="B733" s="13" t="s">
        <v>18483</v>
      </c>
      <c r="C733" s="13" t="s">
        <v>18497</v>
      </c>
      <c r="D733" s="2" t="s">
        <v>0</v>
      </c>
      <c r="E733" s="13" t="s">
        <v>18499</v>
      </c>
      <c r="F733" s="13" t="s">
        <v>5540</v>
      </c>
      <c r="G733" s="13" t="s">
        <v>4856</v>
      </c>
    </row>
    <row r="734" ht="12.75" customHeight="1">
      <c r="A734" s="13" t="s">
        <v>739</v>
      </c>
      <c r="B734" s="13" t="s">
        <v>18503</v>
      </c>
      <c r="C734" s="13" t="s">
        <v>18517</v>
      </c>
      <c r="D734" s="2" t="s">
        <v>0</v>
      </c>
      <c r="E734" s="13" t="s">
        <v>18519</v>
      </c>
      <c r="F734" s="13" t="s">
        <v>5540</v>
      </c>
      <c r="G734" s="13" t="s">
        <v>4852</v>
      </c>
    </row>
    <row r="735" ht="12.75" customHeight="1">
      <c r="A735" s="2" t="s">
        <v>735</v>
      </c>
      <c r="B735" s="13" t="s">
        <v>18524</v>
      </c>
      <c r="C735" s="13" t="s">
        <v>18533</v>
      </c>
      <c r="D735" s="2" t="s">
        <v>0</v>
      </c>
      <c r="E735" s="13" t="s">
        <v>18535</v>
      </c>
      <c r="F735" s="13" t="s">
        <v>5540</v>
      </c>
      <c r="G735" s="13" t="s">
        <v>4856</v>
      </c>
    </row>
    <row r="736" ht="12.75" customHeight="1">
      <c r="A736" s="13" t="s">
        <v>732</v>
      </c>
      <c r="B736" s="13" t="s">
        <v>18540</v>
      </c>
      <c r="C736" s="13" t="s">
        <v>18550</v>
      </c>
      <c r="D736" s="2" t="s">
        <v>0</v>
      </c>
      <c r="E736" s="13" t="s">
        <v>18552</v>
      </c>
      <c r="F736" s="13" t="s">
        <v>5540</v>
      </c>
      <c r="G736" s="13" t="s">
        <v>4856</v>
      </c>
    </row>
    <row r="737" ht="12.75" customHeight="1">
      <c r="A737" s="13" t="s">
        <v>730</v>
      </c>
      <c r="B737" s="13" t="s">
        <v>18557</v>
      </c>
      <c r="C737" s="13" t="s">
        <v>18567</v>
      </c>
      <c r="D737" s="2" t="s">
        <v>0</v>
      </c>
      <c r="E737" s="13" t="s">
        <v>18569</v>
      </c>
      <c r="F737" s="13" t="s">
        <v>5540</v>
      </c>
      <c r="G737" s="13" t="s">
        <v>4856</v>
      </c>
    </row>
    <row r="738" ht="12.75" customHeight="1">
      <c r="A738" s="13" t="s">
        <v>728</v>
      </c>
      <c r="B738" s="13" t="s">
        <v>18574</v>
      </c>
      <c r="C738" s="13" t="s">
        <v>18583</v>
      </c>
      <c r="D738" s="2" t="s">
        <v>0</v>
      </c>
      <c r="E738" s="13" t="s">
        <v>18585</v>
      </c>
      <c r="F738" s="13" t="s">
        <v>5540</v>
      </c>
      <c r="G738" s="13" t="s">
        <v>4856</v>
      </c>
    </row>
    <row r="739" ht="12.75" customHeight="1">
      <c r="A739" s="13" t="s">
        <v>726</v>
      </c>
      <c r="B739" s="13" t="s">
        <v>18589</v>
      </c>
      <c r="C739" s="13" t="s">
        <v>18600</v>
      </c>
      <c r="D739" s="2" t="s">
        <v>0</v>
      </c>
      <c r="E739" s="13" t="s">
        <v>18602</v>
      </c>
      <c r="F739" s="13" t="s">
        <v>5540</v>
      </c>
      <c r="G739" s="13" t="s">
        <v>4856</v>
      </c>
    </row>
    <row r="740" ht="12.75" customHeight="1">
      <c r="A740" s="13" t="s">
        <v>724</v>
      </c>
      <c r="B740" s="13" t="s">
        <v>18607</v>
      </c>
      <c r="C740" s="13" t="s">
        <v>18617</v>
      </c>
      <c r="D740" s="2" t="s">
        <v>0</v>
      </c>
      <c r="E740" s="13" t="s">
        <v>18619</v>
      </c>
      <c r="F740" s="13" t="s">
        <v>5540</v>
      </c>
      <c r="G740" s="13" t="s">
        <v>4856</v>
      </c>
    </row>
    <row r="741" ht="12.75" customHeight="1">
      <c r="A741" s="13" t="s">
        <v>721</v>
      </c>
      <c r="B741" s="13" t="s">
        <v>18624</v>
      </c>
      <c r="C741" s="13" t="s">
        <v>18631</v>
      </c>
      <c r="D741" s="2" t="s">
        <v>0</v>
      </c>
      <c r="E741" s="13" t="s">
        <v>18633</v>
      </c>
      <c r="F741" s="13" t="s">
        <v>5540</v>
      </c>
      <c r="G741" s="13" t="s">
        <v>4856</v>
      </c>
    </row>
    <row r="742" ht="12.75" customHeight="1">
      <c r="A742" s="13" t="s">
        <v>718</v>
      </c>
      <c r="B742" s="13" t="s">
        <v>18638</v>
      </c>
      <c r="C742" s="13" t="s">
        <v>18648</v>
      </c>
      <c r="D742" s="2" t="s">
        <v>0</v>
      </c>
      <c r="E742" s="13" t="s">
        <v>18650</v>
      </c>
      <c r="F742" s="13" t="s">
        <v>5540</v>
      </c>
      <c r="G742" s="13" t="s">
        <v>4852</v>
      </c>
    </row>
    <row r="743" ht="12.75" customHeight="1">
      <c r="A743" s="13" t="s">
        <v>714</v>
      </c>
      <c r="B743" s="13" t="s">
        <v>18654</v>
      </c>
      <c r="C743" s="13" t="s">
        <v>18663</v>
      </c>
      <c r="D743" s="2" t="s">
        <v>0</v>
      </c>
      <c r="E743" s="13" t="s">
        <v>18665</v>
      </c>
      <c r="F743" s="13" t="s">
        <v>5540</v>
      </c>
      <c r="G743" s="13" t="s">
        <v>5083</v>
      </c>
    </row>
    <row r="744" ht="12.75" customHeight="1">
      <c r="A744" s="13" t="s">
        <v>711</v>
      </c>
      <c r="B744" s="13" t="s">
        <v>18670</v>
      </c>
      <c r="C744" s="13" t="s">
        <v>18678</v>
      </c>
      <c r="D744" s="2" t="s">
        <v>0</v>
      </c>
      <c r="E744" s="13" t="s">
        <v>18680</v>
      </c>
      <c r="F744" s="13" t="s">
        <v>5540</v>
      </c>
      <c r="G744" s="13" t="s">
        <v>4852</v>
      </c>
    </row>
    <row r="745" ht="12.75" customHeight="1">
      <c r="A745" s="13" t="s">
        <v>708</v>
      </c>
      <c r="B745" s="13" t="s">
        <v>18686</v>
      </c>
      <c r="C745" s="13" t="s">
        <v>18703</v>
      </c>
      <c r="D745" s="2" t="s">
        <v>0</v>
      </c>
      <c r="E745" s="13" t="s">
        <v>18705</v>
      </c>
      <c r="F745" s="13" t="s">
        <v>5540</v>
      </c>
      <c r="G745" s="13" t="s">
        <v>4856</v>
      </c>
    </row>
    <row r="746" ht="12.75" customHeight="1">
      <c r="A746" s="13" t="s">
        <v>18708</v>
      </c>
      <c r="B746" s="13" t="s">
        <v>18710</v>
      </c>
      <c r="C746" s="13" t="s">
        <v>18719</v>
      </c>
      <c r="D746" s="2" t="s">
        <v>0</v>
      </c>
      <c r="E746" s="13" t="s">
        <v>18721</v>
      </c>
      <c r="F746" s="13" t="s">
        <v>5540</v>
      </c>
      <c r="G746" s="13" t="s">
        <v>4856</v>
      </c>
    </row>
    <row r="747" ht="12.75" customHeight="1">
      <c r="A747" s="13" t="s">
        <v>18724</v>
      </c>
      <c r="B747" s="13" t="s">
        <v>18726</v>
      </c>
      <c r="C747" s="13" t="s">
        <v>18735</v>
      </c>
      <c r="D747" s="2" t="s">
        <v>0</v>
      </c>
      <c r="E747" s="13" t="s">
        <v>18737</v>
      </c>
      <c r="F747" s="13" t="s">
        <v>5540</v>
      </c>
      <c r="G747" s="13" t="s">
        <v>4856</v>
      </c>
    </row>
    <row r="748" ht="12.75" customHeight="1">
      <c r="A748" s="13" t="s">
        <v>700</v>
      </c>
      <c r="B748" s="13" t="s">
        <v>18742</v>
      </c>
      <c r="C748" s="13" t="s">
        <v>18754</v>
      </c>
      <c r="D748" s="2" t="s">
        <v>0</v>
      </c>
      <c r="E748" s="13" t="s">
        <v>18756</v>
      </c>
      <c r="F748" s="13" t="s">
        <v>5540</v>
      </c>
      <c r="G748" s="13" t="s">
        <v>4856</v>
      </c>
    </row>
    <row r="749" ht="12.75" customHeight="1">
      <c r="A749" s="13" t="s">
        <v>18759</v>
      </c>
      <c r="B749" s="13" t="s">
        <v>18761</v>
      </c>
      <c r="C749" s="13" t="s">
        <v>18773</v>
      </c>
      <c r="D749" s="2" t="s">
        <v>0</v>
      </c>
      <c r="E749" s="13" t="s">
        <v>18775</v>
      </c>
      <c r="F749" s="13" t="s">
        <v>5540</v>
      </c>
      <c r="G749" s="13" t="s">
        <v>4856</v>
      </c>
    </row>
    <row r="750" ht="12.75" customHeight="1">
      <c r="A750" s="13" t="s">
        <v>695</v>
      </c>
      <c r="B750" s="13" t="s">
        <v>18779</v>
      </c>
      <c r="C750" s="13" t="s">
        <v>18790</v>
      </c>
      <c r="D750" s="2" t="s">
        <v>0</v>
      </c>
      <c r="E750" s="13" t="s">
        <v>18792</v>
      </c>
      <c r="F750" s="13" t="s">
        <v>5540</v>
      </c>
      <c r="G750" s="13" t="s">
        <v>4856</v>
      </c>
    </row>
    <row r="751" ht="12.75" customHeight="1">
      <c r="A751" s="13" t="s">
        <v>692</v>
      </c>
      <c r="B751" s="13" t="s">
        <v>18797</v>
      </c>
      <c r="C751" s="13" t="s">
        <v>18806</v>
      </c>
      <c r="D751" s="2" t="s">
        <v>0</v>
      </c>
      <c r="E751" s="13" t="s">
        <v>18808</v>
      </c>
      <c r="F751" s="13" t="s">
        <v>5540</v>
      </c>
      <c r="G751" s="13" t="s">
        <v>4856</v>
      </c>
    </row>
    <row r="752" ht="12.75" customHeight="1">
      <c r="A752" s="13" t="s">
        <v>18811</v>
      </c>
      <c r="B752" s="13" t="s">
        <v>18815</v>
      </c>
      <c r="C752" s="13" t="s">
        <v>18829</v>
      </c>
      <c r="D752" s="2" t="s">
        <v>0</v>
      </c>
      <c r="E752" s="13" t="s">
        <v>18831</v>
      </c>
      <c r="F752" s="13" t="s">
        <v>9118</v>
      </c>
      <c r="G752" s="13" t="s">
        <v>4886</v>
      </c>
    </row>
    <row r="753" ht="12.75" customHeight="1">
      <c r="A753" s="13" t="s">
        <v>677</v>
      </c>
      <c r="B753" s="13" t="s">
        <v>18836</v>
      </c>
      <c r="C753" s="13" t="s">
        <v>18845</v>
      </c>
      <c r="D753" s="2" t="s">
        <v>0</v>
      </c>
      <c r="E753" s="13" t="s">
        <v>18847</v>
      </c>
      <c r="F753" s="13" t="s">
        <v>5540</v>
      </c>
      <c r="G753" s="13" t="s">
        <v>4856</v>
      </c>
    </row>
    <row r="754" ht="12.75" customHeight="1">
      <c r="A754" s="13" t="s">
        <v>674</v>
      </c>
      <c r="B754" s="13" t="s">
        <v>18852</v>
      </c>
      <c r="C754" s="13" t="s">
        <v>18859</v>
      </c>
      <c r="D754" s="2" t="s">
        <v>0</v>
      </c>
      <c r="E754" s="13" t="s">
        <v>18861</v>
      </c>
      <c r="F754" s="13" t="s">
        <v>5540</v>
      </c>
      <c r="G754" s="13" t="s">
        <v>4856</v>
      </c>
    </row>
    <row r="755" ht="12.75" customHeight="1">
      <c r="A755" s="13" t="s">
        <v>18864</v>
      </c>
      <c r="B755" s="13" t="s">
        <v>18866</v>
      </c>
      <c r="C755" s="13" t="s">
        <v>18878</v>
      </c>
      <c r="D755" s="2" t="s">
        <v>0</v>
      </c>
      <c r="E755" s="13" t="s">
        <v>18880</v>
      </c>
      <c r="F755" s="13" t="s">
        <v>5540</v>
      </c>
      <c r="G755" s="13" t="s">
        <v>4864</v>
      </c>
    </row>
    <row r="756" ht="12.75" customHeight="1">
      <c r="A756" s="2" t="s">
        <v>670</v>
      </c>
      <c r="B756" s="13" t="s">
        <v>18885</v>
      </c>
      <c r="C756" s="13" t="s">
        <v>18893</v>
      </c>
      <c r="D756" s="2" t="s">
        <v>0</v>
      </c>
      <c r="E756" s="13" t="s">
        <v>18895</v>
      </c>
      <c r="F756" s="13" t="s">
        <v>5540</v>
      </c>
      <c r="G756" s="13" t="s">
        <v>4864</v>
      </c>
    </row>
    <row r="757" ht="12.75" customHeight="1">
      <c r="A757" s="13" t="s">
        <v>18898</v>
      </c>
      <c r="B757" s="13" t="s">
        <v>18901</v>
      </c>
      <c r="C757" s="13" t="s">
        <v>18916</v>
      </c>
      <c r="D757" s="2" t="s">
        <v>0</v>
      </c>
      <c r="E757" s="13" t="s">
        <v>18918</v>
      </c>
      <c r="F757" s="13" t="s">
        <v>5540</v>
      </c>
      <c r="G757" s="13" t="s">
        <v>4856</v>
      </c>
    </row>
    <row r="758" ht="12.75" customHeight="1">
      <c r="A758" s="2" t="s">
        <v>663</v>
      </c>
      <c r="B758" s="13" t="s">
        <v>18923</v>
      </c>
      <c r="C758" s="13" t="s">
        <v>18933</v>
      </c>
      <c r="D758" s="2" t="s">
        <v>0</v>
      </c>
      <c r="E758" s="13" t="s">
        <v>18935</v>
      </c>
      <c r="F758" s="13" t="s">
        <v>5540</v>
      </c>
      <c r="G758" s="13" t="s">
        <v>4856</v>
      </c>
    </row>
    <row r="759" ht="12.75" customHeight="1">
      <c r="A759" s="13" t="s">
        <v>661</v>
      </c>
      <c r="B759" s="13" t="s">
        <v>18939</v>
      </c>
      <c r="C759" s="13" t="s">
        <v>18948</v>
      </c>
      <c r="D759" s="2" t="s">
        <v>0</v>
      </c>
      <c r="E759" s="13" t="s">
        <v>18950</v>
      </c>
      <c r="F759" s="13" t="s">
        <v>5540</v>
      </c>
      <c r="G759" s="13" t="s">
        <v>4856</v>
      </c>
    </row>
    <row r="760" ht="12.75" customHeight="1">
      <c r="A760" s="13" t="s">
        <v>659</v>
      </c>
      <c r="B760" s="13" t="s">
        <v>18954</v>
      </c>
      <c r="C760" s="13" t="s">
        <v>18963</v>
      </c>
      <c r="D760" s="2" t="s">
        <v>0</v>
      </c>
      <c r="E760" s="13" t="s">
        <v>18965</v>
      </c>
      <c r="F760" s="13" t="s">
        <v>5540</v>
      </c>
      <c r="G760" s="13" t="s">
        <v>4856</v>
      </c>
    </row>
    <row r="761" ht="12.75" customHeight="1">
      <c r="A761" s="13" t="s">
        <v>18968</v>
      </c>
      <c r="B761" s="13" t="s">
        <v>18971</v>
      </c>
      <c r="C761" s="13" t="s">
        <v>18981</v>
      </c>
      <c r="D761" s="2" t="s">
        <v>0</v>
      </c>
      <c r="E761" s="13" t="s">
        <v>18982</v>
      </c>
      <c r="F761" s="13" t="s">
        <v>5540</v>
      </c>
      <c r="G761" s="13" t="s">
        <v>4852</v>
      </c>
    </row>
    <row r="762" ht="12.75" customHeight="1">
      <c r="A762" s="2" t="s">
        <v>647</v>
      </c>
      <c r="B762" s="13" t="s">
        <v>18987</v>
      </c>
      <c r="C762" s="13" t="s">
        <v>18996</v>
      </c>
      <c r="D762" s="2" t="s">
        <v>0</v>
      </c>
      <c r="E762" s="13" t="s">
        <v>18998</v>
      </c>
      <c r="F762" s="13" t="s">
        <v>5540</v>
      </c>
      <c r="G762" s="13" t="s">
        <v>4856</v>
      </c>
    </row>
    <row r="763" ht="12.75" customHeight="1">
      <c r="A763" s="13" t="s">
        <v>644</v>
      </c>
      <c r="B763" s="13" t="s">
        <v>19004</v>
      </c>
      <c r="C763" s="13" t="s">
        <v>19018</v>
      </c>
      <c r="D763" s="2" t="s">
        <v>0</v>
      </c>
      <c r="E763" s="13" t="s">
        <v>19021</v>
      </c>
      <c r="F763" s="13" t="s">
        <v>5540</v>
      </c>
      <c r="G763" s="13" t="s">
        <v>4864</v>
      </c>
    </row>
    <row r="764" ht="12.75" customHeight="1">
      <c r="A764" s="13" t="s">
        <v>641</v>
      </c>
      <c r="B764" s="13" t="s">
        <v>19025</v>
      </c>
      <c r="C764" s="13" t="s">
        <v>19035</v>
      </c>
      <c r="D764" s="2" t="s">
        <v>0</v>
      </c>
      <c r="E764" s="13" t="s">
        <v>19037</v>
      </c>
      <c r="F764" s="13" t="s">
        <v>5540</v>
      </c>
      <c r="G764" s="13" t="s">
        <v>4864</v>
      </c>
    </row>
    <row r="765" ht="12.75" customHeight="1">
      <c r="A765" s="13" t="s">
        <v>19040</v>
      </c>
      <c r="B765" s="13" t="s">
        <v>19043</v>
      </c>
      <c r="C765" s="13" t="s">
        <v>19055</v>
      </c>
      <c r="D765" s="2" t="s">
        <v>0</v>
      </c>
      <c r="E765" s="13" t="s">
        <v>19058</v>
      </c>
      <c r="F765" s="13" t="s">
        <v>5540</v>
      </c>
      <c r="G765" s="13" t="s">
        <v>4856</v>
      </c>
    </row>
    <row r="766" ht="12.75" customHeight="1">
      <c r="A766" s="13" t="s">
        <v>635</v>
      </c>
      <c r="B766" s="13" t="s">
        <v>19064</v>
      </c>
      <c r="C766" s="13" t="s">
        <v>19078</v>
      </c>
      <c r="D766" s="2" t="s">
        <v>0</v>
      </c>
      <c r="E766" s="13" t="s">
        <v>19080</v>
      </c>
      <c r="F766" s="13" t="s">
        <v>5540</v>
      </c>
      <c r="G766" s="13" t="s">
        <v>4852</v>
      </c>
    </row>
    <row r="767" ht="12.75" customHeight="1">
      <c r="A767" s="13" t="s">
        <v>629</v>
      </c>
      <c r="B767" s="13" t="s">
        <v>19085</v>
      </c>
      <c r="C767" s="13" t="s">
        <v>19092</v>
      </c>
      <c r="D767" s="2" t="s">
        <v>0</v>
      </c>
      <c r="E767" s="13" t="s">
        <v>19093</v>
      </c>
      <c r="F767" s="13" t="s">
        <v>9118</v>
      </c>
      <c r="G767" s="13" t="s">
        <v>4864</v>
      </c>
    </row>
    <row r="768" ht="12.75" customHeight="1">
      <c r="A768" s="2" t="s">
        <v>626</v>
      </c>
      <c r="B768" s="13" t="s">
        <v>19099</v>
      </c>
      <c r="C768" s="13" t="s">
        <v>19109</v>
      </c>
      <c r="D768" s="2" t="s">
        <v>0</v>
      </c>
      <c r="E768" s="13" t="s">
        <v>19111</v>
      </c>
      <c r="F768" s="13" t="s">
        <v>5540</v>
      </c>
      <c r="G768" s="13" t="s">
        <v>4856</v>
      </c>
    </row>
    <row r="769" ht="12.75" customHeight="1">
      <c r="A769" s="13" t="s">
        <v>623</v>
      </c>
      <c r="B769" s="13" t="s">
        <v>19117</v>
      </c>
      <c r="C769" s="13" t="s">
        <v>19127</v>
      </c>
      <c r="D769" s="2" t="s">
        <v>0</v>
      </c>
      <c r="E769" s="13" t="s">
        <v>19129</v>
      </c>
      <c r="F769" s="13" t="s">
        <v>5540</v>
      </c>
      <c r="G769" s="13" t="s">
        <v>4856</v>
      </c>
    </row>
    <row r="770" ht="12.75" customHeight="1">
      <c r="A770" s="13" t="s">
        <v>621</v>
      </c>
      <c r="B770" s="13" t="s">
        <v>19133</v>
      </c>
      <c r="C770" s="13" t="s">
        <v>19144</v>
      </c>
      <c r="D770" s="2" t="s">
        <v>0</v>
      </c>
      <c r="E770" s="13" t="s">
        <v>19146</v>
      </c>
      <c r="F770" s="13" t="s">
        <v>5540</v>
      </c>
      <c r="G770" s="13" t="s">
        <v>4864</v>
      </c>
    </row>
    <row r="771" ht="12.75" customHeight="1">
      <c r="A771" s="13" t="s">
        <v>19149</v>
      </c>
      <c r="B771" s="13" t="s">
        <v>19153</v>
      </c>
      <c r="C771" s="13" t="s">
        <v>19168</v>
      </c>
      <c r="D771" s="2" t="s">
        <v>0</v>
      </c>
      <c r="E771" s="13" t="s">
        <v>19170</v>
      </c>
      <c r="F771" s="13" t="s">
        <v>5540</v>
      </c>
      <c r="G771" s="13" t="s">
        <v>4856</v>
      </c>
    </row>
    <row r="772" ht="12.75" customHeight="1">
      <c r="A772" s="13" t="s">
        <v>614</v>
      </c>
      <c r="B772" s="13" t="s">
        <v>19175</v>
      </c>
      <c r="C772" s="13" t="s">
        <v>19184</v>
      </c>
      <c r="D772" s="2" t="s">
        <v>0</v>
      </c>
      <c r="E772" s="13" t="s">
        <v>19185</v>
      </c>
      <c r="F772" s="13" t="s">
        <v>5540</v>
      </c>
      <c r="G772" s="13" t="s">
        <v>4856</v>
      </c>
    </row>
    <row r="773" ht="12.75" customHeight="1">
      <c r="A773" s="13" t="s">
        <v>611</v>
      </c>
      <c r="B773" s="13" t="s">
        <v>19190</v>
      </c>
      <c r="C773" s="13" t="s">
        <v>19200</v>
      </c>
      <c r="D773" s="2" t="s">
        <v>0</v>
      </c>
      <c r="E773" s="13" t="s">
        <v>19202</v>
      </c>
      <c r="F773" s="13" t="s">
        <v>5540</v>
      </c>
      <c r="G773" s="13" t="s">
        <v>4856</v>
      </c>
    </row>
    <row r="774" ht="12.75" customHeight="1">
      <c r="A774" s="13" t="s">
        <v>608</v>
      </c>
      <c r="B774" s="13" t="s">
        <v>19210</v>
      </c>
      <c r="C774" s="13" t="s">
        <v>19215</v>
      </c>
      <c r="D774" s="2" t="s">
        <v>0</v>
      </c>
      <c r="E774" s="13" t="s">
        <v>19218</v>
      </c>
      <c r="F774" s="13" t="s">
        <v>5540</v>
      </c>
      <c r="G774" s="13" t="s">
        <v>4856</v>
      </c>
    </row>
    <row r="775" ht="12.75" customHeight="1">
      <c r="A775" s="13" t="s">
        <v>604</v>
      </c>
      <c r="B775" s="13" t="s">
        <v>19223</v>
      </c>
      <c r="C775" s="13" t="s">
        <v>19233</v>
      </c>
      <c r="D775" s="2" t="s">
        <v>0</v>
      </c>
      <c r="E775" s="13" t="s">
        <v>19235</v>
      </c>
      <c r="F775" s="13" t="s">
        <v>5540</v>
      </c>
      <c r="G775" s="13" t="s">
        <v>4856</v>
      </c>
    </row>
    <row r="776" ht="12.75" customHeight="1">
      <c r="A776" s="2" t="s">
        <v>598</v>
      </c>
      <c r="B776" s="13" t="s">
        <v>19240</v>
      </c>
      <c r="C776" s="13" t="s">
        <v>19249</v>
      </c>
      <c r="D776" s="2" t="s">
        <v>0</v>
      </c>
      <c r="E776" s="13" t="s">
        <v>19252</v>
      </c>
      <c r="F776" s="13" t="s">
        <v>5540</v>
      </c>
      <c r="G776" s="13" t="s">
        <v>4852</v>
      </c>
    </row>
    <row r="777" ht="12.75" customHeight="1">
      <c r="A777" s="13" t="s">
        <v>594</v>
      </c>
      <c r="B777" s="13" t="s">
        <v>19257</v>
      </c>
      <c r="C777" s="13" t="s">
        <v>19266</v>
      </c>
      <c r="D777" s="2" t="s">
        <v>0</v>
      </c>
      <c r="E777" s="13" t="s">
        <v>19268</v>
      </c>
      <c r="F777" s="13" t="s">
        <v>5540</v>
      </c>
      <c r="G777" s="13" t="s">
        <v>4856</v>
      </c>
    </row>
    <row r="778" ht="12.75" customHeight="1">
      <c r="A778" s="13" t="s">
        <v>590</v>
      </c>
      <c r="B778" s="13" t="s">
        <v>19274</v>
      </c>
      <c r="C778" s="13" t="s">
        <v>19285</v>
      </c>
      <c r="D778" s="2" t="s">
        <v>0</v>
      </c>
      <c r="E778" s="13" t="s">
        <v>19287</v>
      </c>
      <c r="F778" s="13" t="s">
        <v>5540</v>
      </c>
      <c r="G778" s="13" t="s">
        <v>4856</v>
      </c>
    </row>
    <row r="779" ht="12.75" customHeight="1">
      <c r="A779" s="13" t="s">
        <v>586</v>
      </c>
      <c r="B779" s="13" t="s">
        <v>19293</v>
      </c>
      <c r="C779" s="13" t="s">
        <v>19304</v>
      </c>
      <c r="D779" s="2" t="s">
        <v>0</v>
      </c>
      <c r="E779" s="13" t="s">
        <v>19308</v>
      </c>
      <c r="F779" s="13" t="s">
        <v>5540</v>
      </c>
      <c r="G779" s="13" t="s">
        <v>4856</v>
      </c>
    </row>
    <row r="780" ht="12.75" customHeight="1">
      <c r="A780" s="13" t="s">
        <v>19311</v>
      </c>
      <c r="B780" s="13" t="s">
        <v>19314</v>
      </c>
      <c r="C780" s="13" t="s">
        <v>19322</v>
      </c>
      <c r="D780" s="2" t="s">
        <v>0</v>
      </c>
      <c r="E780" s="13" t="s">
        <v>19324</v>
      </c>
      <c r="F780" s="13" t="s">
        <v>5540</v>
      </c>
      <c r="G780" s="13" t="s">
        <v>4856</v>
      </c>
    </row>
    <row r="781" ht="12.75" customHeight="1">
      <c r="A781" s="13" t="s">
        <v>580</v>
      </c>
      <c r="B781" s="13" t="s">
        <v>19329</v>
      </c>
      <c r="C781" s="13" t="s">
        <v>19338</v>
      </c>
      <c r="D781" s="2" t="s">
        <v>0</v>
      </c>
      <c r="E781" s="13" t="s">
        <v>19340</v>
      </c>
      <c r="F781" s="13" t="s">
        <v>5540</v>
      </c>
      <c r="G781" s="13" t="s">
        <v>4856</v>
      </c>
    </row>
    <row r="782" ht="12.75" customHeight="1">
      <c r="A782" s="13" t="s">
        <v>571</v>
      </c>
      <c r="B782" s="13" t="s">
        <v>5510</v>
      </c>
      <c r="C782" s="13" t="s">
        <v>19353</v>
      </c>
      <c r="D782" s="2" t="s">
        <v>0</v>
      </c>
      <c r="E782" s="13" t="s">
        <v>19355</v>
      </c>
      <c r="F782" s="13" t="s">
        <v>5540</v>
      </c>
      <c r="G782" s="13" t="s">
        <v>4852</v>
      </c>
    </row>
    <row r="783" ht="12.75" customHeight="1">
      <c r="A783" s="13" t="s">
        <v>19358</v>
      </c>
      <c r="B783" s="13" t="s">
        <v>19362</v>
      </c>
      <c r="C783" s="13" t="s">
        <v>19378</v>
      </c>
      <c r="D783" s="2" t="s">
        <v>0</v>
      </c>
      <c r="E783" s="13" t="s">
        <v>19380</v>
      </c>
      <c r="F783" s="13" t="s">
        <v>5540</v>
      </c>
      <c r="G783" s="13" t="s">
        <v>5083</v>
      </c>
    </row>
    <row r="784" ht="12.75" customHeight="1">
      <c r="A784" s="13" t="s">
        <v>564</v>
      </c>
      <c r="B784" s="13" t="s">
        <v>19385</v>
      </c>
      <c r="C784" s="13" t="s">
        <v>19394</v>
      </c>
      <c r="D784" s="2" t="s">
        <v>0</v>
      </c>
      <c r="E784" s="13" t="s">
        <v>19397</v>
      </c>
      <c r="F784" s="13" t="s">
        <v>5540</v>
      </c>
      <c r="G784" s="13" t="s">
        <v>4856</v>
      </c>
    </row>
    <row r="785" ht="12.75" customHeight="1">
      <c r="A785" s="13" t="s">
        <v>561</v>
      </c>
      <c r="B785" s="13" t="s">
        <v>19402</v>
      </c>
      <c r="C785" s="13" t="s">
        <v>19409</v>
      </c>
      <c r="D785" s="2" t="s">
        <v>0</v>
      </c>
      <c r="E785" s="13" t="s">
        <v>19411</v>
      </c>
      <c r="F785" s="13" t="s">
        <v>5540</v>
      </c>
      <c r="G785" s="13" t="s">
        <v>4852</v>
      </c>
    </row>
    <row r="786" ht="12.75" customHeight="1">
      <c r="A786" s="13" t="s">
        <v>19413</v>
      </c>
      <c r="B786" s="13" t="s">
        <v>19416</v>
      </c>
      <c r="C786" s="13" t="s">
        <v>19423</v>
      </c>
      <c r="D786" s="2" t="s">
        <v>0</v>
      </c>
      <c r="E786" s="13" t="s">
        <v>19425</v>
      </c>
      <c r="F786" s="13" t="s">
        <v>5540</v>
      </c>
      <c r="G786" s="13" t="s">
        <v>4856</v>
      </c>
    </row>
    <row r="787" ht="12.75" customHeight="1">
      <c r="A787" s="13" t="s">
        <v>555</v>
      </c>
      <c r="B787" s="13" t="s">
        <v>19430</v>
      </c>
      <c r="C787" s="13" t="s">
        <v>19439</v>
      </c>
      <c r="D787" s="2" t="s">
        <v>0</v>
      </c>
      <c r="E787" s="13" t="s">
        <v>19441</v>
      </c>
      <c r="F787" s="13" t="s">
        <v>5540</v>
      </c>
      <c r="G787" s="13" t="s">
        <v>4864</v>
      </c>
    </row>
    <row r="788" ht="12.75" customHeight="1">
      <c r="A788" s="13" t="s">
        <v>551</v>
      </c>
      <c r="B788" s="13" t="s">
        <v>19446</v>
      </c>
      <c r="C788" s="13" t="s">
        <v>19454</v>
      </c>
      <c r="D788" s="2" t="s">
        <v>0</v>
      </c>
      <c r="E788" s="13" t="s">
        <v>19456</v>
      </c>
      <c r="F788" s="13" t="s">
        <v>5540</v>
      </c>
      <c r="G788" s="13" t="s">
        <v>4864</v>
      </c>
    </row>
    <row r="789" ht="12.75" customHeight="1">
      <c r="A789" s="13" t="s">
        <v>547</v>
      </c>
      <c r="B789" s="13" t="s">
        <v>19461</v>
      </c>
      <c r="C789" s="13" t="s">
        <v>19467</v>
      </c>
      <c r="D789" s="2" t="s">
        <v>0</v>
      </c>
      <c r="E789" s="13" t="s">
        <v>19469</v>
      </c>
      <c r="F789" s="13" t="s">
        <v>5540</v>
      </c>
      <c r="G789" s="13" t="s">
        <v>4864</v>
      </c>
    </row>
    <row r="790" ht="12.75" customHeight="1">
      <c r="A790" s="13" t="s">
        <v>19472</v>
      </c>
      <c r="B790" s="13" t="s">
        <v>19475</v>
      </c>
      <c r="C790" s="13" t="s">
        <v>19485</v>
      </c>
      <c r="D790" s="2" t="s">
        <v>0</v>
      </c>
      <c r="E790" s="13" t="s">
        <v>19487</v>
      </c>
      <c r="F790" s="13" t="s">
        <v>5540</v>
      </c>
      <c r="G790" s="13" t="s">
        <v>4852</v>
      </c>
    </row>
    <row r="791" ht="12.75" customHeight="1">
      <c r="A791" s="13" t="s">
        <v>541</v>
      </c>
      <c r="B791" s="13" t="s">
        <v>19491</v>
      </c>
      <c r="C791" s="13" t="s">
        <v>19498</v>
      </c>
      <c r="D791" s="2" t="s">
        <v>0</v>
      </c>
      <c r="E791" s="13" t="s">
        <v>19500</v>
      </c>
      <c r="F791" s="13" t="s">
        <v>5540</v>
      </c>
      <c r="G791" s="13" t="s">
        <v>4856</v>
      </c>
    </row>
    <row r="792" ht="12.75" customHeight="1">
      <c r="A792" s="13" t="s">
        <v>534</v>
      </c>
      <c r="B792" s="13" t="s">
        <v>19505</v>
      </c>
      <c r="C792" s="13" t="s">
        <v>19515</v>
      </c>
      <c r="D792" s="2" t="s">
        <v>0</v>
      </c>
      <c r="E792" s="13" t="s">
        <v>19517</v>
      </c>
      <c r="F792" s="13" t="s">
        <v>5540</v>
      </c>
      <c r="G792" s="13" t="s">
        <v>4856</v>
      </c>
    </row>
    <row r="793" ht="12.75" customHeight="1">
      <c r="A793" s="13" t="s">
        <v>530</v>
      </c>
      <c r="B793" s="13" t="s">
        <v>19523</v>
      </c>
      <c r="C793" s="13" t="s">
        <v>19539</v>
      </c>
      <c r="D793" s="2" t="s">
        <v>0</v>
      </c>
      <c r="E793" s="13" t="s">
        <v>19541</v>
      </c>
      <c r="F793" s="13" t="s">
        <v>5540</v>
      </c>
      <c r="G793" s="13" t="s">
        <v>4856</v>
      </c>
    </row>
    <row r="794" ht="12.75" customHeight="1">
      <c r="A794" s="2" t="s">
        <v>527</v>
      </c>
      <c r="B794" s="13" t="s">
        <v>19546</v>
      </c>
      <c r="C794" s="13" t="s">
        <v>19555</v>
      </c>
      <c r="D794" s="2" t="s">
        <v>0</v>
      </c>
      <c r="E794" s="13" t="s">
        <v>19557</v>
      </c>
      <c r="F794" s="13" t="s">
        <v>5540</v>
      </c>
      <c r="G794" s="13" t="s">
        <v>4856</v>
      </c>
    </row>
    <row r="795" ht="12.75" customHeight="1">
      <c r="A795" s="13" t="s">
        <v>525</v>
      </c>
      <c r="B795" s="13" t="s">
        <v>19562</v>
      </c>
      <c r="C795" s="13" t="s">
        <v>19569</v>
      </c>
      <c r="D795" s="2" t="s">
        <v>0</v>
      </c>
      <c r="E795" s="13" t="s">
        <v>19571</v>
      </c>
      <c r="F795" s="13" t="s">
        <v>5540</v>
      </c>
      <c r="G795" s="13" t="s">
        <v>4856</v>
      </c>
    </row>
    <row r="796" ht="12.75" customHeight="1">
      <c r="A796" s="13" t="s">
        <v>521</v>
      </c>
      <c r="B796" s="13" t="s">
        <v>19576</v>
      </c>
      <c r="C796" s="13" t="s">
        <v>19586</v>
      </c>
      <c r="D796" s="2" t="s">
        <v>0</v>
      </c>
      <c r="E796" s="13" t="s">
        <v>19588</v>
      </c>
      <c r="F796" s="13" t="s">
        <v>5540</v>
      </c>
      <c r="G796" s="13" t="s">
        <v>4856</v>
      </c>
    </row>
    <row r="797" ht="12.75" customHeight="1">
      <c r="A797" s="13" t="s">
        <v>514</v>
      </c>
      <c r="B797" s="13" t="s">
        <v>19593</v>
      </c>
      <c r="C797" s="13" t="s">
        <v>19601</v>
      </c>
      <c r="D797" s="2" t="s">
        <v>0</v>
      </c>
      <c r="E797" s="13" t="s">
        <v>19603</v>
      </c>
      <c r="F797" s="13" t="s">
        <v>5540</v>
      </c>
      <c r="G797" s="13" t="s">
        <v>4886</v>
      </c>
    </row>
    <row r="798" ht="12.75" customHeight="1">
      <c r="A798" s="13" t="s">
        <v>512</v>
      </c>
      <c r="B798" s="13" t="s">
        <v>19608</v>
      </c>
      <c r="C798" s="13" t="s">
        <v>19616</v>
      </c>
      <c r="D798" s="2" t="s">
        <v>0</v>
      </c>
      <c r="E798" s="13" t="s">
        <v>19618</v>
      </c>
      <c r="F798" s="13" t="s">
        <v>5540</v>
      </c>
      <c r="G798" s="13" t="s">
        <v>4856</v>
      </c>
    </row>
    <row r="799" ht="12.75" customHeight="1">
      <c r="A799" s="13" t="s">
        <v>508</v>
      </c>
      <c r="B799" s="13" t="s">
        <v>19623</v>
      </c>
      <c r="C799" s="13" t="s">
        <v>19630</v>
      </c>
      <c r="D799" s="2" t="s">
        <v>0</v>
      </c>
      <c r="E799" s="13" t="s">
        <v>19632</v>
      </c>
      <c r="F799" s="13" t="s">
        <v>5540</v>
      </c>
      <c r="G799" s="13" t="s">
        <v>4856</v>
      </c>
    </row>
    <row r="800" ht="12.75" customHeight="1">
      <c r="A800" s="13" t="s">
        <v>505</v>
      </c>
      <c r="B800" s="13" t="s">
        <v>19637</v>
      </c>
      <c r="C800" s="13" t="s">
        <v>19647</v>
      </c>
      <c r="D800" s="2" t="s">
        <v>0</v>
      </c>
      <c r="E800" s="13" t="s">
        <v>19648</v>
      </c>
      <c r="F800" s="13" t="s">
        <v>5540</v>
      </c>
      <c r="G800" s="13" t="s">
        <v>4856</v>
      </c>
    </row>
    <row r="801" ht="12.75" customHeight="1">
      <c r="A801" s="13" t="s">
        <v>503</v>
      </c>
      <c r="B801" s="13" t="s">
        <v>19653</v>
      </c>
      <c r="C801" s="13" t="s">
        <v>19662</v>
      </c>
      <c r="D801" s="2" t="s">
        <v>0</v>
      </c>
      <c r="E801" s="13" t="s">
        <v>19664</v>
      </c>
      <c r="F801" s="13" t="s">
        <v>5540</v>
      </c>
      <c r="G801" s="13" t="s">
        <v>4864</v>
      </c>
    </row>
    <row r="802" ht="12.75" customHeight="1">
      <c r="A802" s="2" t="s">
        <v>500</v>
      </c>
      <c r="B802" s="13" t="s">
        <v>19669</v>
      </c>
      <c r="C802" s="13" t="s">
        <v>19679</v>
      </c>
      <c r="D802" s="2" t="s">
        <v>0</v>
      </c>
      <c r="E802" s="13" t="s">
        <v>19681</v>
      </c>
      <c r="F802" s="13" t="s">
        <v>5540</v>
      </c>
      <c r="G802" s="13" t="s">
        <v>4856</v>
      </c>
    </row>
    <row r="803" ht="12.75" customHeight="1">
      <c r="A803" s="13" t="s">
        <v>500</v>
      </c>
      <c r="B803" s="13" t="s">
        <v>19683</v>
      </c>
      <c r="C803" s="13" t="s">
        <v>19687</v>
      </c>
      <c r="D803" s="2" t="s">
        <v>0</v>
      </c>
      <c r="E803" s="13" t="s">
        <v>19689</v>
      </c>
      <c r="F803" s="13" t="s">
        <v>5540</v>
      </c>
      <c r="G803" s="13" t="s">
        <v>4856</v>
      </c>
    </row>
    <row r="804" ht="12.75" customHeight="1">
      <c r="A804" s="13" t="s">
        <v>497</v>
      </c>
      <c r="B804" s="13" t="s">
        <v>19694</v>
      </c>
      <c r="C804" s="13" t="s">
        <v>19703</v>
      </c>
      <c r="D804" s="2" t="s">
        <v>0</v>
      </c>
      <c r="E804" s="13" t="s">
        <v>19705</v>
      </c>
      <c r="F804" s="13" t="s">
        <v>5540</v>
      </c>
      <c r="G804" s="13" t="s">
        <v>4852</v>
      </c>
    </row>
    <row r="805" ht="12.75" customHeight="1">
      <c r="A805" s="13" t="s">
        <v>19708</v>
      </c>
      <c r="B805" s="13" t="s">
        <v>19712</v>
      </c>
      <c r="C805" s="13" t="s">
        <v>19728</v>
      </c>
      <c r="D805" s="2" t="s">
        <v>0</v>
      </c>
      <c r="E805" s="13" t="s">
        <v>19731</v>
      </c>
      <c r="F805" s="13" t="s">
        <v>5540</v>
      </c>
      <c r="G805" s="13" t="s">
        <v>4856</v>
      </c>
    </row>
    <row r="806" ht="12.75" customHeight="1">
      <c r="A806" s="13" t="s">
        <v>490</v>
      </c>
      <c r="B806" s="13" t="s">
        <v>19736</v>
      </c>
      <c r="C806" s="13" t="s">
        <v>19746</v>
      </c>
      <c r="D806" s="2" t="s">
        <v>0</v>
      </c>
      <c r="E806" s="13" t="s">
        <v>19748</v>
      </c>
      <c r="F806" s="13" t="s">
        <v>5540</v>
      </c>
      <c r="G806" s="13" t="s">
        <v>4864</v>
      </c>
    </row>
    <row r="807" ht="12.75" customHeight="1">
      <c r="A807" s="13" t="s">
        <v>19751</v>
      </c>
      <c r="B807" s="13" t="s">
        <v>19753</v>
      </c>
      <c r="C807" s="13" t="s">
        <v>19765</v>
      </c>
      <c r="D807" s="2" t="s">
        <v>0</v>
      </c>
      <c r="E807" s="13" t="s">
        <v>19767</v>
      </c>
      <c r="F807" s="13" t="s">
        <v>5540</v>
      </c>
      <c r="G807" s="13" t="s">
        <v>4886</v>
      </c>
    </row>
    <row r="808" ht="12.75" customHeight="1">
      <c r="A808" s="13" t="s">
        <v>484</v>
      </c>
      <c r="B808" s="13" t="s">
        <v>19772</v>
      </c>
      <c r="C808" s="13" t="s">
        <v>19777</v>
      </c>
      <c r="D808" s="2" t="s">
        <v>0</v>
      </c>
      <c r="E808" s="13" t="s">
        <v>19779</v>
      </c>
      <c r="F808" s="13" t="s">
        <v>5540</v>
      </c>
      <c r="G808" s="13" t="s">
        <v>4856</v>
      </c>
    </row>
    <row r="809" ht="12.75" customHeight="1">
      <c r="A809" s="13" t="s">
        <v>481</v>
      </c>
      <c r="B809" s="13" t="s">
        <v>19784</v>
      </c>
      <c r="C809" s="13" t="s">
        <v>19791</v>
      </c>
      <c r="D809" s="2" t="s">
        <v>0</v>
      </c>
      <c r="E809" s="13" t="s">
        <v>19793</v>
      </c>
      <c r="F809" s="13" t="s">
        <v>5540</v>
      </c>
      <c r="G809" s="13" t="s">
        <v>4856</v>
      </c>
    </row>
    <row r="810" ht="12.75" customHeight="1">
      <c r="A810" s="13" t="s">
        <v>478</v>
      </c>
      <c r="B810" s="13" t="s">
        <v>19798</v>
      </c>
      <c r="C810" s="13" t="s">
        <v>19805</v>
      </c>
      <c r="D810" s="2" t="s">
        <v>0</v>
      </c>
      <c r="E810" s="13" t="s">
        <v>19807</v>
      </c>
      <c r="F810" s="13" t="s">
        <v>5540</v>
      </c>
      <c r="G810" s="13" t="s">
        <v>4864</v>
      </c>
    </row>
    <row r="811" ht="12.75" customHeight="1">
      <c r="A811" s="13" t="s">
        <v>475</v>
      </c>
      <c r="B811" s="13" t="s">
        <v>19811</v>
      </c>
      <c r="C811" s="13" t="s">
        <v>19820</v>
      </c>
      <c r="D811" s="2" t="s">
        <v>0</v>
      </c>
      <c r="E811" s="13" t="s">
        <v>19822</v>
      </c>
      <c r="F811" s="13" t="s">
        <v>5540</v>
      </c>
      <c r="G811" s="13" t="s">
        <v>4856</v>
      </c>
    </row>
    <row r="812" ht="12.75" customHeight="1">
      <c r="A812" s="13" t="s">
        <v>472</v>
      </c>
      <c r="B812" s="13" t="s">
        <v>19827</v>
      </c>
      <c r="C812" s="13" t="s">
        <v>19834</v>
      </c>
      <c r="D812" s="2" t="s">
        <v>0</v>
      </c>
      <c r="E812" s="13" t="s">
        <v>19836</v>
      </c>
      <c r="F812" s="13" t="s">
        <v>5540</v>
      </c>
      <c r="G812" s="13" t="s">
        <v>4856</v>
      </c>
    </row>
    <row r="813" ht="12.75" customHeight="1">
      <c r="A813" s="13" t="s">
        <v>470</v>
      </c>
      <c r="B813" s="13" t="s">
        <v>19841</v>
      </c>
      <c r="C813" s="13" t="s">
        <v>19848</v>
      </c>
      <c r="D813" s="2" t="s">
        <v>0</v>
      </c>
      <c r="E813" s="13" t="s">
        <v>19850</v>
      </c>
      <c r="F813" s="13" t="s">
        <v>5540</v>
      </c>
      <c r="G813" s="13" t="s">
        <v>4864</v>
      </c>
    </row>
    <row r="814" ht="12.75" customHeight="1">
      <c r="A814" s="13" t="s">
        <v>467</v>
      </c>
      <c r="B814" s="13" t="s">
        <v>19855</v>
      </c>
      <c r="C814" s="13" t="s">
        <v>19865</v>
      </c>
      <c r="D814" s="2" t="s">
        <v>0</v>
      </c>
      <c r="E814" s="13" t="s">
        <v>19867</v>
      </c>
      <c r="F814" s="13" t="s">
        <v>5540</v>
      </c>
      <c r="G814" s="13" t="s">
        <v>4856</v>
      </c>
    </row>
    <row r="815" ht="12.75" customHeight="1">
      <c r="A815" s="13" t="s">
        <v>464</v>
      </c>
      <c r="B815" s="13" t="s">
        <v>19871</v>
      </c>
      <c r="C815" s="13" t="s">
        <v>19877</v>
      </c>
      <c r="D815" s="2" t="s">
        <v>0</v>
      </c>
      <c r="E815" s="13" t="s">
        <v>19879</v>
      </c>
      <c r="F815" s="13" t="s">
        <v>5540</v>
      </c>
      <c r="G815" s="13" t="s">
        <v>4856</v>
      </c>
    </row>
    <row r="816" ht="12.75" customHeight="1">
      <c r="A816" s="13" t="s">
        <v>19882</v>
      </c>
      <c r="B816" s="13" t="s">
        <v>19885</v>
      </c>
      <c r="C816" s="13" t="s">
        <v>19895</v>
      </c>
      <c r="D816" s="2" t="s">
        <v>0</v>
      </c>
      <c r="E816" s="13" t="s">
        <v>19897</v>
      </c>
      <c r="F816" s="13" t="s">
        <v>5540</v>
      </c>
      <c r="G816" s="13" t="s">
        <v>4856</v>
      </c>
    </row>
    <row r="817" ht="12.75" customHeight="1">
      <c r="A817" s="13" t="s">
        <v>457</v>
      </c>
      <c r="B817" s="13" t="s">
        <v>19902</v>
      </c>
      <c r="C817" s="13" t="s">
        <v>19911</v>
      </c>
      <c r="D817" s="2" t="s">
        <v>0</v>
      </c>
      <c r="E817" s="13" t="s">
        <v>19913</v>
      </c>
      <c r="F817" s="13" t="s">
        <v>5540</v>
      </c>
      <c r="G817" s="13" t="s">
        <v>4864</v>
      </c>
    </row>
    <row r="818" ht="12.75" customHeight="1">
      <c r="A818" s="13" t="s">
        <v>454</v>
      </c>
      <c r="B818" s="13" t="s">
        <v>19918</v>
      </c>
      <c r="C818" s="13" t="s">
        <v>19927</v>
      </c>
      <c r="D818" s="2" t="s">
        <v>0</v>
      </c>
      <c r="E818" s="13" t="s">
        <v>19929</v>
      </c>
      <c r="F818" s="13" t="s">
        <v>5540</v>
      </c>
      <c r="G818" s="13" t="s">
        <v>4856</v>
      </c>
    </row>
    <row r="819" ht="12.75" customHeight="1">
      <c r="A819" s="13" t="s">
        <v>451</v>
      </c>
      <c r="B819" s="13" t="s">
        <v>19934</v>
      </c>
      <c r="C819" s="13" t="s">
        <v>19943</v>
      </c>
      <c r="D819" s="2" t="s">
        <v>0</v>
      </c>
      <c r="E819" s="13" t="s">
        <v>19945</v>
      </c>
      <c r="F819" s="13" t="s">
        <v>5540</v>
      </c>
      <c r="G819" s="13" t="s">
        <v>4864</v>
      </c>
    </row>
    <row r="820" ht="12.75" customHeight="1">
      <c r="A820" s="13" t="s">
        <v>448</v>
      </c>
      <c r="B820" s="13" t="s">
        <v>19950</v>
      </c>
      <c r="C820" s="13" t="s">
        <v>19959</v>
      </c>
      <c r="D820" s="2" t="s">
        <v>0</v>
      </c>
      <c r="E820" s="13" t="s">
        <v>19961</v>
      </c>
      <c r="F820" s="13" t="s">
        <v>5540</v>
      </c>
      <c r="G820" s="13" t="s">
        <v>4856</v>
      </c>
    </row>
    <row r="821" ht="12.75" customHeight="1">
      <c r="A821" s="13" t="s">
        <v>444</v>
      </c>
      <c r="B821" s="13" t="s">
        <v>19967</v>
      </c>
      <c r="C821" s="13" t="s">
        <v>19984</v>
      </c>
      <c r="D821" s="2" t="s">
        <v>0</v>
      </c>
      <c r="E821" s="13" t="s">
        <v>19986</v>
      </c>
      <c r="F821" s="13" t="s">
        <v>5540</v>
      </c>
      <c r="G821" s="13" t="s">
        <v>4852</v>
      </c>
    </row>
    <row r="822" ht="12.75" customHeight="1">
      <c r="A822" s="13" t="s">
        <v>19989</v>
      </c>
      <c r="B822" s="13" t="s">
        <v>19992</v>
      </c>
      <c r="C822" s="13" t="s">
        <v>20002</v>
      </c>
      <c r="D822" s="2" t="s">
        <v>0</v>
      </c>
      <c r="E822" s="13" t="s">
        <v>20004</v>
      </c>
      <c r="F822" s="13" t="s">
        <v>5540</v>
      </c>
      <c r="G822" s="13" t="s">
        <v>4886</v>
      </c>
    </row>
    <row r="823" ht="12.75" customHeight="1">
      <c r="A823" s="13" t="s">
        <v>437</v>
      </c>
      <c r="B823" s="13" t="s">
        <v>20009</v>
      </c>
      <c r="C823" s="13" t="s">
        <v>20016</v>
      </c>
      <c r="D823" s="2" t="s">
        <v>0</v>
      </c>
      <c r="E823" s="13" t="s">
        <v>20018</v>
      </c>
      <c r="F823" s="13" t="s">
        <v>5540</v>
      </c>
      <c r="G823" s="13" t="s">
        <v>4856</v>
      </c>
    </row>
    <row r="824" ht="12.75" customHeight="1">
      <c r="A824" s="13" t="s">
        <v>434</v>
      </c>
      <c r="B824" s="13" t="s">
        <v>20023</v>
      </c>
      <c r="C824" s="13" t="s">
        <v>20033</v>
      </c>
      <c r="D824" s="2" t="s">
        <v>0</v>
      </c>
      <c r="E824" s="13" t="s">
        <v>20034</v>
      </c>
      <c r="F824" s="13" t="s">
        <v>5540</v>
      </c>
      <c r="G824" s="13" t="s">
        <v>4852</v>
      </c>
    </row>
    <row r="825" ht="12.75" customHeight="1">
      <c r="A825" s="13" t="s">
        <v>20037</v>
      </c>
      <c r="B825" s="13" t="s">
        <v>20040</v>
      </c>
      <c r="C825" s="13" t="s">
        <v>20049</v>
      </c>
      <c r="D825" s="2" t="s">
        <v>0</v>
      </c>
      <c r="E825" s="13" t="s">
        <v>20051</v>
      </c>
      <c r="F825" s="13" t="s">
        <v>5540</v>
      </c>
      <c r="G825" s="13" t="s">
        <v>4852</v>
      </c>
    </row>
    <row r="826" ht="12.75" customHeight="1">
      <c r="A826" s="13" t="s">
        <v>429</v>
      </c>
      <c r="B826" s="13" t="s">
        <v>20056</v>
      </c>
      <c r="C826" s="13" t="s">
        <v>20067</v>
      </c>
      <c r="D826" s="2" t="s">
        <v>0</v>
      </c>
      <c r="E826" s="13" t="s">
        <v>20069</v>
      </c>
      <c r="F826" s="13" t="s">
        <v>5540</v>
      </c>
      <c r="G826" s="13" t="s">
        <v>4856</v>
      </c>
    </row>
    <row r="827" ht="12.75" customHeight="1">
      <c r="A827" s="13" t="s">
        <v>425</v>
      </c>
      <c r="B827" s="13" t="s">
        <v>20075</v>
      </c>
      <c r="C827" s="13" t="s">
        <v>20089</v>
      </c>
      <c r="D827" s="2" t="s">
        <v>0</v>
      </c>
      <c r="E827" s="13" t="s">
        <v>20091</v>
      </c>
      <c r="F827" s="13" t="s">
        <v>5540</v>
      </c>
      <c r="G827" s="13" t="s">
        <v>4852</v>
      </c>
    </row>
    <row r="828" ht="12.75" customHeight="1">
      <c r="A828" s="13" t="s">
        <v>421</v>
      </c>
      <c r="B828" s="13" t="s">
        <v>20096</v>
      </c>
      <c r="C828" s="13" t="s">
        <v>20103</v>
      </c>
      <c r="D828" s="2" t="s">
        <v>0</v>
      </c>
      <c r="E828" s="13" t="s">
        <v>20105</v>
      </c>
      <c r="F828" s="13" t="s">
        <v>5540</v>
      </c>
      <c r="G828" s="13" t="s">
        <v>4856</v>
      </c>
    </row>
    <row r="829" ht="12.75" customHeight="1">
      <c r="A829" s="13" t="s">
        <v>20108</v>
      </c>
      <c r="B829" s="13" t="s">
        <v>20110</v>
      </c>
      <c r="C829" s="13" t="s">
        <v>20120</v>
      </c>
      <c r="D829" s="2" t="s">
        <v>0</v>
      </c>
      <c r="E829" s="13" t="s">
        <v>20122</v>
      </c>
      <c r="F829" s="13" t="s">
        <v>5540</v>
      </c>
      <c r="G829" s="13" t="s">
        <v>4856</v>
      </c>
    </row>
    <row r="830" ht="12.75" customHeight="1">
      <c r="A830" s="13" t="s">
        <v>417</v>
      </c>
      <c r="B830" s="13" t="s">
        <v>20127</v>
      </c>
      <c r="C830" s="13" t="s">
        <v>20138</v>
      </c>
      <c r="D830" s="2" t="s">
        <v>0</v>
      </c>
      <c r="E830" s="13" t="s">
        <v>20140</v>
      </c>
      <c r="F830" s="13" t="s">
        <v>5540</v>
      </c>
      <c r="G830" s="13" t="s">
        <v>4852</v>
      </c>
    </row>
    <row r="831" ht="12.75" customHeight="1">
      <c r="A831" s="13" t="s">
        <v>20143</v>
      </c>
      <c r="B831" s="13" t="s">
        <v>20146</v>
      </c>
      <c r="C831" s="13" t="s">
        <v>20156</v>
      </c>
      <c r="D831" s="2" t="s">
        <v>0</v>
      </c>
      <c r="E831" s="13" t="s">
        <v>20158</v>
      </c>
      <c r="F831" s="13" t="s">
        <v>5540</v>
      </c>
      <c r="G831" s="13" t="s">
        <v>4864</v>
      </c>
    </row>
    <row r="832" ht="12.75" customHeight="1">
      <c r="A832" s="13" t="s">
        <v>411</v>
      </c>
      <c r="B832" s="13" t="s">
        <v>20163</v>
      </c>
      <c r="C832" s="13" t="s">
        <v>20173</v>
      </c>
      <c r="D832" s="2" t="s">
        <v>0</v>
      </c>
      <c r="E832" s="13" t="s">
        <v>20175</v>
      </c>
      <c r="F832" s="13" t="s">
        <v>5540</v>
      </c>
      <c r="G832" s="13" t="s">
        <v>4856</v>
      </c>
    </row>
    <row r="833" ht="12.75" customHeight="1">
      <c r="A833" s="13" t="s">
        <v>407</v>
      </c>
      <c r="B833" s="13" t="s">
        <v>20184</v>
      </c>
      <c r="C833" s="13" t="s">
        <v>20195</v>
      </c>
      <c r="D833" s="2" t="s">
        <v>0</v>
      </c>
      <c r="E833" s="13" t="s">
        <v>20198</v>
      </c>
      <c r="F833" s="13" t="s">
        <v>5540</v>
      </c>
      <c r="G833" s="13" t="s">
        <v>4856</v>
      </c>
    </row>
    <row r="834" ht="12.75" customHeight="1">
      <c r="A834" s="13" t="s">
        <v>20201</v>
      </c>
      <c r="B834" s="13" t="s">
        <v>20203</v>
      </c>
      <c r="C834" s="13" t="s">
        <v>20213</v>
      </c>
      <c r="D834" s="2" t="s">
        <v>0</v>
      </c>
      <c r="E834" s="13" t="s">
        <v>20215</v>
      </c>
      <c r="F834" s="13" t="s">
        <v>5540</v>
      </c>
      <c r="G834" s="13" t="s">
        <v>4856</v>
      </c>
    </row>
    <row r="835" ht="12.75" customHeight="1">
      <c r="A835" s="13" t="s">
        <v>399</v>
      </c>
      <c r="B835" s="13" t="s">
        <v>20220</v>
      </c>
      <c r="C835" s="13" t="s">
        <v>20230</v>
      </c>
      <c r="D835" s="2" t="s">
        <v>0</v>
      </c>
      <c r="E835" s="13" t="s">
        <v>20232</v>
      </c>
      <c r="F835" s="13" t="s">
        <v>5540</v>
      </c>
      <c r="G835" s="13" t="s">
        <v>4856</v>
      </c>
    </row>
    <row r="836" ht="12.75" customHeight="1">
      <c r="A836" s="13" t="s">
        <v>396</v>
      </c>
      <c r="B836" s="13" t="s">
        <v>20237</v>
      </c>
      <c r="C836" s="13" t="s">
        <v>20247</v>
      </c>
      <c r="D836" s="2" t="s">
        <v>0</v>
      </c>
      <c r="E836" s="13" t="s">
        <v>20249</v>
      </c>
      <c r="F836" s="13" t="s">
        <v>5540</v>
      </c>
      <c r="G836" s="13" t="s">
        <v>4864</v>
      </c>
    </row>
    <row r="837" ht="12.75" customHeight="1">
      <c r="A837" s="13" t="s">
        <v>392</v>
      </c>
      <c r="B837" s="13" t="s">
        <v>20255</v>
      </c>
      <c r="C837" s="13" t="s">
        <v>20269</v>
      </c>
      <c r="D837" s="2" t="s">
        <v>0</v>
      </c>
      <c r="E837" s="13" t="s">
        <v>20271</v>
      </c>
      <c r="F837" s="13" t="s">
        <v>5540</v>
      </c>
      <c r="G837" s="13" t="s">
        <v>4856</v>
      </c>
    </row>
    <row r="838" ht="12.75" customHeight="1">
      <c r="A838" s="13" t="s">
        <v>388</v>
      </c>
      <c r="B838" s="13" t="s">
        <v>20276</v>
      </c>
      <c r="C838" s="13" t="s">
        <v>20283</v>
      </c>
      <c r="D838" s="2" t="s">
        <v>0</v>
      </c>
      <c r="E838" s="13" t="s">
        <v>20284</v>
      </c>
      <c r="F838" s="13" t="s">
        <v>5540</v>
      </c>
      <c r="G838" s="13" t="s">
        <v>4856</v>
      </c>
    </row>
    <row r="839" ht="12.75" customHeight="1">
      <c r="A839" s="13" t="s">
        <v>385</v>
      </c>
      <c r="B839" s="13" t="s">
        <v>20288</v>
      </c>
      <c r="C839" s="13" t="s">
        <v>20299</v>
      </c>
      <c r="D839" s="2" t="s">
        <v>0</v>
      </c>
      <c r="E839" s="13" t="s">
        <v>20301</v>
      </c>
      <c r="F839" s="13" t="s">
        <v>5540</v>
      </c>
      <c r="G839" s="13" t="s">
        <v>4856</v>
      </c>
    </row>
    <row r="840" ht="12.75" customHeight="1">
      <c r="A840" s="13" t="s">
        <v>371</v>
      </c>
      <c r="B840" s="13" t="s">
        <v>20305</v>
      </c>
      <c r="C840" s="13" t="s">
        <v>20317</v>
      </c>
      <c r="D840" s="2" t="s">
        <v>0</v>
      </c>
      <c r="E840" s="13" t="s">
        <v>20319</v>
      </c>
      <c r="F840" s="13" t="s">
        <v>5540</v>
      </c>
      <c r="G840" s="13" t="s">
        <v>4864</v>
      </c>
    </row>
    <row r="841" ht="12.75" customHeight="1">
      <c r="A841" s="13" t="s">
        <v>367</v>
      </c>
      <c r="B841" s="13" t="s">
        <v>20324</v>
      </c>
      <c r="C841" s="13" t="s">
        <v>20332</v>
      </c>
      <c r="D841" s="2" t="s">
        <v>0</v>
      </c>
      <c r="E841" s="13" t="s">
        <v>20334</v>
      </c>
      <c r="F841" s="13" t="s">
        <v>5540</v>
      </c>
      <c r="G841" s="13" t="s">
        <v>4852</v>
      </c>
    </row>
    <row r="842" ht="12.75" customHeight="1">
      <c r="A842" s="13" t="s">
        <v>364</v>
      </c>
      <c r="B842" s="13" t="s">
        <v>20339</v>
      </c>
      <c r="C842" s="13" t="s">
        <v>20349</v>
      </c>
      <c r="D842" s="2" t="s">
        <v>0</v>
      </c>
      <c r="E842" s="13" t="s">
        <v>20351</v>
      </c>
      <c r="F842" s="13" t="s">
        <v>5540</v>
      </c>
      <c r="G842" s="13" t="s">
        <v>4856</v>
      </c>
    </row>
    <row r="843" ht="12.75" customHeight="1">
      <c r="A843" s="13" t="s">
        <v>362</v>
      </c>
      <c r="B843" s="13" t="s">
        <v>20356</v>
      </c>
      <c r="C843" s="13" t="s">
        <v>20363</v>
      </c>
      <c r="D843" s="2" t="s">
        <v>0</v>
      </c>
      <c r="E843" s="13" t="s">
        <v>20365</v>
      </c>
      <c r="F843" s="13" t="s">
        <v>5540</v>
      </c>
      <c r="G843" s="13" t="s">
        <v>4856</v>
      </c>
    </row>
    <row r="844" ht="12.75" customHeight="1">
      <c r="A844" s="13" t="s">
        <v>20369</v>
      </c>
      <c r="B844" s="13" t="s">
        <v>20376</v>
      </c>
      <c r="C844" s="13" t="str">
        <f>#REF!</f>
        <v>#REF!</v>
      </c>
      <c r="D844" s="2" t="s">
        <v>0</v>
      </c>
      <c r="E844" s="13" t="s">
        <v>20385</v>
      </c>
      <c r="F844" s="13" t="s">
        <v>5540</v>
      </c>
      <c r="G844" s="13" t="s">
        <v>4852</v>
      </c>
    </row>
    <row r="845" ht="12.75" customHeight="1">
      <c r="A845" s="13" t="s">
        <v>356</v>
      </c>
      <c r="B845" s="13" t="s">
        <v>20390</v>
      </c>
      <c r="C845" s="13" t="s">
        <v>20400</v>
      </c>
      <c r="D845" s="2" t="s">
        <v>0</v>
      </c>
      <c r="E845" s="13" t="s">
        <v>20402</v>
      </c>
      <c r="F845" s="13" t="s">
        <v>5540</v>
      </c>
      <c r="G845" s="13" t="s">
        <v>4856</v>
      </c>
    </row>
    <row r="846" ht="12.75" customHeight="1">
      <c r="A846" s="13" t="s">
        <v>20405</v>
      </c>
      <c r="B846" s="13" t="s">
        <v>20409</v>
      </c>
      <c r="C846" s="13" t="s">
        <v>20421</v>
      </c>
      <c r="D846" s="2" t="s">
        <v>0</v>
      </c>
      <c r="E846" s="13" t="s">
        <v>20425</v>
      </c>
      <c r="F846" s="13" t="s">
        <v>5540</v>
      </c>
      <c r="G846" s="13" t="s">
        <v>4864</v>
      </c>
    </row>
    <row r="847" ht="12.75" customHeight="1">
      <c r="A847" s="13" t="s">
        <v>351</v>
      </c>
      <c r="B847" s="13" t="s">
        <v>20430</v>
      </c>
      <c r="C847" s="13" t="s">
        <v>20440</v>
      </c>
      <c r="D847" s="2" t="s">
        <v>0</v>
      </c>
      <c r="E847" s="13" t="s">
        <v>20442</v>
      </c>
      <c r="F847" s="13" t="s">
        <v>5540</v>
      </c>
      <c r="G847" s="13" t="s">
        <v>4856</v>
      </c>
    </row>
    <row r="848" ht="12.75" customHeight="1">
      <c r="A848" s="13" t="s">
        <v>20445</v>
      </c>
      <c r="B848" s="13" t="s">
        <v>20447</v>
      </c>
      <c r="C848" s="13" t="s">
        <v>20456</v>
      </c>
      <c r="D848" s="2" t="s">
        <v>0</v>
      </c>
      <c r="E848" s="13" t="s">
        <v>20458</v>
      </c>
      <c r="F848" s="13" t="s">
        <v>5540</v>
      </c>
      <c r="G848" s="13" t="s">
        <v>4856</v>
      </c>
    </row>
    <row r="849" ht="12.75" customHeight="1">
      <c r="A849" s="13" t="s">
        <v>345</v>
      </c>
      <c r="B849" s="13" t="s">
        <v>20464</v>
      </c>
      <c r="C849" s="13" t="s">
        <v>20477</v>
      </c>
      <c r="D849" s="2" t="s">
        <v>0</v>
      </c>
      <c r="E849" s="13" t="s">
        <v>20481</v>
      </c>
      <c r="F849" s="13" t="s">
        <v>5540</v>
      </c>
      <c r="G849" s="13" t="s">
        <v>4852</v>
      </c>
    </row>
    <row r="850" ht="12.75" customHeight="1">
      <c r="A850" s="13" t="s">
        <v>342</v>
      </c>
      <c r="B850" s="13" t="s">
        <v>20486</v>
      </c>
      <c r="C850" s="13" t="s">
        <v>20496</v>
      </c>
      <c r="D850" s="2" t="s">
        <v>0</v>
      </c>
      <c r="E850" s="13" t="s">
        <v>20498</v>
      </c>
      <c r="F850" s="13" t="s">
        <v>5540</v>
      </c>
      <c r="G850" s="13" t="s">
        <v>4856</v>
      </c>
    </row>
    <row r="851" ht="12.75" customHeight="1">
      <c r="A851" s="13" t="s">
        <v>339</v>
      </c>
      <c r="B851" s="13" t="s">
        <v>20503</v>
      </c>
      <c r="C851" s="13" t="s">
        <v>20513</v>
      </c>
      <c r="D851" s="2" t="s">
        <v>0</v>
      </c>
      <c r="E851" s="13" t="s">
        <v>20514</v>
      </c>
      <c r="F851" s="13" t="s">
        <v>5540</v>
      </c>
      <c r="G851" s="13" t="s">
        <v>4856</v>
      </c>
    </row>
    <row r="852" ht="12.75" customHeight="1">
      <c r="A852" s="13" t="s">
        <v>335</v>
      </c>
      <c r="B852" s="13" t="s">
        <v>20518</v>
      </c>
      <c r="C852" s="13" t="s">
        <v>20526</v>
      </c>
      <c r="D852" s="2" t="s">
        <v>0</v>
      </c>
      <c r="E852" s="13" t="s">
        <v>20528</v>
      </c>
      <c r="F852" s="13" t="s">
        <v>5540</v>
      </c>
      <c r="G852" s="13" t="s">
        <v>4856</v>
      </c>
    </row>
    <row r="853" ht="12.75" customHeight="1">
      <c r="A853" s="13" t="s">
        <v>20531</v>
      </c>
      <c r="B853" s="13" t="s">
        <v>20535</v>
      </c>
      <c r="C853" s="13" t="s">
        <v>20550</v>
      </c>
      <c r="D853" s="2" t="s">
        <v>0</v>
      </c>
      <c r="E853" s="13" t="s">
        <v>20552</v>
      </c>
      <c r="F853" s="13" t="s">
        <v>5540</v>
      </c>
      <c r="G853" s="13" t="s">
        <v>4856</v>
      </c>
    </row>
    <row r="854" ht="12.75" customHeight="1">
      <c r="A854" s="13" t="s">
        <v>328</v>
      </c>
      <c r="B854" s="13" t="s">
        <v>20557</v>
      </c>
      <c r="C854" s="13" t="s">
        <v>20565</v>
      </c>
      <c r="D854" s="2" t="s">
        <v>0</v>
      </c>
      <c r="E854" s="13" t="s">
        <v>20567</v>
      </c>
      <c r="F854" s="13" t="s">
        <v>5540</v>
      </c>
      <c r="G854" s="13" t="s">
        <v>4856</v>
      </c>
    </row>
    <row r="855" ht="12.75" customHeight="1">
      <c r="A855" s="13" t="s">
        <v>325</v>
      </c>
      <c r="B855" s="13" t="s">
        <v>20572</v>
      </c>
      <c r="C855" s="13" t="s">
        <v>20581</v>
      </c>
      <c r="D855" s="2" t="s">
        <v>0</v>
      </c>
      <c r="E855" s="13" t="s">
        <v>20583</v>
      </c>
      <c r="F855" s="13" t="s">
        <v>5540</v>
      </c>
      <c r="G855" s="13" t="s">
        <v>4856</v>
      </c>
    </row>
    <row r="856" ht="12.75" customHeight="1">
      <c r="A856" s="13" t="s">
        <v>20586</v>
      </c>
      <c r="B856" s="13" t="s">
        <v>20590</v>
      </c>
      <c r="C856" s="13" t="str">
        <f>#REF!</f>
        <v>#REF!</v>
      </c>
      <c r="D856" s="2" t="s">
        <v>0</v>
      </c>
      <c r="E856" s="13" t="s">
        <v>20602</v>
      </c>
      <c r="F856" s="13" t="s">
        <v>5540</v>
      </c>
      <c r="G856" s="13" t="s">
        <v>4856</v>
      </c>
    </row>
    <row r="857" ht="12.75" customHeight="1">
      <c r="A857" s="13" t="s">
        <v>310</v>
      </c>
      <c r="B857" s="13" t="s">
        <v>20608</v>
      </c>
      <c r="C857" s="13" t="s">
        <v>20620</v>
      </c>
      <c r="D857" s="2" t="s">
        <v>0</v>
      </c>
      <c r="E857" s="13" t="s">
        <v>20622</v>
      </c>
      <c r="F857" s="13" t="s">
        <v>5540</v>
      </c>
      <c r="G857" s="13" t="s">
        <v>4852</v>
      </c>
    </row>
    <row r="858" ht="12.75" customHeight="1">
      <c r="A858" s="13" t="s">
        <v>306</v>
      </c>
      <c r="B858" s="13" t="s">
        <v>20628</v>
      </c>
      <c r="C858" s="13" t="s">
        <v>20642</v>
      </c>
      <c r="D858" s="2" t="s">
        <v>0</v>
      </c>
      <c r="E858" s="13" t="s">
        <v>20644</v>
      </c>
      <c r="F858" s="13" t="s">
        <v>5540</v>
      </c>
      <c r="G858" s="13" t="s">
        <v>4856</v>
      </c>
    </row>
    <row r="859" ht="12.75" customHeight="1">
      <c r="A859" s="13" t="s">
        <v>301</v>
      </c>
      <c r="B859" s="13" t="s">
        <v>20649</v>
      </c>
      <c r="C859" s="13" t="s">
        <v>20659</v>
      </c>
      <c r="D859" s="2" t="s">
        <v>0</v>
      </c>
      <c r="E859" s="13" t="s">
        <v>20661</v>
      </c>
      <c r="F859" s="13" t="s">
        <v>5540</v>
      </c>
      <c r="G859" s="13" t="s">
        <v>4864</v>
      </c>
    </row>
    <row r="860" ht="12.75" customHeight="1">
      <c r="A860" s="13" t="s">
        <v>20665</v>
      </c>
      <c r="B860" s="13" t="s">
        <v>20670</v>
      </c>
      <c r="C860" s="13" t="s">
        <v>20682</v>
      </c>
      <c r="D860" s="2" t="s">
        <v>0</v>
      </c>
      <c r="E860" s="13" t="s">
        <v>20686</v>
      </c>
      <c r="F860" s="13" t="s">
        <v>5540</v>
      </c>
      <c r="G860" s="13" t="s">
        <v>4856</v>
      </c>
    </row>
    <row r="861" ht="12.75" customHeight="1">
      <c r="A861" s="13" t="s">
        <v>294</v>
      </c>
      <c r="B861" s="13" t="s">
        <v>20692</v>
      </c>
      <c r="C861" s="13" t="s">
        <v>20705</v>
      </c>
      <c r="D861" s="2" t="s">
        <v>0</v>
      </c>
      <c r="E861" s="13" t="s">
        <v>20709</v>
      </c>
      <c r="F861" s="13" t="s">
        <v>5540</v>
      </c>
      <c r="G861" s="13" t="s">
        <v>4856</v>
      </c>
    </row>
    <row r="862" ht="12.75" customHeight="1">
      <c r="A862" s="2" t="s">
        <v>292</v>
      </c>
      <c r="B862" s="13" t="s">
        <v>5510</v>
      </c>
      <c r="C862" s="13" t="s">
        <v>20714</v>
      </c>
      <c r="D862" s="2" t="s">
        <v>0</v>
      </c>
      <c r="E862" s="13" t="s">
        <v>20716</v>
      </c>
      <c r="F862" s="13" t="s">
        <v>5540</v>
      </c>
      <c r="G862" s="13" t="s">
        <v>4856</v>
      </c>
    </row>
    <row r="863" ht="12.75" customHeight="1">
      <c r="A863" s="13" t="s">
        <v>292</v>
      </c>
      <c r="B863" s="13" t="s">
        <v>20719</v>
      </c>
      <c r="C863" s="13" t="s">
        <v>20728</v>
      </c>
      <c r="D863" s="2" t="s">
        <v>0</v>
      </c>
      <c r="E863" s="13" t="s">
        <v>20730</v>
      </c>
      <c r="F863" s="13" t="s">
        <v>5540</v>
      </c>
      <c r="G863" s="13" t="s">
        <v>4856</v>
      </c>
    </row>
    <row r="864" ht="12.75" customHeight="1">
      <c r="A864" s="13" t="s">
        <v>289</v>
      </c>
      <c r="B864" s="13" t="s">
        <v>20732</v>
      </c>
      <c r="C864" s="13" t="s">
        <v>20739</v>
      </c>
      <c r="D864" s="2" t="s">
        <v>0</v>
      </c>
      <c r="E864" s="13" t="s">
        <v>20741</v>
      </c>
      <c r="F864" s="13" t="s">
        <v>5540</v>
      </c>
      <c r="G864" s="13" t="s">
        <v>4864</v>
      </c>
    </row>
    <row r="865" ht="12.75" customHeight="1">
      <c r="A865" s="13" t="s">
        <v>285</v>
      </c>
      <c r="B865" s="13" t="s">
        <v>20746</v>
      </c>
      <c r="C865" s="13" t="s">
        <v>20753</v>
      </c>
      <c r="D865" s="2" t="s">
        <v>0</v>
      </c>
      <c r="E865" s="13" t="s">
        <v>20755</v>
      </c>
      <c r="F865" s="13" t="s">
        <v>5540</v>
      </c>
      <c r="G865" s="13" t="s">
        <v>4856</v>
      </c>
    </row>
    <row r="866" ht="12.75" customHeight="1">
      <c r="A866" s="13" t="s">
        <v>284</v>
      </c>
      <c r="B866" s="13" t="s">
        <v>20760</v>
      </c>
      <c r="C866" s="13" t="s">
        <v>20769</v>
      </c>
      <c r="D866" s="2" t="s">
        <v>0</v>
      </c>
      <c r="E866" s="13" t="s">
        <v>20770</v>
      </c>
      <c r="F866" s="13" t="s">
        <v>5540</v>
      </c>
      <c r="G866" s="13" t="s">
        <v>4856</v>
      </c>
    </row>
    <row r="867" ht="12.75" customHeight="1">
      <c r="A867" s="13" t="s">
        <v>281</v>
      </c>
      <c r="B867" s="13" t="s">
        <v>20774</v>
      </c>
      <c r="C867" s="13" t="s">
        <v>20784</v>
      </c>
      <c r="D867" s="2" t="s">
        <v>0</v>
      </c>
      <c r="E867" s="13" t="s">
        <v>20786</v>
      </c>
      <c r="F867" s="13" t="s">
        <v>5540</v>
      </c>
      <c r="G867" s="13" t="s">
        <v>4886</v>
      </c>
    </row>
    <row r="868" ht="12.75" customHeight="1">
      <c r="A868" s="13" t="s">
        <v>277</v>
      </c>
      <c r="B868" s="13" t="s">
        <v>20792</v>
      </c>
      <c r="C868" s="13" t="s">
        <v>20806</v>
      </c>
      <c r="D868" s="2" t="s">
        <v>0</v>
      </c>
      <c r="E868" s="13" t="s">
        <v>20810</v>
      </c>
      <c r="F868" s="13" t="s">
        <v>5540</v>
      </c>
      <c r="G868" s="13" t="s">
        <v>4856</v>
      </c>
    </row>
    <row r="869" ht="12.75" customHeight="1">
      <c r="A869" s="13" t="s">
        <v>274</v>
      </c>
      <c r="B869" s="13" t="s">
        <v>20815</v>
      </c>
      <c r="C869" s="13" t="s">
        <v>20825</v>
      </c>
      <c r="D869" s="2" t="s">
        <v>0</v>
      </c>
      <c r="E869" s="13" t="s">
        <v>20827</v>
      </c>
      <c r="F869" s="13" t="s">
        <v>5540</v>
      </c>
      <c r="G869" s="13" t="s">
        <v>4856</v>
      </c>
    </row>
    <row r="870" ht="12.75" customHeight="1">
      <c r="A870" s="13" t="s">
        <v>20830</v>
      </c>
      <c r="B870" s="13" t="s">
        <v>20833</v>
      </c>
      <c r="C870" s="13" t="s">
        <v>20843</v>
      </c>
      <c r="D870" s="2" t="s">
        <v>0</v>
      </c>
      <c r="E870" s="13" t="s">
        <v>20845</v>
      </c>
      <c r="F870" s="13" t="s">
        <v>5540</v>
      </c>
      <c r="G870" s="13" t="s">
        <v>4856</v>
      </c>
    </row>
    <row r="871" ht="12.75" customHeight="1">
      <c r="A871" s="13" t="s">
        <v>20848</v>
      </c>
      <c r="B871" s="13" t="s">
        <v>20851</v>
      </c>
      <c r="C871" s="13" t="s">
        <v>20860</v>
      </c>
      <c r="D871" s="2" t="s">
        <v>0</v>
      </c>
      <c r="E871" s="13" t="s">
        <v>20862</v>
      </c>
      <c r="F871" s="13" t="s">
        <v>5540</v>
      </c>
      <c r="G871" s="13" t="s">
        <v>4864</v>
      </c>
    </row>
    <row r="872" ht="12.75" customHeight="1">
      <c r="A872" s="2" t="s">
        <v>262</v>
      </c>
      <c r="B872" s="13" t="s">
        <v>20868</v>
      </c>
      <c r="C872" s="13" t="s">
        <v>20883</v>
      </c>
      <c r="D872" s="2" t="s">
        <v>0</v>
      </c>
      <c r="E872" s="13" t="s">
        <v>20885</v>
      </c>
      <c r="F872" s="13" t="s">
        <v>5540</v>
      </c>
      <c r="G872" s="13" t="s">
        <v>4852</v>
      </c>
    </row>
    <row r="873" ht="12.75" customHeight="1">
      <c r="A873" s="13" t="s">
        <v>259</v>
      </c>
      <c r="B873" s="13" t="s">
        <v>20889</v>
      </c>
      <c r="C873" s="13" t="s">
        <v>20899</v>
      </c>
      <c r="D873" s="2" t="s">
        <v>0</v>
      </c>
      <c r="E873" s="13" t="s">
        <v>20901</v>
      </c>
      <c r="F873" s="13" t="s">
        <v>5540</v>
      </c>
      <c r="G873" s="13" t="s">
        <v>4856</v>
      </c>
    </row>
    <row r="874" ht="12.75" customHeight="1">
      <c r="A874" s="13" t="s">
        <v>255</v>
      </c>
      <c r="B874" s="13" t="s">
        <v>20906</v>
      </c>
      <c r="C874" s="13" t="s">
        <v>20914</v>
      </c>
      <c r="D874" s="2" t="s">
        <v>0</v>
      </c>
      <c r="E874" s="13" t="s">
        <v>20915</v>
      </c>
      <c r="F874" s="13" t="s">
        <v>5540</v>
      </c>
      <c r="G874" s="13" t="s">
        <v>4864</v>
      </c>
    </row>
    <row r="875" ht="12.75" customHeight="1">
      <c r="A875" s="13" t="s">
        <v>20918</v>
      </c>
      <c r="B875" s="13" t="s">
        <v>20922</v>
      </c>
      <c r="C875" s="13" t="s">
        <v>20935</v>
      </c>
      <c r="D875" s="2" t="s">
        <v>0</v>
      </c>
      <c r="E875" s="13" t="s">
        <v>20938</v>
      </c>
      <c r="F875" s="13" t="s">
        <v>5540</v>
      </c>
      <c r="G875" s="13" t="s">
        <v>4856</v>
      </c>
    </row>
    <row r="876" ht="12.75" customHeight="1">
      <c r="A876" s="13" t="s">
        <v>249</v>
      </c>
      <c r="B876" s="13" t="s">
        <v>20944</v>
      </c>
      <c r="C876" s="13" t="s">
        <v>20958</v>
      </c>
      <c r="D876" s="2" t="s">
        <v>0</v>
      </c>
      <c r="E876" s="13" t="s">
        <v>20960</v>
      </c>
      <c r="F876" s="13" t="s">
        <v>5540</v>
      </c>
      <c r="G876" s="13" t="s">
        <v>4856</v>
      </c>
    </row>
    <row r="877" ht="12.75" customHeight="1">
      <c r="A877" s="13" t="s">
        <v>245</v>
      </c>
      <c r="B877" s="13" t="s">
        <v>20965</v>
      </c>
      <c r="C877" s="13" t="s">
        <v>20975</v>
      </c>
      <c r="D877" s="2" t="s">
        <v>0</v>
      </c>
      <c r="E877" s="13" t="s">
        <v>20977</v>
      </c>
      <c r="F877" s="13" t="s">
        <v>5540</v>
      </c>
      <c r="G877" s="13" t="s">
        <v>4856</v>
      </c>
    </row>
    <row r="878" ht="12.75" customHeight="1">
      <c r="A878" s="13" t="s">
        <v>241</v>
      </c>
      <c r="B878" s="13" t="s">
        <v>20982</v>
      </c>
      <c r="C878" s="13" t="s">
        <v>20992</v>
      </c>
      <c r="D878" s="2" t="s">
        <v>0</v>
      </c>
      <c r="E878" s="13" t="s">
        <v>20994</v>
      </c>
      <c r="F878" s="13" t="s">
        <v>5540</v>
      </c>
      <c r="G878" s="13" t="s">
        <v>4856</v>
      </c>
    </row>
    <row r="879" ht="12.75" customHeight="1">
      <c r="A879" s="13" t="s">
        <v>237</v>
      </c>
      <c r="B879" s="13" t="s">
        <v>20999</v>
      </c>
      <c r="C879" s="13" t="s">
        <v>21008</v>
      </c>
      <c r="D879" s="2" t="s">
        <v>0</v>
      </c>
      <c r="E879" s="13" t="s">
        <v>21012</v>
      </c>
      <c r="F879" s="13" t="s">
        <v>5540</v>
      </c>
      <c r="G879" s="13" t="s">
        <v>4856</v>
      </c>
    </row>
    <row r="880" ht="12.75" customHeight="1">
      <c r="A880" s="13" t="s">
        <v>234</v>
      </c>
      <c r="B880" s="13" t="s">
        <v>21017</v>
      </c>
      <c r="C880" s="13" t="s">
        <v>21027</v>
      </c>
      <c r="D880" s="2" t="s">
        <v>0</v>
      </c>
      <c r="E880" s="13" t="s">
        <v>21029</v>
      </c>
      <c r="F880" s="13" t="s">
        <v>5540</v>
      </c>
      <c r="G880" s="13" t="s">
        <v>4886</v>
      </c>
    </row>
    <row r="881" ht="12.75" customHeight="1">
      <c r="A881" s="13" t="s">
        <v>21032</v>
      </c>
      <c r="B881" s="13" t="s">
        <v>21035</v>
      </c>
      <c r="C881" s="13" t="s">
        <v>21045</v>
      </c>
      <c r="D881" s="2" t="s">
        <v>0</v>
      </c>
      <c r="E881" s="13" t="s">
        <v>21047</v>
      </c>
      <c r="F881" s="13" t="s">
        <v>5540</v>
      </c>
      <c r="G881" s="13" t="s">
        <v>4864</v>
      </c>
    </row>
    <row r="882" ht="12.75" customHeight="1">
      <c r="A882" s="13" t="s">
        <v>227</v>
      </c>
      <c r="B882" s="13" t="s">
        <v>21057</v>
      </c>
      <c r="C882" s="13" t="str">
        <f>#REF!</f>
        <v>#REF!</v>
      </c>
      <c r="D882" s="2" t="s">
        <v>0</v>
      </c>
      <c r="E882" s="13" t="s">
        <v>21071</v>
      </c>
      <c r="F882" s="13" t="s">
        <v>5540</v>
      </c>
      <c r="G882" s="13" t="s">
        <v>4856</v>
      </c>
    </row>
    <row r="883" ht="12.75" customHeight="1">
      <c r="A883" s="13" t="s">
        <v>219</v>
      </c>
      <c r="B883" s="13" t="s">
        <v>21077</v>
      </c>
      <c r="C883" s="13" t="s">
        <v>21088</v>
      </c>
      <c r="D883" s="2" t="s">
        <v>0</v>
      </c>
      <c r="E883" s="13" t="s">
        <v>21090</v>
      </c>
      <c r="F883" s="13" t="s">
        <v>5540</v>
      </c>
      <c r="G883" s="13" t="s">
        <v>4856</v>
      </c>
    </row>
    <row r="884" ht="12.75" customHeight="1">
      <c r="A884" s="13" t="s">
        <v>21093</v>
      </c>
      <c r="B884" s="13" t="s">
        <v>21094</v>
      </c>
      <c r="C884" s="13" t="s">
        <v>21104</v>
      </c>
      <c r="D884" s="2" t="s">
        <v>0</v>
      </c>
      <c r="E884" s="13" t="s">
        <v>21106</v>
      </c>
      <c r="F884" s="13" t="s">
        <v>5540</v>
      </c>
      <c r="G884" s="13" t="s">
        <v>4864</v>
      </c>
    </row>
    <row r="885" ht="12.75" customHeight="1">
      <c r="A885" s="13" t="s">
        <v>214</v>
      </c>
      <c r="B885" s="13" t="s">
        <v>21112</v>
      </c>
      <c r="C885" s="13" t="s">
        <v>21126</v>
      </c>
      <c r="D885" s="2" t="s">
        <v>0</v>
      </c>
      <c r="E885" s="13" t="s">
        <v>21128</v>
      </c>
      <c r="F885" s="13" t="s">
        <v>5540</v>
      </c>
      <c r="G885" s="13" t="s">
        <v>4886</v>
      </c>
    </row>
    <row r="886" ht="12.75" customHeight="1">
      <c r="A886" s="13" t="s">
        <v>212</v>
      </c>
      <c r="B886" s="13" t="s">
        <v>21132</v>
      </c>
      <c r="C886" s="13" t="s">
        <v>21143</v>
      </c>
      <c r="D886" s="2" t="s">
        <v>0</v>
      </c>
      <c r="E886" s="13" t="s">
        <v>21145</v>
      </c>
      <c r="F886" s="13" t="s">
        <v>5540</v>
      </c>
      <c r="G886" s="13" t="s">
        <v>4864</v>
      </c>
    </row>
    <row r="887" ht="12.75" customHeight="1">
      <c r="A887" s="13" t="s">
        <v>209</v>
      </c>
      <c r="B887" s="13" t="s">
        <v>21150</v>
      </c>
      <c r="C887" s="13" t="s">
        <v>21158</v>
      </c>
      <c r="D887" s="2" t="s">
        <v>0</v>
      </c>
      <c r="E887" s="13" t="s">
        <v>21160</v>
      </c>
      <c r="F887" s="13" t="s">
        <v>5540</v>
      </c>
      <c r="G887" s="13" t="s">
        <v>4864</v>
      </c>
    </row>
    <row r="888" ht="12.75" customHeight="1">
      <c r="A888" s="13" t="s">
        <v>21163</v>
      </c>
      <c r="B888" s="13" t="s">
        <v>21167</v>
      </c>
      <c r="C888" s="13" t="s">
        <v>21182</v>
      </c>
      <c r="D888" s="2" t="s">
        <v>0</v>
      </c>
      <c r="E888" s="13" t="s">
        <v>21184</v>
      </c>
      <c r="F888" s="13" t="s">
        <v>5540</v>
      </c>
      <c r="G888" s="13" t="s">
        <v>4856</v>
      </c>
    </row>
    <row r="889" ht="12.75" customHeight="1">
      <c r="A889" s="13" t="s">
        <v>198</v>
      </c>
      <c r="B889" s="13" t="s">
        <v>21189</v>
      </c>
      <c r="C889" s="13" t="s">
        <v>21199</v>
      </c>
      <c r="D889" s="2" t="s">
        <v>0</v>
      </c>
      <c r="E889" s="13" t="s">
        <v>21200</v>
      </c>
      <c r="F889" s="13" t="s">
        <v>5540</v>
      </c>
      <c r="G889" s="13" t="s">
        <v>4856</v>
      </c>
    </row>
    <row r="890" ht="12.75" customHeight="1">
      <c r="A890" s="13" t="s">
        <v>194</v>
      </c>
      <c r="B890" s="13" t="s">
        <v>21205</v>
      </c>
      <c r="C890" s="13" t="s">
        <v>21212</v>
      </c>
      <c r="D890" s="2" t="s">
        <v>0</v>
      </c>
      <c r="E890" s="13" t="s">
        <v>21214</v>
      </c>
      <c r="F890" s="13" t="s">
        <v>5540</v>
      </c>
      <c r="G890" s="13" t="s">
        <v>4864</v>
      </c>
    </row>
    <row r="891" ht="12.75" customHeight="1">
      <c r="A891" s="13" t="s">
        <v>191</v>
      </c>
      <c r="B891" s="13" t="s">
        <v>21219</v>
      </c>
      <c r="C891" s="13" t="s">
        <v>21226</v>
      </c>
      <c r="D891" s="2" t="s">
        <v>0</v>
      </c>
      <c r="E891" s="13" t="s">
        <v>21228</v>
      </c>
      <c r="F891" s="13" t="s">
        <v>5540</v>
      </c>
      <c r="G891" s="13" t="s">
        <v>4856</v>
      </c>
    </row>
    <row r="892" ht="12.75" customHeight="1">
      <c r="A892" s="13" t="s">
        <v>188</v>
      </c>
      <c r="B892" s="13" t="s">
        <v>21233</v>
      </c>
      <c r="C892" s="13" t="s">
        <v>21244</v>
      </c>
      <c r="D892" s="2" t="s">
        <v>0</v>
      </c>
      <c r="E892" s="13" t="s">
        <v>21246</v>
      </c>
      <c r="F892" s="13" t="s">
        <v>5540</v>
      </c>
      <c r="G892" s="13" t="s">
        <v>4864</v>
      </c>
    </row>
    <row r="893" ht="12.75" customHeight="1">
      <c r="A893" s="13" t="s">
        <v>21248</v>
      </c>
      <c r="B893" s="13" t="s">
        <v>21252</v>
      </c>
      <c r="C893" s="13" t="s">
        <v>21262</v>
      </c>
      <c r="D893" s="2" t="s">
        <v>0</v>
      </c>
      <c r="E893" s="13" t="s">
        <v>21265</v>
      </c>
      <c r="F893" s="13" t="s">
        <v>11683</v>
      </c>
      <c r="G893" s="13" t="s">
        <v>4886</v>
      </c>
    </row>
    <row r="894" ht="12.75" customHeight="1">
      <c r="A894" s="13" t="s">
        <v>173</v>
      </c>
      <c r="B894" s="13" t="s">
        <v>21270</v>
      </c>
      <c r="C894" s="13" t="s">
        <v>21281</v>
      </c>
      <c r="D894" s="2" t="s">
        <v>0</v>
      </c>
      <c r="E894" s="13" t="s">
        <v>21283</v>
      </c>
      <c r="F894" s="13" t="s">
        <v>5540</v>
      </c>
      <c r="G894" s="13" t="s">
        <v>4864</v>
      </c>
    </row>
    <row r="895" ht="12.75" customHeight="1">
      <c r="A895" s="13" t="s">
        <v>169</v>
      </c>
      <c r="B895" s="13" t="s">
        <v>21288</v>
      </c>
      <c r="C895" s="13" t="s">
        <v>21298</v>
      </c>
      <c r="D895" s="2" t="s">
        <v>0</v>
      </c>
      <c r="E895" s="13" t="s">
        <v>21300</v>
      </c>
      <c r="F895" s="13" t="s">
        <v>5540</v>
      </c>
      <c r="G895" s="13" t="s">
        <v>4856</v>
      </c>
    </row>
    <row r="896" ht="12.75" customHeight="1">
      <c r="A896" s="13" t="s">
        <v>21303</v>
      </c>
      <c r="B896" s="13" t="s">
        <v>21306</v>
      </c>
      <c r="C896" s="13" t="s">
        <v>21316</v>
      </c>
      <c r="D896" s="2" t="s">
        <v>0</v>
      </c>
      <c r="E896" s="13" t="s">
        <v>21318</v>
      </c>
      <c r="F896" s="13" t="s">
        <v>5540</v>
      </c>
      <c r="G896" s="13" t="s">
        <v>4864</v>
      </c>
    </row>
    <row r="897" ht="12.75" customHeight="1">
      <c r="A897" s="13" t="s">
        <v>21321</v>
      </c>
      <c r="B897" s="13" t="s">
        <v>21325</v>
      </c>
      <c r="C897" s="13" t="s">
        <v>21337</v>
      </c>
      <c r="D897" s="2" t="s">
        <v>0</v>
      </c>
      <c r="E897" s="13" t="s">
        <v>21339</v>
      </c>
      <c r="F897" s="13" t="s">
        <v>5540</v>
      </c>
      <c r="G897" s="13" t="s">
        <v>4856</v>
      </c>
    </row>
    <row r="898" ht="12.75" customHeight="1">
      <c r="A898" s="13" t="s">
        <v>159</v>
      </c>
      <c r="B898" s="13" t="s">
        <v>21344</v>
      </c>
      <c r="C898" s="13" t="s">
        <v>21353</v>
      </c>
      <c r="D898" s="2" t="s">
        <v>0</v>
      </c>
      <c r="E898" s="13" t="s">
        <v>21355</v>
      </c>
      <c r="F898" s="13" t="s">
        <v>5540</v>
      </c>
      <c r="G898" s="13" t="s">
        <v>4864</v>
      </c>
    </row>
    <row r="899" ht="12.75" customHeight="1">
      <c r="A899" s="13" t="s">
        <v>21358</v>
      </c>
      <c r="B899" s="13" t="s">
        <v>21361</v>
      </c>
      <c r="C899" s="13" t="s">
        <v>21370</v>
      </c>
      <c r="D899" s="2" t="s">
        <v>0</v>
      </c>
      <c r="E899" s="13" t="s">
        <v>21372</v>
      </c>
      <c r="F899" s="13" t="s">
        <v>5540</v>
      </c>
      <c r="G899" s="13" t="s">
        <v>4856</v>
      </c>
    </row>
    <row r="900" ht="12.75" customHeight="1">
      <c r="A900" s="13" t="s">
        <v>152</v>
      </c>
      <c r="B900" s="13" t="s">
        <v>21377</v>
      </c>
      <c r="C900" s="13" t="s">
        <v>21387</v>
      </c>
      <c r="D900" s="2" t="s">
        <v>0</v>
      </c>
      <c r="E900" s="13" t="s">
        <v>21389</v>
      </c>
      <c r="F900" s="13" t="s">
        <v>5540</v>
      </c>
      <c r="G900" s="13" t="s">
        <v>4864</v>
      </c>
    </row>
    <row r="901" ht="12.75" customHeight="1">
      <c r="A901" s="13" t="s">
        <v>148</v>
      </c>
      <c r="B901" s="13" t="s">
        <v>5510</v>
      </c>
      <c r="C901" s="13" t="str">
        <f>#REF!</f>
        <v>#REF!</v>
      </c>
      <c r="D901" s="2" t="s">
        <v>0</v>
      </c>
      <c r="E901" s="13" t="s">
        <v>21403</v>
      </c>
      <c r="F901" s="13" t="s">
        <v>5540</v>
      </c>
      <c r="G901" s="13" t="s">
        <v>4886</v>
      </c>
    </row>
    <row r="902" ht="12.75" customHeight="1">
      <c r="A902" s="13" t="s">
        <v>148</v>
      </c>
      <c r="B902" s="13" t="s">
        <v>21408</v>
      </c>
      <c r="C902" s="13" t="s">
        <v>21419</v>
      </c>
      <c r="D902" s="2" t="s">
        <v>0</v>
      </c>
      <c r="E902" s="13" t="s">
        <v>21423</v>
      </c>
      <c r="F902" s="13" t="s">
        <v>5540</v>
      </c>
      <c r="G902" s="13" t="s">
        <v>4886</v>
      </c>
    </row>
    <row r="903" ht="12.75" customHeight="1">
      <c r="A903" s="13" t="s">
        <v>144</v>
      </c>
      <c r="B903" s="13" t="s">
        <v>21428</v>
      </c>
      <c r="C903" s="13" t="s">
        <v>21437</v>
      </c>
      <c r="D903" s="2" t="s">
        <v>0</v>
      </c>
      <c r="E903" s="13" t="s">
        <v>21439</v>
      </c>
      <c r="F903" s="13" t="s">
        <v>5540</v>
      </c>
      <c r="G903" s="13" t="s">
        <v>4864</v>
      </c>
    </row>
    <row r="904" ht="12.75" customHeight="1">
      <c r="A904" s="13" t="s">
        <v>141</v>
      </c>
      <c r="B904" s="13" t="s">
        <v>21444</v>
      </c>
      <c r="C904" s="13" t="s">
        <v>21454</v>
      </c>
      <c r="D904" s="2" t="s">
        <v>0</v>
      </c>
      <c r="E904" s="13" t="s">
        <v>21456</v>
      </c>
      <c r="F904" s="13" t="s">
        <v>5540</v>
      </c>
      <c r="G904" s="13" t="s">
        <v>5083</v>
      </c>
    </row>
    <row r="905" ht="12.75" customHeight="1">
      <c r="A905" s="2" t="s">
        <v>137</v>
      </c>
      <c r="B905" s="13" t="s">
        <v>21461</v>
      </c>
      <c r="C905" s="13" t="s">
        <v>21471</v>
      </c>
      <c r="D905" s="2" t="s">
        <v>0</v>
      </c>
      <c r="E905" s="13" t="s">
        <v>21473</v>
      </c>
      <c r="F905" s="13" t="s">
        <v>5540</v>
      </c>
      <c r="G905" s="13" t="s">
        <v>4864</v>
      </c>
    </row>
    <row r="906" ht="12.75" customHeight="1">
      <c r="A906" s="13" t="s">
        <v>135</v>
      </c>
      <c r="B906" s="13" t="s">
        <v>21477</v>
      </c>
      <c r="C906" s="13" t="s">
        <v>21488</v>
      </c>
      <c r="D906" s="2" t="s">
        <v>0</v>
      </c>
      <c r="E906" s="13" t="s">
        <v>21490</v>
      </c>
      <c r="F906" s="13" t="s">
        <v>5540</v>
      </c>
      <c r="G906" s="13" t="s">
        <v>4864</v>
      </c>
    </row>
    <row r="907" ht="12.75" customHeight="1">
      <c r="A907" s="13" t="s">
        <v>131</v>
      </c>
      <c r="B907" s="13" t="s">
        <v>21495</v>
      </c>
      <c r="C907" s="13" t="s">
        <v>21505</v>
      </c>
      <c r="D907" s="2" t="s">
        <v>0</v>
      </c>
      <c r="E907" s="13" t="s">
        <v>21507</v>
      </c>
      <c r="F907" s="13" t="s">
        <v>5540</v>
      </c>
      <c r="G907" s="13" t="s">
        <v>4864</v>
      </c>
    </row>
    <row r="908" ht="12.75" customHeight="1">
      <c r="A908" s="13" t="s">
        <v>128</v>
      </c>
      <c r="B908" s="13" t="s">
        <v>21512</v>
      </c>
      <c r="C908" s="13" t="s">
        <v>21522</v>
      </c>
      <c r="D908" s="2" t="s">
        <v>0</v>
      </c>
      <c r="E908" s="13" t="s">
        <v>21524</v>
      </c>
      <c r="F908" s="13" t="s">
        <v>5540</v>
      </c>
      <c r="G908" s="13" t="s">
        <v>4856</v>
      </c>
    </row>
    <row r="909" ht="12.75" customHeight="1">
      <c r="A909" s="13" t="s">
        <v>124</v>
      </c>
      <c r="B909" s="13" t="s">
        <v>21529</v>
      </c>
      <c r="C909" s="13" t="s">
        <v>21539</v>
      </c>
      <c r="D909" s="2" t="s">
        <v>0</v>
      </c>
      <c r="E909" s="13" t="s">
        <v>21541</v>
      </c>
      <c r="F909" s="13" t="s">
        <v>5540</v>
      </c>
      <c r="G909" s="13" t="s">
        <v>4856</v>
      </c>
    </row>
    <row r="910" ht="12.75" customHeight="1">
      <c r="A910" s="13" t="s">
        <v>120</v>
      </c>
      <c r="B910" s="13" t="s">
        <v>21546</v>
      </c>
      <c r="C910" s="13" t="s">
        <v>21553</v>
      </c>
      <c r="D910" s="2" t="s">
        <v>0</v>
      </c>
      <c r="E910" s="13" t="s">
        <v>21555</v>
      </c>
      <c r="F910" s="13" t="s">
        <v>5540</v>
      </c>
      <c r="G910" s="13" t="s">
        <v>4856</v>
      </c>
    </row>
    <row r="911" ht="12.75" customHeight="1">
      <c r="A911" s="2" t="s">
        <v>120</v>
      </c>
      <c r="B911" s="13" t="s">
        <v>5510</v>
      </c>
      <c r="C911" s="13" t="s">
        <v>21562</v>
      </c>
      <c r="D911" s="2" t="s">
        <v>0</v>
      </c>
      <c r="E911" s="13" t="s">
        <v>21564</v>
      </c>
      <c r="F911" s="13" t="s">
        <v>5540</v>
      </c>
      <c r="G911" s="13" t="s">
        <v>4856</v>
      </c>
    </row>
    <row r="912" ht="12.75" customHeight="1">
      <c r="A912" s="13" t="s">
        <v>116</v>
      </c>
      <c r="B912" s="13" t="s">
        <v>21568</v>
      </c>
      <c r="C912" s="13" t="s">
        <v>21574</v>
      </c>
      <c r="D912" s="2" t="s">
        <v>0</v>
      </c>
      <c r="E912" s="13" t="s">
        <v>21576</v>
      </c>
      <c r="F912" s="13" t="s">
        <v>5540</v>
      </c>
      <c r="G912" s="13" t="s">
        <v>4864</v>
      </c>
    </row>
    <row r="913" ht="12.75" customHeight="1">
      <c r="A913" s="13" t="s">
        <v>21579</v>
      </c>
      <c r="B913" s="13" t="s">
        <v>21582</v>
      </c>
      <c r="C913" s="13" t="s">
        <v>21591</v>
      </c>
      <c r="D913" s="2" t="s">
        <v>0</v>
      </c>
      <c r="E913" s="13" t="s">
        <v>21593</v>
      </c>
      <c r="F913" s="13" t="s">
        <v>5540</v>
      </c>
      <c r="G913" s="13" t="s">
        <v>4856</v>
      </c>
    </row>
    <row r="914" ht="12.75" customHeight="1">
      <c r="A914" s="13" t="s">
        <v>21596</v>
      </c>
      <c r="B914" s="13" t="s">
        <v>21597</v>
      </c>
      <c r="C914" s="13" t="str">
        <f>#REF!</f>
        <v>#REF!</v>
      </c>
      <c r="D914" s="2" t="s">
        <v>0</v>
      </c>
      <c r="E914" s="13" t="s">
        <v>21600</v>
      </c>
      <c r="F914" s="13" t="s">
        <v>5540</v>
      </c>
      <c r="G914" s="13" t="s">
        <v>4852</v>
      </c>
    </row>
    <row r="915" ht="12.75" customHeight="1">
      <c r="A915" s="13" t="s">
        <v>100</v>
      </c>
      <c r="B915" s="13" t="s">
        <v>21604</v>
      </c>
      <c r="C915" s="13" t="s">
        <v>21608</v>
      </c>
      <c r="D915" s="2" t="s">
        <v>0</v>
      </c>
      <c r="E915" s="13" t="s">
        <v>21610</v>
      </c>
      <c r="F915" s="13" t="s">
        <v>5540</v>
      </c>
      <c r="G915" s="13" t="s">
        <v>4864</v>
      </c>
    </row>
    <row r="916" ht="12.75" customHeight="1">
      <c r="A916" s="13" t="s">
        <v>21612</v>
      </c>
      <c r="B916" s="13" t="s">
        <v>21615</v>
      </c>
      <c r="C916" s="13" t="s">
        <v>21624</v>
      </c>
      <c r="D916" s="2" t="s">
        <v>0</v>
      </c>
      <c r="E916" s="13" t="s">
        <v>21626</v>
      </c>
      <c r="F916" s="13" t="s">
        <v>5540</v>
      </c>
      <c r="G916" s="13" t="s">
        <v>4856</v>
      </c>
    </row>
    <row r="917" ht="12.75" customHeight="1">
      <c r="A917" s="13" t="s">
        <v>21629</v>
      </c>
      <c r="B917" s="13" t="s">
        <v>21632</v>
      </c>
      <c r="C917" s="13" t="s">
        <v>21641</v>
      </c>
      <c r="D917" s="2" t="s">
        <v>0</v>
      </c>
      <c r="E917" s="13" t="s">
        <v>21643</v>
      </c>
      <c r="F917" s="13" t="s">
        <v>5540</v>
      </c>
      <c r="G917" s="13" t="s">
        <v>4852</v>
      </c>
    </row>
    <row r="918" ht="12.75" customHeight="1">
      <c r="A918" s="13" t="s">
        <v>21646</v>
      </c>
      <c r="B918" s="13" t="s">
        <v>21649</v>
      </c>
      <c r="C918" s="13" t="s">
        <v>21661</v>
      </c>
      <c r="D918" s="2" t="s">
        <v>0</v>
      </c>
      <c r="E918" s="13" t="s">
        <v>21665</v>
      </c>
      <c r="F918" s="13" t="s">
        <v>5540</v>
      </c>
      <c r="G918" s="13" t="s">
        <v>4852</v>
      </c>
    </row>
    <row r="919" ht="12.75" customHeight="1">
      <c r="A919" s="13" t="s">
        <v>86</v>
      </c>
      <c r="B919" s="13" t="s">
        <v>21670</v>
      </c>
      <c r="C919" s="13" t="s">
        <v>21680</v>
      </c>
      <c r="D919" s="2" t="s">
        <v>0</v>
      </c>
      <c r="E919" s="13" t="s">
        <v>21681</v>
      </c>
      <c r="F919" s="13" t="s">
        <v>5540</v>
      </c>
      <c r="G919" s="13" t="s">
        <v>4856</v>
      </c>
    </row>
    <row r="920" ht="12.75" customHeight="1">
      <c r="A920" s="13" t="s">
        <v>84</v>
      </c>
      <c r="B920" s="13" t="s">
        <v>21686</v>
      </c>
      <c r="C920" s="13" t="s">
        <v>21697</v>
      </c>
      <c r="D920" s="2" t="s">
        <v>0</v>
      </c>
      <c r="E920" s="13" t="s">
        <v>21699</v>
      </c>
      <c r="F920" s="13" t="s">
        <v>5540</v>
      </c>
      <c r="G920" s="13" t="s">
        <v>4856</v>
      </c>
    </row>
    <row r="921" ht="12.75" customHeight="1">
      <c r="A921" s="13" t="s">
        <v>80</v>
      </c>
      <c r="B921" s="13" t="s">
        <v>21704</v>
      </c>
      <c r="C921" s="13" t="s">
        <v>21715</v>
      </c>
      <c r="D921" s="2" t="s">
        <v>0</v>
      </c>
      <c r="E921" s="13" t="s">
        <v>21717</v>
      </c>
      <c r="F921" s="13" t="s">
        <v>5540</v>
      </c>
      <c r="G921" s="13" t="s">
        <v>4864</v>
      </c>
    </row>
    <row r="922" ht="12.75" customHeight="1">
      <c r="A922" s="13" t="s">
        <v>77</v>
      </c>
      <c r="B922" s="13" t="s">
        <v>21721</v>
      </c>
      <c r="C922" s="13" t="s">
        <v>21730</v>
      </c>
      <c r="D922" s="2" t="s">
        <v>0</v>
      </c>
      <c r="E922" s="13" t="s">
        <v>21731</v>
      </c>
      <c r="F922" s="13" t="s">
        <v>5540</v>
      </c>
      <c r="G922" s="13" t="s">
        <v>4856</v>
      </c>
    </row>
    <row r="923" ht="12.75" customHeight="1">
      <c r="A923" s="13" t="s">
        <v>73</v>
      </c>
      <c r="B923" s="13" t="s">
        <v>21736</v>
      </c>
      <c r="C923" s="13" t="s">
        <v>21745</v>
      </c>
      <c r="D923" s="2" t="s">
        <v>0</v>
      </c>
      <c r="E923" s="13" t="s">
        <v>21747</v>
      </c>
      <c r="F923" s="13" t="s">
        <v>5540</v>
      </c>
      <c r="G923" s="13" t="s">
        <v>4864</v>
      </c>
    </row>
    <row r="924" ht="12.75" customHeight="1">
      <c r="A924" s="13" t="s">
        <v>21750</v>
      </c>
      <c r="B924" s="13" t="s">
        <v>21753</v>
      </c>
      <c r="C924" s="13" t="s">
        <v>21759</v>
      </c>
      <c r="D924" s="2" t="s">
        <v>0</v>
      </c>
      <c r="E924" s="13" t="s">
        <v>21761</v>
      </c>
      <c r="F924" s="13" t="s">
        <v>5540</v>
      </c>
      <c r="G924" s="13" t="s">
        <v>4864</v>
      </c>
    </row>
    <row r="925" ht="12.75" customHeight="1">
      <c r="A925" s="13" t="s">
        <v>66</v>
      </c>
      <c r="B925" s="13" t="s">
        <v>21766</v>
      </c>
      <c r="C925" s="13" t="s">
        <v>21776</v>
      </c>
      <c r="D925" s="2" t="s">
        <v>0</v>
      </c>
      <c r="E925" s="13" t="s">
        <v>21778</v>
      </c>
      <c r="F925" s="13" t="s">
        <v>9118</v>
      </c>
      <c r="G925" s="13" t="s">
        <v>4856</v>
      </c>
    </row>
    <row r="926" ht="12.75" customHeight="1">
      <c r="A926" s="13" t="s">
        <v>63</v>
      </c>
      <c r="B926" s="13" t="s">
        <v>21783</v>
      </c>
      <c r="C926" s="13" t="s">
        <v>21788</v>
      </c>
      <c r="D926" s="2" t="s">
        <v>0</v>
      </c>
      <c r="E926" s="13" t="s">
        <v>21790</v>
      </c>
      <c r="F926" s="13" t="s">
        <v>5540</v>
      </c>
      <c r="G926" s="13" t="s">
        <v>4856</v>
      </c>
    </row>
    <row r="927" ht="12.75" customHeight="1">
      <c r="A927" s="13" t="s">
        <v>21793</v>
      </c>
      <c r="B927" s="13" t="s">
        <v>21796</v>
      </c>
      <c r="C927" s="13" t="s">
        <v>21804</v>
      </c>
      <c r="D927" s="2" t="s">
        <v>0</v>
      </c>
      <c r="E927" s="13" t="s">
        <v>21806</v>
      </c>
      <c r="F927" s="13" t="s">
        <v>5540</v>
      </c>
      <c r="G927" s="13" t="s">
        <v>4856</v>
      </c>
    </row>
    <row r="928" ht="12.75" customHeight="1">
      <c r="A928" s="13" t="s">
        <v>55</v>
      </c>
      <c r="B928" s="13" t="s">
        <v>21811</v>
      </c>
      <c r="C928" s="13" t="s">
        <v>21820</v>
      </c>
      <c r="D928" s="2" t="s">
        <v>0</v>
      </c>
      <c r="E928" s="13" t="s">
        <v>21822</v>
      </c>
      <c r="F928" s="13" t="s">
        <v>5540</v>
      </c>
      <c r="G928" s="13" t="s">
        <v>4864</v>
      </c>
    </row>
    <row r="929" ht="12.75" customHeight="1">
      <c r="A929" s="13" t="s">
        <v>52</v>
      </c>
      <c r="B929" s="13" t="s">
        <v>21827</v>
      </c>
      <c r="C929" s="13" t="s">
        <v>21836</v>
      </c>
      <c r="D929" s="2" t="s">
        <v>0</v>
      </c>
      <c r="E929" s="13" t="s">
        <v>21838</v>
      </c>
      <c r="F929" s="13" t="s">
        <v>5540</v>
      </c>
      <c r="G929" s="13" t="s">
        <v>4856</v>
      </c>
    </row>
    <row r="930" ht="12.75" customHeight="1">
      <c r="A930" s="13" t="s">
        <v>48</v>
      </c>
      <c r="B930" s="13" t="s">
        <v>21843</v>
      </c>
      <c r="C930" s="13" t="s">
        <v>21853</v>
      </c>
      <c r="D930" s="2" t="s">
        <v>0</v>
      </c>
      <c r="E930" s="13" t="s">
        <v>21855</v>
      </c>
      <c r="F930" s="13" t="s">
        <v>5540</v>
      </c>
      <c r="G930" s="13" t="s">
        <v>4852</v>
      </c>
    </row>
    <row r="931" ht="12.75" customHeight="1">
      <c r="A931" s="13" t="s">
        <v>45</v>
      </c>
      <c r="B931" s="13" t="s">
        <v>21859</v>
      </c>
      <c r="C931" s="13" t="s">
        <v>21870</v>
      </c>
      <c r="D931" s="2" t="s">
        <v>0</v>
      </c>
      <c r="E931" s="13" t="s">
        <v>21872</v>
      </c>
      <c r="F931" s="13" t="s">
        <v>5540</v>
      </c>
      <c r="G931" s="13" t="s">
        <v>4856</v>
      </c>
    </row>
    <row r="932" ht="12.75" customHeight="1">
      <c r="A932" s="13" t="s">
        <v>35</v>
      </c>
      <c r="B932" s="13" t="s">
        <v>21876</v>
      </c>
      <c r="C932" s="13" t="s">
        <v>21887</v>
      </c>
      <c r="D932" s="2" t="s">
        <v>0</v>
      </c>
      <c r="E932" s="13" t="s">
        <v>21889</v>
      </c>
      <c r="F932" s="13" t="s">
        <v>5540</v>
      </c>
      <c r="G932" s="13" t="s">
        <v>4856</v>
      </c>
    </row>
    <row r="933" ht="12.75" customHeight="1">
      <c r="A933" s="2" t="s">
        <v>31</v>
      </c>
      <c r="B933" s="13" t="s">
        <v>21894</v>
      </c>
      <c r="C933" s="13" t="s">
        <v>21902</v>
      </c>
      <c r="D933" s="2" t="s">
        <v>0</v>
      </c>
      <c r="E933" s="13" t="s">
        <v>21904</v>
      </c>
      <c r="F933" s="13" t="s">
        <v>5540</v>
      </c>
      <c r="G933" s="13" t="s">
        <v>4864</v>
      </c>
    </row>
    <row r="934" ht="12.75" customHeight="1">
      <c r="A934" s="13" t="s">
        <v>26</v>
      </c>
      <c r="B934" s="13" t="s">
        <v>21908</v>
      </c>
      <c r="C934" s="13" t="s">
        <v>21918</v>
      </c>
      <c r="D934" s="2" t="s">
        <v>0</v>
      </c>
      <c r="E934" s="13" t="s">
        <v>21920</v>
      </c>
      <c r="F934" s="13" t="s">
        <v>5540</v>
      </c>
      <c r="G934" s="13" t="s">
        <v>4864</v>
      </c>
    </row>
  </sheetData>
  <autoFilter ref="$A$1:$I$934">
    <sortState ref="A1:I934">
      <sortCondition descending="1" ref="C1:C934"/>
    </sortState>
  </autoFilter>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B2" s="2" t="s">
        <v>21921</v>
      </c>
    </row>
    <row r="4">
      <c r="B4" s="2" t="s">
        <v>21922</v>
      </c>
    </row>
    <row r="5">
      <c r="B5" s="2" t="s">
        <v>21923</v>
      </c>
    </row>
    <row r="6">
      <c r="B6" s="2" t="s">
        <v>21924</v>
      </c>
    </row>
    <row r="7">
      <c r="B7" s="2" t="s">
        <v>21925</v>
      </c>
    </row>
    <row r="8">
      <c r="B8" s="2" t="s">
        <v>21926</v>
      </c>
    </row>
    <row r="9">
      <c r="B9" s="2" t="s">
        <v>21927</v>
      </c>
    </row>
    <row r="10">
      <c r="B10" s="2" t="s">
        <v>21928</v>
      </c>
    </row>
    <row r="11">
      <c r="B11" s="2" t="s">
        <v>21929</v>
      </c>
    </row>
    <row r="12">
      <c r="B12" s="2" t="s">
        <v>21930</v>
      </c>
    </row>
    <row r="13">
      <c r="B13" s="2" t="s">
        <v>21931</v>
      </c>
    </row>
    <row r="14">
      <c r="B14" s="2" t="s">
        <v>21932</v>
      </c>
    </row>
    <row r="15">
      <c r="B15" s="2" t="s">
        <v>21933</v>
      </c>
    </row>
    <row r="16">
      <c r="B16" s="2" t="s">
        <v>21934</v>
      </c>
    </row>
    <row r="17">
      <c r="B17" s="2" t="s">
        <v>21935</v>
      </c>
    </row>
    <row r="18">
      <c r="B18" s="2" t="s">
        <v>21936</v>
      </c>
    </row>
    <row r="19">
      <c r="B19" s="2" t="s">
        <v>21937</v>
      </c>
    </row>
    <row r="20">
      <c r="B20" s="2" t="s">
        <v>21938</v>
      </c>
    </row>
    <row r="21">
      <c r="B21" s="2" t="s">
        <v>21939</v>
      </c>
    </row>
    <row r="22">
      <c r="B22" s="2" t="s">
        <v>21940</v>
      </c>
    </row>
    <row r="23">
      <c r="B23" s="2" t="s">
        <v>21941</v>
      </c>
    </row>
    <row r="24">
      <c r="B24" s="2" t="s">
        <v>21942</v>
      </c>
    </row>
    <row r="25">
      <c r="B25" s="2" t="s">
        <v>21943</v>
      </c>
    </row>
    <row r="26">
      <c r="B26" s="2" t="s">
        <v>21944</v>
      </c>
    </row>
    <row r="27">
      <c r="B27" s="2" t="s">
        <v>21945</v>
      </c>
    </row>
    <row r="28">
      <c r="B28" s="2" t="s">
        <v>21946</v>
      </c>
    </row>
    <row r="29">
      <c r="B29" s="2" t="s">
        <v>21947</v>
      </c>
    </row>
    <row r="30">
      <c r="B30" s="2" t="s">
        <v>21948</v>
      </c>
    </row>
    <row r="31">
      <c r="B31" s="2" t="s">
        <v>21949</v>
      </c>
    </row>
    <row r="32">
      <c r="B32" s="2" t="s">
        <v>21950</v>
      </c>
    </row>
    <row r="33">
      <c r="B33" s="2" t="s">
        <v>21951</v>
      </c>
    </row>
    <row r="34">
      <c r="B34" s="2" t="s">
        <v>21952</v>
      </c>
    </row>
    <row r="35">
      <c r="B35" s="2" t="s">
        <v>21953</v>
      </c>
    </row>
    <row r="36">
      <c r="B36" s="2" t="s">
        <v>21954</v>
      </c>
    </row>
    <row r="37">
      <c r="B37" s="2" t="s">
        <v>21955</v>
      </c>
    </row>
    <row r="38">
      <c r="B38" s="2" t="s">
        <v>21956</v>
      </c>
    </row>
    <row r="39">
      <c r="B39" s="2" t="s">
        <v>21957</v>
      </c>
    </row>
    <row r="40">
      <c r="B40" s="2" t="s">
        <v>21958</v>
      </c>
    </row>
    <row r="41">
      <c r="B41" s="2" t="s">
        <v>21959</v>
      </c>
    </row>
    <row r="42">
      <c r="B42" s="2" t="s">
        <v>21960</v>
      </c>
    </row>
    <row r="43">
      <c r="B43" s="2" t="s">
        <v>21961</v>
      </c>
    </row>
    <row r="44">
      <c r="B44" s="2" t="s">
        <v>21962</v>
      </c>
    </row>
    <row r="45">
      <c r="B45" s="2" t="s">
        <v>21963</v>
      </c>
    </row>
    <row r="46">
      <c r="B46" s="2" t="s">
        <v>21964</v>
      </c>
    </row>
    <row r="47">
      <c r="B47" s="2" t="s">
        <v>21965</v>
      </c>
    </row>
    <row r="48">
      <c r="B48" s="2" t="s">
        <v>21966</v>
      </c>
    </row>
    <row r="49">
      <c r="B49" s="2" t="s">
        <v>21967</v>
      </c>
    </row>
    <row r="50">
      <c r="B50" s="2" t="s">
        <v>21968</v>
      </c>
    </row>
    <row r="51">
      <c r="B51" s="2" t="s">
        <v>21969</v>
      </c>
    </row>
    <row r="52">
      <c r="B52" s="2" t="s">
        <v>21970</v>
      </c>
    </row>
    <row r="53">
      <c r="B53" s="2" t="s">
        <v>21971</v>
      </c>
    </row>
    <row r="54">
      <c r="B54" s="2" t="s">
        <v>21972</v>
      </c>
    </row>
    <row r="55">
      <c r="B55" s="2" t="s">
        <v>21973</v>
      </c>
    </row>
    <row r="56">
      <c r="B56" s="2" t="s">
        <v>21974</v>
      </c>
    </row>
    <row r="57">
      <c r="B57" s="2" t="s">
        <v>21975</v>
      </c>
    </row>
    <row r="58">
      <c r="B58" s="2" t="s">
        <v>21976</v>
      </c>
    </row>
    <row r="59">
      <c r="B59" s="2" t="s">
        <v>21977</v>
      </c>
    </row>
    <row r="60">
      <c r="B60" s="2" t="s">
        <v>21978</v>
      </c>
    </row>
    <row r="61">
      <c r="B61" s="2" t="s">
        <v>21979</v>
      </c>
    </row>
    <row r="62">
      <c r="B62" s="2" t="s">
        <v>21980</v>
      </c>
    </row>
    <row r="63">
      <c r="B63" s="2" t="s">
        <v>21981</v>
      </c>
    </row>
    <row r="64">
      <c r="B64" s="2" t="s">
        <v>21982</v>
      </c>
    </row>
    <row r="65">
      <c r="B65" s="2" t="s">
        <v>21983</v>
      </c>
    </row>
    <row r="66">
      <c r="B66" s="2" t="s">
        <v>21984</v>
      </c>
    </row>
    <row r="67">
      <c r="B67" s="2" t="s">
        <v>21985</v>
      </c>
    </row>
    <row r="68">
      <c r="B68" s="2" t="s">
        <v>21986</v>
      </c>
    </row>
    <row r="69">
      <c r="B69" s="2" t="s">
        <v>21987</v>
      </c>
    </row>
    <row r="70">
      <c r="B70" s="2" t="s">
        <v>21988</v>
      </c>
    </row>
    <row r="71">
      <c r="B71" s="2" t="s">
        <v>21989</v>
      </c>
    </row>
    <row r="72">
      <c r="B72" s="2" t="s">
        <v>21990</v>
      </c>
    </row>
    <row r="73">
      <c r="B73" s="2" t="s">
        <v>21991</v>
      </c>
    </row>
    <row r="74">
      <c r="B74" s="2" t="s">
        <v>21992</v>
      </c>
    </row>
    <row r="75">
      <c r="B75" s="2" t="s">
        <v>21993</v>
      </c>
    </row>
    <row r="76">
      <c r="B76" s="2" t="s">
        <v>21994</v>
      </c>
    </row>
    <row r="77">
      <c r="B77" s="2" t="s">
        <v>21995</v>
      </c>
    </row>
    <row r="78">
      <c r="B78" s="2" t="s">
        <v>21996</v>
      </c>
    </row>
    <row r="79">
      <c r="B79" s="2" t="s">
        <v>21997</v>
      </c>
    </row>
    <row r="80">
      <c r="B80" s="2" t="s">
        <v>21998</v>
      </c>
    </row>
    <row r="81">
      <c r="B81" s="2" t="s">
        <v>21999</v>
      </c>
    </row>
    <row r="82">
      <c r="B82" s="2" t="s">
        <v>22000</v>
      </c>
    </row>
    <row r="83">
      <c r="B83" s="2" t="s">
        <v>22001</v>
      </c>
    </row>
    <row r="84">
      <c r="B84" s="2" t="s">
        <v>22002</v>
      </c>
    </row>
    <row r="85">
      <c r="B85" s="2" t="s">
        <v>22003</v>
      </c>
    </row>
    <row r="86">
      <c r="B86" s="2" t="s">
        <v>22004</v>
      </c>
    </row>
    <row r="87">
      <c r="B87" s="2" t="s">
        <v>22005</v>
      </c>
    </row>
    <row r="88">
      <c r="B88" s="2" t="s">
        <v>22006</v>
      </c>
    </row>
    <row r="89">
      <c r="B89" s="2" t="s">
        <v>22007</v>
      </c>
    </row>
    <row r="90">
      <c r="B90" s="2" t="s">
        <v>22008</v>
      </c>
    </row>
    <row r="91">
      <c r="B91" s="2" t="s">
        <v>22009</v>
      </c>
    </row>
    <row r="92">
      <c r="B92" s="2" t="s">
        <v>22010</v>
      </c>
    </row>
    <row r="93">
      <c r="B93" s="2" t="s">
        <v>22011</v>
      </c>
    </row>
    <row r="94">
      <c r="B94" s="2" t="s">
        <v>22012</v>
      </c>
    </row>
    <row r="95">
      <c r="B95" s="2" t="s">
        <v>22013</v>
      </c>
    </row>
    <row r="96">
      <c r="B96" s="2" t="s">
        <v>22014</v>
      </c>
    </row>
    <row r="97">
      <c r="B97" s="2" t="s">
        <v>22015</v>
      </c>
    </row>
    <row r="98">
      <c r="B98" s="2" t="s">
        <v>22016</v>
      </c>
    </row>
    <row r="99">
      <c r="B99" s="2" t="s">
        <v>22017</v>
      </c>
    </row>
    <row r="100">
      <c r="B100" s="2" t="s">
        <v>22018</v>
      </c>
    </row>
    <row r="101">
      <c r="B101" s="2" t="s">
        <v>22019</v>
      </c>
    </row>
    <row r="102">
      <c r="B102" s="2" t="s">
        <v>22020</v>
      </c>
    </row>
    <row r="103">
      <c r="B103" s="2" t="s">
        <v>22021</v>
      </c>
    </row>
    <row r="104">
      <c r="B104" s="2" t="s">
        <v>22022</v>
      </c>
    </row>
    <row r="105">
      <c r="B105" s="2" t="s">
        <v>22023</v>
      </c>
    </row>
    <row r="106">
      <c r="B106" s="2" t="s">
        <v>22024</v>
      </c>
    </row>
    <row r="107">
      <c r="B107" s="2" t="s">
        <v>22025</v>
      </c>
    </row>
    <row r="108">
      <c r="B108" s="2" t="s">
        <v>22026</v>
      </c>
    </row>
    <row r="109">
      <c r="B109" s="2" t="s">
        <v>22027</v>
      </c>
    </row>
    <row r="110">
      <c r="B110" s="2" t="s">
        <v>22028</v>
      </c>
    </row>
    <row r="111">
      <c r="B111" s="2" t="s">
        <v>22029</v>
      </c>
    </row>
    <row r="112">
      <c r="B112" s="2" t="s">
        <v>22030</v>
      </c>
    </row>
    <row r="113">
      <c r="B113" s="2" t="s">
        <v>22031</v>
      </c>
    </row>
    <row r="114">
      <c r="B114" s="2" t="s">
        <v>22032</v>
      </c>
    </row>
    <row r="115">
      <c r="B115" s="2" t="s">
        <v>22033</v>
      </c>
    </row>
    <row r="116">
      <c r="B116" s="2" t="s">
        <v>22034</v>
      </c>
    </row>
    <row r="117">
      <c r="B117" s="2" t="s">
        <v>22035</v>
      </c>
    </row>
    <row r="118">
      <c r="B118" s="2" t="s">
        <v>22036</v>
      </c>
    </row>
    <row r="119">
      <c r="B119" s="2" t="s">
        <v>22037</v>
      </c>
    </row>
    <row r="120">
      <c r="B120" s="2" t="s">
        <v>22038</v>
      </c>
    </row>
    <row r="121">
      <c r="B121" s="2" t="s">
        <v>22039</v>
      </c>
    </row>
    <row r="122">
      <c r="B122" s="2" t="s">
        <v>22040</v>
      </c>
    </row>
    <row r="123">
      <c r="B123" s="2" t="s">
        <v>22041</v>
      </c>
    </row>
    <row r="124">
      <c r="B124" s="2" t="s">
        <v>22042</v>
      </c>
    </row>
    <row r="125">
      <c r="B125" s="2" t="s">
        <v>22043</v>
      </c>
    </row>
    <row r="126">
      <c r="B126" s="2" t="s">
        <v>22044</v>
      </c>
    </row>
    <row r="127">
      <c r="B127" s="2" t="s">
        <v>22045</v>
      </c>
    </row>
    <row r="128">
      <c r="B128" s="2" t="s">
        <v>22046</v>
      </c>
    </row>
    <row r="129">
      <c r="B129" s="2" t="s">
        <v>22047</v>
      </c>
    </row>
    <row r="130">
      <c r="B130" s="2" t="s">
        <v>22048</v>
      </c>
    </row>
    <row r="131">
      <c r="B131" s="2" t="s">
        <v>22049</v>
      </c>
    </row>
    <row r="132">
      <c r="B132" s="2" t="s">
        <v>22050</v>
      </c>
    </row>
    <row r="133">
      <c r="B133" s="2" t="s">
        <v>22051</v>
      </c>
    </row>
    <row r="134">
      <c r="B134" s="2" t="s">
        <v>22052</v>
      </c>
    </row>
    <row r="135">
      <c r="B135" s="2" t="s">
        <v>22053</v>
      </c>
    </row>
    <row r="136">
      <c r="B136" s="2" t="s">
        <v>22054</v>
      </c>
    </row>
    <row r="137">
      <c r="B137" s="2" t="s">
        <v>22055</v>
      </c>
    </row>
    <row r="138">
      <c r="B138" s="2" t="s">
        <v>22056</v>
      </c>
    </row>
    <row r="139">
      <c r="B139" s="2" t="s">
        <v>22057</v>
      </c>
    </row>
    <row r="140">
      <c r="B140" s="2" t="s">
        <v>22058</v>
      </c>
    </row>
    <row r="141">
      <c r="B141" s="2" t="s">
        <v>22059</v>
      </c>
    </row>
    <row r="142">
      <c r="B142" s="2" t="s">
        <v>22060</v>
      </c>
    </row>
    <row r="143">
      <c r="B143" s="2" t="s">
        <v>22061</v>
      </c>
    </row>
    <row r="144">
      <c r="B144" s="2" t="s">
        <v>22062</v>
      </c>
    </row>
    <row r="145">
      <c r="B145" s="2" t="s">
        <v>22063</v>
      </c>
    </row>
    <row r="146">
      <c r="B146" s="2" t="s">
        <v>22064</v>
      </c>
    </row>
    <row r="147">
      <c r="B147" s="2" t="s">
        <v>22065</v>
      </c>
    </row>
    <row r="148">
      <c r="B148" s="2" t="s">
        <v>22066</v>
      </c>
    </row>
    <row r="149">
      <c r="B149" s="2" t="s">
        <v>22067</v>
      </c>
    </row>
    <row r="150">
      <c r="B150" s="2" t="s">
        <v>22068</v>
      </c>
    </row>
    <row r="151">
      <c r="B151" s="2" t="s">
        <v>22069</v>
      </c>
    </row>
    <row r="152">
      <c r="B152" s="2" t="s">
        <v>22070</v>
      </c>
    </row>
    <row r="153">
      <c r="B153" s="2" t="s">
        <v>22071</v>
      </c>
    </row>
    <row r="154">
      <c r="B154" s="2" t="s">
        <v>22072</v>
      </c>
    </row>
    <row r="155">
      <c r="B155" s="2" t="s">
        <v>22073</v>
      </c>
    </row>
    <row r="156">
      <c r="B156" s="2" t="s">
        <v>22074</v>
      </c>
    </row>
    <row r="157">
      <c r="B157" s="2" t="s">
        <v>22075</v>
      </c>
    </row>
    <row r="158">
      <c r="B158" s="2" t="s">
        <v>22076</v>
      </c>
    </row>
    <row r="159">
      <c r="B159" s="2" t="s">
        <v>22077</v>
      </c>
    </row>
    <row r="160">
      <c r="B160" s="2" t="s">
        <v>22078</v>
      </c>
    </row>
    <row r="161">
      <c r="B161" s="2" t="s">
        <v>22079</v>
      </c>
    </row>
    <row r="162">
      <c r="B162" s="2" t="s">
        <v>22080</v>
      </c>
    </row>
    <row r="163">
      <c r="B163" s="2" t="s">
        <v>22081</v>
      </c>
    </row>
    <row r="164">
      <c r="B164" s="2" t="s">
        <v>22082</v>
      </c>
    </row>
    <row r="165">
      <c r="B165" s="2" t="s">
        <v>22083</v>
      </c>
    </row>
    <row r="166">
      <c r="B166" s="2" t="s">
        <v>22084</v>
      </c>
    </row>
    <row r="167">
      <c r="B167" s="2" t="s">
        <v>22085</v>
      </c>
    </row>
    <row r="168">
      <c r="B168" s="2" t="s">
        <v>22086</v>
      </c>
    </row>
    <row r="169">
      <c r="B169" s="2" t="s">
        <v>22087</v>
      </c>
    </row>
    <row r="170">
      <c r="B170" s="2" t="s">
        <v>22088</v>
      </c>
    </row>
    <row r="171">
      <c r="B171" s="2" t="s">
        <v>22089</v>
      </c>
    </row>
    <row r="172">
      <c r="B172" s="2" t="s">
        <v>22090</v>
      </c>
    </row>
    <row r="173">
      <c r="B173" s="2" t="s">
        <v>22091</v>
      </c>
    </row>
    <row r="174">
      <c r="B174" s="2" t="s">
        <v>22092</v>
      </c>
    </row>
    <row r="175">
      <c r="B175" s="2" t="s">
        <v>22093</v>
      </c>
    </row>
    <row r="176">
      <c r="B176" s="2" t="s">
        <v>22094</v>
      </c>
    </row>
    <row r="177">
      <c r="B177" s="2" t="s">
        <v>22095</v>
      </c>
    </row>
    <row r="178">
      <c r="B178" s="2" t="s">
        <v>22096</v>
      </c>
    </row>
    <row r="179">
      <c r="B179" s="2" t="s">
        <v>22097</v>
      </c>
    </row>
    <row r="180">
      <c r="B180" s="2" t="s">
        <v>22098</v>
      </c>
    </row>
    <row r="181">
      <c r="B181" s="2" t="s">
        <v>22099</v>
      </c>
    </row>
    <row r="182">
      <c r="B182" s="2" t="s">
        <v>22100</v>
      </c>
    </row>
    <row r="183">
      <c r="B183" s="2" t="s">
        <v>22101</v>
      </c>
    </row>
    <row r="184">
      <c r="B184" s="2" t="s">
        <v>22102</v>
      </c>
    </row>
    <row r="185">
      <c r="B185" s="2" t="s">
        <v>22103</v>
      </c>
    </row>
    <row r="186">
      <c r="B186" s="2" t="s">
        <v>22104</v>
      </c>
    </row>
    <row r="187">
      <c r="B187" s="2" t="s">
        <v>22105</v>
      </c>
    </row>
    <row r="188">
      <c r="B188" s="2" t="s">
        <v>22106</v>
      </c>
    </row>
    <row r="189">
      <c r="B189" s="2" t="s">
        <v>22107</v>
      </c>
    </row>
    <row r="190">
      <c r="B190" s="2" t="s">
        <v>22108</v>
      </c>
    </row>
    <row r="191">
      <c r="B191" s="2" t="s">
        <v>22109</v>
      </c>
    </row>
    <row r="192">
      <c r="B192" s="2" t="s">
        <v>22110</v>
      </c>
    </row>
    <row r="193">
      <c r="B193" s="2" t="s">
        <v>22111</v>
      </c>
    </row>
    <row r="194">
      <c r="B194" s="2" t="s">
        <v>22112</v>
      </c>
    </row>
    <row r="195">
      <c r="B195" s="2" t="s">
        <v>22113</v>
      </c>
    </row>
    <row r="196">
      <c r="B196" s="2" t="s">
        <v>22114</v>
      </c>
    </row>
    <row r="197">
      <c r="B197" s="2" t="s">
        <v>22115</v>
      </c>
    </row>
    <row r="198">
      <c r="B198" s="2" t="s">
        <v>22116</v>
      </c>
    </row>
    <row r="199">
      <c r="B199" s="2" t="s">
        <v>22117</v>
      </c>
    </row>
    <row r="200">
      <c r="B200" s="2" t="s">
        <v>22118</v>
      </c>
    </row>
    <row r="201">
      <c r="B201" s="2" t="s">
        <v>22119</v>
      </c>
    </row>
    <row r="202">
      <c r="B202" s="2" t="s">
        <v>22120</v>
      </c>
    </row>
    <row r="203">
      <c r="B203" s="2" t="s">
        <v>22121</v>
      </c>
    </row>
    <row r="204">
      <c r="B204" s="2" t="s">
        <v>22122</v>
      </c>
    </row>
    <row r="205">
      <c r="B205" s="2" t="s">
        <v>22123</v>
      </c>
    </row>
    <row r="206">
      <c r="B206" s="2" t="s">
        <v>22124</v>
      </c>
    </row>
    <row r="207">
      <c r="B207" s="2" t="s">
        <v>22125</v>
      </c>
    </row>
    <row r="208">
      <c r="B208" s="2" t="s">
        <v>22126</v>
      </c>
    </row>
    <row r="209">
      <c r="B209" s="2" t="s">
        <v>22127</v>
      </c>
    </row>
    <row r="210">
      <c r="B210" s="2" t="s">
        <v>22128</v>
      </c>
    </row>
    <row r="211">
      <c r="B211" s="2" t="s">
        <v>22129</v>
      </c>
    </row>
    <row r="212">
      <c r="B212" s="2" t="s">
        <v>22130</v>
      </c>
    </row>
    <row r="213">
      <c r="B213" s="2" t="s">
        <v>22131</v>
      </c>
    </row>
    <row r="214">
      <c r="B214" s="2" t="s">
        <v>22132</v>
      </c>
    </row>
    <row r="215">
      <c r="B215" s="2" t="s">
        <v>22133</v>
      </c>
    </row>
    <row r="216">
      <c r="B216" s="2" t="s">
        <v>22134</v>
      </c>
    </row>
    <row r="217">
      <c r="B217" s="2" t="s">
        <v>22135</v>
      </c>
    </row>
    <row r="218">
      <c r="B218" s="2" t="s">
        <v>22136</v>
      </c>
    </row>
    <row r="219">
      <c r="B219" s="2" t="s">
        <v>22137</v>
      </c>
    </row>
    <row r="220">
      <c r="B220" s="2" t="s">
        <v>22138</v>
      </c>
    </row>
    <row r="221">
      <c r="B221" s="2" t="s">
        <v>22139</v>
      </c>
    </row>
    <row r="222">
      <c r="B222" s="2" t="s">
        <v>22140</v>
      </c>
    </row>
    <row r="223">
      <c r="B223" s="2" t="s">
        <v>22141</v>
      </c>
    </row>
    <row r="224">
      <c r="B224" s="2" t="s">
        <v>22142</v>
      </c>
    </row>
    <row r="225">
      <c r="B225" s="2" t="s">
        <v>22143</v>
      </c>
    </row>
    <row r="226">
      <c r="B226" s="2" t="s">
        <v>22144</v>
      </c>
    </row>
    <row r="227">
      <c r="B227" s="2" t="s">
        <v>22145</v>
      </c>
    </row>
    <row r="228">
      <c r="B228" s="2" t="s">
        <v>22146</v>
      </c>
    </row>
    <row r="229">
      <c r="B229" s="2" t="s">
        <v>22147</v>
      </c>
    </row>
    <row r="230">
      <c r="B230" s="2" t="s">
        <v>22148</v>
      </c>
    </row>
    <row r="231">
      <c r="B231" s="2" t="s">
        <v>22149</v>
      </c>
    </row>
    <row r="232">
      <c r="B232" s="2" t="s">
        <v>22150</v>
      </c>
    </row>
    <row r="233">
      <c r="B233" s="2" t="s">
        <v>22151</v>
      </c>
    </row>
    <row r="234">
      <c r="B234" s="2" t="s">
        <v>22152</v>
      </c>
    </row>
    <row r="235">
      <c r="B235" s="2" t="s">
        <v>22153</v>
      </c>
    </row>
    <row r="236">
      <c r="B236" s="2" t="s">
        <v>22154</v>
      </c>
    </row>
    <row r="237">
      <c r="B237" s="2" t="s">
        <v>22155</v>
      </c>
    </row>
    <row r="238">
      <c r="B238" s="2" t="s">
        <v>22156</v>
      </c>
    </row>
    <row r="239">
      <c r="B239" s="2" t="s">
        <v>22157</v>
      </c>
    </row>
    <row r="240">
      <c r="B240" s="2" t="s">
        <v>22158</v>
      </c>
    </row>
    <row r="241">
      <c r="B241" s="2" t="s">
        <v>22159</v>
      </c>
    </row>
    <row r="242">
      <c r="B242" s="2" t="s">
        <v>22160</v>
      </c>
    </row>
    <row r="243">
      <c r="B243" s="2" t="s">
        <v>22161</v>
      </c>
    </row>
    <row r="244">
      <c r="B244" s="2" t="s">
        <v>22162</v>
      </c>
    </row>
    <row r="245">
      <c r="B245" s="2" t="s">
        <v>22163</v>
      </c>
    </row>
    <row r="246">
      <c r="B246" s="2" t="s">
        <v>22164</v>
      </c>
    </row>
    <row r="247">
      <c r="B247" s="2" t="s">
        <v>22165</v>
      </c>
    </row>
    <row r="248">
      <c r="B248" s="2" t="s">
        <v>22166</v>
      </c>
    </row>
    <row r="249">
      <c r="B249" s="2" t="s">
        <v>22167</v>
      </c>
    </row>
    <row r="250">
      <c r="B250" s="2" t="s">
        <v>22168</v>
      </c>
    </row>
    <row r="251">
      <c r="B251" s="2" t="s">
        <v>22169</v>
      </c>
    </row>
    <row r="252">
      <c r="B252" s="2" t="s">
        <v>22170</v>
      </c>
    </row>
    <row r="253">
      <c r="B253" s="2" t="s">
        <v>22171</v>
      </c>
    </row>
    <row r="254">
      <c r="B254" s="2" t="s">
        <v>22172</v>
      </c>
    </row>
    <row r="255">
      <c r="B255" s="2" t="s">
        <v>22173</v>
      </c>
    </row>
    <row r="256">
      <c r="B256" s="2" t="s">
        <v>22174</v>
      </c>
    </row>
    <row r="257">
      <c r="B257" s="2" t="s">
        <v>22175</v>
      </c>
    </row>
    <row r="258">
      <c r="B258" s="2" t="s">
        <v>22176</v>
      </c>
    </row>
    <row r="259">
      <c r="B259" s="2" t="s">
        <v>22177</v>
      </c>
    </row>
    <row r="260">
      <c r="B260" s="2" t="s">
        <v>22178</v>
      </c>
    </row>
    <row r="261">
      <c r="B261" s="2" t="s">
        <v>22179</v>
      </c>
    </row>
    <row r="262">
      <c r="B262" s="2" t="s">
        <v>22180</v>
      </c>
    </row>
    <row r="263">
      <c r="B263" s="2" t="s">
        <v>22181</v>
      </c>
    </row>
    <row r="264">
      <c r="B264" s="2" t="s">
        <v>22182</v>
      </c>
    </row>
    <row r="265">
      <c r="B265" s="2" t="s">
        <v>22183</v>
      </c>
    </row>
    <row r="266">
      <c r="B266" s="2" t="s">
        <v>22184</v>
      </c>
    </row>
    <row r="267">
      <c r="B267" s="2" t="s">
        <v>22185</v>
      </c>
    </row>
    <row r="268">
      <c r="B268" s="2" t="s">
        <v>22186</v>
      </c>
    </row>
    <row r="269">
      <c r="B269" s="2" t="s">
        <v>22187</v>
      </c>
    </row>
    <row r="270">
      <c r="B270" s="2" t="s">
        <v>22188</v>
      </c>
    </row>
    <row r="271">
      <c r="B271" s="2" t="s">
        <v>22189</v>
      </c>
    </row>
    <row r="272">
      <c r="B272" s="2" t="s">
        <v>22190</v>
      </c>
    </row>
    <row r="273">
      <c r="B273" s="2" t="s">
        <v>22191</v>
      </c>
    </row>
    <row r="274">
      <c r="B274" s="2" t="s">
        <v>22192</v>
      </c>
    </row>
    <row r="275">
      <c r="B275" s="2" t="s">
        <v>22193</v>
      </c>
    </row>
    <row r="276">
      <c r="B276" s="2" t="s">
        <v>22194</v>
      </c>
    </row>
    <row r="277">
      <c r="B277" s="2" t="s">
        <v>22195</v>
      </c>
    </row>
    <row r="278">
      <c r="B278" s="2" t="s">
        <v>22196</v>
      </c>
    </row>
    <row r="279">
      <c r="B279" s="2" t="s">
        <v>22197</v>
      </c>
    </row>
    <row r="280">
      <c r="B280" s="2" t="s">
        <v>22198</v>
      </c>
    </row>
    <row r="281">
      <c r="B281" s="2" t="s">
        <v>22199</v>
      </c>
    </row>
    <row r="282">
      <c r="B282" s="2" t="s">
        <v>22200</v>
      </c>
    </row>
    <row r="283">
      <c r="B283" s="2" t="s">
        <v>22201</v>
      </c>
    </row>
    <row r="284">
      <c r="B284" s="2" t="s">
        <v>22202</v>
      </c>
    </row>
    <row r="285">
      <c r="B285" s="2" t="s">
        <v>22203</v>
      </c>
    </row>
    <row r="286">
      <c r="B286" s="2" t="s">
        <v>22204</v>
      </c>
    </row>
    <row r="287">
      <c r="B287" s="2" t="s">
        <v>22205</v>
      </c>
    </row>
    <row r="288">
      <c r="B288" s="2" t="s">
        <v>22206</v>
      </c>
    </row>
    <row r="289">
      <c r="B289" s="2" t="s">
        <v>22207</v>
      </c>
    </row>
    <row r="290">
      <c r="B290" s="2" t="s">
        <v>22208</v>
      </c>
    </row>
    <row r="291">
      <c r="B291" s="2" t="s">
        <v>22209</v>
      </c>
    </row>
    <row r="292">
      <c r="B292" s="2" t="s">
        <v>22210</v>
      </c>
    </row>
    <row r="293">
      <c r="B293" s="2" t="s">
        <v>22211</v>
      </c>
    </row>
    <row r="294">
      <c r="B294" s="2" t="s">
        <v>22212</v>
      </c>
    </row>
    <row r="295">
      <c r="B295" s="2" t="s">
        <v>22213</v>
      </c>
    </row>
    <row r="296">
      <c r="B296" s="2" t="s">
        <v>22214</v>
      </c>
    </row>
    <row r="297">
      <c r="B297" s="2" t="s">
        <v>22215</v>
      </c>
    </row>
    <row r="298">
      <c r="B298" s="2" t="s">
        <v>22216</v>
      </c>
    </row>
    <row r="299">
      <c r="B299" s="2" t="s">
        <v>22217</v>
      </c>
    </row>
    <row r="300">
      <c r="B300" s="2" t="s">
        <v>22218</v>
      </c>
    </row>
    <row r="301">
      <c r="B301" s="2" t="s">
        <v>22219</v>
      </c>
    </row>
    <row r="302">
      <c r="B302" s="2" t="s">
        <v>22220</v>
      </c>
    </row>
    <row r="303">
      <c r="B303" s="2" t="s">
        <v>22221</v>
      </c>
    </row>
    <row r="304">
      <c r="B304" s="2" t="s">
        <v>22222</v>
      </c>
    </row>
    <row r="305">
      <c r="B305" s="2" t="s">
        <v>22223</v>
      </c>
    </row>
    <row r="306">
      <c r="B306" s="2" t="s">
        <v>22224</v>
      </c>
    </row>
    <row r="307">
      <c r="B307" s="2" t="s">
        <v>22225</v>
      </c>
    </row>
    <row r="308">
      <c r="B308" s="2" t="s">
        <v>22226</v>
      </c>
    </row>
    <row r="309">
      <c r="B309" s="2" t="s">
        <v>22227</v>
      </c>
    </row>
    <row r="310">
      <c r="B310" s="2" t="s">
        <v>22228</v>
      </c>
    </row>
    <row r="311">
      <c r="B311" s="2" t="s">
        <v>22229</v>
      </c>
    </row>
    <row r="312">
      <c r="B312" s="2" t="s">
        <v>22230</v>
      </c>
    </row>
    <row r="313">
      <c r="B313" s="2" t="s">
        <v>22231</v>
      </c>
    </row>
    <row r="314">
      <c r="B314" s="2" t="s">
        <v>22232</v>
      </c>
    </row>
    <row r="315">
      <c r="B315" s="2" t="s">
        <v>22233</v>
      </c>
    </row>
    <row r="316">
      <c r="B316" s="2" t="s">
        <v>22234</v>
      </c>
    </row>
    <row r="317">
      <c r="B317" s="2" t="s">
        <v>22235</v>
      </c>
    </row>
    <row r="318">
      <c r="B318" s="2" t="s">
        <v>22236</v>
      </c>
    </row>
    <row r="319">
      <c r="B319" s="2" t="s">
        <v>22237</v>
      </c>
    </row>
    <row r="320">
      <c r="B320" s="2" t="s">
        <v>22238</v>
      </c>
    </row>
    <row r="321">
      <c r="B321" s="2" t="s">
        <v>22239</v>
      </c>
    </row>
    <row r="322">
      <c r="B322" s="2" t="s">
        <v>22240</v>
      </c>
    </row>
    <row r="323">
      <c r="B323" s="2" t="s">
        <v>22241</v>
      </c>
    </row>
    <row r="324">
      <c r="B324" s="2" t="s">
        <v>22242</v>
      </c>
    </row>
    <row r="325">
      <c r="B325" s="2" t="s">
        <v>22243</v>
      </c>
    </row>
    <row r="326">
      <c r="B326" s="2" t="s">
        <v>22244</v>
      </c>
    </row>
    <row r="327">
      <c r="B327" s="2" t="s">
        <v>22245</v>
      </c>
    </row>
    <row r="328">
      <c r="B328" s="2" t="s">
        <v>22246</v>
      </c>
    </row>
    <row r="329">
      <c r="B329" s="2" t="s">
        <v>22247</v>
      </c>
    </row>
    <row r="330">
      <c r="B330" s="2" t="s">
        <v>22248</v>
      </c>
    </row>
    <row r="331">
      <c r="B331" s="2" t="s">
        <v>22249</v>
      </c>
    </row>
    <row r="332">
      <c r="B332" s="2" t="s">
        <v>22250</v>
      </c>
    </row>
    <row r="333">
      <c r="B333" s="2" t="s">
        <v>22251</v>
      </c>
    </row>
    <row r="334">
      <c r="B334" s="2" t="s">
        <v>22252</v>
      </c>
    </row>
    <row r="335">
      <c r="B335" s="2" t="s">
        <v>22253</v>
      </c>
    </row>
    <row r="336">
      <c r="B336" s="2" t="s">
        <v>22254</v>
      </c>
    </row>
    <row r="337">
      <c r="B337" s="2" t="s">
        <v>22255</v>
      </c>
    </row>
    <row r="338">
      <c r="B338" s="2" t="s">
        <v>22256</v>
      </c>
    </row>
    <row r="339">
      <c r="B339" s="2" t="s">
        <v>22257</v>
      </c>
    </row>
    <row r="340">
      <c r="B340" s="2" t="s">
        <v>22258</v>
      </c>
    </row>
    <row r="341">
      <c r="B341" s="2" t="s">
        <v>22259</v>
      </c>
    </row>
    <row r="342">
      <c r="B342" s="2" t="s">
        <v>22260</v>
      </c>
    </row>
    <row r="343">
      <c r="B343" s="2" t="s">
        <v>22261</v>
      </c>
    </row>
    <row r="344">
      <c r="B344" s="2" t="s">
        <v>22262</v>
      </c>
    </row>
    <row r="345">
      <c r="B345" s="2" t="s">
        <v>22263</v>
      </c>
    </row>
    <row r="346">
      <c r="B346" s="2" t="s">
        <v>22264</v>
      </c>
    </row>
    <row r="347">
      <c r="B347" s="2" t="s">
        <v>22265</v>
      </c>
    </row>
    <row r="348">
      <c r="B348" s="2" t="s">
        <v>22266</v>
      </c>
    </row>
    <row r="349">
      <c r="B349" s="2" t="s">
        <v>22267</v>
      </c>
    </row>
    <row r="350">
      <c r="B350" s="2" t="s">
        <v>22268</v>
      </c>
    </row>
    <row r="351">
      <c r="B351" s="2" t="s">
        <v>22269</v>
      </c>
    </row>
    <row r="352">
      <c r="B352" s="2" t="s">
        <v>22270</v>
      </c>
    </row>
    <row r="353">
      <c r="B353" s="2" t="s">
        <v>22271</v>
      </c>
    </row>
    <row r="354">
      <c r="B354" s="2" t="s">
        <v>22272</v>
      </c>
    </row>
    <row r="355">
      <c r="B355" s="2" t="s">
        <v>22273</v>
      </c>
    </row>
    <row r="356">
      <c r="B356" s="2" t="s">
        <v>22274</v>
      </c>
    </row>
    <row r="357">
      <c r="B357" s="2" t="s">
        <v>22275</v>
      </c>
    </row>
    <row r="358">
      <c r="B358" s="2" t="s">
        <v>22276</v>
      </c>
    </row>
    <row r="359">
      <c r="B359" s="2" t="s">
        <v>22277</v>
      </c>
    </row>
    <row r="360">
      <c r="B360" s="2" t="s">
        <v>22278</v>
      </c>
    </row>
    <row r="361">
      <c r="B361" s="2" t="s">
        <v>22279</v>
      </c>
    </row>
    <row r="362">
      <c r="B362" s="2" t="s">
        <v>22280</v>
      </c>
    </row>
    <row r="363">
      <c r="B363" s="2" t="s">
        <v>22281</v>
      </c>
    </row>
    <row r="364">
      <c r="B364" s="2" t="s">
        <v>22282</v>
      </c>
    </row>
    <row r="365">
      <c r="B365" s="2" t="s">
        <v>22283</v>
      </c>
    </row>
    <row r="366">
      <c r="B366" s="2" t="s">
        <v>22284</v>
      </c>
    </row>
    <row r="367">
      <c r="B367" s="2" t="s">
        <v>22285</v>
      </c>
    </row>
    <row r="368">
      <c r="B368" s="2" t="s">
        <v>22286</v>
      </c>
    </row>
    <row r="369">
      <c r="B369" s="2" t="s">
        <v>22287</v>
      </c>
    </row>
    <row r="370">
      <c r="B370" s="2" t="s">
        <v>22288</v>
      </c>
    </row>
    <row r="371">
      <c r="B371" s="2" t="s">
        <v>22289</v>
      </c>
    </row>
    <row r="372">
      <c r="B372" s="2" t="s">
        <v>22290</v>
      </c>
    </row>
    <row r="373">
      <c r="B373" s="2" t="s">
        <v>22291</v>
      </c>
    </row>
    <row r="374">
      <c r="B374" s="2" t="s">
        <v>22292</v>
      </c>
    </row>
    <row r="375">
      <c r="B375" s="2" t="s">
        <v>22293</v>
      </c>
    </row>
    <row r="376">
      <c r="B376" s="2" t="s">
        <v>22294</v>
      </c>
    </row>
    <row r="377">
      <c r="B377" s="2" t="s">
        <v>22295</v>
      </c>
    </row>
    <row r="378">
      <c r="B378" s="2" t="s">
        <v>22296</v>
      </c>
    </row>
    <row r="379">
      <c r="B379" s="2" t="s">
        <v>22297</v>
      </c>
    </row>
    <row r="380">
      <c r="B380" s="2" t="s">
        <v>22298</v>
      </c>
    </row>
    <row r="381">
      <c r="B381" s="2" t="s">
        <v>22299</v>
      </c>
    </row>
    <row r="382">
      <c r="B382" s="2" t="s">
        <v>22300</v>
      </c>
    </row>
    <row r="383">
      <c r="B383" s="2" t="s">
        <v>22301</v>
      </c>
    </row>
    <row r="384">
      <c r="B384" s="2" t="s">
        <v>22302</v>
      </c>
    </row>
    <row r="385">
      <c r="B385" s="2" t="s">
        <v>22303</v>
      </c>
    </row>
    <row r="386">
      <c r="B386" s="2" t="s">
        <v>22304</v>
      </c>
    </row>
    <row r="387">
      <c r="B387" s="2" t="s">
        <v>22305</v>
      </c>
    </row>
    <row r="388">
      <c r="B388" s="2" t="s">
        <v>22306</v>
      </c>
    </row>
    <row r="389">
      <c r="B389" s="2" t="s">
        <v>22307</v>
      </c>
    </row>
    <row r="390">
      <c r="B390" s="2" t="s">
        <v>22308</v>
      </c>
    </row>
    <row r="391">
      <c r="B391" s="2" t="s">
        <v>22309</v>
      </c>
    </row>
    <row r="392">
      <c r="B392" s="2" t="s">
        <v>22310</v>
      </c>
    </row>
    <row r="393">
      <c r="B393" s="2" t="s">
        <v>22311</v>
      </c>
    </row>
    <row r="394">
      <c r="B394" s="2" t="s">
        <v>22312</v>
      </c>
    </row>
    <row r="395">
      <c r="B395" s="2" t="s">
        <v>22313</v>
      </c>
    </row>
    <row r="396">
      <c r="B396" s="2" t="s">
        <v>22314</v>
      </c>
    </row>
    <row r="397">
      <c r="B397" s="2" t="s">
        <v>22315</v>
      </c>
    </row>
    <row r="398">
      <c r="B398" s="2" t="s">
        <v>22316</v>
      </c>
    </row>
    <row r="399">
      <c r="B399" s="2" t="s">
        <v>22317</v>
      </c>
    </row>
    <row r="400">
      <c r="B400" s="2" t="s">
        <v>22318</v>
      </c>
    </row>
    <row r="401">
      <c r="B401" s="2" t="s">
        <v>22319</v>
      </c>
    </row>
    <row r="402">
      <c r="B402" s="2" t="s">
        <v>22320</v>
      </c>
    </row>
    <row r="403">
      <c r="B403" s="2" t="s">
        <v>22321</v>
      </c>
    </row>
    <row r="404">
      <c r="B404" s="2" t="s">
        <v>22322</v>
      </c>
    </row>
    <row r="405">
      <c r="B405" s="2" t="s">
        <v>22323</v>
      </c>
    </row>
    <row r="406">
      <c r="B406" s="2" t="s">
        <v>22324</v>
      </c>
    </row>
    <row r="407">
      <c r="B407" s="2" t="s">
        <v>22325</v>
      </c>
    </row>
    <row r="408">
      <c r="B408" s="2" t="s">
        <v>22326</v>
      </c>
    </row>
    <row r="409">
      <c r="B409" s="2" t="s">
        <v>22327</v>
      </c>
    </row>
    <row r="410">
      <c r="B410" s="2" t="s">
        <v>22328</v>
      </c>
    </row>
    <row r="411">
      <c r="B411" s="2" t="s">
        <v>22329</v>
      </c>
    </row>
    <row r="412">
      <c r="B412" s="2" t="s">
        <v>22330</v>
      </c>
    </row>
    <row r="413">
      <c r="B413" s="2" t="s">
        <v>22331</v>
      </c>
    </row>
    <row r="414">
      <c r="B414" s="2" t="s">
        <v>22332</v>
      </c>
    </row>
    <row r="415">
      <c r="B415" s="2" t="s">
        <v>22333</v>
      </c>
    </row>
    <row r="416">
      <c r="B416" s="2" t="s">
        <v>22334</v>
      </c>
    </row>
    <row r="417">
      <c r="B417" s="2" t="s">
        <v>22335</v>
      </c>
    </row>
    <row r="418">
      <c r="B418" s="2" t="s">
        <v>22336</v>
      </c>
    </row>
    <row r="419">
      <c r="B419" s="2" t="s">
        <v>22337</v>
      </c>
    </row>
    <row r="420">
      <c r="B420" s="2" t="s">
        <v>22338</v>
      </c>
    </row>
    <row r="421">
      <c r="B421" s="2" t="s">
        <v>22339</v>
      </c>
    </row>
    <row r="422">
      <c r="B422" s="2" t="s">
        <v>22340</v>
      </c>
    </row>
    <row r="423">
      <c r="B423" s="2" t="s">
        <v>22341</v>
      </c>
    </row>
    <row r="424">
      <c r="B424" s="2" t="s">
        <v>22342</v>
      </c>
    </row>
    <row r="425">
      <c r="B425" s="2" t="s">
        <v>22343</v>
      </c>
    </row>
    <row r="426">
      <c r="B426" s="2" t="s">
        <v>22344</v>
      </c>
    </row>
    <row r="427">
      <c r="B427" s="2" t="s">
        <v>22345</v>
      </c>
    </row>
    <row r="428">
      <c r="B428" s="2" t="s">
        <v>22346</v>
      </c>
    </row>
    <row r="429">
      <c r="B429" s="2" t="s">
        <v>22347</v>
      </c>
    </row>
    <row r="430">
      <c r="B430" s="2" t="s">
        <v>22348</v>
      </c>
    </row>
    <row r="431">
      <c r="B431" s="2" t="s">
        <v>22349</v>
      </c>
    </row>
    <row r="432">
      <c r="B432" s="2" t="s">
        <v>22350</v>
      </c>
    </row>
    <row r="433">
      <c r="B433" s="2" t="s">
        <v>22351</v>
      </c>
    </row>
    <row r="434">
      <c r="B434" s="2" t="s">
        <v>22352</v>
      </c>
    </row>
    <row r="435">
      <c r="B435" s="2" t="s">
        <v>22353</v>
      </c>
    </row>
    <row r="436">
      <c r="B436" s="2" t="s">
        <v>22354</v>
      </c>
    </row>
    <row r="437">
      <c r="B437" s="2" t="s">
        <v>22355</v>
      </c>
    </row>
    <row r="438">
      <c r="B438" s="2" t="s">
        <v>22356</v>
      </c>
    </row>
    <row r="439">
      <c r="B439" s="2" t="s">
        <v>22357</v>
      </c>
    </row>
    <row r="440">
      <c r="B440" s="2" t="s">
        <v>22358</v>
      </c>
    </row>
    <row r="441">
      <c r="B441" s="2" t="s">
        <v>22359</v>
      </c>
    </row>
    <row r="442">
      <c r="B442" s="2" t="s">
        <v>22360</v>
      </c>
    </row>
    <row r="443">
      <c r="B443" s="2" t="s">
        <v>22361</v>
      </c>
    </row>
    <row r="444">
      <c r="B444" s="2" t="s">
        <v>22362</v>
      </c>
    </row>
    <row r="445">
      <c r="B445" s="2" t="s">
        <v>22363</v>
      </c>
    </row>
    <row r="446">
      <c r="B446" s="2" t="s">
        <v>22364</v>
      </c>
    </row>
    <row r="447">
      <c r="B447" s="2" t="s">
        <v>22365</v>
      </c>
    </row>
    <row r="448">
      <c r="B448" s="2" t="s">
        <v>22366</v>
      </c>
    </row>
    <row r="449">
      <c r="B449" s="2" t="s">
        <v>22367</v>
      </c>
    </row>
    <row r="450">
      <c r="B450" s="2" t="s">
        <v>22368</v>
      </c>
    </row>
    <row r="451">
      <c r="B451" s="2" t="s">
        <v>22369</v>
      </c>
    </row>
    <row r="452">
      <c r="B452" s="2" t="s">
        <v>22370</v>
      </c>
    </row>
    <row r="453">
      <c r="B453" s="2" t="s">
        <v>22371</v>
      </c>
    </row>
    <row r="454">
      <c r="B454" s="2" t="s">
        <v>22372</v>
      </c>
    </row>
    <row r="455">
      <c r="B455" s="2" t="s">
        <v>22373</v>
      </c>
    </row>
    <row r="456">
      <c r="B456" s="2" t="s">
        <v>22374</v>
      </c>
    </row>
    <row r="457">
      <c r="B457" s="2" t="s">
        <v>22375</v>
      </c>
    </row>
    <row r="458">
      <c r="B458" s="2" t="s">
        <v>22376</v>
      </c>
    </row>
    <row r="459">
      <c r="B459" s="2" t="s">
        <v>22377</v>
      </c>
    </row>
    <row r="460">
      <c r="B460" s="2" t="s">
        <v>22378</v>
      </c>
    </row>
    <row r="461">
      <c r="B461" s="2" t="s">
        <v>22379</v>
      </c>
    </row>
    <row r="462">
      <c r="B462" s="2" t="s">
        <v>22380</v>
      </c>
    </row>
    <row r="463">
      <c r="B463" s="2" t="s">
        <v>22381</v>
      </c>
    </row>
    <row r="464">
      <c r="B464" s="2" t="s">
        <v>22382</v>
      </c>
    </row>
    <row r="465">
      <c r="B465" s="2" t="s">
        <v>22383</v>
      </c>
    </row>
    <row r="466">
      <c r="B466" s="2" t="s">
        <v>22384</v>
      </c>
    </row>
    <row r="467">
      <c r="B467" s="2" t="s">
        <v>22385</v>
      </c>
    </row>
    <row r="468">
      <c r="B468" s="2" t="s">
        <v>22386</v>
      </c>
    </row>
    <row r="469">
      <c r="B469" s="2" t="s">
        <v>22387</v>
      </c>
    </row>
    <row r="470">
      <c r="B470" s="2" t="s">
        <v>22388</v>
      </c>
    </row>
    <row r="471">
      <c r="B471" s="2" t="s">
        <v>22389</v>
      </c>
    </row>
    <row r="472">
      <c r="B472" s="2" t="s">
        <v>22390</v>
      </c>
    </row>
    <row r="473">
      <c r="B473" s="2" t="s">
        <v>22391</v>
      </c>
    </row>
    <row r="474">
      <c r="B474" s="2" t="s">
        <v>22392</v>
      </c>
    </row>
    <row r="475">
      <c r="B475" s="2" t="s">
        <v>22393</v>
      </c>
    </row>
    <row r="476">
      <c r="B476" s="2" t="s">
        <v>22394</v>
      </c>
    </row>
    <row r="477">
      <c r="B477" s="2" t="s">
        <v>22395</v>
      </c>
    </row>
    <row r="478">
      <c r="B478" s="2" t="s">
        <v>22396</v>
      </c>
    </row>
    <row r="479">
      <c r="B479" s="2" t="s">
        <v>22397</v>
      </c>
    </row>
    <row r="480">
      <c r="B480" s="2" t="s">
        <v>22398</v>
      </c>
    </row>
    <row r="481">
      <c r="B481" s="2" t="s">
        <v>22399</v>
      </c>
    </row>
    <row r="482">
      <c r="B482" s="2" t="s">
        <v>22400</v>
      </c>
    </row>
    <row r="483">
      <c r="B483" s="2" t="s">
        <v>22401</v>
      </c>
    </row>
    <row r="484">
      <c r="B484" s="2" t="s">
        <v>22402</v>
      </c>
    </row>
    <row r="485">
      <c r="B485" s="2" t="s">
        <v>22403</v>
      </c>
    </row>
    <row r="486">
      <c r="B486" s="2" t="s">
        <v>22404</v>
      </c>
    </row>
    <row r="487">
      <c r="B487" s="2" t="s">
        <v>22405</v>
      </c>
    </row>
    <row r="488">
      <c r="B488" s="2" t="s">
        <v>22406</v>
      </c>
    </row>
    <row r="489">
      <c r="B489" s="2" t="s">
        <v>22407</v>
      </c>
    </row>
    <row r="490">
      <c r="B490" s="2" t="s">
        <v>22408</v>
      </c>
    </row>
    <row r="491">
      <c r="B491" s="2" t="s">
        <v>22409</v>
      </c>
    </row>
    <row r="492">
      <c r="B492" s="2" t="s">
        <v>22410</v>
      </c>
    </row>
    <row r="493">
      <c r="B493" s="2" t="s">
        <v>22411</v>
      </c>
    </row>
    <row r="494">
      <c r="B494" s="2" t="s">
        <v>22412</v>
      </c>
    </row>
    <row r="495">
      <c r="B495" s="2" t="s">
        <v>22413</v>
      </c>
    </row>
    <row r="496">
      <c r="B496" s="2" t="s">
        <v>22414</v>
      </c>
    </row>
    <row r="497">
      <c r="B497" s="2" t="s">
        <v>22415</v>
      </c>
    </row>
    <row r="498">
      <c r="B498" s="2" t="s">
        <v>22416</v>
      </c>
    </row>
    <row r="499">
      <c r="B499" s="2" t="s">
        <v>22417</v>
      </c>
    </row>
    <row r="500">
      <c r="B500" s="2" t="s">
        <v>22418</v>
      </c>
    </row>
    <row r="501">
      <c r="B501" s="2" t="s">
        <v>22419</v>
      </c>
    </row>
    <row r="502">
      <c r="B502" s="2" t="s">
        <v>22420</v>
      </c>
    </row>
    <row r="503">
      <c r="B503" s="2" t="s">
        <v>22421</v>
      </c>
    </row>
    <row r="504">
      <c r="B504" s="2" t="s">
        <v>22422</v>
      </c>
    </row>
    <row r="505">
      <c r="B505" s="2" t="s">
        <v>22423</v>
      </c>
    </row>
    <row r="506">
      <c r="B506" s="2" t="s">
        <v>22424</v>
      </c>
    </row>
    <row r="507">
      <c r="B507" s="2" t="s">
        <v>22425</v>
      </c>
    </row>
    <row r="508">
      <c r="B508" s="2" t="s">
        <v>22426</v>
      </c>
    </row>
    <row r="509">
      <c r="B509" s="2" t="s">
        <v>22427</v>
      </c>
    </row>
    <row r="510">
      <c r="B510" s="2" t="s">
        <v>22428</v>
      </c>
    </row>
    <row r="511">
      <c r="B511" s="2" t="s">
        <v>22429</v>
      </c>
    </row>
    <row r="512">
      <c r="B512" s="2" t="s">
        <v>22430</v>
      </c>
    </row>
    <row r="513">
      <c r="B513" s="2" t="s">
        <v>22431</v>
      </c>
    </row>
    <row r="514">
      <c r="B514" s="2" t="s">
        <v>22432</v>
      </c>
    </row>
    <row r="515">
      <c r="B515" s="2" t="s">
        <v>22433</v>
      </c>
    </row>
    <row r="516">
      <c r="B516" s="2" t="s">
        <v>22434</v>
      </c>
    </row>
    <row r="517">
      <c r="B517" s="2" t="s">
        <v>22435</v>
      </c>
    </row>
    <row r="518">
      <c r="B518" s="2" t="s">
        <v>22436</v>
      </c>
    </row>
    <row r="519">
      <c r="B519" s="2" t="s">
        <v>22437</v>
      </c>
    </row>
    <row r="520">
      <c r="B520" s="2" t="s">
        <v>22438</v>
      </c>
    </row>
    <row r="521">
      <c r="B521" s="2" t="s">
        <v>22439</v>
      </c>
    </row>
    <row r="522">
      <c r="B522" s="2" t="s">
        <v>22440</v>
      </c>
    </row>
    <row r="523">
      <c r="B523" s="2" t="s">
        <v>22441</v>
      </c>
    </row>
    <row r="524">
      <c r="B524" s="2" t="s">
        <v>22442</v>
      </c>
    </row>
    <row r="525">
      <c r="B525" s="2" t="s">
        <v>22443</v>
      </c>
    </row>
    <row r="526">
      <c r="B526" s="2" t="s">
        <v>22444</v>
      </c>
    </row>
    <row r="527">
      <c r="B527" s="2" t="s">
        <v>22445</v>
      </c>
    </row>
    <row r="528">
      <c r="B528" s="2" t="s">
        <v>22446</v>
      </c>
    </row>
    <row r="529">
      <c r="B529" s="2" t="s">
        <v>22447</v>
      </c>
    </row>
    <row r="530">
      <c r="B530" s="2" t="s">
        <v>22448</v>
      </c>
    </row>
    <row r="531">
      <c r="B531" s="2" t="s">
        <v>22449</v>
      </c>
    </row>
    <row r="532">
      <c r="B532" s="2" t="s">
        <v>22450</v>
      </c>
    </row>
    <row r="533">
      <c r="B533" s="2" t="s">
        <v>22451</v>
      </c>
    </row>
    <row r="534">
      <c r="B534" s="2" t="s">
        <v>22452</v>
      </c>
    </row>
    <row r="535">
      <c r="B535" s="2" t="s">
        <v>22453</v>
      </c>
    </row>
    <row r="536">
      <c r="B536" s="2" t="s">
        <v>22454</v>
      </c>
    </row>
    <row r="537">
      <c r="B537" s="2" t="s">
        <v>22455</v>
      </c>
    </row>
    <row r="538">
      <c r="B538" s="2" t="s">
        <v>22456</v>
      </c>
    </row>
    <row r="539">
      <c r="B539" s="2" t="s">
        <v>22457</v>
      </c>
    </row>
    <row r="540">
      <c r="B540" s="2" t="s">
        <v>22458</v>
      </c>
    </row>
    <row r="541">
      <c r="B541" s="2" t="s">
        <v>22459</v>
      </c>
    </row>
    <row r="542">
      <c r="B542" s="2" t="s">
        <v>22460</v>
      </c>
    </row>
    <row r="543">
      <c r="B543" s="2" t="s">
        <v>22461</v>
      </c>
    </row>
    <row r="544">
      <c r="B544" s="2" t="s">
        <v>22462</v>
      </c>
    </row>
    <row r="545">
      <c r="B545" s="2" t="s">
        <v>22463</v>
      </c>
    </row>
    <row r="546">
      <c r="B546" s="2" t="s">
        <v>22464</v>
      </c>
    </row>
    <row r="547">
      <c r="B547" s="2" t="s">
        <v>22465</v>
      </c>
    </row>
    <row r="548">
      <c r="B548" s="2" t="s">
        <v>22466</v>
      </c>
    </row>
    <row r="549">
      <c r="B549" s="2" t="s">
        <v>22467</v>
      </c>
    </row>
    <row r="550">
      <c r="B550" s="2" t="s">
        <v>22468</v>
      </c>
    </row>
    <row r="551">
      <c r="B551" s="2" t="s">
        <v>22469</v>
      </c>
    </row>
    <row r="552">
      <c r="B552" s="2" t="s">
        <v>22470</v>
      </c>
    </row>
    <row r="553">
      <c r="B553" s="2" t="s">
        <v>22471</v>
      </c>
    </row>
    <row r="554">
      <c r="B554" s="2" t="s">
        <v>22472</v>
      </c>
    </row>
    <row r="555">
      <c r="B555" s="2" t="s">
        <v>22473</v>
      </c>
    </row>
    <row r="556">
      <c r="B556" s="2" t="s">
        <v>22474</v>
      </c>
    </row>
    <row r="557">
      <c r="B557" s="2" t="s">
        <v>22475</v>
      </c>
    </row>
    <row r="558">
      <c r="B558" s="2" t="s">
        <v>22476</v>
      </c>
    </row>
    <row r="559">
      <c r="B559" s="2" t="s">
        <v>22477</v>
      </c>
    </row>
    <row r="560">
      <c r="B560" s="2" t="s">
        <v>22478</v>
      </c>
    </row>
    <row r="561">
      <c r="B561" s="2" t="s">
        <v>22479</v>
      </c>
    </row>
    <row r="562">
      <c r="B562" s="2" t="s">
        <v>22480</v>
      </c>
    </row>
    <row r="563">
      <c r="B563" s="2" t="s">
        <v>22481</v>
      </c>
    </row>
    <row r="564">
      <c r="B564" s="2" t="s">
        <v>22482</v>
      </c>
    </row>
    <row r="565">
      <c r="B565" s="2" t="s">
        <v>22483</v>
      </c>
    </row>
    <row r="566">
      <c r="B566" s="2" t="s">
        <v>22484</v>
      </c>
    </row>
    <row r="567">
      <c r="B567" s="2" t="s">
        <v>22485</v>
      </c>
    </row>
    <row r="568">
      <c r="B568" s="2" t="s">
        <v>22486</v>
      </c>
    </row>
    <row r="569">
      <c r="B569" s="2" t="s">
        <v>22487</v>
      </c>
    </row>
    <row r="570">
      <c r="B570" s="2" t="s">
        <v>22488</v>
      </c>
    </row>
    <row r="571">
      <c r="B571" s="2" t="s">
        <v>22489</v>
      </c>
    </row>
    <row r="572">
      <c r="B572" s="2" t="s">
        <v>22490</v>
      </c>
    </row>
    <row r="573">
      <c r="B573" s="2" t="s">
        <v>22491</v>
      </c>
    </row>
    <row r="574">
      <c r="B574" s="2" t="s">
        <v>22492</v>
      </c>
    </row>
    <row r="575">
      <c r="B575" s="2" t="s">
        <v>22493</v>
      </c>
    </row>
    <row r="576">
      <c r="B576" s="2" t="s">
        <v>22494</v>
      </c>
    </row>
    <row r="577">
      <c r="B577" s="2" t="s">
        <v>22495</v>
      </c>
    </row>
    <row r="578">
      <c r="B578" s="2" t="s">
        <v>22496</v>
      </c>
    </row>
    <row r="579">
      <c r="B579" s="2" t="s">
        <v>22497</v>
      </c>
    </row>
    <row r="580">
      <c r="B580" s="2" t="s">
        <v>22498</v>
      </c>
    </row>
    <row r="581">
      <c r="B581" s="2" t="s">
        <v>22499</v>
      </c>
    </row>
    <row r="582">
      <c r="B582" s="2" t="s">
        <v>22500</v>
      </c>
    </row>
    <row r="583">
      <c r="B583" s="2" t="s">
        <v>22501</v>
      </c>
    </row>
    <row r="584">
      <c r="B584" s="2" t="s">
        <v>22502</v>
      </c>
    </row>
    <row r="585">
      <c r="B585" s="2" t="s">
        <v>22503</v>
      </c>
    </row>
    <row r="586">
      <c r="B586" s="2" t="s">
        <v>22504</v>
      </c>
    </row>
    <row r="587">
      <c r="B587" s="2" t="s">
        <v>22505</v>
      </c>
    </row>
    <row r="588">
      <c r="B588" s="2" t="s">
        <v>22506</v>
      </c>
    </row>
    <row r="589">
      <c r="B589" s="2" t="s">
        <v>22507</v>
      </c>
    </row>
    <row r="590">
      <c r="B590" s="2" t="s">
        <v>22508</v>
      </c>
    </row>
    <row r="591">
      <c r="B591" s="2" t="s">
        <v>22509</v>
      </c>
    </row>
    <row r="592">
      <c r="B592" s="2" t="s">
        <v>22510</v>
      </c>
    </row>
    <row r="593">
      <c r="B593" s="2" t="s">
        <v>22511</v>
      </c>
    </row>
    <row r="594">
      <c r="B594" s="2" t="s">
        <v>22512</v>
      </c>
    </row>
    <row r="595">
      <c r="B595" s="2" t="s">
        <v>22513</v>
      </c>
    </row>
    <row r="596">
      <c r="B596" s="2" t="s">
        <v>22514</v>
      </c>
    </row>
    <row r="597">
      <c r="B597" s="2" t="s">
        <v>22515</v>
      </c>
    </row>
    <row r="598">
      <c r="B598" s="2" t="s">
        <v>22516</v>
      </c>
    </row>
    <row r="599">
      <c r="B599" s="2" t="s">
        <v>22517</v>
      </c>
    </row>
    <row r="600">
      <c r="B600" s="2" t="s">
        <v>22518</v>
      </c>
    </row>
    <row r="601">
      <c r="B601" s="2" t="s">
        <v>22519</v>
      </c>
    </row>
    <row r="602">
      <c r="B602" s="2" t="s">
        <v>22520</v>
      </c>
    </row>
    <row r="603">
      <c r="B603" s="2" t="s">
        <v>22521</v>
      </c>
    </row>
    <row r="604">
      <c r="B604" s="2" t="s">
        <v>22522</v>
      </c>
    </row>
    <row r="605">
      <c r="B605" s="2" t="s">
        <v>22523</v>
      </c>
    </row>
    <row r="606">
      <c r="B606" s="2" t="s">
        <v>22524</v>
      </c>
    </row>
    <row r="607">
      <c r="B607" s="2" t="s">
        <v>22525</v>
      </c>
    </row>
    <row r="608">
      <c r="B608" s="2" t="s">
        <v>22526</v>
      </c>
    </row>
    <row r="609">
      <c r="B609" s="2" t="s">
        <v>22527</v>
      </c>
    </row>
    <row r="610">
      <c r="B610" s="2" t="s">
        <v>22528</v>
      </c>
    </row>
    <row r="611">
      <c r="B611" s="2" t="s">
        <v>22529</v>
      </c>
    </row>
    <row r="612">
      <c r="B612" s="2" t="s">
        <v>22530</v>
      </c>
    </row>
    <row r="613">
      <c r="B613" s="2" t="s">
        <v>22531</v>
      </c>
    </row>
    <row r="614">
      <c r="B614" s="2" t="s">
        <v>22532</v>
      </c>
    </row>
    <row r="615">
      <c r="B615" s="2" t="s">
        <v>22533</v>
      </c>
    </row>
    <row r="616">
      <c r="B616" s="2" t="s">
        <v>22534</v>
      </c>
    </row>
    <row r="617">
      <c r="B617" s="2" t="s">
        <v>22535</v>
      </c>
    </row>
    <row r="618">
      <c r="B618" s="2" t="s">
        <v>22536</v>
      </c>
    </row>
    <row r="619">
      <c r="B619" s="2" t="s">
        <v>22537</v>
      </c>
    </row>
    <row r="620">
      <c r="B620" s="2" t="s">
        <v>22538</v>
      </c>
    </row>
    <row r="621">
      <c r="B621" s="2" t="s">
        <v>22539</v>
      </c>
    </row>
    <row r="622">
      <c r="B622" s="2" t="s">
        <v>22540</v>
      </c>
    </row>
    <row r="623">
      <c r="B623" s="2" t="s">
        <v>22541</v>
      </c>
    </row>
    <row r="624">
      <c r="B624" s="2" t="s">
        <v>22542</v>
      </c>
    </row>
    <row r="625">
      <c r="B625" s="2" t="s">
        <v>22543</v>
      </c>
    </row>
    <row r="626">
      <c r="B626" s="2" t="s">
        <v>22544</v>
      </c>
    </row>
    <row r="627">
      <c r="B627" s="2" t="s">
        <v>22545</v>
      </c>
    </row>
    <row r="628">
      <c r="B628" s="2" t="s">
        <v>22546</v>
      </c>
    </row>
    <row r="629">
      <c r="B629" s="2" t="s">
        <v>22547</v>
      </c>
    </row>
    <row r="630">
      <c r="B630" s="2" t="s">
        <v>22548</v>
      </c>
    </row>
    <row r="631">
      <c r="B631" s="2" t="s">
        <v>22549</v>
      </c>
    </row>
    <row r="632">
      <c r="B632" s="2" t="s">
        <v>22550</v>
      </c>
    </row>
    <row r="633">
      <c r="B633" s="2" t="s">
        <v>22551</v>
      </c>
    </row>
    <row r="634">
      <c r="B634" s="2" t="s">
        <v>22552</v>
      </c>
    </row>
    <row r="635">
      <c r="B635" s="2" t="s">
        <v>22553</v>
      </c>
    </row>
    <row r="636">
      <c r="B636" s="2" t="s">
        <v>22554</v>
      </c>
    </row>
    <row r="637">
      <c r="B637" s="2" t="s">
        <v>22555</v>
      </c>
    </row>
    <row r="638">
      <c r="B638" s="2" t="s">
        <v>22556</v>
      </c>
    </row>
    <row r="639">
      <c r="B639" s="2" t="s">
        <v>22557</v>
      </c>
    </row>
    <row r="640">
      <c r="B640" s="2" t="s">
        <v>22558</v>
      </c>
    </row>
    <row r="641">
      <c r="B641" s="2" t="s">
        <v>22559</v>
      </c>
    </row>
    <row r="642">
      <c r="B642" s="2" t="s">
        <v>22560</v>
      </c>
    </row>
    <row r="643">
      <c r="B643" s="2" t="s">
        <v>22561</v>
      </c>
    </row>
    <row r="644">
      <c r="B644" s="2" t="s">
        <v>22562</v>
      </c>
    </row>
    <row r="645">
      <c r="B645" s="2" t="s">
        <v>22563</v>
      </c>
    </row>
    <row r="646">
      <c r="B646" s="2" t="s">
        <v>22564</v>
      </c>
    </row>
    <row r="647">
      <c r="B647" s="2" t="s">
        <v>22565</v>
      </c>
    </row>
    <row r="648">
      <c r="B648" s="2" t="s">
        <v>22566</v>
      </c>
    </row>
    <row r="649">
      <c r="B649" s="2" t="s">
        <v>22567</v>
      </c>
    </row>
    <row r="650">
      <c r="B650" s="2" t="s">
        <v>22568</v>
      </c>
    </row>
    <row r="651">
      <c r="B651" s="2" t="s">
        <v>22569</v>
      </c>
    </row>
    <row r="652">
      <c r="B652" s="2" t="s">
        <v>22570</v>
      </c>
    </row>
    <row r="653">
      <c r="B653" s="2" t="s">
        <v>22571</v>
      </c>
    </row>
    <row r="654">
      <c r="B654" s="2" t="s">
        <v>22572</v>
      </c>
    </row>
    <row r="655">
      <c r="B655" s="2" t="s">
        <v>22573</v>
      </c>
    </row>
    <row r="656">
      <c r="B656" s="2" t="s">
        <v>22574</v>
      </c>
    </row>
    <row r="657">
      <c r="B657" s="2" t="s">
        <v>22575</v>
      </c>
    </row>
    <row r="658">
      <c r="B658" s="2" t="s">
        <v>22576</v>
      </c>
    </row>
    <row r="659">
      <c r="B659" s="2" t="s">
        <v>22577</v>
      </c>
    </row>
    <row r="660">
      <c r="B660" s="2" t="s">
        <v>22578</v>
      </c>
    </row>
    <row r="661">
      <c r="B661" s="2" t="s">
        <v>22579</v>
      </c>
    </row>
    <row r="662">
      <c r="B662" s="2" t="s">
        <v>22580</v>
      </c>
    </row>
    <row r="663">
      <c r="B663" s="2" t="s">
        <v>22581</v>
      </c>
    </row>
    <row r="664">
      <c r="B664" s="2" t="s">
        <v>22582</v>
      </c>
    </row>
    <row r="665">
      <c r="B665" s="2" t="s">
        <v>22583</v>
      </c>
    </row>
    <row r="666">
      <c r="B666" s="2" t="s">
        <v>22584</v>
      </c>
    </row>
    <row r="667">
      <c r="B667" s="2" t="s">
        <v>22585</v>
      </c>
    </row>
    <row r="668">
      <c r="B668" s="2" t="s">
        <v>22586</v>
      </c>
    </row>
    <row r="669">
      <c r="B669" s="2" t="s">
        <v>22587</v>
      </c>
    </row>
    <row r="670">
      <c r="B670" s="2" t="s">
        <v>22588</v>
      </c>
    </row>
    <row r="671">
      <c r="B671" s="2" t="s">
        <v>22589</v>
      </c>
    </row>
    <row r="672">
      <c r="B672" s="2" t="s">
        <v>22590</v>
      </c>
    </row>
    <row r="673">
      <c r="B673" s="2" t="s">
        <v>22591</v>
      </c>
    </row>
    <row r="674">
      <c r="B674" s="2" t="s">
        <v>22592</v>
      </c>
    </row>
    <row r="675">
      <c r="B675" s="2" t="s">
        <v>22593</v>
      </c>
    </row>
    <row r="676">
      <c r="B676" s="2" t="s">
        <v>22594</v>
      </c>
    </row>
    <row r="677">
      <c r="B677" s="2" t="s">
        <v>22595</v>
      </c>
    </row>
    <row r="678">
      <c r="B678" s="2" t="s">
        <v>22596</v>
      </c>
    </row>
    <row r="679">
      <c r="B679" s="2" t="s">
        <v>22597</v>
      </c>
    </row>
    <row r="680">
      <c r="B680" s="2" t="s">
        <v>22598</v>
      </c>
    </row>
    <row r="681">
      <c r="B681" s="2" t="s">
        <v>22599</v>
      </c>
    </row>
    <row r="682">
      <c r="B682" s="2" t="s">
        <v>22600</v>
      </c>
    </row>
    <row r="683">
      <c r="B683" s="2" t="s">
        <v>22601</v>
      </c>
    </row>
    <row r="684">
      <c r="B684" s="2" t="s">
        <v>22602</v>
      </c>
    </row>
    <row r="685">
      <c r="B685" s="2" t="s">
        <v>22603</v>
      </c>
    </row>
    <row r="686">
      <c r="B686" s="2" t="s">
        <v>22604</v>
      </c>
    </row>
    <row r="687">
      <c r="B687" s="2" t="s">
        <v>22605</v>
      </c>
    </row>
    <row r="688">
      <c r="B688" s="2" t="s">
        <v>22606</v>
      </c>
    </row>
    <row r="689">
      <c r="B689" s="2" t="s">
        <v>22607</v>
      </c>
    </row>
    <row r="690">
      <c r="B690" s="2" t="s">
        <v>22608</v>
      </c>
    </row>
    <row r="691">
      <c r="B691" s="2" t="s">
        <v>22609</v>
      </c>
    </row>
    <row r="692">
      <c r="B692" s="2" t="s">
        <v>22610</v>
      </c>
    </row>
    <row r="693">
      <c r="B693" s="2" t="s">
        <v>22611</v>
      </c>
    </row>
    <row r="694">
      <c r="B694" s="2" t="s">
        <v>22612</v>
      </c>
    </row>
    <row r="695">
      <c r="B695" s="2" t="s">
        <v>22613</v>
      </c>
    </row>
    <row r="696">
      <c r="B696" s="2" t="s">
        <v>22614</v>
      </c>
    </row>
    <row r="697">
      <c r="B697" s="2" t="s">
        <v>22615</v>
      </c>
    </row>
    <row r="698">
      <c r="B698" s="2" t="s">
        <v>22616</v>
      </c>
    </row>
    <row r="699">
      <c r="B699" s="2" t="s">
        <v>22617</v>
      </c>
    </row>
    <row r="700">
      <c r="B700" s="2" t="s">
        <v>22618</v>
      </c>
    </row>
    <row r="701">
      <c r="B701" s="2" t="s">
        <v>22619</v>
      </c>
    </row>
    <row r="702">
      <c r="B702" s="2" t="s">
        <v>22620</v>
      </c>
    </row>
    <row r="703">
      <c r="B703" s="2" t="s">
        <v>22621</v>
      </c>
    </row>
    <row r="704">
      <c r="B704" s="2" t="s">
        <v>22622</v>
      </c>
    </row>
    <row r="705">
      <c r="B705" s="2" t="s">
        <v>22623</v>
      </c>
    </row>
    <row r="706">
      <c r="B706" s="2" t="s">
        <v>22624</v>
      </c>
    </row>
    <row r="707">
      <c r="B707" s="2" t="s">
        <v>22625</v>
      </c>
    </row>
    <row r="708">
      <c r="B708" s="2" t="s">
        <v>22626</v>
      </c>
    </row>
    <row r="709">
      <c r="B709" s="2" t="s">
        <v>22627</v>
      </c>
    </row>
    <row r="710">
      <c r="B710" s="2" t="s">
        <v>22628</v>
      </c>
    </row>
    <row r="711">
      <c r="B711" s="2" t="s">
        <v>22629</v>
      </c>
    </row>
    <row r="712">
      <c r="B712" s="2" t="s">
        <v>22630</v>
      </c>
    </row>
    <row r="713">
      <c r="B713" s="2" t="s">
        <v>22631</v>
      </c>
    </row>
    <row r="714">
      <c r="B714" s="2" t="s">
        <v>22632</v>
      </c>
    </row>
    <row r="715">
      <c r="B715" s="2" t="s">
        <v>22633</v>
      </c>
    </row>
    <row r="716">
      <c r="B716" s="2" t="s">
        <v>22634</v>
      </c>
    </row>
    <row r="717">
      <c r="B717" s="2" t="s">
        <v>22635</v>
      </c>
    </row>
    <row r="718">
      <c r="B718" s="2" t="s">
        <v>22636</v>
      </c>
    </row>
    <row r="719">
      <c r="B719" s="2" t="s">
        <v>22637</v>
      </c>
    </row>
    <row r="720">
      <c r="B720" s="2" t="s">
        <v>22638</v>
      </c>
    </row>
    <row r="721">
      <c r="B721" s="2" t="s">
        <v>22639</v>
      </c>
    </row>
    <row r="722">
      <c r="B722" s="2" t="s">
        <v>22640</v>
      </c>
    </row>
    <row r="723">
      <c r="B723" s="2" t="s">
        <v>22641</v>
      </c>
    </row>
    <row r="724">
      <c r="B724" s="2" t="s">
        <v>22642</v>
      </c>
    </row>
    <row r="725">
      <c r="B725" s="2" t="s">
        <v>22643</v>
      </c>
    </row>
    <row r="726">
      <c r="B726" s="2" t="s">
        <v>22644</v>
      </c>
    </row>
    <row r="727">
      <c r="B727" s="2" t="s">
        <v>22645</v>
      </c>
    </row>
    <row r="728">
      <c r="B728" s="2" t="s">
        <v>22646</v>
      </c>
    </row>
    <row r="729">
      <c r="B729" s="2" t="s">
        <v>22647</v>
      </c>
    </row>
    <row r="730">
      <c r="B730" s="2" t="s">
        <v>22648</v>
      </c>
    </row>
    <row r="731">
      <c r="B731" s="2" t="s">
        <v>22649</v>
      </c>
    </row>
    <row r="732">
      <c r="B732" s="2" t="s">
        <v>22650</v>
      </c>
    </row>
    <row r="733">
      <c r="B733" s="2" t="s">
        <v>22651</v>
      </c>
    </row>
    <row r="734">
      <c r="B734" s="2" t="s">
        <v>22652</v>
      </c>
    </row>
    <row r="735">
      <c r="B735" s="2" t="s">
        <v>22653</v>
      </c>
    </row>
    <row r="736">
      <c r="B736" s="2" t="s">
        <v>22654</v>
      </c>
    </row>
    <row r="737">
      <c r="B737" s="2" t="s">
        <v>22655</v>
      </c>
    </row>
    <row r="738">
      <c r="B738" s="2" t="s">
        <v>22656</v>
      </c>
    </row>
    <row r="739">
      <c r="B739" s="2" t="s">
        <v>22657</v>
      </c>
    </row>
    <row r="740">
      <c r="B740" s="2" t="s">
        <v>22658</v>
      </c>
    </row>
    <row r="741">
      <c r="B741" s="2" t="s">
        <v>22659</v>
      </c>
    </row>
    <row r="742">
      <c r="B742" s="2" t="s">
        <v>22660</v>
      </c>
    </row>
    <row r="743">
      <c r="B743" s="2" t="s">
        <v>22661</v>
      </c>
    </row>
    <row r="744">
      <c r="B744" s="2" t="s">
        <v>22662</v>
      </c>
    </row>
    <row r="745">
      <c r="B745" s="2" t="s">
        <v>22663</v>
      </c>
    </row>
    <row r="746">
      <c r="B746" s="2" t="s">
        <v>22664</v>
      </c>
    </row>
    <row r="747">
      <c r="B747" s="2" t="s">
        <v>22665</v>
      </c>
    </row>
    <row r="748">
      <c r="B748" s="2" t="s">
        <v>22666</v>
      </c>
    </row>
    <row r="749">
      <c r="B749" s="2" t="s">
        <v>22667</v>
      </c>
    </row>
    <row r="750">
      <c r="B750" s="2" t="s">
        <v>22668</v>
      </c>
    </row>
    <row r="751">
      <c r="B751" s="2" t="s">
        <v>22669</v>
      </c>
    </row>
    <row r="752">
      <c r="B752" s="2" t="s">
        <v>22670</v>
      </c>
    </row>
    <row r="753">
      <c r="B753" s="2" t="s">
        <v>22671</v>
      </c>
    </row>
    <row r="754">
      <c r="B754" s="2" t="s">
        <v>22672</v>
      </c>
    </row>
    <row r="755">
      <c r="B755" s="2" t="s">
        <v>22673</v>
      </c>
    </row>
    <row r="756">
      <c r="B756" s="2" t="s">
        <v>22674</v>
      </c>
    </row>
    <row r="757">
      <c r="B757" s="2" t="s">
        <v>22675</v>
      </c>
    </row>
    <row r="758">
      <c r="B758" s="2" t="s">
        <v>22676</v>
      </c>
    </row>
    <row r="759">
      <c r="B759" s="2" t="s">
        <v>22677</v>
      </c>
    </row>
    <row r="760">
      <c r="B760" s="2" t="s">
        <v>22678</v>
      </c>
    </row>
    <row r="761">
      <c r="B761" s="2" t="s">
        <v>22679</v>
      </c>
    </row>
    <row r="762">
      <c r="B762" s="2" t="s">
        <v>22680</v>
      </c>
    </row>
    <row r="763">
      <c r="B763" s="2" t="s">
        <v>22681</v>
      </c>
    </row>
    <row r="764">
      <c r="B764" s="2" t="s">
        <v>22682</v>
      </c>
    </row>
    <row r="765">
      <c r="B765" s="2" t="s">
        <v>22683</v>
      </c>
    </row>
    <row r="766">
      <c r="B766" s="2" t="s">
        <v>22684</v>
      </c>
    </row>
    <row r="767">
      <c r="B767" s="2" t="s">
        <v>22685</v>
      </c>
    </row>
    <row r="768">
      <c r="B768" s="2" t="s">
        <v>22686</v>
      </c>
    </row>
    <row r="769">
      <c r="B769" s="2" t="s">
        <v>22687</v>
      </c>
    </row>
    <row r="770">
      <c r="B770" s="2" t="s">
        <v>22688</v>
      </c>
    </row>
    <row r="771">
      <c r="B771" s="2" t="s">
        <v>22689</v>
      </c>
    </row>
    <row r="772">
      <c r="B772" s="2" t="s">
        <v>22690</v>
      </c>
    </row>
    <row r="773">
      <c r="B773" s="2" t="s">
        <v>22691</v>
      </c>
    </row>
    <row r="774">
      <c r="B774" s="2" t="s">
        <v>22692</v>
      </c>
    </row>
    <row r="775">
      <c r="B775" s="2" t="s">
        <v>22693</v>
      </c>
    </row>
    <row r="776">
      <c r="B776" s="2" t="s">
        <v>22694</v>
      </c>
    </row>
    <row r="777">
      <c r="B777" s="2" t="s">
        <v>22695</v>
      </c>
    </row>
    <row r="778">
      <c r="B778" s="2" t="s">
        <v>22696</v>
      </c>
    </row>
    <row r="779">
      <c r="B779" s="2" t="s">
        <v>22697</v>
      </c>
    </row>
    <row r="780">
      <c r="B780" s="2" t="s">
        <v>22698</v>
      </c>
    </row>
    <row r="781">
      <c r="B781" s="2" t="s">
        <v>22699</v>
      </c>
    </row>
    <row r="782">
      <c r="B782" s="2" t="s">
        <v>22700</v>
      </c>
    </row>
    <row r="783">
      <c r="B783" s="2" t="s">
        <v>22701</v>
      </c>
    </row>
    <row r="784">
      <c r="B784" s="2" t="s">
        <v>22702</v>
      </c>
    </row>
    <row r="785">
      <c r="B785" s="2" t="s">
        <v>22703</v>
      </c>
    </row>
    <row r="786">
      <c r="B786" s="2" t="s">
        <v>22704</v>
      </c>
    </row>
    <row r="787">
      <c r="B787" s="2" t="s">
        <v>22705</v>
      </c>
    </row>
    <row r="788">
      <c r="B788" s="2" t="s">
        <v>22706</v>
      </c>
    </row>
    <row r="789">
      <c r="B789" s="2" t="s">
        <v>22707</v>
      </c>
    </row>
    <row r="790">
      <c r="B790" s="2" t="s">
        <v>22708</v>
      </c>
    </row>
    <row r="791">
      <c r="B791" s="2" t="s">
        <v>22709</v>
      </c>
    </row>
    <row r="792">
      <c r="B792" s="2" t="s">
        <v>22710</v>
      </c>
    </row>
    <row r="793">
      <c r="B793" s="2" t="s">
        <v>22711</v>
      </c>
    </row>
    <row r="794">
      <c r="B794" s="2" t="s">
        <v>22712</v>
      </c>
    </row>
    <row r="795">
      <c r="B795" s="2" t="s">
        <v>22713</v>
      </c>
    </row>
    <row r="796">
      <c r="B796" s="2" t="s">
        <v>22714</v>
      </c>
    </row>
    <row r="797">
      <c r="B797" s="2" t="s">
        <v>22715</v>
      </c>
    </row>
    <row r="798">
      <c r="B798" s="2" t="s">
        <v>22716</v>
      </c>
    </row>
    <row r="799">
      <c r="B799" s="2" t="s">
        <v>22717</v>
      </c>
    </row>
    <row r="800">
      <c r="B800" s="2" t="s">
        <v>22718</v>
      </c>
    </row>
    <row r="801">
      <c r="B801" s="2" t="s">
        <v>22719</v>
      </c>
    </row>
    <row r="802">
      <c r="B802" s="2" t="s">
        <v>22720</v>
      </c>
    </row>
    <row r="803">
      <c r="B803" s="2" t="s">
        <v>22721</v>
      </c>
    </row>
    <row r="804">
      <c r="B804" s="2" t="s">
        <v>22722</v>
      </c>
    </row>
    <row r="805">
      <c r="B805" s="2" t="s">
        <v>22723</v>
      </c>
    </row>
    <row r="806">
      <c r="B806" s="2" t="s">
        <v>22724</v>
      </c>
    </row>
    <row r="807">
      <c r="B807" s="2" t="s">
        <v>22725</v>
      </c>
    </row>
    <row r="808">
      <c r="B808" s="2" t="s">
        <v>22726</v>
      </c>
    </row>
    <row r="809">
      <c r="B809" s="2" t="s">
        <v>22727</v>
      </c>
    </row>
    <row r="810">
      <c r="B810" s="2" t="s">
        <v>22728</v>
      </c>
    </row>
    <row r="811">
      <c r="B811" s="2" t="s">
        <v>22729</v>
      </c>
    </row>
    <row r="812">
      <c r="B812" s="2" t="s">
        <v>22730</v>
      </c>
    </row>
    <row r="813">
      <c r="B813" s="2" t="s">
        <v>22731</v>
      </c>
    </row>
    <row r="814">
      <c r="B814" s="2" t="s">
        <v>22732</v>
      </c>
    </row>
    <row r="815">
      <c r="B815" s="2" t="s">
        <v>22733</v>
      </c>
    </row>
    <row r="816">
      <c r="B816" s="2" t="s">
        <v>22734</v>
      </c>
    </row>
    <row r="817">
      <c r="B817" s="2" t="s">
        <v>22735</v>
      </c>
    </row>
    <row r="818">
      <c r="B818" s="2" t="s">
        <v>22736</v>
      </c>
    </row>
    <row r="819">
      <c r="B819" s="2" t="s">
        <v>22737</v>
      </c>
    </row>
    <row r="820">
      <c r="B820" s="2" t="s">
        <v>22738</v>
      </c>
    </row>
    <row r="821">
      <c r="B821" s="2" t="s">
        <v>22739</v>
      </c>
    </row>
    <row r="822">
      <c r="B822" s="2" t="s">
        <v>22740</v>
      </c>
    </row>
    <row r="823">
      <c r="B823" s="2" t="s">
        <v>22741</v>
      </c>
    </row>
    <row r="824">
      <c r="B824" s="2" t="s">
        <v>22742</v>
      </c>
    </row>
    <row r="825">
      <c r="B825" s="2" t="s">
        <v>22743</v>
      </c>
    </row>
    <row r="826">
      <c r="B826" s="2" t="s">
        <v>22744</v>
      </c>
    </row>
    <row r="827">
      <c r="B827" s="2" t="s">
        <v>22745</v>
      </c>
    </row>
    <row r="828">
      <c r="B828" s="2" t="s">
        <v>22746</v>
      </c>
    </row>
    <row r="829">
      <c r="B829" s="2" t="s">
        <v>22747</v>
      </c>
    </row>
    <row r="830">
      <c r="B830" s="2" t="s">
        <v>22748</v>
      </c>
    </row>
    <row r="831">
      <c r="B831" s="2" t="s">
        <v>22749</v>
      </c>
    </row>
    <row r="832">
      <c r="B832" s="2" t="s">
        <v>22750</v>
      </c>
    </row>
    <row r="833">
      <c r="B833" s="2" t="s">
        <v>22751</v>
      </c>
    </row>
    <row r="834">
      <c r="B834" s="2" t="s">
        <v>22752</v>
      </c>
    </row>
    <row r="835">
      <c r="B835" s="2" t="s">
        <v>22753</v>
      </c>
    </row>
    <row r="836">
      <c r="B836" s="2" t="s">
        <v>22754</v>
      </c>
    </row>
    <row r="837">
      <c r="B837" s="2" t="s">
        <v>22755</v>
      </c>
    </row>
    <row r="838">
      <c r="B838" s="2" t="s">
        <v>22756</v>
      </c>
    </row>
    <row r="839">
      <c r="B839" s="2" t="s">
        <v>22757</v>
      </c>
    </row>
    <row r="840">
      <c r="B840" s="2" t="s">
        <v>22758</v>
      </c>
    </row>
    <row r="841">
      <c r="B841" s="2" t="s">
        <v>22759</v>
      </c>
    </row>
    <row r="842">
      <c r="B842" s="2" t="s">
        <v>22760</v>
      </c>
    </row>
    <row r="843">
      <c r="B843" s="2" t="s">
        <v>22761</v>
      </c>
    </row>
    <row r="844">
      <c r="B844" s="2" t="s">
        <v>22762</v>
      </c>
    </row>
    <row r="845">
      <c r="B845" s="2" t="s">
        <v>22763</v>
      </c>
    </row>
    <row r="846">
      <c r="B846" s="2" t="s">
        <v>22764</v>
      </c>
    </row>
    <row r="847">
      <c r="B847" s="2" t="s">
        <v>22765</v>
      </c>
    </row>
    <row r="848">
      <c r="B848" s="2" t="s">
        <v>22766</v>
      </c>
    </row>
    <row r="849">
      <c r="B849" s="2" t="s">
        <v>22767</v>
      </c>
    </row>
    <row r="850">
      <c r="B850" s="2" t="s">
        <v>22768</v>
      </c>
    </row>
    <row r="851">
      <c r="B851" s="2" t="s">
        <v>22769</v>
      </c>
    </row>
    <row r="852">
      <c r="B852" s="2" t="s">
        <v>22770</v>
      </c>
    </row>
    <row r="853">
      <c r="B853" s="2" t="s">
        <v>22771</v>
      </c>
    </row>
    <row r="854">
      <c r="B854" s="2" t="s">
        <v>22772</v>
      </c>
    </row>
    <row r="855">
      <c r="B855" s="2" t="s">
        <v>22773</v>
      </c>
    </row>
    <row r="856">
      <c r="B856" s="2" t="s">
        <v>22774</v>
      </c>
    </row>
    <row r="857">
      <c r="B857" s="2" t="s">
        <v>22775</v>
      </c>
    </row>
    <row r="858">
      <c r="B858" s="2" t="s">
        <v>22776</v>
      </c>
    </row>
    <row r="859">
      <c r="B859" s="2" t="s">
        <v>22777</v>
      </c>
    </row>
    <row r="860">
      <c r="B860" s="2" t="s">
        <v>22778</v>
      </c>
    </row>
    <row r="861">
      <c r="B861" s="2" t="s">
        <v>22779</v>
      </c>
    </row>
    <row r="862">
      <c r="B862" s="2" t="s">
        <v>22780</v>
      </c>
    </row>
    <row r="863">
      <c r="B863" s="2" t="s">
        <v>22781</v>
      </c>
    </row>
    <row r="864">
      <c r="B864" s="2" t="s">
        <v>22782</v>
      </c>
    </row>
    <row r="865">
      <c r="B865" s="2" t="s">
        <v>22783</v>
      </c>
    </row>
    <row r="866">
      <c r="B866" s="2" t="s">
        <v>22784</v>
      </c>
    </row>
    <row r="867">
      <c r="B867" s="2" t="s">
        <v>22785</v>
      </c>
    </row>
    <row r="868">
      <c r="B868" s="2" t="s">
        <v>22786</v>
      </c>
    </row>
    <row r="869">
      <c r="B869" s="2" t="s">
        <v>22787</v>
      </c>
    </row>
    <row r="870">
      <c r="B870" s="2" t="s">
        <v>22788</v>
      </c>
    </row>
    <row r="871">
      <c r="B871" s="2" t="s">
        <v>22789</v>
      </c>
    </row>
    <row r="872">
      <c r="B872" s="2" t="s">
        <v>22790</v>
      </c>
    </row>
    <row r="873">
      <c r="B873" s="2" t="s">
        <v>22791</v>
      </c>
    </row>
    <row r="874">
      <c r="B874" s="2" t="s">
        <v>22792</v>
      </c>
    </row>
    <row r="875">
      <c r="B875" s="2" t="s">
        <v>22793</v>
      </c>
    </row>
    <row r="876">
      <c r="B876" s="2" t="s">
        <v>22794</v>
      </c>
    </row>
    <row r="877">
      <c r="B877" s="2" t="s">
        <v>22795</v>
      </c>
    </row>
    <row r="878">
      <c r="B878" s="2" t="s">
        <v>22796</v>
      </c>
    </row>
    <row r="879">
      <c r="B879" s="2" t="s">
        <v>22797</v>
      </c>
    </row>
    <row r="880">
      <c r="B880" s="2" t="s">
        <v>22798</v>
      </c>
    </row>
    <row r="881">
      <c r="B881" s="2" t="s">
        <v>22799</v>
      </c>
    </row>
    <row r="882">
      <c r="B882" s="2" t="s">
        <v>22800</v>
      </c>
    </row>
    <row r="883">
      <c r="B883" s="2" t="s">
        <v>22801</v>
      </c>
    </row>
    <row r="884">
      <c r="B884" s="2" t="s">
        <v>22802</v>
      </c>
    </row>
    <row r="885">
      <c r="B885" s="2" t="s">
        <v>22803</v>
      </c>
    </row>
    <row r="886">
      <c r="B886" s="2" t="s">
        <v>22804</v>
      </c>
    </row>
    <row r="887">
      <c r="B887" s="2" t="s">
        <v>22805</v>
      </c>
    </row>
    <row r="888">
      <c r="B888" s="2" t="s">
        <v>22806</v>
      </c>
    </row>
    <row r="889">
      <c r="B889" s="2" t="s">
        <v>22807</v>
      </c>
    </row>
    <row r="890">
      <c r="B890" s="2" t="s">
        <v>22808</v>
      </c>
    </row>
    <row r="891">
      <c r="B891" s="2" t="s">
        <v>22809</v>
      </c>
    </row>
    <row r="892">
      <c r="B892" s="2" t="s">
        <v>22810</v>
      </c>
    </row>
    <row r="893">
      <c r="B893" s="2" t="s">
        <v>22811</v>
      </c>
    </row>
    <row r="894">
      <c r="B894" s="2" t="s">
        <v>22812</v>
      </c>
    </row>
    <row r="895">
      <c r="B895" s="2" t="s">
        <v>22813</v>
      </c>
    </row>
    <row r="896">
      <c r="B896" s="2" t="s">
        <v>22814</v>
      </c>
    </row>
    <row r="897">
      <c r="B897" s="2" t="s">
        <v>22815</v>
      </c>
    </row>
    <row r="898">
      <c r="B898" s="2" t="s">
        <v>22816</v>
      </c>
    </row>
    <row r="899">
      <c r="B899" s="2" t="s">
        <v>22817</v>
      </c>
    </row>
    <row r="900">
      <c r="B900" s="2" t="s">
        <v>22818</v>
      </c>
    </row>
    <row r="901">
      <c r="B901" s="2" t="s">
        <v>22819</v>
      </c>
    </row>
    <row r="902">
      <c r="B902" s="2" t="s">
        <v>22820</v>
      </c>
    </row>
    <row r="903">
      <c r="B903" s="2" t="s">
        <v>22821</v>
      </c>
    </row>
    <row r="904">
      <c r="B904" s="2" t="s">
        <v>22822</v>
      </c>
    </row>
    <row r="905">
      <c r="B905" s="2" t="s">
        <v>22823</v>
      </c>
    </row>
    <row r="906">
      <c r="B906" s="2" t="s">
        <v>22824</v>
      </c>
    </row>
    <row r="907">
      <c r="B907" s="2" t="s">
        <v>22825</v>
      </c>
    </row>
    <row r="908">
      <c r="B908" s="2" t="s">
        <v>22826</v>
      </c>
    </row>
    <row r="909">
      <c r="B909" s="2" t="s">
        <v>22827</v>
      </c>
    </row>
    <row r="910">
      <c r="B910" s="2" t="s">
        <v>22828</v>
      </c>
    </row>
    <row r="911">
      <c r="B911" s="2" t="s">
        <v>22829</v>
      </c>
    </row>
    <row r="912">
      <c r="B912" s="2" t="s">
        <v>11292</v>
      </c>
    </row>
    <row r="914">
      <c r="B914" s="2" t="s">
        <v>22830</v>
      </c>
    </row>
    <row r="916">
      <c r="B916" s="2" t="s">
        <v>22831</v>
      </c>
    </row>
    <row r="918">
      <c r="B918" s="2" t="s">
        <v>22832</v>
      </c>
    </row>
    <row r="919">
      <c r="B919" s="2" t="s">
        <v>22833</v>
      </c>
    </row>
    <row r="920">
      <c r="B920" s="2" t="s">
        <v>22834</v>
      </c>
    </row>
    <row r="921">
      <c r="B921" s="2" t="s">
        <v>22835</v>
      </c>
    </row>
    <row r="922">
      <c r="B922" s="2" t="s">
        <v>22836</v>
      </c>
    </row>
    <row r="923">
      <c r="B923" s="2" t="s">
        <v>22837</v>
      </c>
    </row>
    <row r="924">
      <c r="B924" s="2" t="s">
        <v>22838</v>
      </c>
    </row>
    <row r="925">
      <c r="B925" s="2" t="s">
        <v>22839</v>
      </c>
    </row>
    <row r="926">
      <c r="B926" s="2" t="s">
        <v>22840</v>
      </c>
    </row>
    <row r="927">
      <c r="B927" s="2" t="s">
        <v>22841</v>
      </c>
    </row>
    <row r="929">
      <c r="B929" s="2" t="s">
        <v>22842</v>
      </c>
    </row>
    <row r="930">
      <c r="B930" s="2" t="s">
        <v>22843</v>
      </c>
    </row>
    <row r="931">
      <c r="B931" s="2" t="s">
        <v>22844</v>
      </c>
    </row>
    <row r="932">
      <c r="B932" s="2" t="s">
        <v>22845</v>
      </c>
    </row>
    <row r="934">
      <c r="B934" s="2" t="s">
        <v>22846</v>
      </c>
    </row>
    <row r="935">
      <c r="B935" s="2" t="s">
        <v>22847</v>
      </c>
    </row>
    <row r="936">
      <c r="B936" s="2" t="s">
        <v>22848</v>
      </c>
    </row>
    <row r="937">
      <c r="B937" s="2" t="s">
        <v>22849</v>
      </c>
    </row>
    <row r="938">
      <c r="B938" s="2" t="s">
        <v>22850</v>
      </c>
    </row>
    <row r="939">
      <c r="B939" s="2" t="s">
        <v>22851</v>
      </c>
    </row>
    <row r="940">
      <c r="B940" s="2" t="s">
        <v>22852</v>
      </c>
    </row>
    <row r="941">
      <c r="B941" s="2" t="s">
        <v>22853</v>
      </c>
    </row>
    <row r="942">
      <c r="B942" s="2" t="s">
        <v>22854</v>
      </c>
    </row>
    <row r="943">
      <c r="B943" s="2" t="s">
        <v>22855</v>
      </c>
    </row>
    <row r="944">
      <c r="B944" s="2" t="s">
        <v>22856</v>
      </c>
    </row>
    <row r="945">
      <c r="B945" s="2" t="s">
        <v>22857</v>
      </c>
    </row>
    <row r="947">
      <c r="B947" s="2" t="s">
        <v>22830</v>
      </c>
    </row>
  </sheetData>
  <drawing r:id="rId1"/>
</worksheet>
</file>